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x Shiner\Desktop\NBA\output\"/>
    </mc:Choice>
  </mc:AlternateContent>
  <xr:revisionPtr revIDLastSave="0" documentId="13_ncr:1_{8BE2E5CF-AB8A-4F7E-84A2-651E4BDEDA15}" xr6:coauthVersionLast="47" xr6:coauthVersionMax="47" xr10:uidLastSave="{00000000-0000-0000-0000-000000000000}"/>
  <bookViews>
    <workbookView xWindow="-108" yWindow="-108" windowWidth="23256" windowHeight="12816" xr2:uid="{00000000-000D-0000-FFFF-FFFF00000000}"/>
  </bookViews>
  <sheets>
    <sheet name="Cover" sheetId="1" r:id="rId1"/>
    <sheet name="Assumptions" sheetId="2" r:id="rId2"/>
    <sheet name="Overrides" sheetId="3" r:id="rId3"/>
    <sheet name="Odds_Input" sheetId="4" r:id="rId4"/>
    <sheet name="M_DeVig" sheetId="5" r:id="rId5"/>
    <sheet name="M_TeamRatings" sheetId="6" r:id="rId6"/>
    <sheet name="M_WinDist" sheetId="7" r:id="rId7"/>
    <sheet name="M_Sims" sheetId="8" r:id="rId8"/>
    <sheet name="M_Lottery2027" sheetId="9" r:id="rId9"/>
    <sheet name="M_Players" sheetId="10" r:id="rId10"/>
    <sheet name="S_Markets" sheetId="11" r:id="rId11"/>
    <sheet name="Bet_Card" sheetId="12" r:id="rId12"/>
    <sheet name="Tier1_Card" sheetId="13" r:id="rId13"/>
    <sheet name="Exposure" sheetId="14" r:id="rId14"/>
    <sheet name="Dashboard" sheetId="15" r:id="rId15"/>
    <sheet name="Sensitivity" sheetId="16" r:id="rId16"/>
    <sheet name="Backtest" sheetId="17" r:id="rId17"/>
    <sheet name="Tracker" sheetId="18" r:id="rId18"/>
    <sheet name="Checks" sheetId="19" r:id="rId19"/>
    <sheet name="Data_Sources" sheetId="20" r:id="rId20"/>
    <sheet name="Raw_Teams" sheetId="21" r:id="rId21"/>
    <sheet name="Raw_Players" sheetId="22" r:id="rId22"/>
    <sheet name="Raw_Schedule" sheetId="23" r:id="rId23"/>
  </sheets>
  <definedNames>
    <definedName name="A_65">Assumptions!$B$30</definedName>
    <definedName name="A_aging">Assumptions!$B$18</definedName>
    <definedName name="A_b0">Assumptions!$B$12</definedName>
    <definedName name="A_b1">Assumptions!$B$13</definedName>
    <definedName name="A_b2">Assumptions!$B$11</definedName>
    <definedName name="A_b3">Assumptions!$B$14</definedName>
    <definedName name="A_bankroll">Assumptions!$B$32</definedName>
    <definedName name="A_cilevel">Assumptions!$B$35</definedName>
    <definedName name="A_contshrink">Assumptions!$B$47</definedName>
    <definedName name="A_contthr">Assumptions!$B$46</definedName>
    <definedName name="A_cupcross">Assumptions!$B$28</definedName>
    <definedName name="A_cupneutral">Assumptions!$B$27</definedName>
    <definedName name="A_deterrent">Assumptions!$B$22</definedName>
    <definedName name="A_devig">Assumptions!$B$31</definedName>
    <definedName name="A_games">Assumptions!$B$52</definedName>
    <definedName name="A_HashCurrent">Assumptions!$B$59</definedName>
    <definedName name="A_hca">Assumptions!$B$8</definedName>
    <definedName name="A_kappa">Assumptions!$B$21</definedName>
    <definedName name="A_kelly">Assumptions!$B$33</definedName>
    <definedName name="A_kwins">Assumptions!$B$15</definedName>
    <definedName name="A_lambda">Assumptions!$B$23</definedName>
    <definedName name="A_leaguew">Assumptions!$B$57</definedName>
    <definedName name="A_lgortg">Assumptions!$B$56</definedName>
    <definedName name="A_longthr">Assumptions!$B$45</definedName>
    <definedName name="A_maxbet">Assumptions!$B$36</definedName>
    <definedName name="A_maxexp">Assumptions!$B$37</definedName>
    <definedName name="A_minev">Assumptions!$B$34</definedName>
    <definedName name="A_ndraws">Assumptions!$B$25</definedName>
    <definedName name="A_nsims">Assumptions!$B$26</definedName>
    <definedName name="A_paceblend">Assumptions!$B$54</definedName>
    <definedName name="A_playin_slots">Assumptions!$B$55</definedName>
    <definedName name="A_poconf">Assumptions!$B$50</definedName>
    <definedName name="A_podef">Assumptions!$B$49</definedName>
    <definedName name="A_poinj">Assumptions!$B$24</definedName>
    <definedName name="A_rookie">Assumptions!$B$19</definedName>
    <definedName name="A_Scenario">Assumptions!$B$5</definedName>
    <definedName name="A_sdscale">Assumptions!$B$51</definedName>
    <definedName name="A_shrink">Assumptions!$B$38</definedName>
    <definedName name="A_sigma_game">Assumptions!$B$9</definedName>
    <definedName name="A_sigma_team">Assumptions!$B$10</definedName>
    <definedName name="A_t1_cap">Assumptions!$B$43</definedName>
    <definedName name="A_t1_engcap">Assumptions!$B$44</definedName>
    <definedName name="A_t1_fair">Assumptions!$B$41</definedName>
    <definedName name="A_t1_shrink">Assumptions!$B$42</definedName>
    <definedName name="A_tank_on">Assumptions!$B$20</definedName>
    <definedName name="A_teamminutes">Assumptions!$B$53</definedName>
    <definedName name="A_tier2_on">Assumptions!$B$40</definedName>
    <definedName name="A_tpg">Assumptions!$B$29</definedName>
    <definedName name="A_wbox">Assumptions!$B$17</definedName>
    <definedName name="A_wdarko">Assumptions!$B$16</definedName>
    <definedName name="A_zs_delta">Assumptions!$B$48</definedName>
    <definedName name="A_zs_on">Assumptions!$B$39</definedName>
    <definedName name="Sim_Stale">M_Sims!$B$11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9" l="1"/>
  <c r="B21" i="19"/>
  <c r="C20" i="19"/>
  <c r="B20" i="19"/>
  <c r="B19" i="19"/>
  <c r="C19" i="19" s="1"/>
  <c r="B18" i="19"/>
  <c r="C18" i="19" s="1"/>
  <c r="B17" i="19"/>
  <c r="C17" i="19" s="1"/>
  <c r="B16" i="19"/>
  <c r="C16" i="19" s="1"/>
  <c r="B14" i="19"/>
  <c r="C14" i="19" s="1"/>
  <c r="B13" i="19"/>
  <c r="C13" i="19" s="1"/>
  <c r="B12" i="19"/>
  <c r="C12" i="19" s="1"/>
  <c r="B11" i="19"/>
  <c r="C11" i="19" s="1"/>
  <c r="B10" i="19"/>
  <c r="C10" i="19" s="1"/>
  <c r="L107" i="18"/>
  <c r="M107" i="18" s="1"/>
  <c r="I107" i="18"/>
  <c r="L106" i="18"/>
  <c r="M106" i="18" s="1"/>
  <c r="I106" i="18"/>
  <c r="L105" i="18"/>
  <c r="M105" i="18" s="1"/>
  <c r="I105" i="18"/>
  <c r="L104" i="18"/>
  <c r="M104" i="18" s="1"/>
  <c r="I104" i="18"/>
  <c r="L103" i="18"/>
  <c r="M103" i="18" s="1"/>
  <c r="I103" i="18"/>
  <c r="L102" i="18"/>
  <c r="M102" i="18" s="1"/>
  <c r="I102" i="18"/>
  <c r="L101" i="18"/>
  <c r="M101" i="18" s="1"/>
  <c r="I101" i="18"/>
  <c r="L100" i="18"/>
  <c r="M100" i="18" s="1"/>
  <c r="I100" i="18"/>
  <c r="L99" i="18"/>
  <c r="M99" i="18" s="1"/>
  <c r="I99" i="18"/>
  <c r="L98" i="18"/>
  <c r="M98" i="18" s="1"/>
  <c r="I98" i="18"/>
  <c r="L97" i="18"/>
  <c r="M97" i="18" s="1"/>
  <c r="I97" i="18"/>
  <c r="L96" i="18"/>
  <c r="M96" i="18" s="1"/>
  <c r="I96" i="18"/>
  <c r="L95" i="18"/>
  <c r="M95" i="18" s="1"/>
  <c r="I95" i="18"/>
  <c r="L94" i="18"/>
  <c r="M94" i="18" s="1"/>
  <c r="I94" i="18"/>
  <c r="L93" i="18"/>
  <c r="M93" i="18" s="1"/>
  <c r="I93" i="18"/>
  <c r="L92" i="18"/>
  <c r="M92" i="18" s="1"/>
  <c r="I92" i="18"/>
  <c r="L91" i="18"/>
  <c r="M91" i="18" s="1"/>
  <c r="I91" i="18"/>
  <c r="L90" i="18"/>
  <c r="M90" i="18" s="1"/>
  <c r="I90" i="18"/>
  <c r="L89" i="18"/>
  <c r="M89" i="18" s="1"/>
  <c r="I89" i="18"/>
  <c r="L88" i="18"/>
  <c r="M88" i="18" s="1"/>
  <c r="I88" i="18"/>
  <c r="L87" i="18"/>
  <c r="M87" i="18" s="1"/>
  <c r="I87" i="18"/>
  <c r="L86" i="18"/>
  <c r="M86" i="18" s="1"/>
  <c r="I86" i="18"/>
  <c r="L85" i="18"/>
  <c r="M85" i="18" s="1"/>
  <c r="I85" i="18"/>
  <c r="L84" i="18"/>
  <c r="M84" i="18" s="1"/>
  <c r="I84" i="18"/>
  <c r="L83" i="18"/>
  <c r="M83" i="18" s="1"/>
  <c r="I83" i="18"/>
  <c r="L82" i="18"/>
  <c r="M82" i="18" s="1"/>
  <c r="I82" i="18"/>
  <c r="L81" i="18"/>
  <c r="M81" i="18" s="1"/>
  <c r="I81" i="18"/>
  <c r="L80" i="18"/>
  <c r="M80" i="18" s="1"/>
  <c r="I80" i="18"/>
  <c r="L79" i="18"/>
  <c r="M79" i="18" s="1"/>
  <c r="I79" i="18"/>
  <c r="L78" i="18"/>
  <c r="M78" i="18" s="1"/>
  <c r="I78" i="18"/>
  <c r="L77" i="18"/>
  <c r="M77" i="18" s="1"/>
  <c r="I77" i="18"/>
  <c r="L76" i="18"/>
  <c r="M76" i="18" s="1"/>
  <c r="I76" i="18"/>
  <c r="L75" i="18"/>
  <c r="M75" i="18" s="1"/>
  <c r="I75" i="18"/>
  <c r="L74" i="18"/>
  <c r="M74" i="18" s="1"/>
  <c r="I74" i="18"/>
  <c r="L73" i="18"/>
  <c r="M73" i="18" s="1"/>
  <c r="I73" i="18"/>
  <c r="L72" i="18"/>
  <c r="M72" i="18" s="1"/>
  <c r="I72" i="18"/>
  <c r="L71" i="18"/>
  <c r="M71" i="18" s="1"/>
  <c r="I71" i="18"/>
  <c r="L70" i="18"/>
  <c r="M70" i="18" s="1"/>
  <c r="I70" i="18"/>
  <c r="L69" i="18"/>
  <c r="M69" i="18" s="1"/>
  <c r="I69" i="18"/>
  <c r="L68" i="18"/>
  <c r="M68" i="18" s="1"/>
  <c r="I68" i="18"/>
  <c r="L67" i="18"/>
  <c r="M67" i="18" s="1"/>
  <c r="I67" i="18"/>
  <c r="L66" i="18"/>
  <c r="M66" i="18" s="1"/>
  <c r="I66" i="18"/>
  <c r="L65" i="18"/>
  <c r="M65" i="18" s="1"/>
  <c r="I65" i="18"/>
  <c r="L64" i="18"/>
  <c r="M64" i="18" s="1"/>
  <c r="I64" i="18"/>
  <c r="L63" i="18"/>
  <c r="M63" i="18" s="1"/>
  <c r="I63" i="18"/>
  <c r="L62" i="18"/>
  <c r="M62" i="18" s="1"/>
  <c r="I62" i="18"/>
  <c r="L61" i="18"/>
  <c r="M61" i="18" s="1"/>
  <c r="I61" i="18"/>
  <c r="L60" i="18"/>
  <c r="M60" i="18" s="1"/>
  <c r="I60" i="18"/>
  <c r="L59" i="18"/>
  <c r="M59" i="18" s="1"/>
  <c r="I59" i="18"/>
  <c r="L58" i="18"/>
  <c r="M58" i="18" s="1"/>
  <c r="I58" i="18"/>
  <c r="L57" i="18"/>
  <c r="M57" i="18" s="1"/>
  <c r="I57" i="18"/>
  <c r="L56" i="18"/>
  <c r="M56" i="18" s="1"/>
  <c r="I56" i="18"/>
  <c r="L55" i="18"/>
  <c r="M55" i="18" s="1"/>
  <c r="I55" i="18"/>
  <c r="L54" i="18"/>
  <c r="M54" i="18" s="1"/>
  <c r="I54" i="18"/>
  <c r="L53" i="18"/>
  <c r="M53" i="18" s="1"/>
  <c r="I53" i="18"/>
  <c r="L52" i="18"/>
  <c r="M52" i="18" s="1"/>
  <c r="I52" i="18"/>
  <c r="L51" i="18"/>
  <c r="M51" i="18" s="1"/>
  <c r="I51" i="18"/>
  <c r="L50" i="18"/>
  <c r="M50" i="18" s="1"/>
  <c r="I50" i="18"/>
  <c r="L49" i="18"/>
  <c r="M49" i="18" s="1"/>
  <c r="I49" i="18"/>
  <c r="L48" i="18"/>
  <c r="M48" i="18" s="1"/>
  <c r="I48" i="18"/>
  <c r="L47" i="18"/>
  <c r="M47" i="18" s="1"/>
  <c r="I47" i="18"/>
  <c r="L46" i="18"/>
  <c r="M46" i="18" s="1"/>
  <c r="I46" i="18"/>
  <c r="L45" i="18"/>
  <c r="M45" i="18" s="1"/>
  <c r="I45" i="18"/>
  <c r="L44" i="18"/>
  <c r="M44" i="18" s="1"/>
  <c r="I44" i="18"/>
  <c r="L43" i="18"/>
  <c r="M43" i="18" s="1"/>
  <c r="I43" i="18"/>
  <c r="L42" i="18"/>
  <c r="M42" i="18" s="1"/>
  <c r="I42" i="18"/>
  <c r="L41" i="18"/>
  <c r="M41" i="18" s="1"/>
  <c r="I41" i="18"/>
  <c r="L40" i="18"/>
  <c r="M40" i="18" s="1"/>
  <c r="I40" i="18"/>
  <c r="L39" i="18"/>
  <c r="M39" i="18" s="1"/>
  <c r="I39" i="18"/>
  <c r="L38" i="18"/>
  <c r="M38" i="18" s="1"/>
  <c r="I38" i="18"/>
  <c r="L37" i="18"/>
  <c r="M37" i="18" s="1"/>
  <c r="I37" i="18"/>
  <c r="L36" i="18"/>
  <c r="M36" i="18" s="1"/>
  <c r="I36" i="18"/>
  <c r="L35" i="18"/>
  <c r="M35" i="18" s="1"/>
  <c r="I35" i="18"/>
  <c r="L34" i="18"/>
  <c r="M34" i="18" s="1"/>
  <c r="I34" i="18"/>
  <c r="L33" i="18"/>
  <c r="M33" i="18" s="1"/>
  <c r="I33" i="18"/>
  <c r="L32" i="18"/>
  <c r="M32" i="18" s="1"/>
  <c r="I32" i="18"/>
  <c r="L31" i="18"/>
  <c r="M31" i="18" s="1"/>
  <c r="I31" i="18"/>
  <c r="L30" i="18"/>
  <c r="M30" i="18" s="1"/>
  <c r="I30" i="18"/>
  <c r="L29" i="18"/>
  <c r="M29" i="18" s="1"/>
  <c r="I29" i="18"/>
  <c r="L28" i="18"/>
  <c r="M28" i="18" s="1"/>
  <c r="I28" i="18"/>
  <c r="L27" i="18"/>
  <c r="M27" i="18" s="1"/>
  <c r="I27" i="18"/>
  <c r="L26" i="18"/>
  <c r="M26" i="18" s="1"/>
  <c r="I26" i="18"/>
  <c r="L25" i="18"/>
  <c r="M25" i="18" s="1"/>
  <c r="I25" i="18"/>
  <c r="L24" i="18"/>
  <c r="M24" i="18" s="1"/>
  <c r="I24" i="18"/>
  <c r="L23" i="18"/>
  <c r="M23" i="18" s="1"/>
  <c r="I23" i="18"/>
  <c r="L22" i="18"/>
  <c r="M22" i="18" s="1"/>
  <c r="I22" i="18"/>
  <c r="L21" i="18"/>
  <c r="M21" i="18" s="1"/>
  <c r="I21" i="18"/>
  <c r="L20" i="18"/>
  <c r="M20" i="18" s="1"/>
  <c r="I20" i="18"/>
  <c r="L19" i="18"/>
  <c r="M19" i="18" s="1"/>
  <c r="I19" i="18"/>
  <c r="L18" i="18"/>
  <c r="M18" i="18" s="1"/>
  <c r="I18" i="18"/>
  <c r="L17" i="18"/>
  <c r="M17" i="18" s="1"/>
  <c r="I17" i="18"/>
  <c r="L16" i="18"/>
  <c r="M16" i="18" s="1"/>
  <c r="I16" i="18"/>
  <c r="L15" i="18"/>
  <c r="M15" i="18" s="1"/>
  <c r="I15" i="18"/>
  <c r="P14" i="18"/>
  <c r="R14" i="18" s="1"/>
  <c r="L14" i="18"/>
  <c r="M14" i="18" s="1"/>
  <c r="I14" i="18"/>
  <c r="P13" i="18"/>
  <c r="R13" i="18" s="1"/>
  <c r="L13" i="18"/>
  <c r="M13" i="18" s="1"/>
  <c r="I13" i="18"/>
  <c r="P12" i="18"/>
  <c r="R12" i="18" s="1"/>
  <c r="L12" i="18"/>
  <c r="M12" i="18" s="1"/>
  <c r="I12" i="18"/>
  <c r="P11" i="18"/>
  <c r="R11" i="18" s="1"/>
  <c r="L11" i="18"/>
  <c r="M11" i="18" s="1"/>
  <c r="I11" i="18"/>
  <c r="P10" i="18"/>
  <c r="R10" i="18" s="1"/>
  <c r="L10" i="18"/>
  <c r="M10" i="18" s="1"/>
  <c r="I10" i="18"/>
  <c r="P9" i="18"/>
  <c r="R9" i="18" s="1"/>
  <c r="L9" i="18"/>
  <c r="M9" i="18" s="1"/>
  <c r="I9" i="18"/>
  <c r="P8" i="18"/>
  <c r="L8" i="18"/>
  <c r="I8" i="18"/>
  <c r="D32" i="16"/>
  <c r="D31" i="16"/>
  <c r="D30" i="16"/>
  <c r="D29" i="16"/>
  <c r="D28" i="16"/>
  <c r="D27" i="16"/>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B11" i="15"/>
  <c r="B10" i="15"/>
  <c r="B9" i="15"/>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15" i="14"/>
  <c r="C14" i="14"/>
  <c r="C13" i="14"/>
  <c r="C12" i="14"/>
  <c r="C10" i="14"/>
  <c r="C9" i="14"/>
  <c r="H761" i="11"/>
  <c r="F761" i="11"/>
  <c r="E761" i="11"/>
  <c r="D761" i="11"/>
  <c r="B761" i="11"/>
  <c r="H760" i="11"/>
  <c r="F760" i="11"/>
  <c r="E760" i="11"/>
  <c r="D760" i="11"/>
  <c r="B760" i="11"/>
  <c r="H759" i="11"/>
  <c r="F759" i="11"/>
  <c r="E759" i="11"/>
  <c r="D759" i="11"/>
  <c r="B759" i="11"/>
  <c r="H758" i="11"/>
  <c r="F758" i="11"/>
  <c r="E758" i="11"/>
  <c r="D758" i="11"/>
  <c r="B758" i="11"/>
  <c r="H757" i="11"/>
  <c r="F757" i="11"/>
  <c r="E757" i="11"/>
  <c r="D757" i="11"/>
  <c r="B757" i="11"/>
  <c r="H756" i="11"/>
  <c r="F756" i="11"/>
  <c r="E756" i="11"/>
  <c r="D756" i="11"/>
  <c r="B756" i="11"/>
  <c r="H755" i="11"/>
  <c r="F755" i="11"/>
  <c r="E755" i="11"/>
  <c r="D755" i="11"/>
  <c r="B755" i="11"/>
  <c r="H754" i="11"/>
  <c r="F754" i="11"/>
  <c r="E754" i="11"/>
  <c r="D754" i="11"/>
  <c r="B754" i="11"/>
  <c r="H753" i="11"/>
  <c r="F753" i="11"/>
  <c r="E753" i="11"/>
  <c r="D753" i="11"/>
  <c r="B753" i="11"/>
  <c r="H752" i="11"/>
  <c r="F752" i="11"/>
  <c r="E752" i="11"/>
  <c r="D752" i="11"/>
  <c r="B752" i="11"/>
  <c r="H751" i="11"/>
  <c r="F751" i="11"/>
  <c r="E751" i="11"/>
  <c r="D751" i="11"/>
  <c r="B751" i="11"/>
  <c r="H750" i="11"/>
  <c r="F750" i="11"/>
  <c r="E750" i="11"/>
  <c r="D750" i="11"/>
  <c r="B750" i="11"/>
  <c r="H749" i="11"/>
  <c r="F749" i="11"/>
  <c r="E749" i="11"/>
  <c r="D749" i="11"/>
  <c r="B749" i="11"/>
  <c r="H748" i="11"/>
  <c r="F748" i="11"/>
  <c r="E748" i="11"/>
  <c r="D748" i="11"/>
  <c r="B748" i="11"/>
  <c r="H747" i="11"/>
  <c r="F747" i="11"/>
  <c r="E747" i="11"/>
  <c r="D747" i="11"/>
  <c r="B747" i="11"/>
  <c r="H746" i="11"/>
  <c r="F746" i="11"/>
  <c r="E746" i="11"/>
  <c r="D746" i="11"/>
  <c r="B746" i="11"/>
  <c r="H745" i="11"/>
  <c r="F745" i="11"/>
  <c r="E745" i="11"/>
  <c r="D745" i="11"/>
  <c r="B745" i="11"/>
  <c r="H744" i="11"/>
  <c r="F744" i="11"/>
  <c r="E744" i="11"/>
  <c r="D744" i="11"/>
  <c r="B744" i="11"/>
  <c r="H743" i="11"/>
  <c r="F743" i="11"/>
  <c r="E743" i="11"/>
  <c r="D743" i="11"/>
  <c r="B743" i="11"/>
  <c r="H742" i="11"/>
  <c r="F742" i="11"/>
  <c r="E742" i="11"/>
  <c r="D742" i="11"/>
  <c r="B742" i="11"/>
  <c r="H741" i="11"/>
  <c r="F741" i="11"/>
  <c r="E741" i="11"/>
  <c r="D741" i="11"/>
  <c r="B741" i="11"/>
  <c r="H740" i="11"/>
  <c r="F740" i="11"/>
  <c r="E740" i="11"/>
  <c r="D740" i="11"/>
  <c r="B740" i="11"/>
  <c r="H739" i="11"/>
  <c r="F739" i="11"/>
  <c r="E739" i="11"/>
  <c r="D739" i="11"/>
  <c r="B739" i="11"/>
  <c r="H738" i="11"/>
  <c r="F738" i="11"/>
  <c r="E738" i="11"/>
  <c r="D738" i="11"/>
  <c r="B738" i="11"/>
  <c r="H737" i="11"/>
  <c r="F737" i="11"/>
  <c r="E737" i="11"/>
  <c r="D737" i="11"/>
  <c r="B737" i="11"/>
  <c r="H736" i="11"/>
  <c r="F736" i="11"/>
  <c r="E736" i="11"/>
  <c r="D736" i="11"/>
  <c r="B736" i="11"/>
  <c r="H735" i="11"/>
  <c r="F735" i="11"/>
  <c r="E735" i="11"/>
  <c r="D735" i="11"/>
  <c r="B735" i="11"/>
  <c r="H734" i="11"/>
  <c r="F734" i="11"/>
  <c r="E734" i="11"/>
  <c r="D734" i="11"/>
  <c r="B734" i="11"/>
  <c r="H733" i="11"/>
  <c r="F733" i="11"/>
  <c r="E733" i="11"/>
  <c r="D733" i="11"/>
  <c r="B733" i="11"/>
  <c r="H732" i="11"/>
  <c r="F732" i="11"/>
  <c r="E732" i="11"/>
  <c r="D732" i="11"/>
  <c r="B732" i="11"/>
  <c r="H731" i="11"/>
  <c r="F731" i="11"/>
  <c r="E731" i="11"/>
  <c r="D731" i="11"/>
  <c r="B731" i="11"/>
  <c r="H730" i="11"/>
  <c r="F730" i="11"/>
  <c r="E730" i="11"/>
  <c r="D730" i="11"/>
  <c r="B730" i="11"/>
  <c r="H729" i="11"/>
  <c r="F729" i="11"/>
  <c r="E729" i="11"/>
  <c r="D729" i="11"/>
  <c r="B729" i="11"/>
  <c r="H728" i="11"/>
  <c r="F728" i="11"/>
  <c r="E728" i="11"/>
  <c r="D728" i="11"/>
  <c r="B728" i="11"/>
  <c r="H727" i="11"/>
  <c r="F727" i="11"/>
  <c r="E727" i="11"/>
  <c r="D727" i="11"/>
  <c r="B727" i="11"/>
  <c r="H726" i="11"/>
  <c r="F726" i="11"/>
  <c r="E726" i="11"/>
  <c r="D726" i="11"/>
  <c r="B726" i="11"/>
  <c r="H725" i="11"/>
  <c r="F725" i="11"/>
  <c r="E725" i="11"/>
  <c r="D725" i="11"/>
  <c r="B725" i="11"/>
  <c r="H724" i="11"/>
  <c r="F724" i="11"/>
  <c r="E724" i="11"/>
  <c r="D724" i="11"/>
  <c r="B724" i="11"/>
  <c r="H723" i="11"/>
  <c r="F723" i="11"/>
  <c r="E723" i="11"/>
  <c r="D723" i="11"/>
  <c r="B723" i="11"/>
  <c r="H722" i="11"/>
  <c r="F722" i="11"/>
  <c r="E722" i="11"/>
  <c r="D722" i="11"/>
  <c r="B722" i="11"/>
  <c r="H719" i="11"/>
  <c r="F719" i="11"/>
  <c r="E719" i="11"/>
  <c r="D719" i="11"/>
  <c r="B719" i="11"/>
  <c r="H718" i="11"/>
  <c r="F718" i="11"/>
  <c r="E718" i="11"/>
  <c r="D718" i="11"/>
  <c r="B718" i="11"/>
  <c r="H717" i="11"/>
  <c r="F717" i="11"/>
  <c r="E717" i="11"/>
  <c r="D717" i="11"/>
  <c r="B717" i="11"/>
  <c r="H716" i="11"/>
  <c r="F716" i="11"/>
  <c r="E716" i="11"/>
  <c r="D716" i="11"/>
  <c r="B716" i="11"/>
  <c r="H715" i="11"/>
  <c r="F715" i="11"/>
  <c r="E715" i="11"/>
  <c r="D715" i="11"/>
  <c r="B715" i="11"/>
  <c r="H714" i="11"/>
  <c r="F714" i="11"/>
  <c r="E714" i="11"/>
  <c r="D714" i="11"/>
  <c r="B714" i="11"/>
  <c r="H713" i="11"/>
  <c r="F713" i="11"/>
  <c r="E713" i="11"/>
  <c r="D713" i="11"/>
  <c r="B713" i="11"/>
  <c r="H712" i="11"/>
  <c r="F712" i="11"/>
  <c r="E712" i="11"/>
  <c r="D712" i="11"/>
  <c r="B712" i="11"/>
  <c r="H711" i="11"/>
  <c r="F711" i="11"/>
  <c r="E711" i="11"/>
  <c r="D711" i="11"/>
  <c r="B711" i="11"/>
  <c r="H710" i="11"/>
  <c r="F710" i="11"/>
  <c r="E710" i="11"/>
  <c r="D710" i="11"/>
  <c r="B710" i="11"/>
  <c r="H709" i="11"/>
  <c r="F709" i="11"/>
  <c r="E709" i="11"/>
  <c r="D709" i="11"/>
  <c r="B709" i="11"/>
  <c r="H708" i="11"/>
  <c r="F708" i="11"/>
  <c r="E708" i="11"/>
  <c r="D708" i="11"/>
  <c r="B708" i="11"/>
  <c r="H707" i="11"/>
  <c r="F707" i="11"/>
  <c r="E707" i="11"/>
  <c r="D707" i="11"/>
  <c r="B707" i="11"/>
  <c r="H706" i="11"/>
  <c r="F706" i="11"/>
  <c r="E706" i="11"/>
  <c r="D706" i="11"/>
  <c r="B706" i="11"/>
  <c r="H705" i="11"/>
  <c r="F705" i="11"/>
  <c r="E705" i="11"/>
  <c r="D705" i="11"/>
  <c r="B705" i="11"/>
  <c r="H704" i="11"/>
  <c r="F704" i="11"/>
  <c r="E704" i="11"/>
  <c r="D704" i="11"/>
  <c r="B704" i="11"/>
  <c r="H703" i="11"/>
  <c r="F703" i="11"/>
  <c r="E703" i="11"/>
  <c r="D703" i="11"/>
  <c r="B703" i="11"/>
  <c r="H702" i="11"/>
  <c r="F702" i="11"/>
  <c r="E702" i="11"/>
  <c r="D702" i="11"/>
  <c r="B702" i="11"/>
  <c r="H701" i="11"/>
  <c r="F701" i="11"/>
  <c r="E701" i="11"/>
  <c r="D701" i="11"/>
  <c r="B701" i="11"/>
  <c r="H700" i="11"/>
  <c r="F700" i="11"/>
  <c r="E700" i="11"/>
  <c r="D700" i="11"/>
  <c r="B700" i="11"/>
  <c r="H697" i="11"/>
  <c r="F697" i="11"/>
  <c r="E697" i="11"/>
  <c r="D697" i="11"/>
  <c r="B697" i="11"/>
  <c r="H696" i="11"/>
  <c r="F696" i="11"/>
  <c r="E696" i="11"/>
  <c r="D696" i="11"/>
  <c r="B696" i="11"/>
  <c r="H695" i="11"/>
  <c r="F695" i="11"/>
  <c r="E695" i="11"/>
  <c r="D695" i="11"/>
  <c r="B695" i="11"/>
  <c r="H694" i="11"/>
  <c r="F694" i="11"/>
  <c r="E694" i="11"/>
  <c r="D694" i="11"/>
  <c r="B694" i="11"/>
  <c r="H693" i="11"/>
  <c r="F693" i="11"/>
  <c r="E693" i="11"/>
  <c r="D693" i="11"/>
  <c r="B693" i="11"/>
  <c r="H692" i="11"/>
  <c r="F692" i="11"/>
  <c r="E692" i="11"/>
  <c r="D692" i="11"/>
  <c r="B692" i="11"/>
  <c r="H691" i="11"/>
  <c r="F691" i="11"/>
  <c r="E691" i="11"/>
  <c r="D691" i="11"/>
  <c r="B691" i="11"/>
  <c r="H690" i="11"/>
  <c r="F690" i="11"/>
  <c r="E690" i="11"/>
  <c r="D690" i="11"/>
  <c r="B690" i="11"/>
  <c r="H689" i="11"/>
  <c r="F689" i="11"/>
  <c r="E689" i="11"/>
  <c r="D689" i="11"/>
  <c r="B689" i="11"/>
  <c r="H688" i="11"/>
  <c r="F688" i="11"/>
  <c r="E688" i="11"/>
  <c r="D688" i="11"/>
  <c r="B688" i="11"/>
  <c r="H687" i="11"/>
  <c r="F687" i="11"/>
  <c r="E687" i="11"/>
  <c r="D687" i="11"/>
  <c r="B687" i="11"/>
  <c r="H686" i="11"/>
  <c r="F686" i="11"/>
  <c r="E686" i="11"/>
  <c r="D686" i="11"/>
  <c r="B686" i="11"/>
  <c r="H685" i="11"/>
  <c r="F685" i="11"/>
  <c r="E685" i="11"/>
  <c r="D685" i="11"/>
  <c r="B685" i="11"/>
  <c r="H684" i="11"/>
  <c r="F684" i="11"/>
  <c r="E684" i="11"/>
  <c r="D684" i="11"/>
  <c r="B684" i="11"/>
  <c r="H683" i="11"/>
  <c r="F683" i="11"/>
  <c r="E683" i="11"/>
  <c r="D683" i="11"/>
  <c r="B683" i="11"/>
  <c r="H682" i="11"/>
  <c r="F682" i="11"/>
  <c r="E682" i="11"/>
  <c r="D682" i="11"/>
  <c r="B682" i="11"/>
  <c r="H681" i="11"/>
  <c r="F681" i="11"/>
  <c r="E681" i="11"/>
  <c r="D681" i="11"/>
  <c r="B681" i="11"/>
  <c r="H680" i="11"/>
  <c r="F680" i="11"/>
  <c r="E680" i="11"/>
  <c r="D680" i="11"/>
  <c r="B680" i="11"/>
  <c r="H679" i="11"/>
  <c r="F679" i="11"/>
  <c r="E679" i="11"/>
  <c r="D679" i="11"/>
  <c r="B679" i="11"/>
  <c r="H678" i="11"/>
  <c r="F678" i="11"/>
  <c r="E678" i="11"/>
  <c r="D678" i="11"/>
  <c r="B678" i="11"/>
  <c r="H677" i="11"/>
  <c r="F677" i="11"/>
  <c r="E677" i="11"/>
  <c r="D677" i="11"/>
  <c r="B677" i="11"/>
  <c r="H676" i="11"/>
  <c r="F676" i="11"/>
  <c r="E676" i="11"/>
  <c r="D676" i="11"/>
  <c r="B676" i="11"/>
  <c r="H675" i="11"/>
  <c r="F675" i="11"/>
  <c r="E675" i="11"/>
  <c r="D675" i="11"/>
  <c r="B675" i="11"/>
  <c r="H674" i="11"/>
  <c r="F674" i="11"/>
  <c r="E674" i="11"/>
  <c r="D674" i="11"/>
  <c r="B674" i="11"/>
  <c r="H673" i="11"/>
  <c r="F673" i="11"/>
  <c r="E673" i="11"/>
  <c r="D673" i="11"/>
  <c r="B673" i="11"/>
  <c r="H672" i="11"/>
  <c r="F672" i="11"/>
  <c r="E672" i="11"/>
  <c r="D672" i="11"/>
  <c r="B672" i="11"/>
  <c r="H671" i="11"/>
  <c r="F671" i="11"/>
  <c r="E671" i="11"/>
  <c r="D671" i="11"/>
  <c r="B671" i="11"/>
  <c r="H670" i="11"/>
  <c r="F670" i="11"/>
  <c r="E670" i="11"/>
  <c r="D670" i="11"/>
  <c r="B670" i="11"/>
  <c r="H669" i="11"/>
  <c r="F669" i="11"/>
  <c r="E669" i="11"/>
  <c r="D669" i="11"/>
  <c r="B669" i="11"/>
  <c r="H668" i="11"/>
  <c r="F668" i="11"/>
  <c r="E668" i="11"/>
  <c r="D668" i="11"/>
  <c r="B668" i="11"/>
  <c r="H665" i="11"/>
  <c r="F665" i="11"/>
  <c r="E665" i="11"/>
  <c r="D665" i="11"/>
  <c r="B665" i="11"/>
  <c r="H664" i="11"/>
  <c r="F664" i="11"/>
  <c r="E664" i="11"/>
  <c r="D664" i="11"/>
  <c r="B664" i="11"/>
  <c r="H663" i="11"/>
  <c r="F663" i="11"/>
  <c r="E663" i="11"/>
  <c r="D663" i="11"/>
  <c r="B663" i="11"/>
  <c r="H662" i="11"/>
  <c r="F662" i="11"/>
  <c r="E662" i="11"/>
  <c r="D662" i="11"/>
  <c r="B662" i="11"/>
  <c r="H661" i="11"/>
  <c r="F661" i="11"/>
  <c r="E661" i="11"/>
  <c r="D661" i="11"/>
  <c r="B661" i="11"/>
  <c r="H660" i="11"/>
  <c r="F660" i="11"/>
  <c r="E660" i="11"/>
  <c r="D660" i="11"/>
  <c r="B660" i="11"/>
  <c r="H659" i="11"/>
  <c r="F659" i="11"/>
  <c r="E659" i="11"/>
  <c r="D659" i="11"/>
  <c r="B659" i="11"/>
  <c r="H658" i="11"/>
  <c r="F658" i="11"/>
  <c r="E658" i="11"/>
  <c r="D658" i="11"/>
  <c r="B658" i="11"/>
  <c r="H657" i="11"/>
  <c r="F657" i="11"/>
  <c r="E657" i="11"/>
  <c r="D657" i="11"/>
  <c r="B657" i="11"/>
  <c r="H656" i="11"/>
  <c r="F656" i="11"/>
  <c r="E656" i="11"/>
  <c r="D656" i="11"/>
  <c r="B656" i="11"/>
  <c r="H655" i="11"/>
  <c r="F655" i="11"/>
  <c r="E655" i="11"/>
  <c r="D655" i="11"/>
  <c r="B655" i="11"/>
  <c r="H654" i="11"/>
  <c r="F654" i="11"/>
  <c r="E654" i="11"/>
  <c r="D654" i="11"/>
  <c r="B654" i="11"/>
  <c r="H653" i="11"/>
  <c r="F653" i="11"/>
  <c r="E653" i="11"/>
  <c r="D653" i="11"/>
  <c r="B653" i="11"/>
  <c r="H652" i="11"/>
  <c r="F652" i="11"/>
  <c r="E652" i="11"/>
  <c r="D652" i="11"/>
  <c r="B652" i="11"/>
  <c r="H651" i="11"/>
  <c r="F651" i="11"/>
  <c r="E651" i="11"/>
  <c r="D651" i="11"/>
  <c r="B651" i="11"/>
  <c r="H650" i="11"/>
  <c r="F650" i="11"/>
  <c r="E650" i="11"/>
  <c r="D650" i="11"/>
  <c r="B650" i="11"/>
  <c r="H649" i="11"/>
  <c r="F649" i="11"/>
  <c r="E649" i="11"/>
  <c r="D649" i="11"/>
  <c r="B649" i="11"/>
  <c r="H648" i="11"/>
  <c r="F648" i="11"/>
  <c r="E648" i="11"/>
  <c r="D648" i="11"/>
  <c r="B648" i="11"/>
  <c r="H647" i="11"/>
  <c r="F647" i="11"/>
  <c r="E647" i="11"/>
  <c r="D647" i="11"/>
  <c r="B647" i="11"/>
  <c r="H646" i="11"/>
  <c r="F646" i="11"/>
  <c r="E646" i="11"/>
  <c r="D646" i="11"/>
  <c r="B646" i="11"/>
  <c r="H645" i="11"/>
  <c r="F645" i="11"/>
  <c r="E645" i="11"/>
  <c r="D645" i="11"/>
  <c r="B645" i="11"/>
  <c r="H644" i="11"/>
  <c r="F644" i="11"/>
  <c r="E644" i="11"/>
  <c r="D644" i="11"/>
  <c r="B644" i="11"/>
  <c r="H643" i="11"/>
  <c r="F643" i="11"/>
  <c r="E643" i="11"/>
  <c r="D643" i="11"/>
  <c r="B643" i="11"/>
  <c r="H642" i="11"/>
  <c r="F642" i="11"/>
  <c r="E642" i="11"/>
  <c r="D642" i="11"/>
  <c r="B642" i="11"/>
  <c r="H641" i="11"/>
  <c r="F641" i="11"/>
  <c r="E641" i="11"/>
  <c r="D641" i="11"/>
  <c r="B641" i="11"/>
  <c r="H640" i="11"/>
  <c r="F640" i="11"/>
  <c r="E640" i="11"/>
  <c r="D640" i="11"/>
  <c r="B640" i="11"/>
  <c r="H639" i="11"/>
  <c r="F639" i="11"/>
  <c r="E639" i="11"/>
  <c r="D639" i="11"/>
  <c r="B639" i="11"/>
  <c r="H636" i="11"/>
  <c r="F636" i="11"/>
  <c r="E636" i="11"/>
  <c r="D636" i="11"/>
  <c r="B636" i="11"/>
  <c r="H635" i="11"/>
  <c r="F635" i="11"/>
  <c r="E635" i="11"/>
  <c r="D635" i="11"/>
  <c r="B635" i="11"/>
  <c r="H634" i="11"/>
  <c r="F634" i="11"/>
  <c r="E634" i="11"/>
  <c r="D634" i="11"/>
  <c r="B634" i="11"/>
  <c r="H633" i="11"/>
  <c r="F633" i="11"/>
  <c r="E633" i="11"/>
  <c r="D633" i="11"/>
  <c r="B633" i="11"/>
  <c r="H632" i="11"/>
  <c r="F632" i="11"/>
  <c r="E632" i="11"/>
  <c r="D632" i="11"/>
  <c r="B632" i="11"/>
  <c r="H631" i="11"/>
  <c r="F631" i="11"/>
  <c r="E631" i="11"/>
  <c r="D631" i="11"/>
  <c r="B631" i="11"/>
  <c r="H630" i="11"/>
  <c r="F630" i="11"/>
  <c r="E630" i="11"/>
  <c r="D630" i="11"/>
  <c r="B630" i="11"/>
  <c r="H629" i="11"/>
  <c r="F629" i="11"/>
  <c r="E629" i="11"/>
  <c r="D629" i="11"/>
  <c r="B629" i="11"/>
  <c r="H628" i="11"/>
  <c r="F628" i="11"/>
  <c r="E628" i="11"/>
  <c r="D628" i="11"/>
  <c r="B628" i="11"/>
  <c r="H627" i="11"/>
  <c r="F627" i="11"/>
  <c r="E627" i="11"/>
  <c r="D627" i="11"/>
  <c r="B627" i="11"/>
  <c r="H626" i="11"/>
  <c r="F626" i="11"/>
  <c r="E626" i="11"/>
  <c r="D626" i="11"/>
  <c r="B626" i="11"/>
  <c r="H625" i="11"/>
  <c r="F625" i="11"/>
  <c r="E625" i="11"/>
  <c r="D625" i="11"/>
  <c r="B625" i="11"/>
  <c r="H624" i="11"/>
  <c r="F624" i="11"/>
  <c r="E624" i="11"/>
  <c r="D624" i="11"/>
  <c r="B624" i="11"/>
  <c r="H623" i="11"/>
  <c r="F623" i="11"/>
  <c r="E623" i="11"/>
  <c r="D623" i="11"/>
  <c r="B623" i="11"/>
  <c r="H622" i="11"/>
  <c r="F622" i="11"/>
  <c r="E622" i="11"/>
  <c r="D622" i="11"/>
  <c r="B622" i="11"/>
  <c r="H621" i="11"/>
  <c r="F621" i="11"/>
  <c r="E621" i="11"/>
  <c r="D621" i="11"/>
  <c r="B621" i="11"/>
  <c r="H620" i="11"/>
  <c r="F620" i="11"/>
  <c r="E620" i="11"/>
  <c r="D620" i="11"/>
  <c r="B620" i="11"/>
  <c r="H619" i="11"/>
  <c r="F619" i="11"/>
  <c r="E619" i="11"/>
  <c r="D619" i="11"/>
  <c r="B619" i="11"/>
  <c r="H618" i="11"/>
  <c r="F618" i="11"/>
  <c r="E618" i="11"/>
  <c r="D618" i="11"/>
  <c r="B618" i="11"/>
  <c r="H617" i="11"/>
  <c r="F617" i="11"/>
  <c r="E617" i="11"/>
  <c r="D617" i="11"/>
  <c r="B617" i="11"/>
  <c r="H616" i="11"/>
  <c r="F616" i="11"/>
  <c r="E616" i="11"/>
  <c r="D616" i="11"/>
  <c r="B616" i="11"/>
  <c r="H615" i="11"/>
  <c r="F615" i="11"/>
  <c r="E615" i="11"/>
  <c r="D615" i="11"/>
  <c r="B615" i="11"/>
  <c r="H614" i="11"/>
  <c r="F614" i="11"/>
  <c r="E614" i="11"/>
  <c r="D614" i="11"/>
  <c r="B614" i="11"/>
  <c r="H613" i="11"/>
  <c r="F613" i="11"/>
  <c r="E613" i="11"/>
  <c r="D613" i="11"/>
  <c r="B613" i="11"/>
  <c r="H612" i="11"/>
  <c r="F612" i="11"/>
  <c r="E612" i="11"/>
  <c r="D612" i="11"/>
  <c r="B612" i="11"/>
  <c r="H611" i="11"/>
  <c r="F611" i="11"/>
  <c r="E611" i="11"/>
  <c r="D611" i="11"/>
  <c r="B611" i="11"/>
  <c r="H610" i="11"/>
  <c r="F610" i="11"/>
  <c r="E610" i="11"/>
  <c r="D610" i="11"/>
  <c r="B610" i="11"/>
  <c r="H609" i="11"/>
  <c r="F609" i="11"/>
  <c r="E609" i="11"/>
  <c r="D609" i="11"/>
  <c r="B609" i="11"/>
  <c r="H608" i="11"/>
  <c r="F608" i="11"/>
  <c r="E608" i="11"/>
  <c r="D608" i="11"/>
  <c r="B608" i="11"/>
  <c r="H607" i="11"/>
  <c r="F607" i="11"/>
  <c r="E607" i="11"/>
  <c r="D607" i="11"/>
  <c r="B607" i="11"/>
  <c r="H606" i="11"/>
  <c r="F606" i="11"/>
  <c r="E606" i="11"/>
  <c r="D606" i="11"/>
  <c r="B606" i="11"/>
  <c r="H605" i="11"/>
  <c r="F605" i="11"/>
  <c r="E605" i="11"/>
  <c r="D605" i="11"/>
  <c r="B605" i="11"/>
  <c r="H604" i="11"/>
  <c r="F604" i="11"/>
  <c r="E604" i="11"/>
  <c r="D604" i="11"/>
  <c r="B604" i="11"/>
  <c r="H603" i="11"/>
  <c r="F603" i="11"/>
  <c r="E603" i="11"/>
  <c r="D603" i="11"/>
  <c r="B603" i="11"/>
  <c r="H602" i="11"/>
  <c r="F602" i="11"/>
  <c r="E602" i="11"/>
  <c r="D602" i="11"/>
  <c r="B602" i="11"/>
  <c r="H601" i="11"/>
  <c r="F601" i="11"/>
  <c r="E601" i="11"/>
  <c r="D601" i="11"/>
  <c r="B601" i="11"/>
  <c r="H600" i="11"/>
  <c r="F600" i="11"/>
  <c r="E600" i="11"/>
  <c r="D600" i="11"/>
  <c r="B600" i="11"/>
  <c r="H599" i="11"/>
  <c r="F599" i="11"/>
  <c r="E599" i="11"/>
  <c r="D599" i="11"/>
  <c r="B599" i="11"/>
  <c r="H598" i="11"/>
  <c r="F598" i="11"/>
  <c r="E598" i="11"/>
  <c r="D598" i="11"/>
  <c r="B598" i="11"/>
  <c r="H597" i="11"/>
  <c r="F597" i="11"/>
  <c r="E597" i="11"/>
  <c r="D597" i="11"/>
  <c r="B597" i="11"/>
  <c r="H594" i="11"/>
  <c r="F594" i="11"/>
  <c r="E594" i="11"/>
  <c r="D594" i="11"/>
  <c r="B594" i="11"/>
  <c r="H593" i="11"/>
  <c r="F593" i="11"/>
  <c r="E593" i="11"/>
  <c r="D593" i="11"/>
  <c r="B593" i="11"/>
  <c r="H592" i="11"/>
  <c r="F592" i="11"/>
  <c r="E592" i="11"/>
  <c r="D592" i="11"/>
  <c r="B592" i="11"/>
  <c r="H591" i="11"/>
  <c r="F591" i="11"/>
  <c r="E591" i="11"/>
  <c r="D591" i="11"/>
  <c r="B591" i="11"/>
  <c r="H590" i="11"/>
  <c r="F590" i="11"/>
  <c r="E590" i="11"/>
  <c r="D590" i="11"/>
  <c r="B590" i="11"/>
  <c r="H589" i="11"/>
  <c r="F589" i="11"/>
  <c r="E589" i="11"/>
  <c r="D589" i="11"/>
  <c r="B589" i="11"/>
  <c r="H588" i="11"/>
  <c r="F588" i="11"/>
  <c r="E588" i="11"/>
  <c r="D588" i="11"/>
  <c r="B588" i="11"/>
  <c r="H587" i="11"/>
  <c r="F587" i="11"/>
  <c r="E587" i="11"/>
  <c r="D587" i="11"/>
  <c r="B587" i="11"/>
  <c r="H586" i="11"/>
  <c r="F586" i="11"/>
  <c r="E586" i="11"/>
  <c r="D586" i="11"/>
  <c r="B586" i="11"/>
  <c r="H585" i="11"/>
  <c r="F585" i="11"/>
  <c r="E585" i="11"/>
  <c r="D585" i="11"/>
  <c r="B585" i="11"/>
  <c r="H584" i="11"/>
  <c r="F584" i="11"/>
  <c r="E584" i="11"/>
  <c r="D584" i="11"/>
  <c r="B584" i="11"/>
  <c r="H583" i="11"/>
  <c r="F583" i="11"/>
  <c r="E583" i="11"/>
  <c r="D583" i="11"/>
  <c r="B583" i="11"/>
  <c r="H582" i="11"/>
  <c r="F582" i="11"/>
  <c r="E582" i="11"/>
  <c r="D582" i="11"/>
  <c r="B582" i="11"/>
  <c r="H581" i="11"/>
  <c r="F581" i="11"/>
  <c r="E581" i="11"/>
  <c r="D581" i="11"/>
  <c r="B581" i="11"/>
  <c r="H580" i="11"/>
  <c r="F580" i="11"/>
  <c r="E580" i="11"/>
  <c r="D580" i="11"/>
  <c r="B580" i="11"/>
  <c r="H579" i="11"/>
  <c r="F579" i="11"/>
  <c r="E579" i="11"/>
  <c r="D579" i="11"/>
  <c r="B579" i="11"/>
  <c r="H578" i="11"/>
  <c r="F578" i="11"/>
  <c r="E578" i="11"/>
  <c r="D578" i="11"/>
  <c r="B578" i="11"/>
  <c r="H577" i="11"/>
  <c r="F577" i="11"/>
  <c r="E577" i="11"/>
  <c r="D577" i="11"/>
  <c r="B577" i="11"/>
  <c r="H576" i="11"/>
  <c r="F576" i="11"/>
  <c r="E576" i="11"/>
  <c r="D576" i="11"/>
  <c r="B576" i="11"/>
  <c r="H575" i="11"/>
  <c r="F575" i="11"/>
  <c r="E575" i="11"/>
  <c r="D575" i="11"/>
  <c r="B575" i="11"/>
  <c r="H574" i="11"/>
  <c r="F574" i="11"/>
  <c r="E574" i="11"/>
  <c r="D574" i="11"/>
  <c r="B574" i="11"/>
  <c r="H573" i="11"/>
  <c r="F573" i="11"/>
  <c r="E573" i="11"/>
  <c r="D573" i="11"/>
  <c r="B573" i="11"/>
  <c r="H572" i="11"/>
  <c r="F572" i="11"/>
  <c r="E572" i="11"/>
  <c r="D572" i="11"/>
  <c r="B572" i="11"/>
  <c r="H571" i="11"/>
  <c r="F571" i="11"/>
  <c r="E571" i="11"/>
  <c r="D571" i="11"/>
  <c r="B571" i="11"/>
  <c r="H570" i="11"/>
  <c r="F570" i="11"/>
  <c r="E570" i="11"/>
  <c r="D570" i="11"/>
  <c r="B570" i="11"/>
  <c r="H569" i="11"/>
  <c r="F569" i="11"/>
  <c r="E569" i="11"/>
  <c r="D569" i="11"/>
  <c r="B569" i="11"/>
  <c r="H568" i="11"/>
  <c r="F568" i="11"/>
  <c r="E568" i="11"/>
  <c r="D568" i="11"/>
  <c r="B568" i="11"/>
  <c r="H567" i="11"/>
  <c r="F567" i="11"/>
  <c r="E567" i="11"/>
  <c r="D567" i="11"/>
  <c r="B567" i="11"/>
  <c r="H566" i="11"/>
  <c r="F566" i="11"/>
  <c r="E566" i="11"/>
  <c r="D566" i="11"/>
  <c r="B566" i="11"/>
  <c r="H565" i="11"/>
  <c r="F565" i="11"/>
  <c r="E565" i="11"/>
  <c r="D565" i="11"/>
  <c r="B565" i="11"/>
  <c r="H564" i="11"/>
  <c r="F564" i="11"/>
  <c r="E564" i="11"/>
  <c r="D564" i="11"/>
  <c r="B564" i="11"/>
  <c r="H563" i="11"/>
  <c r="F563" i="11"/>
  <c r="E563" i="11"/>
  <c r="D563" i="11"/>
  <c r="B563" i="11"/>
  <c r="H562" i="11"/>
  <c r="F562" i="11"/>
  <c r="E562" i="11"/>
  <c r="D562" i="11"/>
  <c r="B562" i="11"/>
  <c r="H559" i="11"/>
  <c r="F559" i="11"/>
  <c r="E559" i="11"/>
  <c r="D559" i="11"/>
  <c r="B559" i="11"/>
  <c r="H558" i="11"/>
  <c r="F558" i="11"/>
  <c r="E558" i="11"/>
  <c r="D558" i="11"/>
  <c r="B558" i="11"/>
  <c r="H557" i="11"/>
  <c r="F557" i="11"/>
  <c r="E557" i="11"/>
  <c r="D557" i="11"/>
  <c r="B557" i="11"/>
  <c r="H556" i="11"/>
  <c r="F556" i="11"/>
  <c r="E556" i="11"/>
  <c r="D556" i="11"/>
  <c r="B556" i="11"/>
  <c r="H555" i="11"/>
  <c r="F555" i="11"/>
  <c r="E555" i="11"/>
  <c r="D555" i="11"/>
  <c r="B555" i="11"/>
  <c r="H554" i="11"/>
  <c r="F554" i="11"/>
  <c r="E554" i="11"/>
  <c r="D554" i="11"/>
  <c r="B554" i="11"/>
  <c r="H553" i="11"/>
  <c r="F553" i="11"/>
  <c r="E553" i="11"/>
  <c r="D553" i="11"/>
  <c r="B553" i="11"/>
  <c r="H552" i="11"/>
  <c r="F552" i="11"/>
  <c r="E552" i="11"/>
  <c r="D552" i="11"/>
  <c r="B552" i="11"/>
  <c r="H551" i="11"/>
  <c r="F551" i="11"/>
  <c r="E551" i="11"/>
  <c r="D551" i="11"/>
  <c r="B551" i="11"/>
  <c r="H550" i="11"/>
  <c r="F550" i="11"/>
  <c r="E550" i="11"/>
  <c r="D550" i="11"/>
  <c r="B550" i="11"/>
  <c r="H549" i="11"/>
  <c r="F549" i="11"/>
  <c r="E549" i="11"/>
  <c r="D549" i="11"/>
  <c r="B549" i="11"/>
  <c r="H548" i="11"/>
  <c r="F548" i="11"/>
  <c r="E548" i="11"/>
  <c r="D548" i="11"/>
  <c r="B548" i="11"/>
  <c r="H547" i="11"/>
  <c r="F547" i="11"/>
  <c r="E547" i="11"/>
  <c r="D547" i="11"/>
  <c r="B547" i="11"/>
  <c r="H546" i="11"/>
  <c r="F546" i="11"/>
  <c r="E546" i="11"/>
  <c r="D546" i="11"/>
  <c r="B546" i="11"/>
  <c r="H545" i="11"/>
  <c r="F545" i="11"/>
  <c r="E545" i="11"/>
  <c r="D545" i="11"/>
  <c r="B545" i="11"/>
  <c r="H544" i="11"/>
  <c r="F544" i="11"/>
  <c r="E544" i="11"/>
  <c r="D544" i="11"/>
  <c r="B544" i="11"/>
  <c r="H543" i="11"/>
  <c r="F543" i="11"/>
  <c r="E543" i="11"/>
  <c r="D543" i="11"/>
  <c r="B543" i="11"/>
  <c r="H542" i="11"/>
  <c r="F542" i="11"/>
  <c r="E542" i="11"/>
  <c r="D542" i="11"/>
  <c r="B542" i="11"/>
  <c r="H541" i="11"/>
  <c r="F541" i="11"/>
  <c r="E541" i="11"/>
  <c r="D541" i="11"/>
  <c r="B541" i="11"/>
  <c r="H540" i="11"/>
  <c r="F540" i="11"/>
  <c r="E540" i="11"/>
  <c r="D540" i="11"/>
  <c r="B540" i="11"/>
  <c r="H539" i="11"/>
  <c r="F539" i="11"/>
  <c r="E539" i="11"/>
  <c r="D539" i="11"/>
  <c r="B539" i="11"/>
  <c r="H538" i="11"/>
  <c r="F538" i="11"/>
  <c r="E538" i="11"/>
  <c r="D538" i="11"/>
  <c r="B538" i="11"/>
  <c r="H537" i="11"/>
  <c r="F537" i="11"/>
  <c r="E537" i="11"/>
  <c r="D537" i="11"/>
  <c r="B537" i="11"/>
  <c r="H536" i="11"/>
  <c r="F536" i="11"/>
  <c r="E536" i="11"/>
  <c r="D536" i="11"/>
  <c r="B536" i="11"/>
  <c r="H535" i="11"/>
  <c r="F535" i="11"/>
  <c r="E535" i="11"/>
  <c r="D535" i="11"/>
  <c r="B535" i="11"/>
  <c r="H534" i="11"/>
  <c r="F534" i="11"/>
  <c r="E534" i="11"/>
  <c r="D534" i="11"/>
  <c r="B534" i="11"/>
  <c r="H533" i="11"/>
  <c r="F533" i="11"/>
  <c r="E533" i="11"/>
  <c r="D533" i="11"/>
  <c r="B533" i="11"/>
  <c r="H532" i="11"/>
  <c r="F532" i="11"/>
  <c r="E532" i="11"/>
  <c r="D532" i="11"/>
  <c r="B532" i="11"/>
  <c r="H531" i="11"/>
  <c r="F531" i="11"/>
  <c r="E531" i="11"/>
  <c r="D531" i="11"/>
  <c r="B531" i="11"/>
  <c r="H530" i="11"/>
  <c r="F530" i="11"/>
  <c r="E530" i="11"/>
  <c r="D530" i="11"/>
  <c r="B530" i="11"/>
  <c r="H529" i="11"/>
  <c r="F529" i="11"/>
  <c r="E529" i="11"/>
  <c r="D529" i="11"/>
  <c r="B529" i="11"/>
  <c r="H526" i="11"/>
  <c r="F526" i="11"/>
  <c r="E526" i="11"/>
  <c r="D526" i="11"/>
  <c r="B526" i="11"/>
  <c r="H525" i="11"/>
  <c r="F525" i="11"/>
  <c r="E525" i="11"/>
  <c r="D525" i="11"/>
  <c r="B525" i="11"/>
  <c r="H524" i="11"/>
  <c r="F524" i="11"/>
  <c r="E524" i="11"/>
  <c r="D524" i="11"/>
  <c r="B524" i="11"/>
  <c r="H523" i="11"/>
  <c r="F523" i="11"/>
  <c r="E523" i="11"/>
  <c r="D523" i="11"/>
  <c r="B523" i="11"/>
  <c r="H522" i="11"/>
  <c r="F522" i="11"/>
  <c r="E522" i="11"/>
  <c r="D522" i="11"/>
  <c r="B522" i="11"/>
  <c r="H521" i="11"/>
  <c r="F521" i="11"/>
  <c r="E521" i="11"/>
  <c r="D521" i="11"/>
  <c r="B521" i="11"/>
  <c r="H520" i="11"/>
  <c r="F520" i="11"/>
  <c r="E520" i="11"/>
  <c r="D520" i="11"/>
  <c r="B520" i="11"/>
  <c r="H519" i="11"/>
  <c r="F519" i="11"/>
  <c r="E519" i="11"/>
  <c r="D519" i="11"/>
  <c r="B519" i="11"/>
  <c r="H518" i="11"/>
  <c r="F518" i="11"/>
  <c r="E518" i="11"/>
  <c r="D518" i="11"/>
  <c r="B518" i="11"/>
  <c r="H517" i="11"/>
  <c r="F517" i="11"/>
  <c r="E517" i="11"/>
  <c r="D517" i="11"/>
  <c r="B517" i="11"/>
  <c r="H516" i="11"/>
  <c r="F516" i="11"/>
  <c r="E516" i="11"/>
  <c r="D516" i="11"/>
  <c r="B516" i="11"/>
  <c r="H515" i="11"/>
  <c r="F515" i="11"/>
  <c r="E515" i="11"/>
  <c r="D515" i="11"/>
  <c r="B515" i="11"/>
  <c r="H514" i="11"/>
  <c r="F514" i="11"/>
  <c r="E514" i="11"/>
  <c r="D514" i="11"/>
  <c r="B514" i="11"/>
  <c r="H513" i="11"/>
  <c r="F513" i="11"/>
  <c r="E513" i="11"/>
  <c r="D513" i="11"/>
  <c r="B513" i="11"/>
  <c r="H512" i="11"/>
  <c r="F512" i="11"/>
  <c r="E512" i="11"/>
  <c r="D512" i="11"/>
  <c r="B512" i="11"/>
  <c r="H511" i="11"/>
  <c r="F511" i="11"/>
  <c r="E511" i="11"/>
  <c r="D511" i="11"/>
  <c r="B511" i="11"/>
  <c r="H510" i="11"/>
  <c r="F510" i="11"/>
  <c r="E510" i="11"/>
  <c r="D510" i="11"/>
  <c r="B510" i="11"/>
  <c r="H509" i="11"/>
  <c r="F509" i="11"/>
  <c r="E509" i="11"/>
  <c r="D509" i="11"/>
  <c r="B509" i="11"/>
  <c r="H508" i="11"/>
  <c r="F508" i="11"/>
  <c r="E508" i="11"/>
  <c r="D508" i="11"/>
  <c r="B508" i="11"/>
  <c r="H507" i="11"/>
  <c r="F507" i="11"/>
  <c r="E507" i="11"/>
  <c r="D507" i="11"/>
  <c r="B507" i="11"/>
  <c r="H506" i="11"/>
  <c r="F506" i="11"/>
  <c r="E506" i="11"/>
  <c r="D506" i="11"/>
  <c r="B506" i="11"/>
  <c r="H505" i="11"/>
  <c r="F505" i="11"/>
  <c r="E505" i="11"/>
  <c r="D505" i="11"/>
  <c r="B505" i="11"/>
  <c r="H504" i="11"/>
  <c r="F504" i="11"/>
  <c r="E504" i="11"/>
  <c r="D504" i="11"/>
  <c r="B504" i="11"/>
  <c r="H503" i="11"/>
  <c r="F503" i="11"/>
  <c r="E503" i="11"/>
  <c r="D503" i="11"/>
  <c r="B503" i="11"/>
  <c r="H502" i="11"/>
  <c r="F502" i="11"/>
  <c r="E502" i="11"/>
  <c r="D502" i="11"/>
  <c r="B502" i="11"/>
  <c r="H501" i="11"/>
  <c r="F501" i="11"/>
  <c r="E501" i="11"/>
  <c r="D501" i="11"/>
  <c r="B501" i="11"/>
  <c r="H500" i="11"/>
  <c r="F500" i="11"/>
  <c r="E500" i="11"/>
  <c r="D500" i="11"/>
  <c r="B500" i="11"/>
  <c r="H499" i="11"/>
  <c r="F499" i="11"/>
  <c r="E499" i="11"/>
  <c r="D499" i="11"/>
  <c r="B499" i="11"/>
  <c r="H498" i="11"/>
  <c r="F498" i="11"/>
  <c r="E498" i="11"/>
  <c r="D498" i="11"/>
  <c r="B498" i="11"/>
  <c r="H497" i="11"/>
  <c r="F497" i="11"/>
  <c r="E497" i="11"/>
  <c r="D497" i="11"/>
  <c r="B497" i="11"/>
  <c r="H496" i="11"/>
  <c r="F496" i="11"/>
  <c r="E496" i="11"/>
  <c r="D496" i="11"/>
  <c r="B496" i="11"/>
  <c r="H495" i="11"/>
  <c r="F495" i="11"/>
  <c r="E495" i="11"/>
  <c r="D495" i="11"/>
  <c r="B495" i="11"/>
  <c r="H494" i="11"/>
  <c r="F494" i="11"/>
  <c r="E494" i="11"/>
  <c r="D494" i="11"/>
  <c r="B494" i="11"/>
  <c r="H493" i="11"/>
  <c r="F493" i="11"/>
  <c r="E493" i="11"/>
  <c r="D493" i="11"/>
  <c r="B493" i="11"/>
  <c r="H492" i="11"/>
  <c r="F492" i="11"/>
  <c r="E492" i="11"/>
  <c r="D492" i="11"/>
  <c r="B492" i="11"/>
  <c r="H491" i="11"/>
  <c r="F491" i="11"/>
  <c r="E491" i="11"/>
  <c r="D491" i="11"/>
  <c r="B491" i="11"/>
  <c r="H490" i="11"/>
  <c r="F490" i="11"/>
  <c r="E490" i="11"/>
  <c r="D490" i="11"/>
  <c r="B490" i="11"/>
  <c r="H489" i="11"/>
  <c r="F489" i="11"/>
  <c r="E489" i="11"/>
  <c r="D489" i="11"/>
  <c r="B489" i="11"/>
  <c r="H488" i="11"/>
  <c r="F488" i="11"/>
  <c r="E488" i="11"/>
  <c r="D488" i="11"/>
  <c r="B488" i="11"/>
  <c r="H487" i="11"/>
  <c r="F487" i="11"/>
  <c r="E487" i="11"/>
  <c r="D487" i="11"/>
  <c r="B487" i="11"/>
  <c r="H486" i="11"/>
  <c r="F486" i="11"/>
  <c r="E486" i="11"/>
  <c r="D486" i="11"/>
  <c r="B486" i="11"/>
  <c r="H485" i="11"/>
  <c r="F485" i="11"/>
  <c r="E485" i="11"/>
  <c r="D485" i="11"/>
  <c r="B485" i="11"/>
  <c r="H484" i="11"/>
  <c r="F484" i="11"/>
  <c r="E484" i="11"/>
  <c r="D484" i="11"/>
  <c r="B484" i="11"/>
  <c r="H483" i="11"/>
  <c r="F483" i="11"/>
  <c r="E483" i="11"/>
  <c r="D483" i="11"/>
  <c r="B483" i="11"/>
  <c r="H482" i="11"/>
  <c r="F482" i="11"/>
  <c r="E482" i="11"/>
  <c r="D482" i="11"/>
  <c r="B482" i="11"/>
  <c r="H481" i="11"/>
  <c r="F481" i="11"/>
  <c r="E481" i="11"/>
  <c r="D481" i="11"/>
  <c r="B481" i="11"/>
  <c r="H480" i="11"/>
  <c r="F480" i="11"/>
  <c r="E480" i="11"/>
  <c r="D480" i="11"/>
  <c r="B480" i="11"/>
  <c r="H479" i="11"/>
  <c r="F479" i="11"/>
  <c r="E479" i="11"/>
  <c r="D479" i="11"/>
  <c r="B479" i="11"/>
  <c r="H476" i="11"/>
  <c r="F476" i="11"/>
  <c r="E476" i="11"/>
  <c r="D476" i="11"/>
  <c r="B476" i="11"/>
  <c r="H475" i="11"/>
  <c r="F475" i="11"/>
  <c r="E475" i="11"/>
  <c r="D475" i="11"/>
  <c r="B475" i="11"/>
  <c r="H474" i="11"/>
  <c r="F474" i="11"/>
  <c r="E474" i="11"/>
  <c r="D474" i="11"/>
  <c r="B474" i="11"/>
  <c r="H473" i="11"/>
  <c r="F473" i="11"/>
  <c r="E473" i="11"/>
  <c r="D473" i="11"/>
  <c r="B473" i="11"/>
  <c r="H472" i="11"/>
  <c r="F472" i="11"/>
  <c r="E472" i="11"/>
  <c r="D472" i="11"/>
  <c r="B472" i="11"/>
  <c r="H471" i="11"/>
  <c r="F471" i="11"/>
  <c r="E471" i="11"/>
  <c r="D471" i="11"/>
  <c r="B471" i="11"/>
  <c r="H470" i="11"/>
  <c r="F470" i="11"/>
  <c r="E470" i="11"/>
  <c r="D470" i="11"/>
  <c r="B470" i="11"/>
  <c r="H469" i="11"/>
  <c r="F469" i="11"/>
  <c r="E469" i="11"/>
  <c r="D469" i="11"/>
  <c r="B469" i="11"/>
  <c r="H468" i="11"/>
  <c r="F468" i="11"/>
  <c r="E468" i="11"/>
  <c r="D468" i="11"/>
  <c r="B468" i="11"/>
  <c r="H467" i="11"/>
  <c r="F467" i="11"/>
  <c r="E467" i="11"/>
  <c r="D467" i="11"/>
  <c r="B467" i="11"/>
  <c r="H466" i="11"/>
  <c r="F466" i="11"/>
  <c r="E466" i="11"/>
  <c r="D466" i="11"/>
  <c r="B466" i="11"/>
  <c r="H465" i="11"/>
  <c r="F465" i="11"/>
  <c r="E465" i="11"/>
  <c r="D465" i="11"/>
  <c r="B465" i="11"/>
  <c r="H464" i="11"/>
  <c r="F464" i="11"/>
  <c r="E464" i="11"/>
  <c r="D464" i="11"/>
  <c r="B464" i="11"/>
  <c r="H463" i="11"/>
  <c r="F463" i="11"/>
  <c r="E463" i="11"/>
  <c r="D463" i="11"/>
  <c r="B463" i="11"/>
  <c r="H462" i="11"/>
  <c r="F462" i="11"/>
  <c r="E462" i="11"/>
  <c r="D462" i="11"/>
  <c r="B462" i="11"/>
  <c r="H461" i="11"/>
  <c r="F461" i="11"/>
  <c r="E461" i="11"/>
  <c r="D461" i="11"/>
  <c r="B461" i="11"/>
  <c r="H460" i="11"/>
  <c r="F460" i="11"/>
  <c r="E460" i="11"/>
  <c r="D460" i="11"/>
  <c r="B460" i="11"/>
  <c r="H459" i="11"/>
  <c r="F459" i="11"/>
  <c r="E459" i="11"/>
  <c r="D459" i="11"/>
  <c r="B459" i="11"/>
  <c r="H456" i="11"/>
  <c r="F456" i="11"/>
  <c r="E456" i="11"/>
  <c r="D456" i="11"/>
  <c r="B456" i="11"/>
  <c r="H455" i="11"/>
  <c r="F455" i="11"/>
  <c r="E455" i="11"/>
  <c r="D455" i="11"/>
  <c r="B455" i="11"/>
  <c r="H454" i="11"/>
  <c r="F454" i="11"/>
  <c r="E454" i="11"/>
  <c r="D454" i="11"/>
  <c r="B454" i="11"/>
  <c r="H453" i="11"/>
  <c r="F453" i="11"/>
  <c r="E453" i="11"/>
  <c r="D453" i="11"/>
  <c r="B453" i="11"/>
  <c r="H452" i="11"/>
  <c r="F452" i="11"/>
  <c r="E452" i="11"/>
  <c r="D452" i="11"/>
  <c r="B452" i="11"/>
  <c r="H451" i="11"/>
  <c r="F451" i="11"/>
  <c r="E451" i="11"/>
  <c r="D451" i="11"/>
  <c r="B451" i="11"/>
  <c r="H450" i="11"/>
  <c r="F450" i="11"/>
  <c r="E450" i="11"/>
  <c r="D450" i="11"/>
  <c r="B450" i="11"/>
  <c r="H449" i="11"/>
  <c r="F449" i="11"/>
  <c r="E449" i="11"/>
  <c r="D449" i="11"/>
  <c r="B449" i="11"/>
  <c r="H448" i="11"/>
  <c r="F448" i="11"/>
  <c r="E448" i="11"/>
  <c r="D448" i="11"/>
  <c r="B448" i="11"/>
  <c r="H447" i="11"/>
  <c r="F447" i="11"/>
  <c r="E447" i="11"/>
  <c r="D447" i="11"/>
  <c r="B447" i="11"/>
  <c r="H446" i="11"/>
  <c r="F446" i="11"/>
  <c r="E446" i="11"/>
  <c r="D446" i="11"/>
  <c r="B446" i="11"/>
  <c r="H445" i="11"/>
  <c r="F445" i="11"/>
  <c r="E445" i="11"/>
  <c r="D445" i="11"/>
  <c r="B445" i="11"/>
  <c r="H444" i="11"/>
  <c r="F444" i="11"/>
  <c r="E444" i="11"/>
  <c r="D444" i="11"/>
  <c r="B444" i="11"/>
  <c r="H443" i="11"/>
  <c r="F443" i="11"/>
  <c r="E443" i="11"/>
  <c r="D443" i="11"/>
  <c r="B443" i="11"/>
  <c r="H442" i="11"/>
  <c r="F442" i="11"/>
  <c r="E442" i="11"/>
  <c r="D442" i="11"/>
  <c r="B442" i="11"/>
  <c r="H441" i="11"/>
  <c r="F441" i="11"/>
  <c r="E441" i="11"/>
  <c r="D441" i="11"/>
  <c r="B441" i="11"/>
  <c r="H440" i="11"/>
  <c r="F440" i="11"/>
  <c r="E440" i="11"/>
  <c r="D440" i="11"/>
  <c r="B440" i="11"/>
  <c r="H439" i="11"/>
  <c r="F439" i="11"/>
  <c r="E439" i="11"/>
  <c r="D439" i="11"/>
  <c r="B439" i="11"/>
  <c r="H438" i="11"/>
  <c r="F438" i="11"/>
  <c r="E438" i="11"/>
  <c r="D438" i="11"/>
  <c r="B438" i="11"/>
  <c r="H437" i="11"/>
  <c r="F437" i="11"/>
  <c r="E437" i="11"/>
  <c r="D437" i="11"/>
  <c r="B437" i="11"/>
  <c r="H436" i="11"/>
  <c r="F436" i="11"/>
  <c r="E436" i="11"/>
  <c r="D436" i="11"/>
  <c r="B436" i="11"/>
  <c r="H435" i="11"/>
  <c r="F435" i="11"/>
  <c r="E435" i="11"/>
  <c r="D435" i="11"/>
  <c r="B435" i="11"/>
  <c r="H434" i="11"/>
  <c r="F434" i="11"/>
  <c r="E434" i="11"/>
  <c r="D434" i="11"/>
  <c r="B434" i="11"/>
  <c r="H433" i="11"/>
  <c r="F433" i="11"/>
  <c r="E433" i="11"/>
  <c r="D433" i="11"/>
  <c r="B433" i="11"/>
  <c r="H430" i="11"/>
  <c r="F430" i="11"/>
  <c r="E430" i="11"/>
  <c r="D430" i="11"/>
  <c r="B430" i="11"/>
  <c r="H429" i="11"/>
  <c r="F429" i="11"/>
  <c r="E429" i="11"/>
  <c r="D429" i="11"/>
  <c r="B429" i="11"/>
  <c r="H428" i="11"/>
  <c r="F428" i="11"/>
  <c r="E428" i="11"/>
  <c r="D428" i="11"/>
  <c r="B428" i="11"/>
  <c r="H427" i="11"/>
  <c r="F427" i="11"/>
  <c r="E427" i="11"/>
  <c r="D427" i="11"/>
  <c r="B427" i="11"/>
  <c r="H426" i="11"/>
  <c r="F426" i="11"/>
  <c r="E426" i="11"/>
  <c r="D426" i="11"/>
  <c r="B426" i="11"/>
  <c r="H425" i="11"/>
  <c r="F425" i="11"/>
  <c r="E425" i="11"/>
  <c r="D425" i="11"/>
  <c r="B425" i="11"/>
  <c r="H424" i="11"/>
  <c r="F424" i="11"/>
  <c r="E424" i="11"/>
  <c r="D424" i="11"/>
  <c r="B424" i="11"/>
  <c r="H423" i="11"/>
  <c r="F423" i="11"/>
  <c r="E423" i="11"/>
  <c r="D423" i="11"/>
  <c r="B423" i="11"/>
  <c r="H422" i="11"/>
  <c r="F422" i="11"/>
  <c r="E422" i="11"/>
  <c r="D422" i="11"/>
  <c r="B422" i="11"/>
  <c r="H421" i="11"/>
  <c r="F421" i="11"/>
  <c r="E421" i="11"/>
  <c r="D421" i="11"/>
  <c r="B421" i="11"/>
  <c r="H420" i="11"/>
  <c r="F420" i="11"/>
  <c r="E420" i="11"/>
  <c r="D420" i="11"/>
  <c r="B420" i="11"/>
  <c r="H419" i="11"/>
  <c r="F419" i="11"/>
  <c r="E419" i="11"/>
  <c r="D419" i="11"/>
  <c r="B419" i="11"/>
  <c r="H418" i="11"/>
  <c r="F418" i="11"/>
  <c r="E418" i="11"/>
  <c r="D418" i="11"/>
  <c r="B418" i="11"/>
  <c r="H417" i="11"/>
  <c r="F417" i="11"/>
  <c r="E417" i="11"/>
  <c r="D417" i="11"/>
  <c r="B417" i="11"/>
  <c r="H416" i="11"/>
  <c r="F416" i="11"/>
  <c r="E416" i="11"/>
  <c r="D416" i="11"/>
  <c r="B416" i="11"/>
  <c r="H415" i="11"/>
  <c r="F415" i="11"/>
  <c r="E415" i="11"/>
  <c r="D415" i="11"/>
  <c r="B415" i="11"/>
  <c r="H414" i="11"/>
  <c r="F414" i="11"/>
  <c r="E414" i="11"/>
  <c r="D414" i="11"/>
  <c r="B414" i="11"/>
  <c r="H413" i="11"/>
  <c r="F413" i="11"/>
  <c r="E413" i="11"/>
  <c r="D413" i="11"/>
  <c r="B413" i="11"/>
  <c r="H412" i="11"/>
  <c r="F412" i="11"/>
  <c r="E412" i="11"/>
  <c r="D412" i="11"/>
  <c r="B412" i="11"/>
  <c r="H411" i="11"/>
  <c r="F411" i="11"/>
  <c r="E411" i="11"/>
  <c r="D411" i="11"/>
  <c r="B411" i="11"/>
  <c r="H410" i="11"/>
  <c r="F410" i="11"/>
  <c r="E410" i="11"/>
  <c r="D410" i="11"/>
  <c r="B410" i="11"/>
  <c r="H407" i="11"/>
  <c r="F407" i="11"/>
  <c r="E407" i="11"/>
  <c r="D407" i="11"/>
  <c r="B407" i="11"/>
  <c r="H406" i="11"/>
  <c r="F406" i="11"/>
  <c r="E406" i="11"/>
  <c r="D406" i="11"/>
  <c r="B406" i="11"/>
  <c r="H405" i="11"/>
  <c r="F405" i="11"/>
  <c r="E405" i="11"/>
  <c r="D405" i="11"/>
  <c r="B405" i="11"/>
  <c r="H404" i="11"/>
  <c r="F404" i="11"/>
  <c r="E404" i="11"/>
  <c r="D404" i="11"/>
  <c r="B404" i="11"/>
  <c r="H403" i="11"/>
  <c r="F403" i="11"/>
  <c r="E403" i="11"/>
  <c r="D403" i="11"/>
  <c r="B403" i="11"/>
  <c r="H402" i="11"/>
  <c r="F402" i="11"/>
  <c r="E402" i="11"/>
  <c r="D402" i="11"/>
  <c r="B402" i="11"/>
  <c r="H401" i="11"/>
  <c r="F401" i="11"/>
  <c r="E401" i="11"/>
  <c r="D401" i="11"/>
  <c r="B401" i="11"/>
  <c r="H400" i="11"/>
  <c r="F400" i="11"/>
  <c r="E400" i="11"/>
  <c r="D400" i="11"/>
  <c r="B400" i="11"/>
  <c r="H399" i="11"/>
  <c r="F399" i="11"/>
  <c r="E399" i="11"/>
  <c r="D399" i="11"/>
  <c r="B399" i="11"/>
  <c r="H398" i="11"/>
  <c r="F398" i="11"/>
  <c r="E398" i="11"/>
  <c r="D398" i="11"/>
  <c r="B398" i="11"/>
  <c r="H397" i="11"/>
  <c r="F397" i="11"/>
  <c r="E397" i="11"/>
  <c r="D397" i="11"/>
  <c r="B397" i="11"/>
  <c r="H396" i="11"/>
  <c r="F396" i="11"/>
  <c r="E396" i="11"/>
  <c r="D396" i="11"/>
  <c r="B396" i="11"/>
  <c r="H395" i="11"/>
  <c r="F395" i="11"/>
  <c r="E395" i="11"/>
  <c r="D395" i="11"/>
  <c r="B395" i="11"/>
  <c r="H394" i="11"/>
  <c r="F394" i="11"/>
  <c r="E394" i="11"/>
  <c r="D394" i="11"/>
  <c r="B394" i="11"/>
  <c r="H393" i="11"/>
  <c r="F393" i="11"/>
  <c r="E393" i="11"/>
  <c r="D393" i="11"/>
  <c r="B393" i="11"/>
  <c r="H392" i="11"/>
  <c r="F392" i="11"/>
  <c r="E392" i="11"/>
  <c r="D392" i="11"/>
  <c r="B392" i="11"/>
  <c r="H389" i="11"/>
  <c r="F389" i="11"/>
  <c r="E389" i="11"/>
  <c r="D389" i="11"/>
  <c r="B389" i="11"/>
  <c r="H388" i="11"/>
  <c r="F388" i="11"/>
  <c r="E388" i="11"/>
  <c r="D388" i="11"/>
  <c r="B388" i="11"/>
  <c r="H387" i="11"/>
  <c r="F387" i="11"/>
  <c r="E387" i="11"/>
  <c r="D387" i="11"/>
  <c r="B387" i="11"/>
  <c r="H386" i="11"/>
  <c r="F386" i="11"/>
  <c r="E386" i="11"/>
  <c r="D386" i="11"/>
  <c r="B386" i="11"/>
  <c r="H385" i="11"/>
  <c r="F385" i="11"/>
  <c r="E385" i="11"/>
  <c r="D385" i="11"/>
  <c r="B385" i="11"/>
  <c r="H384" i="11"/>
  <c r="F384" i="11"/>
  <c r="E384" i="11"/>
  <c r="D384" i="11"/>
  <c r="B384" i="11"/>
  <c r="H383" i="11"/>
  <c r="F383" i="11"/>
  <c r="E383" i="11"/>
  <c r="D383" i="11"/>
  <c r="B383" i="11"/>
  <c r="H382" i="11"/>
  <c r="F382" i="11"/>
  <c r="E382" i="11"/>
  <c r="D382" i="11"/>
  <c r="B382" i="11"/>
  <c r="H381" i="11"/>
  <c r="F381" i="11"/>
  <c r="E381" i="11"/>
  <c r="D381" i="11"/>
  <c r="B381" i="11"/>
  <c r="H380" i="11"/>
  <c r="F380" i="11"/>
  <c r="E380" i="11"/>
  <c r="D380" i="11"/>
  <c r="B380" i="11"/>
  <c r="H379" i="11"/>
  <c r="F379" i="11"/>
  <c r="E379" i="11"/>
  <c r="D379" i="11"/>
  <c r="B379" i="11"/>
  <c r="H378" i="11"/>
  <c r="F378" i="11"/>
  <c r="E378" i="11"/>
  <c r="D378" i="11"/>
  <c r="B378" i="11"/>
  <c r="H377" i="11"/>
  <c r="F377" i="11"/>
  <c r="E377" i="11"/>
  <c r="D377" i="11"/>
  <c r="B377" i="11"/>
  <c r="H376" i="11"/>
  <c r="F376" i="11"/>
  <c r="E376" i="11"/>
  <c r="D376" i="11"/>
  <c r="B376" i="11"/>
  <c r="H375" i="11"/>
  <c r="F375" i="11"/>
  <c r="E375" i="11"/>
  <c r="D375" i="11"/>
  <c r="B375" i="11"/>
  <c r="H374" i="11"/>
  <c r="F374" i="11"/>
  <c r="E374" i="11"/>
  <c r="D374" i="11"/>
  <c r="B374" i="11"/>
  <c r="H373" i="11"/>
  <c r="F373" i="11"/>
  <c r="E373" i="11"/>
  <c r="D373" i="11"/>
  <c r="B373" i="11"/>
  <c r="H370" i="11"/>
  <c r="F370" i="11"/>
  <c r="E370" i="11"/>
  <c r="D370" i="11"/>
  <c r="B370" i="11"/>
  <c r="H369" i="11"/>
  <c r="F369" i="11"/>
  <c r="E369" i="11"/>
  <c r="D369" i="11"/>
  <c r="B369" i="11"/>
  <c r="H368" i="11"/>
  <c r="F368" i="11"/>
  <c r="E368" i="11"/>
  <c r="D368" i="11"/>
  <c r="B368" i="11"/>
  <c r="H367" i="11"/>
  <c r="F367" i="11"/>
  <c r="E367" i="11"/>
  <c r="D367" i="11"/>
  <c r="B367" i="11"/>
  <c r="H366" i="11"/>
  <c r="F366" i="11"/>
  <c r="E366" i="11"/>
  <c r="D366" i="11"/>
  <c r="B366" i="11"/>
  <c r="H365" i="11"/>
  <c r="F365" i="11"/>
  <c r="E365" i="11"/>
  <c r="D365" i="11"/>
  <c r="B365" i="11"/>
  <c r="H364" i="11"/>
  <c r="F364" i="11"/>
  <c r="E364" i="11"/>
  <c r="D364" i="11"/>
  <c r="B364" i="11"/>
  <c r="H363" i="11"/>
  <c r="F363" i="11"/>
  <c r="E363" i="11"/>
  <c r="D363" i="11"/>
  <c r="B363" i="11"/>
  <c r="H362" i="11"/>
  <c r="F362" i="11"/>
  <c r="E362" i="11"/>
  <c r="D362" i="11"/>
  <c r="B362" i="11"/>
  <c r="H361" i="11"/>
  <c r="F361" i="11"/>
  <c r="E361" i="11"/>
  <c r="D361" i="11"/>
  <c r="B361" i="11"/>
  <c r="H360" i="11"/>
  <c r="F360" i="11"/>
  <c r="E360" i="11"/>
  <c r="D360" i="11"/>
  <c r="B360" i="11"/>
  <c r="H359" i="11"/>
  <c r="F359" i="11"/>
  <c r="E359" i="11"/>
  <c r="D359" i="11"/>
  <c r="B359" i="11"/>
  <c r="H358" i="11"/>
  <c r="F358" i="11"/>
  <c r="E358" i="11"/>
  <c r="D358" i="11"/>
  <c r="B358" i="11"/>
  <c r="H357" i="11"/>
  <c r="F357" i="11"/>
  <c r="E357" i="11"/>
  <c r="D357" i="11"/>
  <c r="B357" i="11"/>
  <c r="H356" i="11"/>
  <c r="F356" i="11"/>
  <c r="E356" i="11"/>
  <c r="D356" i="11"/>
  <c r="B356" i="11"/>
  <c r="H355" i="11"/>
  <c r="F355" i="11"/>
  <c r="E355" i="11"/>
  <c r="D355" i="11"/>
  <c r="B355" i="11"/>
  <c r="H354" i="11"/>
  <c r="F354" i="11"/>
  <c r="E354" i="11"/>
  <c r="D354" i="11"/>
  <c r="B354" i="11"/>
  <c r="H353" i="11"/>
  <c r="F353" i="11"/>
  <c r="E353" i="11"/>
  <c r="D353" i="11"/>
  <c r="B353" i="11"/>
  <c r="H352" i="11"/>
  <c r="F352" i="11"/>
  <c r="E352" i="11"/>
  <c r="D352" i="11"/>
  <c r="B352" i="11"/>
  <c r="H351" i="11"/>
  <c r="F351" i="11"/>
  <c r="E351" i="11"/>
  <c r="D351" i="11"/>
  <c r="B351" i="11"/>
  <c r="H350" i="11"/>
  <c r="F350" i="11"/>
  <c r="E350" i="11"/>
  <c r="D350" i="11"/>
  <c r="B350" i="11"/>
  <c r="H349" i="11"/>
  <c r="F349" i="11"/>
  <c r="E349" i="11"/>
  <c r="D349" i="11"/>
  <c r="B349" i="11"/>
  <c r="H348" i="11"/>
  <c r="F348" i="11"/>
  <c r="E348" i="11"/>
  <c r="D348" i="11"/>
  <c r="B348" i="11"/>
  <c r="H347" i="11"/>
  <c r="F347" i="11"/>
  <c r="E347" i="11"/>
  <c r="D347" i="11"/>
  <c r="B347" i="11"/>
  <c r="H346" i="11"/>
  <c r="F346" i="11"/>
  <c r="E346" i="11"/>
  <c r="D346" i="11"/>
  <c r="B346" i="11"/>
  <c r="H345" i="11"/>
  <c r="F345" i="11"/>
  <c r="E345" i="11"/>
  <c r="D345" i="11"/>
  <c r="B345" i="11"/>
  <c r="H344" i="11"/>
  <c r="F344" i="11"/>
  <c r="E344" i="11"/>
  <c r="D344" i="11"/>
  <c r="B344" i="11"/>
  <c r="H343" i="11"/>
  <c r="F343" i="11"/>
  <c r="E343" i="11"/>
  <c r="D343" i="11"/>
  <c r="B343" i="11"/>
  <c r="AL340" i="11"/>
  <c r="V340" i="11"/>
  <c r="U340" i="11"/>
  <c r="T340" i="11"/>
  <c r="S340" i="11"/>
  <c r="R340" i="11"/>
  <c r="P340" i="11"/>
  <c r="O340" i="11"/>
  <c r="N340" i="11"/>
  <c r="H340" i="11"/>
  <c r="F340" i="11"/>
  <c r="E340" i="11"/>
  <c r="D340" i="11"/>
  <c r="B340" i="11"/>
  <c r="AL339" i="11"/>
  <c r="V339" i="11"/>
  <c r="U339" i="11"/>
  <c r="T339" i="11"/>
  <c r="S339" i="11"/>
  <c r="R339" i="11"/>
  <c r="P339" i="11"/>
  <c r="O339" i="11"/>
  <c r="N339" i="11"/>
  <c r="H339" i="11"/>
  <c r="F339" i="11"/>
  <c r="E339" i="11"/>
  <c r="D339" i="11"/>
  <c r="B339" i="11"/>
  <c r="AL338" i="11"/>
  <c r="V338" i="11"/>
  <c r="U338" i="11"/>
  <c r="T338" i="11"/>
  <c r="S338" i="11"/>
  <c r="R338" i="11"/>
  <c r="P338" i="11"/>
  <c r="O338" i="11"/>
  <c r="N338" i="11"/>
  <c r="H338" i="11"/>
  <c r="F338" i="11"/>
  <c r="E338" i="11"/>
  <c r="D338" i="11"/>
  <c r="B338" i="11"/>
  <c r="AL337" i="11"/>
  <c r="V337" i="11"/>
  <c r="U337" i="11"/>
  <c r="T337" i="11"/>
  <c r="S337" i="11"/>
  <c r="R337" i="11"/>
  <c r="P337" i="11"/>
  <c r="O337" i="11"/>
  <c r="N337" i="11"/>
  <c r="H337" i="11"/>
  <c r="F337" i="11"/>
  <c r="E337" i="11"/>
  <c r="D337" i="11"/>
  <c r="B337" i="11"/>
  <c r="AL336" i="11"/>
  <c r="V336" i="11"/>
  <c r="U336" i="11"/>
  <c r="T336" i="11"/>
  <c r="S336" i="11"/>
  <c r="R336" i="11"/>
  <c r="P336" i="11"/>
  <c r="O336" i="11"/>
  <c r="N336" i="11"/>
  <c r="H336" i="11"/>
  <c r="F336" i="11"/>
  <c r="E336" i="11"/>
  <c r="D336" i="11"/>
  <c r="B336" i="11"/>
  <c r="AL335" i="11"/>
  <c r="V335" i="11"/>
  <c r="U335" i="11"/>
  <c r="T335" i="11"/>
  <c r="S335" i="11"/>
  <c r="R335" i="11"/>
  <c r="P335" i="11"/>
  <c r="O335" i="11"/>
  <c r="N335" i="11"/>
  <c r="H335" i="11"/>
  <c r="F335" i="11"/>
  <c r="E335" i="11"/>
  <c r="D335" i="11"/>
  <c r="B335" i="11"/>
  <c r="AL334" i="11"/>
  <c r="V334" i="11"/>
  <c r="U334" i="11"/>
  <c r="T334" i="11"/>
  <c r="S334" i="11"/>
  <c r="R334" i="11"/>
  <c r="P334" i="11"/>
  <c r="O334" i="11"/>
  <c r="N334" i="11"/>
  <c r="H334" i="11"/>
  <c r="F334" i="11"/>
  <c r="E334" i="11"/>
  <c r="D334" i="11"/>
  <c r="B334" i="11"/>
  <c r="AL333" i="11"/>
  <c r="V333" i="11"/>
  <c r="U333" i="11"/>
  <c r="T333" i="11"/>
  <c r="S333" i="11"/>
  <c r="R333" i="11"/>
  <c r="P333" i="11"/>
  <c r="O333" i="11"/>
  <c r="N333" i="11"/>
  <c r="H333" i="11"/>
  <c r="F333" i="11"/>
  <c r="E333" i="11"/>
  <c r="D333" i="11"/>
  <c r="B333" i="11"/>
  <c r="AL332" i="11"/>
  <c r="V332" i="11"/>
  <c r="U332" i="11"/>
  <c r="T332" i="11"/>
  <c r="S332" i="11"/>
  <c r="R332" i="11"/>
  <c r="P332" i="11"/>
  <c r="O332" i="11"/>
  <c r="N332" i="11"/>
  <c r="H332" i="11"/>
  <c r="F332" i="11"/>
  <c r="E332" i="11"/>
  <c r="D332" i="11"/>
  <c r="B332" i="11"/>
  <c r="AL331" i="11"/>
  <c r="V331" i="11"/>
  <c r="U331" i="11"/>
  <c r="T331" i="11"/>
  <c r="S331" i="11"/>
  <c r="R331" i="11"/>
  <c r="P331" i="11"/>
  <c r="O331" i="11"/>
  <c r="N331" i="11"/>
  <c r="H331" i="11"/>
  <c r="F331" i="11"/>
  <c r="E331" i="11"/>
  <c r="D331" i="11"/>
  <c r="B331" i="11"/>
  <c r="AL330" i="11"/>
  <c r="V330" i="11"/>
  <c r="U330" i="11"/>
  <c r="T330" i="11"/>
  <c r="S330" i="11"/>
  <c r="R330" i="11"/>
  <c r="P330" i="11"/>
  <c r="O330" i="11"/>
  <c r="N330" i="11"/>
  <c r="H330" i="11"/>
  <c r="F330" i="11"/>
  <c r="E330" i="11"/>
  <c r="D330" i="11"/>
  <c r="B330" i="11"/>
  <c r="AL329" i="11"/>
  <c r="V329" i="11"/>
  <c r="U329" i="11"/>
  <c r="T329" i="11"/>
  <c r="S329" i="11"/>
  <c r="R329" i="11"/>
  <c r="P329" i="11"/>
  <c r="O329" i="11"/>
  <c r="N329" i="11"/>
  <c r="H329" i="11"/>
  <c r="F329" i="11"/>
  <c r="E329" i="11"/>
  <c r="D329" i="11"/>
  <c r="B329" i="11"/>
  <c r="AL328" i="11"/>
  <c r="V328" i="11"/>
  <c r="U328" i="11"/>
  <c r="T328" i="11"/>
  <c r="S328" i="11"/>
  <c r="R328" i="11"/>
  <c r="P328" i="11"/>
  <c r="O328" i="11"/>
  <c r="N328" i="11"/>
  <c r="H328" i="11"/>
  <c r="F328" i="11"/>
  <c r="E328" i="11"/>
  <c r="D328" i="11"/>
  <c r="B328" i="11"/>
  <c r="AL327" i="11"/>
  <c r="V327" i="11"/>
  <c r="U327" i="11"/>
  <c r="T327" i="11"/>
  <c r="S327" i="11"/>
  <c r="R327" i="11"/>
  <c r="P327" i="11"/>
  <c r="O327" i="11"/>
  <c r="N327" i="11"/>
  <c r="H327" i="11"/>
  <c r="F327" i="11"/>
  <c r="E327" i="11"/>
  <c r="D327" i="11"/>
  <c r="B327" i="11"/>
  <c r="AL326" i="11"/>
  <c r="V326" i="11"/>
  <c r="U326" i="11"/>
  <c r="T326" i="11"/>
  <c r="S326" i="11"/>
  <c r="R326" i="11"/>
  <c r="P326" i="11"/>
  <c r="O326" i="11"/>
  <c r="N326" i="11"/>
  <c r="H326" i="11"/>
  <c r="F326" i="11"/>
  <c r="E326" i="11"/>
  <c r="D326" i="11"/>
  <c r="B326" i="11"/>
  <c r="AL325" i="11"/>
  <c r="V325" i="11"/>
  <c r="U325" i="11"/>
  <c r="T325" i="11"/>
  <c r="S325" i="11"/>
  <c r="R325" i="11"/>
  <c r="P325" i="11"/>
  <c r="O325" i="11"/>
  <c r="N325" i="11"/>
  <c r="H325" i="11"/>
  <c r="F325" i="11"/>
  <c r="E325" i="11"/>
  <c r="D325" i="11"/>
  <c r="B325" i="11"/>
  <c r="AL324" i="11"/>
  <c r="V324" i="11"/>
  <c r="U324" i="11"/>
  <c r="T324" i="11"/>
  <c r="S324" i="11"/>
  <c r="R324" i="11"/>
  <c r="P324" i="11"/>
  <c r="O324" i="11"/>
  <c r="N324" i="11"/>
  <c r="H324" i="11"/>
  <c r="F324" i="11"/>
  <c r="E324" i="11"/>
  <c r="D324" i="11"/>
  <c r="B324" i="11"/>
  <c r="AL323" i="11"/>
  <c r="V323" i="11"/>
  <c r="U323" i="11"/>
  <c r="T323" i="11"/>
  <c r="S323" i="11"/>
  <c r="R323" i="11"/>
  <c r="P323" i="11"/>
  <c r="O323" i="11"/>
  <c r="N323" i="11"/>
  <c r="H323" i="11"/>
  <c r="F323" i="11"/>
  <c r="E323" i="11"/>
  <c r="D323" i="11"/>
  <c r="B323" i="11"/>
  <c r="AL322" i="11"/>
  <c r="V322" i="11"/>
  <c r="U322" i="11"/>
  <c r="T322" i="11"/>
  <c r="S322" i="11"/>
  <c r="R322" i="11"/>
  <c r="P322" i="11"/>
  <c r="O322" i="11"/>
  <c r="N322" i="11"/>
  <c r="H322" i="11"/>
  <c r="F322" i="11"/>
  <c r="E322" i="11"/>
  <c r="D322" i="11"/>
  <c r="B322" i="11"/>
  <c r="AL321" i="11"/>
  <c r="V321" i="11"/>
  <c r="U321" i="11"/>
  <c r="T321" i="11"/>
  <c r="S321" i="11"/>
  <c r="R321" i="11"/>
  <c r="P321" i="11"/>
  <c r="O321" i="11"/>
  <c r="N321" i="11"/>
  <c r="H321" i="11"/>
  <c r="F321" i="11"/>
  <c r="E321" i="11"/>
  <c r="D321" i="11"/>
  <c r="B321" i="11"/>
  <c r="AL320" i="11"/>
  <c r="V320" i="11"/>
  <c r="U320" i="11"/>
  <c r="T320" i="11"/>
  <c r="S320" i="11"/>
  <c r="R320" i="11"/>
  <c r="P320" i="11"/>
  <c r="O320" i="11"/>
  <c r="N320" i="11"/>
  <c r="H320" i="11"/>
  <c r="F320" i="11"/>
  <c r="E320" i="11"/>
  <c r="D320" i="11"/>
  <c r="B320" i="11"/>
  <c r="AL319" i="11"/>
  <c r="V319" i="11"/>
  <c r="U319" i="11"/>
  <c r="T319" i="11"/>
  <c r="S319" i="11"/>
  <c r="R319" i="11"/>
  <c r="P319" i="11"/>
  <c r="O319" i="11"/>
  <c r="N319" i="11"/>
  <c r="H319" i="11"/>
  <c r="F319" i="11"/>
  <c r="E319" i="11"/>
  <c r="D319" i="11"/>
  <c r="B319" i="11"/>
  <c r="AL318" i="11"/>
  <c r="V318" i="11"/>
  <c r="U318" i="11"/>
  <c r="T318" i="11"/>
  <c r="S318" i="11"/>
  <c r="R318" i="11"/>
  <c r="P318" i="11"/>
  <c r="O318" i="11"/>
  <c r="N318" i="11"/>
  <c r="H318" i="11"/>
  <c r="F318" i="11"/>
  <c r="E318" i="11"/>
  <c r="D318" i="11"/>
  <c r="B318" i="11"/>
  <c r="AL317" i="11"/>
  <c r="V317" i="11"/>
  <c r="U317" i="11"/>
  <c r="T317" i="11"/>
  <c r="S317" i="11"/>
  <c r="R317" i="11"/>
  <c r="P317" i="11"/>
  <c r="O317" i="11"/>
  <c r="N317" i="11"/>
  <c r="H317" i="11"/>
  <c r="F317" i="11"/>
  <c r="E317" i="11"/>
  <c r="D317" i="11"/>
  <c r="B317" i="11"/>
  <c r="AL316" i="11"/>
  <c r="V316" i="11"/>
  <c r="U316" i="11"/>
  <c r="T316" i="11"/>
  <c r="S316" i="11"/>
  <c r="R316" i="11"/>
  <c r="P316" i="11"/>
  <c r="O316" i="11"/>
  <c r="N316" i="11"/>
  <c r="H316" i="11"/>
  <c r="F316" i="11"/>
  <c r="E316" i="11"/>
  <c r="D316" i="11"/>
  <c r="B316" i="11"/>
  <c r="AL315" i="11"/>
  <c r="V315" i="11"/>
  <c r="U315" i="11"/>
  <c r="T315" i="11"/>
  <c r="S315" i="11"/>
  <c r="R315" i="11"/>
  <c r="P315" i="11"/>
  <c r="O315" i="11"/>
  <c r="N315" i="11"/>
  <c r="H315" i="11"/>
  <c r="F315" i="11"/>
  <c r="E315" i="11"/>
  <c r="D315" i="11"/>
  <c r="B315" i="11"/>
  <c r="AL314" i="11"/>
  <c r="V314" i="11"/>
  <c r="U314" i="11"/>
  <c r="T314" i="11"/>
  <c r="S314" i="11"/>
  <c r="R314" i="11"/>
  <c r="P314" i="11"/>
  <c r="O314" i="11"/>
  <c r="N314" i="11"/>
  <c r="H314" i="11"/>
  <c r="F314" i="11"/>
  <c r="E314" i="11"/>
  <c r="D314" i="11"/>
  <c r="B314" i="11"/>
  <c r="AL313" i="11"/>
  <c r="V313" i="11"/>
  <c r="U313" i="11"/>
  <c r="T313" i="11"/>
  <c r="S313" i="11"/>
  <c r="R313" i="11"/>
  <c r="P313" i="11"/>
  <c r="O313" i="11"/>
  <c r="N313" i="11"/>
  <c r="H313" i="11"/>
  <c r="F313" i="11"/>
  <c r="E313" i="11"/>
  <c r="D313" i="11"/>
  <c r="B313" i="11"/>
  <c r="AL312" i="11"/>
  <c r="V312" i="11"/>
  <c r="U312" i="11"/>
  <c r="T312" i="11"/>
  <c r="S312" i="11"/>
  <c r="R312" i="11"/>
  <c r="P312" i="11"/>
  <c r="O312" i="11"/>
  <c r="N312" i="11"/>
  <c r="H312" i="11"/>
  <c r="F312" i="11"/>
  <c r="E312" i="11"/>
  <c r="D312" i="11"/>
  <c r="B312" i="11"/>
  <c r="AL311" i="11"/>
  <c r="V311" i="11"/>
  <c r="U311" i="11"/>
  <c r="T311" i="11"/>
  <c r="S311" i="11"/>
  <c r="R311" i="11"/>
  <c r="P311" i="11"/>
  <c r="O311" i="11"/>
  <c r="N311" i="11"/>
  <c r="H311" i="11"/>
  <c r="F311" i="11"/>
  <c r="E311" i="11"/>
  <c r="D311" i="11"/>
  <c r="B311" i="11"/>
  <c r="AL310" i="11"/>
  <c r="V310" i="11"/>
  <c r="U310" i="11"/>
  <c r="T310" i="11"/>
  <c r="S310" i="11"/>
  <c r="R310" i="11"/>
  <c r="P310" i="11"/>
  <c r="O310" i="11"/>
  <c r="N310" i="11"/>
  <c r="H310" i="11"/>
  <c r="F310" i="11"/>
  <c r="E310" i="11"/>
  <c r="D310" i="11"/>
  <c r="B310" i="11"/>
  <c r="AL309" i="11"/>
  <c r="V309" i="11"/>
  <c r="U309" i="11"/>
  <c r="T309" i="11"/>
  <c r="S309" i="11"/>
  <c r="R309" i="11"/>
  <c r="P309" i="11"/>
  <c r="O309" i="11"/>
  <c r="N309" i="11"/>
  <c r="H309" i="11"/>
  <c r="F309" i="11"/>
  <c r="E309" i="11"/>
  <c r="D309" i="11"/>
  <c r="B309" i="11"/>
  <c r="AL308" i="11"/>
  <c r="V308" i="11"/>
  <c r="U308" i="11"/>
  <c r="T308" i="11"/>
  <c r="S308" i="11"/>
  <c r="R308" i="11"/>
  <c r="P308" i="11"/>
  <c r="O308" i="11"/>
  <c r="N308" i="11"/>
  <c r="H308" i="11"/>
  <c r="F308" i="11"/>
  <c r="E308" i="11"/>
  <c r="D308" i="11"/>
  <c r="B308" i="11"/>
  <c r="AL307" i="11"/>
  <c r="V307" i="11"/>
  <c r="U307" i="11"/>
  <c r="T307" i="11"/>
  <c r="S307" i="11"/>
  <c r="R307" i="11"/>
  <c r="P307" i="11"/>
  <c r="O307" i="11"/>
  <c r="N307" i="11"/>
  <c r="H307" i="11"/>
  <c r="F307" i="11"/>
  <c r="E307" i="11"/>
  <c r="D307" i="11"/>
  <c r="B307" i="11"/>
  <c r="AL306" i="11"/>
  <c r="V306" i="11"/>
  <c r="U306" i="11"/>
  <c r="T306" i="11"/>
  <c r="S306" i="11"/>
  <c r="R306" i="11"/>
  <c r="P306" i="11"/>
  <c r="O306" i="11"/>
  <c r="N306" i="11"/>
  <c r="H306" i="11"/>
  <c r="F306" i="11"/>
  <c r="E306" i="11"/>
  <c r="D306" i="11"/>
  <c r="B306" i="11"/>
  <c r="AL305" i="11"/>
  <c r="V305" i="11"/>
  <c r="U305" i="11"/>
  <c r="T305" i="11"/>
  <c r="S305" i="11"/>
  <c r="R305" i="11"/>
  <c r="P305" i="11"/>
  <c r="O305" i="11"/>
  <c r="N305" i="11"/>
  <c r="H305" i="11"/>
  <c r="F305" i="11"/>
  <c r="E305" i="11"/>
  <c r="D305" i="11"/>
  <c r="B305" i="11"/>
  <c r="AL304" i="11"/>
  <c r="V304" i="11"/>
  <c r="U304" i="11"/>
  <c r="T304" i="11"/>
  <c r="S304" i="11"/>
  <c r="R304" i="11"/>
  <c r="P304" i="11"/>
  <c r="O304" i="11"/>
  <c r="N304" i="11"/>
  <c r="H304" i="11"/>
  <c r="F304" i="11"/>
  <c r="E304" i="11"/>
  <c r="D304" i="11"/>
  <c r="B304" i="11"/>
  <c r="AL303" i="11"/>
  <c r="V303" i="11"/>
  <c r="U303" i="11"/>
  <c r="T303" i="11"/>
  <c r="S303" i="11"/>
  <c r="R303" i="11"/>
  <c r="P303" i="11"/>
  <c r="O303" i="11"/>
  <c r="N303" i="11"/>
  <c r="H303" i="11"/>
  <c r="F303" i="11"/>
  <c r="E303" i="11"/>
  <c r="D303" i="11"/>
  <c r="B303" i="11"/>
  <c r="AL302" i="11"/>
  <c r="V302" i="11"/>
  <c r="U302" i="11"/>
  <c r="T302" i="11"/>
  <c r="S302" i="11"/>
  <c r="R302" i="11"/>
  <c r="P302" i="11"/>
  <c r="O302" i="11"/>
  <c r="N302" i="11"/>
  <c r="H302" i="11"/>
  <c r="F302" i="11"/>
  <c r="E302" i="11"/>
  <c r="D302" i="11"/>
  <c r="B302" i="11"/>
  <c r="AL301" i="11"/>
  <c r="V301" i="11"/>
  <c r="U301" i="11"/>
  <c r="T301" i="11"/>
  <c r="S301" i="11"/>
  <c r="R301" i="11"/>
  <c r="P301" i="11"/>
  <c r="O301" i="11"/>
  <c r="N301" i="11"/>
  <c r="H301" i="11"/>
  <c r="F301" i="11"/>
  <c r="E301" i="11"/>
  <c r="D301" i="11"/>
  <c r="B301" i="11"/>
  <c r="AL300" i="11"/>
  <c r="V300" i="11"/>
  <c r="U300" i="11"/>
  <c r="T300" i="11"/>
  <c r="S300" i="11"/>
  <c r="R300" i="11"/>
  <c r="P300" i="11"/>
  <c r="O300" i="11"/>
  <c r="N300" i="11"/>
  <c r="H300" i="11"/>
  <c r="F300" i="11"/>
  <c r="E300" i="11"/>
  <c r="D300" i="11"/>
  <c r="B300" i="11"/>
  <c r="AL299" i="11"/>
  <c r="V299" i="11"/>
  <c r="U299" i="11"/>
  <c r="T299" i="11"/>
  <c r="S299" i="11"/>
  <c r="R299" i="11"/>
  <c r="P299" i="11"/>
  <c r="O299" i="11"/>
  <c r="N299" i="11"/>
  <c r="H299" i="11"/>
  <c r="F299" i="11"/>
  <c r="E299" i="11"/>
  <c r="D299" i="11"/>
  <c r="B299" i="11"/>
  <c r="AL298" i="11"/>
  <c r="V298" i="11"/>
  <c r="U298" i="11"/>
  <c r="T298" i="11"/>
  <c r="S298" i="11"/>
  <c r="R298" i="11"/>
  <c r="P298" i="11"/>
  <c r="O298" i="11"/>
  <c r="N298" i="11"/>
  <c r="H298" i="11"/>
  <c r="F298" i="11"/>
  <c r="E298" i="11"/>
  <c r="D298" i="11"/>
  <c r="B298" i="11"/>
  <c r="AL297" i="11"/>
  <c r="V297" i="11"/>
  <c r="U297" i="11"/>
  <c r="T297" i="11"/>
  <c r="S297" i="11"/>
  <c r="R297" i="11"/>
  <c r="P297" i="11"/>
  <c r="O297" i="11"/>
  <c r="N297" i="11"/>
  <c r="H297" i="11"/>
  <c r="F297" i="11"/>
  <c r="E297" i="11"/>
  <c r="D297" i="11"/>
  <c r="B297" i="11"/>
  <c r="AL296" i="11"/>
  <c r="V296" i="11"/>
  <c r="U296" i="11"/>
  <c r="T296" i="11"/>
  <c r="S296" i="11"/>
  <c r="R296" i="11"/>
  <c r="P296" i="11"/>
  <c r="O296" i="11"/>
  <c r="N296" i="11"/>
  <c r="H296" i="11"/>
  <c r="F296" i="11"/>
  <c r="E296" i="11"/>
  <c r="D296" i="11"/>
  <c r="B296" i="11"/>
  <c r="AL295" i="11"/>
  <c r="V295" i="11"/>
  <c r="U295" i="11"/>
  <c r="T295" i="11"/>
  <c r="S295" i="11"/>
  <c r="R295" i="11"/>
  <c r="P295" i="11"/>
  <c r="O295" i="11"/>
  <c r="N295" i="11"/>
  <c r="H295" i="11"/>
  <c r="F295" i="11"/>
  <c r="E295" i="11"/>
  <c r="D295" i="11"/>
  <c r="B295" i="11"/>
  <c r="AL294" i="11"/>
  <c r="V294" i="11"/>
  <c r="U294" i="11"/>
  <c r="T294" i="11"/>
  <c r="S294" i="11"/>
  <c r="R294" i="11"/>
  <c r="P294" i="11"/>
  <c r="O294" i="11"/>
  <c r="N294" i="11"/>
  <c r="H294" i="11"/>
  <c r="F294" i="11"/>
  <c r="E294" i="11"/>
  <c r="D294" i="11"/>
  <c r="B294" i="11"/>
  <c r="AL293" i="11"/>
  <c r="V293" i="11"/>
  <c r="U293" i="11"/>
  <c r="T293" i="11"/>
  <c r="S293" i="11"/>
  <c r="R293" i="11"/>
  <c r="P293" i="11"/>
  <c r="O293" i="11"/>
  <c r="N293" i="11"/>
  <c r="H293" i="11"/>
  <c r="F293" i="11"/>
  <c r="E293" i="11"/>
  <c r="D293" i="11"/>
  <c r="B293" i="11"/>
  <c r="AL292" i="11"/>
  <c r="V292" i="11"/>
  <c r="U292" i="11"/>
  <c r="T292" i="11"/>
  <c r="S292" i="11"/>
  <c r="R292" i="11"/>
  <c r="P292" i="11"/>
  <c r="O292" i="11"/>
  <c r="N292" i="11"/>
  <c r="H292" i="11"/>
  <c r="F292" i="11"/>
  <c r="E292" i="11"/>
  <c r="D292" i="11"/>
  <c r="B292" i="11"/>
  <c r="AL291" i="11"/>
  <c r="V291" i="11"/>
  <c r="U291" i="11"/>
  <c r="T291" i="11"/>
  <c r="S291" i="11"/>
  <c r="R291" i="11"/>
  <c r="P291" i="11"/>
  <c r="O291" i="11"/>
  <c r="N291" i="11"/>
  <c r="H291" i="11"/>
  <c r="F291" i="11"/>
  <c r="E291" i="11"/>
  <c r="D291" i="11"/>
  <c r="B291" i="11"/>
  <c r="AL290" i="11"/>
  <c r="V290" i="11"/>
  <c r="U290" i="11"/>
  <c r="T290" i="11"/>
  <c r="S290" i="11"/>
  <c r="R290" i="11"/>
  <c r="P290" i="11"/>
  <c r="O290" i="11"/>
  <c r="N290" i="11"/>
  <c r="H290" i="11"/>
  <c r="F290" i="11"/>
  <c r="E290" i="11"/>
  <c r="D290" i="11"/>
  <c r="B290" i="11"/>
  <c r="AL289" i="11"/>
  <c r="V289" i="11"/>
  <c r="U289" i="11"/>
  <c r="T289" i="11"/>
  <c r="S289" i="11"/>
  <c r="R289" i="11"/>
  <c r="P289" i="11"/>
  <c r="O289" i="11"/>
  <c r="N289" i="11"/>
  <c r="H289" i="11"/>
  <c r="F289" i="11"/>
  <c r="E289" i="11"/>
  <c r="D289" i="11"/>
  <c r="B289" i="11"/>
  <c r="AL288" i="11"/>
  <c r="V288" i="11"/>
  <c r="U288" i="11"/>
  <c r="T288" i="11"/>
  <c r="S288" i="11"/>
  <c r="R288" i="11"/>
  <c r="P288" i="11"/>
  <c r="O288" i="11"/>
  <c r="N288" i="11"/>
  <c r="H288" i="11"/>
  <c r="F288" i="11"/>
  <c r="E288" i="11"/>
  <c r="D288" i="11"/>
  <c r="B288" i="11"/>
  <c r="AL287" i="11"/>
  <c r="V287" i="11"/>
  <c r="U287" i="11"/>
  <c r="T287" i="11"/>
  <c r="S287" i="11"/>
  <c r="R287" i="11"/>
  <c r="P287" i="11"/>
  <c r="O287" i="11"/>
  <c r="N287" i="11"/>
  <c r="H287" i="11"/>
  <c r="F287" i="11"/>
  <c r="E287" i="11"/>
  <c r="D287" i="11"/>
  <c r="B287" i="11"/>
  <c r="AL286" i="11"/>
  <c r="V286" i="11"/>
  <c r="U286" i="11"/>
  <c r="T286" i="11"/>
  <c r="S286" i="11"/>
  <c r="R286" i="11"/>
  <c r="P286" i="11"/>
  <c r="O286" i="11"/>
  <c r="N286" i="11"/>
  <c r="H286" i="11"/>
  <c r="F286" i="11"/>
  <c r="E286" i="11"/>
  <c r="D286" i="11"/>
  <c r="B286" i="11"/>
  <c r="AL285" i="11"/>
  <c r="V285" i="11"/>
  <c r="U285" i="11"/>
  <c r="T285" i="11"/>
  <c r="S285" i="11"/>
  <c r="R285" i="11"/>
  <c r="P285" i="11"/>
  <c r="O285" i="11"/>
  <c r="N285" i="11"/>
  <c r="H285" i="11"/>
  <c r="F285" i="11"/>
  <c r="E285" i="11"/>
  <c r="D285" i="11"/>
  <c r="B285" i="11"/>
  <c r="AL284" i="11"/>
  <c r="V284" i="11"/>
  <c r="U284" i="11"/>
  <c r="T284" i="11"/>
  <c r="S284" i="11"/>
  <c r="R284" i="11"/>
  <c r="P284" i="11"/>
  <c r="O284" i="11"/>
  <c r="N284" i="11"/>
  <c r="H284" i="11"/>
  <c r="F284" i="11"/>
  <c r="E284" i="11"/>
  <c r="D284" i="11"/>
  <c r="B284" i="11"/>
  <c r="AL283" i="11"/>
  <c r="V283" i="11"/>
  <c r="U283" i="11"/>
  <c r="T283" i="11"/>
  <c r="S283" i="11"/>
  <c r="R283" i="11"/>
  <c r="P283" i="11"/>
  <c r="O283" i="11"/>
  <c r="N283" i="11"/>
  <c r="H283" i="11"/>
  <c r="F283" i="11"/>
  <c r="E283" i="11"/>
  <c r="D283" i="11"/>
  <c r="B283" i="11"/>
  <c r="AL282" i="11"/>
  <c r="V282" i="11"/>
  <c r="U282" i="11"/>
  <c r="T282" i="11"/>
  <c r="S282" i="11"/>
  <c r="R282" i="11"/>
  <c r="P282" i="11"/>
  <c r="O282" i="11"/>
  <c r="N282" i="11"/>
  <c r="H282" i="11"/>
  <c r="F282" i="11"/>
  <c r="E282" i="11"/>
  <c r="D282" i="11"/>
  <c r="B282" i="11"/>
  <c r="AL281" i="11"/>
  <c r="V281" i="11"/>
  <c r="U281" i="11"/>
  <c r="T281" i="11"/>
  <c r="S281" i="11"/>
  <c r="R281" i="11"/>
  <c r="P281" i="11"/>
  <c r="O281" i="11"/>
  <c r="N281" i="11"/>
  <c r="H281" i="11"/>
  <c r="F281" i="11"/>
  <c r="E281" i="11"/>
  <c r="D281" i="11"/>
  <c r="B281" i="11"/>
  <c r="AL278" i="11"/>
  <c r="V278" i="11"/>
  <c r="U278" i="11"/>
  <c r="T278" i="11"/>
  <c r="S278" i="11"/>
  <c r="R278" i="11"/>
  <c r="P278" i="11"/>
  <c r="O278" i="11"/>
  <c r="N278" i="11"/>
  <c r="J278" i="11"/>
  <c r="H278" i="11"/>
  <c r="F278" i="11"/>
  <c r="E278" i="11"/>
  <c r="D278" i="11"/>
  <c r="B278" i="11"/>
  <c r="AL277" i="11"/>
  <c r="V277" i="11"/>
  <c r="U277" i="11"/>
  <c r="T277" i="11"/>
  <c r="S277" i="11"/>
  <c r="R277" i="11"/>
  <c r="P277" i="11"/>
  <c r="O277" i="11"/>
  <c r="N277" i="11"/>
  <c r="J277" i="11"/>
  <c r="H277" i="11"/>
  <c r="F277" i="11"/>
  <c r="E277" i="11"/>
  <c r="D277" i="11"/>
  <c r="B277" i="11"/>
  <c r="AL276" i="11"/>
  <c r="V276" i="11"/>
  <c r="U276" i="11"/>
  <c r="T276" i="11"/>
  <c r="S276" i="11"/>
  <c r="R276" i="11"/>
  <c r="P276" i="11"/>
  <c r="O276" i="11"/>
  <c r="N276" i="11"/>
  <c r="J276" i="11"/>
  <c r="H276" i="11"/>
  <c r="F276" i="11"/>
  <c r="E276" i="11"/>
  <c r="D276" i="11"/>
  <c r="B276" i="11"/>
  <c r="AL275" i="11"/>
  <c r="V275" i="11"/>
  <c r="U275" i="11"/>
  <c r="T275" i="11"/>
  <c r="S275" i="11"/>
  <c r="R275" i="11"/>
  <c r="P275" i="11"/>
  <c r="O275" i="11"/>
  <c r="N275" i="11"/>
  <c r="J275" i="11"/>
  <c r="H275" i="11"/>
  <c r="F275" i="11"/>
  <c r="E275" i="11"/>
  <c r="D275" i="11"/>
  <c r="B275" i="11"/>
  <c r="AL274" i="11"/>
  <c r="V274" i="11"/>
  <c r="U274" i="11"/>
  <c r="T274" i="11"/>
  <c r="S274" i="11"/>
  <c r="R274" i="11"/>
  <c r="P274" i="11"/>
  <c r="O274" i="11"/>
  <c r="N274" i="11"/>
  <c r="J274" i="11"/>
  <c r="H274" i="11"/>
  <c r="F274" i="11"/>
  <c r="E274" i="11"/>
  <c r="D274" i="11"/>
  <c r="B274" i="11"/>
  <c r="AL273" i="11"/>
  <c r="V273" i="11"/>
  <c r="U273" i="11"/>
  <c r="T273" i="11"/>
  <c r="S273" i="11"/>
  <c r="R273" i="11"/>
  <c r="P273" i="11"/>
  <c r="O273" i="11"/>
  <c r="N273" i="11"/>
  <c r="J273" i="11"/>
  <c r="H273" i="11"/>
  <c r="F273" i="11"/>
  <c r="E273" i="11"/>
  <c r="D273" i="11"/>
  <c r="B273" i="11"/>
  <c r="AL272" i="11"/>
  <c r="V272" i="11"/>
  <c r="U272" i="11"/>
  <c r="T272" i="11"/>
  <c r="S272" i="11"/>
  <c r="R272" i="11"/>
  <c r="P272" i="11"/>
  <c r="O272" i="11"/>
  <c r="N272" i="11"/>
  <c r="J272" i="11"/>
  <c r="H272" i="11"/>
  <c r="F272" i="11"/>
  <c r="E272" i="11"/>
  <c r="D272" i="11"/>
  <c r="B272" i="11"/>
  <c r="AL271" i="11"/>
  <c r="V271" i="11"/>
  <c r="U271" i="11"/>
  <c r="T271" i="11"/>
  <c r="S271" i="11"/>
  <c r="R271" i="11"/>
  <c r="P271" i="11"/>
  <c r="O271" i="11"/>
  <c r="N271" i="11"/>
  <c r="J271" i="11"/>
  <c r="H271" i="11"/>
  <c r="F271" i="11"/>
  <c r="E271" i="11"/>
  <c r="D271" i="11"/>
  <c r="B271" i="11"/>
  <c r="AL270" i="11"/>
  <c r="V270" i="11"/>
  <c r="U270" i="11"/>
  <c r="T270" i="11"/>
  <c r="S270" i="11"/>
  <c r="R270" i="11"/>
  <c r="P270" i="11"/>
  <c r="O270" i="11"/>
  <c r="N270" i="11"/>
  <c r="J270" i="11"/>
  <c r="H270" i="11"/>
  <c r="F270" i="11"/>
  <c r="E270" i="11"/>
  <c r="D270" i="11"/>
  <c r="B270" i="11"/>
  <c r="AL269" i="11"/>
  <c r="V269" i="11"/>
  <c r="U269" i="11"/>
  <c r="T269" i="11"/>
  <c r="S269" i="11"/>
  <c r="R269" i="11"/>
  <c r="P269" i="11"/>
  <c r="O269" i="11"/>
  <c r="N269" i="11"/>
  <c r="J269" i="11"/>
  <c r="H269" i="11"/>
  <c r="F269" i="11"/>
  <c r="E269" i="11"/>
  <c r="D269" i="11"/>
  <c r="B269" i="11"/>
  <c r="AL268" i="11"/>
  <c r="V268" i="11"/>
  <c r="U268" i="11"/>
  <c r="T268" i="11"/>
  <c r="S268" i="11"/>
  <c r="R268" i="11"/>
  <c r="P268" i="11"/>
  <c r="O268" i="11"/>
  <c r="N268" i="11"/>
  <c r="J268" i="11"/>
  <c r="H268" i="11"/>
  <c r="F268" i="11"/>
  <c r="E268" i="11"/>
  <c r="D268" i="11"/>
  <c r="B268" i="11"/>
  <c r="AL267" i="11"/>
  <c r="V267" i="11"/>
  <c r="U267" i="11"/>
  <c r="T267" i="11"/>
  <c r="S267" i="11"/>
  <c r="R267" i="11"/>
  <c r="P267" i="11"/>
  <c r="O267" i="11"/>
  <c r="N267" i="11"/>
  <c r="J267" i="11"/>
  <c r="H267" i="11"/>
  <c r="F267" i="11"/>
  <c r="E267" i="11"/>
  <c r="D267" i="11"/>
  <c r="B267" i="11"/>
  <c r="AL266" i="11"/>
  <c r="V266" i="11"/>
  <c r="U266" i="11"/>
  <c r="T266" i="11"/>
  <c r="S266" i="11"/>
  <c r="R266" i="11"/>
  <c r="P266" i="11"/>
  <c r="O266" i="11"/>
  <c r="N266" i="11"/>
  <c r="J266" i="11"/>
  <c r="H266" i="11"/>
  <c r="F266" i="11"/>
  <c r="E266" i="11"/>
  <c r="D266" i="11"/>
  <c r="B266" i="11"/>
  <c r="AL265" i="11"/>
  <c r="V265" i="11"/>
  <c r="U265" i="11"/>
  <c r="T265" i="11"/>
  <c r="S265" i="11"/>
  <c r="R265" i="11"/>
  <c r="P265" i="11"/>
  <c r="O265" i="11"/>
  <c r="N265" i="11"/>
  <c r="J265" i="11"/>
  <c r="H265" i="11"/>
  <c r="F265" i="11"/>
  <c r="E265" i="11"/>
  <c r="D265" i="11"/>
  <c r="B265" i="11"/>
  <c r="AL264" i="11"/>
  <c r="V264" i="11"/>
  <c r="U264" i="11"/>
  <c r="T264" i="11"/>
  <c r="S264" i="11"/>
  <c r="R264" i="11"/>
  <c r="P264" i="11"/>
  <c r="O264" i="11"/>
  <c r="N264" i="11"/>
  <c r="J264" i="11"/>
  <c r="H264" i="11"/>
  <c r="F264" i="11"/>
  <c r="E264" i="11"/>
  <c r="D264" i="11"/>
  <c r="B264" i="11"/>
  <c r="AL263" i="11"/>
  <c r="V263" i="11"/>
  <c r="U263" i="11"/>
  <c r="T263" i="11"/>
  <c r="S263" i="11"/>
  <c r="R263" i="11"/>
  <c r="P263" i="11"/>
  <c r="O263" i="11"/>
  <c r="N263" i="11"/>
  <c r="J263" i="11"/>
  <c r="H263" i="11"/>
  <c r="F263" i="11"/>
  <c r="E263" i="11"/>
  <c r="D263" i="11"/>
  <c r="B263" i="11"/>
  <c r="AL262" i="11"/>
  <c r="V262" i="11"/>
  <c r="U262" i="11"/>
  <c r="T262" i="11"/>
  <c r="S262" i="11"/>
  <c r="R262" i="11"/>
  <c r="P262" i="11"/>
  <c r="O262" i="11"/>
  <c r="N262" i="11"/>
  <c r="J262" i="11"/>
  <c r="H262" i="11"/>
  <c r="F262" i="11"/>
  <c r="E262" i="11"/>
  <c r="D262" i="11"/>
  <c r="B262" i="11"/>
  <c r="AL261" i="11"/>
  <c r="V261" i="11"/>
  <c r="U261" i="11"/>
  <c r="T261" i="11"/>
  <c r="S261" i="11"/>
  <c r="R261" i="11"/>
  <c r="P261" i="11"/>
  <c r="O261" i="11"/>
  <c r="N261" i="11"/>
  <c r="J261" i="11"/>
  <c r="H261" i="11"/>
  <c r="F261" i="11"/>
  <c r="E261" i="11"/>
  <c r="D261" i="11"/>
  <c r="B261" i="11"/>
  <c r="AL260" i="11"/>
  <c r="V260" i="11"/>
  <c r="U260" i="11"/>
  <c r="T260" i="11"/>
  <c r="S260" i="11"/>
  <c r="R260" i="11"/>
  <c r="P260" i="11"/>
  <c r="O260" i="11"/>
  <c r="N260" i="11"/>
  <c r="J260" i="11"/>
  <c r="H260" i="11"/>
  <c r="F260" i="11"/>
  <c r="E260" i="11"/>
  <c r="D260" i="11"/>
  <c r="B260" i="11"/>
  <c r="AL259" i="11"/>
  <c r="V259" i="11"/>
  <c r="U259" i="11"/>
  <c r="T259" i="11"/>
  <c r="S259" i="11"/>
  <c r="R259" i="11"/>
  <c r="P259" i="11"/>
  <c r="O259" i="11"/>
  <c r="N259" i="11"/>
  <c r="J259" i="11"/>
  <c r="H259" i="11"/>
  <c r="F259" i="11"/>
  <c r="E259" i="11"/>
  <c r="D259" i="11"/>
  <c r="B259" i="11"/>
  <c r="AL258" i="11"/>
  <c r="V258" i="11"/>
  <c r="U258" i="11"/>
  <c r="T258" i="11"/>
  <c r="S258" i="11"/>
  <c r="R258" i="11"/>
  <c r="P258" i="11"/>
  <c r="O258" i="11"/>
  <c r="N258" i="11"/>
  <c r="J258" i="11"/>
  <c r="H258" i="11"/>
  <c r="F258" i="11"/>
  <c r="E258" i="11"/>
  <c r="D258" i="11"/>
  <c r="B258" i="11"/>
  <c r="AL257" i="11"/>
  <c r="V257" i="11"/>
  <c r="U257" i="11"/>
  <c r="T257" i="11"/>
  <c r="S257" i="11"/>
  <c r="R257" i="11"/>
  <c r="P257" i="11"/>
  <c r="O257" i="11"/>
  <c r="N257" i="11"/>
  <c r="J257" i="11"/>
  <c r="H257" i="11"/>
  <c r="F257" i="11"/>
  <c r="E257" i="11"/>
  <c r="D257" i="11"/>
  <c r="B257" i="11"/>
  <c r="AL256" i="11"/>
  <c r="V256" i="11"/>
  <c r="U256" i="11"/>
  <c r="T256" i="11"/>
  <c r="S256" i="11"/>
  <c r="R256" i="11"/>
  <c r="P256" i="11"/>
  <c r="O256" i="11"/>
  <c r="N256" i="11"/>
  <c r="J256" i="11"/>
  <c r="H256" i="11"/>
  <c r="F256" i="11"/>
  <c r="E256" i="11"/>
  <c r="D256" i="11"/>
  <c r="B256" i="11"/>
  <c r="AL255" i="11"/>
  <c r="V255" i="11"/>
  <c r="U255" i="11"/>
  <c r="T255" i="11"/>
  <c r="S255" i="11"/>
  <c r="R255" i="11"/>
  <c r="P255" i="11"/>
  <c r="O255" i="11"/>
  <c r="N255" i="11"/>
  <c r="J255" i="11"/>
  <c r="H255" i="11"/>
  <c r="F255" i="11"/>
  <c r="E255" i="11"/>
  <c r="D255" i="11"/>
  <c r="B255" i="11"/>
  <c r="AL254" i="11"/>
  <c r="V254" i="11"/>
  <c r="U254" i="11"/>
  <c r="T254" i="11"/>
  <c r="S254" i="11"/>
  <c r="R254" i="11"/>
  <c r="P254" i="11"/>
  <c r="O254" i="11"/>
  <c r="N254" i="11"/>
  <c r="J254" i="11"/>
  <c r="H254" i="11"/>
  <c r="F254" i="11"/>
  <c r="E254" i="11"/>
  <c r="D254" i="11"/>
  <c r="B254" i="11"/>
  <c r="AL253" i="11"/>
  <c r="V253" i="11"/>
  <c r="U253" i="11"/>
  <c r="T253" i="11"/>
  <c r="S253" i="11"/>
  <c r="R253" i="11"/>
  <c r="P253" i="11"/>
  <c r="O253" i="11"/>
  <c r="N253" i="11"/>
  <c r="J253" i="11"/>
  <c r="H253" i="11"/>
  <c r="F253" i="11"/>
  <c r="E253" i="11"/>
  <c r="D253" i="11"/>
  <c r="B253" i="11"/>
  <c r="AL252" i="11"/>
  <c r="V252" i="11"/>
  <c r="U252" i="11"/>
  <c r="T252" i="11"/>
  <c r="S252" i="11"/>
  <c r="R252" i="11"/>
  <c r="P252" i="11"/>
  <c r="O252" i="11"/>
  <c r="N252" i="11"/>
  <c r="J252" i="11"/>
  <c r="H252" i="11"/>
  <c r="F252" i="11"/>
  <c r="E252" i="11"/>
  <c r="D252" i="11"/>
  <c r="B252" i="11"/>
  <c r="AL251" i="11"/>
  <c r="V251" i="11"/>
  <c r="U251" i="11"/>
  <c r="T251" i="11"/>
  <c r="S251" i="11"/>
  <c r="R251" i="11"/>
  <c r="P251" i="11"/>
  <c r="O251" i="11"/>
  <c r="N251" i="11"/>
  <c r="J251" i="11"/>
  <c r="H251" i="11"/>
  <c r="F251" i="11"/>
  <c r="E251" i="11"/>
  <c r="D251" i="11"/>
  <c r="B251" i="11"/>
  <c r="AL250" i="11"/>
  <c r="V250" i="11"/>
  <c r="U250" i="11"/>
  <c r="T250" i="11"/>
  <c r="S250" i="11"/>
  <c r="R250" i="11"/>
  <c r="P250" i="11"/>
  <c r="O250" i="11"/>
  <c r="N250" i="11"/>
  <c r="J250" i="11"/>
  <c r="H250" i="11"/>
  <c r="F250" i="11"/>
  <c r="E250" i="11"/>
  <c r="D250" i="11"/>
  <c r="B250" i="11"/>
  <c r="AL249" i="11"/>
  <c r="V249" i="11"/>
  <c r="U249" i="11"/>
  <c r="T249" i="11"/>
  <c r="S249" i="11"/>
  <c r="R249" i="11"/>
  <c r="P249" i="11"/>
  <c r="O249" i="11"/>
  <c r="N249" i="11"/>
  <c r="J249" i="11"/>
  <c r="H249" i="11"/>
  <c r="F249" i="11"/>
  <c r="E249" i="11"/>
  <c r="D249" i="11"/>
  <c r="B249" i="11"/>
  <c r="AL248" i="11"/>
  <c r="V248" i="11"/>
  <c r="U248" i="11"/>
  <c r="T248" i="11"/>
  <c r="S248" i="11"/>
  <c r="R248" i="11"/>
  <c r="P248" i="11"/>
  <c r="O248" i="11"/>
  <c r="N248" i="11"/>
  <c r="J248" i="11"/>
  <c r="H248" i="11"/>
  <c r="F248" i="11"/>
  <c r="E248" i="11"/>
  <c r="D248" i="11"/>
  <c r="B248" i="11"/>
  <c r="AL247" i="11"/>
  <c r="V247" i="11"/>
  <c r="U247" i="11"/>
  <c r="T247" i="11"/>
  <c r="S247" i="11"/>
  <c r="R247" i="11"/>
  <c r="P247" i="11"/>
  <c r="O247" i="11"/>
  <c r="N247" i="11"/>
  <c r="J247" i="11"/>
  <c r="H247" i="11"/>
  <c r="F247" i="11"/>
  <c r="E247" i="11"/>
  <c r="D247" i="11"/>
  <c r="B247" i="11"/>
  <c r="AL246" i="11"/>
  <c r="V246" i="11"/>
  <c r="U246" i="11"/>
  <c r="T246" i="11"/>
  <c r="S246" i="11"/>
  <c r="R246" i="11"/>
  <c r="P246" i="11"/>
  <c r="O246" i="11"/>
  <c r="N246" i="11"/>
  <c r="J246" i="11"/>
  <c r="H246" i="11"/>
  <c r="F246" i="11"/>
  <c r="E246" i="11"/>
  <c r="D246" i="11"/>
  <c r="B246" i="11"/>
  <c r="AL245" i="11"/>
  <c r="V245" i="11"/>
  <c r="U245" i="11"/>
  <c r="T245" i="11"/>
  <c r="S245" i="11"/>
  <c r="R245" i="11"/>
  <c r="P245" i="11"/>
  <c r="O245" i="11"/>
  <c r="N245" i="11"/>
  <c r="J245" i="11"/>
  <c r="H245" i="11"/>
  <c r="F245" i="11"/>
  <c r="E245" i="11"/>
  <c r="D245" i="11"/>
  <c r="B245" i="11"/>
  <c r="AL244" i="11"/>
  <c r="V244" i="11"/>
  <c r="U244" i="11"/>
  <c r="T244" i="11"/>
  <c r="S244" i="11"/>
  <c r="R244" i="11"/>
  <c r="P244" i="11"/>
  <c r="O244" i="11"/>
  <c r="N244" i="11"/>
  <c r="J244" i="11"/>
  <c r="H244" i="11"/>
  <c r="F244" i="11"/>
  <c r="E244" i="11"/>
  <c r="D244" i="11"/>
  <c r="B244" i="11"/>
  <c r="AL243" i="11"/>
  <c r="V243" i="11"/>
  <c r="U243" i="11"/>
  <c r="T243" i="11"/>
  <c r="S243" i="11"/>
  <c r="R243" i="11"/>
  <c r="P243" i="11"/>
  <c r="O243" i="11"/>
  <c r="N243" i="11"/>
  <c r="J243" i="11"/>
  <c r="H243" i="11"/>
  <c r="F243" i="11"/>
  <c r="E243" i="11"/>
  <c r="D243" i="11"/>
  <c r="B243" i="11"/>
  <c r="AL242" i="11"/>
  <c r="V242" i="11"/>
  <c r="U242" i="11"/>
  <c r="T242" i="11"/>
  <c r="S242" i="11"/>
  <c r="R242" i="11"/>
  <c r="P242" i="11"/>
  <c r="O242" i="11"/>
  <c r="N242" i="11"/>
  <c r="J242" i="11"/>
  <c r="H242" i="11"/>
  <c r="F242" i="11"/>
  <c r="E242" i="11"/>
  <c r="D242" i="11"/>
  <c r="B242" i="11"/>
  <c r="AL241" i="11"/>
  <c r="V241" i="11"/>
  <c r="U241" i="11"/>
  <c r="T241" i="11"/>
  <c r="S241" i="11"/>
  <c r="R241" i="11"/>
  <c r="P241" i="11"/>
  <c r="O241" i="11"/>
  <c r="N241" i="11"/>
  <c r="J241" i="11"/>
  <c r="H241" i="11"/>
  <c r="F241" i="11"/>
  <c r="E241" i="11"/>
  <c r="D241" i="11"/>
  <c r="B241" i="11"/>
  <c r="AL240" i="11"/>
  <c r="V240" i="11"/>
  <c r="U240" i="11"/>
  <c r="T240" i="11"/>
  <c r="S240" i="11"/>
  <c r="R240" i="11"/>
  <c r="P240" i="11"/>
  <c r="O240" i="11"/>
  <c r="N240" i="11"/>
  <c r="J240" i="11"/>
  <c r="H240" i="11"/>
  <c r="F240" i="11"/>
  <c r="E240" i="11"/>
  <c r="D240" i="11"/>
  <c r="B240" i="11"/>
  <c r="AL239" i="11"/>
  <c r="V239" i="11"/>
  <c r="U239" i="11"/>
  <c r="T239" i="11"/>
  <c r="S239" i="11"/>
  <c r="R239" i="11"/>
  <c r="P239" i="11"/>
  <c r="O239" i="11"/>
  <c r="N239" i="11"/>
  <c r="J239" i="11"/>
  <c r="H239" i="11"/>
  <c r="F239" i="11"/>
  <c r="E239" i="11"/>
  <c r="D239" i="11"/>
  <c r="B239" i="11"/>
  <c r="AL238" i="11"/>
  <c r="V238" i="11"/>
  <c r="U238" i="11"/>
  <c r="T238" i="11"/>
  <c r="S238" i="11"/>
  <c r="R238" i="11"/>
  <c r="P238" i="11"/>
  <c r="O238" i="11"/>
  <c r="N238" i="11"/>
  <c r="J238" i="11"/>
  <c r="H238" i="11"/>
  <c r="F238" i="11"/>
  <c r="E238" i="11"/>
  <c r="D238" i="11"/>
  <c r="B238" i="11"/>
  <c r="AL237" i="11"/>
  <c r="V237" i="11"/>
  <c r="U237" i="11"/>
  <c r="T237" i="11"/>
  <c r="S237" i="11"/>
  <c r="R237" i="11"/>
  <c r="P237" i="11"/>
  <c r="O237" i="11"/>
  <c r="N237" i="11"/>
  <c r="J237" i="11"/>
  <c r="H237" i="11"/>
  <c r="F237" i="11"/>
  <c r="E237" i="11"/>
  <c r="D237" i="11"/>
  <c r="B237" i="11"/>
  <c r="AL236" i="11"/>
  <c r="V236" i="11"/>
  <c r="U236" i="11"/>
  <c r="T236" i="11"/>
  <c r="S236" i="11"/>
  <c r="R236" i="11"/>
  <c r="P236" i="11"/>
  <c r="O236" i="11"/>
  <c r="N236" i="11"/>
  <c r="J236" i="11"/>
  <c r="H236" i="11"/>
  <c r="F236" i="11"/>
  <c r="E236" i="11"/>
  <c r="D236" i="11"/>
  <c r="B236" i="11"/>
  <c r="AL235" i="11"/>
  <c r="V235" i="11"/>
  <c r="U235" i="11"/>
  <c r="T235" i="11"/>
  <c r="S235" i="11"/>
  <c r="R235" i="11"/>
  <c r="P235" i="11"/>
  <c r="O235" i="11"/>
  <c r="N235" i="11"/>
  <c r="J235" i="11"/>
  <c r="H235" i="11"/>
  <c r="F235" i="11"/>
  <c r="E235" i="11"/>
  <c r="D235" i="11"/>
  <c r="B235" i="11"/>
  <c r="AL234" i="11"/>
  <c r="V234" i="11"/>
  <c r="U234" i="11"/>
  <c r="T234" i="11"/>
  <c r="S234" i="11"/>
  <c r="R234" i="11"/>
  <c r="P234" i="11"/>
  <c r="O234" i="11"/>
  <c r="N234" i="11"/>
  <c r="J234" i="11"/>
  <c r="H234" i="11"/>
  <c r="F234" i="11"/>
  <c r="E234" i="11"/>
  <c r="D234" i="11"/>
  <c r="B234" i="11"/>
  <c r="AL233" i="11"/>
  <c r="V233" i="11"/>
  <c r="U233" i="11"/>
  <c r="T233" i="11"/>
  <c r="S233" i="11"/>
  <c r="R233" i="11"/>
  <c r="P233" i="11"/>
  <c r="O233" i="11"/>
  <c r="N233" i="11"/>
  <c r="J233" i="11"/>
  <c r="H233" i="11"/>
  <c r="F233" i="11"/>
  <c r="E233" i="11"/>
  <c r="D233" i="11"/>
  <c r="B233" i="11"/>
  <c r="AL232" i="11"/>
  <c r="V232" i="11"/>
  <c r="U232" i="11"/>
  <c r="T232" i="11"/>
  <c r="S232" i="11"/>
  <c r="R232" i="11"/>
  <c r="P232" i="11"/>
  <c r="O232" i="11"/>
  <c r="N232" i="11"/>
  <c r="J232" i="11"/>
  <c r="H232" i="11"/>
  <c r="F232" i="11"/>
  <c r="E232" i="11"/>
  <c r="D232" i="11"/>
  <c r="B232" i="11"/>
  <c r="AL231" i="11"/>
  <c r="V231" i="11"/>
  <c r="U231" i="11"/>
  <c r="T231" i="11"/>
  <c r="S231" i="11"/>
  <c r="R231" i="11"/>
  <c r="P231" i="11"/>
  <c r="O231" i="11"/>
  <c r="N231" i="11"/>
  <c r="J231" i="11"/>
  <c r="H231" i="11"/>
  <c r="F231" i="11"/>
  <c r="E231" i="11"/>
  <c r="D231" i="11"/>
  <c r="B231" i="11"/>
  <c r="AL230" i="11"/>
  <c r="V230" i="11"/>
  <c r="U230" i="11"/>
  <c r="T230" i="11"/>
  <c r="S230" i="11"/>
  <c r="R230" i="11"/>
  <c r="P230" i="11"/>
  <c r="O230" i="11"/>
  <c r="N230" i="11"/>
  <c r="J230" i="11"/>
  <c r="H230" i="11"/>
  <c r="F230" i="11"/>
  <c r="E230" i="11"/>
  <c r="D230" i="11"/>
  <c r="B230" i="11"/>
  <c r="AL229" i="11"/>
  <c r="V229" i="11"/>
  <c r="U229" i="11"/>
  <c r="T229" i="11"/>
  <c r="S229" i="11"/>
  <c r="R229" i="11"/>
  <c r="P229" i="11"/>
  <c r="O229" i="11"/>
  <c r="N229" i="11"/>
  <c r="J229" i="11"/>
  <c r="H229" i="11"/>
  <c r="F229" i="11"/>
  <c r="E229" i="11"/>
  <c r="D229" i="11"/>
  <c r="B229" i="11"/>
  <c r="AL228" i="11"/>
  <c r="V228" i="11"/>
  <c r="U228" i="11"/>
  <c r="T228" i="11"/>
  <c r="S228" i="11"/>
  <c r="R228" i="11"/>
  <c r="P228" i="11"/>
  <c r="O228" i="11"/>
  <c r="N228" i="11"/>
  <c r="J228" i="11"/>
  <c r="H228" i="11"/>
  <c r="F228" i="11"/>
  <c r="E228" i="11"/>
  <c r="D228" i="11"/>
  <c r="B228" i="11"/>
  <c r="AL227" i="11"/>
  <c r="V227" i="11"/>
  <c r="U227" i="11"/>
  <c r="T227" i="11"/>
  <c r="S227" i="11"/>
  <c r="R227" i="11"/>
  <c r="P227" i="11"/>
  <c r="O227" i="11"/>
  <c r="N227" i="11"/>
  <c r="J227" i="11"/>
  <c r="H227" i="11"/>
  <c r="F227" i="11"/>
  <c r="E227" i="11"/>
  <c r="D227" i="11"/>
  <c r="B227" i="11"/>
  <c r="AL226" i="11"/>
  <c r="V226" i="11"/>
  <c r="U226" i="11"/>
  <c r="T226" i="11"/>
  <c r="S226" i="11"/>
  <c r="R226" i="11"/>
  <c r="P226" i="11"/>
  <c r="O226" i="11"/>
  <c r="N226" i="11"/>
  <c r="J226" i="11"/>
  <c r="H226" i="11"/>
  <c r="F226" i="11"/>
  <c r="E226" i="11"/>
  <c r="D226" i="11"/>
  <c r="B226" i="11"/>
  <c r="AL225" i="11"/>
  <c r="V225" i="11"/>
  <c r="U225" i="11"/>
  <c r="T225" i="11"/>
  <c r="S225" i="11"/>
  <c r="R225" i="11"/>
  <c r="P225" i="11"/>
  <c r="O225" i="11"/>
  <c r="N225" i="11"/>
  <c r="J225" i="11"/>
  <c r="H225" i="11"/>
  <c r="F225" i="11"/>
  <c r="E225" i="11"/>
  <c r="D225" i="11"/>
  <c r="B225" i="11"/>
  <c r="AL222" i="11"/>
  <c r="V222" i="11"/>
  <c r="U222" i="11"/>
  <c r="T222" i="11"/>
  <c r="S222" i="11"/>
  <c r="R222" i="11"/>
  <c r="P222" i="11"/>
  <c r="O222" i="11"/>
  <c r="N222" i="11"/>
  <c r="J222" i="11"/>
  <c r="H222" i="11"/>
  <c r="F222" i="11"/>
  <c r="E222" i="11"/>
  <c r="D222" i="11"/>
  <c r="B222" i="11"/>
  <c r="AL221" i="11"/>
  <c r="V221" i="11"/>
  <c r="U221" i="11"/>
  <c r="T221" i="11"/>
  <c r="S221" i="11"/>
  <c r="R221" i="11"/>
  <c r="P221" i="11"/>
  <c r="O221" i="11"/>
  <c r="N221" i="11"/>
  <c r="J221" i="11"/>
  <c r="H221" i="11"/>
  <c r="F221" i="11"/>
  <c r="E221" i="11"/>
  <c r="D221" i="11"/>
  <c r="B221" i="11"/>
  <c r="AL220" i="11"/>
  <c r="V220" i="11"/>
  <c r="U220" i="11"/>
  <c r="T220" i="11"/>
  <c r="S220" i="11"/>
  <c r="R220" i="11"/>
  <c r="P220" i="11"/>
  <c r="O220" i="11"/>
  <c r="N220" i="11"/>
  <c r="J220" i="11"/>
  <c r="H220" i="11"/>
  <c r="F220" i="11"/>
  <c r="E220" i="11"/>
  <c r="D220" i="11"/>
  <c r="B220" i="11"/>
  <c r="AL219" i="11"/>
  <c r="V219" i="11"/>
  <c r="U219" i="11"/>
  <c r="T219" i="11"/>
  <c r="S219" i="11"/>
  <c r="R219" i="11"/>
  <c r="P219" i="11"/>
  <c r="O219" i="11"/>
  <c r="N219" i="11"/>
  <c r="J219" i="11"/>
  <c r="H219" i="11"/>
  <c r="F219" i="11"/>
  <c r="E219" i="11"/>
  <c r="D219" i="11"/>
  <c r="B219" i="11"/>
  <c r="AL218" i="11"/>
  <c r="V218" i="11"/>
  <c r="U218" i="11"/>
  <c r="T218" i="11"/>
  <c r="S218" i="11"/>
  <c r="R218" i="11"/>
  <c r="P218" i="11"/>
  <c r="O218" i="11"/>
  <c r="N218" i="11"/>
  <c r="J218" i="11"/>
  <c r="H218" i="11"/>
  <c r="F218" i="11"/>
  <c r="E218" i="11"/>
  <c r="D218" i="11"/>
  <c r="B218" i="11"/>
  <c r="AL217" i="11"/>
  <c r="V217" i="11"/>
  <c r="U217" i="11"/>
  <c r="T217" i="11"/>
  <c r="S217" i="11"/>
  <c r="R217" i="11"/>
  <c r="P217" i="11"/>
  <c r="O217" i="11"/>
  <c r="N217" i="11"/>
  <c r="J217" i="11"/>
  <c r="H217" i="11"/>
  <c r="F217" i="11"/>
  <c r="E217" i="11"/>
  <c r="D217" i="11"/>
  <c r="B217" i="11"/>
  <c r="AL216" i="11"/>
  <c r="V216" i="11"/>
  <c r="U216" i="11"/>
  <c r="T216" i="11"/>
  <c r="S216" i="11"/>
  <c r="R216" i="11"/>
  <c r="P216" i="11"/>
  <c r="O216" i="11"/>
  <c r="N216" i="11"/>
  <c r="J216" i="11"/>
  <c r="H216" i="11"/>
  <c r="F216" i="11"/>
  <c r="E216" i="11"/>
  <c r="D216" i="11"/>
  <c r="B216" i="11"/>
  <c r="AL215" i="11"/>
  <c r="V215" i="11"/>
  <c r="U215" i="11"/>
  <c r="T215" i="11"/>
  <c r="S215" i="11"/>
  <c r="R215" i="11"/>
  <c r="P215" i="11"/>
  <c r="O215" i="11"/>
  <c r="N215" i="11"/>
  <c r="J215" i="11"/>
  <c r="H215" i="11"/>
  <c r="F215" i="11"/>
  <c r="E215" i="11"/>
  <c r="D215" i="11"/>
  <c r="B215" i="11"/>
  <c r="AL214" i="11"/>
  <c r="V214" i="11"/>
  <c r="U214" i="11"/>
  <c r="T214" i="11"/>
  <c r="S214" i="11"/>
  <c r="R214" i="11"/>
  <c r="P214" i="11"/>
  <c r="O214" i="11"/>
  <c r="N214" i="11"/>
  <c r="J214" i="11"/>
  <c r="H214" i="11"/>
  <c r="F214" i="11"/>
  <c r="E214" i="11"/>
  <c r="D214" i="11"/>
  <c r="B214" i="11"/>
  <c r="AL213" i="11"/>
  <c r="V213" i="11"/>
  <c r="U213" i="11"/>
  <c r="T213" i="11"/>
  <c r="S213" i="11"/>
  <c r="R213" i="11"/>
  <c r="P213" i="11"/>
  <c r="O213" i="11"/>
  <c r="N213" i="11"/>
  <c r="J213" i="11"/>
  <c r="H213" i="11"/>
  <c r="F213" i="11"/>
  <c r="E213" i="11"/>
  <c r="D213" i="11"/>
  <c r="B213" i="11"/>
  <c r="AL212" i="11"/>
  <c r="V212" i="11"/>
  <c r="U212" i="11"/>
  <c r="T212" i="11"/>
  <c r="S212" i="11"/>
  <c r="R212" i="11"/>
  <c r="P212" i="11"/>
  <c r="O212" i="11"/>
  <c r="N212" i="11"/>
  <c r="J212" i="11"/>
  <c r="H212" i="11"/>
  <c r="F212" i="11"/>
  <c r="E212" i="11"/>
  <c r="D212" i="11"/>
  <c r="B212" i="11"/>
  <c r="AL211" i="11"/>
  <c r="V211" i="11"/>
  <c r="U211" i="11"/>
  <c r="T211" i="11"/>
  <c r="S211" i="11"/>
  <c r="R211" i="11"/>
  <c r="P211" i="11"/>
  <c r="O211" i="11"/>
  <c r="N211" i="11"/>
  <c r="J211" i="11"/>
  <c r="H211" i="11"/>
  <c r="F211" i="11"/>
  <c r="E211" i="11"/>
  <c r="D211" i="11"/>
  <c r="B211" i="11"/>
  <c r="AL210" i="11"/>
  <c r="V210" i="11"/>
  <c r="U210" i="11"/>
  <c r="T210" i="11"/>
  <c r="S210" i="11"/>
  <c r="R210" i="11"/>
  <c r="P210" i="11"/>
  <c r="O210" i="11"/>
  <c r="N210" i="11"/>
  <c r="J210" i="11"/>
  <c r="H210" i="11"/>
  <c r="F210" i="11"/>
  <c r="E210" i="11"/>
  <c r="D210" i="11"/>
  <c r="B210" i="11"/>
  <c r="AL209" i="11"/>
  <c r="V209" i="11"/>
  <c r="U209" i="11"/>
  <c r="T209" i="11"/>
  <c r="S209" i="11"/>
  <c r="R209" i="11"/>
  <c r="P209" i="11"/>
  <c r="O209" i="11"/>
  <c r="N209" i="11"/>
  <c r="J209" i="11"/>
  <c r="H209" i="11"/>
  <c r="F209" i="11"/>
  <c r="E209" i="11"/>
  <c r="D209" i="11"/>
  <c r="B209" i="11"/>
  <c r="AL208" i="11"/>
  <c r="V208" i="11"/>
  <c r="U208" i="11"/>
  <c r="T208" i="11"/>
  <c r="S208" i="11"/>
  <c r="R208" i="11"/>
  <c r="P208" i="11"/>
  <c r="O208" i="11"/>
  <c r="N208" i="11"/>
  <c r="J208" i="11"/>
  <c r="H208" i="11"/>
  <c r="F208" i="11"/>
  <c r="E208" i="11"/>
  <c r="D208" i="11"/>
  <c r="B208" i="11"/>
  <c r="AL205" i="11"/>
  <c r="V205" i="11"/>
  <c r="U205" i="11"/>
  <c r="T205" i="11"/>
  <c r="S205" i="11"/>
  <c r="R205" i="11"/>
  <c r="P205" i="11"/>
  <c r="O205" i="11"/>
  <c r="N205" i="11"/>
  <c r="J205" i="11"/>
  <c r="H205" i="11"/>
  <c r="F205" i="11"/>
  <c r="E205" i="11"/>
  <c r="D205" i="11"/>
  <c r="B205" i="11"/>
  <c r="AL204" i="11"/>
  <c r="V204" i="11"/>
  <c r="U204" i="11"/>
  <c r="T204" i="11"/>
  <c r="S204" i="11"/>
  <c r="R204" i="11"/>
  <c r="P204" i="11"/>
  <c r="O204" i="11"/>
  <c r="N204" i="11"/>
  <c r="J204" i="11"/>
  <c r="H204" i="11"/>
  <c r="F204" i="11"/>
  <c r="E204" i="11"/>
  <c r="D204" i="11"/>
  <c r="B204" i="11"/>
  <c r="AL203" i="11"/>
  <c r="V203" i="11"/>
  <c r="U203" i="11"/>
  <c r="T203" i="11"/>
  <c r="S203" i="11"/>
  <c r="R203" i="11"/>
  <c r="P203" i="11"/>
  <c r="O203" i="11"/>
  <c r="N203" i="11"/>
  <c r="J203" i="11"/>
  <c r="H203" i="11"/>
  <c r="F203" i="11"/>
  <c r="E203" i="11"/>
  <c r="D203" i="11"/>
  <c r="B203" i="11"/>
  <c r="AL202" i="11"/>
  <c r="V202" i="11"/>
  <c r="U202" i="11"/>
  <c r="T202" i="11"/>
  <c r="S202" i="11"/>
  <c r="R202" i="11"/>
  <c r="P202" i="11"/>
  <c r="O202" i="11"/>
  <c r="N202" i="11"/>
  <c r="J202" i="11"/>
  <c r="H202" i="11"/>
  <c r="F202" i="11"/>
  <c r="E202" i="11"/>
  <c r="D202" i="11"/>
  <c r="B202" i="11"/>
  <c r="AL201" i="11"/>
  <c r="V201" i="11"/>
  <c r="U201" i="11"/>
  <c r="T201" i="11"/>
  <c r="S201" i="11"/>
  <c r="R201" i="11"/>
  <c r="P201" i="11"/>
  <c r="O201" i="11"/>
  <c r="N201" i="11"/>
  <c r="J201" i="11"/>
  <c r="H201" i="11"/>
  <c r="F201" i="11"/>
  <c r="E201" i="11"/>
  <c r="D201" i="11"/>
  <c r="B201" i="11"/>
  <c r="AL200" i="11"/>
  <c r="V200" i="11"/>
  <c r="U200" i="11"/>
  <c r="T200" i="11"/>
  <c r="S200" i="11"/>
  <c r="R200" i="11"/>
  <c r="P200" i="11"/>
  <c r="O200" i="11"/>
  <c r="N200" i="11"/>
  <c r="J200" i="11"/>
  <c r="H200" i="11"/>
  <c r="F200" i="11"/>
  <c r="E200" i="11"/>
  <c r="D200" i="11"/>
  <c r="B200" i="11"/>
  <c r="AL199" i="11"/>
  <c r="V199" i="11"/>
  <c r="U199" i="11"/>
  <c r="T199" i="11"/>
  <c r="S199" i="11"/>
  <c r="R199" i="11"/>
  <c r="P199" i="11"/>
  <c r="O199" i="11"/>
  <c r="N199" i="11"/>
  <c r="J199" i="11"/>
  <c r="H199" i="11"/>
  <c r="F199" i="11"/>
  <c r="E199" i="11"/>
  <c r="D199" i="11"/>
  <c r="B199" i="11"/>
  <c r="AL198" i="11"/>
  <c r="V198" i="11"/>
  <c r="U198" i="11"/>
  <c r="T198" i="11"/>
  <c r="S198" i="11"/>
  <c r="R198" i="11"/>
  <c r="P198" i="11"/>
  <c r="O198" i="11"/>
  <c r="N198" i="11"/>
  <c r="J198" i="11"/>
  <c r="H198" i="11"/>
  <c r="F198" i="11"/>
  <c r="E198" i="11"/>
  <c r="D198" i="11"/>
  <c r="B198" i="11"/>
  <c r="AL197" i="11"/>
  <c r="V197" i="11"/>
  <c r="U197" i="11"/>
  <c r="T197" i="11"/>
  <c r="S197" i="11"/>
  <c r="R197" i="11"/>
  <c r="P197" i="11"/>
  <c r="O197" i="11"/>
  <c r="N197" i="11"/>
  <c r="J197" i="11"/>
  <c r="H197" i="11"/>
  <c r="F197" i="11"/>
  <c r="E197" i="11"/>
  <c r="D197" i="11"/>
  <c r="B197" i="11"/>
  <c r="AL196" i="11"/>
  <c r="V196" i="11"/>
  <c r="U196" i="11"/>
  <c r="T196" i="11"/>
  <c r="S196" i="11"/>
  <c r="R196" i="11"/>
  <c r="P196" i="11"/>
  <c r="O196" i="11"/>
  <c r="N196" i="11"/>
  <c r="J196" i="11"/>
  <c r="H196" i="11"/>
  <c r="F196" i="11"/>
  <c r="E196" i="11"/>
  <c r="D196" i="11"/>
  <c r="B196" i="11"/>
  <c r="AL195" i="11"/>
  <c r="V195" i="11"/>
  <c r="U195" i="11"/>
  <c r="T195" i="11"/>
  <c r="S195" i="11"/>
  <c r="R195" i="11"/>
  <c r="P195" i="11"/>
  <c r="O195" i="11"/>
  <c r="N195" i="11"/>
  <c r="J195" i="11"/>
  <c r="H195" i="11"/>
  <c r="F195" i="11"/>
  <c r="E195" i="11"/>
  <c r="D195" i="11"/>
  <c r="B195" i="11"/>
  <c r="AL194" i="11"/>
  <c r="V194" i="11"/>
  <c r="U194" i="11"/>
  <c r="T194" i="11"/>
  <c r="S194" i="11"/>
  <c r="R194" i="11"/>
  <c r="P194" i="11"/>
  <c r="O194" i="11"/>
  <c r="N194" i="11"/>
  <c r="J194" i="11"/>
  <c r="H194" i="11"/>
  <c r="F194" i="11"/>
  <c r="E194" i="11"/>
  <c r="D194" i="11"/>
  <c r="B194" i="11"/>
  <c r="AL193" i="11"/>
  <c r="V193" i="11"/>
  <c r="U193" i="11"/>
  <c r="T193" i="11"/>
  <c r="S193" i="11"/>
  <c r="R193" i="11"/>
  <c r="P193" i="11"/>
  <c r="O193" i="11"/>
  <c r="N193" i="11"/>
  <c r="J193" i="11"/>
  <c r="H193" i="11"/>
  <c r="F193" i="11"/>
  <c r="E193" i="11"/>
  <c r="D193" i="11"/>
  <c r="B193" i="11"/>
  <c r="AL192" i="11"/>
  <c r="V192" i="11"/>
  <c r="U192" i="11"/>
  <c r="T192" i="11"/>
  <c r="S192" i="11"/>
  <c r="R192" i="11"/>
  <c r="P192" i="11"/>
  <c r="O192" i="11"/>
  <c r="N192" i="11"/>
  <c r="J192" i="11"/>
  <c r="H192" i="11"/>
  <c r="F192" i="11"/>
  <c r="E192" i="11"/>
  <c r="D192" i="11"/>
  <c r="B192" i="11"/>
  <c r="AL191" i="11"/>
  <c r="V191" i="11"/>
  <c r="U191" i="11"/>
  <c r="T191" i="11"/>
  <c r="S191" i="11"/>
  <c r="R191" i="11"/>
  <c r="P191" i="11"/>
  <c r="O191" i="11"/>
  <c r="N191" i="11"/>
  <c r="J191" i="11"/>
  <c r="H191" i="11"/>
  <c r="F191" i="11"/>
  <c r="E191" i="11"/>
  <c r="D191" i="11"/>
  <c r="B191" i="11"/>
  <c r="AL188" i="11"/>
  <c r="V188" i="11"/>
  <c r="U188" i="11"/>
  <c r="T188" i="11"/>
  <c r="S188" i="11"/>
  <c r="R188" i="11"/>
  <c r="P188" i="11"/>
  <c r="O188" i="11"/>
  <c r="N188" i="11"/>
  <c r="J188" i="11"/>
  <c r="H188" i="11"/>
  <c r="F188" i="11"/>
  <c r="E188" i="11"/>
  <c r="D188" i="11"/>
  <c r="B188" i="11"/>
  <c r="AL187" i="11"/>
  <c r="V187" i="11"/>
  <c r="U187" i="11"/>
  <c r="T187" i="11"/>
  <c r="S187" i="11"/>
  <c r="R187" i="11"/>
  <c r="P187" i="11"/>
  <c r="O187" i="11"/>
  <c r="N187" i="11"/>
  <c r="J187" i="11"/>
  <c r="H187" i="11"/>
  <c r="F187" i="11"/>
  <c r="E187" i="11"/>
  <c r="D187" i="11"/>
  <c r="B187" i="11"/>
  <c r="AL186" i="11"/>
  <c r="V186" i="11"/>
  <c r="U186" i="11"/>
  <c r="T186" i="11"/>
  <c r="S186" i="11"/>
  <c r="R186" i="11"/>
  <c r="P186" i="11"/>
  <c r="O186" i="11"/>
  <c r="N186" i="11"/>
  <c r="J186" i="11"/>
  <c r="H186" i="11"/>
  <c r="F186" i="11"/>
  <c r="E186" i="11"/>
  <c r="D186" i="11"/>
  <c r="B186" i="11"/>
  <c r="AL185" i="11"/>
  <c r="V185" i="11"/>
  <c r="U185" i="11"/>
  <c r="T185" i="11"/>
  <c r="S185" i="11"/>
  <c r="R185" i="11"/>
  <c r="P185" i="11"/>
  <c r="O185" i="11"/>
  <c r="N185" i="11"/>
  <c r="J185" i="11"/>
  <c r="H185" i="11"/>
  <c r="F185" i="11"/>
  <c r="E185" i="11"/>
  <c r="D185" i="11"/>
  <c r="B185" i="11"/>
  <c r="AL184" i="11"/>
  <c r="V184" i="11"/>
  <c r="U184" i="11"/>
  <c r="T184" i="11"/>
  <c r="S184" i="11"/>
  <c r="R184" i="11"/>
  <c r="P184" i="11"/>
  <c r="O184" i="11"/>
  <c r="N184" i="11"/>
  <c r="J184" i="11"/>
  <c r="H184" i="11"/>
  <c r="F184" i="11"/>
  <c r="E184" i="11"/>
  <c r="D184" i="11"/>
  <c r="B184" i="11"/>
  <c r="AL181" i="11"/>
  <c r="V181" i="11"/>
  <c r="U181" i="11"/>
  <c r="T181" i="11"/>
  <c r="S181" i="11"/>
  <c r="R181" i="11"/>
  <c r="P181" i="11"/>
  <c r="O181" i="11"/>
  <c r="N181" i="11"/>
  <c r="J181" i="11"/>
  <c r="H181" i="11"/>
  <c r="F181" i="11"/>
  <c r="E181" i="11"/>
  <c r="D181" i="11"/>
  <c r="B181" i="11"/>
  <c r="AL180" i="11"/>
  <c r="V180" i="11"/>
  <c r="U180" i="11"/>
  <c r="T180" i="11"/>
  <c r="S180" i="11"/>
  <c r="R180" i="11"/>
  <c r="P180" i="11"/>
  <c r="O180" i="11"/>
  <c r="N180" i="11"/>
  <c r="J180" i="11"/>
  <c r="H180" i="11"/>
  <c r="F180" i="11"/>
  <c r="E180" i="11"/>
  <c r="D180" i="11"/>
  <c r="B180" i="11"/>
  <c r="AL179" i="11"/>
  <c r="V179" i="11"/>
  <c r="U179" i="11"/>
  <c r="T179" i="11"/>
  <c r="S179" i="11"/>
  <c r="R179" i="11"/>
  <c r="P179" i="11"/>
  <c r="O179" i="11"/>
  <c r="N179" i="11"/>
  <c r="J179" i="11"/>
  <c r="H179" i="11"/>
  <c r="F179" i="11"/>
  <c r="E179" i="11"/>
  <c r="D179" i="11"/>
  <c r="B179" i="11"/>
  <c r="AL178" i="11"/>
  <c r="V178" i="11"/>
  <c r="U178" i="11"/>
  <c r="T178" i="11"/>
  <c r="S178" i="11"/>
  <c r="R178" i="11"/>
  <c r="P178" i="11"/>
  <c r="O178" i="11"/>
  <c r="N178" i="11"/>
  <c r="J178" i="11"/>
  <c r="H178" i="11"/>
  <c r="F178" i="11"/>
  <c r="E178" i="11"/>
  <c r="D178" i="11"/>
  <c r="B178" i="11"/>
  <c r="AL177" i="11"/>
  <c r="V177" i="11"/>
  <c r="U177" i="11"/>
  <c r="T177" i="11"/>
  <c r="S177" i="11"/>
  <c r="R177" i="11"/>
  <c r="P177" i="11"/>
  <c r="O177" i="11"/>
  <c r="N177" i="11"/>
  <c r="J177" i="11"/>
  <c r="H177" i="11"/>
  <c r="F177" i="11"/>
  <c r="E177" i="11"/>
  <c r="D177" i="11"/>
  <c r="B177" i="11"/>
  <c r="AL174" i="11"/>
  <c r="V174" i="11"/>
  <c r="U174" i="11"/>
  <c r="T174" i="11"/>
  <c r="S174" i="11"/>
  <c r="R174" i="11"/>
  <c r="P174" i="11"/>
  <c r="O174" i="11"/>
  <c r="N174" i="11"/>
  <c r="J174" i="11"/>
  <c r="H174" i="11"/>
  <c r="F174" i="11"/>
  <c r="E174" i="11"/>
  <c r="D174" i="11"/>
  <c r="B174" i="11"/>
  <c r="AL173" i="11"/>
  <c r="V173" i="11"/>
  <c r="U173" i="11"/>
  <c r="T173" i="11"/>
  <c r="S173" i="11"/>
  <c r="R173" i="11"/>
  <c r="P173" i="11"/>
  <c r="O173" i="11"/>
  <c r="N173" i="11"/>
  <c r="J173" i="11"/>
  <c r="H173" i="11"/>
  <c r="F173" i="11"/>
  <c r="E173" i="11"/>
  <c r="D173" i="11"/>
  <c r="B173" i="11"/>
  <c r="AL172" i="11"/>
  <c r="V172" i="11"/>
  <c r="U172" i="11"/>
  <c r="T172" i="11"/>
  <c r="S172" i="11"/>
  <c r="R172" i="11"/>
  <c r="P172" i="11"/>
  <c r="O172" i="11"/>
  <c r="N172" i="11"/>
  <c r="J172" i="11"/>
  <c r="H172" i="11"/>
  <c r="F172" i="11"/>
  <c r="E172" i="11"/>
  <c r="D172" i="11"/>
  <c r="B172" i="11"/>
  <c r="AL171" i="11"/>
  <c r="V171" i="11"/>
  <c r="U171" i="11"/>
  <c r="T171" i="11"/>
  <c r="S171" i="11"/>
  <c r="R171" i="11"/>
  <c r="P171" i="11"/>
  <c r="O171" i="11"/>
  <c r="N171" i="11"/>
  <c r="J171" i="11"/>
  <c r="H171" i="11"/>
  <c r="F171" i="11"/>
  <c r="E171" i="11"/>
  <c r="D171" i="11"/>
  <c r="B171" i="11"/>
  <c r="AL170" i="11"/>
  <c r="V170" i="11"/>
  <c r="U170" i="11"/>
  <c r="T170" i="11"/>
  <c r="S170" i="11"/>
  <c r="R170" i="11"/>
  <c r="P170" i="11"/>
  <c r="O170" i="11"/>
  <c r="N170" i="11"/>
  <c r="J170" i="11"/>
  <c r="H170" i="11"/>
  <c r="F170" i="11"/>
  <c r="E170" i="11"/>
  <c r="D170" i="11"/>
  <c r="B170" i="11"/>
  <c r="AL167" i="11"/>
  <c r="V167" i="11"/>
  <c r="U167" i="11"/>
  <c r="T167" i="11"/>
  <c r="S167" i="11"/>
  <c r="R167" i="11"/>
  <c r="P167" i="11"/>
  <c r="O167" i="11"/>
  <c r="N167" i="11"/>
  <c r="J167" i="11"/>
  <c r="H167" i="11"/>
  <c r="F167" i="11"/>
  <c r="E167" i="11"/>
  <c r="D167" i="11"/>
  <c r="B167" i="11"/>
  <c r="AL166" i="11"/>
  <c r="V166" i="11"/>
  <c r="U166" i="11"/>
  <c r="T166" i="11"/>
  <c r="S166" i="11"/>
  <c r="R166" i="11"/>
  <c r="P166" i="11"/>
  <c r="O166" i="11"/>
  <c r="N166" i="11"/>
  <c r="J166" i="11"/>
  <c r="H166" i="11"/>
  <c r="F166" i="11"/>
  <c r="E166" i="11"/>
  <c r="D166" i="11"/>
  <c r="B166" i="11"/>
  <c r="AL165" i="11"/>
  <c r="V165" i="11"/>
  <c r="U165" i="11"/>
  <c r="T165" i="11"/>
  <c r="S165" i="11"/>
  <c r="R165" i="11"/>
  <c r="P165" i="11"/>
  <c r="O165" i="11"/>
  <c r="N165" i="11"/>
  <c r="J165" i="11"/>
  <c r="H165" i="11"/>
  <c r="F165" i="11"/>
  <c r="E165" i="11"/>
  <c r="D165" i="11"/>
  <c r="B165" i="11"/>
  <c r="AL164" i="11"/>
  <c r="V164" i="11"/>
  <c r="U164" i="11"/>
  <c r="T164" i="11"/>
  <c r="S164" i="11"/>
  <c r="R164" i="11"/>
  <c r="P164" i="11"/>
  <c r="O164" i="11"/>
  <c r="N164" i="11"/>
  <c r="J164" i="11"/>
  <c r="H164" i="11"/>
  <c r="F164" i="11"/>
  <c r="E164" i="11"/>
  <c r="D164" i="11"/>
  <c r="B164" i="11"/>
  <c r="AL163" i="11"/>
  <c r="V163" i="11"/>
  <c r="U163" i="11"/>
  <c r="T163" i="11"/>
  <c r="S163" i="11"/>
  <c r="R163" i="11"/>
  <c r="P163" i="11"/>
  <c r="O163" i="11"/>
  <c r="N163" i="11"/>
  <c r="J163" i="11"/>
  <c r="H163" i="11"/>
  <c r="F163" i="11"/>
  <c r="E163" i="11"/>
  <c r="D163" i="11"/>
  <c r="B163" i="11"/>
  <c r="AL160" i="11"/>
  <c r="V160" i="11"/>
  <c r="U160" i="11"/>
  <c r="T160" i="11"/>
  <c r="S160" i="11"/>
  <c r="R160" i="11"/>
  <c r="P160" i="11"/>
  <c r="O160" i="11"/>
  <c r="N160" i="11"/>
  <c r="J160" i="11"/>
  <c r="H160" i="11"/>
  <c r="F160" i="11"/>
  <c r="E160" i="11"/>
  <c r="D160" i="11"/>
  <c r="B160" i="11"/>
  <c r="AL159" i="11"/>
  <c r="V159" i="11"/>
  <c r="U159" i="11"/>
  <c r="T159" i="11"/>
  <c r="S159" i="11"/>
  <c r="R159" i="11"/>
  <c r="P159" i="11"/>
  <c r="O159" i="11"/>
  <c r="N159" i="11"/>
  <c r="J159" i="11"/>
  <c r="H159" i="11"/>
  <c r="F159" i="11"/>
  <c r="E159" i="11"/>
  <c r="D159" i="11"/>
  <c r="B159" i="11"/>
  <c r="AL158" i="11"/>
  <c r="V158" i="11"/>
  <c r="U158" i="11"/>
  <c r="T158" i="11"/>
  <c r="S158" i="11"/>
  <c r="R158" i="11"/>
  <c r="P158" i="11"/>
  <c r="O158" i="11"/>
  <c r="N158" i="11"/>
  <c r="J158" i="11"/>
  <c r="H158" i="11"/>
  <c r="F158" i="11"/>
  <c r="E158" i="11"/>
  <c r="D158" i="11"/>
  <c r="B158" i="11"/>
  <c r="AL157" i="11"/>
  <c r="V157" i="11"/>
  <c r="U157" i="11"/>
  <c r="T157" i="11"/>
  <c r="S157" i="11"/>
  <c r="R157" i="11"/>
  <c r="P157" i="11"/>
  <c r="O157" i="11"/>
  <c r="N157" i="11"/>
  <c r="J157" i="11"/>
  <c r="H157" i="11"/>
  <c r="F157" i="11"/>
  <c r="E157" i="11"/>
  <c r="D157" i="11"/>
  <c r="B157" i="11"/>
  <c r="AL156" i="11"/>
  <c r="V156" i="11"/>
  <c r="U156" i="11"/>
  <c r="T156" i="11"/>
  <c r="S156" i="11"/>
  <c r="R156" i="11"/>
  <c r="P156" i="11"/>
  <c r="O156" i="11"/>
  <c r="N156" i="11"/>
  <c r="J156" i="11"/>
  <c r="H156" i="11"/>
  <c r="F156" i="11"/>
  <c r="E156" i="11"/>
  <c r="D156" i="11"/>
  <c r="B156" i="11"/>
  <c r="AL153" i="11"/>
  <c r="V153" i="11"/>
  <c r="U153" i="11"/>
  <c r="T153" i="11"/>
  <c r="S153" i="11"/>
  <c r="R153" i="11"/>
  <c r="P153" i="11"/>
  <c r="O153" i="11"/>
  <c r="N153" i="11"/>
  <c r="J153" i="11"/>
  <c r="H153" i="11"/>
  <c r="F153" i="11"/>
  <c r="E153" i="11"/>
  <c r="D153" i="11"/>
  <c r="B153" i="11"/>
  <c r="AL152" i="11"/>
  <c r="V152" i="11"/>
  <c r="U152" i="11"/>
  <c r="T152" i="11"/>
  <c r="S152" i="11"/>
  <c r="R152" i="11"/>
  <c r="P152" i="11"/>
  <c r="O152" i="11"/>
  <c r="N152" i="11"/>
  <c r="J152" i="11"/>
  <c r="H152" i="11"/>
  <c r="F152" i="11"/>
  <c r="E152" i="11"/>
  <c r="D152" i="11"/>
  <c r="B152" i="11"/>
  <c r="AL151" i="11"/>
  <c r="V151" i="11"/>
  <c r="U151" i="11"/>
  <c r="T151" i="11"/>
  <c r="S151" i="11"/>
  <c r="R151" i="11"/>
  <c r="P151" i="11"/>
  <c r="O151" i="11"/>
  <c r="N151" i="11"/>
  <c r="J151" i="11"/>
  <c r="H151" i="11"/>
  <c r="F151" i="11"/>
  <c r="E151" i="11"/>
  <c r="D151" i="11"/>
  <c r="B151" i="11"/>
  <c r="AL150" i="11"/>
  <c r="V150" i="11"/>
  <c r="U150" i="11"/>
  <c r="T150" i="11"/>
  <c r="S150" i="11"/>
  <c r="R150" i="11"/>
  <c r="P150" i="11"/>
  <c r="O150" i="11"/>
  <c r="N150" i="11"/>
  <c r="J150" i="11"/>
  <c r="H150" i="11"/>
  <c r="F150" i="11"/>
  <c r="E150" i="11"/>
  <c r="D150" i="11"/>
  <c r="B150" i="11"/>
  <c r="AL149" i="11"/>
  <c r="V149" i="11"/>
  <c r="U149" i="11"/>
  <c r="T149" i="11"/>
  <c r="S149" i="11"/>
  <c r="R149" i="11"/>
  <c r="P149" i="11"/>
  <c r="O149" i="11"/>
  <c r="N149" i="11"/>
  <c r="J149" i="11"/>
  <c r="H149" i="11"/>
  <c r="F149" i="11"/>
  <c r="E149" i="11"/>
  <c r="D149" i="11"/>
  <c r="B149" i="11"/>
  <c r="AL146" i="11"/>
  <c r="V146" i="11"/>
  <c r="U146" i="11"/>
  <c r="T146" i="11"/>
  <c r="S146" i="11"/>
  <c r="R146" i="11"/>
  <c r="P146" i="11"/>
  <c r="O146" i="11"/>
  <c r="N146" i="11"/>
  <c r="J146" i="11"/>
  <c r="H146" i="11"/>
  <c r="F146" i="11"/>
  <c r="E146" i="11"/>
  <c r="D146" i="11"/>
  <c r="B146" i="11"/>
  <c r="AL145" i="11"/>
  <c r="V145" i="11"/>
  <c r="U145" i="11"/>
  <c r="T145" i="11"/>
  <c r="S145" i="11"/>
  <c r="R145" i="11"/>
  <c r="P145" i="11"/>
  <c r="O145" i="11"/>
  <c r="N145" i="11"/>
  <c r="J145" i="11"/>
  <c r="H145" i="11"/>
  <c r="F145" i="11"/>
  <c r="E145" i="11"/>
  <c r="D145" i="11"/>
  <c r="B145" i="11"/>
  <c r="AL144" i="11"/>
  <c r="V144" i="11"/>
  <c r="U144" i="11"/>
  <c r="T144" i="11"/>
  <c r="S144" i="11"/>
  <c r="R144" i="11"/>
  <c r="P144" i="11"/>
  <c r="O144" i="11"/>
  <c r="N144" i="11"/>
  <c r="J144" i="11"/>
  <c r="H144" i="11"/>
  <c r="F144" i="11"/>
  <c r="E144" i="11"/>
  <c r="D144" i="11"/>
  <c r="B144" i="11"/>
  <c r="AL143" i="11"/>
  <c r="V143" i="11"/>
  <c r="U143" i="11"/>
  <c r="T143" i="11"/>
  <c r="S143" i="11"/>
  <c r="R143" i="11"/>
  <c r="P143" i="11"/>
  <c r="O143" i="11"/>
  <c r="N143" i="11"/>
  <c r="J143" i="11"/>
  <c r="H143" i="11"/>
  <c r="F143" i="11"/>
  <c r="E143" i="11"/>
  <c r="D143" i="11"/>
  <c r="B143" i="11"/>
  <c r="AL142" i="11"/>
  <c r="V142" i="11"/>
  <c r="U142" i="11"/>
  <c r="T142" i="11"/>
  <c r="S142" i="11"/>
  <c r="R142" i="11"/>
  <c r="P142" i="11"/>
  <c r="O142" i="11"/>
  <c r="N142" i="11"/>
  <c r="J142" i="11"/>
  <c r="H142" i="11"/>
  <c r="F142" i="11"/>
  <c r="E142" i="11"/>
  <c r="D142" i="11"/>
  <c r="B142" i="11"/>
  <c r="AL141" i="11"/>
  <c r="V141" i="11"/>
  <c r="U141" i="11"/>
  <c r="T141" i="11"/>
  <c r="S141" i="11"/>
  <c r="R141" i="11"/>
  <c r="P141" i="11"/>
  <c r="O141" i="11"/>
  <c r="N141" i="11"/>
  <c r="J141" i="11"/>
  <c r="H141" i="11"/>
  <c r="F141" i="11"/>
  <c r="E141" i="11"/>
  <c r="D141" i="11"/>
  <c r="B141" i="11"/>
  <c r="AL140" i="11"/>
  <c r="V140" i="11"/>
  <c r="U140" i="11"/>
  <c r="T140" i="11"/>
  <c r="S140" i="11"/>
  <c r="R140" i="11"/>
  <c r="P140" i="11"/>
  <c r="O140" i="11"/>
  <c r="N140" i="11"/>
  <c r="J140" i="11"/>
  <c r="H140" i="11"/>
  <c r="F140" i="11"/>
  <c r="E140" i="11"/>
  <c r="D140" i="11"/>
  <c r="B140" i="11"/>
  <c r="AL139" i="11"/>
  <c r="V139" i="11"/>
  <c r="U139" i="11"/>
  <c r="T139" i="11"/>
  <c r="S139" i="11"/>
  <c r="R139" i="11"/>
  <c r="P139" i="11"/>
  <c r="O139" i="11"/>
  <c r="N139" i="11"/>
  <c r="J139" i="11"/>
  <c r="H139" i="11"/>
  <c r="F139" i="11"/>
  <c r="E139" i="11"/>
  <c r="D139" i="11"/>
  <c r="B139" i="11"/>
  <c r="AL138" i="11"/>
  <c r="V138" i="11"/>
  <c r="U138" i="11"/>
  <c r="T138" i="11"/>
  <c r="S138" i="11"/>
  <c r="R138" i="11"/>
  <c r="P138" i="11"/>
  <c r="O138" i="11"/>
  <c r="N138" i="11"/>
  <c r="J138" i="11"/>
  <c r="H138" i="11"/>
  <c r="F138" i="11"/>
  <c r="E138" i="11"/>
  <c r="D138" i="11"/>
  <c r="B138" i="11"/>
  <c r="AL137" i="11"/>
  <c r="V137" i="11"/>
  <c r="U137" i="11"/>
  <c r="T137" i="11"/>
  <c r="S137" i="11"/>
  <c r="R137" i="11"/>
  <c r="P137" i="11"/>
  <c r="O137" i="11"/>
  <c r="N137" i="11"/>
  <c r="J137" i="11"/>
  <c r="H137" i="11"/>
  <c r="F137" i="11"/>
  <c r="E137" i="11"/>
  <c r="D137" i="11"/>
  <c r="B137" i="11"/>
  <c r="AL136" i="11"/>
  <c r="V136" i="11"/>
  <c r="U136" i="11"/>
  <c r="T136" i="11"/>
  <c r="S136" i="11"/>
  <c r="R136" i="11"/>
  <c r="P136" i="11"/>
  <c r="O136" i="11"/>
  <c r="N136" i="11"/>
  <c r="J136" i="11"/>
  <c r="H136" i="11"/>
  <c r="F136" i="11"/>
  <c r="E136" i="11"/>
  <c r="D136" i="11"/>
  <c r="B136" i="11"/>
  <c r="AL135" i="11"/>
  <c r="V135" i="11"/>
  <c r="U135" i="11"/>
  <c r="T135" i="11"/>
  <c r="S135" i="11"/>
  <c r="R135" i="11"/>
  <c r="P135" i="11"/>
  <c r="O135" i="11"/>
  <c r="N135" i="11"/>
  <c r="J135" i="11"/>
  <c r="H135" i="11"/>
  <c r="F135" i="11"/>
  <c r="E135" i="11"/>
  <c r="D135" i="11"/>
  <c r="B135" i="11"/>
  <c r="AL134" i="11"/>
  <c r="V134" i="11"/>
  <c r="U134" i="11"/>
  <c r="T134" i="11"/>
  <c r="S134" i="11"/>
  <c r="R134" i="11"/>
  <c r="P134" i="11"/>
  <c r="O134" i="11"/>
  <c r="N134" i="11"/>
  <c r="J134" i="11"/>
  <c r="H134" i="11"/>
  <c r="F134" i="11"/>
  <c r="E134" i="11"/>
  <c r="D134" i="11"/>
  <c r="B134" i="11"/>
  <c r="AL133" i="11"/>
  <c r="V133" i="11"/>
  <c r="U133" i="11"/>
  <c r="T133" i="11"/>
  <c r="S133" i="11"/>
  <c r="R133" i="11"/>
  <c r="P133" i="11"/>
  <c r="O133" i="11"/>
  <c r="N133" i="11"/>
  <c r="J133" i="11"/>
  <c r="H133" i="11"/>
  <c r="F133" i="11"/>
  <c r="E133" i="11"/>
  <c r="D133" i="11"/>
  <c r="B133" i="11"/>
  <c r="AL132" i="11"/>
  <c r="V132" i="11"/>
  <c r="U132" i="11"/>
  <c r="T132" i="11"/>
  <c r="S132" i="11"/>
  <c r="R132" i="11"/>
  <c r="P132" i="11"/>
  <c r="O132" i="11"/>
  <c r="N132" i="11"/>
  <c r="J132" i="11"/>
  <c r="H132" i="11"/>
  <c r="F132" i="11"/>
  <c r="E132" i="11"/>
  <c r="D132" i="11"/>
  <c r="B132" i="11"/>
  <c r="AL131" i="11"/>
  <c r="V131" i="11"/>
  <c r="U131" i="11"/>
  <c r="T131" i="11"/>
  <c r="S131" i="11"/>
  <c r="R131" i="11"/>
  <c r="P131" i="11"/>
  <c r="O131" i="11"/>
  <c r="N131" i="11"/>
  <c r="J131" i="11"/>
  <c r="H131" i="11"/>
  <c r="F131" i="11"/>
  <c r="E131" i="11"/>
  <c r="D131" i="11"/>
  <c r="B131" i="11"/>
  <c r="AL130" i="11"/>
  <c r="V130" i="11"/>
  <c r="U130" i="11"/>
  <c r="T130" i="11"/>
  <c r="S130" i="11"/>
  <c r="R130" i="11"/>
  <c r="P130" i="11"/>
  <c r="O130" i="11"/>
  <c r="N130" i="11"/>
  <c r="J130" i="11"/>
  <c r="H130" i="11"/>
  <c r="F130" i="11"/>
  <c r="E130" i="11"/>
  <c r="D130" i="11"/>
  <c r="B130" i="11"/>
  <c r="AL129" i="11"/>
  <c r="V129" i="11"/>
  <c r="U129" i="11"/>
  <c r="T129" i="11"/>
  <c r="S129" i="11"/>
  <c r="R129" i="11"/>
  <c r="P129" i="11"/>
  <c r="O129" i="11"/>
  <c r="N129" i="11"/>
  <c r="J129" i="11"/>
  <c r="H129" i="11"/>
  <c r="F129" i="11"/>
  <c r="E129" i="11"/>
  <c r="D129" i="11"/>
  <c r="B129" i="11"/>
  <c r="AL128" i="11"/>
  <c r="V128" i="11"/>
  <c r="U128" i="11"/>
  <c r="T128" i="11"/>
  <c r="S128" i="11"/>
  <c r="R128" i="11"/>
  <c r="P128" i="11"/>
  <c r="O128" i="11"/>
  <c r="N128" i="11"/>
  <c r="J128" i="11"/>
  <c r="H128" i="11"/>
  <c r="F128" i="11"/>
  <c r="E128" i="11"/>
  <c r="D128" i="11"/>
  <c r="B128" i="11"/>
  <c r="AL127" i="11"/>
  <c r="V127" i="11"/>
  <c r="U127" i="11"/>
  <c r="T127" i="11"/>
  <c r="S127" i="11"/>
  <c r="R127" i="11"/>
  <c r="P127" i="11"/>
  <c r="O127" i="11"/>
  <c r="N127" i="11"/>
  <c r="J127" i="11"/>
  <c r="H127" i="11"/>
  <c r="F127" i="11"/>
  <c r="E127" i="11"/>
  <c r="D127" i="11"/>
  <c r="B127" i="11"/>
  <c r="AL126" i="11"/>
  <c r="V126" i="11"/>
  <c r="U126" i="11"/>
  <c r="T126" i="11"/>
  <c r="S126" i="11"/>
  <c r="R126" i="11"/>
  <c r="P126" i="11"/>
  <c r="O126" i="11"/>
  <c r="N126" i="11"/>
  <c r="J126" i="11"/>
  <c r="H126" i="11"/>
  <c r="F126" i="11"/>
  <c r="E126" i="11"/>
  <c r="D126" i="11"/>
  <c r="B126" i="11"/>
  <c r="AL125" i="11"/>
  <c r="V125" i="11"/>
  <c r="U125" i="11"/>
  <c r="T125" i="11"/>
  <c r="S125" i="11"/>
  <c r="R125" i="11"/>
  <c r="P125" i="11"/>
  <c r="O125" i="11"/>
  <c r="N125" i="11"/>
  <c r="J125" i="11"/>
  <c r="H125" i="11"/>
  <c r="F125" i="11"/>
  <c r="E125" i="11"/>
  <c r="D125" i="11"/>
  <c r="B125" i="11"/>
  <c r="AL124" i="11"/>
  <c r="V124" i="11"/>
  <c r="U124" i="11"/>
  <c r="T124" i="11"/>
  <c r="S124" i="11"/>
  <c r="R124" i="11"/>
  <c r="P124" i="11"/>
  <c r="O124" i="11"/>
  <c r="N124" i="11"/>
  <c r="J124" i="11"/>
  <c r="H124" i="11"/>
  <c r="F124" i="11"/>
  <c r="E124" i="11"/>
  <c r="D124" i="11"/>
  <c r="B124" i="11"/>
  <c r="AL123" i="11"/>
  <c r="V123" i="11"/>
  <c r="U123" i="11"/>
  <c r="T123" i="11"/>
  <c r="S123" i="11"/>
  <c r="R123" i="11"/>
  <c r="P123" i="11"/>
  <c r="O123" i="11"/>
  <c r="N123" i="11"/>
  <c r="J123" i="11"/>
  <c r="H123" i="11"/>
  <c r="F123" i="11"/>
  <c r="E123" i="11"/>
  <c r="D123" i="11"/>
  <c r="B123" i="11"/>
  <c r="AL122" i="11"/>
  <c r="V122" i="11"/>
  <c r="U122" i="11"/>
  <c r="T122" i="11"/>
  <c r="S122" i="11"/>
  <c r="R122" i="11"/>
  <c r="P122" i="11"/>
  <c r="O122" i="11"/>
  <c r="N122" i="11"/>
  <c r="J122" i="11"/>
  <c r="H122" i="11"/>
  <c r="F122" i="11"/>
  <c r="E122" i="11"/>
  <c r="D122" i="11"/>
  <c r="B122" i="11"/>
  <c r="AL121" i="11"/>
  <c r="V121" i="11"/>
  <c r="U121" i="11"/>
  <c r="T121" i="11"/>
  <c r="S121" i="11"/>
  <c r="R121" i="11"/>
  <c r="P121" i="11"/>
  <c r="O121" i="11"/>
  <c r="N121" i="11"/>
  <c r="J121" i="11"/>
  <c r="H121" i="11"/>
  <c r="F121" i="11"/>
  <c r="E121" i="11"/>
  <c r="D121" i="11"/>
  <c r="B121" i="11"/>
  <c r="AL120" i="11"/>
  <c r="V120" i="11"/>
  <c r="U120" i="11"/>
  <c r="T120" i="11"/>
  <c r="S120" i="11"/>
  <c r="R120" i="11"/>
  <c r="P120" i="11"/>
  <c r="O120" i="11"/>
  <c r="N120" i="11"/>
  <c r="J120" i="11"/>
  <c r="H120" i="11"/>
  <c r="F120" i="11"/>
  <c r="E120" i="11"/>
  <c r="D120" i="11"/>
  <c r="B120" i="11"/>
  <c r="AL119" i="11"/>
  <c r="V119" i="11"/>
  <c r="U119" i="11"/>
  <c r="T119" i="11"/>
  <c r="S119" i="11"/>
  <c r="R119" i="11"/>
  <c r="P119" i="11"/>
  <c r="O119" i="11"/>
  <c r="N119" i="11"/>
  <c r="J119" i="11"/>
  <c r="H119" i="11"/>
  <c r="F119" i="11"/>
  <c r="E119" i="11"/>
  <c r="D119" i="11"/>
  <c r="B119" i="11"/>
  <c r="AL118" i="11"/>
  <c r="V118" i="11"/>
  <c r="U118" i="11"/>
  <c r="T118" i="11"/>
  <c r="S118" i="11"/>
  <c r="R118" i="11"/>
  <c r="P118" i="11"/>
  <c r="O118" i="11"/>
  <c r="N118" i="11"/>
  <c r="J118" i="11"/>
  <c r="H118" i="11"/>
  <c r="F118" i="11"/>
  <c r="E118" i="11"/>
  <c r="D118" i="11"/>
  <c r="B118" i="11"/>
  <c r="AL117" i="11"/>
  <c r="V117" i="11"/>
  <c r="U117" i="11"/>
  <c r="T117" i="11"/>
  <c r="S117" i="11"/>
  <c r="R117" i="11"/>
  <c r="P117" i="11"/>
  <c r="O117" i="11"/>
  <c r="N117" i="11"/>
  <c r="J117" i="11"/>
  <c r="H117" i="11"/>
  <c r="F117" i="11"/>
  <c r="E117" i="11"/>
  <c r="D117" i="11"/>
  <c r="B117" i="11"/>
  <c r="AL114" i="11"/>
  <c r="V114" i="11"/>
  <c r="U114" i="11"/>
  <c r="T114" i="11"/>
  <c r="S114" i="11"/>
  <c r="R114" i="11"/>
  <c r="P114" i="11"/>
  <c r="O114" i="11"/>
  <c r="N114" i="11"/>
  <c r="J114" i="11"/>
  <c r="H114" i="11"/>
  <c r="F114" i="11"/>
  <c r="E114" i="11"/>
  <c r="D114" i="11"/>
  <c r="B114" i="11"/>
  <c r="AL113" i="11"/>
  <c r="V113" i="11"/>
  <c r="U113" i="11"/>
  <c r="T113" i="11"/>
  <c r="S113" i="11"/>
  <c r="R113" i="11"/>
  <c r="P113" i="11"/>
  <c r="O113" i="11"/>
  <c r="N113" i="11"/>
  <c r="J113" i="11"/>
  <c r="H113" i="11"/>
  <c r="F113" i="11"/>
  <c r="E113" i="11"/>
  <c r="D113" i="11"/>
  <c r="B113" i="11"/>
  <c r="AL112" i="11"/>
  <c r="V112" i="11"/>
  <c r="U112" i="11"/>
  <c r="T112" i="11"/>
  <c r="S112" i="11"/>
  <c r="R112" i="11"/>
  <c r="P112" i="11"/>
  <c r="O112" i="11"/>
  <c r="N112" i="11"/>
  <c r="J112" i="11"/>
  <c r="H112" i="11"/>
  <c r="F112" i="11"/>
  <c r="E112" i="11"/>
  <c r="D112" i="11"/>
  <c r="B112" i="11"/>
  <c r="AL111" i="11"/>
  <c r="V111" i="11"/>
  <c r="U111" i="11"/>
  <c r="T111" i="11"/>
  <c r="S111" i="11"/>
  <c r="R111" i="11"/>
  <c r="P111" i="11"/>
  <c r="O111" i="11"/>
  <c r="N111" i="11"/>
  <c r="J111" i="11"/>
  <c r="H111" i="11"/>
  <c r="F111" i="11"/>
  <c r="E111" i="11"/>
  <c r="D111" i="11"/>
  <c r="B111" i="11"/>
  <c r="AL110" i="11"/>
  <c r="V110" i="11"/>
  <c r="U110" i="11"/>
  <c r="T110" i="11"/>
  <c r="S110" i="11"/>
  <c r="R110" i="11"/>
  <c r="P110" i="11"/>
  <c r="O110" i="11"/>
  <c r="N110" i="11"/>
  <c r="J110" i="11"/>
  <c r="H110" i="11"/>
  <c r="F110" i="11"/>
  <c r="E110" i="11"/>
  <c r="D110" i="11"/>
  <c r="B110" i="11"/>
  <c r="AL107" i="11"/>
  <c r="V107" i="11"/>
  <c r="U107" i="11"/>
  <c r="T107" i="11"/>
  <c r="S107" i="11"/>
  <c r="R107" i="11"/>
  <c r="P107" i="11"/>
  <c r="O107" i="11"/>
  <c r="N107" i="11"/>
  <c r="J107" i="11"/>
  <c r="H107" i="11"/>
  <c r="F107" i="11"/>
  <c r="E107" i="11"/>
  <c r="D107" i="11"/>
  <c r="B107" i="11"/>
  <c r="AL106" i="11"/>
  <c r="V106" i="11"/>
  <c r="U106" i="11"/>
  <c r="T106" i="11"/>
  <c r="S106" i="11"/>
  <c r="R106" i="11"/>
  <c r="P106" i="11"/>
  <c r="O106" i="11"/>
  <c r="N106" i="11"/>
  <c r="J106" i="11"/>
  <c r="H106" i="11"/>
  <c r="F106" i="11"/>
  <c r="E106" i="11"/>
  <c r="D106" i="11"/>
  <c r="B106" i="11"/>
  <c r="AL105" i="11"/>
  <c r="V105" i="11"/>
  <c r="U105" i="11"/>
  <c r="T105" i="11"/>
  <c r="S105" i="11"/>
  <c r="R105" i="11"/>
  <c r="P105" i="11"/>
  <c r="O105" i="11"/>
  <c r="N105" i="11"/>
  <c r="J105" i="11"/>
  <c r="H105" i="11"/>
  <c r="F105" i="11"/>
  <c r="E105" i="11"/>
  <c r="D105" i="11"/>
  <c r="B105" i="11"/>
  <c r="AL104" i="11"/>
  <c r="V104" i="11"/>
  <c r="U104" i="11"/>
  <c r="T104" i="11"/>
  <c r="S104" i="11"/>
  <c r="R104" i="11"/>
  <c r="P104" i="11"/>
  <c r="O104" i="11"/>
  <c r="N104" i="11"/>
  <c r="J104" i="11"/>
  <c r="H104" i="11"/>
  <c r="F104" i="11"/>
  <c r="E104" i="11"/>
  <c r="D104" i="11"/>
  <c r="B104" i="11"/>
  <c r="AL103" i="11"/>
  <c r="V103" i="11"/>
  <c r="U103" i="11"/>
  <c r="T103" i="11"/>
  <c r="S103" i="11"/>
  <c r="R103" i="11"/>
  <c r="P103" i="11"/>
  <c r="O103" i="11"/>
  <c r="N103" i="11"/>
  <c r="J103" i="11"/>
  <c r="H103" i="11"/>
  <c r="F103" i="11"/>
  <c r="E103" i="11"/>
  <c r="D103" i="11"/>
  <c r="B103" i="11"/>
  <c r="AL100" i="11"/>
  <c r="V100" i="11"/>
  <c r="U100" i="11"/>
  <c r="T100" i="11"/>
  <c r="S100" i="11"/>
  <c r="R100" i="11"/>
  <c r="P100" i="11"/>
  <c r="O100" i="11"/>
  <c r="N100" i="11"/>
  <c r="J100" i="11"/>
  <c r="H100" i="11"/>
  <c r="F100" i="11"/>
  <c r="E100" i="11"/>
  <c r="D100" i="11"/>
  <c r="B100" i="11"/>
  <c r="AL99" i="11"/>
  <c r="V99" i="11"/>
  <c r="U99" i="11"/>
  <c r="T99" i="11"/>
  <c r="S99" i="11"/>
  <c r="R99" i="11"/>
  <c r="P99" i="11"/>
  <c r="O99" i="11"/>
  <c r="N99" i="11"/>
  <c r="J99" i="11"/>
  <c r="H99" i="11"/>
  <c r="F99" i="11"/>
  <c r="E99" i="11"/>
  <c r="D99" i="11"/>
  <c r="B99" i="11"/>
  <c r="AL98" i="11"/>
  <c r="V98" i="11"/>
  <c r="U98" i="11"/>
  <c r="T98" i="11"/>
  <c r="S98" i="11"/>
  <c r="R98" i="11"/>
  <c r="P98" i="11"/>
  <c r="O98" i="11"/>
  <c r="N98" i="11"/>
  <c r="J98" i="11"/>
  <c r="H98" i="11"/>
  <c r="F98" i="11"/>
  <c r="E98" i="11"/>
  <c r="D98" i="11"/>
  <c r="B98" i="11"/>
  <c r="AL97" i="11"/>
  <c r="V97" i="11"/>
  <c r="U97" i="11"/>
  <c r="T97" i="11"/>
  <c r="S97" i="11"/>
  <c r="R97" i="11"/>
  <c r="P97" i="11"/>
  <c r="O97" i="11"/>
  <c r="N97" i="11"/>
  <c r="J97" i="11"/>
  <c r="H97" i="11"/>
  <c r="F97" i="11"/>
  <c r="E97" i="11"/>
  <c r="D97" i="11"/>
  <c r="B97" i="11"/>
  <c r="AL96" i="11"/>
  <c r="V96" i="11"/>
  <c r="U96" i="11"/>
  <c r="T96" i="11"/>
  <c r="S96" i="11"/>
  <c r="R96" i="11"/>
  <c r="P96" i="11"/>
  <c r="O96" i="11"/>
  <c r="N96" i="11"/>
  <c r="J96" i="11"/>
  <c r="H96" i="11"/>
  <c r="F96" i="11"/>
  <c r="E96" i="11"/>
  <c r="D96" i="11"/>
  <c r="B96" i="11"/>
  <c r="AL93" i="11"/>
  <c r="V93" i="11"/>
  <c r="U93" i="11"/>
  <c r="T93" i="11"/>
  <c r="S93" i="11"/>
  <c r="R93" i="11"/>
  <c r="P93" i="11"/>
  <c r="O93" i="11"/>
  <c r="N93" i="11"/>
  <c r="J93" i="11"/>
  <c r="H93" i="11"/>
  <c r="F93" i="11"/>
  <c r="E93" i="11"/>
  <c r="D93" i="11"/>
  <c r="B93" i="11"/>
  <c r="AL92" i="11"/>
  <c r="V92" i="11"/>
  <c r="U92" i="11"/>
  <c r="T92" i="11"/>
  <c r="S92" i="11"/>
  <c r="R92" i="11"/>
  <c r="P92" i="11"/>
  <c r="O92" i="11"/>
  <c r="N92" i="11"/>
  <c r="J92" i="11"/>
  <c r="H92" i="11"/>
  <c r="F92" i="11"/>
  <c r="E92" i="11"/>
  <c r="D92" i="11"/>
  <c r="B92" i="11"/>
  <c r="AL91" i="11"/>
  <c r="V91" i="11"/>
  <c r="U91" i="11"/>
  <c r="T91" i="11"/>
  <c r="S91" i="11"/>
  <c r="R91" i="11"/>
  <c r="P91" i="11"/>
  <c r="O91" i="11"/>
  <c r="N91" i="11"/>
  <c r="J91" i="11"/>
  <c r="H91" i="11"/>
  <c r="F91" i="11"/>
  <c r="E91" i="11"/>
  <c r="D91" i="11"/>
  <c r="B91" i="11"/>
  <c r="AL90" i="11"/>
  <c r="V90" i="11"/>
  <c r="U90" i="11"/>
  <c r="T90" i="11"/>
  <c r="S90" i="11"/>
  <c r="R90" i="11"/>
  <c r="P90" i="11"/>
  <c r="O90" i="11"/>
  <c r="N90" i="11"/>
  <c r="J90" i="11"/>
  <c r="H90" i="11"/>
  <c r="F90" i="11"/>
  <c r="E90" i="11"/>
  <c r="D90" i="11"/>
  <c r="B90" i="11"/>
  <c r="AL89" i="11"/>
  <c r="V89" i="11"/>
  <c r="U89" i="11"/>
  <c r="T89" i="11"/>
  <c r="S89" i="11"/>
  <c r="R89" i="11"/>
  <c r="P89" i="11"/>
  <c r="O89" i="11"/>
  <c r="N89" i="11"/>
  <c r="J89" i="11"/>
  <c r="H89" i="11"/>
  <c r="F89" i="11"/>
  <c r="E89" i="11"/>
  <c r="D89" i="11"/>
  <c r="B89" i="11"/>
  <c r="AL86" i="11"/>
  <c r="V86" i="11"/>
  <c r="U86" i="11"/>
  <c r="T86" i="11"/>
  <c r="S86" i="11"/>
  <c r="R86" i="11"/>
  <c r="P86" i="11"/>
  <c r="O86" i="11"/>
  <c r="N86" i="11"/>
  <c r="J86" i="11"/>
  <c r="H86" i="11"/>
  <c r="F86" i="11"/>
  <c r="E86" i="11"/>
  <c r="D86" i="11"/>
  <c r="B86" i="11"/>
  <c r="AL85" i="11"/>
  <c r="V85" i="11"/>
  <c r="U85" i="11"/>
  <c r="T85" i="11"/>
  <c r="S85" i="11"/>
  <c r="R85" i="11"/>
  <c r="P85" i="11"/>
  <c r="O85" i="11"/>
  <c r="N85" i="11"/>
  <c r="J85" i="11"/>
  <c r="H85" i="11"/>
  <c r="F85" i="11"/>
  <c r="E85" i="11"/>
  <c r="D85" i="11"/>
  <c r="B85" i="11"/>
  <c r="AL84" i="11"/>
  <c r="V84" i="11"/>
  <c r="U84" i="11"/>
  <c r="T84" i="11"/>
  <c r="S84" i="11"/>
  <c r="R84" i="11"/>
  <c r="P84" i="11"/>
  <c r="O84" i="11"/>
  <c r="N84" i="11"/>
  <c r="J84" i="11"/>
  <c r="H84" i="11"/>
  <c r="F84" i="11"/>
  <c r="E84" i="11"/>
  <c r="D84" i="11"/>
  <c r="B84" i="11"/>
  <c r="AL83" i="11"/>
  <c r="V83" i="11"/>
  <c r="U83" i="11"/>
  <c r="T83" i="11"/>
  <c r="S83" i="11"/>
  <c r="R83" i="11"/>
  <c r="P83" i="11"/>
  <c r="O83" i="11"/>
  <c r="N83" i="11"/>
  <c r="J83" i="11"/>
  <c r="H83" i="11"/>
  <c r="F83" i="11"/>
  <c r="E83" i="11"/>
  <c r="D83" i="11"/>
  <c r="B83" i="11"/>
  <c r="AL82" i="11"/>
  <c r="V82" i="11"/>
  <c r="U82" i="11"/>
  <c r="T82" i="11"/>
  <c r="S82" i="11"/>
  <c r="R82" i="11"/>
  <c r="P82" i="11"/>
  <c r="O82" i="11"/>
  <c r="N82" i="11"/>
  <c r="J82" i="11"/>
  <c r="H82" i="11"/>
  <c r="F82" i="11"/>
  <c r="E82" i="11"/>
  <c r="D82" i="11"/>
  <c r="B82" i="11"/>
  <c r="AL79" i="11"/>
  <c r="V79" i="11"/>
  <c r="U79" i="11"/>
  <c r="T79" i="11"/>
  <c r="S79" i="11"/>
  <c r="R79" i="11"/>
  <c r="P79" i="11"/>
  <c r="O79" i="11"/>
  <c r="N79" i="11"/>
  <c r="J79" i="11"/>
  <c r="H79" i="11"/>
  <c r="F79" i="11"/>
  <c r="E79" i="11"/>
  <c r="D79" i="11"/>
  <c r="B79" i="11"/>
  <c r="AL78" i="11"/>
  <c r="V78" i="11"/>
  <c r="U78" i="11"/>
  <c r="T78" i="11"/>
  <c r="S78" i="11"/>
  <c r="R78" i="11"/>
  <c r="P78" i="11"/>
  <c r="O78" i="11"/>
  <c r="N78" i="11"/>
  <c r="J78" i="11"/>
  <c r="H78" i="11"/>
  <c r="F78" i="11"/>
  <c r="E78" i="11"/>
  <c r="D78" i="11"/>
  <c r="B78" i="11"/>
  <c r="AL77" i="11"/>
  <c r="V77" i="11"/>
  <c r="U77" i="11"/>
  <c r="T77" i="11"/>
  <c r="S77" i="11"/>
  <c r="R77" i="11"/>
  <c r="P77" i="11"/>
  <c r="O77" i="11"/>
  <c r="N77" i="11"/>
  <c r="J77" i="11"/>
  <c r="H77" i="11"/>
  <c r="F77" i="11"/>
  <c r="E77" i="11"/>
  <c r="D77" i="11"/>
  <c r="B77" i="11"/>
  <c r="AL76" i="11"/>
  <c r="V76" i="11"/>
  <c r="U76" i="11"/>
  <c r="T76" i="11"/>
  <c r="S76" i="11"/>
  <c r="R76" i="11"/>
  <c r="P76" i="11"/>
  <c r="O76" i="11"/>
  <c r="N76" i="11"/>
  <c r="J76" i="11"/>
  <c r="H76" i="11"/>
  <c r="F76" i="11"/>
  <c r="E76" i="11"/>
  <c r="D76" i="11"/>
  <c r="B76" i="11"/>
  <c r="AL75" i="11"/>
  <c r="V75" i="11"/>
  <c r="U75" i="11"/>
  <c r="T75" i="11"/>
  <c r="S75" i="11"/>
  <c r="R75" i="11"/>
  <c r="P75" i="11"/>
  <c r="O75" i="11"/>
  <c r="N75" i="11"/>
  <c r="J75" i="11"/>
  <c r="H75" i="11"/>
  <c r="F75" i="11"/>
  <c r="E75" i="11"/>
  <c r="D75" i="11"/>
  <c r="B75" i="11"/>
  <c r="AL72" i="11"/>
  <c r="V72" i="11"/>
  <c r="U72" i="11"/>
  <c r="T72" i="11"/>
  <c r="S72" i="11"/>
  <c r="R72" i="11"/>
  <c r="P72" i="11"/>
  <c r="O72" i="11"/>
  <c r="N72" i="11"/>
  <c r="J72" i="11"/>
  <c r="H72" i="11"/>
  <c r="F72" i="11"/>
  <c r="E72" i="11"/>
  <c r="D72" i="11"/>
  <c r="B72" i="11"/>
  <c r="AL71" i="11"/>
  <c r="V71" i="11"/>
  <c r="U71" i="11"/>
  <c r="T71" i="11"/>
  <c r="S71" i="11"/>
  <c r="R71" i="11"/>
  <c r="P71" i="11"/>
  <c r="O71" i="11"/>
  <c r="N71" i="11"/>
  <c r="J71" i="11"/>
  <c r="H71" i="11"/>
  <c r="F71" i="11"/>
  <c r="E71" i="11"/>
  <c r="D71" i="11"/>
  <c r="B71" i="11"/>
  <c r="AL70" i="11"/>
  <c r="V70" i="11"/>
  <c r="U70" i="11"/>
  <c r="T70" i="11"/>
  <c r="S70" i="11"/>
  <c r="R70" i="11"/>
  <c r="P70" i="11"/>
  <c r="O70" i="11"/>
  <c r="N70" i="11"/>
  <c r="J70" i="11"/>
  <c r="H70" i="11"/>
  <c r="F70" i="11"/>
  <c r="E70" i="11"/>
  <c r="D70" i="11"/>
  <c r="B70" i="11"/>
  <c r="AL69" i="11"/>
  <c r="V69" i="11"/>
  <c r="U69" i="11"/>
  <c r="T69" i="11"/>
  <c r="S69" i="11"/>
  <c r="R69" i="11"/>
  <c r="P69" i="11"/>
  <c r="O69" i="11"/>
  <c r="N69" i="11"/>
  <c r="J69" i="11"/>
  <c r="H69" i="11"/>
  <c r="F69" i="11"/>
  <c r="E69" i="11"/>
  <c r="D69" i="11"/>
  <c r="B69" i="11"/>
  <c r="AL68" i="11"/>
  <c r="V68" i="11"/>
  <c r="U68" i="11"/>
  <c r="T68" i="11"/>
  <c r="S68" i="11"/>
  <c r="R68" i="11"/>
  <c r="P68" i="11"/>
  <c r="O68" i="11"/>
  <c r="N68" i="11"/>
  <c r="J68" i="11"/>
  <c r="H68" i="11"/>
  <c r="F68" i="11"/>
  <c r="E68" i="11"/>
  <c r="D68" i="11"/>
  <c r="B68" i="11"/>
  <c r="AL67" i="11"/>
  <c r="V67" i="11"/>
  <c r="U67" i="11"/>
  <c r="T67" i="11"/>
  <c r="S67" i="11"/>
  <c r="R67" i="11"/>
  <c r="P67" i="11"/>
  <c r="O67" i="11"/>
  <c r="N67" i="11"/>
  <c r="J67" i="11"/>
  <c r="H67" i="11"/>
  <c r="F67" i="11"/>
  <c r="E67" i="11"/>
  <c r="D67" i="11"/>
  <c r="B67" i="11"/>
  <c r="AL66" i="11"/>
  <c r="V66" i="11"/>
  <c r="U66" i="11"/>
  <c r="T66" i="11"/>
  <c r="S66" i="11"/>
  <c r="R66" i="11"/>
  <c r="P66" i="11"/>
  <c r="O66" i="11"/>
  <c r="N66" i="11"/>
  <c r="J66" i="11"/>
  <c r="H66" i="11"/>
  <c r="F66" i="11"/>
  <c r="E66" i="11"/>
  <c r="D66" i="11"/>
  <c r="B66" i="11"/>
  <c r="AL65" i="11"/>
  <c r="V65" i="11"/>
  <c r="U65" i="11"/>
  <c r="T65" i="11"/>
  <c r="S65" i="11"/>
  <c r="R65" i="11"/>
  <c r="P65" i="11"/>
  <c r="O65" i="11"/>
  <c r="N65" i="11"/>
  <c r="J65" i="11"/>
  <c r="H65" i="11"/>
  <c r="F65" i="11"/>
  <c r="E65" i="11"/>
  <c r="D65" i="11"/>
  <c r="B65" i="11"/>
  <c r="AL64" i="11"/>
  <c r="V64" i="11"/>
  <c r="U64" i="11"/>
  <c r="T64" i="11"/>
  <c r="S64" i="11"/>
  <c r="R64" i="11"/>
  <c r="P64" i="11"/>
  <c r="O64" i="11"/>
  <c r="N64" i="11"/>
  <c r="J64" i="11"/>
  <c r="H64" i="11"/>
  <c r="F64" i="11"/>
  <c r="E64" i="11"/>
  <c r="D64" i="11"/>
  <c r="B64" i="11"/>
  <c r="AL63" i="11"/>
  <c r="V63" i="11"/>
  <c r="U63" i="11"/>
  <c r="T63" i="11"/>
  <c r="S63" i="11"/>
  <c r="R63" i="11"/>
  <c r="P63" i="11"/>
  <c r="O63" i="11"/>
  <c r="N63" i="11"/>
  <c r="J63" i="11"/>
  <c r="H63" i="11"/>
  <c r="F63" i="11"/>
  <c r="E63" i="11"/>
  <c r="D63" i="11"/>
  <c r="B63" i="11"/>
  <c r="AL62" i="11"/>
  <c r="V62" i="11"/>
  <c r="U62" i="11"/>
  <c r="T62" i="11"/>
  <c r="S62" i="11"/>
  <c r="R62" i="11"/>
  <c r="P62" i="11"/>
  <c r="O62" i="11"/>
  <c r="N62" i="11"/>
  <c r="J62" i="11"/>
  <c r="H62" i="11"/>
  <c r="F62" i="11"/>
  <c r="E62" i="11"/>
  <c r="D62" i="11"/>
  <c r="B62" i="11"/>
  <c r="AL61" i="11"/>
  <c r="V61" i="11"/>
  <c r="U61" i="11"/>
  <c r="T61" i="11"/>
  <c r="S61" i="11"/>
  <c r="R61" i="11"/>
  <c r="P61" i="11"/>
  <c r="O61" i="11"/>
  <c r="N61" i="11"/>
  <c r="J61" i="11"/>
  <c r="H61" i="11"/>
  <c r="F61" i="11"/>
  <c r="E61" i="11"/>
  <c r="D61" i="11"/>
  <c r="B61" i="11"/>
  <c r="AL60" i="11"/>
  <c r="V60" i="11"/>
  <c r="U60" i="11"/>
  <c r="T60" i="11"/>
  <c r="S60" i="11"/>
  <c r="R60" i="11"/>
  <c r="P60" i="11"/>
  <c r="O60" i="11"/>
  <c r="N60" i="11"/>
  <c r="J60" i="11"/>
  <c r="H60" i="11"/>
  <c r="F60" i="11"/>
  <c r="E60" i="11"/>
  <c r="D60" i="11"/>
  <c r="B60" i="11"/>
  <c r="AL59" i="11"/>
  <c r="V59" i="11"/>
  <c r="U59" i="11"/>
  <c r="T59" i="11"/>
  <c r="S59" i="11"/>
  <c r="R59" i="11"/>
  <c r="P59" i="11"/>
  <c r="O59" i="11"/>
  <c r="N59" i="11"/>
  <c r="J59" i="11"/>
  <c r="H59" i="11"/>
  <c r="F59" i="11"/>
  <c r="E59" i="11"/>
  <c r="D59" i="11"/>
  <c r="B59" i="11"/>
  <c r="AL58" i="11"/>
  <c r="V58" i="11"/>
  <c r="U58" i="11"/>
  <c r="T58" i="11"/>
  <c r="S58" i="11"/>
  <c r="R58" i="11"/>
  <c r="P58" i="11"/>
  <c r="O58" i="11"/>
  <c r="N58" i="11"/>
  <c r="J58" i="11"/>
  <c r="H58" i="11"/>
  <c r="F58" i="11"/>
  <c r="E58" i="11"/>
  <c r="D58" i="11"/>
  <c r="B58" i="11"/>
  <c r="AL55" i="11"/>
  <c r="V55" i="11"/>
  <c r="U55" i="11"/>
  <c r="T55" i="11"/>
  <c r="S55" i="11"/>
  <c r="R55" i="11"/>
  <c r="P55" i="11"/>
  <c r="O55" i="11"/>
  <c r="N55" i="11"/>
  <c r="J55" i="11"/>
  <c r="H55" i="11"/>
  <c r="F55" i="11"/>
  <c r="E55" i="11"/>
  <c r="D55" i="11"/>
  <c r="B55" i="11"/>
  <c r="AL54" i="11"/>
  <c r="V54" i="11"/>
  <c r="U54" i="11"/>
  <c r="T54" i="11"/>
  <c r="S54" i="11"/>
  <c r="R54" i="11"/>
  <c r="P54" i="11"/>
  <c r="O54" i="11"/>
  <c r="N54" i="11"/>
  <c r="J54" i="11"/>
  <c r="H54" i="11"/>
  <c r="F54" i="11"/>
  <c r="E54" i="11"/>
  <c r="D54" i="11"/>
  <c r="B54" i="11"/>
  <c r="AL53" i="11"/>
  <c r="V53" i="11"/>
  <c r="U53" i="11"/>
  <c r="T53" i="11"/>
  <c r="S53" i="11"/>
  <c r="R53" i="11"/>
  <c r="P53" i="11"/>
  <c r="O53" i="11"/>
  <c r="N53" i="11"/>
  <c r="J53" i="11"/>
  <c r="H53" i="11"/>
  <c r="F53" i="11"/>
  <c r="E53" i="11"/>
  <c r="D53" i="11"/>
  <c r="B53" i="11"/>
  <c r="AL52" i="11"/>
  <c r="V52" i="11"/>
  <c r="U52" i="11"/>
  <c r="T52" i="11"/>
  <c r="S52" i="11"/>
  <c r="R52" i="11"/>
  <c r="P52" i="11"/>
  <c r="O52" i="11"/>
  <c r="N52" i="11"/>
  <c r="J52" i="11"/>
  <c r="H52" i="11"/>
  <c r="F52" i="11"/>
  <c r="E52" i="11"/>
  <c r="D52" i="11"/>
  <c r="B52" i="11"/>
  <c r="AL51" i="11"/>
  <c r="V51" i="11"/>
  <c r="U51" i="11"/>
  <c r="T51" i="11"/>
  <c r="S51" i="11"/>
  <c r="R51" i="11"/>
  <c r="P51" i="11"/>
  <c r="O51" i="11"/>
  <c r="N51" i="11"/>
  <c r="J51" i="11"/>
  <c r="H51" i="11"/>
  <c r="F51" i="11"/>
  <c r="E51" i="11"/>
  <c r="D51" i="11"/>
  <c r="B51" i="11"/>
  <c r="AL50" i="11"/>
  <c r="V50" i="11"/>
  <c r="U50" i="11"/>
  <c r="T50" i="11"/>
  <c r="S50" i="11"/>
  <c r="R50" i="11"/>
  <c r="P50" i="11"/>
  <c r="O50" i="11"/>
  <c r="N50" i="11"/>
  <c r="J50" i="11"/>
  <c r="H50" i="11"/>
  <c r="F50" i="11"/>
  <c r="E50" i="11"/>
  <c r="D50" i="11"/>
  <c r="B50" i="11"/>
  <c r="AL49" i="11"/>
  <c r="V49" i="11"/>
  <c r="U49" i="11"/>
  <c r="T49" i="11"/>
  <c r="S49" i="11"/>
  <c r="R49" i="11"/>
  <c r="P49" i="11"/>
  <c r="O49" i="11"/>
  <c r="N49" i="11"/>
  <c r="J49" i="11"/>
  <c r="H49" i="11"/>
  <c r="F49" i="11"/>
  <c r="E49" i="11"/>
  <c r="D49" i="11"/>
  <c r="B49" i="11"/>
  <c r="AL48" i="11"/>
  <c r="V48" i="11"/>
  <c r="U48" i="11"/>
  <c r="T48" i="11"/>
  <c r="S48" i="11"/>
  <c r="R48" i="11"/>
  <c r="P48" i="11"/>
  <c r="O48" i="11"/>
  <c r="N48" i="11"/>
  <c r="J48" i="11"/>
  <c r="H48" i="11"/>
  <c r="F48" i="11"/>
  <c r="E48" i="11"/>
  <c r="D48" i="11"/>
  <c r="B48" i="11"/>
  <c r="AL47" i="11"/>
  <c r="V47" i="11"/>
  <c r="U47" i="11"/>
  <c r="T47" i="11"/>
  <c r="S47" i="11"/>
  <c r="R47" i="11"/>
  <c r="P47" i="11"/>
  <c r="O47" i="11"/>
  <c r="N47" i="11"/>
  <c r="J47" i="11"/>
  <c r="H47" i="11"/>
  <c r="F47" i="11"/>
  <c r="E47" i="11"/>
  <c r="D47" i="11"/>
  <c r="B47" i="11"/>
  <c r="AL46" i="11"/>
  <c r="V46" i="11"/>
  <c r="U46" i="11"/>
  <c r="T46" i="11"/>
  <c r="S46" i="11"/>
  <c r="R46" i="11"/>
  <c r="P46" i="11"/>
  <c r="O46" i="11"/>
  <c r="N46" i="11"/>
  <c r="J46" i="11"/>
  <c r="H46" i="11"/>
  <c r="F46" i="11"/>
  <c r="E46" i="11"/>
  <c r="D46" i="11"/>
  <c r="B46" i="11"/>
  <c r="AL45" i="11"/>
  <c r="V45" i="11"/>
  <c r="U45" i="11"/>
  <c r="T45" i="11"/>
  <c r="S45" i="11"/>
  <c r="R45" i="11"/>
  <c r="P45" i="11"/>
  <c r="O45" i="11"/>
  <c r="N45" i="11"/>
  <c r="J45" i="11"/>
  <c r="H45" i="11"/>
  <c r="F45" i="11"/>
  <c r="E45" i="11"/>
  <c r="D45" i="11"/>
  <c r="B45" i="11"/>
  <c r="AL44" i="11"/>
  <c r="V44" i="11"/>
  <c r="U44" i="11"/>
  <c r="T44" i="11"/>
  <c r="S44" i="11"/>
  <c r="R44" i="11"/>
  <c r="P44" i="11"/>
  <c r="O44" i="11"/>
  <c r="N44" i="11"/>
  <c r="J44" i="11"/>
  <c r="H44" i="11"/>
  <c r="F44" i="11"/>
  <c r="E44" i="11"/>
  <c r="D44" i="11"/>
  <c r="B44" i="11"/>
  <c r="AL43" i="11"/>
  <c r="V43" i="11"/>
  <c r="U43" i="11"/>
  <c r="T43" i="11"/>
  <c r="S43" i="11"/>
  <c r="R43" i="11"/>
  <c r="P43" i="11"/>
  <c r="O43" i="11"/>
  <c r="N43" i="11"/>
  <c r="J43" i="11"/>
  <c r="H43" i="11"/>
  <c r="F43" i="11"/>
  <c r="E43" i="11"/>
  <c r="D43" i="11"/>
  <c r="B43" i="11"/>
  <c r="AL42" i="11"/>
  <c r="V42" i="11"/>
  <c r="U42" i="11"/>
  <c r="T42" i="11"/>
  <c r="S42" i="11"/>
  <c r="R42" i="11"/>
  <c r="P42" i="11"/>
  <c r="O42" i="11"/>
  <c r="N42" i="11"/>
  <c r="J42" i="11"/>
  <c r="H42" i="11"/>
  <c r="F42" i="11"/>
  <c r="E42" i="11"/>
  <c r="D42" i="11"/>
  <c r="B42" i="11"/>
  <c r="AL41" i="11"/>
  <c r="V41" i="11"/>
  <c r="U41" i="11"/>
  <c r="T41" i="11"/>
  <c r="S41" i="11"/>
  <c r="R41" i="11"/>
  <c r="P41" i="11"/>
  <c r="O41" i="11"/>
  <c r="N41" i="11"/>
  <c r="J41" i="11"/>
  <c r="H41" i="11"/>
  <c r="F41" i="11"/>
  <c r="E41" i="11"/>
  <c r="D41" i="11"/>
  <c r="B41" i="11"/>
  <c r="AL38" i="11"/>
  <c r="V38" i="11"/>
  <c r="U38" i="11"/>
  <c r="T38" i="11"/>
  <c r="S38" i="11"/>
  <c r="R38" i="11"/>
  <c r="P38" i="11"/>
  <c r="O38" i="11"/>
  <c r="N38" i="11"/>
  <c r="J38" i="11"/>
  <c r="C87" i="15" s="1"/>
  <c r="H38" i="11"/>
  <c r="F38" i="11"/>
  <c r="E38" i="11"/>
  <c r="D38" i="11"/>
  <c r="B38" i="11"/>
  <c r="AL37" i="11"/>
  <c r="V37" i="11"/>
  <c r="U37" i="11"/>
  <c r="T37" i="11"/>
  <c r="S37" i="11"/>
  <c r="R37" i="11"/>
  <c r="P37" i="11"/>
  <c r="O37" i="11"/>
  <c r="N37" i="11"/>
  <c r="J37" i="11"/>
  <c r="C86" i="15" s="1"/>
  <c r="H37" i="11"/>
  <c r="F37" i="11"/>
  <c r="E37" i="11"/>
  <c r="D37" i="11"/>
  <c r="B37" i="11"/>
  <c r="AL36" i="11"/>
  <c r="V36" i="11"/>
  <c r="U36" i="11"/>
  <c r="T36" i="11"/>
  <c r="S36" i="11"/>
  <c r="R36" i="11"/>
  <c r="P36" i="11"/>
  <c r="O36" i="11"/>
  <c r="N36" i="11"/>
  <c r="J36" i="11"/>
  <c r="C74" i="15" s="1"/>
  <c r="H36" i="11"/>
  <c r="F36" i="11"/>
  <c r="E36" i="11"/>
  <c r="D36" i="11"/>
  <c r="B36" i="11"/>
  <c r="AL35" i="11"/>
  <c r="V35" i="11"/>
  <c r="U35" i="11"/>
  <c r="T35" i="11"/>
  <c r="S35" i="11"/>
  <c r="R35" i="11"/>
  <c r="P35" i="11"/>
  <c r="O35" i="11"/>
  <c r="N35" i="11"/>
  <c r="J35" i="11"/>
  <c r="C67" i="15" s="1"/>
  <c r="H35" i="11"/>
  <c r="F35" i="11"/>
  <c r="E35" i="11"/>
  <c r="D35" i="11"/>
  <c r="B35" i="11"/>
  <c r="AL34" i="11"/>
  <c r="V34" i="11"/>
  <c r="U34" i="11"/>
  <c r="T34" i="11"/>
  <c r="S34" i="11"/>
  <c r="R34" i="11"/>
  <c r="P34" i="11"/>
  <c r="O34" i="11"/>
  <c r="N34" i="11"/>
  <c r="J34" i="11"/>
  <c r="C96" i="15" s="1"/>
  <c r="H34" i="11"/>
  <c r="F34" i="11"/>
  <c r="E34" i="11"/>
  <c r="D34" i="11"/>
  <c r="B34" i="11"/>
  <c r="AL33" i="11"/>
  <c r="V33" i="11"/>
  <c r="U33" i="11"/>
  <c r="T33" i="11"/>
  <c r="S33" i="11"/>
  <c r="R33" i="11"/>
  <c r="P33" i="11"/>
  <c r="O33" i="11"/>
  <c r="N33" i="11"/>
  <c r="J33" i="11"/>
  <c r="C85" i="15" s="1"/>
  <c r="H33" i="11"/>
  <c r="F33" i="11"/>
  <c r="E33" i="11"/>
  <c r="D33" i="11"/>
  <c r="B33" i="11"/>
  <c r="AL32" i="11"/>
  <c r="V32" i="11"/>
  <c r="U32" i="11"/>
  <c r="T32" i="11"/>
  <c r="S32" i="11"/>
  <c r="R32" i="11"/>
  <c r="P32" i="11"/>
  <c r="O32" i="11"/>
  <c r="N32" i="11"/>
  <c r="J32" i="11"/>
  <c r="C89" i="15" s="1"/>
  <c r="H32" i="11"/>
  <c r="F32" i="11"/>
  <c r="E32" i="11"/>
  <c r="D32" i="11"/>
  <c r="B32" i="11"/>
  <c r="AL31" i="11"/>
  <c r="V31" i="11"/>
  <c r="U31" i="11"/>
  <c r="T31" i="11"/>
  <c r="S31" i="11"/>
  <c r="R31" i="11"/>
  <c r="P31" i="11"/>
  <c r="O31" i="11"/>
  <c r="N31" i="11"/>
  <c r="J31" i="11"/>
  <c r="C69" i="15" s="1"/>
  <c r="H31" i="11"/>
  <c r="F31" i="11"/>
  <c r="E31" i="11"/>
  <c r="D31" i="11"/>
  <c r="B31" i="11"/>
  <c r="AL30" i="11"/>
  <c r="V30" i="11"/>
  <c r="U30" i="11"/>
  <c r="T30" i="11"/>
  <c r="S30" i="11"/>
  <c r="R30" i="11"/>
  <c r="P30" i="11"/>
  <c r="O30" i="11"/>
  <c r="N30" i="11"/>
  <c r="J30" i="11"/>
  <c r="C82" i="15" s="1"/>
  <c r="H30" i="11"/>
  <c r="F30" i="11"/>
  <c r="E30" i="11"/>
  <c r="D30" i="11"/>
  <c r="B30" i="11"/>
  <c r="AL29" i="11"/>
  <c r="V29" i="11"/>
  <c r="U29" i="11"/>
  <c r="T29" i="11"/>
  <c r="S29" i="11"/>
  <c r="R29" i="11"/>
  <c r="P29" i="11"/>
  <c r="O29" i="11"/>
  <c r="N29" i="11"/>
  <c r="J29" i="11"/>
  <c r="C68" i="15" s="1"/>
  <c r="H29" i="11"/>
  <c r="F29" i="11"/>
  <c r="E29" i="11"/>
  <c r="D29" i="11"/>
  <c r="B29" i="11"/>
  <c r="AL28" i="11"/>
  <c r="V28" i="11"/>
  <c r="U28" i="11"/>
  <c r="T28" i="11"/>
  <c r="S28" i="11"/>
  <c r="R28" i="11"/>
  <c r="P28" i="11"/>
  <c r="O28" i="11"/>
  <c r="N28" i="11"/>
  <c r="J28" i="11"/>
  <c r="C70" i="15" s="1"/>
  <c r="H28" i="11"/>
  <c r="F28" i="11"/>
  <c r="E28" i="11"/>
  <c r="D28" i="11"/>
  <c r="B28" i="11"/>
  <c r="AL27" i="11"/>
  <c r="V27" i="11"/>
  <c r="U27" i="11"/>
  <c r="T27" i="11"/>
  <c r="S27" i="11"/>
  <c r="R27" i="11"/>
  <c r="P27" i="11"/>
  <c r="O27" i="11"/>
  <c r="N27" i="11"/>
  <c r="J27" i="11"/>
  <c r="C93" i="15" s="1"/>
  <c r="H27" i="11"/>
  <c r="F27" i="11"/>
  <c r="E27" i="11"/>
  <c r="D27" i="11"/>
  <c r="B27" i="11"/>
  <c r="AL26" i="11"/>
  <c r="V26" i="11"/>
  <c r="U26" i="11"/>
  <c r="T26" i="11"/>
  <c r="S26" i="11"/>
  <c r="R26" i="11"/>
  <c r="P26" i="11"/>
  <c r="O26" i="11"/>
  <c r="N26" i="11"/>
  <c r="J26" i="11"/>
  <c r="C73" i="15" s="1"/>
  <c r="H26" i="11"/>
  <c r="F26" i="11"/>
  <c r="E26" i="11"/>
  <c r="D26" i="11"/>
  <c r="B26" i="11"/>
  <c r="AL25" i="11"/>
  <c r="V25" i="11"/>
  <c r="U25" i="11"/>
  <c r="T25" i="11"/>
  <c r="S25" i="11"/>
  <c r="R25" i="11"/>
  <c r="P25" i="11"/>
  <c r="O25" i="11"/>
  <c r="N25" i="11"/>
  <c r="J25" i="11"/>
  <c r="C94" i="15" s="1"/>
  <c r="H25" i="11"/>
  <c r="F25" i="11"/>
  <c r="E25" i="11"/>
  <c r="D25" i="11"/>
  <c r="B25" i="11"/>
  <c r="AL24" i="11"/>
  <c r="V24" i="11"/>
  <c r="U24" i="11"/>
  <c r="T24" i="11"/>
  <c r="S24" i="11"/>
  <c r="R24" i="11"/>
  <c r="P24" i="11"/>
  <c r="O24" i="11"/>
  <c r="N24" i="11"/>
  <c r="J24" i="11"/>
  <c r="C76" i="15" s="1"/>
  <c r="H24" i="11"/>
  <c r="F24" i="11"/>
  <c r="E24" i="11"/>
  <c r="D24" i="11"/>
  <c r="B24" i="11"/>
  <c r="AL23" i="11"/>
  <c r="V23" i="11"/>
  <c r="U23" i="11"/>
  <c r="T23" i="11"/>
  <c r="S23" i="11"/>
  <c r="R23" i="11"/>
  <c r="P23" i="11"/>
  <c r="O23" i="11"/>
  <c r="N23" i="11"/>
  <c r="J23" i="11"/>
  <c r="C95" i="15" s="1"/>
  <c r="H23" i="11"/>
  <c r="F23" i="11"/>
  <c r="E23" i="11"/>
  <c r="D23" i="11"/>
  <c r="B23" i="11"/>
  <c r="AL22" i="11"/>
  <c r="V22" i="11"/>
  <c r="U22" i="11"/>
  <c r="T22" i="11"/>
  <c r="S22" i="11"/>
  <c r="R22" i="11"/>
  <c r="P22" i="11"/>
  <c r="O22" i="11"/>
  <c r="N22" i="11"/>
  <c r="J22" i="11"/>
  <c r="C78" i="15" s="1"/>
  <c r="H22" i="11"/>
  <c r="F22" i="11"/>
  <c r="E22" i="11"/>
  <c r="D22" i="11"/>
  <c r="B22" i="11"/>
  <c r="AL21" i="11"/>
  <c r="V21" i="11"/>
  <c r="U21" i="11"/>
  <c r="T21" i="11"/>
  <c r="S21" i="11"/>
  <c r="R21" i="11"/>
  <c r="P21" i="11"/>
  <c r="O21" i="11"/>
  <c r="N21" i="11"/>
  <c r="J21" i="11"/>
  <c r="C90" i="15" s="1"/>
  <c r="H21" i="11"/>
  <c r="F21" i="11"/>
  <c r="E21" i="11"/>
  <c r="D21" i="11"/>
  <c r="B21" i="11"/>
  <c r="AL20" i="11"/>
  <c r="V20" i="11"/>
  <c r="U20" i="11"/>
  <c r="T20" i="11"/>
  <c r="S20" i="11"/>
  <c r="R20" i="11"/>
  <c r="P20" i="11"/>
  <c r="O20" i="11"/>
  <c r="N20" i="11"/>
  <c r="J20" i="11"/>
  <c r="C80" i="15" s="1"/>
  <c r="H20" i="11"/>
  <c r="F20" i="11"/>
  <c r="E20" i="11"/>
  <c r="D20" i="11"/>
  <c r="B20" i="11"/>
  <c r="AL19" i="11"/>
  <c r="V19" i="11"/>
  <c r="U19" i="11"/>
  <c r="T19" i="11"/>
  <c r="S19" i="11"/>
  <c r="R19" i="11"/>
  <c r="P19" i="11"/>
  <c r="O19" i="11"/>
  <c r="N19" i="11"/>
  <c r="J19" i="11"/>
  <c r="C79" i="15" s="1"/>
  <c r="H19" i="11"/>
  <c r="F19" i="11"/>
  <c r="E19" i="11"/>
  <c r="D19" i="11"/>
  <c r="B19" i="11"/>
  <c r="AL18" i="11"/>
  <c r="V18" i="11"/>
  <c r="U18" i="11"/>
  <c r="T18" i="11"/>
  <c r="S18" i="11"/>
  <c r="R18" i="11"/>
  <c r="P18" i="11"/>
  <c r="O18" i="11"/>
  <c r="N18" i="11"/>
  <c r="J18" i="11"/>
  <c r="C81" i="15" s="1"/>
  <c r="H18" i="11"/>
  <c r="F18" i="11"/>
  <c r="E18" i="11"/>
  <c r="D18" i="11"/>
  <c r="B18" i="11"/>
  <c r="AL17" i="11"/>
  <c r="V17" i="11"/>
  <c r="U17" i="11"/>
  <c r="T17" i="11"/>
  <c r="S17" i="11"/>
  <c r="R17" i="11"/>
  <c r="P17" i="11"/>
  <c r="O17" i="11"/>
  <c r="N17" i="11"/>
  <c r="J17" i="11"/>
  <c r="C77" i="15" s="1"/>
  <c r="H17" i="11"/>
  <c r="F17" i="11"/>
  <c r="E17" i="11"/>
  <c r="D17" i="11"/>
  <c r="B17" i="11"/>
  <c r="AL16" i="11"/>
  <c r="V16" i="11"/>
  <c r="U16" i="11"/>
  <c r="T16" i="11"/>
  <c r="S16" i="11"/>
  <c r="R16" i="11"/>
  <c r="P16" i="11"/>
  <c r="O16" i="11"/>
  <c r="N16" i="11"/>
  <c r="J16" i="11"/>
  <c r="C75" i="15" s="1"/>
  <c r="H16" i="11"/>
  <c r="F16" i="11"/>
  <c r="E16" i="11"/>
  <c r="D16" i="11"/>
  <c r="B16" i="11"/>
  <c r="AL15" i="11"/>
  <c r="V15" i="11"/>
  <c r="U15" i="11"/>
  <c r="T15" i="11"/>
  <c r="S15" i="11"/>
  <c r="R15" i="11"/>
  <c r="P15" i="11"/>
  <c r="O15" i="11"/>
  <c r="N15" i="11"/>
  <c r="J15" i="11"/>
  <c r="C88" i="15" s="1"/>
  <c r="H15" i="11"/>
  <c r="F15" i="11"/>
  <c r="E15" i="11"/>
  <c r="D15" i="11"/>
  <c r="B15" i="11"/>
  <c r="AL14" i="11"/>
  <c r="V14" i="11"/>
  <c r="U14" i="11"/>
  <c r="T14" i="11"/>
  <c r="S14" i="11"/>
  <c r="R14" i="11"/>
  <c r="P14" i="11"/>
  <c r="O14" i="11"/>
  <c r="N14" i="11"/>
  <c r="J14" i="11"/>
  <c r="C72" i="15" s="1"/>
  <c r="H14" i="11"/>
  <c r="F14" i="11"/>
  <c r="E14" i="11"/>
  <c r="D14" i="11"/>
  <c r="B14" i="11"/>
  <c r="AL13" i="11"/>
  <c r="V13" i="11"/>
  <c r="U13" i="11"/>
  <c r="T13" i="11"/>
  <c r="S13" i="11"/>
  <c r="R13" i="11"/>
  <c r="P13" i="11"/>
  <c r="O13" i="11"/>
  <c r="N13" i="11"/>
  <c r="J13" i="11"/>
  <c r="C92" i="15" s="1"/>
  <c r="H13" i="11"/>
  <c r="F13" i="11"/>
  <c r="E13" i="11"/>
  <c r="D13" i="11"/>
  <c r="B13" i="11"/>
  <c r="AL12" i="11"/>
  <c r="V12" i="11"/>
  <c r="U12" i="11"/>
  <c r="T12" i="11"/>
  <c r="S12" i="11"/>
  <c r="R12" i="11"/>
  <c r="P12" i="11"/>
  <c r="O12" i="11"/>
  <c r="N12" i="11"/>
  <c r="J12" i="11"/>
  <c r="C84" i="15" s="1"/>
  <c r="H12" i="11"/>
  <c r="F12" i="11"/>
  <c r="E12" i="11"/>
  <c r="D12" i="11"/>
  <c r="B12" i="11"/>
  <c r="AL11" i="11"/>
  <c r="V11" i="11"/>
  <c r="U11" i="11"/>
  <c r="T11" i="11"/>
  <c r="S11" i="11"/>
  <c r="R11" i="11"/>
  <c r="P11" i="11"/>
  <c r="O11" i="11"/>
  <c r="N11" i="11"/>
  <c r="J11" i="11"/>
  <c r="C91" i="15" s="1"/>
  <c r="H11" i="11"/>
  <c r="F11" i="11"/>
  <c r="E11" i="11"/>
  <c r="D11" i="11"/>
  <c r="B11" i="11"/>
  <c r="AL10" i="11"/>
  <c r="V10" i="11"/>
  <c r="U10" i="11"/>
  <c r="T10" i="11"/>
  <c r="S10" i="11"/>
  <c r="R10" i="11"/>
  <c r="P10" i="11"/>
  <c r="O10" i="11"/>
  <c r="N10" i="11"/>
  <c r="J10" i="11"/>
  <c r="C71" i="15" s="1"/>
  <c r="H10" i="11"/>
  <c r="F10" i="11"/>
  <c r="E10" i="11"/>
  <c r="D10" i="11"/>
  <c r="B10" i="11"/>
  <c r="AL9" i="11"/>
  <c r="V9" i="11"/>
  <c r="U9" i="11"/>
  <c r="T9" i="11"/>
  <c r="S9" i="11"/>
  <c r="R9" i="11"/>
  <c r="P9" i="11"/>
  <c r="O9" i="11"/>
  <c r="N9" i="11"/>
  <c r="J9" i="11"/>
  <c r="C83" i="15" s="1"/>
  <c r="H9" i="11"/>
  <c r="F9" i="11"/>
  <c r="E9" i="11"/>
  <c r="D9" i="11"/>
  <c r="B9" i="11"/>
  <c r="E243" i="10"/>
  <c r="E242" i="10"/>
  <c r="E241" i="10"/>
  <c r="E240" i="10"/>
  <c r="E239" i="10"/>
  <c r="E238" i="10"/>
  <c r="E237" i="10"/>
  <c r="E236" i="10"/>
  <c r="E235" i="10"/>
  <c r="E234" i="10"/>
  <c r="E233" i="10"/>
  <c r="E232" i="10"/>
  <c r="E231" i="10"/>
  <c r="E230" i="10"/>
  <c r="E229" i="10"/>
  <c r="E228" i="10"/>
  <c r="E227" i="10"/>
  <c r="E226" i="10"/>
  <c r="E225" i="10"/>
  <c r="E224" i="10"/>
  <c r="E223" i="10"/>
  <c r="E222" i="10"/>
  <c r="E221" i="10"/>
  <c r="E220" i="10"/>
  <c r="E219" i="10"/>
  <c r="E218" i="10"/>
  <c r="E217" i="10"/>
  <c r="E216" i="10"/>
  <c r="E215" i="10"/>
  <c r="E214" i="10"/>
  <c r="E213" i="10"/>
  <c r="E212" i="10"/>
  <c r="E211" i="10"/>
  <c r="E210" i="10"/>
  <c r="E209" i="10"/>
  <c r="E208" i="10"/>
  <c r="E207" i="10"/>
  <c r="E206" i="10"/>
  <c r="E205" i="10"/>
  <c r="E204" i="10"/>
  <c r="E203" i="10"/>
  <c r="E202" i="10"/>
  <c r="E201" i="10"/>
  <c r="E200" i="10"/>
  <c r="E199" i="10"/>
  <c r="E198" i="10"/>
  <c r="E197" i="10"/>
  <c r="E196" i="10"/>
  <c r="E195" i="10"/>
  <c r="E194" i="10"/>
  <c r="E193" i="10"/>
  <c r="E192" i="10"/>
  <c r="E191" i="10"/>
  <c r="E190" i="10"/>
  <c r="E189" i="10"/>
  <c r="E188" i="10"/>
  <c r="E187" i="10"/>
  <c r="E186" i="10"/>
  <c r="E185" i="10"/>
  <c r="E184" i="10"/>
  <c r="E183" i="10"/>
  <c r="E182" i="10"/>
  <c r="E181" i="10"/>
  <c r="E180" i="10"/>
  <c r="E179" i="10"/>
  <c r="E178" i="10"/>
  <c r="E177" i="10"/>
  <c r="E176" i="10"/>
  <c r="E175" i="10"/>
  <c r="E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F47" i="9"/>
  <c r="E47" i="9"/>
  <c r="D47" i="9"/>
  <c r="C47" i="9"/>
  <c r="B47" i="9"/>
  <c r="F46" i="9"/>
  <c r="E46" i="9"/>
  <c r="D46" i="9"/>
  <c r="C46" i="9"/>
  <c r="B46" i="9"/>
  <c r="F45" i="9"/>
  <c r="E45" i="9"/>
  <c r="D45" i="9"/>
  <c r="C45" i="9"/>
  <c r="B45" i="9"/>
  <c r="F44" i="9"/>
  <c r="E44" i="9"/>
  <c r="D44" i="9"/>
  <c r="C44" i="9"/>
  <c r="B44" i="9"/>
  <c r="F43" i="9"/>
  <c r="E43" i="9"/>
  <c r="D43" i="9"/>
  <c r="C43" i="9"/>
  <c r="B43" i="9"/>
  <c r="F42" i="9"/>
  <c r="E42" i="9"/>
  <c r="D42" i="9"/>
  <c r="C42" i="9"/>
  <c r="B42" i="9"/>
  <c r="F41" i="9"/>
  <c r="E41" i="9"/>
  <c r="D41" i="9"/>
  <c r="C41" i="9"/>
  <c r="B41" i="9"/>
  <c r="F40" i="9"/>
  <c r="E40" i="9"/>
  <c r="D40" i="9"/>
  <c r="C40" i="9"/>
  <c r="B40" i="9"/>
  <c r="F39" i="9"/>
  <c r="E39" i="9"/>
  <c r="D39" i="9"/>
  <c r="C39" i="9"/>
  <c r="B39" i="9"/>
  <c r="F38" i="9"/>
  <c r="E38" i="9"/>
  <c r="D38" i="9"/>
  <c r="C38" i="9"/>
  <c r="B38" i="9"/>
  <c r="F37" i="9"/>
  <c r="E37" i="9"/>
  <c r="D37" i="9"/>
  <c r="C37" i="9"/>
  <c r="B37" i="9"/>
  <c r="F36" i="9"/>
  <c r="E36" i="9"/>
  <c r="D36" i="9"/>
  <c r="C36" i="9"/>
  <c r="B36" i="9"/>
  <c r="F35" i="9"/>
  <c r="E35" i="9"/>
  <c r="D35" i="9"/>
  <c r="C35" i="9"/>
  <c r="B35" i="9"/>
  <c r="F34" i="9"/>
  <c r="E34" i="9"/>
  <c r="D34" i="9"/>
  <c r="C34" i="9"/>
  <c r="B34" i="9"/>
  <c r="F33" i="9"/>
  <c r="E33" i="9"/>
  <c r="D33" i="9"/>
  <c r="C33" i="9"/>
  <c r="B33" i="9"/>
  <c r="F32" i="9"/>
  <c r="E32" i="9"/>
  <c r="D32" i="9"/>
  <c r="C32" i="9"/>
  <c r="B32" i="9"/>
  <c r="F31" i="9"/>
  <c r="E31" i="9"/>
  <c r="D31" i="9"/>
  <c r="C31" i="9"/>
  <c r="B31" i="9"/>
  <c r="F30" i="9"/>
  <c r="E30" i="9"/>
  <c r="D30" i="9"/>
  <c r="C30" i="9"/>
  <c r="B30" i="9"/>
  <c r="F29" i="9"/>
  <c r="E29" i="9"/>
  <c r="D29" i="9"/>
  <c r="C29" i="9"/>
  <c r="B29" i="9"/>
  <c r="F28" i="9"/>
  <c r="E28" i="9"/>
  <c r="D28" i="9"/>
  <c r="C28" i="9"/>
  <c r="B28" i="9"/>
  <c r="F27" i="9"/>
  <c r="E27" i="9"/>
  <c r="D27" i="9"/>
  <c r="C27" i="9"/>
  <c r="B27" i="9"/>
  <c r="F26" i="9"/>
  <c r="E26" i="9"/>
  <c r="D26" i="9"/>
  <c r="C26" i="9"/>
  <c r="B26" i="9"/>
  <c r="F25" i="9"/>
  <c r="E25" i="9"/>
  <c r="D25" i="9"/>
  <c r="C25" i="9"/>
  <c r="B25" i="9"/>
  <c r="F24" i="9"/>
  <c r="E24" i="9"/>
  <c r="D24" i="9"/>
  <c r="C24" i="9"/>
  <c r="B24" i="9"/>
  <c r="F23" i="9"/>
  <c r="E23" i="9"/>
  <c r="D23" i="9"/>
  <c r="C23" i="9"/>
  <c r="B23" i="9"/>
  <c r="F22" i="9"/>
  <c r="E22" i="9"/>
  <c r="D22" i="9"/>
  <c r="C22" i="9"/>
  <c r="B22" i="9"/>
  <c r="F21" i="9"/>
  <c r="E21" i="9"/>
  <c r="D21" i="9"/>
  <c r="C21" i="9"/>
  <c r="B21" i="9"/>
  <c r="F20" i="9"/>
  <c r="E20" i="9"/>
  <c r="D20" i="9"/>
  <c r="C20" i="9"/>
  <c r="B20" i="9"/>
  <c r="F19" i="9"/>
  <c r="E19" i="9"/>
  <c r="D19" i="9"/>
  <c r="C19" i="9"/>
  <c r="B19" i="9"/>
  <c r="F18" i="9"/>
  <c r="E18" i="9"/>
  <c r="D18" i="9"/>
  <c r="C18" i="9"/>
  <c r="B18" i="9"/>
  <c r="M37" i="7"/>
  <c r="L37" i="7"/>
  <c r="B37" i="7"/>
  <c r="B61" i="15" s="1"/>
  <c r="M36" i="7"/>
  <c r="L36" i="7"/>
  <c r="B36" i="7"/>
  <c r="B60" i="15" s="1"/>
  <c r="M35" i="7"/>
  <c r="L35" i="7"/>
  <c r="B35" i="7"/>
  <c r="B59" i="15" s="1"/>
  <c r="M34" i="7"/>
  <c r="L34" i="7"/>
  <c r="B34" i="7"/>
  <c r="B58" i="15" s="1"/>
  <c r="M33" i="7"/>
  <c r="L33" i="7"/>
  <c r="B33" i="7"/>
  <c r="B57" i="15" s="1"/>
  <c r="M32" i="7"/>
  <c r="L32" i="7"/>
  <c r="B32" i="7"/>
  <c r="B56" i="15" s="1"/>
  <c r="M31" i="7"/>
  <c r="L31" i="7"/>
  <c r="B31" i="7"/>
  <c r="B55" i="15" s="1"/>
  <c r="M30" i="7"/>
  <c r="L30" i="7"/>
  <c r="B30" i="7"/>
  <c r="B54" i="15" s="1"/>
  <c r="M29" i="7"/>
  <c r="L29" i="7"/>
  <c r="B29" i="7"/>
  <c r="B53" i="15" s="1"/>
  <c r="M28" i="7"/>
  <c r="L28" i="7"/>
  <c r="B28" i="7"/>
  <c r="B52" i="15" s="1"/>
  <c r="M27" i="7"/>
  <c r="L27" i="7"/>
  <c r="B27" i="7"/>
  <c r="B51" i="15" s="1"/>
  <c r="M26" i="7"/>
  <c r="L26" i="7"/>
  <c r="B26" i="7"/>
  <c r="B50" i="15" s="1"/>
  <c r="M25" i="7"/>
  <c r="L25" i="7"/>
  <c r="B25" i="7"/>
  <c r="B49" i="15" s="1"/>
  <c r="M24" i="7"/>
  <c r="L24" i="7"/>
  <c r="B24" i="7"/>
  <c r="B48" i="15" s="1"/>
  <c r="M23" i="7"/>
  <c r="L23" i="7"/>
  <c r="B23" i="7"/>
  <c r="B47" i="15" s="1"/>
  <c r="M22" i="7"/>
  <c r="L22" i="7"/>
  <c r="B22" i="7"/>
  <c r="B46" i="15" s="1"/>
  <c r="M21" i="7"/>
  <c r="L21" i="7"/>
  <c r="B21" i="7"/>
  <c r="B45" i="15" s="1"/>
  <c r="M20" i="7"/>
  <c r="L20" i="7"/>
  <c r="B20" i="7"/>
  <c r="B44" i="15" s="1"/>
  <c r="M19" i="7"/>
  <c r="L19" i="7"/>
  <c r="B19" i="7"/>
  <c r="B43" i="15" s="1"/>
  <c r="M18" i="7"/>
  <c r="L18" i="7"/>
  <c r="B18" i="7"/>
  <c r="B42" i="15" s="1"/>
  <c r="M17" i="7"/>
  <c r="L17" i="7"/>
  <c r="B17" i="7"/>
  <c r="B41" i="15" s="1"/>
  <c r="M16" i="7"/>
  <c r="L16" i="7"/>
  <c r="B16" i="7"/>
  <c r="B40" i="15" s="1"/>
  <c r="M15" i="7"/>
  <c r="L15" i="7"/>
  <c r="B15" i="7"/>
  <c r="B39" i="15" s="1"/>
  <c r="M14" i="7"/>
  <c r="L14" i="7"/>
  <c r="B14" i="7"/>
  <c r="B38" i="15" s="1"/>
  <c r="M13" i="7"/>
  <c r="L13" i="7"/>
  <c r="B13" i="7"/>
  <c r="B37" i="15" s="1"/>
  <c r="M12" i="7"/>
  <c r="L12" i="7"/>
  <c r="B12" i="7"/>
  <c r="B36" i="15" s="1"/>
  <c r="M11" i="7"/>
  <c r="L11" i="7"/>
  <c r="B11" i="7"/>
  <c r="B35" i="15" s="1"/>
  <c r="M10" i="7"/>
  <c r="L10" i="7"/>
  <c r="B10" i="7"/>
  <c r="B34" i="15" s="1"/>
  <c r="M9" i="7"/>
  <c r="L9" i="7"/>
  <c r="B9" i="7"/>
  <c r="B33" i="15" s="1"/>
  <c r="M8" i="7"/>
  <c r="L8" i="7"/>
  <c r="B8" i="7"/>
  <c r="B32" i="15" s="1"/>
  <c r="F672" i="6"/>
  <c r="E672" i="6"/>
  <c r="D672" i="6"/>
  <c r="C672" i="6"/>
  <c r="B672" i="6"/>
  <c r="A672" i="6"/>
  <c r="F671" i="6"/>
  <c r="E671" i="6"/>
  <c r="D671" i="6"/>
  <c r="C671" i="6"/>
  <c r="B671" i="6"/>
  <c r="A671" i="6"/>
  <c r="F670" i="6"/>
  <c r="E670" i="6"/>
  <c r="D670" i="6"/>
  <c r="C670" i="6"/>
  <c r="B670" i="6"/>
  <c r="A670" i="6"/>
  <c r="F669" i="6"/>
  <c r="E669" i="6"/>
  <c r="D669" i="6"/>
  <c r="C669" i="6"/>
  <c r="B669" i="6"/>
  <c r="A669" i="6"/>
  <c r="F668" i="6"/>
  <c r="E668" i="6"/>
  <c r="D668" i="6"/>
  <c r="C668" i="6"/>
  <c r="B668" i="6"/>
  <c r="A668" i="6"/>
  <c r="F667" i="6"/>
  <c r="E667" i="6"/>
  <c r="D667" i="6"/>
  <c r="C667" i="6"/>
  <c r="B667" i="6"/>
  <c r="A667" i="6"/>
  <c r="F666" i="6"/>
  <c r="E666" i="6"/>
  <c r="D666" i="6"/>
  <c r="C666" i="6"/>
  <c r="B666" i="6"/>
  <c r="A666" i="6"/>
  <c r="F665" i="6"/>
  <c r="E665" i="6"/>
  <c r="D665" i="6"/>
  <c r="C665" i="6"/>
  <c r="B665" i="6"/>
  <c r="A665" i="6"/>
  <c r="F664" i="6"/>
  <c r="E664" i="6"/>
  <c r="D664" i="6"/>
  <c r="C664" i="6"/>
  <c r="B664" i="6"/>
  <c r="A664" i="6"/>
  <c r="F663" i="6"/>
  <c r="E663" i="6"/>
  <c r="D663" i="6"/>
  <c r="C663" i="6"/>
  <c r="B663" i="6"/>
  <c r="A663" i="6"/>
  <c r="F662" i="6"/>
  <c r="E662" i="6"/>
  <c r="D662" i="6"/>
  <c r="C662" i="6"/>
  <c r="B662" i="6"/>
  <c r="A662" i="6"/>
  <c r="F661" i="6"/>
  <c r="E661" i="6"/>
  <c r="D661" i="6"/>
  <c r="C661" i="6"/>
  <c r="B661" i="6"/>
  <c r="A661" i="6"/>
  <c r="F660" i="6"/>
  <c r="E660" i="6"/>
  <c r="D660" i="6"/>
  <c r="C660" i="6"/>
  <c r="B660" i="6"/>
  <c r="A660" i="6"/>
  <c r="F659" i="6"/>
  <c r="E659" i="6"/>
  <c r="D659" i="6"/>
  <c r="C659" i="6"/>
  <c r="B659" i="6"/>
  <c r="A659" i="6"/>
  <c r="F658" i="6"/>
  <c r="E658" i="6"/>
  <c r="D658" i="6"/>
  <c r="C658" i="6"/>
  <c r="B658" i="6"/>
  <c r="A658" i="6"/>
  <c r="F657" i="6"/>
  <c r="E657" i="6"/>
  <c r="D657" i="6"/>
  <c r="C657" i="6"/>
  <c r="B657" i="6"/>
  <c r="A657" i="6"/>
  <c r="F656" i="6"/>
  <c r="E656" i="6"/>
  <c r="D656" i="6"/>
  <c r="C656" i="6"/>
  <c r="B656" i="6"/>
  <c r="A656" i="6"/>
  <c r="F655" i="6"/>
  <c r="E655" i="6"/>
  <c r="D655" i="6"/>
  <c r="C655" i="6"/>
  <c r="B655" i="6"/>
  <c r="A655" i="6"/>
  <c r="F654" i="6"/>
  <c r="E654" i="6"/>
  <c r="D654" i="6"/>
  <c r="C654" i="6"/>
  <c r="B654" i="6"/>
  <c r="A654" i="6"/>
  <c r="F653" i="6"/>
  <c r="E653" i="6"/>
  <c r="D653" i="6"/>
  <c r="C653" i="6"/>
  <c r="B653" i="6"/>
  <c r="A653" i="6"/>
  <c r="F652" i="6"/>
  <c r="E652" i="6"/>
  <c r="D652" i="6"/>
  <c r="C652" i="6"/>
  <c r="B652" i="6"/>
  <c r="A652" i="6"/>
  <c r="F651" i="6"/>
  <c r="E651" i="6"/>
  <c r="D651" i="6"/>
  <c r="C651" i="6"/>
  <c r="B651" i="6"/>
  <c r="A651" i="6"/>
  <c r="F650" i="6"/>
  <c r="E650" i="6"/>
  <c r="D650" i="6"/>
  <c r="C650" i="6"/>
  <c r="B650" i="6"/>
  <c r="A650" i="6"/>
  <c r="F649" i="6"/>
  <c r="E649" i="6"/>
  <c r="D649" i="6"/>
  <c r="C649" i="6"/>
  <c r="B649" i="6"/>
  <c r="A649" i="6"/>
  <c r="F648" i="6"/>
  <c r="E648" i="6"/>
  <c r="D648" i="6"/>
  <c r="C648" i="6"/>
  <c r="B648" i="6"/>
  <c r="A648" i="6"/>
  <c r="F647" i="6"/>
  <c r="E647" i="6"/>
  <c r="D647" i="6"/>
  <c r="C647" i="6"/>
  <c r="B647" i="6"/>
  <c r="A647" i="6"/>
  <c r="F646" i="6"/>
  <c r="E646" i="6"/>
  <c r="D646" i="6"/>
  <c r="C646" i="6"/>
  <c r="B646" i="6"/>
  <c r="A646" i="6"/>
  <c r="F645" i="6"/>
  <c r="E645" i="6"/>
  <c r="D645" i="6"/>
  <c r="C645" i="6"/>
  <c r="B645" i="6"/>
  <c r="A645" i="6"/>
  <c r="F644" i="6"/>
  <c r="E644" i="6"/>
  <c r="D644" i="6"/>
  <c r="C644" i="6"/>
  <c r="B644" i="6"/>
  <c r="A644" i="6"/>
  <c r="F643" i="6"/>
  <c r="E643" i="6"/>
  <c r="D643" i="6"/>
  <c r="C643" i="6"/>
  <c r="B643" i="6"/>
  <c r="A643" i="6"/>
  <c r="F642" i="6"/>
  <c r="E642" i="6"/>
  <c r="D642" i="6"/>
  <c r="C642" i="6"/>
  <c r="B642" i="6"/>
  <c r="A642" i="6"/>
  <c r="F641" i="6"/>
  <c r="E641" i="6"/>
  <c r="D641" i="6"/>
  <c r="C641" i="6"/>
  <c r="B641" i="6"/>
  <c r="A641" i="6"/>
  <c r="F640" i="6"/>
  <c r="E640" i="6"/>
  <c r="D640" i="6"/>
  <c r="C640" i="6"/>
  <c r="B640" i="6"/>
  <c r="A640" i="6"/>
  <c r="F639" i="6"/>
  <c r="E639" i="6"/>
  <c r="D639" i="6"/>
  <c r="C639" i="6"/>
  <c r="B639" i="6"/>
  <c r="A639" i="6"/>
  <c r="F638" i="6"/>
  <c r="E638" i="6"/>
  <c r="D638" i="6"/>
  <c r="C638" i="6"/>
  <c r="B638" i="6"/>
  <c r="A638" i="6"/>
  <c r="F637" i="6"/>
  <c r="E637" i="6"/>
  <c r="D637" i="6"/>
  <c r="C637" i="6"/>
  <c r="B637" i="6"/>
  <c r="A637" i="6"/>
  <c r="F636" i="6"/>
  <c r="E636" i="6"/>
  <c r="D636" i="6"/>
  <c r="C636" i="6"/>
  <c r="B636" i="6"/>
  <c r="A636" i="6"/>
  <c r="F635" i="6"/>
  <c r="E635" i="6"/>
  <c r="D635" i="6"/>
  <c r="C635" i="6"/>
  <c r="B635" i="6"/>
  <c r="A635" i="6"/>
  <c r="F634" i="6"/>
  <c r="E634" i="6"/>
  <c r="D634" i="6"/>
  <c r="C634" i="6"/>
  <c r="B634" i="6"/>
  <c r="A634" i="6"/>
  <c r="F633" i="6"/>
  <c r="E633" i="6"/>
  <c r="D633" i="6"/>
  <c r="C633" i="6"/>
  <c r="B633" i="6"/>
  <c r="A633" i="6"/>
  <c r="F632" i="6"/>
  <c r="E632" i="6"/>
  <c r="D632" i="6"/>
  <c r="C632" i="6"/>
  <c r="B632" i="6"/>
  <c r="A632" i="6"/>
  <c r="F631" i="6"/>
  <c r="E631" i="6"/>
  <c r="D631" i="6"/>
  <c r="C631" i="6"/>
  <c r="B631" i="6"/>
  <c r="A631" i="6"/>
  <c r="F630" i="6"/>
  <c r="E630" i="6"/>
  <c r="D630" i="6"/>
  <c r="C630" i="6"/>
  <c r="B630" i="6"/>
  <c r="A630" i="6"/>
  <c r="F629" i="6"/>
  <c r="E629" i="6"/>
  <c r="D629" i="6"/>
  <c r="C629" i="6"/>
  <c r="B629" i="6"/>
  <c r="A629" i="6"/>
  <c r="F628" i="6"/>
  <c r="E628" i="6"/>
  <c r="D628" i="6"/>
  <c r="C628" i="6"/>
  <c r="B628" i="6"/>
  <c r="A628" i="6"/>
  <c r="F627" i="6"/>
  <c r="E627" i="6"/>
  <c r="D627" i="6"/>
  <c r="C627" i="6"/>
  <c r="B627" i="6"/>
  <c r="A627" i="6"/>
  <c r="F626" i="6"/>
  <c r="E626" i="6"/>
  <c r="D626" i="6"/>
  <c r="C626" i="6"/>
  <c r="B626" i="6"/>
  <c r="A626" i="6"/>
  <c r="F625" i="6"/>
  <c r="E625" i="6"/>
  <c r="D625" i="6"/>
  <c r="C625" i="6"/>
  <c r="B625" i="6"/>
  <c r="A625" i="6"/>
  <c r="F624" i="6"/>
  <c r="E624" i="6"/>
  <c r="D624" i="6"/>
  <c r="C624" i="6"/>
  <c r="B624" i="6"/>
  <c r="A624" i="6"/>
  <c r="F623" i="6"/>
  <c r="E623" i="6"/>
  <c r="D623" i="6"/>
  <c r="C623" i="6"/>
  <c r="B623" i="6"/>
  <c r="A623" i="6"/>
  <c r="F622" i="6"/>
  <c r="E622" i="6"/>
  <c r="D622" i="6"/>
  <c r="C622" i="6"/>
  <c r="B622" i="6"/>
  <c r="A622" i="6"/>
  <c r="F621" i="6"/>
  <c r="E621" i="6"/>
  <c r="D621" i="6"/>
  <c r="C621" i="6"/>
  <c r="B621" i="6"/>
  <c r="A621" i="6"/>
  <c r="F620" i="6"/>
  <c r="E620" i="6"/>
  <c r="D620" i="6"/>
  <c r="C620" i="6"/>
  <c r="B620" i="6"/>
  <c r="A620" i="6"/>
  <c r="F619" i="6"/>
  <c r="E619" i="6"/>
  <c r="D619" i="6"/>
  <c r="C619" i="6"/>
  <c r="B619" i="6"/>
  <c r="A619" i="6"/>
  <c r="F618" i="6"/>
  <c r="E618" i="6"/>
  <c r="D618" i="6"/>
  <c r="C618" i="6"/>
  <c r="B618" i="6"/>
  <c r="A618" i="6"/>
  <c r="F617" i="6"/>
  <c r="E617" i="6"/>
  <c r="D617" i="6"/>
  <c r="C617" i="6"/>
  <c r="B617" i="6"/>
  <c r="A617" i="6"/>
  <c r="F616" i="6"/>
  <c r="E616" i="6"/>
  <c r="D616" i="6"/>
  <c r="C616" i="6"/>
  <c r="B616" i="6"/>
  <c r="A616" i="6"/>
  <c r="F615" i="6"/>
  <c r="E615" i="6"/>
  <c r="D615" i="6"/>
  <c r="C615" i="6"/>
  <c r="B615" i="6"/>
  <c r="A615" i="6"/>
  <c r="F614" i="6"/>
  <c r="E614" i="6"/>
  <c r="D614" i="6"/>
  <c r="C614" i="6"/>
  <c r="B614" i="6"/>
  <c r="A614" i="6"/>
  <c r="F613" i="6"/>
  <c r="E613" i="6"/>
  <c r="D613" i="6"/>
  <c r="C613" i="6"/>
  <c r="B613" i="6"/>
  <c r="A613" i="6"/>
  <c r="F612" i="6"/>
  <c r="E612" i="6"/>
  <c r="D612" i="6"/>
  <c r="C612" i="6"/>
  <c r="B612" i="6"/>
  <c r="A612" i="6"/>
  <c r="F611" i="6"/>
  <c r="E611" i="6"/>
  <c r="D611" i="6"/>
  <c r="C611" i="6"/>
  <c r="B611" i="6"/>
  <c r="A611" i="6"/>
  <c r="F610" i="6"/>
  <c r="E610" i="6"/>
  <c r="D610" i="6"/>
  <c r="C610" i="6"/>
  <c r="B610" i="6"/>
  <c r="A610" i="6"/>
  <c r="F609" i="6"/>
  <c r="E609" i="6"/>
  <c r="D609" i="6"/>
  <c r="C609" i="6"/>
  <c r="B609" i="6"/>
  <c r="A609" i="6"/>
  <c r="F608" i="6"/>
  <c r="E608" i="6"/>
  <c r="D608" i="6"/>
  <c r="C608" i="6"/>
  <c r="B608" i="6"/>
  <c r="A608" i="6"/>
  <c r="F607" i="6"/>
  <c r="E607" i="6"/>
  <c r="D607" i="6"/>
  <c r="C607" i="6"/>
  <c r="B607" i="6"/>
  <c r="A607" i="6"/>
  <c r="F606" i="6"/>
  <c r="E606" i="6"/>
  <c r="D606" i="6"/>
  <c r="C606" i="6"/>
  <c r="B606" i="6"/>
  <c r="A606" i="6"/>
  <c r="F605" i="6"/>
  <c r="E605" i="6"/>
  <c r="D605" i="6"/>
  <c r="C605" i="6"/>
  <c r="B605" i="6"/>
  <c r="A605" i="6"/>
  <c r="F604" i="6"/>
  <c r="E604" i="6"/>
  <c r="D604" i="6"/>
  <c r="C604" i="6"/>
  <c r="B604" i="6"/>
  <c r="A604" i="6"/>
  <c r="F603" i="6"/>
  <c r="E603" i="6"/>
  <c r="D603" i="6"/>
  <c r="C603" i="6"/>
  <c r="B603" i="6"/>
  <c r="A603" i="6"/>
  <c r="F602" i="6"/>
  <c r="E602" i="6"/>
  <c r="D602" i="6"/>
  <c r="C602" i="6"/>
  <c r="B602" i="6"/>
  <c r="A602" i="6"/>
  <c r="F601" i="6"/>
  <c r="E601" i="6"/>
  <c r="D601" i="6"/>
  <c r="C601" i="6"/>
  <c r="B601" i="6"/>
  <c r="A601" i="6"/>
  <c r="F600" i="6"/>
  <c r="E600" i="6"/>
  <c r="D600" i="6"/>
  <c r="C600" i="6"/>
  <c r="B600" i="6"/>
  <c r="A600" i="6"/>
  <c r="F599" i="6"/>
  <c r="E599" i="6"/>
  <c r="D599" i="6"/>
  <c r="C599" i="6"/>
  <c r="B599" i="6"/>
  <c r="A599" i="6"/>
  <c r="F598" i="6"/>
  <c r="E598" i="6"/>
  <c r="D598" i="6"/>
  <c r="C598" i="6"/>
  <c r="B598" i="6"/>
  <c r="A598" i="6"/>
  <c r="F597" i="6"/>
  <c r="E597" i="6"/>
  <c r="D597" i="6"/>
  <c r="C597" i="6"/>
  <c r="B597" i="6"/>
  <c r="A597" i="6"/>
  <c r="F596" i="6"/>
  <c r="E596" i="6"/>
  <c r="D596" i="6"/>
  <c r="C596" i="6"/>
  <c r="B596" i="6"/>
  <c r="A596" i="6"/>
  <c r="F595" i="6"/>
  <c r="E595" i="6"/>
  <c r="D595" i="6"/>
  <c r="C595" i="6"/>
  <c r="B595" i="6"/>
  <c r="A595" i="6"/>
  <c r="F594" i="6"/>
  <c r="E594" i="6"/>
  <c r="D594" i="6"/>
  <c r="C594" i="6"/>
  <c r="B594" i="6"/>
  <c r="A594" i="6"/>
  <c r="F593" i="6"/>
  <c r="E593" i="6"/>
  <c r="D593" i="6"/>
  <c r="C593" i="6"/>
  <c r="B593" i="6"/>
  <c r="A593" i="6"/>
  <c r="F592" i="6"/>
  <c r="E592" i="6"/>
  <c r="D592" i="6"/>
  <c r="C592" i="6"/>
  <c r="B592" i="6"/>
  <c r="A592" i="6"/>
  <c r="F591" i="6"/>
  <c r="E591" i="6"/>
  <c r="D591" i="6"/>
  <c r="C591" i="6"/>
  <c r="B591" i="6"/>
  <c r="A591" i="6"/>
  <c r="F590" i="6"/>
  <c r="E590" i="6"/>
  <c r="D590" i="6"/>
  <c r="C590" i="6"/>
  <c r="B590" i="6"/>
  <c r="A590" i="6"/>
  <c r="F589" i="6"/>
  <c r="E589" i="6"/>
  <c r="D589" i="6"/>
  <c r="C589" i="6"/>
  <c r="B589" i="6"/>
  <c r="A589" i="6"/>
  <c r="F588" i="6"/>
  <c r="E588" i="6"/>
  <c r="D588" i="6"/>
  <c r="C588" i="6"/>
  <c r="B588" i="6"/>
  <c r="A588" i="6"/>
  <c r="F587" i="6"/>
  <c r="E587" i="6"/>
  <c r="D587" i="6"/>
  <c r="C587" i="6"/>
  <c r="B587" i="6"/>
  <c r="A587" i="6"/>
  <c r="F586" i="6"/>
  <c r="E586" i="6"/>
  <c r="D586" i="6"/>
  <c r="C586" i="6"/>
  <c r="B586" i="6"/>
  <c r="A586" i="6"/>
  <c r="F585" i="6"/>
  <c r="E585" i="6"/>
  <c r="D585" i="6"/>
  <c r="C585" i="6"/>
  <c r="B585" i="6"/>
  <c r="A585" i="6"/>
  <c r="F584" i="6"/>
  <c r="E584" i="6"/>
  <c r="D584" i="6"/>
  <c r="C584" i="6"/>
  <c r="B584" i="6"/>
  <c r="A584" i="6"/>
  <c r="F583" i="6"/>
  <c r="E583" i="6"/>
  <c r="D583" i="6"/>
  <c r="C583" i="6"/>
  <c r="B583" i="6"/>
  <c r="A583" i="6"/>
  <c r="F582" i="6"/>
  <c r="E582" i="6"/>
  <c r="D582" i="6"/>
  <c r="C582" i="6"/>
  <c r="B582" i="6"/>
  <c r="A582" i="6"/>
  <c r="F581" i="6"/>
  <c r="E581" i="6"/>
  <c r="D581" i="6"/>
  <c r="C581" i="6"/>
  <c r="B581" i="6"/>
  <c r="A581" i="6"/>
  <c r="F580" i="6"/>
  <c r="E580" i="6"/>
  <c r="D580" i="6"/>
  <c r="C580" i="6"/>
  <c r="B580" i="6"/>
  <c r="A580" i="6"/>
  <c r="F579" i="6"/>
  <c r="E579" i="6"/>
  <c r="D579" i="6"/>
  <c r="C579" i="6"/>
  <c r="B579" i="6"/>
  <c r="A579" i="6"/>
  <c r="F578" i="6"/>
  <c r="E578" i="6"/>
  <c r="D578" i="6"/>
  <c r="C578" i="6"/>
  <c r="B578" i="6"/>
  <c r="A578" i="6"/>
  <c r="F577" i="6"/>
  <c r="E577" i="6"/>
  <c r="D577" i="6"/>
  <c r="C577" i="6"/>
  <c r="B577" i="6"/>
  <c r="A577" i="6"/>
  <c r="F576" i="6"/>
  <c r="E576" i="6"/>
  <c r="D576" i="6"/>
  <c r="C576" i="6"/>
  <c r="B576" i="6"/>
  <c r="A576" i="6"/>
  <c r="F575" i="6"/>
  <c r="E575" i="6"/>
  <c r="D575" i="6"/>
  <c r="C575" i="6"/>
  <c r="B575" i="6"/>
  <c r="A575" i="6"/>
  <c r="F574" i="6"/>
  <c r="E574" i="6"/>
  <c r="D574" i="6"/>
  <c r="C574" i="6"/>
  <c r="B574" i="6"/>
  <c r="A574" i="6"/>
  <c r="F573" i="6"/>
  <c r="E573" i="6"/>
  <c r="D573" i="6"/>
  <c r="C573" i="6"/>
  <c r="B573" i="6"/>
  <c r="A573" i="6"/>
  <c r="F572" i="6"/>
  <c r="E572" i="6"/>
  <c r="D572" i="6"/>
  <c r="C572" i="6"/>
  <c r="B572" i="6"/>
  <c r="A572" i="6"/>
  <c r="F571" i="6"/>
  <c r="E571" i="6"/>
  <c r="D571" i="6"/>
  <c r="C571" i="6"/>
  <c r="B571" i="6"/>
  <c r="A571" i="6"/>
  <c r="F570" i="6"/>
  <c r="E570" i="6"/>
  <c r="D570" i="6"/>
  <c r="C570" i="6"/>
  <c r="B570" i="6"/>
  <c r="A570" i="6"/>
  <c r="F569" i="6"/>
  <c r="E569" i="6"/>
  <c r="D569" i="6"/>
  <c r="C569" i="6"/>
  <c r="B569" i="6"/>
  <c r="A569" i="6"/>
  <c r="F568" i="6"/>
  <c r="E568" i="6"/>
  <c r="D568" i="6"/>
  <c r="C568" i="6"/>
  <c r="B568" i="6"/>
  <c r="A568" i="6"/>
  <c r="F567" i="6"/>
  <c r="E567" i="6"/>
  <c r="D567" i="6"/>
  <c r="C567" i="6"/>
  <c r="B567" i="6"/>
  <c r="A567" i="6"/>
  <c r="F566" i="6"/>
  <c r="E566" i="6"/>
  <c r="D566" i="6"/>
  <c r="C566" i="6"/>
  <c r="B566" i="6"/>
  <c r="A566" i="6"/>
  <c r="F565" i="6"/>
  <c r="E565" i="6"/>
  <c r="D565" i="6"/>
  <c r="C565" i="6"/>
  <c r="B565" i="6"/>
  <c r="A565" i="6"/>
  <c r="F564" i="6"/>
  <c r="E564" i="6"/>
  <c r="D564" i="6"/>
  <c r="C564" i="6"/>
  <c r="B564" i="6"/>
  <c r="A564" i="6"/>
  <c r="F563" i="6"/>
  <c r="E563" i="6"/>
  <c r="D563" i="6"/>
  <c r="C563" i="6"/>
  <c r="B563" i="6"/>
  <c r="A563" i="6"/>
  <c r="F562" i="6"/>
  <c r="E562" i="6"/>
  <c r="D562" i="6"/>
  <c r="C562" i="6"/>
  <c r="B562" i="6"/>
  <c r="A562" i="6"/>
  <c r="F561" i="6"/>
  <c r="E561" i="6"/>
  <c r="D561" i="6"/>
  <c r="C561" i="6"/>
  <c r="B561" i="6"/>
  <c r="A561" i="6"/>
  <c r="F560" i="6"/>
  <c r="E560" i="6"/>
  <c r="D560" i="6"/>
  <c r="C560" i="6"/>
  <c r="B560" i="6"/>
  <c r="A560" i="6"/>
  <c r="F559" i="6"/>
  <c r="E559" i="6"/>
  <c r="D559" i="6"/>
  <c r="C559" i="6"/>
  <c r="B559" i="6"/>
  <c r="A559" i="6"/>
  <c r="F558" i="6"/>
  <c r="E558" i="6"/>
  <c r="D558" i="6"/>
  <c r="C558" i="6"/>
  <c r="B558" i="6"/>
  <c r="A558" i="6"/>
  <c r="F557" i="6"/>
  <c r="E557" i="6"/>
  <c r="D557" i="6"/>
  <c r="C557" i="6"/>
  <c r="B557" i="6"/>
  <c r="A557" i="6"/>
  <c r="F556" i="6"/>
  <c r="E556" i="6"/>
  <c r="D556" i="6"/>
  <c r="C556" i="6"/>
  <c r="B556" i="6"/>
  <c r="A556" i="6"/>
  <c r="F555" i="6"/>
  <c r="E555" i="6"/>
  <c r="D555" i="6"/>
  <c r="C555" i="6"/>
  <c r="B555" i="6"/>
  <c r="A555" i="6"/>
  <c r="F554" i="6"/>
  <c r="E554" i="6"/>
  <c r="D554" i="6"/>
  <c r="C554" i="6"/>
  <c r="B554" i="6"/>
  <c r="A554" i="6"/>
  <c r="F553" i="6"/>
  <c r="E553" i="6"/>
  <c r="D553" i="6"/>
  <c r="C553" i="6"/>
  <c r="B553" i="6"/>
  <c r="A553" i="6"/>
  <c r="F552" i="6"/>
  <c r="E552" i="6"/>
  <c r="D552" i="6"/>
  <c r="C552" i="6"/>
  <c r="B552" i="6"/>
  <c r="A552" i="6"/>
  <c r="F551" i="6"/>
  <c r="E551" i="6"/>
  <c r="D551" i="6"/>
  <c r="C551" i="6"/>
  <c r="B551" i="6"/>
  <c r="A551" i="6"/>
  <c r="F550" i="6"/>
  <c r="E550" i="6"/>
  <c r="D550" i="6"/>
  <c r="C550" i="6"/>
  <c r="B550" i="6"/>
  <c r="A550" i="6"/>
  <c r="F549" i="6"/>
  <c r="E549" i="6"/>
  <c r="D549" i="6"/>
  <c r="C549" i="6"/>
  <c r="B549" i="6"/>
  <c r="A549" i="6"/>
  <c r="F548" i="6"/>
  <c r="E548" i="6"/>
  <c r="D548" i="6"/>
  <c r="C548" i="6"/>
  <c r="B548" i="6"/>
  <c r="A548" i="6"/>
  <c r="F547" i="6"/>
  <c r="E547" i="6"/>
  <c r="D547" i="6"/>
  <c r="C547" i="6"/>
  <c r="B547" i="6"/>
  <c r="A547" i="6"/>
  <c r="F546" i="6"/>
  <c r="E546" i="6"/>
  <c r="D546" i="6"/>
  <c r="C546" i="6"/>
  <c r="B546" i="6"/>
  <c r="A546" i="6"/>
  <c r="F545" i="6"/>
  <c r="E545" i="6"/>
  <c r="D545" i="6"/>
  <c r="C545" i="6"/>
  <c r="B545" i="6"/>
  <c r="A545" i="6"/>
  <c r="F544" i="6"/>
  <c r="E544" i="6"/>
  <c r="D544" i="6"/>
  <c r="C544" i="6"/>
  <c r="B544" i="6"/>
  <c r="A544" i="6"/>
  <c r="F543" i="6"/>
  <c r="E543" i="6"/>
  <c r="D543" i="6"/>
  <c r="C543" i="6"/>
  <c r="B543" i="6"/>
  <c r="A543" i="6"/>
  <c r="F542" i="6"/>
  <c r="E542" i="6"/>
  <c r="D542" i="6"/>
  <c r="C542" i="6"/>
  <c r="B542" i="6"/>
  <c r="A542" i="6"/>
  <c r="F541" i="6"/>
  <c r="E541" i="6"/>
  <c r="D541" i="6"/>
  <c r="C541" i="6"/>
  <c r="B541" i="6"/>
  <c r="A541" i="6"/>
  <c r="F540" i="6"/>
  <c r="E540" i="6"/>
  <c r="D540" i="6"/>
  <c r="C540" i="6"/>
  <c r="B540" i="6"/>
  <c r="A540" i="6"/>
  <c r="F539" i="6"/>
  <c r="E539" i="6"/>
  <c r="D539" i="6"/>
  <c r="C539" i="6"/>
  <c r="B539" i="6"/>
  <c r="A539" i="6"/>
  <c r="F538" i="6"/>
  <c r="E538" i="6"/>
  <c r="D538" i="6"/>
  <c r="C538" i="6"/>
  <c r="B538" i="6"/>
  <c r="A538" i="6"/>
  <c r="F537" i="6"/>
  <c r="E537" i="6"/>
  <c r="D537" i="6"/>
  <c r="C537" i="6"/>
  <c r="B537" i="6"/>
  <c r="A537" i="6"/>
  <c r="F536" i="6"/>
  <c r="E536" i="6"/>
  <c r="D536" i="6"/>
  <c r="C536" i="6"/>
  <c r="B536" i="6"/>
  <c r="A536" i="6"/>
  <c r="F535" i="6"/>
  <c r="E535" i="6"/>
  <c r="D535" i="6"/>
  <c r="C535" i="6"/>
  <c r="B535" i="6"/>
  <c r="A535" i="6"/>
  <c r="F534" i="6"/>
  <c r="E534" i="6"/>
  <c r="D534" i="6"/>
  <c r="C534" i="6"/>
  <c r="B534" i="6"/>
  <c r="A534" i="6"/>
  <c r="F533" i="6"/>
  <c r="E533" i="6"/>
  <c r="D533" i="6"/>
  <c r="C533" i="6"/>
  <c r="B533" i="6"/>
  <c r="A533" i="6"/>
  <c r="F532" i="6"/>
  <c r="E532" i="6"/>
  <c r="D532" i="6"/>
  <c r="C532" i="6"/>
  <c r="B532" i="6"/>
  <c r="A532" i="6"/>
  <c r="F531" i="6"/>
  <c r="E531" i="6"/>
  <c r="D531" i="6"/>
  <c r="C531" i="6"/>
  <c r="B531" i="6"/>
  <c r="A531" i="6"/>
  <c r="F530" i="6"/>
  <c r="E530" i="6"/>
  <c r="D530" i="6"/>
  <c r="C530" i="6"/>
  <c r="B530" i="6"/>
  <c r="A530" i="6"/>
  <c r="F529" i="6"/>
  <c r="E529" i="6"/>
  <c r="D529" i="6"/>
  <c r="C529" i="6"/>
  <c r="B529" i="6"/>
  <c r="A529" i="6"/>
  <c r="F528" i="6"/>
  <c r="E528" i="6"/>
  <c r="D528" i="6"/>
  <c r="C528" i="6"/>
  <c r="B528" i="6"/>
  <c r="A528" i="6"/>
  <c r="F527" i="6"/>
  <c r="E527" i="6"/>
  <c r="D527" i="6"/>
  <c r="C527" i="6"/>
  <c r="B527" i="6"/>
  <c r="A527" i="6"/>
  <c r="F526" i="6"/>
  <c r="E526" i="6"/>
  <c r="D526" i="6"/>
  <c r="C526" i="6"/>
  <c r="B526" i="6"/>
  <c r="A526" i="6"/>
  <c r="F525" i="6"/>
  <c r="E525" i="6"/>
  <c r="D525" i="6"/>
  <c r="C525" i="6"/>
  <c r="B525" i="6"/>
  <c r="A525" i="6"/>
  <c r="F524" i="6"/>
  <c r="E524" i="6"/>
  <c r="D524" i="6"/>
  <c r="C524" i="6"/>
  <c r="B524" i="6"/>
  <c r="A524" i="6"/>
  <c r="F523" i="6"/>
  <c r="E523" i="6"/>
  <c r="D523" i="6"/>
  <c r="C523" i="6"/>
  <c r="B523" i="6"/>
  <c r="A523" i="6"/>
  <c r="F522" i="6"/>
  <c r="E522" i="6"/>
  <c r="D522" i="6"/>
  <c r="C522" i="6"/>
  <c r="B522" i="6"/>
  <c r="A522" i="6"/>
  <c r="F521" i="6"/>
  <c r="E521" i="6"/>
  <c r="D521" i="6"/>
  <c r="C521" i="6"/>
  <c r="B521" i="6"/>
  <c r="A521" i="6"/>
  <c r="F520" i="6"/>
  <c r="E520" i="6"/>
  <c r="D520" i="6"/>
  <c r="C520" i="6"/>
  <c r="B520" i="6"/>
  <c r="A520" i="6"/>
  <c r="F519" i="6"/>
  <c r="E519" i="6"/>
  <c r="D519" i="6"/>
  <c r="C519" i="6"/>
  <c r="B519" i="6"/>
  <c r="A519" i="6"/>
  <c r="F518" i="6"/>
  <c r="E518" i="6"/>
  <c r="D518" i="6"/>
  <c r="C518" i="6"/>
  <c r="B518" i="6"/>
  <c r="A518" i="6"/>
  <c r="F517" i="6"/>
  <c r="E517" i="6"/>
  <c r="D517" i="6"/>
  <c r="C517" i="6"/>
  <c r="B517" i="6"/>
  <c r="A517" i="6"/>
  <c r="F516" i="6"/>
  <c r="E516" i="6"/>
  <c r="D516" i="6"/>
  <c r="C516" i="6"/>
  <c r="B516" i="6"/>
  <c r="A516" i="6"/>
  <c r="F515" i="6"/>
  <c r="E515" i="6"/>
  <c r="D515" i="6"/>
  <c r="C515" i="6"/>
  <c r="B515" i="6"/>
  <c r="A515" i="6"/>
  <c r="F514" i="6"/>
  <c r="E514" i="6"/>
  <c r="D514" i="6"/>
  <c r="C514" i="6"/>
  <c r="B514" i="6"/>
  <c r="A514" i="6"/>
  <c r="F513" i="6"/>
  <c r="E513" i="6"/>
  <c r="D513" i="6"/>
  <c r="C513" i="6"/>
  <c r="B513" i="6"/>
  <c r="A513" i="6"/>
  <c r="F512" i="6"/>
  <c r="E512" i="6"/>
  <c r="D512" i="6"/>
  <c r="C512" i="6"/>
  <c r="B512" i="6"/>
  <c r="A512" i="6"/>
  <c r="F511" i="6"/>
  <c r="E511" i="6"/>
  <c r="D511" i="6"/>
  <c r="C511" i="6"/>
  <c r="B511" i="6"/>
  <c r="A511" i="6"/>
  <c r="F510" i="6"/>
  <c r="E510" i="6"/>
  <c r="D510" i="6"/>
  <c r="C510" i="6"/>
  <c r="B510" i="6"/>
  <c r="A510" i="6"/>
  <c r="F509" i="6"/>
  <c r="E509" i="6"/>
  <c r="D509" i="6"/>
  <c r="C509" i="6"/>
  <c r="B509" i="6"/>
  <c r="A509" i="6"/>
  <c r="F508" i="6"/>
  <c r="E508" i="6"/>
  <c r="D508" i="6"/>
  <c r="C508" i="6"/>
  <c r="B508" i="6"/>
  <c r="A508" i="6"/>
  <c r="F507" i="6"/>
  <c r="E507" i="6"/>
  <c r="D507" i="6"/>
  <c r="C507" i="6"/>
  <c r="B507" i="6"/>
  <c r="A507" i="6"/>
  <c r="F506" i="6"/>
  <c r="E506" i="6"/>
  <c r="D506" i="6"/>
  <c r="C506" i="6"/>
  <c r="B506" i="6"/>
  <c r="A506" i="6"/>
  <c r="F505" i="6"/>
  <c r="E505" i="6"/>
  <c r="D505" i="6"/>
  <c r="C505" i="6"/>
  <c r="B505" i="6"/>
  <c r="A505" i="6"/>
  <c r="F504" i="6"/>
  <c r="E504" i="6"/>
  <c r="D504" i="6"/>
  <c r="C504" i="6"/>
  <c r="B504" i="6"/>
  <c r="A504" i="6"/>
  <c r="F503" i="6"/>
  <c r="E503" i="6"/>
  <c r="D503" i="6"/>
  <c r="C503" i="6"/>
  <c r="B503" i="6"/>
  <c r="A503" i="6"/>
  <c r="F502" i="6"/>
  <c r="E502" i="6"/>
  <c r="D502" i="6"/>
  <c r="C502" i="6"/>
  <c r="B502" i="6"/>
  <c r="A502" i="6"/>
  <c r="F501" i="6"/>
  <c r="E501" i="6"/>
  <c r="D501" i="6"/>
  <c r="C501" i="6"/>
  <c r="B501" i="6"/>
  <c r="A501" i="6"/>
  <c r="F500" i="6"/>
  <c r="E500" i="6"/>
  <c r="D500" i="6"/>
  <c r="C500" i="6"/>
  <c r="B500" i="6"/>
  <c r="A500" i="6"/>
  <c r="F499" i="6"/>
  <c r="E499" i="6"/>
  <c r="D499" i="6"/>
  <c r="C499" i="6"/>
  <c r="B499" i="6"/>
  <c r="A499" i="6"/>
  <c r="F498" i="6"/>
  <c r="E498" i="6"/>
  <c r="D498" i="6"/>
  <c r="C498" i="6"/>
  <c r="B498" i="6"/>
  <c r="A498" i="6"/>
  <c r="F497" i="6"/>
  <c r="E497" i="6"/>
  <c r="D497" i="6"/>
  <c r="C497" i="6"/>
  <c r="B497" i="6"/>
  <c r="A497" i="6"/>
  <c r="F496" i="6"/>
  <c r="E496" i="6"/>
  <c r="D496" i="6"/>
  <c r="C496" i="6"/>
  <c r="B496" i="6"/>
  <c r="A496" i="6"/>
  <c r="F495" i="6"/>
  <c r="E495" i="6"/>
  <c r="D495" i="6"/>
  <c r="C495" i="6"/>
  <c r="B495" i="6"/>
  <c r="A495" i="6"/>
  <c r="F494" i="6"/>
  <c r="E494" i="6"/>
  <c r="D494" i="6"/>
  <c r="C494" i="6"/>
  <c r="B494" i="6"/>
  <c r="A494" i="6"/>
  <c r="F493" i="6"/>
  <c r="E493" i="6"/>
  <c r="D493" i="6"/>
  <c r="C493" i="6"/>
  <c r="B493" i="6"/>
  <c r="A493" i="6"/>
  <c r="F492" i="6"/>
  <c r="E492" i="6"/>
  <c r="D492" i="6"/>
  <c r="C492" i="6"/>
  <c r="B492" i="6"/>
  <c r="A492" i="6"/>
  <c r="F491" i="6"/>
  <c r="E491" i="6"/>
  <c r="D491" i="6"/>
  <c r="C491" i="6"/>
  <c r="B491" i="6"/>
  <c r="A491" i="6"/>
  <c r="F490" i="6"/>
  <c r="E490" i="6"/>
  <c r="D490" i="6"/>
  <c r="C490" i="6"/>
  <c r="B490" i="6"/>
  <c r="A490" i="6"/>
  <c r="F489" i="6"/>
  <c r="E489" i="6"/>
  <c r="D489" i="6"/>
  <c r="C489" i="6"/>
  <c r="B489" i="6"/>
  <c r="A489" i="6"/>
  <c r="F488" i="6"/>
  <c r="E488" i="6"/>
  <c r="D488" i="6"/>
  <c r="C488" i="6"/>
  <c r="B488" i="6"/>
  <c r="A488" i="6"/>
  <c r="F487" i="6"/>
  <c r="E487" i="6"/>
  <c r="D487" i="6"/>
  <c r="C487" i="6"/>
  <c r="B487" i="6"/>
  <c r="A487" i="6"/>
  <c r="F486" i="6"/>
  <c r="E486" i="6"/>
  <c r="D486" i="6"/>
  <c r="C486" i="6"/>
  <c r="B486" i="6"/>
  <c r="A486" i="6"/>
  <c r="F485" i="6"/>
  <c r="E485" i="6"/>
  <c r="D485" i="6"/>
  <c r="C485" i="6"/>
  <c r="B485" i="6"/>
  <c r="A485" i="6"/>
  <c r="F484" i="6"/>
  <c r="E484" i="6"/>
  <c r="D484" i="6"/>
  <c r="C484" i="6"/>
  <c r="B484" i="6"/>
  <c r="A484" i="6"/>
  <c r="F483" i="6"/>
  <c r="E483" i="6"/>
  <c r="D483" i="6"/>
  <c r="C483" i="6"/>
  <c r="B483" i="6"/>
  <c r="A483" i="6"/>
  <c r="F482" i="6"/>
  <c r="E482" i="6"/>
  <c r="D482" i="6"/>
  <c r="C482" i="6"/>
  <c r="B482" i="6"/>
  <c r="A482" i="6"/>
  <c r="F481" i="6"/>
  <c r="E481" i="6"/>
  <c r="D481" i="6"/>
  <c r="C481" i="6"/>
  <c r="B481" i="6"/>
  <c r="A481" i="6"/>
  <c r="F480" i="6"/>
  <c r="E480" i="6"/>
  <c r="D480" i="6"/>
  <c r="C480" i="6"/>
  <c r="B480" i="6"/>
  <c r="A480" i="6"/>
  <c r="F479" i="6"/>
  <c r="E479" i="6"/>
  <c r="D479" i="6"/>
  <c r="C479" i="6"/>
  <c r="B479" i="6"/>
  <c r="A479" i="6"/>
  <c r="F478" i="6"/>
  <c r="E478" i="6"/>
  <c r="D478" i="6"/>
  <c r="C478" i="6"/>
  <c r="B478" i="6"/>
  <c r="A478" i="6"/>
  <c r="F477" i="6"/>
  <c r="E477" i="6"/>
  <c r="D477" i="6"/>
  <c r="C477" i="6"/>
  <c r="B477" i="6"/>
  <c r="A477" i="6"/>
  <c r="F476" i="6"/>
  <c r="E476" i="6"/>
  <c r="D476" i="6"/>
  <c r="C476" i="6"/>
  <c r="B476" i="6"/>
  <c r="A476" i="6"/>
  <c r="F475" i="6"/>
  <c r="E475" i="6"/>
  <c r="D475" i="6"/>
  <c r="C475" i="6"/>
  <c r="B475" i="6"/>
  <c r="A475" i="6"/>
  <c r="F474" i="6"/>
  <c r="E474" i="6"/>
  <c r="D474" i="6"/>
  <c r="C474" i="6"/>
  <c r="B474" i="6"/>
  <c r="A474" i="6"/>
  <c r="F473" i="6"/>
  <c r="E473" i="6"/>
  <c r="D473" i="6"/>
  <c r="C473" i="6"/>
  <c r="B473" i="6"/>
  <c r="A473" i="6"/>
  <c r="F472" i="6"/>
  <c r="E472" i="6"/>
  <c r="D472" i="6"/>
  <c r="C472" i="6"/>
  <c r="B472" i="6"/>
  <c r="A472" i="6"/>
  <c r="F471" i="6"/>
  <c r="E471" i="6"/>
  <c r="D471" i="6"/>
  <c r="C471" i="6"/>
  <c r="B471" i="6"/>
  <c r="A471" i="6"/>
  <c r="F470" i="6"/>
  <c r="E470" i="6"/>
  <c r="D470" i="6"/>
  <c r="C470" i="6"/>
  <c r="B470" i="6"/>
  <c r="A470" i="6"/>
  <c r="F469" i="6"/>
  <c r="E469" i="6"/>
  <c r="D469" i="6"/>
  <c r="C469" i="6"/>
  <c r="B469" i="6"/>
  <c r="A469" i="6"/>
  <c r="F468" i="6"/>
  <c r="E468" i="6"/>
  <c r="D468" i="6"/>
  <c r="C468" i="6"/>
  <c r="B468" i="6"/>
  <c r="A468" i="6"/>
  <c r="F467" i="6"/>
  <c r="E467" i="6"/>
  <c r="D467" i="6"/>
  <c r="C467" i="6"/>
  <c r="B467" i="6"/>
  <c r="A467" i="6"/>
  <c r="F466" i="6"/>
  <c r="E466" i="6"/>
  <c r="D466" i="6"/>
  <c r="C466" i="6"/>
  <c r="B466" i="6"/>
  <c r="A466" i="6"/>
  <c r="F465" i="6"/>
  <c r="E465" i="6"/>
  <c r="D465" i="6"/>
  <c r="C465" i="6"/>
  <c r="B465" i="6"/>
  <c r="A465" i="6"/>
  <c r="F464" i="6"/>
  <c r="E464" i="6"/>
  <c r="D464" i="6"/>
  <c r="C464" i="6"/>
  <c r="B464" i="6"/>
  <c r="A464" i="6"/>
  <c r="F463" i="6"/>
  <c r="E463" i="6"/>
  <c r="D463" i="6"/>
  <c r="C463" i="6"/>
  <c r="B463" i="6"/>
  <c r="A463" i="6"/>
  <c r="F462" i="6"/>
  <c r="E462" i="6"/>
  <c r="D462" i="6"/>
  <c r="C462" i="6"/>
  <c r="B462" i="6"/>
  <c r="A462" i="6"/>
  <c r="F461" i="6"/>
  <c r="E461" i="6"/>
  <c r="D461" i="6"/>
  <c r="C461" i="6"/>
  <c r="B461" i="6"/>
  <c r="A461" i="6"/>
  <c r="F460" i="6"/>
  <c r="E460" i="6"/>
  <c r="D460" i="6"/>
  <c r="C460" i="6"/>
  <c r="B460" i="6"/>
  <c r="A460" i="6"/>
  <c r="F459" i="6"/>
  <c r="E459" i="6"/>
  <c r="D459" i="6"/>
  <c r="C459" i="6"/>
  <c r="B459" i="6"/>
  <c r="A459" i="6"/>
  <c r="F458" i="6"/>
  <c r="E458" i="6"/>
  <c r="D458" i="6"/>
  <c r="C458" i="6"/>
  <c r="B458" i="6"/>
  <c r="A458" i="6"/>
  <c r="F457" i="6"/>
  <c r="E457" i="6"/>
  <c r="D457" i="6"/>
  <c r="C457" i="6"/>
  <c r="B457" i="6"/>
  <c r="A457" i="6"/>
  <c r="F456" i="6"/>
  <c r="E456" i="6"/>
  <c r="D456" i="6"/>
  <c r="C456" i="6"/>
  <c r="B456" i="6"/>
  <c r="A456" i="6"/>
  <c r="F455" i="6"/>
  <c r="E455" i="6"/>
  <c r="D455" i="6"/>
  <c r="C455" i="6"/>
  <c r="B455" i="6"/>
  <c r="A455" i="6"/>
  <c r="F454" i="6"/>
  <c r="E454" i="6"/>
  <c r="D454" i="6"/>
  <c r="C454" i="6"/>
  <c r="B454" i="6"/>
  <c r="A454" i="6"/>
  <c r="F453" i="6"/>
  <c r="E453" i="6"/>
  <c r="D453" i="6"/>
  <c r="C453" i="6"/>
  <c r="B453" i="6"/>
  <c r="A453" i="6"/>
  <c r="F452" i="6"/>
  <c r="E452" i="6"/>
  <c r="D452" i="6"/>
  <c r="C452" i="6"/>
  <c r="B452" i="6"/>
  <c r="A452" i="6"/>
  <c r="F451" i="6"/>
  <c r="E451" i="6"/>
  <c r="D451" i="6"/>
  <c r="C451" i="6"/>
  <c r="B451" i="6"/>
  <c r="A451" i="6"/>
  <c r="F450" i="6"/>
  <c r="E450" i="6"/>
  <c r="D450" i="6"/>
  <c r="C450" i="6"/>
  <c r="B450" i="6"/>
  <c r="A450" i="6"/>
  <c r="F449" i="6"/>
  <c r="E449" i="6"/>
  <c r="D449" i="6"/>
  <c r="C449" i="6"/>
  <c r="B449" i="6"/>
  <c r="A449" i="6"/>
  <c r="F448" i="6"/>
  <c r="E448" i="6"/>
  <c r="D448" i="6"/>
  <c r="C448" i="6"/>
  <c r="B448" i="6"/>
  <c r="A448" i="6"/>
  <c r="F447" i="6"/>
  <c r="E447" i="6"/>
  <c r="D447" i="6"/>
  <c r="C447" i="6"/>
  <c r="B447" i="6"/>
  <c r="A447" i="6"/>
  <c r="F446" i="6"/>
  <c r="E446" i="6"/>
  <c r="D446" i="6"/>
  <c r="C446" i="6"/>
  <c r="B446" i="6"/>
  <c r="A446" i="6"/>
  <c r="F445" i="6"/>
  <c r="E445" i="6"/>
  <c r="D445" i="6"/>
  <c r="C445" i="6"/>
  <c r="B445" i="6"/>
  <c r="A445" i="6"/>
  <c r="F444" i="6"/>
  <c r="E444" i="6"/>
  <c r="D444" i="6"/>
  <c r="C444" i="6"/>
  <c r="B444" i="6"/>
  <c r="A444" i="6"/>
  <c r="F443" i="6"/>
  <c r="E443" i="6"/>
  <c r="D443" i="6"/>
  <c r="C443" i="6"/>
  <c r="B443" i="6"/>
  <c r="A443" i="6"/>
  <c r="F442" i="6"/>
  <c r="E442" i="6"/>
  <c r="D442" i="6"/>
  <c r="C442" i="6"/>
  <c r="B442" i="6"/>
  <c r="A442" i="6"/>
  <c r="F441" i="6"/>
  <c r="E441" i="6"/>
  <c r="D441" i="6"/>
  <c r="C441" i="6"/>
  <c r="B441" i="6"/>
  <c r="A441" i="6"/>
  <c r="F440" i="6"/>
  <c r="E440" i="6"/>
  <c r="D440" i="6"/>
  <c r="C440" i="6"/>
  <c r="B440" i="6"/>
  <c r="A440" i="6"/>
  <c r="F439" i="6"/>
  <c r="E439" i="6"/>
  <c r="D439" i="6"/>
  <c r="C439" i="6"/>
  <c r="B439" i="6"/>
  <c r="A439" i="6"/>
  <c r="F438" i="6"/>
  <c r="E438" i="6"/>
  <c r="D438" i="6"/>
  <c r="C438" i="6"/>
  <c r="B438" i="6"/>
  <c r="A438" i="6"/>
  <c r="F437" i="6"/>
  <c r="E437" i="6"/>
  <c r="D437" i="6"/>
  <c r="C437" i="6"/>
  <c r="B437" i="6"/>
  <c r="A437" i="6"/>
  <c r="F436" i="6"/>
  <c r="E436" i="6"/>
  <c r="D436" i="6"/>
  <c r="C436" i="6"/>
  <c r="B436" i="6"/>
  <c r="A436" i="6"/>
  <c r="F435" i="6"/>
  <c r="E435" i="6"/>
  <c r="D435" i="6"/>
  <c r="C435" i="6"/>
  <c r="B435" i="6"/>
  <c r="A435" i="6"/>
  <c r="F434" i="6"/>
  <c r="E434" i="6"/>
  <c r="D434" i="6"/>
  <c r="C434" i="6"/>
  <c r="B434" i="6"/>
  <c r="A434" i="6"/>
  <c r="F433" i="6"/>
  <c r="E433" i="6"/>
  <c r="D433" i="6"/>
  <c r="C433" i="6"/>
  <c r="B433" i="6"/>
  <c r="A433" i="6"/>
  <c r="F432" i="6"/>
  <c r="E432" i="6"/>
  <c r="D432" i="6"/>
  <c r="C432" i="6"/>
  <c r="B432" i="6"/>
  <c r="A432" i="6"/>
  <c r="F431" i="6"/>
  <c r="E431" i="6"/>
  <c r="D431" i="6"/>
  <c r="C431" i="6"/>
  <c r="B431" i="6"/>
  <c r="A431" i="6"/>
  <c r="F430" i="6"/>
  <c r="E430" i="6"/>
  <c r="D430" i="6"/>
  <c r="C430" i="6"/>
  <c r="B430" i="6"/>
  <c r="A430" i="6"/>
  <c r="F429" i="6"/>
  <c r="E429" i="6"/>
  <c r="D429" i="6"/>
  <c r="C429" i="6"/>
  <c r="B429" i="6"/>
  <c r="A429" i="6"/>
  <c r="F428" i="6"/>
  <c r="E428" i="6"/>
  <c r="D428" i="6"/>
  <c r="C428" i="6"/>
  <c r="B428" i="6"/>
  <c r="A428" i="6"/>
  <c r="F427" i="6"/>
  <c r="E427" i="6"/>
  <c r="D427" i="6"/>
  <c r="C427" i="6"/>
  <c r="B427" i="6"/>
  <c r="A427" i="6"/>
  <c r="F426" i="6"/>
  <c r="E426" i="6"/>
  <c r="D426" i="6"/>
  <c r="C426" i="6"/>
  <c r="B426" i="6"/>
  <c r="A426" i="6"/>
  <c r="F425" i="6"/>
  <c r="E425" i="6"/>
  <c r="D425" i="6"/>
  <c r="C425" i="6"/>
  <c r="B425" i="6"/>
  <c r="A425" i="6"/>
  <c r="F424" i="6"/>
  <c r="E424" i="6"/>
  <c r="D424" i="6"/>
  <c r="C424" i="6"/>
  <c r="B424" i="6"/>
  <c r="A424" i="6"/>
  <c r="F423" i="6"/>
  <c r="E423" i="6"/>
  <c r="D423" i="6"/>
  <c r="C423" i="6"/>
  <c r="B423" i="6"/>
  <c r="A423" i="6"/>
  <c r="F422" i="6"/>
  <c r="E422" i="6"/>
  <c r="D422" i="6"/>
  <c r="C422" i="6"/>
  <c r="B422" i="6"/>
  <c r="A422" i="6"/>
  <c r="F421" i="6"/>
  <c r="E421" i="6"/>
  <c r="D421" i="6"/>
  <c r="C421" i="6"/>
  <c r="B421" i="6"/>
  <c r="A421" i="6"/>
  <c r="F420" i="6"/>
  <c r="E420" i="6"/>
  <c r="D420" i="6"/>
  <c r="C420" i="6"/>
  <c r="B420" i="6"/>
  <c r="A420" i="6"/>
  <c r="F419" i="6"/>
  <c r="E419" i="6"/>
  <c r="D419" i="6"/>
  <c r="C419" i="6"/>
  <c r="B419" i="6"/>
  <c r="A419" i="6"/>
  <c r="F418" i="6"/>
  <c r="E418" i="6"/>
  <c r="D418" i="6"/>
  <c r="C418" i="6"/>
  <c r="B418" i="6"/>
  <c r="A418" i="6"/>
  <c r="F417" i="6"/>
  <c r="E417" i="6"/>
  <c r="D417" i="6"/>
  <c r="C417" i="6"/>
  <c r="B417" i="6"/>
  <c r="A417" i="6"/>
  <c r="F416" i="6"/>
  <c r="E416" i="6"/>
  <c r="D416" i="6"/>
  <c r="C416" i="6"/>
  <c r="B416" i="6"/>
  <c r="A416" i="6"/>
  <c r="F415" i="6"/>
  <c r="E415" i="6"/>
  <c r="D415" i="6"/>
  <c r="C415" i="6"/>
  <c r="B415" i="6"/>
  <c r="A415" i="6"/>
  <c r="F414" i="6"/>
  <c r="E414" i="6"/>
  <c r="D414" i="6"/>
  <c r="C414" i="6"/>
  <c r="B414" i="6"/>
  <c r="A414" i="6"/>
  <c r="F413" i="6"/>
  <c r="E413" i="6"/>
  <c r="D413" i="6"/>
  <c r="C413" i="6"/>
  <c r="B413" i="6"/>
  <c r="A413" i="6"/>
  <c r="F412" i="6"/>
  <c r="E412" i="6"/>
  <c r="D412" i="6"/>
  <c r="C412" i="6"/>
  <c r="B412" i="6"/>
  <c r="A412" i="6"/>
  <c r="F411" i="6"/>
  <c r="E411" i="6"/>
  <c r="D411" i="6"/>
  <c r="C411" i="6"/>
  <c r="B411" i="6"/>
  <c r="A411" i="6"/>
  <c r="F410" i="6"/>
  <c r="E410" i="6"/>
  <c r="D410" i="6"/>
  <c r="C410" i="6"/>
  <c r="B410" i="6"/>
  <c r="A410" i="6"/>
  <c r="F409" i="6"/>
  <c r="E409" i="6"/>
  <c r="D409" i="6"/>
  <c r="C409" i="6"/>
  <c r="B409" i="6"/>
  <c r="A409" i="6"/>
  <c r="F408" i="6"/>
  <c r="E408" i="6"/>
  <c r="D408" i="6"/>
  <c r="C408" i="6"/>
  <c r="B408" i="6"/>
  <c r="A408" i="6"/>
  <c r="F407" i="6"/>
  <c r="E407" i="6"/>
  <c r="D407" i="6"/>
  <c r="C407" i="6"/>
  <c r="B407" i="6"/>
  <c r="A407" i="6"/>
  <c r="F406" i="6"/>
  <c r="E406" i="6"/>
  <c r="D406" i="6"/>
  <c r="C406" i="6"/>
  <c r="B406" i="6"/>
  <c r="A406" i="6"/>
  <c r="F405" i="6"/>
  <c r="E405" i="6"/>
  <c r="D405" i="6"/>
  <c r="C405" i="6"/>
  <c r="B405" i="6"/>
  <c r="A405" i="6"/>
  <c r="F404" i="6"/>
  <c r="E404" i="6"/>
  <c r="D404" i="6"/>
  <c r="C404" i="6"/>
  <c r="B404" i="6"/>
  <c r="A404" i="6"/>
  <c r="F403" i="6"/>
  <c r="E403" i="6"/>
  <c r="D403" i="6"/>
  <c r="C403" i="6"/>
  <c r="B403" i="6"/>
  <c r="A403" i="6"/>
  <c r="F402" i="6"/>
  <c r="E402" i="6"/>
  <c r="D402" i="6"/>
  <c r="C402" i="6"/>
  <c r="B402" i="6"/>
  <c r="A402" i="6"/>
  <c r="F401" i="6"/>
  <c r="E401" i="6"/>
  <c r="D401" i="6"/>
  <c r="C401" i="6"/>
  <c r="B401" i="6"/>
  <c r="A401" i="6"/>
  <c r="F400" i="6"/>
  <c r="E400" i="6"/>
  <c r="D400" i="6"/>
  <c r="C400" i="6"/>
  <c r="B400" i="6"/>
  <c r="A400" i="6"/>
  <c r="F399" i="6"/>
  <c r="E399" i="6"/>
  <c r="D399" i="6"/>
  <c r="C399" i="6"/>
  <c r="B399" i="6"/>
  <c r="A399" i="6"/>
  <c r="F398" i="6"/>
  <c r="E398" i="6"/>
  <c r="D398" i="6"/>
  <c r="C398" i="6"/>
  <c r="B398" i="6"/>
  <c r="A398" i="6"/>
  <c r="F397" i="6"/>
  <c r="E397" i="6"/>
  <c r="D397" i="6"/>
  <c r="C397" i="6"/>
  <c r="B397" i="6"/>
  <c r="A397" i="6"/>
  <c r="F396" i="6"/>
  <c r="E396" i="6"/>
  <c r="D396" i="6"/>
  <c r="C396" i="6"/>
  <c r="B396" i="6"/>
  <c r="A396" i="6"/>
  <c r="F395" i="6"/>
  <c r="E395" i="6"/>
  <c r="D395" i="6"/>
  <c r="C395" i="6"/>
  <c r="B395" i="6"/>
  <c r="A395" i="6"/>
  <c r="F394" i="6"/>
  <c r="E394" i="6"/>
  <c r="D394" i="6"/>
  <c r="C394" i="6"/>
  <c r="B394" i="6"/>
  <c r="A394" i="6"/>
  <c r="F393" i="6"/>
  <c r="E393" i="6"/>
  <c r="D393" i="6"/>
  <c r="C393" i="6"/>
  <c r="B393" i="6"/>
  <c r="A393" i="6"/>
  <c r="F392" i="6"/>
  <c r="E392" i="6"/>
  <c r="D392" i="6"/>
  <c r="C392" i="6"/>
  <c r="B392" i="6"/>
  <c r="A392" i="6"/>
  <c r="F391" i="6"/>
  <c r="E391" i="6"/>
  <c r="D391" i="6"/>
  <c r="C391" i="6"/>
  <c r="B391" i="6"/>
  <c r="A391" i="6"/>
  <c r="F390" i="6"/>
  <c r="E390" i="6"/>
  <c r="D390" i="6"/>
  <c r="C390" i="6"/>
  <c r="B390" i="6"/>
  <c r="A390" i="6"/>
  <c r="F389" i="6"/>
  <c r="E389" i="6"/>
  <c r="D389" i="6"/>
  <c r="C389" i="6"/>
  <c r="B389" i="6"/>
  <c r="A389" i="6"/>
  <c r="F388" i="6"/>
  <c r="E388" i="6"/>
  <c r="D388" i="6"/>
  <c r="C388" i="6"/>
  <c r="B388" i="6"/>
  <c r="A388" i="6"/>
  <c r="F387" i="6"/>
  <c r="E387" i="6"/>
  <c r="D387" i="6"/>
  <c r="C387" i="6"/>
  <c r="B387" i="6"/>
  <c r="A387" i="6"/>
  <c r="F386" i="6"/>
  <c r="E386" i="6"/>
  <c r="D386" i="6"/>
  <c r="C386" i="6"/>
  <c r="B386" i="6"/>
  <c r="A386" i="6"/>
  <c r="F385" i="6"/>
  <c r="E385" i="6"/>
  <c r="D385" i="6"/>
  <c r="C385" i="6"/>
  <c r="B385" i="6"/>
  <c r="A385" i="6"/>
  <c r="F384" i="6"/>
  <c r="E384" i="6"/>
  <c r="D384" i="6"/>
  <c r="C384" i="6"/>
  <c r="B384" i="6"/>
  <c r="A384" i="6"/>
  <c r="F383" i="6"/>
  <c r="E383" i="6"/>
  <c r="D383" i="6"/>
  <c r="C383" i="6"/>
  <c r="B383" i="6"/>
  <c r="A383" i="6"/>
  <c r="F382" i="6"/>
  <c r="E382" i="6"/>
  <c r="D382" i="6"/>
  <c r="C382" i="6"/>
  <c r="B382" i="6"/>
  <c r="A382" i="6"/>
  <c r="F381" i="6"/>
  <c r="E381" i="6"/>
  <c r="D381" i="6"/>
  <c r="C381" i="6"/>
  <c r="B381" i="6"/>
  <c r="A381" i="6"/>
  <c r="F380" i="6"/>
  <c r="E380" i="6"/>
  <c r="D380" i="6"/>
  <c r="C380" i="6"/>
  <c r="B380" i="6"/>
  <c r="A380" i="6"/>
  <c r="F379" i="6"/>
  <c r="E379" i="6"/>
  <c r="D379" i="6"/>
  <c r="C379" i="6"/>
  <c r="B379" i="6"/>
  <c r="A379" i="6"/>
  <c r="F378" i="6"/>
  <c r="E378" i="6"/>
  <c r="D378" i="6"/>
  <c r="C378" i="6"/>
  <c r="B378" i="6"/>
  <c r="A378" i="6"/>
  <c r="F377" i="6"/>
  <c r="E377" i="6"/>
  <c r="D377" i="6"/>
  <c r="C377" i="6"/>
  <c r="B377" i="6"/>
  <c r="A377" i="6"/>
  <c r="F376" i="6"/>
  <c r="E376" i="6"/>
  <c r="D376" i="6"/>
  <c r="C376" i="6"/>
  <c r="B376" i="6"/>
  <c r="A376" i="6"/>
  <c r="F375" i="6"/>
  <c r="E375" i="6"/>
  <c r="D375" i="6"/>
  <c r="C375" i="6"/>
  <c r="B375" i="6"/>
  <c r="A375" i="6"/>
  <c r="F374" i="6"/>
  <c r="E374" i="6"/>
  <c r="D374" i="6"/>
  <c r="C374" i="6"/>
  <c r="B374" i="6"/>
  <c r="A374" i="6"/>
  <c r="F373" i="6"/>
  <c r="E373" i="6"/>
  <c r="D373" i="6"/>
  <c r="C373" i="6"/>
  <c r="B373" i="6"/>
  <c r="A373" i="6"/>
  <c r="F372" i="6"/>
  <c r="E372" i="6"/>
  <c r="D372" i="6"/>
  <c r="C372" i="6"/>
  <c r="B372" i="6"/>
  <c r="A372" i="6"/>
  <c r="F371" i="6"/>
  <c r="E371" i="6"/>
  <c r="D371" i="6"/>
  <c r="C371" i="6"/>
  <c r="B371" i="6"/>
  <c r="A371" i="6"/>
  <c r="F370" i="6"/>
  <c r="E370" i="6"/>
  <c r="D370" i="6"/>
  <c r="C370" i="6"/>
  <c r="B370" i="6"/>
  <c r="A370" i="6"/>
  <c r="F369" i="6"/>
  <c r="E369" i="6"/>
  <c r="D369" i="6"/>
  <c r="C369" i="6"/>
  <c r="B369" i="6"/>
  <c r="A369" i="6"/>
  <c r="F368" i="6"/>
  <c r="E368" i="6"/>
  <c r="D368" i="6"/>
  <c r="C368" i="6"/>
  <c r="B368" i="6"/>
  <c r="A368" i="6"/>
  <c r="F367" i="6"/>
  <c r="E367" i="6"/>
  <c r="D367" i="6"/>
  <c r="C367" i="6"/>
  <c r="B367" i="6"/>
  <c r="A367" i="6"/>
  <c r="F366" i="6"/>
  <c r="E366" i="6"/>
  <c r="D366" i="6"/>
  <c r="C366" i="6"/>
  <c r="B366" i="6"/>
  <c r="A366" i="6"/>
  <c r="F365" i="6"/>
  <c r="E365" i="6"/>
  <c r="D365" i="6"/>
  <c r="C365" i="6"/>
  <c r="B365" i="6"/>
  <c r="A365" i="6"/>
  <c r="F364" i="6"/>
  <c r="E364" i="6"/>
  <c r="D364" i="6"/>
  <c r="C364" i="6"/>
  <c r="B364" i="6"/>
  <c r="A364" i="6"/>
  <c r="F363" i="6"/>
  <c r="E363" i="6"/>
  <c r="D363" i="6"/>
  <c r="C363" i="6"/>
  <c r="B363" i="6"/>
  <c r="A363" i="6"/>
  <c r="F362" i="6"/>
  <c r="E362" i="6"/>
  <c r="D362" i="6"/>
  <c r="C362" i="6"/>
  <c r="B362" i="6"/>
  <c r="A362" i="6"/>
  <c r="F361" i="6"/>
  <c r="E361" i="6"/>
  <c r="D361" i="6"/>
  <c r="C361" i="6"/>
  <c r="B361" i="6"/>
  <c r="A361" i="6"/>
  <c r="F360" i="6"/>
  <c r="E360" i="6"/>
  <c r="D360" i="6"/>
  <c r="C360" i="6"/>
  <c r="B360" i="6"/>
  <c r="A360" i="6"/>
  <c r="F359" i="6"/>
  <c r="E359" i="6"/>
  <c r="D359" i="6"/>
  <c r="C359" i="6"/>
  <c r="B359" i="6"/>
  <c r="A359" i="6"/>
  <c r="F358" i="6"/>
  <c r="E358" i="6"/>
  <c r="D358" i="6"/>
  <c r="C358" i="6"/>
  <c r="B358" i="6"/>
  <c r="A358" i="6"/>
  <c r="F357" i="6"/>
  <c r="E357" i="6"/>
  <c r="D357" i="6"/>
  <c r="C357" i="6"/>
  <c r="B357" i="6"/>
  <c r="A357" i="6"/>
  <c r="F356" i="6"/>
  <c r="E356" i="6"/>
  <c r="D356" i="6"/>
  <c r="C356" i="6"/>
  <c r="B356" i="6"/>
  <c r="A356" i="6"/>
  <c r="F355" i="6"/>
  <c r="E355" i="6"/>
  <c r="D355" i="6"/>
  <c r="C355" i="6"/>
  <c r="B355" i="6"/>
  <c r="A355" i="6"/>
  <c r="F354" i="6"/>
  <c r="E354" i="6"/>
  <c r="D354" i="6"/>
  <c r="C354" i="6"/>
  <c r="B354" i="6"/>
  <c r="A354" i="6"/>
  <c r="F353" i="6"/>
  <c r="E353" i="6"/>
  <c r="D353" i="6"/>
  <c r="C353" i="6"/>
  <c r="B353" i="6"/>
  <c r="A353" i="6"/>
  <c r="F352" i="6"/>
  <c r="E352" i="6"/>
  <c r="D352" i="6"/>
  <c r="C352" i="6"/>
  <c r="B352" i="6"/>
  <c r="A352" i="6"/>
  <c r="F351" i="6"/>
  <c r="E351" i="6"/>
  <c r="D351" i="6"/>
  <c r="C351" i="6"/>
  <c r="B351" i="6"/>
  <c r="A351" i="6"/>
  <c r="F350" i="6"/>
  <c r="E350" i="6"/>
  <c r="D350" i="6"/>
  <c r="C350" i="6"/>
  <c r="B350" i="6"/>
  <c r="A350" i="6"/>
  <c r="F349" i="6"/>
  <c r="E349" i="6"/>
  <c r="D349" i="6"/>
  <c r="C349" i="6"/>
  <c r="B349" i="6"/>
  <c r="A349" i="6"/>
  <c r="F348" i="6"/>
  <c r="E348" i="6"/>
  <c r="D348" i="6"/>
  <c r="C348" i="6"/>
  <c r="B348" i="6"/>
  <c r="A348" i="6"/>
  <c r="F347" i="6"/>
  <c r="E347" i="6"/>
  <c r="D347" i="6"/>
  <c r="C347" i="6"/>
  <c r="B347" i="6"/>
  <c r="A347" i="6"/>
  <c r="F346" i="6"/>
  <c r="E346" i="6"/>
  <c r="D346" i="6"/>
  <c r="C346" i="6"/>
  <c r="B346" i="6"/>
  <c r="A346" i="6"/>
  <c r="F345" i="6"/>
  <c r="E345" i="6"/>
  <c r="D345" i="6"/>
  <c r="C345" i="6"/>
  <c r="B345" i="6"/>
  <c r="A345" i="6"/>
  <c r="F344" i="6"/>
  <c r="E344" i="6"/>
  <c r="D344" i="6"/>
  <c r="C344" i="6"/>
  <c r="B344" i="6"/>
  <c r="A344" i="6"/>
  <c r="F343" i="6"/>
  <c r="E343" i="6"/>
  <c r="D343" i="6"/>
  <c r="C343" i="6"/>
  <c r="B343" i="6"/>
  <c r="A343" i="6"/>
  <c r="F342" i="6"/>
  <c r="E342" i="6"/>
  <c r="D342" i="6"/>
  <c r="C342" i="6"/>
  <c r="B342" i="6"/>
  <c r="A342" i="6"/>
  <c r="F341" i="6"/>
  <c r="E341" i="6"/>
  <c r="D341" i="6"/>
  <c r="C341" i="6"/>
  <c r="B341" i="6"/>
  <c r="A341" i="6"/>
  <c r="F340" i="6"/>
  <c r="E340" i="6"/>
  <c r="D340" i="6"/>
  <c r="C340" i="6"/>
  <c r="B340" i="6"/>
  <c r="A340" i="6"/>
  <c r="F339" i="6"/>
  <c r="E339" i="6"/>
  <c r="D339" i="6"/>
  <c r="C339" i="6"/>
  <c r="B339" i="6"/>
  <c r="A339" i="6"/>
  <c r="F338" i="6"/>
  <c r="E338" i="6"/>
  <c r="D338" i="6"/>
  <c r="C338" i="6"/>
  <c r="B338" i="6"/>
  <c r="A338" i="6"/>
  <c r="F337" i="6"/>
  <c r="E337" i="6"/>
  <c r="D337" i="6"/>
  <c r="C337" i="6"/>
  <c r="B337" i="6"/>
  <c r="A337" i="6"/>
  <c r="F336" i="6"/>
  <c r="E336" i="6"/>
  <c r="D336" i="6"/>
  <c r="C336" i="6"/>
  <c r="B336" i="6"/>
  <c r="A336" i="6"/>
  <c r="F335" i="6"/>
  <c r="E335" i="6"/>
  <c r="D335" i="6"/>
  <c r="C335" i="6"/>
  <c r="B335" i="6"/>
  <c r="A335" i="6"/>
  <c r="F334" i="6"/>
  <c r="E334" i="6"/>
  <c r="D334" i="6"/>
  <c r="C334" i="6"/>
  <c r="B334" i="6"/>
  <c r="A334" i="6"/>
  <c r="F333" i="6"/>
  <c r="E333" i="6"/>
  <c r="D333" i="6"/>
  <c r="C333" i="6"/>
  <c r="B333" i="6"/>
  <c r="A333" i="6"/>
  <c r="F332" i="6"/>
  <c r="E332" i="6"/>
  <c r="D332" i="6"/>
  <c r="C332" i="6"/>
  <c r="B332" i="6"/>
  <c r="A332" i="6"/>
  <c r="F331" i="6"/>
  <c r="E331" i="6"/>
  <c r="D331" i="6"/>
  <c r="C331" i="6"/>
  <c r="B331" i="6"/>
  <c r="A331" i="6"/>
  <c r="F330" i="6"/>
  <c r="E330" i="6"/>
  <c r="D330" i="6"/>
  <c r="C330" i="6"/>
  <c r="B330" i="6"/>
  <c r="A330" i="6"/>
  <c r="F329" i="6"/>
  <c r="E329" i="6"/>
  <c r="D329" i="6"/>
  <c r="C329" i="6"/>
  <c r="B329" i="6"/>
  <c r="A329" i="6"/>
  <c r="F328" i="6"/>
  <c r="E328" i="6"/>
  <c r="D328" i="6"/>
  <c r="C328" i="6"/>
  <c r="B328" i="6"/>
  <c r="A328" i="6"/>
  <c r="F327" i="6"/>
  <c r="E327" i="6"/>
  <c r="D327" i="6"/>
  <c r="C327" i="6"/>
  <c r="B327" i="6"/>
  <c r="A327" i="6"/>
  <c r="F326" i="6"/>
  <c r="E326" i="6"/>
  <c r="D326" i="6"/>
  <c r="C326" i="6"/>
  <c r="B326" i="6"/>
  <c r="A326" i="6"/>
  <c r="F325" i="6"/>
  <c r="E325" i="6"/>
  <c r="D325" i="6"/>
  <c r="C325" i="6"/>
  <c r="B325" i="6"/>
  <c r="A325" i="6"/>
  <c r="F324" i="6"/>
  <c r="E324" i="6"/>
  <c r="D324" i="6"/>
  <c r="C324" i="6"/>
  <c r="B324" i="6"/>
  <c r="A324" i="6"/>
  <c r="F323" i="6"/>
  <c r="E323" i="6"/>
  <c r="D323" i="6"/>
  <c r="C323" i="6"/>
  <c r="B323" i="6"/>
  <c r="A323" i="6"/>
  <c r="F322" i="6"/>
  <c r="E322" i="6"/>
  <c r="D322" i="6"/>
  <c r="C322" i="6"/>
  <c r="B322" i="6"/>
  <c r="A322" i="6"/>
  <c r="F321" i="6"/>
  <c r="E321" i="6"/>
  <c r="D321" i="6"/>
  <c r="C321" i="6"/>
  <c r="B321" i="6"/>
  <c r="A321" i="6"/>
  <c r="F320" i="6"/>
  <c r="E320" i="6"/>
  <c r="D320" i="6"/>
  <c r="C320" i="6"/>
  <c r="B320" i="6"/>
  <c r="A320" i="6"/>
  <c r="F319" i="6"/>
  <c r="E319" i="6"/>
  <c r="D319" i="6"/>
  <c r="C319" i="6"/>
  <c r="B319" i="6"/>
  <c r="A319" i="6"/>
  <c r="F318" i="6"/>
  <c r="E318" i="6"/>
  <c r="D318" i="6"/>
  <c r="C318" i="6"/>
  <c r="B318" i="6"/>
  <c r="A318" i="6"/>
  <c r="F317" i="6"/>
  <c r="E317" i="6"/>
  <c r="D317" i="6"/>
  <c r="C317" i="6"/>
  <c r="B317" i="6"/>
  <c r="A317" i="6"/>
  <c r="F316" i="6"/>
  <c r="E316" i="6"/>
  <c r="D316" i="6"/>
  <c r="C316" i="6"/>
  <c r="B316" i="6"/>
  <c r="A316" i="6"/>
  <c r="F315" i="6"/>
  <c r="E315" i="6"/>
  <c r="D315" i="6"/>
  <c r="C315" i="6"/>
  <c r="B315" i="6"/>
  <c r="A315" i="6"/>
  <c r="F314" i="6"/>
  <c r="E314" i="6"/>
  <c r="D314" i="6"/>
  <c r="C314" i="6"/>
  <c r="B314" i="6"/>
  <c r="A314" i="6"/>
  <c r="F313" i="6"/>
  <c r="E313" i="6"/>
  <c r="D313" i="6"/>
  <c r="C313" i="6"/>
  <c r="B313" i="6"/>
  <c r="A313" i="6"/>
  <c r="F312" i="6"/>
  <c r="E312" i="6"/>
  <c r="D312" i="6"/>
  <c r="C312" i="6"/>
  <c r="B312" i="6"/>
  <c r="A312" i="6"/>
  <c r="F311" i="6"/>
  <c r="E311" i="6"/>
  <c r="D311" i="6"/>
  <c r="C311" i="6"/>
  <c r="B311" i="6"/>
  <c r="A311" i="6"/>
  <c r="F310" i="6"/>
  <c r="E310" i="6"/>
  <c r="D310" i="6"/>
  <c r="C310" i="6"/>
  <c r="B310" i="6"/>
  <c r="A310" i="6"/>
  <c r="F309" i="6"/>
  <c r="E309" i="6"/>
  <c r="D309" i="6"/>
  <c r="C309" i="6"/>
  <c r="B309" i="6"/>
  <c r="A309" i="6"/>
  <c r="F308" i="6"/>
  <c r="E308" i="6"/>
  <c r="D308" i="6"/>
  <c r="C308" i="6"/>
  <c r="B308" i="6"/>
  <c r="A308" i="6"/>
  <c r="F307" i="6"/>
  <c r="E307" i="6"/>
  <c r="D307" i="6"/>
  <c r="C307" i="6"/>
  <c r="B307" i="6"/>
  <c r="A307" i="6"/>
  <c r="F306" i="6"/>
  <c r="E306" i="6"/>
  <c r="D306" i="6"/>
  <c r="C306" i="6"/>
  <c r="B306" i="6"/>
  <c r="A306" i="6"/>
  <c r="F305" i="6"/>
  <c r="E305" i="6"/>
  <c r="D305" i="6"/>
  <c r="C305" i="6"/>
  <c r="B305" i="6"/>
  <c r="A305" i="6"/>
  <c r="F304" i="6"/>
  <c r="E304" i="6"/>
  <c r="D304" i="6"/>
  <c r="C304" i="6"/>
  <c r="B304" i="6"/>
  <c r="A304" i="6"/>
  <c r="F303" i="6"/>
  <c r="E303" i="6"/>
  <c r="D303" i="6"/>
  <c r="C303" i="6"/>
  <c r="B303" i="6"/>
  <c r="A303" i="6"/>
  <c r="F302" i="6"/>
  <c r="E302" i="6"/>
  <c r="D302" i="6"/>
  <c r="C302" i="6"/>
  <c r="B302" i="6"/>
  <c r="A302" i="6"/>
  <c r="F301" i="6"/>
  <c r="E301" i="6"/>
  <c r="D301" i="6"/>
  <c r="C301" i="6"/>
  <c r="B301" i="6"/>
  <c r="A301" i="6"/>
  <c r="F300" i="6"/>
  <c r="E300" i="6"/>
  <c r="D300" i="6"/>
  <c r="C300" i="6"/>
  <c r="B300" i="6"/>
  <c r="A300" i="6"/>
  <c r="F299" i="6"/>
  <c r="E299" i="6"/>
  <c r="D299" i="6"/>
  <c r="C299" i="6"/>
  <c r="B299" i="6"/>
  <c r="A299" i="6"/>
  <c r="F298" i="6"/>
  <c r="E298" i="6"/>
  <c r="D298" i="6"/>
  <c r="C298" i="6"/>
  <c r="B298" i="6"/>
  <c r="A298" i="6"/>
  <c r="F297" i="6"/>
  <c r="E297" i="6"/>
  <c r="D297" i="6"/>
  <c r="C297" i="6"/>
  <c r="B297" i="6"/>
  <c r="A297" i="6"/>
  <c r="F296" i="6"/>
  <c r="E296" i="6"/>
  <c r="D296" i="6"/>
  <c r="C296" i="6"/>
  <c r="B296" i="6"/>
  <c r="A296" i="6"/>
  <c r="F295" i="6"/>
  <c r="E295" i="6"/>
  <c r="D295" i="6"/>
  <c r="C295" i="6"/>
  <c r="B295" i="6"/>
  <c r="A295" i="6"/>
  <c r="F294" i="6"/>
  <c r="E294" i="6"/>
  <c r="D294" i="6"/>
  <c r="C294" i="6"/>
  <c r="B294" i="6"/>
  <c r="A294" i="6"/>
  <c r="F293" i="6"/>
  <c r="E293" i="6"/>
  <c r="D293" i="6"/>
  <c r="C293" i="6"/>
  <c r="B293" i="6"/>
  <c r="A293" i="6"/>
  <c r="F292" i="6"/>
  <c r="E292" i="6"/>
  <c r="D292" i="6"/>
  <c r="C292" i="6"/>
  <c r="B292" i="6"/>
  <c r="A292" i="6"/>
  <c r="F291" i="6"/>
  <c r="E291" i="6"/>
  <c r="D291" i="6"/>
  <c r="C291" i="6"/>
  <c r="B291" i="6"/>
  <c r="A291" i="6"/>
  <c r="F290" i="6"/>
  <c r="E290" i="6"/>
  <c r="D290" i="6"/>
  <c r="C290" i="6"/>
  <c r="B290" i="6"/>
  <c r="A290" i="6"/>
  <c r="F289" i="6"/>
  <c r="E289" i="6"/>
  <c r="D289" i="6"/>
  <c r="C289" i="6"/>
  <c r="B289" i="6"/>
  <c r="A289" i="6"/>
  <c r="F288" i="6"/>
  <c r="E288" i="6"/>
  <c r="D288" i="6"/>
  <c r="C288" i="6"/>
  <c r="B288" i="6"/>
  <c r="A288" i="6"/>
  <c r="F287" i="6"/>
  <c r="E287" i="6"/>
  <c r="D287" i="6"/>
  <c r="C287" i="6"/>
  <c r="B287" i="6"/>
  <c r="A287" i="6"/>
  <c r="F286" i="6"/>
  <c r="E286" i="6"/>
  <c r="D286" i="6"/>
  <c r="C286" i="6"/>
  <c r="B286" i="6"/>
  <c r="A286" i="6"/>
  <c r="F285" i="6"/>
  <c r="E285" i="6"/>
  <c r="D285" i="6"/>
  <c r="C285" i="6"/>
  <c r="B285" i="6"/>
  <c r="A285" i="6"/>
  <c r="F284" i="6"/>
  <c r="E284" i="6"/>
  <c r="D284" i="6"/>
  <c r="C284" i="6"/>
  <c r="B284" i="6"/>
  <c r="A284" i="6"/>
  <c r="F283" i="6"/>
  <c r="E283" i="6"/>
  <c r="D283" i="6"/>
  <c r="C283" i="6"/>
  <c r="B283" i="6"/>
  <c r="A283" i="6"/>
  <c r="F282" i="6"/>
  <c r="E282" i="6"/>
  <c r="D282" i="6"/>
  <c r="C282" i="6"/>
  <c r="B282" i="6"/>
  <c r="A282" i="6"/>
  <c r="F281" i="6"/>
  <c r="E281" i="6"/>
  <c r="D281" i="6"/>
  <c r="C281" i="6"/>
  <c r="B281" i="6"/>
  <c r="A281" i="6"/>
  <c r="F280" i="6"/>
  <c r="E280" i="6"/>
  <c r="D280" i="6"/>
  <c r="C280" i="6"/>
  <c r="B280" i="6"/>
  <c r="A280" i="6"/>
  <c r="F279" i="6"/>
  <c r="E279" i="6"/>
  <c r="D279" i="6"/>
  <c r="C279" i="6"/>
  <c r="B279" i="6"/>
  <c r="A279" i="6"/>
  <c r="F278" i="6"/>
  <c r="E278" i="6"/>
  <c r="D278" i="6"/>
  <c r="C278" i="6"/>
  <c r="B278" i="6"/>
  <c r="A278" i="6"/>
  <c r="F277" i="6"/>
  <c r="E277" i="6"/>
  <c r="D277" i="6"/>
  <c r="C277" i="6"/>
  <c r="B277" i="6"/>
  <c r="A277" i="6"/>
  <c r="F276" i="6"/>
  <c r="E276" i="6"/>
  <c r="D276" i="6"/>
  <c r="C276" i="6"/>
  <c r="B276" i="6"/>
  <c r="A276" i="6"/>
  <c r="F275" i="6"/>
  <c r="E275" i="6"/>
  <c r="D275" i="6"/>
  <c r="C275" i="6"/>
  <c r="B275" i="6"/>
  <c r="A275" i="6"/>
  <c r="F274" i="6"/>
  <c r="E274" i="6"/>
  <c r="D274" i="6"/>
  <c r="C274" i="6"/>
  <c r="B274" i="6"/>
  <c r="A274" i="6"/>
  <c r="F273" i="6"/>
  <c r="E273" i="6"/>
  <c r="D273" i="6"/>
  <c r="C273" i="6"/>
  <c r="B273" i="6"/>
  <c r="A273" i="6"/>
  <c r="F272" i="6"/>
  <c r="E272" i="6"/>
  <c r="D272" i="6"/>
  <c r="C272" i="6"/>
  <c r="B272" i="6"/>
  <c r="A272" i="6"/>
  <c r="F271" i="6"/>
  <c r="E271" i="6"/>
  <c r="D271" i="6"/>
  <c r="C271" i="6"/>
  <c r="B271" i="6"/>
  <c r="A271" i="6"/>
  <c r="F270" i="6"/>
  <c r="E270" i="6"/>
  <c r="D270" i="6"/>
  <c r="C270" i="6"/>
  <c r="B270" i="6"/>
  <c r="A270" i="6"/>
  <c r="F269" i="6"/>
  <c r="E269" i="6"/>
  <c r="D269" i="6"/>
  <c r="C269" i="6"/>
  <c r="B269" i="6"/>
  <c r="A269" i="6"/>
  <c r="F268" i="6"/>
  <c r="E268" i="6"/>
  <c r="D268" i="6"/>
  <c r="C268" i="6"/>
  <c r="B268" i="6"/>
  <c r="A268" i="6"/>
  <c r="F267" i="6"/>
  <c r="E267" i="6"/>
  <c r="D267" i="6"/>
  <c r="C267" i="6"/>
  <c r="B267" i="6"/>
  <c r="A267" i="6"/>
  <c r="F266" i="6"/>
  <c r="E266" i="6"/>
  <c r="D266" i="6"/>
  <c r="C266" i="6"/>
  <c r="B266" i="6"/>
  <c r="A266" i="6"/>
  <c r="F265" i="6"/>
  <c r="E265" i="6"/>
  <c r="D265" i="6"/>
  <c r="C265" i="6"/>
  <c r="B265" i="6"/>
  <c r="A265" i="6"/>
  <c r="F264" i="6"/>
  <c r="E264" i="6"/>
  <c r="D264" i="6"/>
  <c r="C264" i="6"/>
  <c r="B264" i="6"/>
  <c r="A264" i="6"/>
  <c r="F263" i="6"/>
  <c r="E263" i="6"/>
  <c r="D263" i="6"/>
  <c r="C263" i="6"/>
  <c r="B263" i="6"/>
  <c r="A263" i="6"/>
  <c r="F262" i="6"/>
  <c r="E262" i="6"/>
  <c r="D262" i="6"/>
  <c r="C262" i="6"/>
  <c r="B262" i="6"/>
  <c r="A262" i="6"/>
  <c r="F261" i="6"/>
  <c r="E261" i="6"/>
  <c r="D261" i="6"/>
  <c r="C261" i="6"/>
  <c r="B261" i="6"/>
  <c r="A261" i="6"/>
  <c r="F260" i="6"/>
  <c r="E260" i="6"/>
  <c r="D260" i="6"/>
  <c r="C260" i="6"/>
  <c r="B260" i="6"/>
  <c r="A260" i="6"/>
  <c r="F259" i="6"/>
  <c r="E259" i="6"/>
  <c r="D259" i="6"/>
  <c r="C259" i="6"/>
  <c r="B259" i="6"/>
  <c r="A259" i="6"/>
  <c r="F258" i="6"/>
  <c r="E258" i="6"/>
  <c r="D258" i="6"/>
  <c r="C258" i="6"/>
  <c r="B258" i="6"/>
  <c r="A258" i="6"/>
  <c r="F257" i="6"/>
  <c r="E257" i="6"/>
  <c r="D257" i="6"/>
  <c r="C257" i="6"/>
  <c r="B257" i="6"/>
  <c r="A257" i="6"/>
  <c r="F256" i="6"/>
  <c r="E256" i="6"/>
  <c r="D256" i="6"/>
  <c r="C256" i="6"/>
  <c r="B256" i="6"/>
  <c r="A256" i="6"/>
  <c r="F255" i="6"/>
  <c r="E255" i="6"/>
  <c r="D255" i="6"/>
  <c r="C255" i="6"/>
  <c r="B255" i="6"/>
  <c r="A255" i="6"/>
  <c r="F254" i="6"/>
  <c r="E254" i="6"/>
  <c r="D254" i="6"/>
  <c r="C254" i="6"/>
  <c r="B254" i="6"/>
  <c r="A254" i="6"/>
  <c r="F253" i="6"/>
  <c r="E253" i="6"/>
  <c r="D253" i="6"/>
  <c r="C253" i="6"/>
  <c r="B253" i="6"/>
  <c r="A253" i="6"/>
  <c r="F252" i="6"/>
  <c r="E252" i="6"/>
  <c r="D252" i="6"/>
  <c r="C252" i="6"/>
  <c r="B252" i="6"/>
  <c r="A252" i="6"/>
  <c r="F251" i="6"/>
  <c r="E251" i="6"/>
  <c r="D251" i="6"/>
  <c r="C251" i="6"/>
  <c r="B251" i="6"/>
  <c r="A251" i="6"/>
  <c r="F250" i="6"/>
  <c r="E250" i="6"/>
  <c r="D250" i="6"/>
  <c r="C250" i="6"/>
  <c r="B250" i="6"/>
  <c r="A250" i="6"/>
  <c r="F249" i="6"/>
  <c r="E249" i="6"/>
  <c r="D249" i="6"/>
  <c r="C249" i="6"/>
  <c r="B249" i="6"/>
  <c r="A249" i="6"/>
  <c r="F248" i="6"/>
  <c r="E248" i="6"/>
  <c r="D248" i="6"/>
  <c r="C248" i="6"/>
  <c r="B248" i="6"/>
  <c r="A248" i="6"/>
  <c r="F247" i="6"/>
  <c r="E247" i="6"/>
  <c r="D247" i="6"/>
  <c r="C247" i="6"/>
  <c r="B247" i="6"/>
  <c r="A247" i="6"/>
  <c r="F246" i="6"/>
  <c r="E246" i="6"/>
  <c r="D246" i="6"/>
  <c r="C246" i="6"/>
  <c r="B246" i="6"/>
  <c r="A246" i="6"/>
  <c r="F245" i="6"/>
  <c r="E245" i="6"/>
  <c r="D245" i="6"/>
  <c r="C245" i="6"/>
  <c r="B245" i="6"/>
  <c r="A245" i="6"/>
  <c r="F244" i="6"/>
  <c r="E244" i="6"/>
  <c r="D244" i="6"/>
  <c r="C244" i="6"/>
  <c r="B244" i="6"/>
  <c r="A244" i="6"/>
  <c r="F243" i="6"/>
  <c r="E243" i="6"/>
  <c r="D243" i="6"/>
  <c r="C243" i="6"/>
  <c r="B243" i="6"/>
  <c r="A243" i="6"/>
  <c r="F242" i="6"/>
  <c r="E242" i="6"/>
  <c r="D242" i="6"/>
  <c r="C242" i="6"/>
  <c r="B242" i="6"/>
  <c r="A242" i="6"/>
  <c r="F241" i="6"/>
  <c r="E241" i="6"/>
  <c r="D241" i="6"/>
  <c r="C241" i="6"/>
  <c r="B241" i="6"/>
  <c r="A241" i="6"/>
  <c r="F240" i="6"/>
  <c r="E240" i="6"/>
  <c r="D240" i="6"/>
  <c r="C240" i="6"/>
  <c r="B240" i="6"/>
  <c r="A240" i="6"/>
  <c r="F239" i="6"/>
  <c r="E239" i="6"/>
  <c r="D239" i="6"/>
  <c r="C239" i="6"/>
  <c r="B239" i="6"/>
  <c r="A239" i="6"/>
  <c r="F238" i="6"/>
  <c r="E238" i="6"/>
  <c r="D238" i="6"/>
  <c r="C238" i="6"/>
  <c r="B238" i="6"/>
  <c r="A238" i="6"/>
  <c r="F237" i="6"/>
  <c r="E237" i="6"/>
  <c r="D237" i="6"/>
  <c r="C237" i="6"/>
  <c r="B237" i="6"/>
  <c r="A237" i="6"/>
  <c r="F236" i="6"/>
  <c r="E236" i="6"/>
  <c r="D236" i="6"/>
  <c r="C236" i="6"/>
  <c r="B236" i="6"/>
  <c r="A236" i="6"/>
  <c r="F235" i="6"/>
  <c r="E235" i="6"/>
  <c r="D235" i="6"/>
  <c r="C235" i="6"/>
  <c r="B235" i="6"/>
  <c r="A235" i="6"/>
  <c r="F234" i="6"/>
  <c r="E234" i="6"/>
  <c r="D234" i="6"/>
  <c r="C234" i="6"/>
  <c r="B234" i="6"/>
  <c r="A234" i="6"/>
  <c r="F233" i="6"/>
  <c r="E233" i="6"/>
  <c r="D233" i="6"/>
  <c r="C233" i="6"/>
  <c r="B233" i="6"/>
  <c r="A233" i="6"/>
  <c r="F232" i="6"/>
  <c r="E232" i="6"/>
  <c r="D232" i="6"/>
  <c r="C232" i="6"/>
  <c r="B232" i="6"/>
  <c r="A232" i="6"/>
  <c r="F231" i="6"/>
  <c r="E231" i="6"/>
  <c r="D231" i="6"/>
  <c r="C231" i="6"/>
  <c r="B231" i="6"/>
  <c r="A231" i="6"/>
  <c r="F230" i="6"/>
  <c r="E230" i="6"/>
  <c r="D230" i="6"/>
  <c r="C230" i="6"/>
  <c r="B230" i="6"/>
  <c r="A230" i="6"/>
  <c r="F229" i="6"/>
  <c r="E229" i="6"/>
  <c r="D229" i="6"/>
  <c r="C229" i="6"/>
  <c r="B229" i="6"/>
  <c r="A229" i="6"/>
  <c r="F228" i="6"/>
  <c r="E228" i="6"/>
  <c r="D228" i="6"/>
  <c r="C228" i="6"/>
  <c r="B228" i="6"/>
  <c r="A228" i="6"/>
  <c r="F227" i="6"/>
  <c r="E227" i="6"/>
  <c r="D227" i="6"/>
  <c r="C227" i="6"/>
  <c r="B227" i="6"/>
  <c r="A227" i="6"/>
  <c r="F226" i="6"/>
  <c r="E226" i="6"/>
  <c r="D226" i="6"/>
  <c r="C226" i="6"/>
  <c r="B226" i="6"/>
  <c r="A226" i="6"/>
  <c r="F225" i="6"/>
  <c r="E225" i="6"/>
  <c r="D225" i="6"/>
  <c r="C225" i="6"/>
  <c r="B225" i="6"/>
  <c r="A225" i="6"/>
  <c r="F224" i="6"/>
  <c r="E224" i="6"/>
  <c r="D224" i="6"/>
  <c r="C224" i="6"/>
  <c r="B224" i="6"/>
  <c r="A224" i="6"/>
  <c r="F223" i="6"/>
  <c r="E223" i="6"/>
  <c r="D223" i="6"/>
  <c r="C223" i="6"/>
  <c r="B223" i="6"/>
  <c r="A223" i="6"/>
  <c r="F222" i="6"/>
  <c r="E222" i="6"/>
  <c r="D222" i="6"/>
  <c r="C222" i="6"/>
  <c r="B222" i="6"/>
  <c r="A222" i="6"/>
  <c r="F221" i="6"/>
  <c r="E221" i="6"/>
  <c r="D221" i="6"/>
  <c r="C221" i="6"/>
  <c r="B221" i="6"/>
  <c r="A221" i="6"/>
  <c r="F220" i="6"/>
  <c r="E220" i="6"/>
  <c r="D220" i="6"/>
  <c r="C220" i="6"/>
  <c r="B220" i="6"/>
  <c r="A220" i="6"/>
  <c r="F219" i="6"/>
  <c r="E219" i="6"/>
  <c r="D219" i="6"/>
  <c r="C219" i="6"/>
  <c r="B219" i="6"/>
  <c r="A219" i="6"/>
  <c r="F218" i="6"/>
  <c r="E218" i="6"/>
  <c r="D218" i="6"/>
  <c r="C218" i="6"/>
  <c r="B218" i="6"/>
  <c r="A218" i="6"/>
  <c r="F217" i="6"/>
  <c r="E217" i="6"/>
  <c r="D217" i="6"/>
  <c r="C217" i="6"/>
  <c r="B217" i="6"/>
  <c r="A217" i="6"/>
  <c r="F216" i="6"/>
  <c r="E216" i="6"/>
  <c r="D216" i="6"/>
  <c r="C216" i="6"/>
  <c r="B216" i="6"/>
  <c r="A216" i="6"/>
  <c r="F215" i="6"/>
  <c r="E215" i="6"/>
  <c r="D215" i="6"/>
  <c r="C215" i="6"/>
  <c r="B215" i="6"/>
  <c r="A215" i="6"/>
  <c r="F214" i="6"/>
  <c r="E214" i="6"/>
  <c r="D214" i="6"/>
  <c r="C214" i="6"/>
  <c r="B214" i="6"/>
  <c r="A214" i="6"/>
  <c r="F213" i="6"/>
  <c r="E213" i="6"/>
  <c r="D213" i="6"/>
  <c r="C213" i="6"/>
  <c r="B213" i="6"/>
  <c r="A213" i="6"/>
  <c r="F212" i="6"/>
  <c r="E212" i="6"/>
  <c r="D212" i="6"/>
  <c r="C212" i="6"/>
  <c r="B212" i="6"/>
  <c r="A212" i="6"/>
  <c r="F211" i="6"/>
  <c r="E211" i="6"/>
  <c r="D211" i="6"/>
  <c r="C211" i="6"/>
  <c r="B211" i="6"/>
  <c r="A211" i="6"/>
  <c r="F210" i="6"/>
  <c r="E210" i="6"/>
  <c r="D210" i="6"/>
  <c r="C210" i="6"/>
  <c r="B210" i="6"/>
  <c r="A210" i="6"/>
  <c r="F209" i="6"/>
  <c r="E209" i="6"/>
  <c r="D209" i="6"/>
  <c r="C209" i="6"/>
  <c r="B209" i="6"/>
  <c r="A209" i="6"/>
  <c r="F208" i="6"/>
  <c r="E208" i="6"/>
  <c r="D208" i="6"/>
  <c r="C208" i="6"/>
  <c r="B208" i="6"/>
  <c r="A208" i="6"/>
  <c r="F207" i="6"/>
  <c r="E207" i="6"/>
  <c r="D207" i="6"/>
  <c r="C207" i="6"/>
  <c r="B207" i="6"/>
  <c r="A207" i="6"/>
  <c r="F206" i="6"/>
  <c r="E206" i="6"/>
  <c r="D206" i="6"/>
  <c r="C206" i="6"/>
  <c r="B206" i="6"/>
  <c r="A206" i="6"/>
  <c r="F205" i="6"/>
  <c r="E205" i="6"/>
  <c r="D205" i="6"/>
  <c r="C205" i="6"/>
  <c r="B205" i="6"/>
  <c r="A205" i="6"/>
  <c r="F204" i="6"/>
  <c r="E204" i="6"/>
  <c r="D204" i="6"/>
  <c r="C204" i="6"/>
  <c r="B204" i="6"/>
  <c r="A204" i="6"/>
  <c r="F203" i="6"/>
  <c r="E203" i="6"/>
  <c r="D203" i="6"/>
  <c r="C203" i="6"/>
  <c r="B203" i="6"/>
  <c r="A203" i="6"/>
  <c r="F202" i="6"/>
  <c r="E202" i="6"/>
  <c r="D202" i="6"/>
  <c r="C202" i="6"/>
  <c r="B202" i="6"/>
  <c r="A202" i="6"/>
  <c r="F201" i="6"/>
  <c r="E201" i="6"/>
  <c r="D201" i="6"/>
  <c r="C201" i="6"/>
  <c r="B201" i="6"/>
  <c r="A201" i="6"/>
  <c r="F200" i="6"/>
  <c r="E200" i="6"/>
  <c r="D200" i="6"/>
  <c r="C200" i="6"/>
  <c r="B200" i="6"/>
  <c r="A200" i="6"/>
  <c r="F199" i="6"/>
  <c r="E199" i="6"/>
  <c r="D199" i="6"/>
  <c r="C199" i="6"/>
  <c r="B199" i="6"/>
  <c r="A199" i="6"/>
  <c r="F198" i="6"/>
  <c r="E198" i="6"/>
  <c r="D198" i="6"/>
  <c r="C198" i="6"/>
  <c r="B198" i="6"/>
  <c r="A198" i="6"/>
  <c r="F197" i="6"/>
  <c r="E197" i="6"/>
  <c r="D197" i="6"/>
  <c r="C197" i="6"/>
  <c r="B197" i="6"/>
  <c r="A197" i="6"/>
  <c r="F196" i="6"/>
  <c r="E196" i="6"/>
  <c r="D196" i="6"/>
  <c r="C196" i="6"/>
  <c r="B196" i="6"/>
  <c r="A196" i="6"/>
  <c r="F195" i="6"/>
  <c r="E195" i="6"/>
  <c r="D195" i="6"/>
  <c r="C195" i="6"/>
  <c r="B195" i="6"/>
  <c r="A195" i="6"/>
  <c r="F194" i="6"/>
  <c r="E194" i="6"/>
  <c r="D194" i="6"/>
  <c r="C194" i="6"/>
  <c r="B194" i="6"/>
  <c r="A194" i="6"/>
  <c r="F193" i="6"/>
  <c r="E193" i="6"/>
  <c r="D193" i="6"/>
  <c r="C193" i="6"/>
  <c r="B193" i="6"/>
  <c r="A193" i="6"/>
  <c r="F192" i="6"/>
  <c r="E192" i="6"/>
  <c r="D192" i="6"/>
  <c r="C192" i="6"/>
  <c r="B192" i="6"/>
  <c r="A192" i="6"/>
  <c r="F191" i="6"/>
  <c r="E191" i="6"/>
  <c r="D191" i="6"/>
  <c r="C191" i="6"/>
  <c r="B191" i="6"/>
  <c r="A191" i="6"/>
  <c r="F190" i="6"/>
  <c r="E190" i="6"/>
  <c r="D190" i="6"/>
  <c r="C190" i="6"/>
  <c r="B190" i="6"/>
  <c r="A190" i="6"/>
  <c r="F189" i="6"/>
  <c r="E189" i="6"/>
  <c r="D189" i="6"/>
  <c r="C189" i="6"/>
  <c r="B189" i="6"/>
  <c r="A189" i="6"/>
  <c r="F188" i="6"/>
  <c r="E188" i="6"/>
  <c r="D188" i="6"/>
  <c r="C188" i="6"/>
  <c r="B188" i="6"/>
  <c r="A188" i="6"/>
  <c r="F187" i="6"/>
  <c r="E187" i="6"/>
  <c r="D187" i="6"/>
  <c r="C187" i="6"/>
  <c r="B187" i="6"/>
  <c r="A187" i="6"/>
  <c r="F186" i="6"/>
  <c r="E186" i="6"/>
  <c r="D186" i="6"/>
  <c r="C186" i="6"/>
  <c r="B186" i="6"/>
  <c r="A186" i="6"/>
  <c r="F185" i="6"/>
  <c r="E185" i="6"/>
  <c r="D185" i="6"/>
  <c r="C185" i="6"/>
  <c r="B185" i="6"/>
  <c r="A185" i="6"/>
  <c r="F184" i="6"/>
  <c r="E184" i="6"/>
  <c r="D184" i="6"/>
  <c r="C184" i="6"/>
  <c r="B184" i="6"/>
  <c r="A184" i="6"/>
  <c r="F183" i="6"/>
  <c r="E183" i="6"/>
  <c r="D183" i="6"/>
  <c r="C183" i="6"/>
  <c r="B183" i="6"/>
  <c r="A183" i="6"/>
  <c r="F182" i="6"/>
  <c r="E182" i="6"/>
  <c r="D182" i="6"/>
  <c r="C182" i="6"/>
  <c r="B182" i="6"/>
  <c r="A182" i="6"/>
  <c r="F181" i="6"/>
  <c r="E181" i="6"/>
  <c r="D181" i="6"/>
  <c r="C181" i="6"/>
  <c r="B181" i="6"/>
  <c r="A181" i="6"/>
  <c r="F180" i="6"/>
  <c r="E180" i="6"/>
  <c r="D180" i="6"/>
  <c r="C180" i="6"/>
  <c r="B180" i="6"/>
  <c r="A180" i="6"/>
  <c r="F179" i="6"/>
  <c r="E179" i="6"/>
  <c r="D179" i="6"/>
  <c r="C179" i="6"/>
  <c r="B179" i="6"/>
  <c r="A179" i="6"/>
  <c r="F178" i="6"/>
  <c r="E178" i="6"/>
  <c r="D178" i="6"/>
  <c r="C178" i="6"/>
  <c r="B178" i="6"/>
  <c r="A178" i="6"/>
  <c r="F177" i="6"/>
  <c r="E177" i="6"/>
  <c r="D177" i="6"/>
  <c r="C177" i="6"/>
  <c r="B177" i="6"/>
  <c r="A177" i="6"/>
  <c r="F176" i="6"/>
  <c r="E176" i="6"/>
  <c r="D176" i="6"/>
  <c r="C176" i="6"/>
  <c r="B176" i="6"/>
  <c r="A176" i="6"/>
  <c r="F175" i="6"/>
  <c r="E175" i="6"/>
  <c r="D175" i="6"/>
  <c r="C175" i="6"/>
  <c r="B175" i="6"/>
  <c r="A175" i="6"/>
  <c r="F174" i="6"/>
  <c r="E174" i="6"/>
  <c r="D174" i="6"/>
  <c r="C174" i="6"/>
  <c r="B174" i="6"/>
  <c r="A174" i="6"/>
  <c r="F173" i="6"/>
  <c r="E173" i="6"/>
  <c r="D173" i="6"/>
  <c r="C173" i="6"/>
  <c r="B173" i="6"/>
  <c r="A173" i="6"/>
  <c r="F172" i="6"/>
  <c r="E172" i="6"/>
  <c r="D172" i="6"/>
  <c r="C172" i="6"/>
  <c r="B172" i="6"/>
  <c r="A172" i="6"/>
  <c r="F171" i="6"/>
  <c r="E171" i="6"/>
  <c r="D171" i="6"/>
  <c r="C171" i="6"/>
  <c r="B171" i="6"/>
  <c r="A171" i="6"/>
  <c r="F170" i="6"/>
  <c r="E170" i="6"/>
  <c r="D170" i="6"/>
  <c r="C170" i="6"/>
  <c r="B170" i="6"/>
  <c r="A170" i="6"/>
  <c r="F169" i="6"/>
  <c r="E169" i="6"/>
  <c r="D169" i="6"/>
  <c r="C169" i="6"/>
  <c r="B169" i="6"/>
  <c r="A169" i="6"/>
  <c r="F168" i="6"/>
  <c r="E168" i="6"/>
  <c r="D168" i="6"/>
  <c r="C168" i="6"/>
  <c r="B168" i="6"/>
  <c r="A168" i="6"/>
  <c r="F167" i="6"/>
  <c r="E167" i="6"/>
  <c r="D167" i="6"/>
  <c r="C167" i="6"/>
  <c r="B167" i="6"/>
  <c r="A167" i="6"/>
  <c r="F166" i="6"/>
  <c r="E166" i="6"/>
  <c r="D166" i="6"/>
  <c r="C166" i="6"/>
  <c r="B166" i="6"/>
  <c r="A166" i="6"/>
  <c r="F165" i="6"/>
  <c r="E165" i="6"/>
  <c r="D165" i="6"/>
  <c r="C165" i="6"/>
  <c r="B165" i="6"/>
  <c r="A165" i="6"/>
  <c r="F164" i="6"/>
  <c r="E164" i="6"/>
  <c r="D164" i="6"/>
  <c r="C164" i="6"/>
  <c r="B164" i="6"/>
  <c r="A164" i="6"/>
  <c r="F163" i="6"/>
  <c r="E163" i="6"/>
  <c r="D163" i="6"/>
  <c r="C163" i="6"/>
  <c r="B163" i="6"/>
  <c r="A163" i="6"/>
  <c r="F162" i="6"/>
  <c r="E162" i="6"/>
  <c r="D162" i="6"/>
  <c r="C162" i="6"/>
  <c r="B162" i="6"/>
  <c r="A162" i="6"/>
  <c r="F161" i="6"/>
  <c r="E161" i="6"/>
  <c r="D161" i="6"/>
  <c r="C161" i="6"/>
  <c r="B161" i="6"/>
  <c r="A161" i="6"/>
  <c r="F160" i="6"/>
  <c r="E160" i="6"/>
  <c r="D160" i="6"/>
  <c r="C160" i="6"/>
  <c r="B160" i="6"/>
  <c r="A160" i="6"/>
  <c r="F159" i="6"/>
  <c r="E159" i="6"/>
  <c r="D159" i="6"/>
  <c r="C159" i="6"/>
  <c r="B159" i="6"/>
  <c r="A159" i="6"/>
  <c r="F158" i="6"/>
  <c r="E158" i="6"/>
  <c r="D158" i="6"/>
  <c r="C158" i="6"/>
  <c r="B158" i="6"/>
  <c r="A158" i="6"/>
  <c r="F157" i="6"/>
  <c r="E157" i="6"/>
  <c r="D157" i="6"/>
  <c r="C157" i="6"/>
  <c r="B157" i="6"/>
  <c r="A157" i="6"/>
  <c r="F156" i="6"/>
  <c r="E156" i="6"/>
  <c r="D156" i="6"/>
  <c r="C156" i="6"/>
  <c r="B156" i="6"/>
  <c r="A156" i="6"/>
  <c r="F155" i="6"/>
  <c r="E155" i="6"/>
  <c r="D155" i="6"/>
  <c r="C155" i="6"/>
  <c r="B155" i="6"/>
  <c r="A155" i="6"/>
  <c r="F154" i="6"/>
  <c r="E154" i="6"/>
  <c r="D154" i="6"/>
  <c r="C154" i="6"/>
  <c r="B154" i="6"/>
  <c r="A154" i="6"/>
  <c r="F153" i="6"/>
  <c r="E153" i="6"/>
  <c r="D153" i="6"/>
  <c r="C153" i="6"/>
  <c r="B153" i="6"/>
  <c r="A153" i="6"/>
  <c r="F152" i="6"/>
  <c r="E152" i="6"/>
  <c r="D152" i="6"/>
  <c r="C152" i="6"/>
  <c r="B152" i="6"/>
  <c r="A152" i="6"/>
  <c r="F151" i="6"/>
  <c r="E151" i="6"/>
  <c r="D151" i="6"/>
  <c r="C151" i="6"/>
  <c r="B151" i="6"/>
  <c r="A151" i="6"/>
  <c r="F150" i="6"/>
  <c r="E150" i="6"/>
  <c r="D150" i="6"/>
  <c r="C150" i="6"/>
  <c r="B150" i="6"/>
  <c r="A150" i="6"/>
  <c r="F149" i="6"/>
  <c r="E149" i="6"/>
  <c r="D149" i="6"/>
  <c r="C149" i="6"/>
  <c r="B149" i="6"/>
  <c r="A149" i="6"/>
  <c r="F148" i="6"/>
  <c r="E148" i="6"/>
  <c r="D148" i="6"/>
  <c r="C148" i="6"/>
  <c r="B148" i="6"/>
  <c r="A148" i="6"/>
  <c r="F147" i="6"/>
  <c r="E147" i="6"/>
  <c r="D147" i="6"/>
  <c r="C147" i="6"/>
  <c r="B147" i="6"/>
  <c r="A147" i="6"/>
  <c r="F146" i="6"/>
  <c r="E146" i="6"/>
  <c r="D146" i="6"/>
  <c r="C146" i="6"/>
  <c r="B146" i="6"/>
  <c r="A146" i="6"/>
  <c r="F145" i="6"/>
  <c r="E145" i="6"/>
  <c r="D145" i="6"/>
  <c r="C145" i="6"/>
  <c r="B145" i="6"/>
  <c r="A145" i="6"/>
  <c r="F144" i="6"/>
  <c r="E144" i="6"/>
  <c r="D144" i="6"/>
  <c r="C144" i="6"/>
  <c r="B144" i="6"/>
  <c r="A144" i="6"/>
  <c r="F143" i="6"/>
  <c r="E143" i="6"/>
  <c r="D143" i="6"/>
  <c r="C143" i="6"/>
  <c r="B143" i="6"/>
  <c r="A143" i="6"/>
  <c r="F142" i="6"/>
  <c r="E142" i="6"/>
  <c r="D142" i="6"/>
  <c r="C142" i="6"/>
  <c r="B142" i="6"/>
  <c r="A142" i="6"/>
  <c r="F141" i="6"/>
  <c r="E141" i="6"/>
  <c r="D141" i="6"/>
  <c r="C141" i="6"/>
  <c r="B141" i="6"/>
  <c r="A141" i="6"/>
  <c r="F140" i="6"/>
  <c r="E140" i="6"/>
  <c r="D140" i="6"/>
  <c r="C140" i="6"/>
  <c r="B140" i="6"/>
  <c r="A140" i="6"/>
  <c r="F139" i="6"/>
  <c r="E139" i="6"/>
  <c r="D139" i="6"/>
  <c r="C139" i="6"/>
  <c r="B139" i="6"/>
  <c r="A139" i="6"/>
  <c r="F138" i="6"/>
  <c r="E138" i="6"/>
  <c r="D138" i="6"/>
  <c r="C138" i="6"/>
  <c r="B138" i="6"/>
  <c r="A138" i="6"/>
  <c r="F137" i="6"/>
  <c r="E137" i="6"/>
  <c r="D137" i="6"/>
  <c r="C137" i="6"/>
  <c r="B137" i="6"/>
  <c r="A137" i="6"/>
  <c r="F136" i="6"/>
  <c r="E136" i="6"/>
  <c r="D136" i="6"/>
  <c r="C136" i="6"/>
  <c r="B136" i="6"/>
  <c r="A136" i="6"/>
  <c r="F135" i="6"/>
  <c r="E135" i="6"/>
  <c r="D135" i="6"/>
  <c r="C135" i="6"/>
  <c r="B135" i="6"/>
  <c r="A135" i="6"/>
  <c r="F134" i="6"/>
  <c r="E134" i="6"/>
  <c r="D134" i="6"/>
  <c r="C134" i="6"/>
  <c r="B134" i="6"/>
  <c r="A134" i="6"/>
  <c r="F133" i="6"/>
  <c r="E133" i="6"/>
  <c r="D133" i="6"/>
  <c r="C133" i="6"/>
  <c r="B133" i="6"/>
  <c r="A133" i="6"/>
  <c r="F132" i="6"/>
  <c r="E132" i="6"/>
  <c r="D132" i="6"/>
  <c r="C132" i="6"/>
  <c r="B132" i="6"/>
  <c r="A132" i="6"/>
  <c r="F131" i="6"/>
  <c r="E131" i="6"/>
  <c r="D131" i="6"/>
  <c r="C131" i="6"/>
  <c r="B131" i="6"/>
  <c r="A131" i="6"/>
  <c r="F130" i="6"/>
  <c r="E130" i="6"/>
  <c r="D130" i="6"/>
  <c r="C130" i="6"/>
  <c r="B130" i="6"/>
  <c r="A130" i="6"/>
  <c r="F129" i="6"/>
  <c r="E129" i="6"/>
  <c r="D129" i="6"/>
  <c r="C129" i="6"/>
  <c r="B129" i="6"/>
  <c r="A129" i="6"/>
  <c r="F128" i="6"/>
  <c r="E128" i="6"/>
  <c r="D128" i="6"/>
  <c r="C128" i="6"/>
  <c r="B128" i="6"/>
  <c r="A128" i="6"/>
  <c r="F127" i="6"/>
  <c r="E127" i="6"/>
  <c r="D127" i="6"/>
  <c r="C127" i="6"/>
  <c r="B127" i="6"/>
  <c r="A127" i="6"/>
  <c r="F126" i="6"/>
  <c r="E126" i="6"/>
  <c r="D126" i="6"/>
  <c r="C126" i="6"/>
  <c r="B126" i="6"/>
  <c r="A126" i="6"/>
  <c r="F125" i="6"/>
  <c r="E125" i="6"/>
  <c r="D125" i="6"/>
  <c r="C125" i="6"/>
  <c r="B125" i="6"/>
  <c r="A125" i="6"/>
  <c r="F124" i="6"/>
  <c r="E124" i="6"/>
  <c r="D124" i="6"/>
  <c r="C124" i="6"/>
  <c r="B124" i="6"/>
  <c r="A124" i="6"/>
  <c r="F123" i="6"/>
  <c r="E123" i="6"/>
  <c r="D123" i="6"/>
  <c r="C123" i="6"/>
  <c r="B123" i="6"/>
  <c r="A123" i="6"/>
  <c r="F122" i="6"/>
  <c r="E122" i="6"/>
  <c r="D122" i="6"/>
  <c r="C122" i="6"/>
  <c r="B122" i="6"/>
  <c r="A122" i="6"/>
  <c r="F121" i="6"/>
  <c r="E121" i="6"/>
  <c r="D121" i="6"/>
  <c r="C121" i="6"/>
  <c r="B121" i="6"/>
  <c r="A121" i="6"/>
  <c r="F120" i="6"/>
  <c r="E120" i="6"/>
  <c r="D120" i="6"/>
  <c r="C120" i="6"/>
  <c r="B120" i="6"/>
  <c r="A120" i="6"/>
  <c r="F119" i="6"/>
  <c r="E119" i="6"/>
  <c r="D119" i="6"/>
  <c r="C119" i="6"/>
  <c r="B119" i="6"/>
  <c r="A119" i="6"/>
  <c r="F118" i="6"/>
  <c r="E118" i="6"/>
  <c r="D118" i="6"/>
  <c r="C118" i="6"/>
  <c r="B118" i="6"/>
  <c r="A118" i="6"/>
  <c r="F117" i="6"/>
  <c r="E117" i="6"/>
  <c r="D117" i="6"/>
  <c r="C117" i="6"/>
  <c r="B117" i="6"/>
  <c r="A117" i="6"/>
  <c r="F116" i="6"/>
  <c r="E116" i="6"/>
  <c r="D116" i="6"/>
  <c r="C116" i="6"/>
  <c r="B116" i="6"/>
  <c r="A116" i="6"/>
  <c r="F115" i="6"/>
  <c r="E115" i="6"/>
  <c r="D115" i="6"/>
  <c r="C115" i="6"/>
  <c r="B115" i="6"/>
  <c r="A115" i="6"/>
  <c r="F114" i="6"/>
  <c r="E114" i="6"/>
  <c r="D114" i="6"/>
  <c r="C114" i="6"/>
  <c r="B114" i="6"/>
  <c r="A114" i="6"/>
  <c r="F113" i="6"/>
  <c r="E113" i="6"/>
  <c r="D113" i="6"/>
  <c r="C113" i="6"/>
  <c r="B113" i="6"/>
  <c r="A113" i="6"/>
  <c r="F112" i="6"/>
  <c r="E112" i="6"/>
  <c r="D112" i="6"/>
  <c r="C112" i="6"/>
  <c r="B112" i="6"/>
  <c r="A112" i="6"/>
  <c r="F111" i="6"/>
  <c r="E111" i="6"/>
  <c r="D111" i="6"/>
  <c r="C111" i="6"/>
  <c r="B111" i="6"/>
  <c r="A111" i="6"/>
  <c r="F110" i="6"/>
  <c r="E110" i="6"/>
  <c r="D110" i="6"/>
  <c r="C110" i="6"/>
  <c r="B110" i="6"/>
  <c r="A110" i="6"/>
  <c r="F109" i="6"/>
  <c r="E109" i="6"/>
  <c r="D109" i="6"/>
  <c r="C109" i="6"/>
  <c r="B109" i="6"/>
  <c r="A109" i="6"/>
  <c r="F108" i="6"/>
  <c r="E108" i="6"/>
  <c r="D108" i="6"/>
  <c r="C108" i="6"/>
  <c r="B108" i="6"/>
  <c r="A108" i="6"/>
  <c r="F107" i="6"/>
  <c r="E107" i="6"/>
  <c r="D107" i="6"/>
  <c r="C107" i="6"/>
  <c r="B107" i="6"/>
  <c r="A107" i="6"/>
  <c r="F106" i="6"/>
  <c r="E106" i="6"/>
  <c r="D106" i="6"/>
  <c r="C106" i="6"/>
  <c r="B106" i="6"/>
  <c r="A106" i="6"/>
  <c r="F105" i="6"/>
  <c r="E105" i="6"/>
  <c r="D105" i="6"/>
  <c r="C105" i="6"/>
  <c r="B105" i="6"/>
  <c r="A105" i="6"/>
  <c r="F104" i="6"/>
  <c r="E104" i="6"/>
  <c r="D104" i="6"/>
  <c r="C104" i="6"/>
  <c r="B104" i="6"/>
  <c r="A104" i="6"/>
  <c r="F103" i="6"/>
  <c r="E103" i="6"/>
  <c r="D103" i="6"/>
  <c r="C103" i="6"/>
  <c r="B103" i="6"/>
  <c r="A103" i="6"/>
  <c r="F102" i="6"/>
  <c r="E102" i="6"/>
  <c r="D102" i="6"/>
  <c r="C102" i="6"/>
  <c r="B102" i="6"/>
  <c r="A102" i="6"/>
  <c r="F101" i="6"/>
  <c r="E101" i="6"/>
  <c r="D101" i="6"/>
  <c r="C101" i="6"/>
  <c r="B101" i="6"/>
  <c r="A101" i="6"/>
  <c r="F100" i="6"/>
  <c r="E100" i="6"/>
  <c r="D100" i="6"/>
  <c r="C100" i="6"/>
  <c r="B100" i="6"/>
  <c r="A100" i="6"/>
  <c r="F99" i="6"/>
  <c r="E99" i="6"/>
  <c r="D99" i="6"/>
  <c r="C99" i="6"/>
  <c r="B99" i="6"/>
  <c r="A99" i="6"/>
  <c r="F98" i="6"/>
  <c r="E98" i="6"/>
  <c r="D98" i="6"/>
  <c r="C98" i="6"/>
  <c r="B98" i="6"/>
  <c r="A98" i="6"/>
  <c r="F97" i="6"/>
  <c r="E97" i="6"/>
  <c r="D97" i="6"/>
  <c r="C97" i="6"/>
  <c r="B97" i="6"/>
  <c r="A97" i="6"/>
  <c r="F96" i="6"/>
  <c r="E96" i="6"/>
  <c r="D96" i="6"/>
  <c r="C96" i="6"/>
  <c r="B96" i="6"/>
  <c r="A96" i="6"/>
  <c r="F95" i="6"/>
  <c r="E95" i="6"/>
  <c r="D95" i="6"/>
  <c r="C95" i="6"/>
  <c r="B95" i="6"/>
  <c r="A95" i="6"/>
  <c r="F94" i="6"/>
  <c r="E94" i="6"/>
  <c r="D94" i="6"/>
  <c r="C94" i="6"/>
  <c r="B94" i="6"/>
  <c r="A94" i="6"/>
  <c r="F93" i="6"/>
  <c r="E93" i="6"/>
  <c r="D93" i="6"/>
  <c r="C93" i="6"/>
  <c r="B93" i="6"/>
  <c r="A93" i="6"/>
  <c r="F92" i="6"/>
  <c r="E92" i="6"/>
  <c r="D92" i="6"/>
  <c r="C92" i="6"/>
  <c r="B92" i="6"/>
  <c r="A92" i="6"/>
  <c r="F91" i="6"/>
  <c r="E91" i="6"/>
  <c r="D91" i="6"/>
  <c r="C91" i="6"/>
  <c r="B91" i="6"/>
  <c r="A91" i="6"/>
  <c r="F90" i="6"/>
  <c r="E90" i="6"/>
  <c r="D90" i="6"/>
  <c r="C90" i="6"/>
  <c r="B90" i="6"/>
  <c r="A90" i="6"/>
  <c r="F89" i="6"/>
  <c r="E89" i="6"/>
  <c r="D89" i="6"/>
  <c r="C89" i="6"/>
  <c r="B89" i="6"/>
  <c r="A89" i="6"/>
  <c r="F88" i="6"/>
  <c r="E88" i="6"/>
  <c r="D88" i="6"/>
  <c r="C88" i="6"/>
  <c r="B88" i="6"/>
  <c r="A88" i="6"/>
  <c r="F87" i="6"/>
  <c r="E87" i="6"/>
  <c r="D87" i="6"/>
  <c r="C87" i="6"/>
  <c r="B87" i="6"/>
  <c r="A87" i="6"/>
  <c r="F86" i="6"/>
  <c r="E86" i="6"/>
  <c r="D86" i="6"/>
  <c r="C86" i="6"/>
  <c r="B86" i="6"/>
  <c r="A86" i="6"/>
  <c r="F85" i="6"/>
  <c r="E85" i="6"/>
  <c r="D85" i="6"/>
  <c r="C85" i="6"/>
  <c r="B85" i="6"/>
  <c r="A85" i="6"/>
  <c r="F84" i="6"/>
  <c r="E84" i="6"/>
  <c r="D84" i="6"/>
  <c r="C84" i="6"/>
  <c r="B84" i="6"/>
  <c r="A84" i="6"/>
  <c r="F83" i="6"/>
  <c r="E83" i="6"/>
  <c r="D83" i="6"/>
  <c r="C83" i="6"/>
  <c r="B83" i="6"/>
  <c r="A83" i="6"/>
  <c r="F82" i="6"/>
  <c r="E82" i="6"/>
  <c r="D82" i="6"/>
  <c r="C82" i="6"/>
  <c r="B82" i="6"/>
  <c r="A82" i="6"/>
  <c r="F81" i="6"/>
  <c r="E81" i="6"/>
  <c r="D81" i="6"/>
  <c r="C81" i="6"/>
  <c r="B81" i="6"/>
  <c r="A81" i="6"/>
  <c r="F80" i="6"/>
  <c r="E80" i="6"/>
  <c r="D80" i="6"/>
  <c r="C80" i="6"/>
  <c r="B80" i="6"/>
  <c r="A80" i="6"/>
  <c r="F79" i="6"/>
  <c r="E79" i="6"/>
  <c r="D79" i="6"/>
  <c r="C79" i="6"/>
  <c r="B79" i="6"/>
  <c r="A79" i="6"/>
  <c r="F78" i="6"/>
  <c r="E78" i="6"/>
  <c r="D78" i="6"/>
  <c r="C78" i="6"/>
  <c r="B78" i="6"/>
  <c r="A78" i="6"/>
  <c r="F77" i="6"/>
  <c r="E77" i="6"/>
  <c r="D77" i="6"/>
  <c r="C77" i="6"/>
  <c r="B77" i="6"/>
  <c r="A77" i="6"/>
  <c r="F76" i="6"/>
  <c r="E76" i="6"/>
  <c r="D76" i="6"/>
  <c r="C76" i="6"/>
  <c r="B76" i="6"/>
  <c r="A76" i="6"/>
  <c r="F75" i="6"/>
  <c r="E75" i="6"/>
  <c r="D75" i="6"/>
  <c r="C75" i="6"/>
  <c r="B75" i="6"/>
  <c r="A75" i="6"/>
  <c r="F74" i="6"/>
  <c r="E74" i="6"/>
  <c r="D74" i="6"/>
  <c r="C74" i="6"/>
  <c r="B74" i="6"/>
  <c r="A74" i="6"/>
  <c r="F73" i="6"/>
  <c r="E73" i="6"/>
  <c r="D73" i="6"/>
  <c r="C73" i="6"/>
  <c r="B73" i="6"/>
  <c r="A73" i="6"/>
  <c r="F72" i="6"/>
  <c r="E72" i="6"/>
  <c r="D72" i="6"/>
  <c r="C72" i="6"/>
  <c r="B72" i="6"/>
  <c r="A72" i="6"/>
  <c r="F71" i="6"/>
  <c r="E71" i="6"/>
  <c r="D71" i="6"/>
  <c r="C71" i="6"/>
  <c r="B71" i="6"/>
  <c r="A71" i="6"/>
  <c r="F70" i="6"/>
  <c r="E70" i="6"/>
  <c r="D70" i="6"/>
  <c r="C70" i="6"/>
  <c r="B70" i="6"/>
  <c r="A70" i="6"/>
  <c r="F69" i="6"/>
  <c r="E69" i="6"/>
  <c r="D69" i="6"/>
  <c r="C69" i="6"/>
  <c r="B69" i="6"/>
  <c r="A69" i="6"/>
  <c r="F68" i="6"/>
  <c r="E68" i="6"/>
  <c r="D68" i="6"/>
  <c r="C68" i="6"/>
  <c r="B68" i="6"/>
  <c r="A68" i="6"/>
  <c r="F67" i="6"/>
  <c r="E67" i="6"/>
  <c r="D67" i="6"/>
  <c r="C67" i="6"/>
  <c r="B67" i="6"/>
  <c r="A67" i="6"/>
  <c r="F66" i="6"/>
  <c r="E66" i="6"/>
  <c r="D66" i="6"/>
  <c r="C66" i="6"/>
  <c r="B66" i="6"/>
  <c r="A66" i="6"/>
  <c r="F65" i="6"/>
  <c r="E65" i="6"/>
  <c r="D65" i="6"/>
  <c r="C65" i="6"/>
  <c r="B65" i="6"/>
  <c r="A65" i="6"/>
  <c r="F64" i="6"/>
  <c r="E64" i="6"/>
  <c r="D64" i="6"/>
  <c r="C64" i="6"/>
  <c r="B64" i="6"/>
  <c r="A64" i="6"/>
  <c r="F63" i="6"/>
  <c r="E63" i="6"/>
  <c r="D63" i="6"/>
  <c r="C63" i="6"/>
  <c r="B63" i="6"/>
  <c r="A63" i="6"/>
  <c r="F62" i="6"/>
  <c r="E62" i="6"/>
  <c r="D62" i="6"/>
  <c r="C62" i="6"/>
  <c r="B62" i="6"/>
  <c r="A62" i="6"/>
  <c r="F61" i="6"/>
  <c r="E61" i="6"/>
  <c r="D61" i="6"/>
  <c r="C61" i="6"/>
  <c r="B61" i="6"/>
  <c r="A61" i="6"/>
  <c r="F60" i="6"/>
  <c r="E60" i="6"/>
  <c r="D60" i="6"/>
  <c r="C60" i="6"/>
  <c r="B60" i="6"/>
  <c r="A60" i="6"/>
  <c r="F59" i="6"/>
  <c r="E59" i="6"/>
  <c r="D59" i="6"/>
  <c r="C59" i="6"/>
  <c r="B59" i="6"/>
  <c r="A59" i="6"/>
  <c r="F58" i="6"/>
  <c r="E58" i="6"/>
  <c r="D58" i="6"/>
  <c r="C58" i="6"/>
  <c r="B58" i="6"/>
  <c r="A58" i="6"/>
  <c r="F57" i="6"/>
  <c r="E57" i="6"/>
  <c r="D57" i="6"/>
  <c r="C57" i="6"/>
  <c r="B57" i="6"/>
  <c r="A57" i="6"/>
  <c r="F56" i="6"/>
  <c r="E56" i="6"/>
  <c r="D56" i="6"/>
  <c r="C56" i="6"/>
  <c r="B56" i="6"/>
  <c r="A56" i="6"/>
  <c r="F55" i="6"/>
  <c r="E55" i="6"/>
  <c r="D55" i="6"/>
  <c r="C55" i="6"/>
  <c r="B55" i="6"/>
  <c r="A55" i="6"/>
  <c r="F54" i="6"/>
  <c r="E54" i="6"/>
  <c r="D54" i="6"/>
  <c r="C54" i="6"/>
  <c r="B54" i="6"/>
  <c r="A54" i="6"/>
  <c r="F53" i="6"/>
  <c r="E53" i="6"/>
  <c r="D53" i="6"/>
  <c r="C53" i="6"/>
  <c r="B53" i="6"/>
  <c r="A53" i="6"/>
  <c r="F52" i="6"/>
  <c r="E52" i="6"/>
  <c r="D52" i="6"/>
  <c r="C52" i="6"/>
  <c r="B52" i="6"/>
  <c r="A52" i="6"/>
  <c r="F51" i="6"/>
  <c r="E51" i="6"/>
  <c r="D51" i="6"/>
  <c r="C51" i="6"/>
  <c r="B51" i="6"/>
  <c r="A51" i="6"/>
  <c r="F50" i="6"/>
  <c r="E50" i="6"/>
  <c r="D50" i="6"/>
  <c r="C50" i="6"/>
  <c r="B50" i="6"/>
  <c r="A50" i="6"/>
  <c r="F49" i="6"/>
  <c r="E49" i="6"/>
  <c r="D49" i="6"/>
  <c r="C49" i="6"/>
  <c r="B49" i="6"/>
  <c r="A49" i="6"/>
  <c r="F48" i="6"/>
  <c r="E48" i="6"/>
  <c r="D48" i="6"/>
  <c r="C48" i="6"/>
  <c r="B48" i="6"/>
  <c r="A48" i="6"/>
  <c r="F47" i="6"/>
  <c r="E47" i="6"/>
  <c r="D47" i="6"/>
  <c r="C47" i="6"/>
  <c r="B47" i="6"/>
  <c r="A47" i="6"/>
  <c r="F46" i="6"/>
  <c r="E46" i="6"/>
  <c r="D46" i="6"/>
  <c r="C46" i="6"/>
  <c r="B46" i="6"/>
  <c r="A46" i="6"/>
  <c r="S37" i="6"/>
  <c r="O37" i="6"/>
  <c r="G37" i="6"/>
  <c r="F37" i="6"/>
  <c r="C37" i="6"/>
  <c r="B37" i="6"/>
  <c r="A37" i="6"/>
  <c r="S36" i="6"/>
  <c r="O36" i="6"/>
  <c r="G36" i="6"/>
  <c r="F36" i="6"/>
  <c r="C36" i="6"/>
  <c r="B36" i="6"/>
  <c r="A36" i="6"/>
  <c r="S35" i="6"/>
  <c r="O35" i="6"/>
  <c r="G35" i="6"/>
  <c r="F35" i="6"/>
  <c r="C35" i="6"/>
  <c r="B35" i="6"/>
  <c r="A35" i="6"/>
  <c r="S34" i="6"/>
  <c r="O34" i="6"/>
  <c r="G34" i="6"/>
  <c r="F34" i="6"/>
  <c r="C34" i="6"/>
  <c r="B34" i="6"/>
  <c r="A34" i="6"/>
  <c r="S33" i="6"/>
  <c r="O33" i="6"/>
  <c r="G33" i="6"/>
  <c r="F33" i="6"/>
  <c r="C33" i="6"/>
  <c r="B33" i="6"/>
  <c r="A33" i="6"/>
  <c r="S32" i="6"/>
  <c r="O32" i="6"/>
  <c r="G32" i="6"/>
  <c r="F32" i="6"/>
  <c r="C32" i="6"/>
  <c r="B32" i="6"/>
  <c r="A32" i="6"/>
  <c r="S31" i="6"/>
  <c r="O31" i="6"/>
  <c r="G31" i="6"/>
  <c r="F31" i="6"/>
  <c r="C31" i="6"/>
  <c r="B31" i="6"/>
  <c r="A31" i="6"/>
  <c r="S30" i="6"/>
  <c r="O30" i="6"/>
  <c r="G30" i="6"/>
  <c r="F30" i="6"/>
  <c r="C30" i="6"/>
  <c r="B30" i="6"/>
  <c r="A30" i="6"/>
  <c r="S29" i="6"/>
  <c r="O29" i="6"/>
  <c r="G29" i="6"/>
  <c r="F29" i="6"/>
  <c r="C29" i="6"/>
  <c r="B29" i="6"/>
  <c r="A29" i="6"/>
  <c r="S28" i="6"/>
  <c r="O28" i="6"/>
  <c r="G28" i="6"/>
  <c r="F28" i="6"/>
  <c r="C28" i="6"/>
  <c r="B28" i="6"/>
  <c r="A28" i="6"/>
  <c r="S27" i="6"/>
  <c r="O27" i="6"/>
  <c r="G27" i="6"/>
  <c r="F27" i="6"/>
  <c r="C27" i="6"/>
  <c r="B27" i="6"/>
  <c r="A27" i="6"/>
  <c r="S26" i="6"/>
  <c r="O26" i="6"/>
  <c r="G26" i="6"/>
  <c r="F26" i="6"/>
  <c r="C26" i="6"/>
  <c r="B26" i="6"/>
  <c r="A26" i="6"/>
  <c r="S25" i="6"/>
  <c r="O25" i="6"/>
  <c r="G25" i="6"/>
  <c r="F25" i="6"/>
  <c r="C25" i="6"/>
  <c r="B25" i="6"/>
  <c r="A25" i="6"/>
  <c r="S24" i="6"/>
  <c r="O24" i="6"/>
  <c r="G24" i="6"/>
  <c r="F24" i="6"/>
  <c r="C24" i="6"/>
  <c r="B24" i="6"/>
  <c r="A24" i="6"/>
  <c r="S23" i="6"/>
  <c r="O23" i="6"/>
  <c r="G23" i="6"/>
  <c r="F23" i="6"/>
  <c r="C23" i="6"/>
  <c r="B23" i="6"/>
  <c r="A23" i="6"/>
  <c r="S22" i="6"/>
  <c r="O22" i="6"/>
  <c r="G22" i="6"/>
  <c r="F22" i="6"/>
  <c r="C22" i="6"/>
  <c r="B22" i="6"/>
  <c r="A22" i="6"/>
  <c r="S21" i="6"/>
  <c r="O21" i="6"/>
  <c r="G21" i="6"/>
  <c r="F21" i="6"/>
  <c r="C21" i="6"/>
  <c r="B21" i="6"/>
  <c r="A21" i="6"/>
  <c r="S20" i="6"/>
  <c r="O20" i="6"/>
  <c r="G20" i="6"/>
  <c r="F20" i="6"/>
  <c r="C20" i="6"/>
  <c r="B20" i="6"/>
  <c r="A20" i="6"/>
  <c r="S19" i="6"/>
  <c r="O19" i="6"/>
  <c r="G19" i="6"/>
  <c r="F19" i="6"/>
  <c r="C19" i="6"/>
  <c r="B19" i="6"/>
  <c r="A19" i="6"/>
  <c r="S18" i="6"/>
  <c r="O18" i="6"/>
  <c r="G18" i="6"/>
  <c r="F18" i="6"/>
  <c r="C18" i="6"/>
  <c r="B18" i="6"/>
  <c r="A18" i="6"/>
  <c r="S17" i="6"/>
  <c r="O17" i="6"/>
  <c r="G17" i="6"/>
  <c r="F17" i="6"/>
  <c r="C17" i="6"/>
  <c r="B17" i="6"/>
  <c r="A17" i="6"/>
  <c r="S16" i="6"/>
  <c r="O16" i="6"/>
  <c r="G16" i="6"/>
  <c r="F16" i="6"/>
  <c r="C16" i="6"/>
  <c r="B16" i="6"/>
  <c r="A16" i="6"/>
  <c r="S15" i="6"/>
  <c r="O15" i="6"/>
  <c r="G15" i="6"/>
  <c r="F15" i="6"/>
  <c r="C15" i="6"/>
  <c r="B15" i="6"/>
  <c r="A15" i="6"/>
  <c r="S14" i="6"/>
  <c r="O14" i="6"/>
  <c r="G14" i="6"/>
  <c r="F14" i="6"/>
  <c r="C14" i="6"/>
  <c r="B14" i="6"/>
  <c r="A14" i="6"/>
  <c r="S13" i="6"/>
  <c r="O13" i="6"/>
  <c r="G13" i="6"/>
  <c r="F13" i="6"/>
  <c r="C13" i="6"/>
  <c r="B13" i="6"/>
  <c r="A13" i="6"/>
  <c r="S12" i="6"/>
  <c r="O12" i="6"/>
  <c r="G12" i="6"/>
  <c r="F12" i="6"/>
  <c r="C12" i="6"/>
  <c r="B12" i="6"/>
  <c r="A12" i="6"/>
  <c r="S11" i="6"/>
  <c r="O11" i="6"/>
  <c r="G11" i="6"/>
  <c r="F11" i="6"/>
  <c r="C11" i="6"/>
  <c r="B11" i="6"/>
  <c r="A11" i="6"/>
  <c r="S10" i="6"/>
  <c r="O10" i="6"/>
  <c r="G10" i="6"/>
  <c r="F10" i="6"/>
  <c r="C10" i="6"/>
  <c r="B10" i="6"/>
  <c r="A10" i="6"/>
  <c r="S9" i="6"/>
  <c r="O9" i="6"/>
  <c r="G9" i="6"/>
  <c r="F9" i="6"/>
  <c r="C9" i="6"/>
  <c r="B9" i="6"/>
  <c r="A9" i="6"/>
  <c r="S8" i="6"/>
  <c r="O8" i="6"/>
  <c r="G8" i="6"/>
  <c r="F8" i="6"/>
  <c r="C8" i="6"/>
  <c r="B8" i="6"/>
  <c r="A8" i="6"/>
  <c r="F694" i="5"/>
  <c r="H694" i="5" s="1"/>
  <c r="E694" i="5"/>
  <c r="D694" i="5"/>
  <c r="C694" i="5"/>
  <c r="B694" i="5"/>
  <c r="A694" i="5"/>
  <c r="F693" i="5"/>
  <c r="H693" i="5" s="1"/>
  <c r="E693" i="5"/>
  <c r="D693" i="5"/>
  <c r="C693" i="5"/>
  <c r="B693" i="5"/>
  <c r="A693" i="5"/>
  <c r="F692" i="5"/>
  <c r="H692" i="5" s="1"/>
  <c r="E692" i="5"/>
  <c r="D692" i="5"/>
  <c r="C692" i="5"/>
  <c r="B692" i="5"/>
  <c r="A692" i="5"/>
  <c r="F691" i="5"/>
  <c r="H691" i="5" s="1"/>
  <c r="E691" i="5"/>
  <c r="D691" i="5"/>
  <c r="C691" i="5"/>
  <c r="B691" i="5"/>
  <c r="A691" i="5"/>
  <c r="F690" i="5"/>
  <c r="H690" i="5" s="1"/>
  <c r="E690" i="5"/>
  <c r="D690" i="5"/>
  <c r="C690" i="5"/>
  <c r="B690" i="5"/>
  <c r="A690" i="5"/>
  <c r="F689" i="5"/>
  <c r="H689" i="5" s="1"/>
  <c r="E689" i="5"/>
  <c r="D689" i="5"/>
  <c r="C689" i="5"/>
  <c r="B689" i="5"/>
  <c r="A689" i="5"/>
  <c r="F688" i="5"/>
  <c r="H688" i="5" s="1"/>
  <c r="E688" i="5"/>
  <c r="D688" i="5"/>
  <c r="C688" i="5"/>
  <c r="B688" i="5"/>
  <c r="A688" i="5"/>
  <c r="F687" i="5"/>
  <c r="H687" i="5" s="1"/>
  <c r="E687" i="5"/>
  <c r="D687" i="5"/>
  <c r="C687" i="5"/>
  <c r="B687" i="5"/>
  <c r="A687" i="5"/>
  <c r="F686" i="5"/>
  <c r="H686" i="5" s="1"/>
  <c r="E686" i="5"/>
  <c r="D686" i="5"/>
  <c r="C686" i="5"/>
  <c r="B686" i="5"/>
  <c r="A686" i="5"/>
  <c r="F685" i="5"/>
  <c r="H685" i="5" s="1"/>
  <c r="E685" i="5"/>
  <c r="D685" i="5"/>
  <c r="C685" i="5"/>
  <c r="B685" i="5"/>
  <c r="A685" i="5"/>
  <c r="F684" i="5"/>
  <c r="H684" i="5" s="1"/>
  <c r="E684" i="5"/>
  <c r="D684" i="5"/>
  <c r="C684" i="5"/>
  <c r="B684" i="5"/>
  <c r="A684" i="5"/>
  <c r="F683" i="5"/>
  <c r="H683" i="5" s="1"/>
  <c r="E683" i="5"/>
  <c r="D683" i="5"/>
  <c r="C683" i="5"/>
  <c r="B683" i="5"/>
  <c r="A683" i="5"/>
  <c r="F682" i="5"/>
  <c r="H682" i="5" s="1"/>
  <c r="E682" i="5"/>
  <c r="D682" i="5"/>
  <c r="C682" i="5"/>
  <c r="B682" i="5"/>
  <c r="A682" i="5"/>
  <c r="F681" i="5"/>
  <c r="H681" i="5" s="1"/>
  <c r="E681" i="5"/>
  <c r="D681" i="5"/>
  <c r="C681" i="5"/>
  <c r="B681" i="5"/>
  <c r="A681" i="5"/>
  <c r="F680" i="5"/>
  <c r="H680" i="5" s="1"/>
  <c r="E680" i="5"/>
  <c r="D680" i="5"/>
  <c r="C680" i="5"/>
  <c r="B680" i="5"/>
  <c r="A680" i="5"/>
  <c r="F679" i="5"/>
  <c r="H679" i="5" s="1"/>
  <c r="E679" i="5"/>
  <c r="D679" i="5"/>
  <c r="C679" i="5"/>
  <c r="B679" i="5"/>
  <c r="A679" i="5"/>
  <c r="F678" i="5"/>
  <c r="H678" i="5" s="1"/>
  <c r="E678" i="5"/>
  <c r="D678" i="5"/>
  <c r="C678" i="5"/>
  <c r="B678" i="5"/>
  <c r="A678" i="5"/>
  <c r="F677" i="5"/>
  <c r="H677" i="5" s="1"/>
  <c r="E677" i="5"/>
  <c r="D677" i="5"/>
  <c r="C677" i="5"/>
  <c r="B677" i="5"/>
  <c r="A677" i="5"/>
  <c r="F676" i="5"/>
  <c r="H676" i="5" s="1"/>
  <c r="E676" i="5"/>
  <c r="D676" i="5"/>
  <c r="C676" i="5"/>
  <c r="B676" i="5"/>
  <c r="A676" i="5"/>
  <c r="F675" i="5"/>
  <c r="H675" i="5" s="1"/>
  <c r="E675" i="5"/>
  <c r="D675" i="5"/>
  <c r="C675" i="5"/>
  <c r="B675" i="5"/>
  <c r="A675" i="5"/>
  <c r="F674" i="5"/>
  <c r="H674" i="5" s="1"/>
  <c r="E674" i="5"/>
  <c r="D674" i="5"/>
  <c r="C674" i="5"/>
  <c r="B674" i="5"/>
  <c r="A674" i="5"/>
  <c r="F673" i="5"/>
  <c r="H673" i="5" s="1"/>
  <c r="E673" i="5"/>
  <c r="D673" i="5"/>
  <c r="C673" i="5"/>
  <c r="B673" i="5"/>
  <c r="A673" i="5"/>
  <c r="F672" i="5"/>
  <c r="H672" i="5" s="1"/>
  <c r="E672" i="5"/>
  <c r="D672" i="5"/>
  <c r="C672" i="5"/>
  <c r="B672" i="5"/>
  <c r="A672" i="5"/>
  <c r="F671" i="5"/>
  <c r="H671" i="5" s="1"/>
  <c r="E671" i="5"/>
  <c r="D671" i="5"/>
  <c r="C671" i="5"/>
  <c r="B671" i="5"/>
  <c r="A671" i="5"/>
  <c r="F670" i="5"/>
  <c r="H670" i="5" s="1"/>
  <c r="E670" i="5"/>
  <c r="D670" i="5"/>
  <c r="C670" i="5"/>
  <c r="B670" i="5"/>
  <c r="A670" i="5"/>
  <c r="F669" i="5"/>
  <c r="H669" i="5" s="1"/>
  <c r="E669" i="5"/>
  <c r="D669" i="5"/>
  <c r="C669" i="5"/>
  <c r="B669" i="5"/>
  <c r="A669" i="5"/>
  <c r="F668" i="5"/>
  <c r="H668" i="5" s="1"/>
  <c r="E668" i="5"/>
  <c r="D668" i="5"/>
  <c r="C668" i="5"/>
  <c r="B668" i="5"/>
  <c r="A668" i="5"/>
  <c r="F667" i="5"/>
  <c r="H667" i="5" s="1"/>
  <c r="E667" i="5"/>
  <c r="D667" i="5"/>
  <c r="C667" i="5"/>
  <c r="B667" i="5"/>
  <c r="A667" i="5"/>
  <c r="F666" i="5"/>
  <c r="H666" i="5" s="1"/>
  <c r="E666" i="5"/>
  <c r="D666" i="5"/>
  <c r="C666" i="5"/>
  <c r="B666" i="5"/>
  <c r="A666" i="5"/>
  <c r="F665" i="5"/>
  <c r="H665" i="5" s="1"/>
  <c r="E665" i="5"/>
  <c r="D665" i="5"/>
  <c r="C665" i="5"/>
  <c r="B665" i="5"/>
  <c r="A665" i="5"/>
  <c r="F664" i="5"/>
  <c r="H664" i="5" s="1"/>
  <c r="E664" i="5"/>
  <c r="D664" i="5"/>
  <c r="C664" i="5"/>
  <c r="B664" i="5"/>
  <c r="A664" i="5"/>
  <c r="F663" i="5"/>
  <c r="H663" i="5" s="1"/>
  <c r="E663" i="5"/>
  <c r="D663" i="5"/>
  <c r="C663" i="5"/>
  <c r="B663" i="5"/>
  <c r="A663" i="5"/>
  <c r="F662" i="5"/>
  <c r="H662" i="5" s="1"/>
  <c r="E662" i="5"/>
  <c r="D662" i="5"/>
  <c r="C662" i="5"/>
  <c r="B662" i="5"/>
  <c r="A662" i="5"/>
  <c r="F661" i="5"/>
  <c r="H661" i="5" s="1"/>
  <c r="E661" i="5"/>
  <c r="D661" i="5"/>
  <c r="C661" i="5"/>
  <c r="B661" i="5"/>
  <c r="A661" i="5"/>
  <c r="F660" i="5"/>
  <c r="H660" i="5" s="1"/>
  <c r="E660" i="5"/>
  <c r="D660" i="5"/>
  <c r="C660" i="5"/>
  <c r="B660" i="5"/>
  <c r="A660" i="5"/>
  <c r="F659" i="5"/>
  <c r="H659" i="5" s="1"/>
  <c r="E659" i="5"/>
  <c r="D659" i="5"/>
  <c r="C659" i="5"/>
  <c r="B659" i="5"/>
  <c r="A659" i="5"/>
  <c r="F658" i="5"/>
  <c r="H658" i="5" s="1"/>
  <c r="E658" i="5"/>
  <c r="D658" i="5"/>
  <c r="C658" i="5"/>
  <c r="B658" i="5"/>
  <c r="A658" i="5"/>
  <c r="F657" i="5"/>
  <c r="H657" i="5" s="1"/>
  <c r="E657" i="5"/>
  <c r="D657" i="5"/>
  <c r="C657" i="5"/>
  <c r="B657" i="5"/>
  <c r="A657" i="5"/>
  <c r="F656" i="5"/>
  <c r="H656" i="5" s="1"/>
  <c r="E656" i="5"/>
  <c r="D656" i="5"/>
  <c r="C656" i="5"/>
  <c r="B656" i="5"/>
  <c r="A656" i="5"/>
  <c r="F655" i="5"/>
  <c r="H655" i="5" s="1"/>
  <c r="E655" i="5"/>
  <c r="D655" i="5"/>
  <c r="C655" i="5"/>
  <c r="B655" i="5"/>
  <c r="A655" i="5"/>
  <c r="F654" i="5"/>
  <c r="H654" i="5" s="1"/>
  <c r="E654" i="5"/>
  <c r="D654" i="5"/>
  <c r="C654" i="5"/>
  <c r="B654" i="5"/>
  <c r="A654" i="5"/>
  <c r="F653" i="5"/>
  <c r="H653" i="5" s="1"/>
  <c r="E653" i="5"/>
  <c r="D653" i="5"/>
  <c r="C653" i="5"/>
  <c r="B653" i="5"/>
  <c r="A653" i="5"/>
  <c r="F652" i="5"/>
  <c r="H652" i="5" s="1"/>
  <c r="E652" i="5"/>
  <c r="D652" i="5"/>
  <c r="C652" i="5"/>
  <c r="B652" i="5"/>
  <c r="A652" i="5"/>
  <c r="F651" i="5"/>
  <c r="H651" i="5" s="1"/>
  <c r="E651" i="5"/>
  <c r="D651" i="5"/>
  <c r="C651" i="5"/>
  <c r="B651" i="5"/>
  <c r="A651" i="5"/>
  <c r="F650" i="5"/>
  <c r="H650" i="5" s="1"/>
  <c r="E650" i="5"/>
  <c r="D650" i="5"/>
  <c r="C650" i="5"/>
  <c r="B650" i="5"/>
  <c r="A650" i="5"/>
  <c r="F649" i="5"/>
  <c r="H649" i="5" s="1"/>
  <c r="E649" i="5"/>
  <c r="D649" i="5"/>
  <c r="C649" i="5"/>
  <c r="B649" i="5"/>
  <c r="A649" i="5"/>
  <c r="F648" i="5"/>
  <c r="H648" i="5" s="1"/>
  <c r="E648" i="5"/>
  <c r="D648" i="5"/>
  <c r="C648" i="5"/>
  <c r="B648" i="5"/>
  <c r="A648" i="5"/>
  <c r="F647" i="5"/>
  <c r="H647" i="5" s="1"/>
  <c r="E647" i="5"/>
  <c r="D647" i="5"/>
  <c r="C647" i="5"/>
  <c r="B647" i="5"/>
  <c r="A647" i="5"/>
  <c r="F646" i="5"/>
  <c r="H646" i="5" s="1"/>
  <c r="E646" i="5"/>
  <c r="D646" i="5"/>
  <c r="C646" i="5"/>
  <c r="B646" i="5"/>
  <c r="A646" i="5"/>
  <c r="F645" i="5"/>
  <c r="H645" i="5" s="1"/>
  <c r="E645" i="5"/>
  <c r="D645" i="5"/>
  <c r="C645" i="5"/>
  <c r="B645" i="5"/>
  <c r="A645" i="5"/>
  <c r="F644" i="5"/>
  <c r="H644" i="5" s="1"/>
  <c r="E644" i="5"/>
  <c r="D644" i="5"/>
  <c r="C644" i="5"/>
  <c r="B644" i="5"/>
  <c r="A644" i="5"/>
  <c r="F643" i="5"/>
  <c r="H643" i="5" s="1"/>
  <c r="E643" i="5"/>
  <c r="D643" i="5"/>
  <c r="C643" i="5"/>
  <c r="B643" i="5"/>
  <c r="A643" i="5"/>
  <c r="F642" i="5"/>
  <c r="H642" i="5" s="1"/>
  <c r="E642" i="5"/>
  <c r="D642" i="5"/>
  <c r="C642" i="5"/>
  <c r="B642" i="5"/>
  <c r="A642" i="5"/>
  <c r="F641" i="5"/>
  <c r="H641" i="5" s="1"/>
  <c r="E641" i="5"/>
  <c r="D641" i="5"/>
  <c r="C641" i="5"/>
  <c r="B641" i="5"/>
  <c r="A641" i="5"/>
  <c r="F640" i="5"/>
  <c r="H640" i="5" s="1"/>
  <c r="E640" i="5"/>
  <c r="D640" i="5"/>
  <c r="C640" i="5"/>
  <c r="B640" i="5"/>
  <c r="A640" i="5"/>
  <c r="F639" i="5"/>
  <c r="H639" i="5" s="1"/>
  <c r="E639" i="5"/>
  <c r="D639" i="5"/>
  <c r="C639" i="5"/>
  <c r="B639" i="5"/>
  <c r="A639" i="5"/>
  <c r="F638" i="5"/>
  <c r="H638" i="5" s="1"/>
  <c r="E638" i="5"/>
  <c r="D638" i="5"/>
  <c r="C638" i="5"/>
  <c r="B638" i="5"/>
  <c r="A638" i="5"/>
  <c r="F637" i="5"/>
  <c r="H637" i="5" s="1"/>
  <c r="E637" i="5"/>
  <c r="D637" i="5"/>
  <c r="C637" i="5"/>
  <c r="B637" i="5"/>
  <c r="A637" i="5"/>
  <c r="F636" i="5"/>
  <c r="H636" i="5" s="1"/>
  <c r="E636" i="5"/>
  <c r="D636" i="5"/>
  <c r="C636" i="5"/>
  <c r="B636" i="5"/>
  <c r="A636" i="5"/>
  <c r="F635" i="5"/>
  <c r="H635" i="5" s="1"/>
  <c r="E635" i="5"/>
  <c r="D635" i="5"/>
  <c r="C635" i="5"/>
  <c r="B635" i="5"/>
  <c r="A635" i="5"/>
  <c r="F634" i="5"/>
  <c r="H634" i="5" s="1"/>
  <c r="E634" i="5"/>
  <c r="D634" i="5"/>
  <c r="C634" i="5"/>
  <c r="B634" i="5"/>
  <c r="A634" i="5"/>
  <c r="F633" i="5"/>
  <c r="H633" i="5" s="1"/>
  <c r="E633" i="5"/>
  <c r="D633" i="5"/>
  <c r="C633" i="5"/>
  <c r="B633" i="5"/>
  <c r="A633" i="5"/>
  <c r="F632" i="5"/>
  <c r="H632" i="5" s="1"/>
  <c r="E632" i="5"/>
  <c r="D632" i="5"/>
  <c r="C632" i="5"/>
  <c r="B632" i="5"/>
  <c r="A632" i="5"/>
  <c r="F631" i="5"/>
  <c r="H631" i="5" s="1"/>
  <c r="E631" i="5"/>
  <c r="D631" i="5"/>
  <c r="C631" i="5"/>
  <c r="B631" i="5"/>
  <c r="A631" i="5"/>
  <c r="F630" i="5"/>
  <c r="H630" i="5" s="1"/>
  <c r="E630" i="5"/>
  <c r="D630" i="5"/>
  <c r="C630" i="5"/>
  <c r="B630" i="5"/>
  <c r="A630" i="5"/>
  <c r="F629" i="5"/>
  <c r="H629" i="5" s="1"/>
  <c r="E629" i="5"/>
  <c r="D629" i="5"/>
  <c r="C629" i="5"/>
  <c r="B629" i="5"/>
  <c r="A629" i="5"/>
  <c r="F628" i="5"/>
  <c r="H628" i="5" s="1"/>
  <c r="E628" i="5"/>
  <c r="D628" i="5"/>
  <c r="C628" i="5"/>
  <c r="B628" i="5"/>
  <c r="A628" i="5"/>
  <c r="F627" i="5"/>
  <c r="H627" i="5" s="1"/>
  <c r="E627" i="5"/>
  <c r="D627" i="5"/>
  <c r="C627" i="5"/>
  <c r="B627" i="5"/>
  <c r="A627" i="5"/>
  <c r="F626" i="5"/>
  <c r="H626" i="5" s="1"/>
  <c r="E626" i="5"/>
  <c r="D626" i="5"/>
  <c r="C626" i="5"/>
  <c r="B626" i="5"/>
  <c r="A626" i="5"/>
  <c r="F625" i="5"/>
  <c r="H625" i="5" s="1"/>
  <c r="E625" i="5"/>
  <c r="D625" i="5"/>
  <c r="C625" i="5"/>
  <c r="B625" i="5"/>
  <c r="A625" i="5"/>
  <c r="F624" i="5"/>
  <c r="H624" i="5" s="1"/>
  <c r="E624" i="5"/>
  <c r="D624" i="5"/>
  <c r="C624" i="5"/>
  <c r="B624" i="5"/>
  <c r="A624" i="5"/>
  <c r="F623" i="5"/>
  <c r="H623" i="5" s="1"/>
  <c r="E623" i="5"/>
  <c r="D623" i="5"/>
  <c r="C623" i="5"/>
  <c r="B623" i="5"/>
  <c r="A623" i="5"/>
  <c r="F622" i="5"/>
  <c r="H622" i="5" s="1"/>
  <c r="E622" i="5"/>
  <c r="D622" i="5"/>
  <c r="C622" i="5"/>
  <c r="B622" i="5"/>
  <c r="A622" i="5"/>
  <c r="F621" i="5"/>
  <c r="H621" i="5" s="1"/>
  <c r="E621" i="5"/>
  <c r="D621" i="5"/>
  <c r="C621" i="5"/>
  <c r="B621" i="5"/>
  <c r="A621" i="5"/>
  <c r="F620" i="5"/>
  <c r="H620" i="5" s="1"/>
  <c r="E620" i="5"/>
  <c r="D620" i="5"/>
  <c r="C620" i="5"/>
  <c r="B620" i="5"/>
  <c r="A620" i="5"/>
  <c r="F619" i="5"/>
  <c r="H619" i="5" s="1"/>
  <c r="E619" i="5"/>
  <c r="D619" i="5"/>
  <c r="C619" i="5"/>
  <c r="B619" i="5"/>
  <c r="A619" i="5"/>
  <c r="F618" i="5"/>
  <c r="H618" i="5" s="1"/>
  <c r="E618" i="5"/>
  <c r="D618" i="5"/>
  <c r="C618" i="5"/>
  <c r="B618" i="5"/>
  <c r="A618" i="5"/>
  <c r="F617" i="5"/>
  <c r="H617" i="5" s="1"/>
  <c r="E617" i="5"/>
  <c r="D617" i="5"/>
  <c r="C617" i="5"/>
  <c r="B617" i="5"/>
  <c r="A617" i="5"/>
  <c r="F616" i="5"/>
  <c r="H616" i="5" s="1"/>
  <c r="E616" i="5"/>
  <c r="D616" i="5"/>
  <c r="C616" i="5"/>
  <c r="B616" i="5"/>
  <c r="A616" i="5"/>
  <c r="F615" i="5"/>
  <c r="H615" i="5" s="1"/>
  <c r="E615" i="5"/>
  <c r="D615" i="5"/>
  <c r="C615" i="5"/>
  <c r="B615" i="5"/>
  <c r="A615" i="5"/>
  <c r="F614" i="5"/>
  <c r="H614" i="5" s="1"/>
  <c r="E614" i="5"/>
  <c r="D614" i="5"/>
  <c r="C614" i="5"/>
  <c r="B614" i="5"/>
  <c r="A614" i="5"/>
  <c r="F613" i="5"/>
  <c r="H613" i="5" s="1"/>
  <c r="E613" i="5"/>
  <c r="D613" i="5"/>
  <c r="C613" i="5"/>
  <c r="B613" i="5"/>
  <c r="A613" i="5"/>
  <c r="F612" i="5"/>
  <c r="H612" i="5" s="1"/>
  <c r="E612" i="5"/>
  <c r="D612" i="5"/>
  <c r="C612" i="5"/>
  <c r="B612" i="5"/>
  <c r="A612" i="5"/>
  <c r="F611" i="5"/>
  <c r="H611" i="5" s="1"/>
  <c r="E611" i="5"/>
  <c r="D611" i="5"/>
  <c r="C611" i="5"/>
  <c r="B611" i="5"/>
  <c r="A611" i="5"/>
  <c r="F610" i="5"/>
  <c r="H610" i="5" s="1"/>
  <c r="E610" i="5"/>
  <c r="D610" i="5"/>
  <c r="C610" i="5"/>
  <c r="B610" i="5"/>
  <c r="A610" i="5"/>
  <c r="F609" i="5"/>
  <c r="H609" i="5" s="1"/>
  <c r="E609" i="5"/>
  <c r="D609" i="5"/>
  <c r="C609" i="5"/>
  <c r="B609" i="5"/>
  <c r="A609" i="5"/>
  <c r="F608" i="5"/>
  <c r="H608" i="5" s="1"/>
  <c r="E608" i="5"/>
  <c r="D608" i="5"/>
  <c r="C608" i="5"/>
  <c r="B608" i="5"/>
  <c r="A608" i="5"/>
  <c r="F607" i="5"/>
  <c r="H607" i="5" s="1"/>
  <c r="E607" i="5"/>
  <c r="D607" i="5"/>
  <c r="C607" i="5"/>
  <c r="B607" i="5"/>
  <c r="A607" i="5"/>
  <c r="F606" i="5"/>
  <c r="H606" i="5" s="1"/>
  <c r="E606" i="5"/>
  <c r="D606" i="5"/>
  <c r="C606" i="5"/>
  <c r="B606" i="5"/>
  <c r="A606" i="5"/>
  <c r="F605" i="5"/>
  <c r="H605" i="5" s="1"/>
  <c r="E605" i="5"/>
  <c r="D605" i="5"/>
  <c r="C605" i="5"/>
  <c r="B605" i="5"/>
  <c r="A605" i="5"/>
  <c r="F604" i="5"/>
  <c r="H604" i="5" s="1"/>
  <c r="E604" i="5"/>
  <c r="D604" i="5"/>
  <c r="C604" i="5"/>
  <c r="B604" i="5"/>
  <c r="A604" i="5"/>
  <c r="F603" i="5"/>
  <c r="H603" i="5" s="1"/>
  <c r="E603" i="5"/>
  <c r="D603" i="5"/>
  <c r="C603" i="5"/>
  <c r="B603" i="5"/>
  <c r="A603" i="5"/>
  <c r="F602" i="5"/>
  <c r="H602" i="5" s="1"/>
  <c r="E602" i="5"/>
  <c r="D602" i="5"/>
  <c r="C602" i="5"/>
  <c r="B602" i="5"/>
  <c r="A602" i="5"/>
  <c r="F601" i="5"/>
  <c r="H601" i="5" s="1"/>
  <c r="E601" i="5"/>
  <c r="D601" i="5"/>
  <c r="C601" i="5"/>
  <c r="B601" i="5"/>
  <c r="A601" i="5"/>
  <c r="F600" i="5"/>
  <c r="H600" i="5" s="1"/>
  <c r="E600" i="5"/>
  <c r="D600" i="5"/>
  <c r="C600" i="5"/>
  <c r="B600" i="5"/>
  <c r="A600" i="5"/>
  <c r="F599" i="5"/>
  <c r="H599" i="5" s="1"/>
  <c r="E599" i="5"/>
  <c r="D599" i="5"/>
  <c r="C599" i="5"/>
  <c r="B599" i="5"/>
  <c r="A599" i="5"/>
  <c r="F598" i="5"/>
  <c r="H598" i="5" s="1"/>
  <c r="E598" i="5"/>
  <c r="D598" i="5"/>
  <c r="C598" i="5"/>
  <c r="B598" i="5"/>
  <c r="A598" i="5"/>
  <c r="F597" i="5"/>
  <c r="H597" i="5" s="1"/>
  <c r="E597" i="5"/>
  <c r="D597" i="5"/>
  <c r="C597" i="5"/>
  <c r="B597" i="5"/>
  <c r="A597" i="5"/>
  <c r="F596" i="5"/>
  <c r="H596" i="5" s="1"/>
  <c r="E596" i="5"/>
  <c r="D596" i="5"/>
  <c r="C596" i="5"/>
  <c r="B596" i="5"/>
  <c r="A596" i="5"/>
  <c r="F595" i="5"/>
  <c r="H595" i="5" s="1"/>
  <c r="E595" i="5"/>
  <c r="D595" i="5"/>
  <c r="C595" i="5"/>
  <c r="B595" i="5"/>
  <c r="A595" i="5"/>
  <c r="F594" i="5"/>
  <c r="H594" i="5" s="1"/>
  <c r="E594" i="5"/>
  <c r="D594" i="5"/>
  <c r="C594" i="5"/>
  <c r="B594" i="5"/>
  <c r="A594" i="5"/>
  <c r="F593" i="5"/>
  <c r="H593" i="5" s="1"/>
  <c r="E593" i="5"/>
  <c r="D593" i="5"/>
  <c r="C593" i="5"/>
  <c r="B593" i="5"/>
  <c r="A593" i="5"/>
  <c r="F592" i="5"/>
  <c r="H592" i="5" s="1"/>
  <c r="E592" i="5"/>
  <c r="D592" i="5"/>
  <c r="C592" i="5"/>
  <c r="B592" i="5"/>
  <c r="A592" i="5"/>
  <c r="F591" i="5"/>
  <c r="H591" i="5" s="1"/>
  <c r="E591" i="5"/>
  <c r="D591" i="5"/>
  <c r="C591" i="5"/>
  <c r="B591" i="5"/>
  <c r="A591" i="5"/>
  <c r="F590" i="5"/>
  <c r="H590" i="5" s="1"/>
  <c r="E590" i="5"/>
  <c r="D590" i="5"/>
  <c r="C590" i="5"/>
  <c r="B590" i="5"/>
  <c r="A590" i="5"/>
  <c r="F589" i="5"/>
  <c r="H589" i="5" s="1"/>
  <c r="E589" i="5"/>
  <c r="D589" i="5"/>
  <c r="C589" i="5"/>
  <c r="B589" i="5"/>
  <c r="A589" i="5"/>
  <c r="F588" i="5"/>
  <c r="H588" i="5" s="1"/>
  <c r="E588" i="5"/>
  <c r="D588" i="5"/>
  <c r="C588" i="5"/>
  <c r="B588" i="5"/>
  <c r="A588" i="5"/>
  <c r="F587" i="5"/>
  <c r="H587" i="5" s="1"/>
  <c r="E587" i="5"/>
  <c r="D587" i="5"/>
  <c r="C587" i="5"/>
  <c r="B587" i="5"/>
  <c r="A587" i="5"/>
  <c r="F586" i="5"/>
  <c r="H586" i="5" s="1"/>
  <c r="E586" i="5"/>
  <c r="D586" i="5"/>
  <c r="C586" i="5"/>
  <c r="B586" i="5"/>
  <c r="A586" i="5"/>
  <c r="F585" i="5"/>
  <c r="H585" i="5" s="1"/>
  <c r="E585" i="5"/>
  <c r="D585" i="5"/>
  <c r="C585" i="5"/>
  <c r="B585" i="5"/>
  <c r="A585" i="5"/>
  <c r="F584" i="5"/>
  <c r="H584" i="5" s="1"/>
  <c r="E584" i="5"/>
  <c r="D584" i="5"/>
  <c r="C584" i="5"/>
  <c r="B584" i="5"/>
  <c r="A584" i="5"/>
  <c r="F583" i="5"/>
  <c r="H583" i="5" s="1"/>
  <c r="E583" i="5"/>
  <c r="D583" i="5"/>
  <c r="C583" i="5"/>
  <c r="B583" i="5"/>
  <c r="A583" i="5"/>
  <c r="F582" i="5"/>
  <c r="H582" i="5" s="1"/>
  <c r="E582" i="5"/>
  <c r="D582" i="5"/>
  <c r="C582" i="5"/>
  <c r="B582" i="5"/>
  <c r="A582" i="5"/>
  <c r="F581" i="5"/>
  <c r="H581" i="5" s="1"/>
  <c r="E581" i="5"/>
  <c r="D581" i="5"/>
  <c r="C581" i="5"/>
  <c r="B581" i="5"/>
  <c r="A581" i="5"/>
  <c r="F580" i="5"/>
  <c r="H580" i="5" s="1"/>
  <c r="E580" i="5"/>
  <c r="D580" i="5"/>
  <c r="C580" i="5"/>
  <c r="B580" i="5"/>
  <c r="A580" i="5"/>
  <c r="F579" i="5"/>
  <c r="H579" i="5" s="1"/>
  <c r="E579" i="5"/>
  <c r="D579" i="5"/>
  <c r="C579" i="5"/>
  <c r="B579" i="5"/>
  <c r="A579" i="5"/>
  <c r="F578" i="5"/>
  <c r="H578" i="5" s="1"/>
  <c r="E578" i="5"/>
  <c r="D578" i="5"/>
  <c r="C578" i="5"/>
  <c r="B578" i="5"/>
  <c r="A578" i="5"/>
  <c r="F577" i="5"/>
  <c r="H577" i="5" s="1"/>
  <c r="E577" i="5"/>
  <c r="D577" i="5"/>
  <c r="C577" i="5"/>
  <c r="B577" i="5"/>
  <c r="A577" i="5"/>
  <c r="F576" i="5"/>
  <c r="H576" i="5" s="1"/>
  <c r="E576" i="5"/>
  <c r="D576" i="5"/>
  <c r="C576" i="5"/>
  <c r="B576" i="5"/>
  <c r="A576" i="5"/>
  <c r="F575" i="5"/>
  <c r="H575" i="5" s="1"/>
  <c r="E575" i="5"/>
  <c r="D575" i="5"/>
  <c r="C575" i="5"/>
  <c r="B575" i="5"/>
  <c r="A575" i="5"/>
  <c r="F574" i="5"/>
  <c r="H574" i="5" s="1"/>
  <c r="E574" i="5"/>
  <c r="D574" i="5"/>
  <c r="C574" i="5"/>
  <c r="B574" i="5"/>
  <c r="A574" i="5"/>
  <c r="F573" i="5"/>
  <c r="H573" i="5" s="1"/>
  <c r="E573" i="5"/>
  <c r="D573" i="5"/>
  <c r="C573" i="5"/>
  <c r="B573" i="5"/>
  <c r="A573" i="5"/>
  <c r="F572" i="5"/>
  <c r="H572" i="5" s="1"/>
  <c r="E572" i="5"/>
  <c r="D572" i="5"/>
  <c r="C572" i="5"/>
  <c r="B572" i="5"/>
  <c r="A572" i="5"/>
  <c r="F571" i="5"/>
  <c r="H571" i="5" s="1"/>
  <c r="E571" i="5"/>
  <c r="D571" i="5"/>
  <c r="C571" i="5"/>
  <c r="B571" i="5"/>
  <c r="A571" i="5"/>
  <c r="F570" i="5"/>
  <c r="H570" i="5" s="1"/>
  <c r="E570" i="5"/>
  <c r="D570" i="5"/>
  <c r="C570" i="5"/>
  <c r="B570" i="5"/>
  <c r="A570" i="5"/>
  <c r="F569" i="5"/>
  <c r="H569" i="5" s="1"/>
  <c r="E569" i="5"/>
  <c r="D569" i="5"/>
  <c r="C569" i="5"/>
  <c r="B569" i="5"/>
  <c r="A569" i="5"/>
  <c r="F568" i="5"/>
  <c r="H568" i="5" s="1"/>
  <c r="E568" i="5"/>
  <c r="D568" i="5"/>
  <c r="C568" i="5"/>
  <c r="B568" i="5"/>
  <c r="A568" i="5"/>
  <c r="F567" i="5"/>
  <c r="H567" i="5" s="1"/>
  <c r="E567" i="5"/>
  <c r="D567" i="5"/>
  <c r="C567" i="5"/>
  <c r="B567" i="5"/>
  <c r="A567" i="5"/>
  <c r="F566" i="5"/>
  <c r="H566" i="5" s="1"/>
  <c r="E566" i="5"/>
  <c r="D566" i="5"/>
  <c r="C566" i="5"/>
  <c r="B566" i="5"/>
  <c r="A566" i="5"/>
  <c r="F565" i="5"/>
  <c r="H565" i="5" s="1"/>
  <c r="E565" i="5"/>
  <c r="D565" i="5"/>
  <c r="C565" i="5"/>
  <c r="B565" i="5"/>
  <c r="A565" i="5"/>
  <c r="F564" i="5"/>
  <c r="H564" i="5" s="1"/>
  <c r="E564" i="5"/>
  <c r="D564" i="5"/>
  <c r="C564" i="5"/>
  <c r="B564" i="5"/>
  <c r="A564" i="5"/>
  <c r="F563" i="5"/>
  <c r="H563" i="5" s="1"/>
  <c r="E563" i="5"/>
  <c r="D563" i="5"/>
  <c r="C563" i="5"/>
  <c r="B563" i="5"/>
  <c r="A563" i="5"/>
  <c r="F562" i="5"/>
  <c r="H562" i="5" s="1"/>
  <c r="E562" i="5"/>
  <c r="D562" i="5"/>
  <c r="C562" i="5"/>
  <c r="B562" i="5"/>
  <c r="A562" i="5"/>
  <c r="F561" i="5"/>
  <c r="H561" i="5" s="1"/>
  <c r="E561" i="5"/>
  <c r="D561" i="5"/>
  <c r="C561" i="5"/>
  <c r="B561" i="5"/>
  <c r="A561" i="5"/>
  <c r="F560" i="5"/>
  <c r="H560" i="5" s="1"/>
  <c r="E560" i="5"/>
  <c r="D560" i="5"/>
  <c r="C560" i="5"/>
  <c r="B560" i="5"/>
  <c r="A560" i="5"/>
  <c r="F559" i="5"/>
  <c r="H559" i="5" s="1"/>
  <c r="E559" i="5"/>
  <c r="D559" i="5"/>
  <c r="C559" i="5"/>
  <c r="B559" i="5"/>
  <c r="A559" i="5"/>
  <c r="F558" i="5"/>
  <c r="H558" i="5" s="1"/>
  <c r="E558" i="5"/>
  <c r="D558" i="5"/>
  <c r="C558" i="5"/>
  <c r="B558" i="5"/>
  <c r="A558" i="5"/>
  <c r="F557" i="5"/>
  <c r="H557" i="5" s="1"/>
  <c r="E557" i="5"/>
  <c r="D557" i="5"/>
  <c r="C557" i="5"/>
  <c r="B557" i="5"/>
  <c r="A557" i="5"/>
  <c r="F556" i="5"/>
  <c r="H556" i="5" s="1"/>
  <c r="E556" i="5"/>
  <c r="D556" i="5"/>
  <c r="C556" i="5"/>
  <c r="B556" i="5"/>
  <c r="A556" i="5"/>
  <c r="F555" i="5"/>
  <c r="H555" i="5" s="1"/>
  <c r="E555" i="5"/>
  <c r="D555" i="5"/>
  <c r="C555" i="5"/>
  <c r="B555" i="5"/>
  <c r="A555" i="5"/>
  <c r="F554" i="5"/>
  <c r="H554" i="5" s="1"/>
  <c r="E554" i="5"/>
  <c r="D554" i="5"/>
  <c r="C554" i="5"/>
  <c r="B554" i="5"/>
  <c r="A554" i="5"/>
  <c r="F553" i="5"/>
  <c r="H553" i="5" s="1"/>
  <c r="E553" i="5"/>
  <c r="D553" i="5"/>
  <c r="C553" i="5"/>
  <c r="B553" i="5"/>
  <c r="A553" i="5"/>
  <c r="F552" i="5"/>
  <c r="H552" i="5" s="1"/>
  <c r="E552" i="5"/>
  <c r="D552" i="5"/>
  <c r="C552" i="5"/>
  <c r="B552" i="5"/>
  <c r="A552" i="5"/>
  <c r="F551" i="5"/>
  <c r="H551" i="5" s="1"/>
  <c r="E551" i="5"/>
  <c r="D551" i="5"/>
  <c r="C551" i="5"/>
  <c r="B551" i="5"/>
  <c r="A551" i="5"/>
  <c r="F550" i="5"/>
  <c r="H550" i="5" s="1"/>
  <c r="E550" i="5"/>
  <c r="D550" i="5"/>
  <c r="C550" i="5"/>
  <c r="B550" i="5"/>
  <c r="A550" i="5"/>
  <c r="F549" i="5"/>
  <c r="H549" i="5" s="1"/>
  <c r="E549" i="5"/>
  <c r="D549" i="5"/>
  <c r="C549" i="5"/>
  <c r="B549" i="5"/>
  <c r="A549" i="5"/>
  <c r="F548" i="5"/>
  <c r="H548" i="5" s="1"/>
  <c r="E548" i="5"/>
  <c r="D548" i="5"/>
  <c r="C548" i="5"/>
  <c r="B548" i="5"/>
  <c r="A548" i="5"/>
  <c r="F547" i="5"/>
  <c r="H547" i="5" s="1"/>
  <c r="E547" i="5"/>
  <c r="D547" i="5"/>
  <c r="C547" i="5"/>
  <c r="B547" i="5"/>
  <c r="A547" i="5"/>
  <c r="F546" i="5"/>
  <c r="H546" i="5" s="1"/>
  <c r="E546" i="5"/>
  <c r="D546" i="5"/>
  <c r="C546" i="5"/>
  <c r="B546" i="5"/>
  <c r="A546" i="5"/>
  <c r="F545" i="5"/>
  <c r="H545" i="5" s="1"/>
  <c r="E545" i="5"/>
  <c r="D545" i="5"/>
  <c r="C545" i="5"/>
  <c r="B545" i="5"/>
  <c r="A545" i="5"/>
  <c r="F544" i="5"/>
  <c r="H544" i="5" s="1"/>
  <c r="E544" i="5"/>
  <c r="D544" i="5"/>
  <c r="C544" i="5"/>
  <c r="B544" i="5"/>
  <c r="A544" i="5"/>
  <c r="F543" i="5"/>
  <c r="H543" i="5" s="1"/>
  <c r="E543" i="5"/>
  <c r="D543" i="5"/>
  <c r="C543" i="5"/>
  <c r="B543" i="5"/>
  <c r="A543" i="5"/>
  <c r="F542" i="5"/>
  <c r="H542" i="5" s="1"/>
  <c r="E542" i="5"/>
  <c r="D542" i="5"/>
  <c r="C542" i="5"/>
  <c r="B542" i="5"/>
  <c r="A542" i="5"/>
  <c r="F541" i="5"/>
  <c r="H541" i="5" s="1"/>
  <c r="E541" i="5"/>
  <c r="D541" i="5"/>
  <c r="C541" i="5"/>
  <c r="B541" i="5"/>
  <c r="A541" i="5"/>
  <c r="F540" i="5"/>
  <c r="H540" i="5" s="1"/>
  <c r="E540" i="5"/>
  <c r="D540" i="5"/>
  <c r="C540" i="5"/>
  <c r="B540" i="5"/>
  <c r="A540" i="5"/>
  <c r="F539" i="5"/>
  <c r="H539" i="5" s="1"/>
  <c r="E539" i="5"/>
  <c r="D539" i="5"/>
  <c r="C539" i="5"/>
  <c r="B539" i="5"/>
  <c r="A539" i="5"/>
  <c r="F538" i="5"/>
  <c r="H538" i="5" s="1"/>
  <c r="E538" i="5"/>
  <c r="D538" i="5"/>
  <c r="C538" i="5"/>
  <c r="B538" i="5"/>
  <c r="A538" i="5"/>
  <c r="F537" i="5"/>
  <c r="H537" i="5" s="1"/>
  <c r="E537" i="5"/>
  <c r="D537" i="5"/>
  <c r="C537" i="5"/>
  <c r="B537" i="5"/>
  <c r="A537" i="5"/>
  <c r="F536" i="5"/>
  <c r="H536" i="5" s="1"/>
  <c r="E536" i="5"/>
  <c r="D536" i="5"/>
  <c r="C536" i="5"/>
  <c r="B536" i="5"/>
  <c r="A536" i="5"/>
  <c r="F535" i="5"/>
  <c r="H535" i="5" s="1"/>
  <c r="E535" i="5"/>
  <c r="D535" i="5"/>
  <c r="C535" i="5"/>
  <c r="B535" i="5"/>
  <c r="A535" i="5"/>
  <c r="F534" i="5"/>
  <c r="H534" i="5" s="1"/>
  <c r="E534" i="5"/>
  <c r="D534" i="5"/>
  <c r="C534" i="5"/>
  <c r="B534" i="5"/>
  <c r="A534" i="5"/>
  <c r="F533" i="5"/>
  <c r="H533" i="5" s="1"/>
  <c r="E533" i="5"/>
  <c r="D533" i="5"/>
  <c r="C533" i="5"/>
  <c r="B533" i="5"/>
  <c r="A533" i="5"/>
  <c r="F532" i="5"/>
  <c r="H532" i="5" s="1"/>
  <c r="E532" i="5"/>
  <c r="D532" i="5"/>
  <c r="C532" i="5"/>
  <c r="B532" i="5"/>
  <c r="A532" i="5"/>
  <c r="F531" i="5"/>
  <c r="H531" i="5" s="1"/>
  <c r="E531" i="5"/>
  <c r="D531" i="5"/>
  <c r="C531" i="5"/>
  <c r="B531" i="5"/>
  <c r="A531" i="5"/>
  <c r="F530" i="5"/>
  <c r="H530" i="5" s="1"/>
  <c r="E530" i="5"/>
  <c r="D530" i="5"/>
  <c r="C530" i="5"/>
  <c r="B530" i="5"/>
  <c r="A530" i="5"/>
  <c r="F529" i="5"/>
  <c r="H529" i="5" s="1"/>
  <c r="E529" i="5"/>
  <c r="D529" i="5"/>
  <c r="C529" i="5"/>
  <c r="B529" i="5"/>
  <c r="A529" i="5"/>
  <c r="F528" i="5"/>
  <c r="H528" i="5" s="1"/>
  <c r="E528" i="5"/>
  <c r="D528" i="5"/>
  <c r="C528" i="5"/>
  <c r="B528" i="5"/>
  <c r="A528" i="5"/>
  <c r="F527" i="5"/>
  <c r="H527" i="5" s="1"/>
  <c r="E527" i="5"/>
  <c r="D527" i="5"/>
  <c r="C527" i="5"/>
  <c r="B527" i="5"/>
  <c r="A527" i="5"/>
  <c r="F526" i="5"/>
  <c r="H526" i="5" s="1"/>
  <c r="E526" i="5"/>
  <c r="D526" i="5"/>
  <c r="C526" i="5"/>
  <c r="B526" i="5"/>
  <c r="A526" i="5"/>
  <c r="F525" i="5"/>
  <c r="H525" i="5" s="1"/>
  <c r="E525" i="5"/>
  <c r="D525" i="5"/>
  <c r="C525" i="5"/>
  <c r="B525" i="5"/>
  <c r="A525" i="5"/>
  <c r="F524" i="5"/>
  <c r="H524" i="5" s="1"/>
  <c r="E524" i="5"/>
  <c r="D524" i="5"/>
  <c r="C524" i="5"/>
  <c r="B524" i="5"/>
  <c r="A524" i="5"/>
  <c r="F523" i="5"/>
  <c r="H523" i="5" s="1"/>
  <c r="E523" i="5"/>
  <c r="D523" i="5"/>
  <c r="C523" i="5"/>
  <c r="B523" i="5"/>
  <c r="A523" i="5"/>
  <c r="F522" i="5"/>
  <c r="H522" i="5" s="1"/>
  <c r="E522" i="5"/>
  <c r="D522" i="5"/>
  <c r="C522" i="5"/>
  <c r="B522" i="5"/>
  <c r="A522" i="5"/>
  <c r="F521" i="5"/>
  <c r="H521" i="5" s="1"/>
  <c r="E521" i="5"/>
  <c r="D521" i="5"/>
  <c r="C521" i="5"/>
  <c r="B521" i="5"/>
  <c r="A521" i="5"/>
  <c r="F520" i="5"/>
  <c r="H520" i="5" s="1"/>
  <c r="E520" i="5"/>
  <c r="D520" i="5"/>
  <c r="C520" i="5"/>
  <c r="B520" i="5"/>
  <c r="A520" i="5"/>
  <c r="F519" i="5"/>
  <c r="H519" i="5" s="1"/>
  <c r="E519" i="5"/>
  <c r="D519" i="5"/>
  <c r="C519" i="5"/>
  <c r="B519" i="5"/>
  <c r="A519" i="5"/>
  <c r="F518" i="5"/>
  <c r="H518" i="5" s="1"/>
  <c r="E518" i="5"/>
  <c r="D518" i="5"/>
  <c r="C518" i="5"/>
  <c r="B518" i="5"/>
  <c r="A518" i="5"/>
  <c r="F517" i="5"/>
  <c r="H517" i="5" s="1"/>
  <c r="E517" i="5"/>
  <c r="D517" i="5"/>
  <c r="C517" i="5"/>
  <c r="B517" i="5"/>
  <c r="A517" i="5"/>
  <c r="F516" i="5"/>
  <c r="H516" i="5" s="1"/>
  <c r="E516" i="5"/>
  <c r="D516" i="5"/>
  <c r="C516" i="5"/>
  <c r="B516" i="5"/>
  <c r="A516" i="5"/>
  <c r="F515" i="5"/>
  <c r="H515" i="5" s="1"/>
  <c r="E515" i="5"/>
  <c r="D515" i="5"/>
  <c r="C515" i="5"/>
  <c r="B515" i="5"/>
  <c r="A515" i="5"/>
  <c r="F514" i="5"/>
  <c r="H514" i="5" s="1"/>
  <c r="E514" i="5"/>
  <c r="D514" i="5"/>
  <c r="C514" i="5"/>
  <c r="B514" i="5"/>
  <c r="A514" i="5"/>
  <c r="F513" i="5"/>
  <c r="H513" i="5" s="1"/>
  <c r="E513" i="5"/>
  <c r="D513" i="5"/>
  <c r="C513" i="5"/>
  <c r="B513" i="5"/>
  <c r="A513" i="5"/>
  <c r="F512" i="5"/>
  <c r="H512" i="5" s="1"/>
  <c r="E512" i="5"/>
  <c r="D512" i="5"/>
  <c r="C512" i="5"/>
  <c r="B512" i="5"/>
  <c r="A512" i="5"/>
  <c r="F511" i="5"/>
  <c r="H511" i="5" s="1"/>
  <c r="E511" i="5"/>
  <c r="D511" i="5"/>
  <c r="C511" i="5"/>
  <c r="B511" i="5"/>
  <c r="A511" i="5"/>
  <c r="F510" i="5"/>
  <c r="H510" i="5" s="1"/>
  <c r="E510" i="5"/>
  <c r="D510" i="5"/>
  <c r="C510" i="5"/>
  <c r="B510" i="5"/>
  <c r="A510" i="5"/>
  <c r="F509" i="5"/>
  <c r="H509" i="5" s="1"/>
  <c r="E509" i="5"/>
  <c r="D509" i="5"/>
  <c r="C509" i="5"/>
  <c r="B509" i="5"/>
  <c r="A509" i="5"/>
  <c r="F508" i="5"/>
  <c r="H508" i="5" s="1"/>
  <c r="E508" i="5"/>
  <c r="D508" i="5"/>
  <c r="C508" i="5"/>
  <c r="B508" i="5"/>
  <c r="A508" i="5"/>
  <c r="F507" i="5"/>
  <c r="H507" i="5" s="1"/>
  <c r="E507" i="5"/>
  <c r="D507" i="5"/>
  <c r="C507" i="5"/>
  <c r="B507" i="5"/>
  <c r="A507" i="5"/>
  <c r="F506" i="5"/>
  <c r="H506" i="5" s="1"/>
  <c r="E506" i="5"/>
  <c r="D506" i="5"/>
  <c r="C506" i="5"/>
  <c r="B506" i="5"/>
  <c r="A506" i="5"/>
  <c r="F505" i="5"/>
  <c r="H505" i="5" s="1"/>
  <c r="E505" i="5"/>
  <c r="D505" i="5"/>
  <c r="C505" i="5"/>
  <c r="B505" i="5"/>
  <c r="A505" i="5"/>
  <c r="F504" i="5"/>
  <c r="H504" i="5" s="1"/>
  <c r="E504" i="5"/>
  <c r="D504" i="5"/>
  <c r="C504" i="5"/>
  <c r="B504" i="5"/>
  <c r="A504" i="5"/>
  <c r="F503" i="5"/>
  <c r="H503" i="5" s="1"/>
  <c r="E503" i="5"/>
  <c r="D503" i="5"/>
  <c r="C503" i="5"/>
  <c r="B503" i="5"/>
  <c r="A503" i="5"/>
  <c r="F502" i="5"/>
  <c r="H502" i="5" s="1"/>
  <c r="E502" i="5"/>
  <c r="D502" i="5"/>
  <c r="C502" i="5"/>
  <c r="B502" i="5"/>
  <c r="A502" i="5"/>
  <c r="F501" i="5"/>
  <c r="H501" i="5" s="1"/>
  <c r="E501" i="5"/>
  <c r="D501" i="5"/>
  <c r="C501" i="5"/>
  <c r="B501" i="5"/>
  <c r="A501" i="5"/>
  <c r="F500" i="5"/>
  <c r="H500" i="5" s="1"/>
  <c r="E500" i="5"/>
  <c r="D500" i="5"/>
  <c r="C500" i="5"/>
  <c r="B500" i="5"/>
  <c r="A500" i="5"/>
  <c r="F499" i="5"/>
  <c r="H499" i="5" s="1"/>
  <c r="E499" i="5"/>
  <c r="D499" i="5"/>
  <c r="C499" i="5"/>
  <c r="B499" i="5"/>
  <c r="A499" i="5"/>
  <c r="F498" i="5"/>
  <c r="H498" i="5" s="1"/>
  <c r="E498" i="5"/>
  <c r="D498" i="5"/>
  <c r="C498" i="5"/>
  <c r="B498" i="5"/>
  <c r="A498" i="5"/>
  <c r="F497" i="5"/>
  <c r="H497" i="5" s="1"/>
  <c r="E497" i="5"/>
  <c r="D497" i="5"/>
  <c r="C497" i="5"/>
  <c r="B497" i="5"/>
  <c r="A497" i="5"/>
  <c r="F496" i="5"/>
  <c r="H496" i="5" s="1"/>
  <c r="E496" i="5"/>
  <c r="D496" i="5"/>
  <c r="C496" i="5"/>
  <c r="B496" i="5"/>
  <c r="A496" i="5"/>
  <c r="F495" i="5"/>
  <c r="H495" i="5" s="1"/>
  <c r="E495" i="5"/>
  <c r="D495" i="5"/>
  <c r="C495" i="5"/>
  <c r="B495" i="5"/>
  <c r="A495" i="5"/>
  <c r="F494" i="5"/>
  <c r="H494" i="5" s="1"/>
  <c r="E494" i="5"/>
  <c r="D494" i="5"/>
  <c r="C494" i="5"/>
  <c r="B494" i="5"/>
  <c r="A494" i="5"/>
  <c r="F493" i="5"/>
  <c r="H493" i="5" s="1"/>
  <c r="E493" i="5"/>
  <c r="D493" i="5"/>
  <c r="C493" i="5"/>
  <c r="B493" i="5"/>
  <c r="A493" i="5"/>
  <c r="F492" i="5"/>
  <c r="H492" i="5" s="1"/>
  <c r="E492" i="5"/>
  <c r="D492" i="5"/>
  <c r="C492" i="5"/>
  <c r="B492" i="5"/>
  <c r="A492" i="5"/>
  <c r="F491" i="5"/>
  <c r="H491" i="5" s="1"/>
  <c r="E491" i="5"/>
  <c r="D491" i="5"/>
  <c r="C491" i="5"/>
  <c r="B491" i="5"/>
  <c r="A491" i="5"/>
  <c r="F490" i="5"/>
  <c r="H490" i="5" s="1"/>
  <c r="E490" i="5"/>
  <c r="D490" i="5"/>
  <c r="C490" i="5"/>
  <c r="B490" i="5"/>
  <c r="A490" i="5"/>
  <c r="F489" i="5"/>
  <c r="H489" i="5" s="1"/>
  <c r="E489" i="5"/>
  <c r="D489" i="5"/>
  <c r="C489" i="5"/>
  <c r="B489" i="5"/>
  <c r="A489" i="5"/>
  <c r="F488" i="5"/>
  <c r="H488" i="5" s="1"/>
  <c r="E488" i="5"/>
  <c r="D488" i="5"/>
  <c r="C488" i="5"/>
  <c r="B488" i="5"/>
  <c r="A488" i="5"/>
  <c r="F487" i="5"/>
  <c r="H487" i="5" s="1"/>
  <c r="E487" i="5"/>
  <c r="D487" i="5"/>
  <c r="C487" i="5"/>
  <c r="B487" i="5"/>
  <c r="A487" i="5"/>
  <c r="F486" i="5"/>
  <c r="H486" i="5" s="1"/>
  <c r="E486" i="5"/>
  <c r="D486" i="5"/>
  <c r="C486" i="5"/>
  <c r="B486" i="5"/>
  <c r="A486" i="5"/>
  <c r="F485" i="5"/>
  <c r="H485" i="5" s="1"/>
  <c r="E485" i="5"/>
  <c r="D485" i="5"/>
  <c r="C485" i="5"/>
  <c r="B485" i="5"/>
  <c r="A485" i="5"/>
  <c r="F484" i="5"/>
  <c r="H484" i="5" s="1"/>
  <c r="E484" i="5"/>
  <c r="D484" i="5"/>
  <c r="C484" i="5"/>
  <c r="B484" i="5"/>
  <c r="A484" i="5"/>
  <c r="F483" i="5"/>
  <c r="H483" i="5" s="1"/>
  <c r="E483" i="5"/>
  <c r="D483" i="5"/>
  <c r="C483" i="5"/>
  <c r="B483" i="5"/>
  <c r="A483" i="5"/>
  <c r="F482" i="5"/>
  <c r="H482" i="5" s="1"/>
  <c r="E482" i="5"/>
  <c r="D482" i="5"/>
  <c r="C482" i="5"/>
  <c r="B482" i="5"/>
  <c r="A482" i="5"/>
  <c r="F481" i="5"/>
  <c r="H481" i="5" s="1"/>
  <c r="E481" i="5"/>
  <c r="D481" i="5"/>
  <c r="C481" i="5"/>
  <c r="B481" i="5"/>
  <c r="A481" i="5"/>
  <c r="F480" i="5"/>
  <c r="H480" i="5" s="1"/>
  <c r="E480" i="5"/>
  <c r="D480" i="5"/>
  <c r="C480" i="5"/>
  <c r="B480" i="5"/>
  <c r="A480" i="5"/>
  <c r="F479" i="5"/>
  <c r="H479" i="5" s="1"/>
  <c r="E479" i="5"/>
  <c r="D479" i="5"/>
  <c r="C479" i="5"/>
  <c r="B479" i="5"/>
  <c r="A479" i="5"/>
  <c r="F478" i="5"/>
  <c r="H478" i="5" s="1"/>
  <c r="E478" i="5"/>
  <c r="D478" i="5"/>
  <c r="C478" i="5"/>
  <c r="B478" i="5"/>
  <c r="A478" i="5"/>
  <c r="F477" i="5"/>
  <c r="H477" i="5" s="1"/>
  <c r="E477" i="5"/>
  <c r="D477" i="5"/>
  <c r="C477" i="5"/>
  <c r="B477" i="5"/>
  <c r="A477" i="5"/>
  <c r="F476" i="5"/>
  <c r="H476" i="5" s="1"/>
  <c r="E476" i="5"/>
  <c r="D476" i="5"/>
  <c r="C476" i="5"/>
  <c r="B476" i="5"/>
  <c r="A476" i="5"/>
  <c r="F475" i="5"/>
  <c r="H475" i="5" s="1"/>
  <c r="E475" i="5"/>
  <c r="D475" i="5"/>
  <c r="C475" i="5"/>
  <c r="B475" i="5"/>
  <c r="A475" i="5"/>
  <c r="F474" i="5"/>
  <c r="H474" i="5" s="1"/>
  <c r="E474" i="5"/>
  <c r="D474" i="5"/>
  <c r="C474" i="5"/>
  <c r="B474" i="5"/>
  <c r="A474" i="5"/>
  <c r="F473" i="5"/>
  <c r="H473" i="5" s="1"/>
  <c r="E473" i="5"/>
  <c r="D473" i="5"/>
  <c r="C473" i="5"/>
  <c r="B473" i="5"/>
  <c r="A473" i="5"/>
  <c r="F472" i="5"/>
  <c r="H472" i="5" s="1"/>
  <c r="E472" i="5"/>
  <c r="D472" i="5"/>
  <c r="C472" i="5"/>
  <c r="B472" i="5"/>
  <c r="A472" i="5"/>
  <c r="F471" i="5"/>
  <c r="H471" i="5" s="1"/>
  <c r="E471" i="5"/>
  <c r="D471" i="5"/>
  <c r="C471" i="5"/>
  <c r="B471" i="5"/>
  <c r="A471" i="5"/>
  <c r="F470" i="5"/>
  <c r="H470" i="5" s="1"/>
  <c r="E470" i="5"/>
  <c r="D470" i="5"/>
  <c r="C470" i="5"/>
  <c r="B470" i="5"/>
  <c r="A470" i="5"/>
  <c r="F469" i="5"/>
  <c r="H469" i="5" s="1"/>
  <c r="E469" i="5"/>
  <c r="D469" i="5"/>
  <c r="C469" i="5"/>
  <c r="B469" i="5"/>
  <c r="A469" i="5"/>
  <c r="F468" i="5"/>
  <c r="H468" i="5" s="1"/>
  <c r="E468" i="5"/>
  <c r="D468" i="5"/>
  <c r="C468" i="5"/>
  <c r="B468" i="5"/>
  <c r="A468" i="5"/>
  <c r="F467" i="5"/>
  <c r="H467" i="5" s="1"/>
  <c r="E467" i="5"/>
  <c r="D467" i="5"/>
  <c r="C467" i="5"/>
  <c r="B467" i="5"/>
  <c r="A467" i="5"/>
  <c r="F466" i="5"/>
  <c r="H466" i="5" s="1"/>
  <c r="E466" i="5"/>
  <c r="D466" i="5"/>
  <c r="C466" i="5"/>
  <c r="B466" i="5"/>
  <c r="A466" i="5"/>
  <c r="F465" i="5"/>
  <c r="H465" i="5" s="1"/>
  <c r="E465" i="5"/>
  <c r="D465" i="5"/>
  <c r="C465" i="5"/>
  <c r="B465" i="5"/>
  <c r="A465" i="5"/>
  <c r="F464" i="5"/>
  <c r="H464" i="5" s="1"/>
  <c r="E464" i="5"/>
  <c r="D464" i="5"/>
  <c r="C464" i="5"/>
  <c r="B464" i="5"/>
  <c r="A464" i="5"/>
  <c r="F463" i="5"/>
  <c r="H463" i="5" s="1"/>
  <c r="E463" i="5"/>
  <c r="D463" i="5"/>
  <c r="C463" i="5"/>
  <c r="B463" i="5"/>
  <c r="A463" i="5"/>
  <c r="F462" i="5"/>
  <c r="H462" i="5" s="1"/>
  <c r="E462" i="5"/>
  <c r="D462" i="5"/>
  <c r="C462" i="5"/>
  <c r="B462" i="5"/>
  <c r="A462" i="5"/>
  <c r="F461" i="5"/>
  <c r="H461" i="5" s="1"/>
  <c r="E461" i="5"/>
  <c r="D461" i="5"/>
  <c r="C461" i="5"/>
  <c r="B461" i="5"/>
  <c r="A461" i="5"/>
  <c r="F460" i="5"/>
  <c r="H460" i="5" s="1"/>
  <c r="E460" i="5"/>
  <c r="D460" i="5"/>
  <c r="C460" i="5"/>
  <c r="B460" i="5"/>
  <c r="A460" i="5"/>
  <c r="F459" i="5"/>
  <c r="H459" i="5" s="1"/>
  <c r="E459" i="5"/>
  <c r="D459" i="5"/>
  <c r="C459" i="5"/>
  <c r="B459" i="5"/>
  <c r="A459" i="5"/>
  <c r="F458" i="5"/>
  <c r="H458" i="5" s="1"/>
  <c r="E458" i="5"/>
  <c r="D458" i="5"/>
  <c r="C458" i="5"/>
  <c r="B458" i="5"/>
  <c r="A458" i="5"/>
  <c r="F457" i="5"/>
  <c r="H457" i="5" s="1"/>
  <c r="E457" i="5"/>
  <c r="D457" i="5"/>
  <c r="C457" i="5"/>
  <c r="B457" i="5"/>
  <c r="A457" i="5"/>
  <c r="F456" i="5"/>
  <c r="H456" i="5" s="1"/>
  <c r="E456" i="5"/>
  <c r="D456" i="5"/>
  <c r="C456" i="5"/>
  <c r="B456" i="5"/>
  <c r="A456" i="5"/>
  <c r="F455" i="5"/>
  <c r="H455" i="5" s="1"/>
  <c r="E455" i="5"/>
  <c r="D455" i="5"/>
  <c r="C455" i="5"/>
  <c r="B455" i="5"/>
  <c r="A455" i="5"/>
  <c r="F454" i="5"/>
  <c r="H454" i="5" s="1"/>
  <c r="E454" i="5"/>
  <c r="D454" i="5"/>
  <c r="C454" i="5"/>
  <c r="B454" i="5"/>
  <c r="A454" i="5"/>
  <c r="F453" i="5"/>
  <c r="H453" i="5" s="1"/>
  <c r="E453" i="5"/>
  <c r="D453" i="5"/>
  <c r="C453" i="5"/>
  <c r="B453" i="5"/>
  <c r="A453" i="5"/>
  <c r="F452" i="5"/>
  <c r="H452" i="5" s="1"/>
  <c r="E452" i="5"/>
  <c r="D452" i="5"/>
  <c r="C452" i="5"/>
  <c r="B452" i="5"/>
  <c r="A452" i="5"/>
  <c r="F451" i="5"/>
  <c r="H451" i="5" s="1"/>
  <c r="E451" i="5"/>
  <c r="D451" i="5"/>
  <c r="C451" i="5"/>
  <c r="B451" i="5"/>
  <c r="A451" i="5"/>
  <c r="F450" i="5"/>
  <c r="H450" i="5" s="1"/>
  <c r="E450" i="5"/>
  <c r="D450" i="5"/>
  <c r="C450" i="5"/>
  <c r="B450" i="5"/>
  <c r="A450" i="5"/>
  <c r="F449" i="5"/>
  <c r="H449" i="5" s="1"/>
  <c r="E449" i="5"/>
  <c r="D449" i="5"/>
  <c r="C449" i="5"/>
  <c r="B449" i="5"/>
  <c r="A449" i="5"/>
  <c r="F448" i="5"/>
  <c r="H448" i="5" s="1"/>
  <c r="E448" i="5"/>
  <c r="D448" i="5"/>
  <c r="C448" i="5"/>
  <c r="B448" i="5"/>
  <c r="A448" i="5"/>
  <c r="F447" i="5"/>
  <c r="H447" i="5" s="1"/>
  <c r="E447" i="5"/>
  <c r="D447" i="5"/>
  <c r="C447" i="5"/>
  <c r="B447" i="5"/>
  <c r="A447" i="5"/>
  <c r="F446" i="5"/>
  <c r="H446" i="5" s="1"/>
  <c r="E446" i="5"/>
  <c r="D446" i="5"/>
  <c r="C446" i="5"/>
  <c r="B446" i="5"/>
  <c r="A446" i="5"/>
  <c r="F445" i="5"/>
  <c r="H445" i="5" s="1"/>
  <c r="E445" i="5"/>
  <c r="D445" i="5"/>
  <c r="C445" i="5"/>
  <c r="B445" i="5"/>
  <c r="A445" i="5"/>
  <c r="F444" i="5"/>
  <c r="H444" i="5" s="1"/>
  <c r="E444" i="5"/>
  <c r="D444" i="5"/>
  <c r="C444" i="5"/>
  <c r="B444" i="5"/>
  <c r="A444" i="5"/>
  <c r="F443" i="5"/>
  <c r="H443" i="5" s="1"/>
  <c r="E443" i="5"/>
  <c r="D443" i="5"/>
  <c r="C443" i="5"/>
  <c r="B443" i="5"/>
  <c r="A443" i="5"/>
  <c r="F442" i="5"/>
  <c r="H442" i="5" s="1"/>
  <c r="E442" i="5"/>
  <c r="D442" i="5"/>
  <c r="C442" i="5"/>
  <c r="B442" i="5"/>
  <c r="A442" i="5"/>
  <c r="F441" i="5"/>
  <c r="H441" i="5" s="1"/>
  <c r="E441" i="5"/>
  <c r="D441" i="5"/>
  <c r="C441" i="5"/>
  <c r="B441" i="5"/>
  <c r="A441" i="5"/>
  <c r="F440" i="5"/>
  <c r="H440" i="5" s="1"/>
  <c r="E440" i="5"/>
  <c r="D440" i="5"/>
  <c r="C440" i="5"/>
  <c r="B440" i="5"/>
  <c r="A440" i="5"/>
  <c r="F439" i="5"/>
  <c r="H439" i="5" s="1"/>
  <c r="E439" i="5"/>
  <c r="D439" i="5"/>
  <c r="C439" i="5"/>
  <c r="B439" i="5"/>
  <c r="A439" i="5"/>
  <c r="F438" i="5"/>
  <c r="H438" i="5" s="1"/>
  <c r="E438" i="5"/>
  <c r="D438" i="5"/>
  <c r="C438" i="5"/>
  <c r="B438" i="5"/>
  <c r="A438" i="5"/>
  <c r="F437" i="5"/>
  <c r="H437" i="5" s="1"/>
  <c r="E437" i="5"/>
  <c r="D437" i="5"/>
  <c r="C437" i="5"/>
  <c r="B437" i="5"/>
  <c r="A437" i="5"/>
  <c r="F436" i="5"/>
  <c r="H436" i="5" s="1"/>
  <c r="E436" i="5"/>
  <c r="D436" i="5"/>
  <c r="C436" i="5"/>
  <c r="B436" i="5"/>
  <c r="A436" i="5"/>
  <c r="F435" i="5"/>
  <c r="H435" i="5" s="1"/>
  <c r="E435" i="5"/>
  <c r="D435" i="5"/>
  <c r="C435" i="5"/>
  <c r="B435" i="5"/>
  <c r="A435" i="5"/>
  <c r="F434" i="5"/>
  <c r="H434" i="5" s="1"/>
  <c r="E434" i="5"/>
  <c r="D434" i="5"/>
  <c r="C434" i="5"/>
  <c r="B434" i="5"/>
  <c r="A434" i="5"/>
  <c r="F433" i="5"/>
  <c r="H433" i="5" s="1"/>
  <c r="E433" i="5"/>
  <c r="D433" i="5"/>
  <c r="C433" i="5"/>
  <c r="B433" i="5"/>
  <c r="A433" i="5"/>
  <c r="F432" i="5"/>
  <c r="H432" i="5" s="1"/>
  <c r="E432" i="5"/>
  <c r="D432" i="5"/>
  <c r="C432" i="5"/>
  <c r="B432" i="5"/>
  <c r="A432" i="5"/>
  <c r="F431" i="5"/>
  <c r="H431" i="5" s="1"/>
  <c r="E431" i="5"/>
  <c r="D431" i="5"/>
  <c r="C431" i="5"/>
  <c r="B431" i="5"/>
  <c r="A431" i="5"/>
  <c r="F430" i="5"/>
  <c r="H430" i="5" s="1"/>
  <c r="E430" i="5"/>
  <c r="D430" i="5"/>
  <c r="C430" i="5"/>
  <c r="B430" i="5"/>
  <c r="A430" i="5"/>
  <c r="F429" i="5"/>
  <c r="H429" i="5" s="1"/>
  <c r="E429" i="5"/>
  <c r="D429" i="5"/>
  <c r="C429" i="5"/>
  <c r="B429" i="5"/>
  <c r="A429" i="5"/>
  <c r="F428" i="5"/>
  <c r="H428" i="5" s="1"/>
  <c r="E428" i="5"/>
  <c r="D428" i="5"/>
  <c r="C428" i="5"/>
  <c r="B428" i="5"/>
  <c r="A428" i="5"/>
  <c r="F427" i="5"/>
  <c r="H427" i="5" s="1"/>
  <c r="E427" i="5"/>
  <c r="D427" i="5"/>
  <c r="C427" i="5"/>
  <c r="B427" i="5"/>
  <c r="A427" i="5"/>
  <c r="F426" i="5"/>
  <c r="H426" i="5" s="1"/>
  <c r="E426" i="5"/>
  <c r="D426" i="5"/>
  <c r="C426" i="5"/>
  <c r="B426" i="5"/>
  <c r="A426" i="5"/>
  <c r="F425" i="5"/>
  <c r="H425" i="5" s="1"/>
  <c r="E425" i="5"/>
  <c r="D425" i="5"/>
  <c r="C425" i="5"/>
  <c r="B425" i="5"/>
  <c r="A425" i="5"/>
  <c r="F424" i="5"/>
  <c r="H424" i="5" s="1"/>
  <c r="E424" i="5"/>
  <c r="D424" i="5"/>
  <c r="C424" i="5"/>
  <c r="B424" i="5"/>
  <c r="A424" i="5"/>
  <c r="F423" i="5"/>
  <c r="H423" i="5" s="1"/>
  <c r="E423" i="5"/>
  <c r="D423" i="5"/>
  <c r="C423" i="5"/>
  <c r="B423" i="5"/>
  <c r="A423" i="5"/>
  <c r="F422" i="5"/>
  <c r="H422" i="5" s="1"/>
  <c r="E422" i="5"/>
  <c r="D422" i="5"/>
  <c r="C422" i="5"/>
  <c r="B422" i="5"/>
  <c r="A422" i="5"/>
  <c r="F421" i="5"/>
  <c r="H421" i="5" s="1"/>
  <c r="E421" i="5"/>
  <c r="D421" i="5"/>
  <c r="C421" i="5"/>
  <c r="B421" i="5"/>
  <c r="A421" i="5"/>
  <c r="F420" i="5"/>
  <c r="H420" i="5" s="1"/>
  <c r="E420" i="5"/>
  <c r="D420" i="5"/>
  <c r="C420" i="5"/>
  <c r="B420" i="5"/>
  <c r="A420" i="5"/>
  <c r="F419" i="5"/>
  <c r="H419" i="5" s="1"/>
  <c r="E419" i="5"/>
  <c r="D419" i="5"/>
  <c r="C419" i="5"/>
  <c r="B419" i="5"/>
  <c r="A419" i="5"/>
  <c r="F418" i="5"/>
  <c r="H418" i="5" s="1"/>
  <c r="E418" i="5"/>
  <c r="D418" i="5"/>
  <c r="C418" i="5"/>
  <c r="B418" i="5"/>
  <c r="A418" i="5"/>
  <c r="F417" i="5"/>
  <c r="H417" i="5" s="1"/>
  <c r="E417" i="5"/>
  <c r="D417" i="5"/>
  <c r="C417" i="5"/>
  <c r="B417" i="5"/>
  <c r="A417" i="5"/>
  <c r="F416" i="5"/>
  <c r="H416" i="5" s="1"/>
  <c r="E416" i="5"/>
  <c r="D416" i="5"/>
  <c r="C416" i="5"/>
  <c r="B416" i="5"/>
  <c r="A416" i="5"/>
  <c r="F415" i="5"/>
  <c r="H415" i="5" s="1"/>
  <c r="E415" i="5"/>
  <c r="D415" i="5"/>
  <c r="C415" i="5"/>
  <c r="B415" i="5"/>
  <c r="A415" i="5"/>
  <c r="F414" i="5"/>
  <c r="H414" i="5" s="1"/>
  <c r="E414" i="5"/>
  <c r="D414" i="5"/>
  <c r="C414" i="5"/>
  <c r="B414" i="5"/>
  <c r="A414" i="5"/>
  <c r="F413" i="5"/>
  <c r="H413" i="5" s="1"/>
  <c r="E413" i="5"/>
  <c r="D413" i="5"/>
  <c r="C413" i="5"/>
  <c r="B413" i="5"/>
  <c r="A413" i="5"/>
  <c r="F412" i="5"/>
  <c r="H412" i="5" s="1"/>
  <c r="E412" i="5"/>
  <c r="D412" i="5"/>
  <c r="C412" i="5"/>
  <c r="B412" i="5"/>
  <c r="A412" i="5"/>
  <c r="F411" i="5"/>
  <c r="H411" i="5" s="1"/>
  <c r="E411" i="5"/>
  <c r="D411" i="5"/>
  <c r="C411" i="5"/>
  <c r="B411" i="5"/>
  <c r="A411" i="5"/>
  <c r="F410" i="5"/>
  <c r="H410" i="5" s="1"/>
  <c r="E410" i="5"/>
  <c r="D410" i="5"/>
  <c r="C410" i="5"/>
  <c r="B410" i="5"/>
  <c r="A410" i="5"/>
  <c r="F409" i="5"/>
  <c r="H409" i="5" s="1"/>
  <c r="E409" i="5"/>
  <c r="D409" i="5"/>
  <c r="C409" i="5"/>
  <c r="B409" i="5"/>
  <c r="A409" i="5"/>
  <c r="F408" i="5"/>
  <c r="H408" i="5" s="1"/>
  <c r="E408" i="5"/>
  <c r="D408" i="5"/>
  <c r="C408" i="5"/>
  <c r="B408" i="5"/>
  <c r="A408" i="5"/>
  <c r="F407" i="5"/>
  <c r="H407" i="5" s="1"/>
  <c r="E407" i="5"/>
  <c r="D407" i="5"/>
  <c r="C407" i="5"/>
  <c r="B407" i="5"/>
  <c r="A407" i="5"/>
  <c r="F406" i="5"/>
  <c r="H406" i="5" s="1"/>
  <c r="E406" i="5"/>
  <c r="D406" i="5"/>
  <c r="C406" i="5"/>
  <c r="B406" i="5"/>
  <c r="A406" i="5"/>
  <c r="F405" i="5"/>
  <c r="H405" i="5" s="1"/>
  <c r="E405" i="5"/>
  <c r="D405" i="5"/>
  <c r="C405" i="5"/>
  <c r="B405" i="5"/>
  <c r="A405" i="5"/>
  <c r="F404" i="5"/>
  <c r="H404" i="5" s="1"/>
  <c r="E404" i="5"/>
  <c r="D404" i="5"/>
  <c r="C404" i="5"/>
  <c r="B404" i="5"/>
  <c r="A404" i="5"/>
  <c r="F403" i="5"/>
  <c r="H403" i="5" s="1"/>
  <c r="E403" i="5"/>
  <c r="D403" i="5"/>
  <c r="C403" i="5"/>
  <c r="B403" i="5"/>
  <c r="A403" i="5"/>
  <c r="F402" i="5"/>
  <c r="H402" i="5" s="1"/>
  <c r="E402" i="5"/>
  <c r="D402" i="5"/>
  <c r="C402" i="5"/>
  <c r="B402" i="5"/>
  <c r="A402" i="5"/>
  <c r="F401" i="5"/>
  <c r="H401" i="5" s="1"/>
  <c r="E401" i="5"/>
  <c r="D401" i="5"/>
  <c r="C401" i="5"/>
  <c r="B401" i="5"/>
  <c r="A401" i="5"/>
  <c r="F400" i="5"/>
  <c r="H400" i="5" s="1"/>
  <c r="E400" i="5"/>
  <c r="D400" i="5"/>
  <c r="C400" i="5"/>
  <c r="B400" i="5"/>
  <c r="A400" i="5"/>
  <c r="F399" i="5"/>
  <c r="H399" i="5" s="1"/>
  <c r="E399" i="5"/>
  <c r="D399" i="5"/>
  <c r="C399" i="5"/>
  <c r="B399" i="5"/>
  <c r="A399" i="5"/>
  <c r="F398" i="5"/>
  <c r="H398" i="5" s="1"/>
  <c r="E398" i="5"/>
  <c r="D398" i="5"/>
  <c r="C398" i="5"/>
  <c r="B398" i="5"/>
  <c r="A398" i="5"/>
  <c r="F397" i="5"/>
  <c r="H397" i="5" s="1"/>
  <c r="E397" i="5"/>
  <c r="D397" i="5"/>
  <c r="C397" i="5"/>
  <c r="B397" i="5"/>
  <c r="A397" i="5"/>
  <c r="F396" i="5"/>
  <c r="H396" i="5" s="1"/>
  <c r="E396" i="5"/>
  <c r="D396" i="5"/>
  <c r="C396" i="5"/>
  <c r="B396" i="5"/>
  <c r="A396" i="5"/>
  <c r="F395" i="5"/>
  <c r="H395" i="5" s="1"/>
  <c r="E395" i="5"/>
  <c r="D395" i="5"/>
  <c r="C395" i="5"/>
  <c r="B395" i="5"/>
  <c r="A395" i="5"/>
  <c r="F394" i="5"/>
  <c r="H394" i="5" s="1"/>
  <c r="E394" i="5"/>
  <c r="D394" i="5"/>
  <c r="C394" i="5"/>
  <c r="B394" i="5"/>
  <c r="A394" i="5"/>
  <c r="F393" i="5"/>
  <c r="H393" i="5" s="1"/>
  <c r="E393" i="5"/>
  <c r="D393" i="5"/>
  <c r="C393" i="5"/>
  <c r="B393" i="5"/>
  <c r="A393" i="5"/>
  <c r="F392" i="5"/>
  <c r="H392" i="5" s="1"/>
  <c r="E392" i="5"/>
  <c r="D392" i="5"/>
  <c r="C392" i="5"/>
  <c r="B392" i="5"/>
  <c r="A392" i="5"/>
  <c r="F391" i="5"/>
  <c r="H391" i="5" s="1"/>
  <c r="E391" i="5"/>
  <c r="D391" i="5"/>
  <c r="C391" i="5"/>
  <c r="B391" i="5"/>
  <c r="A391" i="5"/>
  <c r="F390" i="5"/>
  <c r="H390" i="5" s="1"/>
  <c r="E390" i="5"/>
  <c r="D390" i="5"/>
  <c r="C390" i="5"/>
  <c r="B390" i="5"/>
  <c r="A390" i="5"/>
  <c r="F389" i="5"/>
  <c r="H389" i="5" s="1"/>
  <c r="E389" i="5"/>
  <c r="D389" i="5"/>
  <c r="C389" i="5"/>
  <c r="B389" i="5"/>
  <c r="A389" i="5"/>
  <c r="F388" i="5"/>
  <c r="H388" i="5" s="1"/>
  <c r="E388" i="5"/>
  <c r="D388" i="5"/>
  <c r="C388" i="5"/>
  <c r="B388" i="5"/>
  <c r="A388" i="5"/>
  <c r="F387" i="5"/>
  <c r="H387" i="5" s="1"/>
  <c r="E387" i="5"/>
  <c r="D387" i="5"/>
  <c r="C387" i="5"/>
  <c r="B387" i="5"/>
  <c r="A387" i="5"/>
  <c r="F386" i="5"/>
  <c r="H386" i="5" s="1"/>
  <c r="E386" i="5"/>
  <c r="D386" i="5"/>
  <c r="C386" i="5"/>
  <c r="B386" i="5"/>
  <c r="A386" i="5"/>
  <c r="F385" i="5"/>
  <c r="H385" i="5" s="1"/>
  <c r="E385" i="5"/>
  <c r="D385" i="5"/>
  <c r="C385" i="5"/>
  <c r="B385" i="5"/>
  <c r="A385" i="5"/>
  <c r="F384" i="5"/>
  <c r="H384" i="5" s="1"/>
  <c r="E384" i="5"/>
  <c r="D384" i="5"/>
  <c r="C384" i="5"/>
  <c r="B384" i="5"/>
  <c r="A384" i="5"/>
  <c r="F383" i="5"/>
  <c r="H383" i="5" s="1"/>
  <c r="E383" i="5"/>
  <c r="D383" i="5"/>
  <c r="C383" i="5"/>
  <c r="B383" i="5"/>
  <c r="A383" i="5"/>
  <c r="F382" i="5"/>
  <c r="H382" i="5" s="1"/>
  <c r="E382" i="5"/>
  <c r="D382" i="5"/>
  <c r="C382" i="5"/>
  <c r="B382" i="5"/>
  <c r="A382" i="5"/>
  <c r="F381" i="5"/>
  <c r="H381" i="5" s="1"/>
  <c r="E381" i="5"/>
  <c r="D381" i="5"/>
  <c r="C381" i="5"/>
  <c r="B381" i="5"/>
  <c r="A381" i="5"/>
  <c r="F380" i="5"/>
  <c r="H380" i="5" s="1"/>
  <c r="E380" i="5"/>
  <c r="D380" i="5"/>
  <c r="C380" i="5"/>
  <c r="B380" i="5"/>
  <c r="A380" i="5"/>
  <c r="F379" i="5"/>
  <c r="H379" i="5" s="1"/>
  <c r="E379" i="5"/>
  <c r="D379" i="5"/>
  <c r="C379" i="5"/>
  <c r="B379" i="5"/>
  <c r="A379" i="5"/>
  <c r="F378" i="5"/>
  <c r="H378" i="5" s="1"/>
  <c r="E378" i="5"/>
  <c r="D378" i="5"/>
  <c r="C378" i="5"/>
  <c r="B378" i="5"/>
  <c r="A378" i="5"/>
  <c r="F377" i="5"/>
  <c r="H377" i="5" s="1"/>
  <c r="E377" i="5"/>
  <c r="D377" i="5"/>
  <c r="C377" i="5"/>
  <c r="B377" i="5"/>
  <c r="A377" i="5"/>
  <c r="F376" i="5"/>
  <c r="H376" i="5" s="1"/>
  <c r="E376" i="5"/>
  <c r="D376" i="5"/>
  <c r="C376" i="5"/>
  <c r="B376" i="5"/>
  <c r="A376" i="5"/>
  <c r="F375" i="5"/>
  <c r="H375" i="5" s="1"/>
  <c r="E375" i="5"/>
  <c r="D375" i="5"/>
  <c r="C375" i="5"/>
  <c r="B375" i="5"/>
  <c r="A375" i="5"/>
  <c r="F374" i="5"/>
  <c r="H374" i="5" s="1"/>
  <c r="E374" i="5"/>
  <c r="D374" i="5"/>
  <c r="C374" i="5"/>
  <c r="B374" i="5"/>
  <c r="A374" i="5"/>
  <c r="F373" i="5"/>
  <c r="H373" i="5" s="1"/>
  <c r="E373" i="5"/>
  <c r="D373" i="5"/>
  <c r="C373" i="5"/>
  <c r="B373" i="5"/>
  <c r="A373" i="5"/>
  <c r="F372" i="5"/>
  <c r="H372" i="5" s="1"/>
  <c r="E372" i="5"/>
  <c r="D372" i="5"/>
  <c r="C372" i="5"/>
  <c r="B372" i="5"/>
  <c r="A372" i="5"/>
  <c r="F371" i="5"/>
  <c r="H371" i="5" s="1"/>
  <c r="E371" i="5"/>
  <c r="D371" i="5"/>
  <c r="C371" i="5"/>
  <c r="B371" i="5"/>
  <c r="A371" i="5"/>
  <c r="F370" i="5"/>
  <c r="H370" i="5" s="1"/>
  <c r="E370" i="5"/>
  <c r="D370" i="5"/>
  <c r="C370" i="5"/>
  <c r="B370" i="5"/>
  <c r="A370" i="5"/>
  <c r="F369" i="5"/>
  <c r="H369" i="5" s="1"/>
  <c r="E369" i="5"/>
  <c r="D369" i="5"/>
  <c r="C369" i="5"/>
  <c r="B369" i="5"/>
  <c r="A369" i="5"/>
  <c r="F368" i="5"/>
  <c r="H368" i="5" s="1"/>
  <c r="E368" i="5"/>
  <c r="D368" i="5"/>
  <c r="C368" i="5"/>
  <c r="B368" i="5"/>
  <c r="A368" i="5"/>
  <c r="F367" i="5"/>
  <c r="H367" i="5" s="1"/>
  <c r="E367" i="5"/>
  <c r="D367" i="5"/>
  <c r="C367" i="5"/>
  <c r="B367" i="5"/>
  <c r="A367" i="5"/>
  <c r="F366" i="5"/>
  <c r="H366" i="5" s="1"/>
  <c r="E366" i="5"/>
  <c r="D366" i="5"/>
  <c r="C366" i="5"/>
  <c r="B366" i="5"/>
  <c r="A366" i="5"/>
  <c r="F365" i="5"/>
  <c r="H365" i="5" s="1"/>
  <c r="E365" i="5"/>
  <c r="D365" i="5"/>
  <c r="C365" i="5"/>
  <c r="B365" i="5"/>
  <c r="A365" i="5"/>
  <c r="F364" i="5"/>
  <c r="H364" i="5" s="1"/>
  <c r="E364" i="5"/>
  <c r="D364" i="5"/>
  <c r="C364" i="5"/>
  <c r="B364" i="5"/>
  <c r="A364" i="5"/>
  <c r="F363" i="5"/>
  <c r="H363" i="5" s="1"/>
  <c r="E363" i="5"/>
  <c r="D363" i="5"/>
  <c r="C363" i="5"/>
  <c r="B363" i="5"/>
  <c r="A363" i="5"/>
  <c r="F362" i="5"/>
  <c r="H362" i="5" s="1"/>
  <c r="E362" i="5"/>
  <c r="D362" i="5"/>
  <c r="C362" i="5"/>
  <c r="B362" i="5"/>
  <c r="A362" i="5"/>
  <c r="F361" i="5"/>
  <c r="H361" i="5" s="1"/>
  <c r="E361" i="5"/>
  <c r="D361" i="5"/>
  <c r="C361" i="5"/>
  <c r="B361" i="5"/>
  <c r="A361" i="5"/>
  <c r="F360" i="5"/>
  <c r="H360" i="5" s="1"/>
  <c r="E360" i="5"/>
  <c r="D360" i="5"/>
  <c r="C360" i="5"/>
  <c r="B360" i="5"/>
  <c r="A360" i="5"/>
  <c r="F359" i="5"/>
  <c r="H359" i="5" s="1"/>
  <c r="E359" i="5"/>
  <c r="D359" i="5"/>
  <c r="C359" i="5"/>
  <c r="B359" i="5"/>
  <c r="A359" i="5"/>
  <c r="F358" i="5"/>
  <c r="H358" i="5" s="1"/>
  <c r="E358" i="5"/>
  <c r="D358" i="5"/>
  <c r="C358" i="5"/>
  <c r="B358" i="5"/>
  <c r="A358" i="5"/>
  <c r="F357" i="5"/>
  <c r="H357" i="5" s="1"/>
  <c r="E357" i="5"/>
  <c r="D357" i="5"/>
  <c r="C357" i="5"/>
  <c r="B357" i="5"/>
  <c r="A357" i="5"/>
  <c r="F356" i="5"/>
  <c r="H356" i="5" s="1"/>
  <c r="E356" i="5"/>
  <c r="D356" i="5"/>
  <c r="C356" i="5"/>
  <c r="B356" i="5"/>
  <c r="A356" i="5"/>
  <c r="F355" i="5"/>
  <c r="H355" i="5" s="1"/>
  <c r="E355" i="5"/>
  <c r="D355" i="5"/>
  <c r="C355" i="5"/>
  <c r="B355" i="5"/>
  <c r="A355" i="5"/>
  <c r="F354" i="5"/>
  <c r="H354" i="5" s="1"/>
  <c r="E354" i="5"/>
  <c r="D354" i="5"/>
  <c r="C354" i="5"/>
  <c r="B354" i="5"/>
  <c r="A354" i="5"/>
  <c r="F353" i="5"/>
  <c r="H353" i="5" s="1"/>
  <c r="E353" i="5"/>
  <c r="D353" i="5"/>
  <c r="C353" i="5"/>
  <c r="B353" i="5"/>
  <c r="A353" i="5"/>
  <c r="F352" i="5"/>
  <c r="H352" i="5" s="1"/>
  <c r="E352" i="5"/>
  <c r="D352" i="5"/>
  <c r="C352" i="5"/>
  <c r="B352" i="5"/>
  <c r="A352" i="5"/>
  <c r="F351" i="5"/>
  <c r="H351" i="5" s="1"/>
  <c r="E351" i="5"/>
  <c r="D351" i="5"/>
  <c r="C351" i="5"/>
  <c r="B351" i="5"/>
  <c r="A351" i="5"/>
  <c r="F350" i="5"/>
  <c r="H350" i="5" s="1"/>
  <c r="E350" i="5"/>
  <c r="D350" i="5"/>
  <c r="C350" i="5"/>
  <c r="B350" i="5"/>
  <c r="A350" i="5"/>
  <c r="F349" i="5"/>
  <c r="H349" i="5" s="1"/>
  <c r="E349" i="5"/>
  <c r="D349" i="5"/>
  <c r="C349" i="5"/>
  <c r="B349" i="5"/>
  <c r="A349" i="5"/>
  <c r="F348" i="5"/>
  <c r="H348" i="5" s="1"/>
  <c r="E348" i="5"/>
  <c r="D348" i="5"/>
  <c r="C348" i="5"/>
  <c r="B348" i="5"/>
  <c r="A348" i="5"/>
  <c r="F347" i="5"/>
  <c r="H347" i="5" s="1"/>
  <c r="E347" i="5"/>
  <c r="D347" i="5"/>
  <c r="C347" i="5"/>
  <c r="B347" i="5"/>
  <c r="A347" i="5"/>
  <c r="F346" i="5"/>
  <c r="H346" i="5" s="1"/>
  <c r="E346" i="5"/>
  <c r="D346" i="5"/>
  <c r="C346" i="5"/>
  <c r="B346" i="5"/>
  <c r="A346" i="5"/>
  <c r="F345" i="5"/>
  <c r="H345" i="5" s="1"/>
  <c r="E345" i="5"/>
  <c r="D345" i="5"/>
  <c r="C345" i="5"/>
  <c r="B345" i="5"/>
  <c r="A345" i="5"/>
  <c r="F344" i="5"/>
  <c r="H344" i="5" s="1"/>
  <c r="E344" i="5"/>
  <c r="D344" i="5"/>
  <c r="C344" i="5"/>
  <c r="B344" i="5"/>
  <c r="A344" i="5"/>
  <c r="F343" i="5"/>
  <c r="H343" i="5" s="1"/>
  <c r="E343" i="5"/>
  <c r="D343" i="5"/>
  <c r="C343" i="5"/>
  <c r="B343" i="5"/>
  <c r="A343" i="5"/>
  <c r="F342" i="5"/>
  <c r="H342" i="5" s="1"/>
  <c r="E342" i="5"/>
  <c r="D342" i="5"/>
  <c r="C342" i="5"/>
  <c r="B342" i="5"/>
  <c r="A342" i="5"/>
  <c r="F341" i="5"/>
  <c r="H341" i="5" s="1"/>
  <c r="E341" i="5"/>
  <c r="D341" i="5"/>
  <c r="C341" i="5"/>
  <c r="B341" i="5"/>
  <c r="A341" i="5"/>
  <c r="F340" i="5"/>
  <c r="H340" i="5" s="1"/>
  <c r="E340" i="5"/>
  <c r="D340" i="5"/>
  <c r="C340" i="5"/>
  <c r="B340" i="5"/>
  <c r="A340" i="5"/>
  <c r="F339" i="5"/>
  <c r="H339" i="5" s="1"/>
  <c r="E339" i="5"/>
  <c r="D339" i="5"/>
  <c r="C339" i="5"/>
  <c r="B339" i="5"/>
  <c r="A339" i="5"/>
  <c r="F338" i="5"/>
  <c r="H338" i="5" s="1"/>
  <c r="E338" i="5"/>
  <c r="D338" i="5"/>
  <c r="C338" i="5"/>
  <c r="B338" i="5"/>
  <c r="A338" i="5"/>
  <c r="F337" i="5"/>
  <c r="H337" i="5" s="1"/>
  <c r="E337" i="5"/>
  <c r="D337" i="5"/>
  <c r="C337" i="5"/>
  <c r="B337" i="5"/>
  <c r="A337" i="5"/>
  <c r="F336" i="5"/>
  <c r="H336" i="5" s="1"/>
  <c r="E336" i="5"/>
  <c r="D336" i="5"/>
  <c r="C336" i="5"/>
  <c r="B336" i="5"/>
  <c r="A336" i="5"/>
  <c r="F335" i="5"/>
  <c r="H335" i="5" s="1"/>
  <c r="E335" i="5"/>
  <c r="D335" i="5"/>
  <c r="C335" i="5"/>
  <c r="B335" i="5"/>
  <c r="A335" i="5"/>
  <c r="F334" i="5"/>
  <c r="H334" i="5" s="1"/>
  <c r="E334" i="5"/>
  <c r="D334" i="5"/>
  <c r="C334" i="5"/>
  <c r="B334" i="5"/>
  <c r="A334" i="5"/>
  <c r="F333" i="5"/>
  <c r="H333" i="5" s="1"/>
  <c r="E333" i="5"/>
  <c r="D333" i="5"/>
  <c r="C333" i="5"/>
  <c r="B333" i="5"/>
  <c r="A333" i="5"/>
  <c r="F332" i="5"/>
  <c r="H332" i="5" s="1"/>
  <c r="E332" i="5"/>
  <c r="D332" i="5"/>
  <c r="C332" i="5"/>
  <c r="B332" i="5"/>
  <c r="A332" i="5"/>
  <c r="F331" i="5"/>
  <c r="H331" i="5" s="1"/>
  <c r="E331" i="5"/>
  <c r="D331" i="5"/>
  <c r="C331" i="5"/>
  <c r="B331" i="5"/>
  <c r="A331" i="5"/>
  <c r="F330" i="5"/>
  <c r="H330" i="5" s="1"/>
  <c r="E330" i="5"/>
  <c r="D330" i="5"/>
  <c r="C330" i="5"/>
  <c r="B330" i="5"/>
  <c r="A330" i="5"/>
  <c r="F329" i="5"/>
  <c r="H329" i="5" s="1"/>
  <c r="E329" i="5"/>
  <c r="D329" i="5"/>
  <c r="C329" i="5"/>
  <c r="B329" i="5"/>
  <c r="A329" i="5"/>
  <c r="F328" i="5"/>
  <c r="H328" i="5" s="1"/>
  <c r="E328" i="5"/>
  <c r="D328" i="5"/>
  <c r="C328" i="5"/>
  <c r="B328" i="5"/>
  <c r="A328" i="5"/>
  <c r="F327" i="5"/>
  <c r="H327" i="5" s="1"/>
  <c r="E327" i="5"/>
  <c r="D327" i="5"/>
  <c r="C327" i="5"/>
  <c r="B327" i="5"/>
  <c r="A327" i="5"/>
  <c r="F326" i="5"/>
  <c r="H326" i="5" s="1"/>
  <c r="E326" i="5"/>
  <c r="D326" i="5"/>
  <c r="C326" i="5"/>
  <c r="B326" i="5"/>
  <c r="A326" i="5"/>
  <c r="F325" i="5"/>
  <c r="H325" i="5" s="1"/>
  <c r="E325" i="5"/>
  <c r="D325" i="5"/>
  <c r="C325" i="5"/>
  <c r="B325" i="5"/>
  <c r="A325" i="5"/>
  <c r="F324" i="5"/>
  <c r="H324" i="5" s="1"/>
  <c r="E324" i="5"/>
  <c r="D324" i="5"/>
  <c r="C324" i="5"/>
  <c r="B324" i="5"/>
  <c r="A324" i="5"/>
  <c r="F323" i="5"/>
  <c r="H323" i="5" s="1"/>
  <c r="E323" i="5"/>
  <c r="D323" i="5"/>
  <c r="C323" i="5"/>
  <c r="B323" i="5"/>
  <c r="A323" i="5"/>
  <c r="F322" i="5"/>
  <c r="H322" i="5" s="1"/>
  <c r="E322" i="5"/>
  <c r="D322" i="5"/>
  <c r="C322" i="5"/>
  <c r="B322" i="5"/>
  <c r="A322" i="5"/>
  <c r="F321" i="5"/>
  <c r="H321" i="5" s="1"/>
  <c r="E321" i="5"/>
  <c r="D321" i="5"/>
  <c r="C321" i="5"/>
  <c r="B321" i="5"/>
  <c r="A321" i="5"/>
  <c r="F320" i="5"/>
  <c r="H320" i="5" s="1"/>
  <c r="E320" i="5"/>
  <c r="D320" i="5"/>
  <c r="C320" i="5"/>
  <c r="B320" i="5"/>
  <c r="A320" i="5"/>
  <c r="F319" i="5"/>
  <c r="H319" i="5" s="1"/>
  <c r="E319" i="5"/>
  <c r="D319" i="5"/>
  <c r="C319" i="5"/>
  <c r="B319" i="5"/>
  <c r="A319" i="5"/>
  <c r="F318" i="5"/>
  <c r="H318" i="5" s="1"/>
  <c r="E318" i="5"/>
  <c r="D318" i="5"/>
  <c r="C318" i="5"/>
  <c r="B318" i="5"/>
  <c r="A318" i="5"/>
  <c r="F317" i="5"/>
  <c r="H317" i="5" s="1"/>
  <c r="E317" i="5"/>
  <c r="D317" i="5"/>
  <c r="C317" i="5"/>
  <c r="B317" i="5"/>
  <c r="A317" i="5"/>
  <c r="F316" i="5"/>
  <c r="H316" i="5" s="1"/>
  <c r="E316" i="5"/>
  <c r="D316" i="5"/>
  <c r="C316" i="5"/>
  <c r="B316" i="5"/>
  <c r="A316" i="5"/>
  <c r="F315" i="5"/>
  <c r="H315" i="5" s="1"/>
  <c r="E315" i="5"/>
  <c r="D315" i="5"/>
  <c r="C315" i="5"/>
  <c r="B315" i="5"/>
  <c r="A315" i="5"/>
  <c r="F314" i="5"/>
  <c r="H314" i="5" s="1"/>
  <c r="E314" i="5"/>
  <c r="D314" i="5"/>
  <c r="C314" i="5"/>
  <c r="B314" i="5"/>
  <c r="A314" i="5"/>
  <c r="F313" i="5"/>
  <c r="H313" i="5" s="1"/>
  <c r="E313" i="5"/>
  <c r="D313" i="5"/>
  <c r="C313" i="5"/>
  <c r="B313" i="5"/>
  <c r="A313" i="5"/>
  <c r="F312" i="5"/>
  <c r="H312" i="5" s="1"/>
  <c r="E312" i="5"/>
  <c r="D312" i="5"/>
  <c r="C312" i="5"/>
  <c r="B312" i="5"/>
  <c r="A312" i="5"/>
  <c r="F311" i="5"/>
  <c r="H311" i="5" s="1"/>
  <c r="E311" i="5"/>
  <c r="D311" i="5"/>
  <c r="C311" i="5"/>
  <c r="B311" i="5"/>
  <c r="A311" i="5"/>
  <c r="F310" i="5"/>
  <c r="H310" i="5" s="1"/>
  <c r="E310" i="5"/>
  <c r="D310" i="5"/>
  <c r="C310" i="5"/>
  <c r="B310" i="5"/>
  <c r="A310" i="5"/>
  <c r="F309" i="5"/>
  <c r="H309" i="5" s="1"/>
  <c r="E309" i="5"/>
  <c r="D309" i="5"/>
  <c r="C309" i="5"/>
  <c r="B309" i="5"/>
  <c r="A309" i="5"/>
  <c r="F308" i="5"/>
  <c r="H308" i="5" s="1"/>
  <c r="E308" i="5"/>
  <c r="D308" i="5"/>
  <c r="C308" i="5"/>
  <c r="B308" i="5"/>
  <c r="A308" i="5"/>
  <c r="F307" i="5"/>
  <c r="H307" i="5" s="1"/>
  <c r="E307" i="5"/>
  <c r="D307" i="5"/>
  <c r="C307" i="5"/>
  <c r="B307" i="5"/>
  <c r="A307" i="5"/>
  <c r="F306" i="5"/>
  <c r="H306" i="5" s="1"/>
  <c r="E306" i="5"/>
  <c r="D306" i="5"/>
  <c r="C306" i="5"/>
  <c r="B306" i="5"/>
  <c r="A306" i="5"/>
  <c r="F305" i="5"/>
  <c r="H305" i="5" s="1"/>
  <c r="E305" i="5"/>
  <c r="D305" i="5"/>
  <c r="C305" i="5"/>
  <c r="B305" i="5"/>
  <c r="A305" i="5"/>
  <c r="F304" i="5"/>
  <c r="H304" i="5" s="1"/>
  <c r="E304" i="5"/>
  <c r="D304" i="5"/>
  <c r="C304" i="5"/>
  <c r="B304" i="5"/>
  <c r="A304" i="5"/>
  <c r="F303" i="5"/>
  <c r="H303" i="5" s="1"/>
  <c r="E303" i="5"/>
  <c r="D303" i="5"/>
  <c r="C303" i="5"/>
  <c r="B303" i="5"/>
  <c r="A303" i="5"/>
  <c r="F302" i="5"/>
  <c r="H302" i="5" s="1"/>
  <c r="E302" i="5"/>
  <c r="D302" i="5"/>
  <c r="C302" i="5"/>
  <c r="B302" i="5"/>
  <c r="A302" i="5"/>
  <c r="F301" i="5"/>
  <c r="H301" i="5" s="1"/>
  <c r="E301" i="5"/>
  <c r="D301" i="5"/>
  <c r="C301" i="5"/>
  <c r="B301" i="5"/>
  <c r="A301" i="5"/>
  <c r="F300" i="5"/>
  <c r="H300" i="5" s="1"/>
  <c r="E300" i="5"/>
  <c r="D300" i="5"/>
  <c r="C300" i="5"/>
  <c r="B300" i="5"/>
  <c r="A300" i="5"/>
  <c r="F299" i="5"/>
  <c r="H299" i="5" s="1"/>
  <c r="E299" i="5"/>
  <c r="D299" i="5"/>
  <c r="C299" i="5"/>
  <c r="B299" i="5"/>
  <c r="A299" i="5"/>
  <c r="F298" i="5"/>
  <c r="H298" i="5" s="1"/>
  <c r="E298" i="5"/>
  <c r="D298" i="5"/>
  <c r="C298" i="5"/>
  <c r="B298" i="5"/>
  <c r="A298" i="5"/>
  <c r="F297" i="5"/>
  <c r="H297" i="5" s="1"/>
  <c r="E297" i="5"/>
  <c r="D297" i="5"/>
  <c r="C297" i="5"/>
  <c r="B297" i="5"/>
  <c r="A297" i="5"/>
  <c r="F296" i="5"/>
  <c r="H296" i="5" s="1"/>
  <c r="E296" i="5"/>
  <c r="D296" i="5"/>
  <c r="C296" i="5"/>
  <c r="B296" i="5"/>
  <c r="A296" i="5"/>
  <c r="F295" i="5"/>
  <c r="H295" i="5" s="1"/>
  <c r="E295" i="5"/>
  <c r="D295" i="5"/>
  <c r="C295" i="5"/>
  <c r="B295" i="5"/>
  <c r="A295" i="5"/>
  <c r="F294" i="5"/>
  <c r="H294" i="5" s="1"/>
  <c r="E294" i="5"/>
  <c r="D294" i="5"/>
  <c r="C294" i="5"/>
  <c r="B294" i="5"/>
  <c r="A294" i="5"/>
  <c r="F293" i="5"/>
  <c r="H293" i="5" s="1"/>
  <c r="E293" i="5"/>
  <c r="D293" i="5"/>
  <c r="C293" i="5"/>
  <c r="B293" i="5"/>
  <c r="A293" i="5"/>
  <c r="F292" i="5"/>
  <c r="H292" i="5" s="1"/>
  <c r="E292" i="5"/>
  <c r="D292" i="5"/>
  <c r="C292" i="5"/>
  <c r="B292" i="5"/>
  <c r="A292" i="5"/>
  <c r="F291" i="5"/>
  <c r="H291" i="5" s="1"/>
  <c r="E291" i="5"/>
  <c r="D291" i="5"/>
  <c r="C291" i="5"/>
  <c r="B291" i="5"/>
  <c r="A291" i="5"/>
  <c r="F290" i="5"/>
  <c r="H290" i="5" s="1"/>
  <c r="E290" i="5"/>
  <c r="D290" i="5"/>
  <c r="C290" i="5"/>
  <c r="B290" i="5"/>
  <c r="A290" i="5"/>
  <c r="F289" i="5"/>
  <c r="H289" i="5" s="1"/>
  <c r="E289" i="5"/>
  <c r="D289" i="5"/>
  <c r="C289" i="5"/>
  <c r="B289" i="5"/>
  <c r="A289" i="5"/>
  <c r="F288" i="5"/>
  <c r="H288" i="5" s="1"/>
  <c r="E288" i="5"/>
  <c r="D288" i="5"/>
  <c r="C288" i="5"/>
  <c r="B288" i="5"/>
  <c r="A288" i="5"/>
  <c r="F287" i="5"/>
  <c r="H287" i="5" s="1"/>
  <c r="E287" i="5"/>
  <c r="D287" i="5"/>
  <c r="C287" i="5"/>
  <c r="B287" i="5"/>
  <c r="A287" i="5"/>
  <c r="F286" i="5"/>
  <c r="H286" i="5" s="1"/>
  <c r="E286" i="5"/>
  <c r="D286" i="5"/>
  <c r="C286" i="5"/>
  <c r="B286" i="5"/>
  <c r="A286" i="5"/>
  <c r="F285" i="5"/>
  <c r="H285" i="5" s="1"/>
  <c r="E285" i="5"/>
  <c r="D285" i="5"/>
  <c r="C285" i="5"/>
  <c r="B285" i="5"/>
  <c r="A285" i="5"/>
  <c r="F284" i="5"/>
  <c r="H284" i="5" s="1"/>
  <c r="E284" i="5"/>
  <c r="D284" i="5"/>
  <c r="C284" i="5"/>
  <c r="B284" i="5"/>
  <c r="A284" i="5"/>
  <c r="F283" i="5"/>
  <c r="H283" i="5" s="1"/>
  <c r="E283" i="5"/>
  <c r="D283" i="5"/>
  <c r="C283" i="5"/>
  <c r="B283" i="5"/>
  <c r="A283" i="5"/>
  <c r="F282" i="5"/>
  <c r="H282" i="5" s="1"/>
  <c r="E282" i="5"/>
  <c r="D282" i="5"/>
  <c r="C282" i="5"/>
  <c r="B282" i="5"/>
  <c r="A282" i="5"/>
  <c r="F281" i="5"/>
  <c r="H281" i="5" s="1"/>
  <c r="E281" i="5"/>
  <c r="D281" i="5"/>
  <c r="C281" i="5"/>
  <c r="B281" i="5"/>
  <c r="A281" i="5"/>
  <c r="F280" i="5"/>
  <c r="H280" i="5" s="1"/>
  <c r="E280" i="5"/>
  <c r="D280" i="5"/>
  <c r="C280" i="5"/>
  <c r="B280" i="5"/>
  <c r="A280" i="5"/>
  <c r="F279" i="5"/>
  <c r="H279" i="5" s="1"/>
  <c r="E279" i="5"/>
  <c r="D279" i="5"/>
  <c r="C279" i="5"/>
  <c r="B279" i="5"/>
  <c r="A279" i="5"/>
  <c r="F278" i="5"/>
  <c r="H278" i="5" s="1"/>
  <c r="E278" i="5"/>
  <c r="D278" i="5"/>
  <c r="C278" i="5"/>
  <c r="B278" i="5"/>
  <c r="A278" i="5"/>
  <c r="F277" i="5"/>
  <c r="H277" i="5" s="1"/>
  <c r="E277" i="5"/>
  <c r="D277" i="5"/>
  <c r="C277" i="5"/>
  <c r="B277" i="5"/>
  <c r="A277" i="5"/>
  <c r="F276" i="5"/>
  <c r="H276" i="5" s="1"/>
  <c r="E276" i="5"/>
  <c r="D276" i="5"/>
  <c r="C276" i="5"/>
  <c r="B276" i="5"/>
  <c r="A276" i="5"/>
  <c r="F275" i="5"/>
  <c r="H275" i="5" s="1"/>
  <c r="E275" i="5"/>
  <c r="D275" i="5"/>
  <c r="C275" i="5"/>
  <c r="B275" i="5"/>
  <c r="A275" i="5"/>
  <c r="F274" i="5"/>
  <c r="H274" i="5" s="1"/>
  <c r="E274" i="5"/>
  <c r="D274" i="5"/>
  <c r="C274" i="5"/>
  <c r="B274" i="5"/>
  <c r="A274" i="5"/>
  <c r="F273" i="5"/>
  <c r="H273" i="5" s="1"/>
  <c r="E273" i="5"/>
  <c r="D273" i="5"/>
  <c r="C273" i="5"/>
  <c r="B273" i="5"/>
  <c r="A273" i="5"/>
  <c r="F272" i="5"/>
  <c r="H272" i="5" s="1"/>
  <c r="E272" i="5"/>
  <c r="D272" i="5"/>
  <c r="C272" i="5"/>
  <c r="B272" i="5"/>
  <c r="A272" i="5"/>
  <c r="F271" i="5"/>
  <c r="H271" i="5" s="1"/>
  <c r="E271" i="5"/>
  <c r="D271" i="5"/>
  <c r="C271" i="5"/>
  <c r="B271" i="5"/>
  <c r="A271" i="5"/>
  <c r="F270" i="5"/>
  <c r="H270" i="5" s="1"/>
  <c r="E270" i="5"/>
  <c r="D270" i="5"/>
  <c r="C270" i="5"/>
  <c r="B270" i="5"/>
  <c r="A270" i="5"/>
  <c r="F269" i="5"/>
  <c r="H269" i="5" s="1"/>
  <c r="E269" i="5"/>
  <c r="D269" i="5"/>
  <c r="C269" i="5"/>
  <c r="B269" i="5"/>
  <c r="A269" i="5"/>
  <c r="F268" i="5"/>
  <c r="H268" i="5" s="1"/>
  <c r="E268" i="5"/>
  <c r="D268" i="5"/>
  <c r="C268" i="5"/>
  <c r="B268" i="5"/>
  <c r="A268" i="5"/>
  <c r="F267" i="5"/>
  <c r="H267" i="5" s="1"/>
  <c r="E267" i="5"/>
  <c r="D267" i="5"/>
  <c r="C267" i="5"/>
  <c r="B267" i="5"/>
  <c r="A267" i="5"/>
  <c r="F266" i="5"/>
  <c r="H266" i="5" s="1"/>
  <c r="E266" i="5"/>
  <c r="D266" i="5"/>
  <c r="C266" i="5"/>
  <c r="B266" i="5"/>
  <c r="A266" i="5"/>
  <c r="F265" i="5"/>
  <c r="H265" i="5" s="1"/>
  <c r="E265" i="5"/>
  <c r="D265" i="5"/>
  <c r="C265" i="5"/>
  <c r="B265" i="5"/>
  <c r="A265" i="5"/>
  <c r="F264" i="5"/>
  <c r="H264" i="5" s="1"/>
  <c r="E264" i="5"/>
  <c r="D264" i="5"/>
  <c r="C264" i="5"/>
  <c r="B264" i="5"/>
  <c r="A264" i="5"/>
  <c r="F263" i="5"/>
  <c r="H263" i="5" s="1"/>
  <c r="E263" i="5"/>
  <c r="D263" i="5"/>
  <c r="C263" i="5"/>
  <c r="B263" i="5"/>
  <c r="A263" i="5"/>
  <c r="F262" i="5"/>
  <c r="H262" i="5" s="1"/>
  <c r="E262" i="5"/>
  <c r="D262" i="5"/>
  <c r="C262" i="5"/>
  <c r="B262" i="5"/>
  <c r="A262" i="5"/>
  <c r="F261" i="5"/>
  <c r="H261" i="5" s="1"/>
  <c r="E261" i="5"/>
  <c r="D261" i="5"/>
  <c r="C261" i="5"/>
  <c r="B261" i="5"/>
  <c r="A261" i="5"/>
  <c r="F260" i="5"/>
  <c r="H260" i="5" s="1"/>
  <c r="E260" i="5"/>
  <c r="D260" i="5"/>
  <c r="C260" i="5"/>
  <c r="B260" i="5"/>
  <c r="A260" i="5"/>
  <c r="F259" i="5"/>
  <c r="H259" i="5" s="1"/>
  <c r="E259" i="5"/>
  <c r="D259" i="5"/>
  <c r="C259" i="5"/>
  <c r="B259" i="5"/>
  <c r="A259" i="5"/>
  <c r="F258" i="5"/>
  <c r="H258" i="5" s="1"/>
  <c r="E258" i="5"/>
  <c r="D258" i="5"/>
  <c r="C258" i="5"/>
  <c r="B258" i="5"/>
  <c r="A258" i="5"/>
  <c r="F257" i="5"/>
  <c r="H257" i="5" s="1"/>
  <c r="E257" i="5"/>
  <c r="D257" i="5"/>
  <c r="C257" i="5"/>
  <c r="B257" i="5"/>
  <c r="A257" i="5"/>
  <c r="F256" i="5"/>
  <c r="H256" i="5" s="1"/>
  <c r="E256" i="5"/>
  <c r="D256" i="5"/>
  <c r="C256" i="5"/>
  <c r="B256" i="5"/>
  <c r="A256" i="5"/>
  <c r="F255" i="5"/>
  <c r="H255" i="5" s="1"/>
  <c r="E255" i="5"/>
  <c r="D255" i="5"/>
  <c r="C255" i="5"/>
  <c r="B255" i="5"/>
  <c r="A255" i="5"/>
  <c r="F254" i="5"/>
  <c r="H254" i="5" s="1"/>
  <c r="E254" i="5"/>
  <c r="D254" i="5"/>
  <c r="C254" i="5"/>
  <c r="B254" i="5"/>
  <c r="A254" i="5"/>
  <c r="F253" i="5"/>
  <c r="H253" i="5" s="1"/>
  <c r="E253" i="5"/>
  <c r="D253" i="5"/>
  <c r="C253" i="5"/>
  <c r="B253" i="5"/>
  <c r="A253" i="5"/>
  <c r="F252" i="5"/>
  <c r="H252" i="5" s="1"/>
  <c r="E252" i="5"/>
  <c r="D252" i="5"/>
  <c r="C252" i="5"/>
  <c r="B252" i="5"/>
  <c r="A252" i="5"/>
  <c r="F251" i="5"/>
  <c r="H251" i="5" s="1"/>
  <c r="E251" i="5"/>
  <c r="D251" i="5"/>
  <c r="C251" i="5"/>
  <c r="B251" i="5"/>
  <c r="A251" i="5"/>
  <c r="F250" i="5"/>
  <c r="H250" i="5" s="1"/>
  <c r="E250" i="5"/>
  <c r="D250" i="5"/>
  <c r="C250" i="5"/>
  <c r="B250" i="5"/>
  <c r="A250" i="5"/>
  <c r="F249" i="5"/>
  <c r="H249" i="5" s="1"/>
  <c r="E249" i="5"/>
  <c r="D249" i="5"/>
  <c r="C249" i="5"/>
  <c r="B249" i="5"/>
  <c r="A249" i="5"/>
  <c r="F248" i="5"/>
  <c r="H248" i="5" s="1"/>
  <c r="E248" i="5"/>
  <c r="D248" i="5"/>
  <c r="C248" i="5"/>
  <c r="B248" i="5"/>
  <c r="A248" i="5"/>
  <c r="F247" i="5"/>
  <c r="H247" i="5" s="1"/>
  <c r="E247" i="5"/>
  <c r="D247" i="5"/>
  <c r="C247" i="5"/>
  <c r="B247" i="5"/>
  <c r="A247" i="5"/>
  <c r="F246" i="5"/>
  <c r="H246" i="5" s="1"/>
  <c r="E246" i="5"/>
  <c r="D246" i="5"/>
  <c r="C246" i="5"/>
  <c r="B246" i="5"/>
  <c r="A246" i="5"/>
  <c r="F245" i="5"/>
  <c r="H245" i="5" s="1"/>
  <c r="E245" i="5"/>
  <c r="D245" i="5"/>
  <c r="C245" i="5"/>
  <c r="B245" i="5"/>
  <c r="A245" i="5"/>
  <c r="F244" i="5"/>
  <c r="H244" i="5" s="1"/>
  <c r="E244" i="5"/>
  <c r="D244" i="5"/>
  <c r="C244" i="5"/>
  <c r="B244" i="5"/>
  <c r="A244" i="5"/>
  <c r="F243" i="5"/>
  <c r="H243" i="5" s="1"/>
  <c r="E243" i="5"/>
  <c r="D243" i="5"/>
  <c r="C243" i="5"/>
  <c r="B243" i="5"/>
  <c r="A243" i="5"/>
  <c r="F242" i="5"/>
  <c r="H242" i="5" s="1"/>
  <c r="E242" i="5"/>
  <c r="D242" i="5"/>
  <c r="C242" i="5"/>
  <c r="B242" i="5"/>
  <c r="A242" i="5"/>
  <c r="F241" i="5"/>
  <c r="H241" i="5" s="1"/>
  <c r="E241" i="5"/>
  <c r="D241" i="5"/>
  <c r="C241" i="5"/>
  <c r="B241" i="5"/>
  <c r="A241" i="5"/>
  <c r="F240" i="5"/>
  <c r="H240" i="5" s="1"/>
  <c r="E240" i="5"/>
  <c r="D240" i="5"/>
  <c r="C240" i="5"/>
  <c r="B240" i="5"/>
  <c r="A240" i="5"/>
  <c r="F239" i="5"/>
  <c r="H239" i="5" s="1"/>
  <c r="E239" i="5"/>
  <c r="D239" i="5"/>
  <c r="C239" i="5"/>
  <c r="B239" i="5"/>
  <c r="A239" i="5"/>
  <c r="F238" i="5"/>
  <c r="H238" i="5" s="1"/>
  <c r="E238" i="5"/>
  <c r="D238" i="5"/>
  <c r="C238" i="5"/>
  <c r="B238" i="5"/>
  <c r="A238" i="5"/>
  <c r="F237" i="5"/>
  <c r="H237" i="5" s="1"/>
  <c r="E237" i="5"/>
  <c r="D237" i="5"/>
  <c r="C237" i="5"/>
  <c r="B237" i="5"/>
  <c r="A237" i="5"/>
  <c r="F236" i="5"/>
  <c r="H236" i="5" s="1"/>
  <c r="E236" i="5"/>
  <c r="D236" i="5"/>
  <c r="C236" i="5"/>
  <c r="B236" i="5"/>
  <c r="A236" i="5"/>
  <c r="F235" i="5"/>
  <c r="H235" i="5" s="1"/>
  <c r="E235" i="5"/>
  <c r="D235" i="5"/>
  <c r="C235" i="5"/>
  <c r="B235" i="5"/>
  <c r="A235" i="5"/>
  <c r="F234" i="5"/>
  <c r="H234" i="5" s="1"/>
  <c r="E234" i="5"/>
  <c r="D234" i="5"/>
  <c r="C234" i="5"/>
  <c r="B234" i="5"/>
  <c r="A234" i="5"/>
  <c r="F233" i="5"/>
  <c r="H233" i="5" s="1"/>
  <c r="E233" i="5"/>
  <c r="D233" i="5"/>
  <c r="C233" i="5"/>
  <c r="B233" i="5"/>
  <c r="A233" i="5"/>
  <c r="F232" i="5"/>
  <c r="H232" i="5" s="1"/>
  <c r="E232" i="5"/>
  <c r="D232" i="5"/>
  <c r="C232" i="5"/>
  <c r="B232" i="5"/>
  <c r="A232" i="5"/>
  <c r="F231" i="5"/>
  <c r="H231" i="5" s="1"/>
  <c r="E231" i="5"/>
  <c r="D231" i="5"/>
  <c r="C231" i="5"/>
  <c r="B231" i="5"/>
  <c r="A231" i="5"/>
  <c r="F230" i="5"/>
  <c r="H230" i="5" s="1"/>
  <c r="E230" i="5"/>
  <c r="D230" i="5"/>
  <c r="C230" i="5"/>
  <c r="B230" i="5"/>
  <c r="A230" i="5"/>
  <c r="F229" i="5"/>
  <c r="H229" i="5" s="1"/>
  <c r="E229" i="5"/>
  <c r="D229" i="5"/>
  <c r="C229" i="5"/>
  <c r="B229" i="5"/>
  <c r="A229" i="5"/>
  <c r="F228" i="5"/>
  <c r="H228" i="5" s="1"/>
  <c r="E228" i="5"/>
  <c r="D228" i="5"/>
  <c r="C228" i="5"/>
  <c r="B228" i="5"/>
  <c r="A228" i="5"/>
  <c r="F227" i="5"/>
  <c r="H227" i="5" s="1"/>
  <c r="E227" i="5"/>
  <c r="D227" i="5"/>
  <c r="C227" i="5"/>
  <c r="B227" i="5"/>
  <c r="A227" i="5"/>
  <c r="F226" i="5"/>
  <c r="H226" i="5" s="1"/>
  <c r="E226" i="5"/>
  <c r="D226" i="5"/>
  <c r="C226" i="5"/>
  <c r="B226" i="5"/>
  <c r="A226" i="5"/>
  <c r="F225" i="5"/>
  <c r="H225" i="5" s="1"/>
  <c r="E225" i="5"/>
  <c r="D225" i="5"/>
  <c r="C225" i="5"/>
  <c r="B225" i="5"/>
  <c r="A225" i="5"/>
  <c r="F224" i="5"/>
  <c r="H224" i="5" s="1"/>
  <c r="E224" i="5"/>
  <c r="D224" i="5"/>
  <c r="C224" i="5"/>
  <c r="B224" i="5"/>
  <c r="A224" i="5"/>
  <c r="F223" i="5"/>
  <c r="H223" i="5" s="1"/>
  <c r="E223" i="5"/>
  <c r="D223" i="5"/>
  <c r="C223" i="5"/>
  <c r="B223" i="5"/>
  <c r="A223" i="5"/>
  <c r="F222" i="5"/>
  <c r="H222" i="5" s="1"/>
  <c r="E222" i="5"/>
  <c r="D222" i="5"/>
  <c r="C222" i="5"/>
  <c r="B222" i="5"/>
  <c r="A222" i="5"/>
  <c r="F221" i="5"/>
  <c r="H221" i="5" s="1"/>
  <c r="E221" i="5"/>
  <c r="D221" i="5"/>
  <c r="C221" i="5"/>
  <c r="B221" i="5"/>
  <c r="A221" i="5"/>
  <c r="F220" i="5"/>
  <c r="H220" i="5" s="1"/>
  <c r="E220" i="5"/>
  <c r="D220" i="5"/>
  <c r="C220" i="5"/>
  <c r="B220" i="5"/>
  <c r="A220" i="5"/>
  <c r="F219" i="5"/>
  <c r="H219" i="5" s="1"/>
  <c r="E219" i="5"/>
  <c r="D219" i="5"/>
  <c r="C219" i="5"/>
  <c r="B219" i="5"/>
  <c r="A219" i="5"/>
  <c r="F218" i="5"/>
  <c r="H218" i="5" s="1"/>
  <c r="E218" i="5"/>
  <c r="D218" i="5"/>
  <c r="C218" i="5"/>
  <c r="B218" i="5"/>
  <c r="A218" i="5"/>
  <c r="F217" i="5"/>
  <c r="H217" i="5" s="1"/>
  <c r="E217" i="5"/>
  <c r="D217" i="5"/>
  <c r="C217" i="5"/>
  <c r="B217" i="5"/>
  <c r="A217" i="5"/>
  <c r="F216" i="5"/>
  <c r="H216" i="5" s="1"/>
  <c r="E216" i="5"/>
  <c r="D216" i="5"/>
  <c r="C216" i="5"/>
  <c r="B216" i="5"/>
  <c r="A216" i="5"/>
  <c r="F215" i="5"/>
  <c r="H215" i="5" s="1"/>
  <c r="E215" i="5"/>
  <c r="D215" i="5"/>
  <c r="C215" i="5"/>
  <c r="B215" i="5"/>
  <c r="A215" i="5"/>
  <c r="F214" i="5"/>
  <c r="H214" i="5" s="1"/>
  <c r="E214" i="5"/>
  <c r="D214" i="5"/>
  <c r="C214" i="5"/>
  <c r="B214" i="5"/>
  <c r="A214" i="5"/>
  <c r="F213" i="5"/>
  <c r="H213" i="5" s="1"/>
  <c r="E213" i="5"/>
  <c r="D213" i="5"/>
  <c r="C213" i="5"/>
  <c r="B213" i="5"/>
  <c r="A213" i="5"/>
  <c r="F212" i="5"/>
  <c r="H212" i="5" s="1"/>
  <c r="E212" i="5"/>
  <c r="D212" i="5"/>
  <c r="C212" i="5"/>
  <c r="B212" i="5"/>
  <c r="A212" i="5"/>
  <c r="F211" i="5"/>
  <c r="H211" i="5" s="1"/>
  <c r="E211" i="5"/>
  <c r="D211" i="5"/>
  <c r="C211" i="5"/>
  <c r="B211" i="5"/>
  <c r="A211" i="5"/>
  <c r="F210" i="5"/>
  <c r="H210" i="5" s="1"/>
  <c r="E210" i="5"/>
  <c r="D210" i="5"/>
  <c r="C210" i="5"/>
  <c r="B210" i="5"/>
  <c r="A210" i="5"/>
  <c r="F209" i="5"/>
  <c r="H209" i="5" s="1"/>
  <c r="E209" i="5"/>
  <c r="D209" i="5"/>
  <c r="C209" i="5"/>
  <c r="B209" i="5"/>
  <c r="A209" i="5"/>
  <c r="F208" i="5"/>
  <c r="H208" i="5" s="1"/>
  <c r="E208" i="5"/>
  <c r="D208" i="5"/>
  <c r="C208" i="5"/>
  <c r="B208" i="5"/>
  <c r="A208" i="5"/>
  <c r="F207" i="5"/>
  <c r="H207" i="5" s="1"/>
  <c r="E207" i="5"/>
  <c r="D207" i="5"/>
  <c r="C207" i="5"/>
  <c r="B207" i="5"/>
  <c r="A207" i="5"/>
  <c r="F206" i="5"/>
  <c r="H206" i="5" s="1"/>
  <c r="E206" i="5"/>
  <c r="D206" i="5"/>
  <c r="C206" i="5"/>
  <c r="B206" i="5"/>
  <c r="A206" i="5"/>
  <c r="F205" i="5"/>
  <c r="H205" i="5" s="1"/>
  <c r="E205" i="5"/>
  <c r="D205" i="5"/>
  <c r="C205" i="5"/>
  <c r="B205" i="5"/>
  <c r="A205" i="5"/>
  <c r="F204" i="5"/>
  <c r="H204" i="5" s="1"/>
  <c r="E204" i="5"/>
  <c r="D204" i="5"/>
  <c r="C204" i="5"/>
  <c r="B204" i="5"/>
  <c r="A204" i="5"/>
  <c r="F203" i="5"/>
  <c r="H203" i="5" s="1"/>
  <c r="E203" i="5"/>
  <c r="D203" i="5"/>
  <c r="C203" i="5"/>
  <c r="B203" i="5"/>
  <c r="A203" i="5"/>
  <c r="F202" i="5"/>
  <c r="H202" i="5" s="1"/>
  <c r="E202" i="5"/>
  <c r="D202" i="5"/>
  <c r="C202" i="5"/>
  <c r="B202" i="5"/>
  <c r="A202" i="5"/>
  <c r="F201" i="5"/>
  <c r="H201" i="5" s="1"/>
  <c r="E201" i="5"/>
  <c r="D201" i="5"/>
  <c r="C201" i="5"/>
  <c r="B201" i="5"/>
  <c r="A201" i="5"/>
  <c r="F200" i="5"/>
  <c r="H200" i="5" s="1"/>
  <c r="E200" i="5"/>
  <c r="D200" i="5"/>
  <c r="C200" i="5"/>
  <c r="B200" i="5"/>
  <c r="A200" i="5"/>
  <c r="F199" i="5"/>
  <c r="H199" i="5" s="1"/>
  <c r="E199" i="5"/>
  <c r="D199" i="5"/>
  <c r="C199" i="5"/>
  <c r="B199" i="5"/>
  <c r="A199" i="5"/>
  <c r="F198" i="5"/>
  <c r="H198" i="5" s="1"/>
  <c r="E198" i="5"/>
  <c r="D198" i="5"/>
  <c r="C198" i="5"/>
  <c r="B198" i="5"/>
  <c r="A198" i="5"/>
  <c r="F197" i="5"/>
  <c r="H197" i="5" s="1"/>
  <c r="E197" i="5"/>
  <c r="D197" i="5"/>
  <c r="C197" i="5"/>
  <c r="B197" i="5"/>
  <c r="A197" i="5"/>
  <c r="F196" i="5"/>
  <c r="H196" i="5" s="1"/>
  <c r="E196" i="5"/>
  <c r="D196" i="5"/>
  <c r="C196" i="5"/>
  <c r="B196" i="5"/>
  <c r="A196" i="5"/>
  <c r="F195" i="5"/>
  <c r="H195" i="5" s="1"/>
  <c r="E195" i="5"/>
  <c r="D195" i="5"/>
  <c r="C195" i="5"/>
  <c r="B195" i="5"/>
  <c r="A195" i="5"/>
  <c r="F194" i="5"/>
  <c r="H194" i="5" s="1"/>
  <c r="E194" i="5"/>
  <c r="D194" i="5"/>
  <c r="C194" i="5"/>
  <c r="B194" i="5"/>
  <c r="A194" i="5"/>
  <c r="F193" i="5"/>
  <c r="H193" i="5" s="1"/>
  <c r="E193" i="5"/>
  <c r="D193" i="5"/>
  <c r="C193" i="5"/>
  <c r="B193" i="5"/>
  <c r="A193" i="5"/>
  <c r="F192" i="5"/>
  <c r="H192" i="5" s="1"/>
  <c r="E192" i="5"/>
  <c r="D192" i="5"/>
  <c r="C192" i="5"/>
  <c r="B192" i="5"/>
  <c r="A192" i="5"/>
  <c r="F191" i="5"/>
  <c r="H191" i="5" s="1"/>
  <c r="E191" i="5"/>
  <c r="D191" i="5"/>
  <c r="C191" i="5"/>
  <c r="B191" i="5"/>
  <c r="A191" i="5"/>
  <c r="F190" i="5"/>
  <c r="H190" i="5" s="1"/>
  <c r="E190" i="5"/>
  <c r="D190" i="5"/>
  <c r="C190" i="5"/>
  <c r="B190" i="5"/>
  <c r="A190" i="5"/>
  <c r="F189" i="5"/>
  <c r="H189" i="5" s="1"/>
  <c r="E189" i="5"/>
  <c r="D189" i="5"/>
  <c r="C189" i="5"/>
  <c r="B189" i="5"/>
  <c r="A189" i="5"/>
  <c r="F188" i="5"/>
  <c r="H188" i="5" s="1"/>
  <c r="E188" i="5"/>
  <c r="D188" i="5"/>
  <c r="C188" i="5"/>
  <c r="B188" i="5"/>
  <c r="A188" i="5"/>
  <c r="F187" i="5"/>
  <c r="H187" i="5" s="1"/>
  <c r="E187" i="5"/>
  <c r="D187" i="5"/>
  <c r="C187" i="5"/>
  <c r="B187" i="5"/>
  <c r="A187" i="5"/>
  <c r="F186" i="5"/>
  <c r="H186" i="5" s="1"/>
  <c r="E186" i="5"/>
  <c r="D186" i="5"/>
  <c r="C186" i="5"/>
  <c r="B186" i="5"/>
  <c r="A186" i="5"/>
  <c r="F185" i="5"/>
  <c r="H185" i="5" s="1"/>
  <c r="E185" i="5"/>
  <c r="D185" i="5"/>
  <c r="C185" i="5"/>
  <c r="B185" i="5"/>
  <c r="A185" i="5"/>
  <c r="F184" i="5"/>
  <c r="H184" i="5" s="1"/>
  <c r="E184" i="5"/>
  <c r="D184" i="5"/>
  <c r="C184" i="5"/>
  <c r="B184" i="5"/>
  <c r="A184" i="5"/>
  <c r="F183" i="5"/>
  <c r="H183" i="5" s="1"/>
  <c r="E183" i="5"/>
  <c r="D183" i="5"/>
  <c r="C183" i="5"/>
  <c r="B183" i="5"/>
  <c r="A183" i="5"/>
  <c r="F182" i="5"/>
  <c r="H182" i="5" s="1"/>
  <c r="E182" i="5"/>
  <c r="D182" i="5"/>
  <c r="C182" i="5"/>
  <c r="B182" i="5"/>
  <c r="A182" i="5"/>
  <c r="F181" i="5"/>
  <c r="H181" i="5" s="1"/>
  <c r="E181" i="5"/>
  <c r="D181" i="5"/>
  <c r="C181" i="5"/>
  <c r="B181" i="5"/>
  <c r="A181" i="5"/>
  <c r="F180" i="5"/>
  <c r="H180" i="5" s="1"/>
  <c r="E180" i="5"/>
  <c r="D180" i="5"/>
  <c r="C180" i="5"/>
  <c r="B180" i="5"/>
  <c r="A180" i="5"/>
  <c r="F179" i="5"/>
  <c r="H179" i="5" s="1"/>
  <c r="E179" i="5"/>
  <c r="D179" i="5"/>
  <c r="C179" i="5"/>
  <c r="B179" i="5"/>
  <c r="A179" i="5"/>
  <c r="F178" i="5"/>
  <c r="H178" i="5" s="1"/>
  <c r="E178" i="5"/>
  <c r="D178" i="5"/>
  <c r="C178" i="5"/>
  <c r="B178" i="5"/>
  <c r="A178" i="5"/>
  <c r="F177" i="5"/>
  <c r="H177" i="5" s="1"/>
  <c r="E177" i="5"/>
  <c r="D177" i="5"/>
  <c r="C177" i="5"/>
  <c r="B177" i="5"/>
  <c r="A177" i="5"/>
  <c r="F176" i="5"/>
  <c r="H176" i="5" s="1"/>
  <c r="E176" i="5"/>
  <c r="D176" i="5"/>
  <c r="C176" i="5"/>
  <c r="B176" i="5"/>
  <c r="A176" i="5"/>
  <c r="F175" i="5"/>
  <c r="H175" i="5" s="1"/>
  <c r="E175" i="5"/>
  <c r="D175" i="5"/>
  <c r="C175" i="5"/>
  <c r="B175" i="5"/>
  <c r="A175" i="5"/>
  <c r="F174" i="5"/>
  <c r="H174" i="5" s="1"/>
  <c r="E174" i="5"/>
  <c r="D174" i="5"/>
  <c r="C174" i="5"/>
  <c r="B174" i="5"/>
  <c r="A174" i="5"/>
  <c r="F173" i="5"/>
  <c r="H173" i="5" s="1"/>
  <c r="E173" i="5"/>
  <c r="D173" i="5"/>
  <c r="C173" i="5"/>
  <c r="B173" i="5"/>
  <c r="A173" i="5"/>
  <c r="F172" i="5"/>
  <c r="H172" i="5" s="1"/>
  <c r="E172" i="5"/>
  <c r="D172" i="5"/>
  <c r="C172" i="5"/>
  <c r="B172" i="5"/>
  <c r="A172" i="5"/>
  <c r="F171" i="5"/>
  <c r="H171" i="5" s="1"/>
  <c r="E171" i="5"/>
  <c r="D171" i="5"/>
  <c r="C171" i="5"/>
  <c r="B171" i="5"/>
  <c r="A171" i="5"/>
  <c r="F170" i="5"/>
  <c r="H170" i="5" s="1"/>
  <c r="E170" i="5"/>
  <c r="D170" i="5"/>
  <c r="C170" i="5"/>
  <c r="B170" i="5"/>
  <c r="A170" i="5"/>
  <c r="F169" i="5"/>
  <c r="H169" i="5" s="1"/>
  <c r="E169" i="5"/>
  <c r="D169" i="5"/>
  <c r="C169" i="5"/>
  <c r="B169" i="5"/>
  <c r="A169" i="5"/>
  <c r="F168" i="5"/>
  <c r="H168" i="5" s="1"/>
  <c r="E168" i="5"/>
  <c r="D168" i="5"/>
  <c r="C168" i="5"/>
  <c r="B168" i="5"/>
  <c r="A168" i="5"/>
  <c r="F167" i="5"/>
  <c r="H167" i="5" s="1"/>
  <c r="E167" i="5"/>
  <c r="D167" i="5"/>
  <c r="C167" i="5"/>
  <c r="B167" i="5"/>
  <c r="A167" i="5"/>
  <c r="F166" i="5"/>
  <c r="H166" i="5" s="1"/>
  <c r="E166" i="5"/>
  <c r="D166" i="5"/>
  <c r="C166" i="5"/>
  <c r="B166" i="5"/>
  <c r="A166" i="5"/>
  <c r="F165" i="5"/>
  <c r="H165" i="5" s="1"/>
  <c r="E165" i="5"/>
  <c r="D165" i="5"/>
  <c r="C165" i="5"/>
  <c r="B165" i="5"/>
  <c r="A165" i="5"/>
  <c r="F164" i="5"/>
  <c r="H164" i="5" s="1"/>
  <c r="E164" i="5"/>
  <c r="D164" i="5"/>
  <c r="C164" i="5"/>
  <c r="B164" i="5"/>
  <c r="A164" i="5"/>
  <c r="F163" i="5"/>
  <c r="H163" i="5" s="1"/>
  <c r="E163" i="5"/>
  <c r="D163" i="5"/>
  <c r="C163" i="5"/>
  <c r="B163" i="5"/>
  <c r="A163" i="5"/>
  <c r="F162" i="5"/>
  <c r="H162" i="5" s="1"/>
  <c r="E162" i="5"/>
  <c r="D162" i="5"/>
  <c r="C162" i="5"/>
  <c r="B162" i="5"/>
  <c r="A162" i="5"/>
  <c r="F161" i="5"/>
  <c r="H161" i="5" s="1"/>
  <c r="E161" i="5"/>
  <c r="D161" i="5"/>
  <c r="C161" i="5"/>
  <c r="B161" i="5"/>
  <c r="A161" i="5"/>
  <c r="F160" i="5"/>
  <c r="H160" i="5" s="1"/>
  <c r="E160" i="5"/>
  <c r="D160" i="5"/>
  <c r="C160" i="5"/>
  <c r="B160" i="5"/>
  <c r="A160" i="5"/>
  <c r="F159" i="5"/>
  <c r="H159" i="5" s="1"/>
  <c r="E159" i="5"/>
  <c r="D159" i="5"/>
  <c r="C159" i="5"/>
  <c r="B159" i="5"/>
  <c r="A159" i="5"/>
  <c r="F158" i="5"/>
  <c r="H158" i="5" s="1"/>
  <c r="E158" i="5"/>
  <c r="D158" i="5"/>
  <c r="C158" i="5"/>
  <c r="B158" i="5"/>
  <c r="A158" i="5"/>
  <c r="F157" i="5"/>
  <c r="H157" i="5" s="1"/>
  <c r="E157" i="5"/>
  <c r="D157" i="5"/>
  <c r="C157" i="5"/>
  <c r="B157" i="5"/>
  <c r="A157" i="5"/>
  <c r="F156" i="5"/>
  <c r="H156" i="5" s="1"/>
  <c r="E156" i="5"/>
  <c r="D156" i="5"/>
  <c r="C156" i="5"/>
  <c r="B156" i="5"/>
  <c r="A156" i="5"/>
  <c r="F155" i="5"/>
  <c r="H155" i="5" s="1"/>
  <c r="E155" i="5"/>
  <c r="D155" i="5"/>
  <c r="C155" i="5"/>
  <c r="B155" i="5"/>
  <c r="A155" i="5"/>
  <c r="F154" i="5"/>
  <c r="H154" i="5" s="1"/>
  <c r="E154" i="5"/>
  <c r="D154" i="5"/>
  <c r="C154" i="5"/>
  <c r="B154" i="5"/>
  <c r="A154" i="5"/>
  <c r="F153" i="5"/>
  <c r="H153" i="5" s="1"/>
  <c r="E153" i="5"/>
  <c r="D153" i="5"/>
  <c r="C153" i="5"/>
  <c r="B153" i="5"/>
  <c r="A153" i="5"/>
  <c r="F152" i="5"/>
  <c r="H152" i="5" s="1"/>
  <c r="E152" i="5"/>
  <c r="D152" i="5"/>
  <c r="C152" i="5"/>
  <c r="B152" i="5"/>
  <c r="A152" i="5"/>
  <c r="F151" i="5"/>
  <c r="H151" i="5" s="1"/>
  <c r="E151" i="5"/>
  <c r="D151" i="5"/>
  <c r="C151" i="5"/>
  <c r="B151" i="5"/>
  <c r="A151" i="5"/>
  <c r="F150" i="5"/>
  <c r="H150" i="5" s="1"/>
  <c r="E150" i="5"/>
  <c r="D150" i="5"/>
  <c r="C150" i="5"/>
  <c r="B150" i="5"/>
  <c r="A150" i="5"/>
  <c r="F149" i="5"/>
  <c r="H149" i="5" s="1"/>
  <c r="E149" i="5"/>
  <c r="D149" i="5"/>
  <c r="C149" i="5"/>
  <c r="B149" i="5"/>
  <c r="A149" i="5"/>
  <c r="F148" i="5"/>
  <c r="H148" i="5" s="1"/>
  <c r="E148" i="5"/>
  <c r="D148" i="5"/>
  <c r="C148" i="5"/>
  <c r="B148" i="5"/>
  <c r="A148" i="5"/>
  <c r="F147" i="5"/>
  <c r="H147" i="5" s="1"/>
  <c r="E147" i="5"/>
  <c r="D147" i="5"/>
  <c r="C147" i="5"/>
  <c r="B147" i="5"/>
  <c r="A147" i="5"/>
  <c r="F146" i="5"/>
  <c r="H146" i="5" s="1"/>
  <c r="E146" i="5"/>
  <c r="D146" i="5"/>
  <c r="C146" i="5"/>
  <c r="B146" i="5"/>
  <c r="A146" i="5"/>
  <c r="F145" i="5"/>
  <c r="H145" i="5" s="1"/>
  <c r="E145" i="5"/>
  <c r="D145" i="5"/>
  <c r="C145" i="5"/>
  <c r="B145" i="5"/>
  <c r="A145" i="5"/>
  <c r="F144" i="5"/>
  <c r="H144" i="5" s="1"/>
  <c r="E144" i="5"/>
  <c r="D144" i="5"/>
  <c r="C144" i="5"/>
  <c r="B144" i="5"/>
  <c r="A144" i="5"/>
  <c r="F143" i="5"/>
  <c r="H143" i="5" s="1"/>
  <c r="E143" i="5"/>
  <c r="D143" i="5"/>
  <c r="C143" i="5"/>
  <c r="B143" i="5"/>
  <c r="A143" i="5"/>
  <c r="F142" i="5"/>
  <c r="H142" i="5" s="1"/>
  <c r="E142" i="5"/>
  <c r="D142" i="5"/>
  <c r="C142" i="5"/>
  <c r="B142" i="5"/>
  <c r="A142" i="5"/>
  <c r="F141" i="5"/>
  <c r="H141" i="5" s="1"/>
  <c r="E141" i="5"/>
  <c r="D141" i="5"/>
  <c r="C141" i="5"/>
  <c r="B141" i="5"/>
  <c r="A141" i="5"/>
  <c r="F140" i="5"/>
  <c r="H140" i="5" s="1"/>
  <c r="E140" i="5"/>
  <c r="D140" i="5"/>
  <c r="C140" i="5"/>
  <c r="B140" i="5"/>
  <c r="A140" i="5"/>
  <c r="F139" i="5"/>
  <c r="H139" i="5" s="1"/>
  <c r="E139" i="5"/>
  <c r="D139" i="5"/>
  <c r="C139" i="5"/>
  <c r="B139" i="5"/>
  <c r="A139" i="5"/>
  <c r="F138" i="5"/>
  <c r="H138" i="5" s="1"/>
  <c r="E138" i="5"/>
  <c r="D138" i="5"/>
  <c r="C138" i="5"/>
  <c r="B138" i="5"/>
  <c r="A138" i="5"/>
  <c r="F137" i="5"/>
  <c r="H137" i="5" s="1"/>
  <c r="E137" i="5"/>
  <c r="D137" i="5"/>
  <c r="C137" i="5"/>
  <c r="B137" i="5"/>
  <c r="A137" i="5"/>
  <c r="F136" i="5"/>
  <c r="H136" i="5" s="1"/>
  <c r="E136" i="5"/>
  <c r="D136" i="5"/>
  <c r="C136" i="5"/>
  <c r="B136" i="5"/>
  <c r="A136" i="5"/>
  <c r="F135" i="5"/>
  <c r="H135" i="5" s="1"/>
  <c r="E135" i="5"/>
  <c r="D135" i="5"/>
  <c r="C135" i="5"/>
  <c r="B135" i="5"/>
  <c r="A135" i="5"/>
  <c r="F134" i="5"/>
  <c r="H134" i="5" s="1"/>
  <c r="E134" i="5"/>
  <c r="D134" i="5"/>
  <c r="C134" i="5"/>
  <c r="B134" i="5"/>
  <c r="A134" i="5"/>
  <c r="F133" i="5"/>
  <c r="H133" i="5" s="1"/>
  <c r="E133" i="5"/>
  <c r="D133" i="5"/>
  <c r="C133" i="5"/>
  <c r="B133" i="5"/>
  <c r="A133" i="5"/>
  <c r="F132" i="5"/>
  <c r="H132" i="5" s="1"/>
  <c r="E132" i="5"/>
  <c r="D132" i="5"/>
  <c r="C132" i="5"/>
  <c r="B132" i="5"/>
  <c r="A132" i="5"/>
  <c r="F131" i="5"/>
  <c r="H131" i="5" s="1"/>
  <c r="E131" i="5"/>
  <c r="D131" i="5"/>
  <c r="C131" i="5"/>
  <c r="B131" i="5"/>
  <c r="A131" i="5"/>
  <c r="F130" i="5"/>
  <c r="H130" i="5" s="1"/>
  <c r="E130" i="5"/>
  <c r="D130" i="5"/>
  <c r="C130" i="5"/>
  <c r="B130" i="5"/>
  <c r="A130" i="5"/>
  <c r="F129" i="5"/>
  <c r="H129" i="5" s="1"/>
  <c r="E129" i="5"/>
  <c r="D129" i="5"/>
  <c r="C129" i="5"/>
  <c r="B129" i="5"/>
  <c r="A129" i="5"/>
  <c r="F128" i="5"/>
  <c r="H128" i="5" s="1"/>
  <c r="E128" i="5"/>
  <c r="D128" i="5"/>
  <c r="C128" i="5"/>
  <c r="B128" i="5"/>
  <c r="A128" i="5"/>
  <c r="F127" i="5"/>
  <c r="H127" i="5" s="1"/>
  <c r="E127" i="5"/>
  <c r="D127" i="5"/>
  <c r="C127" i="5"/>
  <c r="B127" i="5"/>
  <c r="A127" i="5"/>
  <c r="F126" i="5"/>
  <c r="H126" i="5" s="1"/>
  <c r="E126" i="5"/>
  <c r="D126" i="5"/>
  <c r="C126" i="5"/>
  <c r="B126" i="5"/>
  <c r="A126" i="5"/>
  <c r="F125" i="5"/>
  <c r="H125" i="5" s="1"/>
  <c r="E125" i="5"/>
  <c r="D125" i="5"/>
  <c r="C125" i="5"/>
  <c r="B125" i="5"/>
  <c r="A125" i="5"/>
  <c r="F124" i="5"/>
  <c r="H124" i="5" s="1"/>
  <c r="E124" i="5"/>
  <c r="D124" i="5"/>
  <c r="C124" i="5"/>
  <c r="B124" i="5"/>
  <c r="A124" i="5"/>
  <c r="F123" i="5"/>
  <c r="H123" i="5" s="1"/>
  <c r="E123" i="5"/>
  <c r="D123" i="5"/>
  <c r="C123" i="5"/>
  <c r="B123" i="5"/>
  <c r="A123" i="5"/>
  <c r="F122" i="5"/>
  <c r="H122" i="5" s="1"/>
  <c r="E122" i="5"/>
  <c r="D122" i="5"/>
  <c r="C122" i="5"/>
  <c r="B122" i="5"/>
  <c r="A122" i="5"/>
  <c r="F121" i="5"/>
  <c r="H121" i="5" s="1"/>
  <c r="E121" i="5"/>
  <c r="D121" i="5"/>
  <c r="C121" i="5"/>
  <c r="B121" i="5"/>
  <c r="A121" i="5"/>
  <c r="F120" i="5"/>
  <c r="H120" i="5" s="1"/>
  <c r="E120" i="5"/>
  <c r="D120" i="5"/>
  <c r="C120" i="5"/>
  <c r="B120" i="5"/>
  <c r="A120" i="5"/>
  <c r="F119" i="5"/>
  <c r="H119" i="5" s="1"/>
  <c r="E119" i="5"/>
  <c r="D119" i="5"/>
  <c r="C119" i="5"/>
  <c r="B119" i="5"/>
  <c r="A119" i="5"/>
  <c r="F118" i="5"/>
  <c r="H118" i="5" s="1"/>
  <c r="E118" i="5"/>
  <c r="D118" i="5"/>
  <c r="C118" i="5"/>
  <c r="B118" i="5"/>
  <c r="A118" i="5"/>
  <c r="F117" i="5"/>
  <c r="H117" i="5" s="1"/>
  <c r="E117" i="5"/>
  <c r="D117" i="5"/>
  <c r="C117" i="5"/>
  <c r="B117" i="5"/>
  <c r="A117" i="5"/>
  <c r="F116" i="5"/>
  <c r="H116" i="5" s="1"/>
  <c r="E116" i="5"/>
  <c r="D116" i="5"/>
  <c r="C116" i="5"/>
  <c r="B116" i="5"/>
  <c r="A116" i="5"/>
  <c r="F115" i="5"/>
  <c r="H115" i="5" s="1"/>
  <c r="E115" i="5"/>
  <c r="D115" i="5"/>
  <c r="C115" i="5"/>
  <c r="B115" i="5"/>
  <c r="A115" i="5"/>
  <c r="F114" i="5"/>
  <c r="H114" i="5" s="1"/>
  <c r="E114" i="5"/>
  <c r="D114" i="5"/>
  <c r="C114" i="5"/>
  <c r="B114" i="5"/>
  <c r="A114" i="5"/>
  <c r="F113" i="5"/>
  <c r="H113" i="5" s="1"/>
  <c r="E113" i="5"/>
  <c r="D113" i="5"/>
  <c r="C113" i="5"/>
  <c r="B113" i="5"/>
  <c r="A113" i="5"/>
  <c r="F112" i="5"/>
  <c r="H112" i="5" s="1"/>
  <c r="E112" i="5"/>
  <c r="D112" i="5"/>
  <c r="C112" i="5"/>
  <c r="B112" i="5"/>
  <c r="A112" i="5"/>
  <c r="F111" i="5"/>
  <c r="H111" i="5" s="1"/>
  <c r="E111" i="5"/>
  <c r="D111" i="5"/>
  <c r="C111" i="5"/>
  <c r="B111" i="5"/>
  <c r="A111" i="5"/>
  <c r="F110" i="5"/>
  <c r="H110" i="5" s="1"/>
  <c r="E110" i="5"/>
  <c r="D110" i="5"/>
  <c r="C110" i="5"/>
  <c r="B110" i="5"/>
  <c r="A110" i="5"/>
  <c r="F109" i="5"/>
  <c r="H109" i="5" s="1"/>
  <c r="E109" i="5"/>
  <c r="D109" i="5"/>
  <c r="C109" i="5"/>
  <c r="B109" i="5"/>
  <c r="A109" i="5"/>
  <c r="F108" i="5"/>
  <c r="H108" i="5" s="1"/>
  <c r="E108" i="5"/>
  <c r="D108" i="5"/>
  <c r="C108" i="5"/>
  <c r="B108" i="5"/>
  <c r="A108" i="5"/>
  <c r="F107" i="5"/>
  <c r="H107" i="5" s="1"/>
  <c r="E107" i="5"/>
  <c r="D107" i="5"/>
  <c r="C107" i="5"/>
  <c r="B107" i="5"/>
  <c r="A107" i="5"/>
  <c r="F106" i="5"/>
  <c r="H106" i="5" s="1"/>
  <c r="E106" i="5"/>
  <c r="D106" i="5"/>
  <c r="C106" i="5"/>
  <c r="B106" i="5"/>
  <c r="A106" i="5"/>
  <c r="F105" i="5"/>
  <c r="H105" i="5" s="1"/>
  <c r="E105" i="5"/>
  <c r="D105" i="5"/>
  <c r="C105" i="5"/>
  <c r="B105" i="5"/>
  <c r="A105" i="5"/>
  <c r="F104" i="5"/>
  <c r="H104" i="5" s="1"/>
  <c r="E104" i="5"/>
  <c r="D104" i="5"/>
  <c r="C104" i="5"/>
  <c r="B104" i="5"/>
  <c r="A104" i="5"/>
  <c r="F103" i="5"/>
  <c r="H103" i="5" s="1"/>
  <c r="E103" i="5"/>
  <c r="D103" i="5"/>
  <c r="C103" i="5"/>
  <c r="B103" i="5"/>
  <c r="A103" i="5"/>
  <c r="F102" i="5"/>
  <c r="H102" i="5" s="1"/>
  <c r="E102" i="5"/>
  <c r="D102" i="5"/>
  <c r="C102" i="5"/>
  <c r="B102" i="5"/>
  <c r="A102" i="5"/>
  <c r="F101" i="5"/>
  <c r="H101" i="5" s="1"/>
  <c r="E101" i="5"/>
  <c r="D101" i="5"/>
  <c r="C101" i="5"/>
  <c r="B101" i="5"/>
  <c r="A101" i="5"/>
  <c r="F100" i="5"/>
  <c r="H100" i="5" s="1"/>
  <c r="E100" i="5"/>
  <c r="D100" i="5"/>
  <c r="C100" i="5"/>
  <c r="B100" i="5"/>
  <c r="A100" i="5"/>
  <c r="F99" i="5"/>
  <c r="H99" i="5" s="1"/>
  <c r="E99" i="5"/>
  <c r="D99" i="5"/>
  <c r="C99" i="5"/>
  <c r="B99" i="5"/>
  <c r="A99" i="5"/>
  <c r="F98" i="5"/>
  <c r="H98" i="5" s="1"/>
  <c r="E98" i="5"/>
  <c r="D98" i="5"/>
  <c r="C98" i="5"/>
  <c r="B98" i="5"/>
  <c r="A98" i="5"/>
  <c r="F97" i="5"/>
  <c r="H97" i="5" s="1"/>
  <c r="E97" i="5"/>
  <c r="D97" i="5"/>
  <c r="C97" i="5"/>
  <c r="B97" i="5"/>
  <c r="A97" i="5"/>
  <c r="FC96" i="5"/>
  <c r="AC96" i="5"/>
  <c r="Y96" i="5"/>
  <c r="F96" i="5"/>
  <c r="H96" i="5" s="1"/>
  <c r="E96" i="5"/>
  <c r="D96" i="5"/>
  <c r="C96" i="5"/>
  <c r="B96" i="5"/>
  <c r="A96" i="5"/>
  <c r="FC95" i="5"/>
  <c r="AC95" i="5"/>
  <c r="Y95" i="5"/>
  <c r="F95" i="5"/>
  <c r="H95" i="5" s="1"/>
  <c r="E95" i="5"/>
  <c r="D95" i="5"/>
  <c r="C95" i="5"/>
  <c r="B95" i="5"/>
  <c r="A95" i="5"/>
  <c r="FC94" i="5"/>
  <c r="AC94" i="5"/>
  <c r="Y94" i="5"/>
  <c r="F94" i="5"/>
  <c r="H94" i="5" s="1"/>
  <c r="E94" i="5"/>
  <c r="D94" i="5"/>
  <c r="C94" i="5"/>
  <c r="B94" i="5"/>
  <c r="A94" i="5"/>
  <c r="FC93" i="5"/>
  <c r="AC93" i="5"/>
  <c r="Y93" i="5"/>
  <c r="F93" i="5"/>
  <c r="H93" i="5" s="1"/>
  <c r="E93" i="5"/>
  <c r="D93" i="5"/>
  <c r="C93" i="5"/>
  <c r="B93" i="5"/>
  <c r="A93" i="5"/>
  <c r="FC92" i="5"/>
  <c r="AC92" i="5"/>
  <c r="Y92" i="5"/>
  <c r="F92" i="5"/>
  <c r="H92" i="5" s="1"/>
  <c r="E92" i="5"/>
  <c r="D92" i="5"/>
  <c r="C92" i="5"/>
  <c r="B92" i="5"/>
  <c r="A92" i="5"/>
  <c r="FC91" i="5"/>
  <c r="AC91" i="5"/>
  <c r="Y91" i="5"/>
  <c r="F91" i="5"/>
  <c r="H91" i="5" s="1"/>
  <c r="E91" i="5"/>
  <c r="D91" i="5"/>
  <c r="C91" i="5"/>
  <c r="B91" i="5"/>
  <c r="A91" i="5"/>
  <c r="FC90" i="5"/>
  <c r="AC90" i="5"/>
  <c r="Y90" i="5"/>
  <c r="F90" i="5"/>
  <c r="H90" i="5" s="1"/>
  <c r="E90" i="5"/>
  <c r="D90" i="5"/>
  <c r="C90" i="5"/>
  <c r="B90" i="5"/>
  <c r="A90" i="5"/>
  <c r="FC89" i="5"/>
  <c r="AC89" i="5"/>
  <c r="Y89" i="5"/>
  <c r="F89" i="5"/>
  <c r="H89" i="5" s="1"/>
  <c r="E89" i="5"/>
  <c r="D89" i="5"/>
  <c r="C89" i="5"/>
  <c r="B89" i="5"/>
  <c r="A89" i="5"/>
  <c r="FC88" i="5"/>
  <c r="AC88" i="5"/>
  <c r="Y88" i="5"/>
  <c r="F88" i="5"/>
  <c r="H88" i="5" s="1"/>
  <c r="E88" i="5"/>
  <c r="D88" i="5"/>
  <c r="C88" i="5"/>
  <c r="B88" i="5"/>
  <c r="A88" i="5"/>
  <c r="FC87" i="5"/>
  <c r="AC87" i="5"/>
  <c r="Y87" i="5"/>
  <c r="F87" i="5"/>
  <c r="H87" i="5" s="1"/>
  <c r="E87" i="5"/>
  <c r="D87" i="5"/>
  <c r="C87" i="5"/>
  <c r="B87" i="5"/>
  <c r="A87" i="5"/>
  <c r="FC86" i="5"/>
  <c r="AC86" i="5"/>
  <c r="Y86" i="5"/>
  <c r="F86" i="5"/>
  <c r="H86" i="5" s="1"/>
  <c r="E86" i="5"/>
  <c r="D86" i="5"/>
  <c r="C86" i="5"/>
  <c r="B86" i="5"/>
  <c r="A86" i="5"/>
  <c r="FC85" i="5"/>
  <c r="AC85" i="5"/>
  <c r="Y85" i="5"/>
  <c r="F85" i="5"/>
  <c r="H85" i="5" s="1"/>
  <c r="E85" i="5"/>
  <c r="D85" i="5"/>
  <c r="C85" i="5"/>
  <c r="B85" i="5"/>
  <c r="A85" i="5"/>
  <c r="FC84" i="5"/>
  <c r="AC84" i="5"/>
  <c r="Y84" i="5"/>
  <c r="F84" i="5"/>
  <c r="H84" i="5" s="1"/>
  <c r="E84" i="5"/>
  <c r="D84" i="5"/>
  <c r="C84" i="5"/>
  <c r="B84" i="5"/>
  <c r="A84" i="5"/>
  <c r="FC83" i="5"/>
  <c r="AC83" i="5"/>
  <c r="Y83" i="5"/>
  <c r="F83" i="5"/>
  <c r="H83" i="5" s="1"/>
  <c r="E83" i="5"/>
  <c r="D83" i="5"/>
  <c r="C83" i="5"/>
  <c r="B83" i="5"/>
  <c r="A83" i="5"/>
  <c r="FC82" i="5"/>
  <c r="AC82" i="5"/>
  <c r="Y82" i="5"/>
  <c r="F82" i="5"/>
  <c r="H82" i="5" s="1"/>
  <c r="E82" i="5"/>
  <c r="D82" i="5"/>
  <c r="C82" i="5"/>
  <c r="B82" i="5"/>
  <c r="A82" i="5"/>
  <c r="FC81" i="5"/>
  <c r="AC81" i="5"/>
  <c r="Y81" i="5"/>
  <c r="F81" i="5"/>
  <c r="H81" i="5" s="1"/>
  <c r="E81" i="5"/>
  <c r="D81" i="5"/>
  <c r="C81" i="5"/>
  <c r="B81" i="5"/>
  <c r="A81" i="5"/>
  <c r="FC80" i="5"/>
  <c r="AC80" i="5"/>
  <c r="Y80" i="5"/>
  <c r="F80" i="5"/>
  <c r="H80" i="5" s="1"/>
  <c r="E80" i="5"/>
  <c r="D80" i="5"/>
  <c r="C80" i="5"/>
  <c r="B80" i="5"/>
  <c r="A80" i="5"/>
  <c r="FC79" i="5"/>
  <c r="AC79" i="5"/>
  <c r="Y79" i="5"/>
  <c r="F79" i="5"/>
  <c r="H79" i="5" s="1"/>
  <c r="E79" i="5"/>
  <c r="D79" i="5"/>
  <c r="C79" i="5"/>
  <c r="B79" i="5"/>
  <c r="A79" i="5"/>
  <c r="FC78" i="5"/>
  <c r="AC78" i="5"/>
  <c r="Y78" i="5"/>
  <c r="F78" i="5"/>
  <c r="H78" i="5" s="1"/>
  <c r="E78" i="5"/>
  <c r="D78" i="5"/>
  <c r="C78" i="5"/>
  <c r="B78" i="5"/>
  <c r="A78" i="5"/>
  <c r="FC77" i="5"/>
  <c r="AC77" i="5"/>
  <c r="Y77" i="5"/>
  <c r="F77" i="5"/>
  <c r="H77" i="5" s="1"/>
  <c r="E77" i="5"/>
  <c r="D77" i="5"/>
  <c r="C77" i="5"/>
  <c r="B77" i="5"/>
  <c r="A77" i="5"/>
  <c r="FC76" i="5"/>
  <c r="AC76" i="5"/>
  <c r="Y76" i="5"/>
  <c r="F76" i="5"/>
  <c r="H76" i="5" s="1"/>
  <c r="E76" i="5"/>
  <c r="D76" i="5"/>
  <c r="C76" i="5"/>
  <c r="B76" i="5"/>
  <c r="A76" i="5"/>
  <c r="FC75" i="5"/>
  <c r="AC75" i="5"/>
  <c r="Y75" i="5"/>
  <c r="F75" i="5"/>
  <c r="H75" i="5" s="1"/>
  <c r="E75" i="5"/>
  <c r="D75" i="5"/>
  <c r="C75" i="5"/>
  <c r="B75" i="5"/>
  <c r="A75" i="5"/>
  <c r="FC74" i="5"/>
  <c r="AC74" i="5"/>
  <c r="Y74" i="5"/>
  <c r="F74" i="5"/>
  <c r="H74" i="5" s="1"/>
  <c r="E74" i="5"/>
  <c r="D74" i="5"/>
  <c r="C74" i="5"/>
  <c r="B74" i="5"/>
  <c r="A74" i="5"/>
  <c r="FC73" i="5"/>
  <c r="AC73" i="5"/>
  <c r="Y73" i="5"/>
  <c r="F73" i="5"/>
  <c r="H73" i="5" s="1"/>
  <c r="E73" i="5"/>
  <c r="D73" i="5"/>
  <c r="C73" i="5"/>
  <c r="B73" i="5"/>
  <c r="A73" i="5"/>
  <c r="FC72" i="5"/>
  <c r="AC72" i="5"/>
  <c r="Y72" i="5"/>
  <c r="F72" i="5"/>
  <c r="H72" i="5" s="1"/>
  <c r="E72" i="5"/>
  <c r="D72" i="5"/>
  <c r="C72" i="5"/>
  <c r="B72" i="5"/>
  <c r="A72" i="5"/>
  <c r="FC71" i="5"/>
  <c r="AC71" i="5"/>
  <c r="Y71" i="5"/>
  <c r="F71" i="5"/>
  <c r="H71" i="5" s="1"/>
  <c r="E71" i="5"/>
  <c r="D71" i="5"/>
  <c r="C71" i="5"/>
  <c r="B71" i="5"/>
  <c r="A71" i="5"/>
  <c r="FC70" i="5"/>
  <c r="AC70" i="5"/>
  <c r="Y70" i="5"/>
  <c r="F70" i="5"/>
  <c r="H70" i="5" s="1"/>
  <c r="E70" i="5"/>
  <c r="D70" i="5"/>
  <c r="C70" i="5"/>
  <c r="B70" i="5"/>
  <c r="A70" i="5"/>
  <c r="FC69" i="5"/>
  <c r="AC69" i="5"/>
  <c r="Y69" i="5"/>
  <c r="F69" i="5"/>
  <c r="H69" i="5" s="1"/>
  <c r="E69" i="5"/>
  <c r="D69" i="5"/>
  <c r="C69" i="5"/>
  <c r="B69" i="5"/>
  <c r="A69" i="5"/>
  <c r="FC68" i="5"/>
  <c r="AC68" i="5"/>
  <c r="Y68" i="5"/>
  <c r="F68" i="5"/>
  <c r="H68" i="5" s="1"/>
  <c r="E68" i="5"/>
  <c r="D68" i="5"/>
  <c r="C68" i="5"/>
  <c r="B68" i="5"/>
  <c r="A68" i="5"/>
  <c r="FC67" i="5"/>
  <c r="AC67" i="5"/>
  <c r="Y67" i="5"/>
  <c r="F67" i="5"/>
  <c r="H67" i="5" s="1"/>
  <c r="E67" i="5"/>
  <c r="D67" i="5"/>
  <c r="C67" i="5"/>
  <c r="B67" i="5"/>
  <c r="A67" i="5"/>
  <c r="FC66" i="5"/>
  <c r="AC66" i="5"/>
  <c r="Y66" i="5"/>
  <c r="F66" i="5"/>
  <c r="H66" i="5" s="1"/>
  <c r="E66" i="5"/>
  <c r="D66" i="5"/>
  <c r="C66" i="5"/>
  <c r="B66" i="5"/>
  <c r="A66" i="5"/>
  <c r="FC65" i="5"/>
  <c r="AC65" i="5"/>
  <c r="Y65" i="5"/>
  <c r="F65" i="5"/>
  <c r="H65" i="5" s="1"/>
  <c r="E65" i="5"/>
  <c r="D65" i="5"/>
  <c r="C65" i="5"/>
  <c r="B65" i="5"/>
  <c r="A65" i="5"/>
  <c r="FC64" i="5"/>
  <c r="AC64" i="5"/>
  <c r="Y64" i="5"/>
  <c r="F64" i="5"/>
  <c r="H64" i="5" s="1"/>
  <c r="E64" i="5"/>
  <c r="D64" i="5"/>
  <c r="C64" i="5"/>
  <c r="B64" i="5"/>
  <c r="A64" i="5"/>
  <c r="FC63" i="5"/>
  <c r="AC63" i="5"/>
  <c r="Y63" i="5"/>
  <c r="F63" i="5"/>
  <c r="H63" i="5" s="1"/>
  <c r="E63" i="5"/>
  <c r="D63" i="5"/>
  <c r="C63" i="5"/>
  <c r="B63" i="5"/>
  <c r="A63" i="5"/>
  <c r="FC62" i="5"/>
  <c r="AC62" i="5"/>
  <c r="Y62" i="5"/>
  <c r="F62" i="5"/>
  <c r="H62" i="5" s="1"/>
  <c r="E62" i="5"/>
  <c r="D62" i="5"/>
  <c r="C62" i="5"/>
  <c r="B62" i="5"/>
  <c r="A62" i="5"/>
  <c r="FC61" i="5"/>
  <c r="AC61" i="5"/>
  <c r="Y61" i="5"/>
  <c r="F61" i="5"/>
  <c r="H61" i="5" s="1"/>
  <c r="E61" i="5"/>
  <c r="D61" i="5"/>
  <c r="C61" i="5"/>
  <c r="B61" i="5"/>
  <c r="A61" i="5"/>
  <c r="FC60" i="5"/>
  <c r="AC60" i="5"/>
  <c r="Y60" i="5"/>
  <c r="F60" i="5"/>
  <c r="H60" i="5" s="1"/>
  <c r="E60" i="5"/>
  <c r="D60" i="5"/>
  <c r="C60" i="5"/>
  <c r="B60" i="5"/>
  <c r="A60" i="5"/>
  <c r="FC59" i="5"/>
  <c r="AC59" i="5"/>
  <c r="Y59" i="5"/>
  <c r="F59" i="5"/>
  <c r="H59" i="5" s="1"/>
  <c r="E59" i="5"/>
  <c r="D59" i="5"/>
  <c r="C59" i="5"/>
  <c r="B59" i="5"/>
  <c r="A59" i="5"/>
  <c r="FC58" i="5"/>
  <c r="AC58" i="5"/>
  <c r="Y58" i="5"/>
  <c r="F58" i="5"/>
  <c r="H58" i="5" s="1"/>
  <c r="E58" i="5"/>
  <c r="D58" i="5"/>
  <c r="C58" i="5"/>
  <c r="B58" i="5"/>
  <c r="A58" i="5"/>
  <c r="FC57" i="5"/>
  <c r="AC57" i="5"/>
  <c r="Y57" i="5"/>
  <c r="F57" i="5"/>
  <c r="H57" i="5" s="1"/>
  <c r="E57" i="5"/>
  <c r="D57" i="5"/>
  <c r="C57" i="5"/>
  <c r="B57" i="5"/>
  <c r="A57" i="5"/>
  <c r="FC56" i="5"/>
  <c r="AC56" i="5"/>
  <c r="Y56" i="5"/>
  <c r="F56" i="5"/>
  <c r="H56" i="5" s="1"/>
  <c r="E56" i="5"/>
  <c r="D56" i="5"/>
  <c r="C56" i="5"/>
  <c r="B56" i="5"/>
  <c r="A56" i="5"/>
  <c r="FC55" i="5"/>
  <c r="AC55" i="5"/>
  <c r="Y55" i="5"/>
  <c r="F55" i="5"/>
  <c r="H55" i="5" s="1"/>
  <c r="E55" i="5"/>
  <c r="D55" i="5"/>
  <c r="C55" i="5"/>
  <c r="B55" i="5"/>
  <c r="A55" i="5"/>
  <c r="FC54" i="5"/>
  <c r="AC54" i="5"/>
  <c r="Y54" i="5"/>
  <c r="F54" i="5"/>
  <c r="H54" i="5" s="1"/>
  <c r="E54" i="5"/>
  <c r="D54" i="5"/>
  <c r="C54" i="5"/>
  <c r="B54" i="5"/>
  <c r="A54" i="5"/>
  <c r="FC53" i="5"/>
  <c r="AC53" i="5"/>
  <c r="Y53" i="5"/>
  <c r="F53" i="5"/>
  <c r="H53" i="5" s="1"/>
  <c r="E53" i="5"/>
  <c r="D53" i="5"/>
  <c r="C53" i="5"/>
  <c r="B53" i="5"/>
  <c r="A53" i="5"/>
  <c r="FC52" i="5"/>
  <c r="AC52" i="5"/>
  <c r="Y52" i="5"/>
  <c r="F52" i="5"/>
  <c r="H52" i="5" s="1"/>
  <c r="E52" i="5"/>
  <c r="D52" i="5"/>
  <c r="C52" i="5"/>
  <c r="B52" i="5"/>
  <c r="A52" i="5"/>
  <c r="FC51" i="5"/>
  <c r="AC51" i="5"/>
  <c r="Y51" i="5"/>
  <c r="F51" i="5"/>
  <c r="H51" i="5" s="1"/>
  <c r="E51" i="5"/>
  <c r="D51" i="5"/>
  <c r="C51" i="5"/>
  <c r="B51" i="5"/>
  <c r="A51" i="5"/>
  <c r="FC50" i="5"/>
  <c r="AC50" i="5"/>
  <c r="Y50" i="5"/>
  <c r="F50" i="5"/>
  <c r="H50" i="5" s="1"/>
  <c r="E50" i="5"/>
  <c r="D50" i="5"/>
  <c r="C50" i="5"/>
  <c r="B50" i="5"/>
  <c r="A50" i="5"/>
  <c r="FC49" i="5"/>
  <c r="AC49" i="5"/>
  <c r="Y49" i="5"/>
  <c r="F49" i="5"/>
  <c r="H49" i="5" s="1"/>
  <c r="E49" i="5"/>
  <c r="D49" i="5"/>
  <c r="C49" i="5"/>
  <c r="B49" i="5"/>
  <c r="A49" i="5"/>
  <c r="FC48" i="5"/>
  <c r="AC48" i="5"/>
  <c r="Y48" i="5"/>
  <c r="F48" i="5"/>
  <c r="H48" i="5" s="1"/>
  <c r="E48" i="5"/>
  <c r="D48" i="5"/>
  <c r="C48" i="5"/>
  <c r="B48" i="5"/>
  <c r="A48" i="5"/>
  <c r="FC47" i="5"/>
  <c r="AC47" i="5"/>
  <c r="Y47" i="5"/>
  <c r="F47" i="5"/>
  <c r="H47" i="5" s="1"/>
  <c r="E47" i="5"/>
  <c r="D47" i="5"/>
  <c r="C47" i="5"/>
  <c r="B47" i="5"/>
  <c r="A47" i="5"/>
  <c r="FC46" i="5"/>
  <c r="AC46" i="5"/>
  <c r="Y46" i="5"/>
  <c r="F46" i="5"/>
  <c r="H46" i="5" s="1"/>
  <c r="E46" i="5"/>
  <c r="D46" i="5"/>
  <c r="C46" i="5"/>
  <c r="B46" i="5"/>
  <c r="A46" i="5"/>
  <c r="FC45" i="5"/>
  <c r="AC45" i="5"/>
  <c r="Y45" i="5"/>
  <c r="F45" i="5"/>
  <c r="H45" i="5" s="1"/>
  <c r="E45" i="5"/>
  <c r="D45" i="5"/>
  <c r="C45" i="5"/>
  <c r="B45" i="5"/>
  <c r="A45" i="5"/>
  <c r="FC44" i="5"/>
  <c r="AC44" i="5"/>
  <c r="Y44" i="5"/>
  <c r="F44" i="5"/>
  <c r="H44" i="5" s="1"/>
  <c r="E44" i="5"/>
  <c r="D44" i="5"/>
  <c r="C44" i="5"/>
  <c r="B44" i="5"/>
  <c r="A44" i="5"/>
  <c r="FC43" i="5"/>
  <c r="AC43" i="5"/>
  <c r="Y43" i="5"/>
  <c r="F43" i="5"/>
  <c r="H43" i="5" s="1"/>
  <c r="E43" i="5"/>
  <c r="D43" i="5"/>
  <c r="C43" i="5"/>
  <c r="B43" i="5"/>
  <c r="A43" i="5"/>
  <c r="FC42" i="5"/>
  <c r="AC42" i="5"/>
  <c r="Y42" i="5"/>
  <c r="F42" i="5"/>
  <c r="H42" i="5" s="1"/>
  <c r="E42" i="5"/>
  <c r="D42" i="5"/>
  <c r="C42" i="5"/>
  <c r="B42" i="5"/>
  <c r="A42" i="5"/>
  <c r="FC41" i="5"/>
  <c r="AC41" i="5"/>
  <c r="Y41" i="5"/>
  <c r="F41" i="5"/>
  <c r="H41" i="5" s="1"/>
  <c r="E41" i="5"/>
  <c r="D41" i="5"/>
  <c r="C41" i="5"/>
  <c r="B41" i="5"/>
  <c r="A41" i="5"/>
  <c r="FC40" i="5"/>
  <c r="AC40" i="5"/>
  <c r="Y40" i="5"/>
  <c r="F40" i="5"/>
  <c r="H40" i="5" s="1"/>
  <c r="E40" i="5"/>
  <c r="D40" i="5"/>
  <c r="C40" i="5"/>
  <c r="B40" i="5"/>
  <c r="A40" i="5"/>
  <c r="FC39" i="5"/>
  <c r="AC39" i="5"/>
  <c r="Y39" i="5"/>
  <c r="F39" i="5"/>
  <c r="H39" i="5" s="1"/>
  <c r="E39" i="5"/>
  <c r="D39" i="5"/>
  <c r="C39" i="5"/>
  <c r="B39" i="5"/>
  <c r="A39" i="5"/>
  <c r="FC38" i="5"/>
  <c r="AC38" i="5"/>
  <c r="Y38" i="5"/>
  <c r="F38" i="5"/>
  <c r="H38" i="5" s="1"/>
  <c r="E38" i="5"/>
  <c r="D38" i="5"/>
  <c r="C38" i="5"/>
  <c r="B38" i="5"/>
  <c r="A38" i="5"/>
  <c r="FC37" i="5"/>
  <c r="AC37" i="5"/>
  <c r="Y37" i="5"/>
  <c r="F37" i="5"/>
  <c r="H37" i="5" s="1"/>
  <c r="E37" i="5"/>
  <c r="D37" i="5"/>
  <c r="C37" i="5"/>
  <c r="B37" i="5"/>
  <c r="A37" i="5"/>
  <c r="FC36" i="5"/>
  <c r="AC36" i="5"/>
  <c r="Y36" i="5"/>
  <c r="F36" i="5"/>
  <c r="H36" i="5" s="1"/>
  <c r="E36" i="5"/>
  <c r="D36" i="5"/>
  <c r="C36" i="5"/>
  <c r="B36" i="5"/>
  <c r="A36" i="5"/>
  <c r="FC35" i="5"/>
  <c r="AC35" i="5"/>
  <c r="Y35" i="5"/>
  <c r="F35" i="5"/>
  <c r="H35" i="5" s="1"/>
  <c r="E35" i="5"/>
  <c r="D35" i="5"/>
  <c r="C35" i="5"/>
  <c r="B35" i="5"/>
  <c r="A35" i="5"/>
  <c r="FC34" i="5"/>
  <c r="AC34" i="5"/>
  <c r="Y34" i="5"/>
  <c r="F34" i="5"/>
  <c r="H34" i="5" s="1"/>
  <c r="E34" i="5"/>
  <c r="D34" i="5"/>
  <c r="C34" i="5"/>
  <c r="B34" i="5"/>
  <c r="A34" i="5"/>
  <c r="FC33" i="5"/>
  <c r="AC33" i="5"/>
  <c r="Y33" i="5"/>
  <c r="F33" i="5"/>
  <c r="H33" i="5" s="1"/>
  <c r="E33" i="5"/>
  <c r="D33" i="5"/>
  <c r="C33" i="5"/>
  <c r="B33" i="5"/>
  <c r="A33" i="5"/>
  <c r="FC32" i="5"/>
  <c r="AC32" i="5"/>
  <c r="Y32" i="5"/>
  <c r="F32" i="5"/>
  <c r="H32" i="5" s="1"/>
  <c r="E32" i="5"/>
  <c r="D32" i="5"/>
  <c r="C32" i="5"/>
  <c r="B32" i="5"/>
  <c r="A32" i="5"/>
  <c r="FC31" i="5"/>
  <c r="AC31" i="5"/>
  <c r="Y31" i="5"/>
  <c r="F31" i="5"/>
  <c r="H31" i="5" s="1"/>
  <c r="E31" i="5"/>
  <c r="D31" i="5"/>
  <c r="C31" i="5"/>
  <c r="B31" i="5"/>
  <c r="A31" i="5"/>
  <c r="FC30" i="5"/>
  <c r="AC30" i="5"/>
  <c r="Y30" i="5"/>
  <c r="F30" i="5"/>
  <c r="H30" i="5" s="1"/>
  <c r="E30" i="5"/>
  <c r="D30" i="5"/>
  <c r="C30" i="5"/>
  <c r="B30" i="5"/>
  <c r="A30" i="5"/>
  <c r="FC29" i="5"/>
  <c r="AC29" i="5"/>
  <c r="Y29" i="5"/>
  <c r="F29" i="5"/>
  <c r="H29" i="5" s="1"/>
  <c r="E29" i="5"/>
  <c r="D29" i="5"/>
  <c r="C29" i="5"/>
  <c r="B29" i="5"/>
  <c r="A29" i="5"/>
  <c r="FC28" i="5"/>
  <c r="AC28" i="5"/>
  <c r="Y28" i="5"/>
  <c r="F28" i="5"/>
  <c r="H28" i="5" s="1"/>
  <c r="E28" i="5"/>
  <c r="D28" i="5"/>
  <c r="C28" i="5"/>
  <c r="B28" i="5"/>
  <c r="A28" i="5"/>
  <c r="FC27" i="5"/>
  <c r="AC27" i="5"/>
  <c r="Y27" i="5"/>
  <c r="F27" i="5"/>
  <c r="H27" i="5" s="1"/>
  <c r="E27" i="5"/>
  <c r="D27" i="5"/>
  <c r="C27" i="5"/>
  <c r="B27" i="5"/>
  <c r="A27" i="5"/>
  <c r="FC26" i="5"/>
  <c r="AC26" i="5"/>
  <c r="Y26" i="5"/>
  <c r="F26" i="5"/>
  <c r="H26" i="5" s="1"/>
  <c r="E26" i="5"/>
  <c r="D26" i="5"/>
  <c r="C26" i="5"/>
  <c r="B26" i="5"/>
  <c r="A26" i="5"/>
  <c r="FC25" i="5"/>
  <c r="AC25" i="5"/>
  <c r="Y25" i="5"/>
  <c r="F25" i="5"/>
  <c r="H25" i="5" s="1"/>
  <c r="E25" i="5"/>
  <c r="D25" i="5"/>
  <c r="C25" i="5"/>
  <c r="B25" i="5"/>
  <c r="A25" i="5"/>
  <c r="FC24" i="5"/>
  <c r="AC24" i="5"/>
  <c r="Y24" i="5"/>
  <c r="F24" i="5"/>
  <c r="H24" i="5" s="1"/>
  <c r="E24" i="5"/>
  <c r="D24" i="5"/>
  <c r="C24" i="5"/>
  <c r="B24" i="5"/>
  <c r="A24" i="5"/>
  <c r="FC23" i="5"/>
  <c r="AC23" i="5"/>
  <c r="Y23" i="5"/>
  <c r="F23" i="5"/>
  <c r="H23" i="5" s="1"/>
  <c r="E23" i="5"/>
  <c r="D23" i="5"/>
  <c r="C23" i="5"/>
  <c r="B23" i="5"/>
  <c r="A23" i="5"/>
  <c r="FC22" i="5"/>
  <c r="AC22" i="5"/>
  <c r="Y22" i="5"/>
  <c r="F22" i="5"/>
  <c r="H22" i="5" s="1"/>
  <c r="E22" i="5"/>
  <c r="D22" i="5"/>
  <c r="C22" i="5"/>
  <c r="B22" i="5"/>
  <c r="A22" i="5"/>
  <c r="FC21" i="5"/>
  <c r="AC21" i="5"/>
  <c r="Y21" i="5"/>
  <c r="F21" i="5"/>
  <c r="H21" i="5" s="1"/>
  <c r="E21" i="5"/>
  <c r="D21" i="5"/>
  <c r="C21" i="5"/>
  <c r="B21" i="5"/>
  <c r="A21" i="5"/>
  <c r="FC20" i="5"/>
  <c r="AC20" i="5"/>
  <c r="Y20" i="5"/>
  <c r="F20" i="5"/>
  <c r="H20" i="5" s="1"/>
  <c r="E20" i="5"/>
  <c r="D20" i="5"/>
  <c r="C20" i="5"/>
  <c r="B20" i="5"/>
  <c r="A20" i="5"/>
  <c r="FC19" i="5"/>
  <c r="AC19" i="5"/>
  <c r="Y19" i="5"/>
  <c r="F19" i="5"/>
  <c r="H19" i="5" s="1"/>
  <c r="E19" i="5"/>
  <c r="D19" i="5"/>
  <c r="C19" i="5"/>
  <c r="B19" i="5"/>
  <c r="A19" i="5"/>
  <c r="FC18" i="5"/>
  <c r="AC18" i="5"/>
  <c r="Y18" i="5"/>
  <c r="F18" i="5"/>
  <c r="H18" i="5" s="1"/>
  <c r="E18" i="5"/>
  <c r="D18" i="5"/>
  <c r="C18" i="5"/>
  <c r="B18" i="5"/>
  <c r="A18" i="5"/>
  <c r="FC17" i="5"/>
  <c r="AC17" i="5"/>
  <c r="Y17" i="5"/>
  <c r="F17" i="5"/>
  <c r="H17" i="5" s="1"/>
  <c r="E17" i="5"/>
  <c r="D17" i="5"/>
  <c r="C17" i="5"/>
  <c r="B17" i="5"/>
  <c r="A17" i="5"/>
  <c r="FC16" i="5"/>
  <c r="AC16" i="5"/>
  <c r="Y16" i="5"/>
  <c r="F16" i="5"/>
  <c r="H16" i="5" s="1"/>
  <c r="E16" i="5"/>
  <c r="D16" i="5"/>
  <c r="C16" i="5"/>
  <c r="B16" i="5"/>
  <c r="A16" i="5"/>
  <c r="FC15" i="5"/>
  <c r="AC15" i="5"/>
  <c r="Y15" i="5"/>
  <c r="F15" i="5"/>
  <c r="H15" i="5" s="1"/>
  <c r="E15" i="5"/>
  <c r="D15" i="5"/>
  <c r="C15" i="5"/>
  <c r="B15" i="5"/>
  <c r="A15" i="5"/>
  <c r="FC14" i="5"/>
  <c r="AC14" i="5"/>
  <c r="Y14" i="5"/>
  <c r="F14" i="5"/>
  <c r="H14" i="5" s="1"/>
  <c r="E14" i="5"/>
  <c r="D14" i="5"/>
  <c r="C14" i="5"/>
  <c r="B14" i="5"/>
  <c r="A14" i="5"/>
  <c r="FC13" i="5"/>
  <c r="AC13" i="5"/>
  <c r="Y13" i="5"/>
  <c r="F13" i="5"/>
  <c r="H13" i="5" s="1"/>
  <c r="E13" i="5"/>
  <c r="D13" i="5"/>
  <c r="C13" i="5"/>
  <c r="B13" i="5"/>
  <c r="A13" i="5"/>
  <c r="FC12" i="5"/>
  <c r="AC12" i="5"/>
  <c r="Y12" i="5"/>
  <c r="F12" i="5"/>
  <c r="H12" i="5" s="1"/>
  <c r="E12" i="5"/>
  <c r="D12" i="5"/>
  <c r="C12" i="5"/>
  <c r="B12" i="5"/>
  <c r="A12" i="5"/>
  <c r="FC11" i="5"/>
  <c r="AC11" i="5"/>
  <c r="Y11" i="5"/>
  <c r="F11" i="5"/>
  <c r="H11" i="5" s="1"/>
  <c r="E11" i="5"/>
  <c r="D11" i="5"/>
  <c r="C11" i="5"/>
  <c r="B11" i="5"/>
  <c r="A11" i="5"/>
  <c r="FC10" i="5"/>
  <c r="AC10" i="5"/>
  <c r="Y10" i="5"/>
  <c r="F10" i="5"/>
  <c r="H10" i="5" s="1"/>
  <c r="E10" i="5"/>
  <c r="D10" i="5"/>
  <c r="C10" i="5"/>
  <c r="B10" i="5"/>
  <c r="A10" i="5"/>
  <c r="FC9" i="5"/>
  <c r="AC9" i="5"/>
  <c r="Y9" i="5"/>
  <c r="F9" i="5"/>
  <c r="H9" i="5" s="1"/>
  <c r="E9" i="5"/>
  <c r="D9" i="5"/>
  <c r="C9" i="5"/>
  <c r="B9" i="5"/>
  <c r="A9" i="5"/>
  <c r="FC8" i="5"/>
  <c r="AC8" i="5"/>
  <c r="Y8" i="5"/>
  <c r="F8" i="5"/>
  <c r="H8" i="5" s="1"/>
  <c r="E8" i="5"/>
  <c r="D8" i="5"/>
  <c r="C8" i="5"/>
  <c r="B8" i="5"/>
  <c r="A8" i="5"/>
  <c r="B48" i="2"/>
  <c r="B21" i="2"/>
  <c r="B20" i="2"/>
  <c r="B16" i="2"/>
  <c r="B17" i="2" s="1"/>
  <c r="B10" i="2"/>
  <c r="B59" i="2" s="1"/>
  <c r="A39" i="1"/>
  <c r="A38" i="1"/>
  <c r="A37" i="1"/>
  <c r="A36" i="1"/>
  <c r="A35" i="1"/>
  <c r="A34" i="1"/>
  <c r="A33" i="1"/>
  <c r="A32" i="1"/>
  <c r="A31" i="1"/>
  <c r="A30" i="1"/>
  <c r="A29" i="1"/>
  <c r="A28" i="1"/>
  <c r="A27" i="1"/>
  <c r="A26" i="1"/>
  <c r="A25" i="1"/>
  <c r="A24" i="1"/>
  <c r="A23" i="1"/>
  <c r="A22" i="1"/>
  <c r="A21" i="1"/>
  <c r="A20" i="1"/>
  <c r="A19" i="1"/>
  <c r="A18" i="1"/>
  <c r="B11" i="1"/>
  <c r="B10" i="1"/>
  <c r="B9" i="1"/>
  <c r="G417" i="6" l="1"/>
  <c r="I417" i="6"/>
  <c r="M417" i="6" s="1"/>
  <c r="H417" i="6"/>
  <c r="G160" i="6"/>
  <c r="I160" i="6"/>
  <c r="M160" i="6" s="1"/>
  <c r="H160" i="6"/>
  <c r="J160" i="6" s="1"/>
  <c r="J614" i="5"/>
  <c r="G614" i="5"/>
  <c r="J411" i="5"/>
  <c r="G411" i="5"/>
  <c r="G353" i="5"/>
  <c r="J353" i="5"/>
  <c r="G208" i="5"/>
  <c r="J208" i="5"/>
  <c r="P15" i="18"/>
  <c r="R15" i="18" s="1"/>
  <c r="R8" i="18"/>
  <c r="Q9" i="18"/>
  <c r="Q14" i="18"/>
  <c r="Q13" i="18"/>
  <c r="Q12" i="18"/>
  <c r="Q10" i="18"/>
  <c r="Q11" i="18"/>
  <c r="Q8" i="18"/>
  <c r="Q15" i="18" s="1"/>
  <c r="M8" i="18"/>
  <c r="AD340" i="11"/>
  <c r="AE340" i="11" s="1"/>
  <c r="J340" i="11"/>
  <c r="AD339" i="11"/>
  <c r="AE339" i="11" s="1"/>
  <c r="J339" i="11"/>
  <c r="J338" i="11"/>
  <c r="AD338" i="11"/>
  <c r="AE338" i="11" s="1"/>
  <c r="AD337" i="11"/>
  <c r="AE337" i="11" s="1"/>
  <c r="J337" i="11"/>
  <c r="J336" i="11"/>
  <c r="AD336" i="11"/>
  <c r="AE336" i="11" s="1"/>
  <c r="AD335" i="11"/>
  <c r="AE335" i="11" s="1"/>
  <c r="J335" i="11"/>
  <c r="AD334" i="11"/>
  <c r="AE334" i="11" s="1"/>
  <c r="J334" i="11"/>
  <c r="AD333" i="11"/>
  <c r="AE333" i="11" s="1"/>
  <c r="J333" i="11"/>
  <c r="AD332" i="11"/>
  <c r="AE332" i="11" s="1"/>
  <c r="J332" i="11"/>
  <c r="J331" i="11"/>
  <c r="AD331" i="11"/>
  <c r="AE331" i="11" s="1"/>
  <c r="AD330" i="11"/>
  <c r="AE330" i="11" s="1"/>
  <c r="J330" i="11"/>
  <c r="AD329" i="11"/>
  <c r="AE329" i="11" s="1"/>
  <c r="J329" i="11"/>
  <c r="AD328" i="11"/>
  <c r="AE328" i="11" s="1"/>
  <c r="J328" i="11"/>
  <c r="J327" i="11"/>
  <c r="AD327" i="11"/>
  <c r="AE327" i="11" s="1"/>
  <c r="AD326" i="11"/>
  <c r="AE326" i="11" s="1"/>
  <c r="J326" i="11"/>
  <c r="AD325" i="11"/>
  <c r="AE325" i="11" s="1"/>
  <c r="J325" i="11"/>
  <c r="AD324" i="11"/>
  <c r="AE324" i="11" s="1"/>
  <c r="J324" i="11"/>
  <c r="J323" i="11"/>
  <c r="AD323" i="11"/>
  <c r="AE323" i="11" s="1"/>
  <c r="AD322" i="11"/>
  <c r="AE322" i="11" s="1"/>
  <c r="J322" i="11"/>
  <c r="AD321" i="11"/>
  <c r="AE321" i="11" s="1"/>
  <c r="J321" i="11"/>
  <c r="AD320" i="11"/>
  <c r="AE320" i="11" s="1"/>
  <c r="J320" i="11"/>
  <c r="AD319" i="11"/>
  <c r="AE319" i="11" s="1"/>
  <c r="J319" i="11"/>
  <c r="AD318" i="11"/>
  <c r="AE318" i="11" s="1"/>
  <c r="J318" i="11"/>
  <c r="AD317" i="11"/>
  <c r="AE317" i="11" s="1"/>
  <c r="J317" i="11"/>
  <c r="J316" i="11"/>
  <c r="AD316" i="11"/>
  <c r="AE316" i="11" s="1"/>
  <c r="AD315" i="11"/>
  <c r="AE315" i="11" s="1"/>
  <c r="J315" i="11"/>
  <c r="AD314" i="11"/>
  <c r="AE314" i="11" s="1"/>
  <c r="J314" i="11"/>
  <c r="AD313" i="11"/>
  <c r="AE313" i="11" s="1"/>
  <c r="J313" i="11"/>
  <c r="AD312" i="11"/>
  <c r="AE312" i="11" s="1"/>
  <c r="J312" i="11"/>
  <c r="AD311" i="11"/>
  <c r="AE311" i="11" s="1"/>
  <c r="J311" i="11"/>
  <c r="AD310" i="11"/>
  <c r="AE310" i="11" s="1"/>
  <c r="J310" i="11"/>
  <c r="AD309" i="11"/>
  <c r="AE309" i="11" s="1"/>
  <c r="J309" i="11"/>
  <c r="J308" i="11"/>
  <c r="AD308" i="11"/>
  <c r="AE308" i="11" s="1"/>
  <c r="AD307" i="11"/>
  <c r="AE307" i="11" s="1"/>
  <c r="J307" i="11"/>
  <c r="J306" i="11"/>
  <c r="AD306" i="11"/>
  <c r="AE306" i="11" s="1"/>
  <c r="AD305" i="11"/>
  <c r="AE305" i="11" s="1"/>
  <c r="J305" i="11"/>
  <c r="J304" i="11"/>
  <c r="AD304" i="11"/>
  <c r="AE304" i="11" s="1"/>
  <c r="AD303" i="11"/>
  <c r="AE303" i="11" s="1"/>
  <c r="J303" i="11"/>
  <c r="J302" i="11"/>
  <c r="AD302" i="11"/>
  <c r="AE302" i="11" s="1"/>
  <c r="J301" i="11"/>
  <c r="AD301" i="11"/>
  <c r="AE301" i="11" s="1"/>
  <c r="AD300" i="11"/>
  <c r="AE300" i="11" s="1"/>
  <c r="J300" i="11"/>
  <c r="AD299" i="11"/>
  <c r="AE299" i="11" s="1"/>
  <c r="J299" i="11"/>
  <c r="J298" i="11"/>
  <c r="AD298" i="11"/>
  <c r="AE298" i="11" s="1"/>
  <c r="AD297" i="11"/>
  <c r="AE297" i="11" s="1"/>
  <c r="J297" i="11"/>
  <c r="AD296" i="11"/>
  <c r="AE296" i="11" s="1"/>
  <c r="J296" i="11"/>
  <c r="AD295" i="11"/>
  <c r="AE295" i="11" s="1"/>
  <c r="J295" i="11"/>
  <c r="J294" i="11"/>
  <c r="AD294" i="11"/>
  <c r="AE294" i="11" s="1"/>
  <c r="AD293" i="11"/>
  <c r="AE293" i="11" s="1"/>
  <c r="J293" i="11"/>
  <c r="AD292" i="11"/>
  <c r="AE292" i="11" s="1"/>
  <c r="J292" i="11"/>
  <c r="J291" i="11"/>
  <c r="AD291" i="11"/>
  <c r="AE291" i="11" s="1"/>
  <c r="J290" i="11"/>
  <c r="AD290" i="11"/>
  <c r="AE290" i="11" s="1"/>
  <c r="AD289" i="11"/>
  <c r="AE289" i="11" s="1"/>
  <c r="J289" i="11"/>
  <c r="AD288" i="11"/>
  <c r="AE288" i="11" s="1"/>
  <c r="J288" i="11"/>
  <c r="AD287" i="11"/>
  <c r="AE287" i="11" s="1"/>
  <c r="J287" i="11"/>
  <c r="AD286" i="11"/>
  <c r="AE286" i="11" s="1"/>
  <c r="J286" i="11"/>
  <c r="AD285" i="11"/>
  <c r="AE285" i="11" s="1"/>
  <c r="J285" i="11"/>
  <c r="AD284" i="11"/>
  <c r="AE284" i="11" s="1"/>
  <c r="J284" i="11"/>
  <c r="AD283" i="11"/>
  <c r="AE283" i="11" s="1"/>
  <c r="J283" i="11"/>
  <c r="AD282" i="11"/>
  <c r="AE282" i="11" s="1"/>
  <c r="J282" i="11"/>
  <c r="AD281" i="11"/>
  <c r="AE281" i="11" s="1"/>
  <c r="J281" i="11"/>
  <c r="L278" i="11"/>
  <c r="K278" i="11"/>
  <c r="L277" i="11"/>
  <c r="K277" i="11"/>
  <c r="L276" i="11"/>
  <c r="K276" i="11"/>
  <c r="L275" i="11"/>
  <c r="K275" i="11"/>
  <c r="L274" i="11"/>
  <c r="K274" i="11"/>
  <c r="L273" i="11"/>
  <c r="K273" i="11"/>
  <c r="L272" i="11"/>
  <c r="K272" i="11"/>
  <c r="L271" i="11"/>
  <c r="K271" i="11"/>
  <c r="L270" i="11"/>
  <c r="K270" i="11"/>
  <c r="L269" i="11"/>
  <c r="K269" i="11"/>
  <c r="L268" i="11"/>
  <c r="K268" i="11"/>
  <c r="L267" i="11"/>
  <c r="K267" i="11"/>
  <c r="L266" i="11"/>
  <c r="K266" i="11"/>
  <c r="L265" i="11"/>
  <c r="K265" i="11"/>
  <c r="L264" i="11"/>
  <c r="K264" i="11"/>
  <c r="K263" i="11"/>
  <c r="L263" i="11"/>
  <c r="L262" i="11"/>
  <c r="K262" i="11"/>
  <c r="L261" i="11"/>
  <c r="K261" i="11"/>
  <c r="L260" i="11"/>
  <c r="K260" i="11"/>
  <c r="L259" i="11"/>
  <c r="K259" i="11"/>
  <c r="L258" i="11"/>
  <c r="K258" i="11"/>
  <c r="L257" i="11"/>
  <c r="K257" i="11"/>
  <c r="L256" i="11"/>
  <c r="K256" i="11"/>
  <c r="L255" i="11"/>
  <c r="K255" i="11"/>
  <c r="L254" i="11"/>
  <c r="K254" i="11"/>
  <c r="L253" i="11"/>
  <c r="K253" i="11"/>
  <c r="L252" i="11"/>
  <c r="K252" i="11"/>
  <c r="L251" i="11"/>
  <c r="K251" i="11"/>
  <c r="L250" i="11"/>
  <c r="K250" i="11"/>
  <c r="L249" i="11"/>
  <c r="K249" i="11"/>
  <c r="L248" i="11"/>
  <c r="K248" i="11"/>
  <c r="L247" i="11"/>
  <c r="K247" i="11"/>
  <c r="L246" i="11"/>
  <c r="K246" i="11"/>
  <c r="L245" i="11"/>
  <c r="K245" i="11"/>
  <c r="L244" i="11"/>
  <c r="K244" i="11"/>
  <c r="L243" i="11"/>
  <c r="K243" i="11"/>
  <c r="L242" i="11"/>
  <c r="K242" i="11"/>
  <c r="L241" i="11"/>
  <c r="K241" i="11"/>
  <c r="K240" i="11"/>
  <c r="L240" i="11"/>
  <c r="K239" i="11"/>
  <c r="L239" i="11"/>
  <c r="L238" i="11"/>
  <c r="K238" i="11"/>
  <c r="L237" i="11"/>
  <c r="K237" i="11"/>
  <c r="K236" i="11"/>
  <c r="L236" i="11"/>
  <c r="L235" i="11"/>
  <c r="K235" i="11"/>
  <c r="L234" i="11"/>
  <c r="K234" i="11"/>
  <c r="L233" i="11"/>
  <c r="K233" i="11"/>
  <c r="L232" i="11"/>
  <c r="K232" i="11"/>
  <c r="L231" i="11"/>
  <c r="K231" i="11"/>
  <c r="L230" i="11"/>
  <c r="K230" i="11"/>
  <c r="L229" i="11"/>
  <c r="K229" i="11"/>
  <c r="K228" i="11"/>
  <c r="L228" i="11"/>
  <c r="L227" i="11"/>
  <c r="K227" i="11"/>
  <c r="L226" i="11"/>
  <c r="K226" i="11"/>
  <c r="L225" i="11"/>
  <c r="K225" i="11"/>
  <c r="L222" i="11"/>
  <c r="K222" i="11"/>
  <c r="L221" i="11"/>
  <c r="K221" i="11"/>
  <c r="L220" i="11"/>
  <c r="K220" i="11"/>
  <c r="K219" i="11"/>
  <c r="L219" i="11"/>
  <c r="K218" i="11"/>
  <c r="L218" i="11"/>
  <c r="L217" i="11"/>
  <c r="K217" i="11"/>
  <c r="L216" i="11"/>
  <c r="K216" i="11"/>
  <c r="K215" i="11"/>
  <c r="L215" i="11"/>
  <c r="K214" i="11"/>
  <c r="L214" i="11"/>
  <c r="L213" i="11"/>
  <c r="K213" i="11"/>
  <c r="L212" i="11"/>
  <c r="K212" i="11"/>
  <c r="K211" i="11"/>
  <c r="L211" i="11"/>
  <c r="L210" i="11"/>
  <c r="K210" i="11"/>
  <c r="L209" i="11"/>
  <c r="K209" i="11"/>
  <c r="L208" i="11"/>
  <c r="K208" i="11"/>
  <c r="L205" i="11"/>
  <c r="K205" i="11"/>
  <c r="K204" i="11"/>
  <c r="L204" i="11"/>
  <c r="L203" i="11"/>
  <c r="K203" i="11"/>
  <c r="K202" i="11"/>
  <c r="L202" i="11"/>
  <c r="K201" i="11"/>
  <c r="L201" i="11"/>
  <c r="K200" i="11"/>
  <c r="L200" i="11"/>
  <c r="L199" i="11"/>
  <c r="K199" i="11"/>
  <c r="L198" i="11"/>
  <c r="K198" i="11"/>
  <c r="L197" i="11"/>
  <c r="K197" i="11"/>
  <c r="L196" i="11"/>
  <c r="K196" i="11"/>
  <c r="K195" i="11"/>
  <c r="L195" i="11"/>
  <c r="L194" i="11"/>
  <c r="K194" i="11"/>
  <c r="L193" i="11"/>
  <c r="K193" i="11"/>
  <c r="K192" i="11"/>
  <c r="L192" i="11"/>
  <c r="K191" i="11"/>
  <c r="L191" i="11"/>
  <c r="K188" i="11"/>
  <c r="L188" i="11"/>
  <c r="K187" i="11"/>
  <c r="L187" i="11"/>
  <c r="L186" i="11"/>
  <c r="K186" i="11"/>
  <c r="K185" i="11"/>
  <c r="L185" i="11"/>
  <c r="L184" i="11"/>
  <c r="K184" i="11"/>
  <c r="L181" i="11"/>
  <c r="K181" i="11"/>
  <c r="L180" i="11"/>
  <c r="K180" i="11"/>
  <c r="L179" i="11"/>
  <c r="K179" i="11"/>
  <c r="L178" i="11"/>
  <c r="K178" i="11"/>
  <c r="K177" i="11"/>
  <c r="K174" i="11"/>
  <c r="K173" i="11"/>
  <c r="K172" i="11"/>
  <c r="K171" i="11"/>
  <c r="K170" i="11"/>
  <c r="K167" i="11"/>
  <c r="K166" i="11"/>
  <c r="K165" i="11"/>
  <c r="K164" i="11"/>
  <c r="K163" i="11"/>
  <c r="K160" i="11"/>
  <c r="K159" i="11"/>
  <c r="K158" i="11"/>
  <c r="K157" i="11"/>
  <c r="K156" i="11"/>
  <c r="K153" i="11"/>
  <c r="K152" i="11"/>
  <c r="K151" i="11"/>
  <c r="K150" i="11"/>
  <c r="K149" i="11"/>
  <c r="K146" i="11"/>
  <c r="K145" i="11"/>
  <c r="K144" i="11"/>
  <c r="K143" i="11"/>
  <c r="K142" i="11"/>
  <c r="K141" i="11"/>
  <c r="K140" i="11"/>
  <c r="K139" i="11"/>
  <c r="K138" i="11"/>
  <c r="K137" i="11"/>
  <c r="K136" i="11"/>
  <c r="K135" i="11"/>
  <c r="K134" i="11"/>
  <c r="K133" i="11"/>
  <c r="K132" i="11"/>
  <c r="K131" i="11"/>
  <c r="K130" i="11"/>
  <c r="K129" i="11"/>
  <c r="K128" i="11"/>
  <c r="K127" i="11"/>
  <c r="K126" i="11"/>
  <c r="K125" i="11"/>
  <c r="K124" i="11"/>
  <c r="K123" i="11"/>
  <c r="K122" i="11"/>
  <c r="K121" i="11"/>
  <c r="K120" i="11"/>
  <c r="K119" i="11"/>
  <c r="K118" i="11"/>
  <c r="K117" i="11"/>
  <c r="K114" i="11"/>
  <c r="L114" i="11"/>
  <c r="L113" i="11"/>
  <c r="K113" i="11"/>
  <c r="L112" i="11"/>
  <c r="K112" i="11"/>
  <c r="K111" i="11"/>
  <c r="L111" i="11"/>
  <c r="L110" i="11"/>
  <c r="K110" i="11"/>
  <c r="L107" i="11"/>
  <c r="K107" i="11"/>
  <c r="L106" i="11"/>
  <c r="K106" i="11"/>
  <c r="K105" i="11"/>
  <c r="L105" i="11"/>
  <c r="K104" i="11"/>
  <c r="L104" i="11"/>
  <c r="L103" i="11"/>
  <c r="K103" i="11"/>
  <c r="L100" i="11"/>
  <c r="K100" i="11"/>
  <c r="K99" i="11"/>
  <c r="L99" i="11"/>
  <c r="K98" i="11"/>
  <c r="L98" i="11"/>
  <c r="K97" i="11"/>
  <c r="L97" i="11"/>
  <c r="L96" i="11"/>
  <c r="K96" i="11"/>
  <c r="L93" i="11"/>
  <c r="K93" i="11"/>
  <c r="K92" i="11"/>
  <c r="L92" i="11"/>
  <c r="L91" i="11"/>
  <c r="K91" i="11"/>
  <c r="L90" i="11"/>
  <c r="K90" i="11"/>
  <c r="L89" i="11"/>
  <c r="K89" i="11"/>
  <c r="L86" i="11"/>
  <c r="K86" i="11"/>
  <c r="K85" i="11"/>
  <c r="L85" i="11"/>
  <c r="K84" i="11"/>
  <c r="L84" i="11"/>
  <c r="L83" i="11"/>
  <c r="K83" i="11"/>
  <c r="L82" i="11"/>
  <c r="K82" i="11"/>
  <c r="L79" i="11"/>
  <c r="K79" i="11"/>
  <c r="K78" i="11"/>
  <c r="L78" i="11"/>
  <c r="K77" i="11"/>
  <c r="L77" i="11"/>
  <c r="K76" i="11"/>
  <c r="L76" i="11"/>
  <c r="K75" i="11"/>
  <c r="L75" i="11"/>
  <c r="L72" i="11"/>
  <c r="K72" i="11"/>
  <c r="L71" i="11"/>
  <c r="K71" i="11"/>
  <c r="L70" i="11"/>
  <c r="K70" i="11"/>
  <c r="L69" i="11"/>
  <c r="K69" i="11"/>
  <c r="K68" i="11"/>
  <c r="L68" i="11"/>
  <c r="K67" i="11"/>
  <c r="L67" i="11"/>
  <c r="K66" i="11"/>
  <c r="L66" i="11"/>
  <c r="L65" i="11"/>
  <c r="K65" i="11"/>
  <c r="K64" i="11"/>
  <c r="L64" i="11"/>
  <c r="L63" i="11"/>
  <c r="K63" i="11"/>
  <c r="K62" i="11"/>
  <c r="L62" i="11"/>
  <c r="L61" i="11"/>
  <c r="K61" i="11"/>
  <c r="K60" i="11"/>
  <c r="L60" i="11"/>
  <c r="K59" i="11"/>
  <c r="L59" i="11"/>
  <c r="L58" i="11"/>
  <c r="K58" i="11"/>
  <c r="K55" i="11"/>
  <c r="L55" i="11"/>
  <c r="K54" i="11"/>
  <c r="L54" i="11"/>
  <c r="L53" i="11"/>
  <c r="K53" i="11"/>
  <c r="L52" i="11"/>
  <c r="K52" i="11"/>
  <c r="L51" i="11"/>
  <c r="K51" i="11"/>
  <c r="K50" i="11"/>
  <c r="L50" i="11"/>
  <c r="K49" i="11"/>
  <c r="L49" i="11"/>
  <c r="L48" i="11"/>
  <c r="K48" i="11"/>
  <c r="K47" i="11"/>
  <c r="L47" i="11"/>
  <c r="K46" i="11"/>
  <c r="L46" i="11"/>
  <c r="L45" i="11"/>
  <c r="K45" i="11"/>
  <c r="K44" i="11"/>
  <c r="L44" i="11"/>
  <c r="K43" i="11"/>
  <c r="L43" i="11"/>
  <c r="K42" i="11"/>
  <c r="L42" i="11"/>
  <c r="K41" i="11"/>
  <c r="L41" i="11"/>
  <c r="L38" i="11"/>
  <c r="K38" i="11"/>
  <c r="L37" i="11"/>
  <c r="K37" i="11"/>
  <c r="K36" i="11"/>
  <c r="L36" i="11"/>
  <c r="K35" i="11"/>
  <c r="L35" i="11"/>
  <c r="L34" i="11"/>
  <c r="K34" i="11"/>
  <c r="L33" i="11"/>
  <c r="K33" i="11"/>
  <c r="L32" i="11"/>
  <c r="K32" i="11"/>
  <c r="L31" i="11"/>
  <c r="K31" i="11"/>
  <c r="K30" i="11"/>
  <c r="L30" i="11"/>
  <c r="K29" i="11"/>
  <c r="L29" i="11"/>
  <c r="L28" i="11"/>
  <c r="K28" i="11"/>
  <c r="K27" i="11"/>
  <c r="K26" i="11"/>
  <c r="K25" i="11"/>
  <c r="K24" i="11"/>
  <c r="K23" i="11"/>
  <c r="K22" i="11"/>
  <c r="K21" i="11"/>
  <c r="K20" i="11"/>
  <c r="K19" i="11"/>
  <c r="K18" i="11"/>
  <c r="K17" i="11"/>
  <c r="K16" i="11"/>
  <c r="K15" i="11"/>
  <c r="K14" i="11"/>
  <c r="K13" i="11"/>
  <c r="K12" i="11"/>
  <c r="K11" i="11"/>
  <c r="K10" i="11"/>
  <c r="K9" i="11"/>
  <c r="L243" i="10"/>
  <c r="K243" i="10"/>
  <c r="N243" i="10" s="1"/>
  <c r="O243" i="10" s="1"/>
  <c r="Q243" i="10" s="1"/>
  <c r="J243" i="10"/>
  <c r="L242" i="10"/>
  <c r="K242" i="10"/>
  <c r="N242" i="10" s="1"/>
  <c r="O242" i="10" s="1"/>
  <c r="Q242" i="10" s="1"/>
  <c r="J242" i="10"/>
  <c r="L241" i="10"/>
  <c r="K241" i="10"/>
  <c r="N241" i="10" s="1"/>
  <c r="O241" i="10" s="1"/>
  <c r="Q241" i="10" s="1"/>
  <c r="J241" i="10"/>
  <c r="L240" i="10"/>
  <c r="K240" i="10"/>
  <c r="N240" i="10" s="1"/>
  <c r="J240" i="10"/>
  <c r="O240" i="10"/>
  <c r="Q240" i="10" s="1"/>
  <c r="J239" i="10"/>
  <c r="K239" i="10"/>
  <c r="L239" i="10"/>
  <c r="L238" i="10"/>
  <c r="K238" i="10"/>
  <c r="N238" i="10" s="1"/>
  <c r="O238" i="10" s="1"/>
  <c r="Q238" i="10" s="1"/>
  <c r="J238" i="10"/>
  <c r="K237" i="10"/>
  <c r="J237" i="10"/>
  <c r="L237" i="10"/>
  <c r="L236" i="10"/>
  <c r="K236" i="10"/>
  <c r="N236" i="10" s="1"/>
  <c r="O236" i="10" s="1"/>
  <c r="Q236" i="10" s="1"/>
  <c r="J236" i="10"/>
  <c r="L235" i="10"/>
  <c r="K235" i="10"/>
  <c r="N235" i="10" s="1"/>
  <c r="O235" i="10" s="1"/>
  <c r="Q235" i="10" s="1"/>
  <c r="J235" i="10"/>
  <c r="K234" i="10"/>
  <c r="L234" i="10"/>
  <c r="J234" i="10"/>
  <c r="L233" i="10"/>
  <c r="K233" i="10"/>
  <c r="N233" i="10" s="1"/>
  <c r="O233" i="10" s="1"/>
  <c r="Q233" i="10" s="1"/>
  <c r="J233" i="10"/>
  <c r="L232" i="10"/>
  <c r="K232" i="10"/>
  <c r="N232" i="10" s="1"/>
  <c r="O232" i="10" s="1"/>
  <c r="Q232" i="10" s="1"/>
  <c r="J232" i="10"/>
  <c r="J231" i="10"/>
  <c r="L231" i="10"/>
  <c r="K231" i="10"/>
  <c r="N231" i="10" s="1"/>
  <c r="O231" i="10" s="1"/>
  <c r="Q231" i="10" s="1"/>
  <c r="L230" i="10"/>
  <c r="K230" i="10"/>
  <c r="N230" i="10" s="1"/>
  <c r="O230" i="10" s="1"/>
  <c r="Q230" i="10" s="1"/>
  <c r="J230" i="10"/>
  <c r="J229" i="10"/>
  <c r="L229" i="10"/>
  <c r="K229" i="10"/>
  <c r="N229" i="10" s="1"/>
  <c r="O229" i="10" s="1"/>
  <c r="Q229" i="10" s="1"/>
  <c r="L228" i="10"/>
  <c r="J228" i="10"/>
  <c r="K228" i="10"/>
  <c r="N228" i="10" s="1"/>
  <c r="O228" i="10" s="1"/>
  <c r="Q228" i="10" s="1"/>
  <c r="L227" i="10"/>
  <c r="K227" i="10"/>
  <c r="N227" i="10" s="1"/>
  <c r="O227" i="10" s="1"/>
  <c r="Q227" i="10" s="1"/>
  <c r="J227" i="10"/>
  <c r="K226" i="10"/>
  <c r="J226" i="10"/>
  <c r="L226" i="10"/>
  <c r="L225" i="10"/>
  <c r="K225" i="10"/>
  <c r="N225" i="10" s="1"/>
  <c r="O225" i="10" s="1"/>
  <c r="Q225" i="10" s="1"/>
  <c r="J225" i="10"/>
  <c r="K224" i="10"/>
  <c r="J224" i="10"/>
  <c r="L224" i="10"/>
  <c r="L223" i="10"/>
  <c r="K223" i="10"/>
  <c r="N223" i="10" s="1"/>
  <c r="O223" i="10" s="1"/>
  <c r="Q223" i="10" s="1"/>
  <c r="J223" i="10"/>
  <c r="L222" i="10"/>
  <c r="K222" i="10"/>
  <c r="N222" i="10" s="1"/>
  <c r="O222" i="10" s="1"/>
  <c r="Q222" i="10" s="1"/>
  <c r="J222" i="10"/>
  <c r="L221" i="10"/>
  <c r="K221" i="10"/>
  <c r="N221" i="10" s="1"/>
  <c r="O221" i="10" s="1"/>
  <c r="Q221" i="10" s="1"/>
  <c r="J221" i="10"/>
  <c r="L220" i="10"/>
  <c r="K220" i="10"/>
  <c r="N220" i="10" s="1"/>
  <c r="O220" i="10" s="1"/>
  <c r="Q220" i="10" s="1"/>
  <c r="J220" i="10"/>
  <c r="L219" i="10"/>
  <c r="J219" i="10"/>
  <c r="K219" i="10"/>
  <c r="N219" i="10" s="1"/>
  <c r="O219" i="10" s="1"/>
  <c r="Q219" i="10" s="1"/>
  <c r="L218" i="10"/>
  <c r="K218" i="10"/>
  <c r="N218" i="10" s="1"/>
  <c r="O218" i="10"/>
  <c r="Q218" i="10" s="1"/>
  <c r="J218" i="10"/>
  <c r="K217" i="10"/>
  <c r="L217" i="10"/>
  <c r="J217" i="10"/>
  <c r="J216" i="10"/>
  <c r="K216" i="10"/>
  <c r="L216" i="10"/>
  <c r="J215" i="10"/>
  <c r="L215" i="10"/>
  <c r="K215" i="10"/>
  <c r="N215" i="10" s="1"/>
  <c r="O215" i="10"/>
  <c r="Q215" i="10" s="1"/>
  <c r="J214" i="10"/>
  <c r="L214" i="10"/>
  <c r="K214" i="10"/>
  <c r="N214" i="10" s="1"/>
  <c r="O214" i="10" s="1"/>
  <c r="Q214" i="10" s="1"/>
  <c r="L213" i="10"/>
  <c r="K213" i="10"/>
  <c r="N213" i="10" s="1"/>
  <c r="O213" i="10" s="1"/>
  <c r="Q213" i="10" s="1"/>
  <c r="J213" i="10"/>
  <c r="L212" i="10"/>
  <c r="K212" i="10"/>
  <c r="N212" i="10" s="1"/>
  <c r="O212" i="10" s="1"/>
  <c r="Q212" i="10" s="1"/>
  <c r="J212" i="10"/>
  <c r="K211" i="10"/>
  <c r="J211" i="10"/>
  <c r="L211" i="10"/>
  <c r="L210" i="10"/>
  <c r="K210" i="10"/>
  <c r="N210" i="10" s="1"/>
  <c r="O210" i="10" s="1"/>
  <c r="Q210" i="10" s="1"/>
  <c r="J210" i="10"/>
  <c r="K209" i="10"/>
  <c r="L209" i="10"/>
  <c r="J209" i="10"/>
  <c r="L208" i="10"/>
  <c r="K208" i="10"/>
  <c r="N208" i="10" s="1"/>
  <c r="O208" i="10" s="1"/>
  <c r="Q208" i="10" s="1"/>
  <c r="J208" i="10"/>
  <c r="L207" i="10"/>
  <c r="J207" i="10"/>
  <c r="K207" i="10"/>
  <c r="N207" i="10" s="1"/>
  <c r="O207" i="10" s="1"/>
  <c r="Q207" i="10" s="1"/>
  <c r="K206" i="10"/>
  <c r="L206" i="10"/>
  <c r="J206" i="10"/>
  <c r="L205" i="10"/>
  <c r="K205" i="10"/>
  <c r="N205" i="10" s="1"/>
  <c r="O205" i="10" s="1"/>
  <c r="Q205" i="10" s="1"/>
  <c r="J205" i="10"/>
  <c r="J204" i="10"/>
  <c r="K204" i="10"/>
  <c r="L204" i="10"/>
  <c r="J203" i="10"/>
  <c r="K203" i="10"/>
  <c r="L203" i="10"/>
  <c r="K202" i="10"/>
  <c r="J202" i="10"/>
  <c r="L202" i="10"/>
  <c r="J201" i="10"/>
  <c r="K201" i="10"/>
  <c r="L201" i="10"/>
  <c r="L200" i="10"/>
  <c r="J200" i="10"/>
  <c r="K200" i="10"/>
  <c r="N200" i="10" s="1"/>
  <c r="O200" i="10"/>
  <c r="Q200" i="10" s="1"/>
  <c r="L199" i="10"/>
  <c r="K199" i="10"/>
  <c r="N199" i="10" s="1"/>
  <c r="O199" i="10" s="1"/>
  <c r="Q199" i="10" s="1"/>
  <c r="J199" i="10"/>
  <c r="J198" i="10"/>
  <c r="K198" i="10"/>
  <c r="L198" i="10"/>
  <c r="L197" i="10"/>
  <c r="K197" i="10"/>
  <c r="N197" i="10" s="1"/>
  <c r="O197" i="10"/>
  <c r="Q197" i="10" s="1"/>
  <c r="J197" i="10"/>
  <c r="K196" i="10"/>
  <c r="J196" i="10"/>
  <c r="L196" i="10"/>
  <c r="J195" i="10"/>
  <c r="L195" i="10"/>
  <c r="K195" i="10"/>
  <c r="N195" i="10" s="1"/>
  <c r="O195" i="10"/>
  <c r="Q195" i="10" s="1"/>
  <c r="K194" i="10"/>
  <c r="L194" i="10"/>
  <c r="J194" i="10"/>
  <c r="L193" i="10"/>
  <c r="K193" i="10"/>
  <c r="N193" i="10" s="1"/>
  <c r="O193" i="10" s="1"/>
  <c r="Q193" i="10" s="1"/>
  <c r="J193" i="10"/>
  <c r="K192" i="10"/>
  <c r="L192" i="10"/>
  <c r="J192" i="10"/>
  <c r="L191" i="10"/>
  <c r="K191" i="10"/>
  <c r="N191" i="10" s="1"/>
  <c r="O191" i="10" s="1"/>
  <c r="Q191" i="10" s="1"/>
  <c r="J191" i="10"/>
  <c r="K190" i="10"/>
  <c r="L190" i="10"/>
  <c r="J190" i="10"/>
  <c r="L189" i="10"/>
  <c r="K189" i="10"/>
  <c r="N189" i="10" s="1"/>
  <c r="O189" i="10" s="1"/>
  <c r="Q189" i="10" s="1"/>
  <c r="J189" i="10"/>
  <c r="L188" i="10"/>
  <c r="K188" i="10"/>
  <c r="N188" i="10" s="1"/>
  <c r="O188" i="10" s="1"/>
  <c r="Q188" i="10" s="1"/>
  <c r="J188" i="10"/>
  <c r="L187" i="10"/>
  <c r="K187" i="10"/>
  <c r="N187" i="10" s="1"/>
  <c r="J187" i="10"/>
  <c r="O187" i="10"/>
  <c r="Q187" i="10" s="1"/>
  <c r="L186" i="10"/>
  <c r="K186" i="10"/>
  <c r="N186" i="10" s="1"/>
  <c r="O186" i="10" s="1"/>
  <c r="Q186" i="10" s="1"/>
  <c r="J186" i="10"/>
  <c r="J185" i="10"/>
  <c r="K185" i="10"/>
  <c r="L185" i="10"/>
  <c r="J184" i="10"/>
  <c r="K184" i="10"/>
  <c r="L184" i="10"/>
  <c r="L183" i="10"/>
  <c r="J183" i="10"/>
  <c r="K183" i="10"/>
  <c r="N183" i="10" s="1"/>
  <c r="O183" i="10" s="1"/>
  <c r="Q183" i="10" s="1"/>
  <c r="J182" i="10"/>
  <c r="K182" i="10"/>
  <c r="L182" i="10"/>
  <c r="L181" i="10"/>
  <c r="J181" i="10"/>
  <c r="K181" i="10"/>
  <c r="N181" i="10" s="1"/>
  <c r="O181" i="10" s="1"/>
  <c r="Q181" i="10" s="1"/>
  <c r="J180" i="10"/>
  <c r="K180" i="10"/>
  <c r="L180" i="10"/>
  <c r="L179" i="10"/>
  <c r="J179" i="10"/>
  <c r="K179" i="10"/>
  <c r="N179" i="10" s="1"/>
  <c r="O179" i="10" s="1"/>
  <c r="Q179" i="10" s="1"/>
  <c r="L178" i="10"/>
  <c r="J178" i="10"/>
  <c r="K178" i="10"/>
  <c r="N178" i="10" s="1"/>
  <c r="O178" i="10"/>
  <c r="Q178" i="10" s="1"/>
  <c r="L177" i="10"/>
  <c r="K177" i="10"/>
  <c r="N177" i="10" s="1"/>
  <c r="O177" i="10" s="1"/>
  <c r="Q177" i="10" s="1"/>
  <c r="J177" i="10"/>
  <c r="J176" i="10"/>
  <c r="K176" i="10"/>
  <c r="L176" i="10"/>
  <c r="K175" i="10"/>
  <c r="J175" i="10"/>
  <c r="L175" i="10"/>
  <c r="L174" i="10"/>
  <c r="J174" i="10"/>
  <c r="K174" i="10"/>
  <c r="N174" i="10" s="1"/>
  <c r="O174" i="10" s="1"/>
  <c r="Q174" i="10" s="1"/>
  <c r="J173" i="10"/>
  <c r="K173" i="10"/>
  <c r="L173" i="10"/>
  <c r="J172" i="10"/>
  <c r="L172" i="10"/>
  <c r="K172" i="10"/>
  <c r="N172" i="10" s="1"/>
  <c r="O172" i="10" s="1"/>
  <c r="Q172" i="10" s="1"/>
  <c r="L171" i="10"/>
  <c r="K171" i="10"/>
  <c r="N171" i="10" s="1"/>
  <c r="O171" i="10" s="1"/>
  <c r="Q171" i="10" s="1"/>
  <c r="J171" i="10"/>
  <c r="J170" i="10"/>
  <c r="K170" i="10"/>
  <c r="L170" i="10"/>
  <c r="L169" i="10"/>
  <c r="K169" i="10"/>
  <c r="N169" i="10" s="1"/>
  <c r="O169" i="10" s="1"/>
  <c r="Q169" i="10" s="1"/>
  <c r="J169" i="10"/>
  <c r="L168" i="10"/>
  <c r="J168" i="10"/>
  <c r="K168" i="10"/>
  <c r="N168" i="10" s="1"/>
  <c r="O168" i="10" s="1"/>
  <c r="Q168" i="10" s="1"/>
  <c r="J167" i="10"/>
  <c r="K167" i="10"/>
  <c r="L167" i="10"/>
  <c r="K166" i="10"/>
  <c r="L166" i="10"/>
  <c r="J166" i="10"/>
  <c r="L165" i="10"/>
  <c r="J165" i="10"/>
  <c r="K165" i="10"/>
  <c r="N165" i="10" s="1"/>
  <c r="O165" i="10"/>
  <c r="Q165" i="10" s="1"/>
  <c r="K164" i="10"/>
  <c r="L164" i="10"/>
  <c r="J164" i="10"/>
  <c r="K163" i="10"/>
  <c r="L163" i="10"/>
  <c r="J163" i="10"/>
  <c r="J162" i="10"/>
  <c r="L162" i="10"/>
  <c r="K162" i="10"/>
  <c r="N162" i="10" s="1"/>
  <c r="O162" i="10" s="1"/>
  <c r="Q162" i="10" s="1"/>
  <c r="J161" i="10"/>
  <c r="K161" i="10"/>
  <c r="L161" i="10"/>
  <c r="K160" i="10"/>
  <c r="L160" i="10"/>
  <c r="J160" i="10"/>
  <c r="K159" i="10"/>
  <c r="L159" i="10"/>
  <c r="J159" i="10"/>
  <c r="L158" i="10"/>
  <c r="K158" i="10"/>
  <c r="N158" i="10" s="1"/>
  <c r="O158" i="10"/>
  <c r="Q158" i="10" s="1"/>
  <c r="J158" i="10"/>
  <c r="K157" i="10"/>
  <c r="L157" i="10"/>
  <c r="J157" i="10"/>
  <c r="K156" i="10"/>
  <c r="L156" i="10"/>
  <c r="J156" i="10"/>
  <c r="L155" i="10"/>
  <c r="K155" i="10"/>
  <c r="N155" i="10" s="1"/>
  <c r="J155" i="10"/>
  <c r="O155" i="10"/>
  <c r="Q155" i="10" s="1"/>
  <c r="K154" i="10"/>
  <c r="J154" i="10"/>
  <c r="L154" i="10"/>
  <c r="L153" i="10"/>
  <c r="K153" i="10"/>
  <c r="N153" i="10" s="1"/>
  <c r="O153" i="10" s="1"/>
  <c r="Q153" i="10" s="1"/>
  <c r="J153" i="10"/>
  <c r="L152" i="10"/>
  <c r="J152" i="10"/>
  <c r="K152" i="10"/>
  <c r="N152" i="10" s="1"/>
  <c r="O152" i="10" s="1"/>
  <c r="Q152" i="10" s="1"/>
  <c r="L151" i="10"/>
  <c r="J151" i="10"/>
  <c r="K151" i="10"/>
  <c r="N151" i="10" s="1"/>
  <c r="O151" i="10" s="1"/>
  <c r="Q151" i="10" s="1"/>
  <c r="J150" i="10"/>
  <c r="L150" i="10"/>
  <c r="K150" i="10"/>
  <c r="N150" i="10" s="1"/>
  <c r="O150" i="10" s="1"/>
  <c r="Q150" i="10" s="1"/>
  <c r="J149" i="10"/>
  <c r="K149" i="10"/>
  <c r="L149" i="10"/>
  <c r="J148" i="10"/>
  <c r="K148" i="10"/>
  <c r="L148" i="10"/>
  <c r="L147" i="10"/>
  <c r="K147" i="10"/>
  <c r="N147" i="10" s="1"/>
  <c r="J147" i="10"/>
  <c r="O147" i="10"/>
  <c r="Q147" i="10" s="1"/>
  <c r="L146" i="10"/>
  <c r="K146" i="10"/>
  <c r="N146" i="10" s="1"/>
  <c r="O146" i="10" s="1"/>
  <c r="Q146" i="10" s="1"/>
  <c r="J146" i="10"/>
  <c r="K145" i="10"/>
  <c r="J145" i="10"/>
  <c r="L145" i="10"/>
  <c r="J144" i="10"/>
  <c r="L144" i="10"/>
  <c r="K144" i="10"/>
  <c r="N144" i="10" s="1"/>
  <c r="O144" i="10" s="1"/>
  <c r="Q144" i="10" s="1"/>
  <c r="L143" i="10"/>
  <c r="K143" i="10"/>
  <c r="N143" i="10" s="1"/>
  <c r="J143" i="10"/>
  <c r="O143" i="10"/>
  <c r="Q143" i="10" s="1"/>
  <c r="L142" i="10"/>
  <c r="K142" i="10"/>
  <c r="N142" i="10" s="1"/>
  <c r="O142" i="10" s="1"/>
  <c r="Q142" i="10" s="1"/>
  <c r="J142" i="10"/>
  <c r="L141" i="10"/>
  <c r="K141" i="10"/>
  <c r="N141" i="10" s="1"/>
  <c r="O141" i="10" s="1"/>
  <c r="Q141" i="10" s="1"/>
  <c r="J141" i="10"/>
  <c r="K140" i="10"/>
  <c r="L140" i="10"/>
  <c r="J140" i="10"/>
  <c r="J139" i="10"/>
  <c r="L139" i="10"/>
  <c r="K139" i="10"/>
  <c r="N139" i="10" s="1"/>
  <c r="O139" i="10" s="1"/>
  <c r="Q139" i="10" s="1"/>
  <c r="J138" i="10"/>
  <c r="K138" i="10"/>
  <c r="L138" i="10"/>
  <c r="L137" i="10"/>
  <c r="J137" i="10"/>
  <c r="K137" i="10"/>
  <c r="N137" i="10" s="1"/>
  <c r="O137" i="10"/>
  <c r="Q137" i="10" s="1"/>
  <c r="K136" i="10"/>
  <c r="J136" i="10"/>
  <c r="L136" i="10"/>
  <c r="K135" i="10"/>
  <c r="L135" i="10"/>
  <c r="J135" i="10"/>
  <c r="K134" i="10"/>
  <c r="L134" i="10"/>
  <c r="J134" i="10"/>
  <c r="L133" i="10"/>
  <c r="J133" i="10"/>
  <c r="K133" i="10"/>
  <c r="N133" i="10" s="1"/>
  <c r="O133" i="10" s="1"/>
  <c r="Q133" i="10" s="1"/>
  <c r="J132" i="10"/>
  <c r="L132" i="10"/>
  <c r="K132" i="10"/>
  <c r="N132" i="10" s="1"/>
  <c r="O132" i="10" s="1"/>
  <c r="Q132" i="10" s="1"/>
  <c r="J131" i="10"/>
  <c r="L131" i="10"/>
  <c r="K131" i="10"/>
  <c r="N131" i="10" s="1"/>
  <c r="O131" i="10"/>
  <c r="Q131" i="10" s="1"/>
  <c r="J130" i="10"/>
  <c r="L130" i="10"/>
  <c r="K130" i="10"/>
  <c r="N130" i="10" s="1"/>
  <c r="O130" i="10" s="1"/>
  <c r="Q130" i="10" s="1"/>
  <c r="J129" i="10"/>
  <c r="K129" i="10"/>
  <c r="L129" i="10"/>
  <c r="K128" i="10"/>
  <c r="J128" i="10"/>
  <c r="L128" i="10"/>
  <c r="L127" i="10"/>
  <c r="J127" i="10"/>
  <c r="K127" i="10"/>
  <c r="N127" i="10" s="1"/>
  <c r="O127" i="10" s="1"/>
  <c r="Q127" i="10" s="1"/>
  <c r="L126" i="10"/>
  <c r="J126" i="10"/>
  <c r="K126" i="10"/>
  <c r="L125" i="10"/>
  <c r="J125" i="10"/>
  <c r="K125" i="10"/>
  <c r="N125" i="10" s="1"/>
  <c r="O125" i="10" s="1"/>
  <c r="Q125" i="10" s="1"/>
  <c r="J124" i="10"/>
  <c r="K124" i="10"/>
  <c r="L124" i="10"/>
  <c r="K123" i="10"/>
  <c r="L123" i="10"/>
  <c r="J123" i="10"/>
  <c r="L122" i="10"/>
  <c r="J122" i="10"/>
  <c r="K122" i="10"/>
  <c r="N122" i="10" s="1"/>
  <c r="O122" i="10" s="1"/>
  <c r="Q122" i="10" s="1"/>
  <c r="L121" i="10"/>
  <c r="J121" i="10"/>
  <c r="K121" i="10"/>
  <c r="N121" i="10" s="1"/>
  <c r="O121" i="10"/>
  <c r="Q121" i="10" s="1"/>
  <c r="K120" i="10"/>
  <c r="L120" i="10"/>
  <c r="J120" i="10"/>
  <c r="K119" i="10"/>
  <c r="J119" i="10"/>
  <c r="L119" i="10"/>
  <c r="K118" i="10"/>
  <c r="J118" i="10"/>
  <c r="L118" i="10"/>
  <c r="L117" i="10"/>
  <c r="J117" i="10"/>
  <c r="K117" i="10"/>
  <c r="N117" i="10" s="1"/>
  <c r="O117" i="10" s="1"/>
  <c r="Q117" i="10" s="1"/>
  <c r="L116" i="10"/>
  <c r="J116" i="10"/>
  <c r="K116" i="10"/>
  <c r="N116" i="10" s="1"/>
  <c r="O116" i="10" s="1"/>
  <c r="Q116" i="10" s="1"/>
  <c r="K115" i="10"/>
  <c r="J115" i="10"/>
  <c r="L115" i="10"/>
  <c r="L114" i="10"/>
  <c r="J114" i="10"/>
  <c r="K114" i="10"/>
  <c r="N114" i="10" s="1"/>
  <c r="O114" i="10"/>
  <c r="Q114" i="10" s="1"/>
  <c r="L113" i="10"/>
  <c r="J113" i="10"/>
  <c r="K113" i="10"/>
  <c r="N113" i="10" s="1"/>
  <c r="O113" i="10"/>
  <c r="Q113" i="10" s="1"/>
  <c r="L112" i="10"/>
  <c r="K112" i="10"/>
  <c r="N112" i="10" s="1"/>
  <c r="J112" i="10"/>
  <c r="O112" i="10"/>
  <c r="Q112" i="10" s="1"/>
  <c r="J111" i="10"/>
  <c r="L111" i="10"/>
  <c r="K111" i="10"/>
  <c r="N111" i="10" s="1"/>
  <c r="O111" i="10"/>
  <c r="Q111" i="10" s="1"/>
  <c r="K110" i="10"/>
  <c r="J110" i="10"/>
  <c r="L110" i="10"/>
  <c r="L109" i="10"/>
  <c r="J109" i="10"/>
  <c r="K109" i="10"/>
  <c r="N109" i="10" s="1"/>
  <c r="O109" i="10" s="1"/>
  <c r="Q109" i="10" s="1"/>
  <c r="J108" i="10"/>
  <c r="L108" i="10"/>
  <c r="K108" i="10"/>
  <c r="N108" i="10" s="1"/>
  <c r="O108" i="10"/>
  <c r="Q108" i="10" s="1"/>
  <c r="K107" i="10"/>
  <c r="J107" i="10"/>
  <c r="L107" i="10"/>
  <c r="J106" i="10"/>
  <c r="L106" i="10"/>
  <c r="K106" i="10"/>
  <c r="N106" i="10" s="1"/>
  <c r="O106" i="10" s="1"/>
  <c r="Q106" i="10" s="1"/>
  <c r="L105" i="10"/>
  <c r="J105" i="10"/>
  <c r="K105" i="10"/>
  <c r="N105" i="10" s="1"/>
  <c r="O105" i="10" s="1"/>
  <c r="Q105" i="10" s="1"/>
  <c r="J104" i="10"/>
  <c r="L104" i="10"/>
  <c r="K104" i="10"/>
  <c r="N104" i="10" s="1"/>
  <c r="O104" i="10" s="1"/>
  <c r="Q104" i="10" s="1"/>
  <c r="J103" i="10"/>
  <c r="K103" i="10"/>
  <c r="L103" i="10"/>
  <c r="J102" i="10"/>
  <c r="K102" i="10"/>
  <c r="L102" i="10"/>
  <c r="L101" i="10"/>
  <c r="J101" i="10"/>
  <c r="K101" i="10"/>
  <c r="N101" i="10" s="1"/>
  <c r="O101" i="10" s="1"/>
  <c r="Q101" i="10" s="1"/>
  <c r="L100" i="10"/>
  <c r="J100" i="10"/>
  <c r="K100" i="10"/>
  <c r="N100" i="10" s="1"/>
  <c r="O100" i="10" s="1"/>
  <c r="Q100" i="10" s="1"/>
  <c r="J99" i="10"/>
  <c r="L99" i="10"/>
  <c r="K99" i="10"/>
  <c r="N99" i="10" s="1"/>
  <c r="O99" i="10" s="1"/>
  <c r="Q99" i="10" s="1"/>
  <c r="K98" i="10"/>
  <c r="L98" i="10"/>
  <c r="J98" i="10"/>
  <c r="L97" i="10"/>
  <c r="J97" i="10"/>
  <c r="K97" i="10"/>
  <c r="N97" i="10" s="1"/>
  <c r="O97" i="10" s="1"/>
  <c r="Q97" i="10" s="1"/>
  <c r="L96" i="10"/>
  <c r="J96" i="10"/>
  <c r="K96" i="10"/>
  <c r="N96" i="10" s="1"/>
  <c r="O96" i="10"/>
  <c r="Q96" i="10" s="1"/>
  <c r="K95" i="10"/>
  <c r="J95" i="10"/>
  <c r="L95" i="10"/>
  <c r="K94" i="10"/>
  <c r="J94" i="10"/>
  <c r="L94" i="10"/>
  <c r="J93" i="10"/>
  <c r="L93" i="10"/>
  <c r="K93" i="10"/>
  <c r="N93" i="10" s="1"/>
  <c r="O93" i="10"/>
  <c r="Q93" i="10" s="1"/>
  <c r="L92" i="10"/>
  <c r="J92" i="10"/>
  <c r="K92" i="10"/>
  <c r="N92" i="10" s="1"/>
  <c r="O92" i="10"/>
  <c r="Q92" i="10" s="1"/>
  <c r="J91" i="10"/>
  <c r="K91" i="10"/>
  <c r="L91" i="10"/>
  <c r="J90" i="10"/>
  <c r="L90" i="10"/>
  <c r="K90" i="10"/>
  <c r="N90" i="10" s="1"/>
  <c r="O90" i="10"/>
  <c r="Q90" i="10" s="1"/>
  <c r="J89" i="10"/>
  <c r="L89" i="10"/>
  <c r="K89" i="10"/>
  <c r="N89" i="10" s="1"/>
  <c r="O89" i="10" s="1"/>
  <c r="Q89" i="10" s="1"/>
  <c r="J88" i="10"/>
  <c r="L88" i="10"/>
  <c r="K88" i="10"/>
  <c r="N88" i="10" s="1"/>
  <c r="O88" i="10"/>
  <c r="Q88" i="10" s="1"/>
  <c r="K87" i="10"/>
  <c r="J87" i="10"/>
  <c r="L87" i="10"/>
  <c r="L86" i="10"/>
  <c r="K86" i="10"/>
  <c r="N86" i="10" s="1"/>
  <c r="O86" i="10" s="1"/>
  <c r="Q86" i="10" s="1"/>
  <c r="J86" i="10"/>
  <c r="K85" i="10"/>
  <c r="L85" i="10"/>
  <c r="J85" i="10"/>
  <c r="K84" i="10"/>
  <c r="L84" i="10"/>
  <c r="J84" i="10"/>
  <c r="L83" i="10"/>
  <c r="J83" i="10"/>
  <c r="K83" i="10"/>
  <c r="N83" i="10" s="1"/>
  <c r="O83" i="10" s="1"/>
  <c r="Q83" i="10" s="1"/>
  <c r="L82" i="10"/>
  <c r="J82" i="10"/>
  <c r="K82" i="10"/>
  <c r="N82" i="10" s="1"/>
  <c r="O82" i="10" s="1"/>
  <c r="Q82" i="10" s="1"/>
  <c r="L81" i="10"/>
  <c r="J81" i="10"/>
  <c r="K81" i="10"/>
  <c r="N81" i="10" s="1"/>
  <c r="O81" i="10" s="1"/>
  <c r="Q81" i="10" s="1"/>
  <c r="J80" i="10"/>
  <c r="L80" i="10"/>
  <c r="K80" i="10"/>
  <c r="N80" i="10" s="1"/>
  <c r="O80" i="10" s="1"/>
  <c r="Q80" i="10" s="1"/>
  <c r="L79" i="10"/>
  <c r="J79" i="10"/>
  <c r="K79" i="10"/>
  <c r="N79" i="10" s="1"/>
  <c r="O79" i="10" s="1"/>
  <c r="Q79" i="10" s="1"/>
  <c r="L78" i="10"/>
  <c r="J78" i="10"/>
  <c r="K78" i="10"/>
  <c r="N78" i="10" s="1"/>
  <c r="O78" i="10" s="1"/>
  <c r="Q78" i="10" s="1"/>
  <c r="L77" i="10"/>
  <c r="K77" i="10"/>
  <c r="N77" i="10" s="1"/>
  <c r="O77" i="10" s="1"/>
  <c r="Q77" i="10" s="1"/>
  <c r="J77" i="10"/>
  <c r="K76" i="10"/>
  <c r="L76" i="10"/>
  <c r="J76" i="10"/>
  <c r="K75" i="10"/>
  <c r="J75" i="10"/>
  <c r="L75" i="10"/>
  <c r="K74" i="10"/>
  <c r="J74" i="10"/>
  <c r="L74" i="10"/>
  <c r="J73" i="10"/>
  <c r="K73" i="10"/>
  <c r="L73" i="10"/>
  <c r="L72" i="10"/>
  <c r="J72" i="10"/>
  <c r="K72" i="10"/>
  <c r="N72" i="10" s="1"/>
  <c r="O72" i="10"/>
  <c r="Q72" i="10" s="1"/>
  <c r="J71" i="10"/>
  <c r="L71" i="10"/>
  <c r="K71" i="10"/>
  <c r="N71" i="10" s="1"/>
  <c r="O71" i="10" s="1"/>
  <c r="Q71" i="10" s="1"/>
  <c r="K70" i="10"/>
  <c r="J70" i="10"/>
  <c r="L70" i="10"/>
  <c r="K69" i="10"/>
  <c r="L69" i="10"/>
  <c r="J69" i="10"/>
  <c r="K68" i="10"/>
  <c r="J68" i="10"/>
  <c r="L68" i="10"/>
  <c r="L67" i="10"/>
  <c r="J67" i="10"/>
  <c r="K67" i="10"/>
  <c r="N67" i="10" s="1"/>
  <c r="O67" i="10" s="1"/>
  <c r="Q67" i="10" s="1"/>
  <c r="K66" i="10"/>
  <c r="L66" i="10"/>
  <c r="J66" i="10"/>
  <c r="L65" i="10"/>
  <c r="J65" i="10"/>
  <c r="K65" i="10"/>
  <c r="N65" i="10" s="1"/>
  <c r="O65" i="10"/>
  <c r="Q65" i="10" s="1"/>
  <c r="K64" i="10"/>
  <c r="J64" i="10"/>
  <c r="L64" i="10"/>
  <c r="J63" i="10"/>
  <c r="K63" i="10"/>
  <c r="L63" i="10"/>
  <c r="K62" i="10"/>
  <c r="L62" i="10"/>
  <c r="J62" i="10"/>
  <c r="K61" i="10"/>
  <c r="L61" i="10"/>
  <c r="J61" i="10"/>
  <c r="K60" i="10"/>
  <c r="J60" i="10"/>
  <c r="L60" i="10"/>
  <c r="J59" i="10"/>
  <c r="K59" i="10"/>
  <c r="L59" i="10"/>
  <c r="L58" i="10"/>
  <c r="J58" i="10"/>
  <c r="K58" i="10"/>
  <c r="N58" i="10" s="1"/>
  <c r="O58" i="10" s="1"/>
  <c r="Q58" i="10" s="1"/>
  <c r="L57" i="10"/>
  <c r="K57" i="10"/>
  <c r="N57" i="10" s="1"/>
  <c r="O57" i="10" s="1"/>
  <c r="Q57" i="10" s="1"/>
  <c r="J57" i="10"/>
  <c r="L56" i="10"/>
  <c r="K56" i="10"/>
  <c r="N56" i="10" s="1"/>
  <c r="J56" i="10"/>
  <c r="O56" i="10"/>
  <c r="Q56" i="10" s="1"/>
  <c r="L55" i="10"/>
  <c r="K55" i="10"/>
  <c r="N55" i="10" s="1"/>
  <c r="O55" i="10" s="1"/>
  <c r="Q55" i="10" s="1"/>
  <c r="J55" i="10"/>
  <c r="L54" i="10"/>
  <c r="K54" i="10"/>
  <c r="N54" i="10" s="1"/>
  <c r="J54" i="10"/>
  <c r="O54" i="10"/>
  <c r="Q54" i="10" s="1"/>
  <c r="L53" i="10"/>
  <c r="K53" i="10"/>
  <c r="N53" i="10" s="1"/>
  <c r="O53" i="10" s="1"/>
  <c r="Q53" i="10" s="1"/>
  <c r="J53" i="10"/>
  <c r="L52" i="10"/>
  <c r="K52" i="10"/>
  <c r="N52" i="10" s="1"/>
  <c r="O52" i="10" s="1"/>
  <c r="Q52" i="10" s="1"/>
  <c r="J52" i="10"/>
  <c r="L51" i="10"/>
  <c r="J51" i="10"/>
  <c r="K51" i="10"/>
  <c r="N51" i="10" s="1"/>
  <c r="O51" i="10"/>
  <c r="Q51" i="10" s="1"/>
  <c r="K50" i="10"/>
  <c r="L50" i="10"/>
  <c r="J50" i="10"/>
  <c r="L49" i="10"/>
  <c r="J49" i="10"/>
  <c r="K49" i="10"/>
  <c r="N49" i="10" s="1"/>
  <c r="O49" i="10" s="1"/>
  <c r="Q49" i="10" s="1"/>
  <c r="K48" i="10"/>
  <c r="L48" i="10"/>
  <c r="J48" i="10"/>
  <c r="K47" i="10"/>
  <c r="L47" i="10"/>
  <c r="J47" i="10"/>
  <c r="K46" i="10"/>
  <c r="L46" i="10"/>
  <c r="J46" i="10"/>
  <c r="K45" i="10"/>
  <c r="L45" i="10"/>
  <c r="J45" i="10"/>
  <c r="K44" i="10"/>
  <c r="L44" i="10"/>
  <c r="J44" i="10"/>
  <c r="K43" i="10"/>
  <c r="L43" i="10"/>
  <c r="J43" i="10"/>
  <c r="K42" i="10"/>
  <c r="L42" i="10"/>
  <c r="J42" i="10"/>
  <c r="K41" i="10"/>
  <c r="L41" i="10"/>
  <c r="J41" i="10"/>
  <c r="L40" i="10"/>
  <c r="J40" i="10"/>
  <c r="K40" i="10"/>
  <c r="N40" i="10" s="1"/>
  <c r="O40" i="10"/>
  <c r="Q40" i="10" s="1"/>
  <c r="J39" i="10"/>
  <c r="K39" i="10"/>
  <c r="L39" i="10"/>
  <c r="K38" i="10"/>
  <c r="J38" i="10"/>
  <c r="L38" i="10"/>
  <c r="K37" i="10"/>
  <c r="J37" i="10"/>
  <c r="L37" i="10"/>
  <c r="J36" i="10"/>
  <c r="K36" i="10"/>
  <c r="L36" i="10"/>
  <c r="L35" i="10"/>
  <c r="J35" i="10"/>
  <c r="K35" i="10"/>
  <c r="N35" i="10" s="1"/>
  <c r="O35" i="10"/>
  <c r="Q35" i="10" s="1"/>
  <c r="K34" i="10"/>
  <c r="J34" i="10"/>
  <c r="L34" i="10"/>
  <c r="J33" i="10"/>
  <c r="L33" i="10"/>
  <c r="K33" i="10"/>
  <c r="N33" i="10" s="1"/>
  <c r="O33" i="10" s="1"/>
  <c r="Q33" i="10" s="1"/>
  <c r="L32" i="10"/>
  <c r="J32" i="10"/>
  <c r="K32" i="10"/>
  <c r="N32" i="10" s="1"/>
  <c r="O32" i="10" s="1"/>
  <c r="Q32" i="10" s="1"/>
  <c r="J31" i="10"/>
  <c r="K31" i="10"/>
  <c r="L31" i="10"/>
  <c r="L30" i="10"/>
  <c r="K30" i="10"/>
  <c r="N30" i="10" s="1"/>
  <c r="J30" i="10"/>
  <c r="O30" i="10"/>
  <c r="Q30" i="10" s="1"/>
  <c r="K29" i="10"/>
  <c r="L29" i="10"/>
  <c r="J29" i="10"/>
  <c r="L28" i="10"/>
  <c r="K28" i="10"/>
  <c r="N28" i="10" s="1"/>
  <c r="O28" i="10" s="1"/>
  <c r="Q28" i="10" s="1"/>
  <c r="J28" i="10"/>
  <c r="K27" i="10"/>
  <c r="J27" i="10"/>
  <c r="L27" i="10"/>
  <c r="L26" i="10"/>
  <c r="J26" i="10"/>
  <c r="K26" i="10"/>
  <c r="N26" i="10" s="1"/>
  <c r="O26" i="10"/>
  <c r="Q26" i="10" s="1"/>
  <c r="J25" i="10"/>
  <c r="K25" i="10"/>
  <c r="L25" i="10"/>
  <c r="L24" i="10"/>
  <c r="J24" i="10"/>
  <c r="K24" i="10"/>
  <c r="N24" i="10" s="1"/>
  <c r="O24" i="10" s="1"/>
  <c r="Q24" i="10" s="1"/>
  <c r="J23" i="10"/>
  <c r="L23" i="10"/>
  <c r="K23" i="10"/>
  <c r="N23" i="10" s="1"/>
  <c r="O23" i="10" s="1"/>
  <c r="Q23" i="10" s="1"/>
  <c r="K22" i="10"/>
  <c r="L22" i="10"/>
  <c r="J22" i="10"/>
  <c r="K21" i="10"/>
  <c r="L21" i="10"/>
  <c r="J21" i="10"/>
  <c r="K20" i="10"/>
  <c r="L20" i="10"/>
  <c r="J20" i="10"/>
  <c r="K19" i="10"/>
  <c r="L19" i="10"/>
  <c r="J19" i="10"/>
  <c r="K18" i="10"/>
  <c r="L18" i="10"/>
  <c r="J18" i="10"/>
  <c r="J17" i="10"/>
  <c r="L17" i="10"/>
  <c r="K17" i="10"/>
  <c r="N17" i="10" s="1"/>
  <c r="O17" i="10" s="1"/>
  <c r="Q17" i="10" s="1"/>
  <c r="K16" i="10"/>
  <c r="J16" i="10"/>
  <c r="L16" i="10"/>
  <c r="L15" i="10"/>
  <c r="K15" i="10"/>
  <c r="N15" i="10" s="1"/>
  <c r="O15" i="10" s="1"/>
  <c r="Q15" i="10" s="1"/>
  <c r="J15" i="10"/>
  <c r="K14" i="10"/>
  <c r="J14" i="10"/>
  <c r="L14" i="10"/>
  <c r="K13" i="10"/>
  <c r="L13" i="10"/>
  <c r="J13" i="10"/>
  <c r="K12" i="10"/>
  <c r="J12" i="10"/>
  <c r="L12" i="10"/>
  <c r="K11" i="10"/>
  <c r="L11" i="10"/>
  <c r="J11" i="10"/>
  <c r="K10" i="10"/>
  <c r="L10" i="10"/>
  <c r="J10" i="10"/>
  <c r="K9" i="10"/>
  <c r="J9" i="10"/>
  <c r="L9" i="10"/>
  <c r="K8" i="10"/>
  <c r="J8" i="10"/>
  <c r="L8" i="10"/>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I672" i="6"/>
  <c r="M672" i="6" s="1"/>
  <c r="H672" i="6"/>
  <c r="G672" i="6"/>
  <c r="J672" i="6" s="1"/>
  <c r="H671" i="6"/>
  <c r="I671" i="6"/>
  <c r="M671" i="6" s="1"/>
  <c r="G671" i="6"/>
  <c r="J671" i="6" s="1"/>
  <c r="I670" i="6"/>
  <c r="M670" i="6" s="1"/>
  <c r="H670" i="6"/>
  <c r="G670" i="6"/>
  <c r="J670" i="6" s="1"/>
  <c r="I669" i="6"/>
  <c r="M669" i="6" s="1"/>
  <c r="H669" i="6"/>
  <c r="G669" i="6"/>
  <c r="J669" i="6" s="1"/>
  <c r="I668" i="6"/>
  <c r="M668" i="6" s="1"/>
  <c r="H668" i="6"/>
  <c r="G668" i="6"/>
  <c r="J668" i="6" s="1"/>
  <c r="I667" i="6"/>
  <c r="M667" i="6" s="1"/>
  <c r="H667" i="6"/>
  <c r="G667" i="6"/>
  <c r="J667" i="6" s="1"/>
  <c r="G666" i="6"/>
  <c r="H666" i="6"/>
  <c r="I666" i="6"/>
  <c r="M666" i="6" s="1"/>
  <c r="I665" i="6"/>
  <c r="M665" i="6" s="1"/>
  <c r="H665" i="6"/>
  <c r="G665" i="6"/>
  <c r="J665" i="6" s="1"/>
  <c r="H664" i="6"/>
  <c r="G664" i="6"/>
  <c r="J664" i="6" s="1"/>
  <c r="I664" i="6"/>
  <c r="M664" i="6" s="1"/>
  <c r="H663" i="6"/>
  <c r="I663" i="6"/>
  <c r="M663" i="6" s="1"/>
  <c r="G663" i="6"/>
  <c r="J663" i="6" s="1"/>
  <c r="I662" i="6"/>
  <c r="M662" i="6" s="1"/>
  <c r="H662" i="6"/>
  <c r="G662" i="6"/>
  <c r="J662" i="6" s="1"/>
  <c r="G661" i="6"/>
  <c r="H661" i="6"/>
  <c r="I661" i="6"/>
  <c r="M661" i="6" s="1"/>
  <c r="I660" i="6"/>
  <c r="M660" i="6" s="1"/>
  <c r="H660" i="6"/>
  <c r="G660" i="6"/>
  <c r="J660" i="6" s="1"/>
  <c r="G659" i="6"/>
  <c r="I659" i="6"/>
  <c r="M659" i="6" s="1"/>
  <c r="H659" i="6"/>
  <c r="I658" i="6"/>
  <c r="M658" i="6" s="1"/>
  <c r="H658" i="6"/>
  <c r="G658" i="6"/>
  <c r="J658" i="6" s="1"/>
  <c r="I657" i="6"/>
  <c r="M657" i="6" s="1"/>
  <c r="H657" i="6"/>
  <c r="G657" i="6"/>
  <c r="J657" i="6" s="1"/>
  <c r="G656" i="6"/>
  <c r="H656" i="6"/>
  <c r="I656" i="6"/>
  <c r="M656" i="6" s="1"/>
  <c r="G655" i="6"/>
  <c r="I655" i="6"/>
  <c r="M655" i="6" s="1"/>
  <c r="H655" i="6"/>
  <c r="G654" i="6"/>
  <c r="H654" i="6"/>
  <c r="I654" i="6"/>
  <c r="M654" i="6" s="1"/>
  <c r="G653" i="6"/>
  <c r="H653" i="6"/>
  <c r="I653" i="6"/>
  <c r="M653" i="6" s="1"/>
  <c r="G652" i="6"/>
  <c r="I652" i="6"/>
  <c r="M652" i="6" s="1"/>
  <c r="H652" i="6"/>
  <c r="G651" i="6"/>
  <c r="H651" i="6"/>
  <c r="I651" i="6"/>
  <c r="M651" i="6" s="1"/>
  <c r="G650" i="6"/>
  <c r="H650" i="6"/>
  <c r="I650" i="6"/>
  <c r="M650" i="6" s="1"/>
  <c r="I649" i="6"/>
  <c r="M649" i="6" s="1"/>
  <c r="H649" i="6"/>
  <c r="G649" i="6"/>
  <c r="J649" i="6" s="1"/>
  <c r="H648" i="6"/>
  <c r="I648" i="6"/>
  <c r="M648" i="6" s="1"/>
  <c r="G648" i="6"/>
  <c r="J648" i="6" s="1"/>
  <c r="I647" i="6"/>
  <c r="M647" i="6" s="1"/>
  <c r="G647" i="6"/>
  <c r="H647" i="6"/>
  <c r="G646" i="6"/>
  <c r="H646" i="6"/>
  <c r="I646" i="6"/>
  <c r="M646" i="6" s="1"/>
  <c r="G645" i="6"/>
  <c r="I645" i="6"/>
  <c r="M645" i="6" s="1"/>
  <c r="H645" i="6"/>
  <c r="G644" i="6"/>
  <c r="H644" i="6"/>
  <c r="I644" i="6"/>
  <c r="M644" i="6" s="1"/>
  <c r="G643" i="6"/>
  <c r="I643" i="6"/>
  <c r="M643" i="6" s="1"/>
  <c r="H643" i="6"/>
  <c r="G642" i="6"/>
  <c r="I642" i="6"/>
  <c r="M642" i="6" s="1"/>
  <c r="H642" i="6"/>
  <c r="G641" i="6"/>
  <c r="H641" i="6"/>
  <c r="I641" i="6"/>
  <c r="M641" i="6" s="1"/>
  <c r="I640" i="6"/>
  <c r="M640" i="6" s="1"/>
  <c r="H640" i="6"/>
  <c r="G640" i="6"/>
  <c r="J640" i="6" s="1"/>
  <c r="H639" i="6"/>
  <c r="I639" i="6"/>
  <c r="M639" i="6" s="1"/>
  <c r="G639" i="6"/>
  <c r="J639" i="6" s="1"/>
  <c r="H638" i="6"/>
  <c r="I638" i="6"/>
  <c r="M638" i="6" s="1"/>
  <c r="G638" i="6"/>
  <c r="J638" i="6" s="1"/>
  <c r="H637" i="6"/>
  <c r="G637" i="6"/>
  <c r="J637" i="6" s="1"/>
  <c r="I637" i="6"/>
  <c r="M637" i="6" s="1"/>
  <c r="I636" i="6"/>
  <c r="M636" i="6" s="1"/>
  <c r="H636" i="6"/>
  <c r="G636" i="6"/>
  <c r="J636" i="6" s="1"/>
  <c r="I635" i="6"/>
  <c r="M635" i="6" s="1"/>
  <c r="H635" i="6"/>
  <c r="G635" i="6"/>
  <c r="I634" i="6"/>
  <c r="M634" i="6" s="1"/>
  <c r="H634" i="6"/>
  <c r="G634" i="6"/>
  <c r="J634" i="6" s="1"/>
  <c r="H633" i="6"/>
  <c r="I633" i="6"/>
  <c r="M633" i="6" s="1"/>
  <c r="G633" i="6"/>
  <c r="J633" i="6" s="1"/>
  <c r="G632" i="6"/>
  <c r="H632" i="6"/>
  <c r="I632" i="6"/>
  <c r="M632" i="6" s="1"/>
  <c r="G631" i="6"/>
  <c r="H631" i="6"/>
  <c r="I631" i="6"/>
  <c r="M631" i="6" s="1"/>
  <c r="I630" i="6"/>
  <c r="M630" i="6" s="1"/>
  <c r="G630" i="6"/>
  <c r="H630" i="6"/>
  <c r="G629" i="6"/>
  <c r="H629" i="6"/>
  <c r="I629" i="6"/>
  <c r="M629" i="6" s="1"/>
  <c r="H628" i="6"/>
  <c r="I628" i="6"/>
  <c r="M628" i="6" s="1"/>
  <c r="G628" i="6"/>
  <c r="J628" i="6" s="1"/>
  <c r="G627" i="6"/>
  <c r="H627" i="6"/>
  <c r="I627" i="6"/>
  <c r="M627" i="6" s="1"/>
  <c r="I626" i="6"/>
  <c r="M626" i="6" s="1"/>
  <c r="G626" i="6"/>
  <c r="H626" i="6"/>
  <c r="G625" i="6"/>
  <c r="I625" i="6"/>
  <c r="M625" i="6" s="1"/>
  <c r="H625" i="6"/>
  <c r="G624" i="6"/>
  <c r="I624" i="6"/>
  <c r="M624" i="6" s="1"/>
  <c r="H624" i="6"/>
  <c r="G623" i="6"/>
  <c r="H623" i="6"/>
  <c r="I623" i="6"/>
  <c r="M623" i="6" s="1"/>
  <c r="I622" i="6"/>
  <c r="M622" i="6" s="1"/>
  <c r="H622" i="6"/>
  <c r="G622" i="6"/>
  <c r="J622" i="6" s="1"/>
  <c r="G621" i="6"/>
  <c r="H621" i="6"/>
  <c r="I621" i="6"/>
  <c r="M621" i="6" s="1"/>
  <c r="G620" i="6"/>
  <c r="H620" i="6"/>
  <c r="I620" i="6"/>
  <c r="M620" i="6" s="1"/>
  <c r="G619" i="6"/>
  <c r="H619" i="6"/>
  <c r="I619" i="6"/>
  <c r="M619" i="6" s="1"/>
  <c r="G618" i="6"/>
  <c r="I618" i="6"/>
  <c r="M618" i="6" s="1"/>
  <c r="H618" i="6"/>
  <c r="G617" i="6"/>
  <c r="I617" i="6"/>
  <c r="M617" i="6" s="1"/>
  <c r="H617" i="6"/>
  <c r="H616" i="6"/>
  <c r="G616" i="6"/>
  <c r="J616" i="6" s="1"/>
  <c r="I616" i="6"/>
  <c r="M616" i="6" s="1"/>
  <c r="I615" i="6"/>
  <c r="M615" i="6" s="1"/>
  <c r="H615" i="6"/>
  <c r="G615" i="6"/>
  <c r="J615" i="6" s="1"/>
  <c r="I614" i="6"/>
  <c r="M614" i="6" s="1"/>
  <c r="H614" i="6"/>
  <c r="G614" i="6"/>
  <c r="J614" i="6" s="1"/>
  <c r="G613" i="6"/>
  <c r="I613" i="6"/>
  <c r="M613" i="6" s="1"/>
  <c r="H613" i="6"/>
  <c r="G612" i="6"/>
  <c r="H612" i="6"/>
  <c r="I612" i="6"/>
  <c r="M612" i="6" s="1"/>
  <c r="I611" i="6"/>
  <c r="M611" i="6" s="1"/>
  <c r="G611" i="6"/>
  <c r="H611" i="6"/>
  <c r="I610" i="6"/>
  <c r="M610" i="6" s="1"/>
  <c r="H610" i="6"/>
  <c r="G610" i="6"/>
  <c r="J610" i="6" s="1"/>
  <c r="I609" i="6"/>
  <c r="M609" i="6" s="1"/>
  <c r="H609" i="6"/>
  <c r="G609" i="6"/>
  <c r="J609" i="6" s="1"/>
  <c r="G608" i="6"/>
  <c r="H608" i="6"/>
  <c r="I608" i="6"/>
  <c r="M608" i="6" s="1"/>
  <c r="I607" i="6"/>
  <c r="M607" i="6" s="1"/>
  <c r="G607" i="6"/>
  <c r="H607" i="6"/>
  <c r="G606" i="6"/>
  <c r="I606" i="6"/>
  <c r="M606" i="6" s="1"/>
  <c r="H606" i="6"/>
  <c r="I605" i="6"/>
  <c r="M605" i="6" s="1"/>
  <c r="H605" i="6"/>
  <c r="G605" i="6"/>
  <c r="J605" i="6" s="1"/>
  <c r="I604" i="6"/>
  <c r="M604" i="6" s="1"/>
  <c r="H604" i="6"/>
  <c r="G604" i="6"/>
  <c r="J604" i="6" s="1"/>
  <c r="H603" i="6"/>
  <c r="G603" i="6"/>
  <c r="I603" i="6"/>
  <c r="M603" i="6" s="1"/>
  <c r="I602" i="6"/>
  <c r="M602" i="6" s="1"/>
  <c r="H602" i="6"/>
  <c r="G602" i="6"/>
  <c r="I601" i="6"/>
  <c r="M601" i="6" s="1"/>
  <c r="H601" i="6"/>
  <c r="G601" i="6"/>
  <c r="J601" i="6" s="1"/>
  <c r="H600" i="6"/>
  <c r="I600" i="6"/>
  <c r="M600" i="6" s="1"/>
  <c r="G600" i="6"/>
  <c r="J600" i="6" s="1"/>
  <c r="I599" i="6"/>
  <c r="M599" i="6" s="1"/>
  <c r="H599" i="6"/>
  <c r="G599" i="6"/>
  <c r="J599" i="6" s="1"/>
  <c r="I598" i="6"/>
  <c r="M598" i="6" s="1"/>
  <c r="H598" i="6"/>
  <c r="G598" i="6"/>
  <c r="J598" i="6" s="1"/>
  <c r="I597" i="6"/>
  <c r="M597" i="6" s="1"/>
  <c r="H597" i="6"/>
  <c r="G597" i="6"/>
  <c r="J597" i="6" s="1"/>
  <c r="I596" i="6"/>
  <c r="M596" i="6" s="1"/>
  <c r="H596" i="6"/>
  <c r="G596" i="6"/>
  <c r="J596" i="6" s="1"/>
  <c r="H595" i="6"/>
  <c r="I595" i="6"/>
  <c r="M595" i="6" s="1"/>
  <c r="G595" i="6"/>
  <c r="J595" i="6" s="1"/>
  <c r="I594" i="6"/>
  <c r="M594" i="6" s="1"/>
  <c r="H594" i="6"/>
  <c r="G594" i="6"/>
  <c r="J594" i="6" s="1"/>
  <c r="I593" i="6"/>
  <c r="M593" i="6" s="1"/>
  <c r="H593" i="6"/>
  <c r="G593" i="6"/>
  <c r="J593" i="6" s="1"/>
  <c r="G592" i="6"/>
  <c r="I592" i="6"/>
  <c r="M592" i="6" s="1"/>
  <c r="H592" i="6"/>
  <c r="I591" i="6"/>
  <c r="M591" i="6" s="1"/>
  <c r="H591" i="6"/>
  <c r="G591" i="6"/>
  <c r="J591" i="6" s="1"/>
  <c r="I590" i="6"/>
  <c r="M590" i="6" s="1"/>
  <c r="H590" i="6"/>
  <c r="G590" i="6"/>
  <c r="I589" i="6"/>
  <c r="M589" i="6" s="1"/>
  <c r="H589" i="6"/>
  <c r="G589" i="6"/>
  <c r="J589" i="6" s="1"/>
  <c r="I588" i="6"/>
  <c r="M588" i="6" s="1"/>
  <c r="H588" i="6"/>
  <c r="G588" i="6"/>
  <c r="J588" i="6" s="1"/>
  <c r="I587" i="6"/>
  <c r="M587" i="6" s="1"/>
  <c r="H587" i="6"/>
  <c r="G587" i="6"/>
  <c r="J587" i="6" s="1"/>
  <c r="I586" i="6"/>
  <c r="M586" i="6" s="1"/>
  <c r="H586" i="6"/>
  <c r="G586" i="6"/>
  <c r="I585" i="6"/>
  <c r="M585" i="6" s="1"/>
  <c r="H585" i="6"/>
  <c r="G585" i="6"/>
  <c r="J585" i="6" s="1"/>
  <c r="I584" i="6"/>
  <c r="M584" i="6" s="1"/>
  <c r="H584" i="6"/>
  <c r="G584" i="6"/>
  <c r="J584" i="6" s="1"/>
  <c r="I583" i="6"/>
  <c r="M583" i="6" s="1"/>
  <c r="H583" i="6"/>
  <c r="G583" i="6"/>
  <c r="J583" i="6" s="1"/>
  <c r="I582" i="6"/>
  <c r="M582" i="6" s="1"/>
  <c r="H582" i="6"/>
  <c r="G582" i="6"/>
  <c r="J582" i="6" s="1"/>
  <c r="I581" i="6"/>
  <c r="M581" i="6" s="1"/>
  <c r="H581" i="6"/>
  <c r="G581" i="6"/>
  <c r="J581" i="6" s="1"/>
  <c r="I580" i="6"/>
  <c r="M580" i="6" s="1"/>
  <c r="H580" i="6"/>
  <c r="G580" i="6"/>
  <c r="J580" i="6" s="1"/>
  <c r="I579" i="6"/>
  <c r="M579" i="6" s="1"/>
  <c r="H579" i="6"/>
  <c r="G579" i="6"/>
  <c r="J579" i="6" s="1"/>
  <c r="I578" i="6"/>
  <c r="M578" i="6" s="1"/>
  <c r="H578" i="6"/>
  <c r="G578" i="6"/>
  <c r="J578" i="6" s="1"/>
  <c r="I577" i="6"/>
  <c r="M577" i="6" s="1"/>
  <c r="H577" i="6"/>
  <c r="G577" i="6"/>
  <c r="J577" i="6" s="1"/>
  <c r="G576" i="6"/>
  <c r="I576" i="6"/>
  <c r="M576" i="6" s="1"/>
  <c r="H576" i="6"/>
  <c r="H575" i="6"/>
  <c r="I575" i="6"/>
  <c r="M575" i="6" s="1"/>
  <c r="G575" i="6"/>
  <c r="J575" i="6" s="1"/>
  <c r="G574" i="6"/>
  <c r="I574" i="6"/>
  <c r="M574" i="6" s="1"/>
  <c r="H574" i="6"/>
  <c r="I573" i="6"/>
  <c r="M573" i="6" s="1"/>
  <c r="H573" i="6"/>
  <c r="G573" i="6"/>
  <c r="J573" i="6" s="1"/>
  <c r="I572" i="6"/>
  <c r="M572" i="6" s="1"/>
  <c r="H572" i="6"/>
  <c r="G572" i="6"/>
  <c r="J572" i="6" s="1"/>
  <c r="I571" i="6"/>
  <c r="M571" i="6" s="1"/>
  <c r="H571" i="6"/>
  <c r="G571" i="6"/>
  <c r="J571" i="6" s="1"/>
  <c r="I570" i="6"/>
  <c r="M570" i="6" s="1"/>
  <c r="H570" i="6"/>
  <c r="G570" i="6"/>
  <c r="J570" i="6" s="1"/>
  <c r="G569" i="6"/>
  <c r="H569" i="6"/>
  <c r="I569" i="6"/>
  <c r="M569" i="6" s="1"/>
  <c r="I568" i="6"/>
  <c r="M568" i="6" s="1"/>
  <c r="H568" i="6"/>
  <c r="G568" i="6"/>
  <c r="J568" i="6" s="1"/>
  <c r="I567" i="6"/>
  <c r="M567" i="6" s="1"/>
  <c r="G567" i="6"/>
  <c r="H567" i="6"/>
  <c r="H566" i="6"/>
  <c r="I566" i="6"/>
  <c r="M566" i="6" s="1"/>
  <c r="G566" i="6"/>
  <c r="J566" i="6" s="1"/>
  <c r="I565" i="6"/>
  <c r="M565" i="6" s="1"/>
  <c r="H565" i="6"/>
  <c r="G565" i="6"/>
  <c r="J565" i="6" s="1"/>
  <c r="I564" i="6"/>
  <c r="M564" i="6" s="1"/>
  <c r="H564" i="6"/>
  <c r="G564" i="6"/>
  <c r="J564" i="6" s="1"/>
  <c r="H563" i="6"/>
  <c r="G563" i="6"/>
  <c r="J563" i="6" s="1"/>
  <c r="I563" i="6"/>
  <c r="M563" i="6" s="1"/>
  <c r="I562" i="6"/>
  <c r="M562" i="6" s="1"/>
  <c r="H562" i="6"/>
  <c r="G562" i="6"/>
  <c r="J562" i="6" s="1"/>
  <c r="G561" i="6"/>
  <c r="I561" i="6"/>
  <c r="M561" i="6" s="1"/>
  <c r="H561" i="6"/>
  <c r="I560" i="6"/>
  <c r="M560" i="6" s="1"/>
  <c r="H560" i="6"/>
  <c r="G560" i="6"/>
  <c r="J560" i="6" s="1"/>
  <c r="I559" i="6"/>
  <c r="M559" i="6" s="1"/>
  <c r="H559" i="6"/>
  <c r="G559" i="6"/>
  <c r="J559" i="6" s="1"/>
  <c r="G558" i="6"/>
  <c r="H558" i="6"/>
  <c r="I558" i="6"/>
  <c r="M558" i="6" s="1"/>
  <c r="G557" i="6"/>
  <c r="I557" i="6"/>
  <c r="M557" i="6" s="1"/>
  <c r="H557" i="6"/>
  <c r="G556" i="6"/>
  <c r="H556" i="6"/>
  <c r="I556" i="6"/>
  <c r="M556" i="6" s="1"/>
  <c r="G555" i="6"/>
  <c r="H555" i="6"/>
  <c r="I555" i="6"/>
  <c r="M555" i="6" s="1"/>
  <c r="G554" i="6"/>
  <c r="H554" i="6"/>
  <c r="I554" i="6"/>
  <c r="M554" i="6" s="1"/>
  <c r="I553" i="6"/>
  <c r="M553" i="6" s="1"/>
  <c r="H553" i="6"/>
  <c r="G553" i="6"/>
  <c r="J553" i="6" s="1"/>
  <c r="G552" i="6"/>
  <c r="I552" i="6"/>
  <c r="M552" i="6" s="1"/>
  <c r="H552" i="6"/>
  <c r="H551" i="6"/>
  <c r="I551" i="6"/>
  <c r="M551" i="6" s="1"/>
  <c r="G551" i="6"/>
  <c r="J551" i="6" s="1"/>
  <c r="H550" i="6"/>
  <c r="I550" i="6"/>
  <c r="M550" i="6" s="1"/>
  <c r="G550" i="6"/>
  <c r="J550" i="6" s="1"/>
  <c r="I549" i="6"/>
  <c r="M549" i="6" s="1"/>
  <c r="G549" i="6"/>
  <c r="H549" i="6"/>
  <c r="H548" i="6"/>
  <c r="G548" i="6"/>
  <c r="J548" i="6" s="1"/>
  <c r="I548" i="6"/>
  <c r="M548" i="6" s="1"/>
  <c r="G547" i="6"/>
  <c r="I547" i="6"/>
  <c r="M547" i="6" s="1"/>
  <c r="H547" i="6"/>
  <c r="G546" i="6"/>
  <c r="H546" i="6"/>
  <c r="I546" i="6"/>
  <c r="M546" i="6" s="1"/>
  <c r="G545" i="6"/>
  <c r="H545" i="6"/>
  <c r="I545" i="6"/>
  <c r="M545" i="6" s="1"/>
  <c r="I544" i="6"/>
  <c r="M544" i="6" s="1"/>
  <c r="H544" i="6"/>
  <c r="G544" i="6"/>
  <c r="J544" i="6" s="1"/>
  <c r="I543" i="6"/>
  <c r="M543" i="6" s="1"/>
  <c r="H543" i="6"/>
  <c r="G543" i="6"/>
  <c r="G542" i="6"/>
  <c r="H542" i="6"/>
  <c r="I542" i="6"/>
  <c r="M542" i="6" s="1"/>
  <c r="I541" i="6"/>
  <c r="M541" i="6" s="1"/>
  <c r="H541" i="6"/>
  <c r="G541" i="6"/>
  <c r="J541" i="6" s="1"/>
  <c r="G540" i="6"/>
  <c r="H540" i="6"/>
  <c r="I540" i="6"/>
  <c r="M540" i="6" s="1"/>
  <c r="G539" i="6"/>
  <c r="H539" i="6"/>
  <c r="I539" i="6"/>
  <c r="M539" i="6" s="1"/>
  <c r="H538" i="6"/>
  <c r="G538" i="6"/>
  <c r="J538" i="6" s="1"/>
  <c r="I538" i="6"/>
  <c r="M538" i="6" s="1"/>
  <c r="G537" i="6"/>
  <c r="H537" i="6"/>
  <c r="I537" i="6"/>
  <c r="M537" i="6" s="1"/>
  <c r="H536" i="6"/>
  <c r="G536" i="6"/>
  <c r="J536" i="6" s="1"/>
  <c r="I536" i="6"/>
  <c r="M536" i="6" s="1"/>
  <c r="I535" i="6"/>
  <c r="M535" i="6" s="1"/>
  <c r="G535" i="6"/>
  <c r="H535" i="6"/>
  <c r="H534" i="6"/>
  <c r="I534" i="6"/>
  <c r="M534" i="6" s="1"/>
  <c r="G534" i="6"/>
  <c r="J534" i="6" s="1"/>
  <c r="I533" i="6"/>
  <c r="M533" i="6" s="1"/>
  <c r="G533" i="6"/>
  <c r="H533" i="6"/>
  <c r="I532" i="6"/>
  <c r="M532" i="6" s="1"/>
  <c r="H532" i="6"/>
  <c r="G532" i="6"/>
  <c r="J532" i="6" s="1"/>
  <c r="I531" i="6"/>
  <c r="M531" i="6" s="1"/>
  <c r="G531" i="6"/>
  <c r="H531" i="6"/>
  <c r="H530" i="6"/>
  <c r="I530" i="6"/>
  <c r="M530" i="6" s="1"/>
  <c r="G530" i="6"/>
  <c r="J530" i="6" s="1"/>
  <c r="I529" i="6"/>
  <c r="M529" i="6" s="1"/>
  <c r="H529" i="6"/>
  <c r="G529" i="6"/>
  <c r="J529" i="6" s="1"/>
  <c r="I528" i="6"/>
  <c r="M528" i="6" s="1"/>
  <c r="H528" i="6"/>
  <c r="G528" i="6"/>
  <c r="J528" i="6" s="1"/>
  <c r="G527" i="6"/>
  <c r="H527" i="6"/>
  <c r="I527" i="6"/>
  <c r="M527" i="6" s="1"/>
  <c r="H526" i="6"/>
  <c r="I526" i="6"/>
  <c r="M526" i="6" s="1"/>
  <c r="G526" i="6"/>
  <c r="J526" i="6" s="1"/>
  <c r="I525" i="6"/>
  <c r="M525" i="6" s="1"/>
  <c r="H525" i="6"/>
  <c r="G525" i="6"/>
  <c r="J525" i="6" s="1"/>
  <c r="I524" i="6"/>
  <c r="M524" i="6" s="1"/>
  <c r="H524" i="6"/>
  <c r="G524" i="6"/>
  <c r="J524" i="6" s="1"/>
  <c r="G523" i="6"/>
  <c r="H523" i="6"/>
  <c r="I523" i="6"/>
  <c r="M523" i="6" s="1"/>
  <c r="G522" i="6"/>
  <c r="H522" i="6"/>
  <c r="I522" i="6"/>
  <c r="M522" i="6" s="1"/>
  <c r="G521" i="6"/>
  <c r="H521" i="6"/>
  <c r="I521" i="6"/>
  <c r="M521" i="6" s="1"/>
  <c r="G520" i="6"/>
  <c r="H520" i="6"/>
  <c r="I520" i="6"/>
  <c r="M520" i="6" s="1"/>
  <c r="I519" i="6"/>
  <c r="M519" i="6" s="1"/>
  <c r="H519" i="6"/>
  <c r="G519" i="6"/>
  <c r="J519" i="6" s="1"/>
  <c r="I518" i="6"/>
  <c r="M518" i="6" s="1"/>
  <c r="G518" i="6"/>
  <c r="H518" i="6"/>
  <c r="G517" i="6"/>
  <c r="H517" i="6"/>
  <c r="I517" i="6"/>
  <c r="M517" i="6" s="1"/>
  <c r="G516" i="6"/>
  <c r="H516" i="6"/>
  <c r="I516" i="6"/>
  <c r="M516" i="6" s="1"/>
  <c r="I515" i="6"/>
  <c r="M515" i="6" s="1"/>
  <c r="G515" i="6"/>
  <c r="H515" i="6"/>
  <c r="H514" i="6"/>
  <c r="I514" i="6"/>
  <c r="M514" i="6" s="1"/>
  <c r="G514" i="6"/>
  <c r="J514" i="6" s="1"/>
  <c r="I513" i="6"/>
  <c r="M513" i="6" s="1"/>
  <c r="H513" i="6"/>
  <c r="G513" i="6"/>
  <c r="J513" i="6" s="1"/>
  <c r="H512" i="6"/>
  <c r="I512" i="6"/>
  <c r="M512" i="6" s="1"/>
  <c r="G512" i="6"/>
  <c r="J512" i="6" s="1"/>
  <c r="I511" i="6"/>
  <c r="M511" i="6" s="1"/>
  <c r="H511" i="6"/>
  <c r="G511" i="6"/>
  <c r="J511" i="6" s="1"/>
  <c r="G510" i="6"/>
  <c r="H510" i="6"/>
  <c r="I510" i="6"/>
  <c r="M510" i="6" s="1"/>
  <c r="G509" i="6"/>
  <c r="H509" i="6"/>
  <c r="I509" i="6"/>
  <c r="M509" i="6" s="1"/>
  <c r="G508" i="6"/>
  <c r="I508" i="6"/>
  <c r="M508" i="6" s="1"/>
  <c r="H508" i="6"/>
  <c r="I507" i="6"/>
  <c r="M507" i="6" s="1"/>
  <c r="G507" i="6"/>
  <c r="H507" i="6"/>
  <c r="I506" i="6"/>
  <c r="M506" i="6" s="1"/>
  <c r="G506" i="6"/>
  <c r="H506" i="6"/>
  <c r="G505" i="6"/>
  <c r="H505" i="6"/>
  <c r="I505" i="6"/>
  <c r="M505" i="6" s="1"/>
  <c r="I504" i="6"/>
  <c r="M504" i="6" s="1"/>
  <c r="H504" i="6"/>
  <c r="G504" i="6"/>
  <c r="J504" i="6" s="1"/>
  <c r="I503" i="6"/>
  <c r="M503" i="6" s="1"/>
  <c r="H503" i="6"/>
  <c r="G503" i="6"/>
  <c r="J503" i="6" s="1"/>
  <c r="G502" i="6"/>
  <c r="H502" i="6"/>
  <c r="I502" i="6"/>
  <c r="M502" i="6" s="1"/>
  <c r="G501" i="6"/>
  <c r="H501" i="6"/>
  <c r="I501" i="6"/>
  <c r="M501" i="6" s="1"/>
  <c r="G500" i="6"/>
  <c r="H500" i="6"/>
  <c r="I500" i="6"/>
  <c r="M500" i="6" s="1"/>
  <c r="G499" i="6"/>
  <c r="I499" i="6"/>
  <c r="M499" i="6" s="1"/>
  <c r="H499" i="6"/>
  <c r="I498" i="6"/>
  <c r="M498" i="6" s="1"/>
  <c r="H498" i="6"/>
  <c r="G498" i="6"/>
  <c r="J498" i="6" s="1"/>
  <c r="H497" i="6"/>
  <c r="G497" i="6"/>
  <c r="J497" i="6" s="1"/>
  <c r="I497" i="6"/>
  <c r="M497" i="6" s="1"/>
  <c r="I496" i="6"/>
  <c r="M496" i="6" s="1"/>
  <c r="H496" i="6"/>
  <c r="G496" i="6"/>
  <c r="J496" i="6" s="1"/>
  <c r="I495" i="6"/>
  <c r="M495" i="6" s="1"/>
  <c r="H495" i="6"/>
  <c r="G495" i="6"/>
  <c r="J495" i="6" s="1"/>
  <c r="H494" i="6"/>
  <c r="I494" i="6"/>
  <c r="M494" i="6" s="1"/>
  <c r="G494" i="6"/>
  <c r="J494" i="6" s="1"/>
  <c r="G493" i="6"/>
  <c r="I493" i="6"/>
  <c r="M493" i="6" s="1"/>
  <c r="H493" i="6"/>
  <c r="G492" i="6"/>
  <c r="I492" i="6"/>
  <c r="M492" i="6" s="1"/>
  <c r="H492" i="6"/>
  <c r="H491" i="6"/>
  <c r="I491" i="6"/>
  <c r="M491" i="6" s="1"/>
  <c r="G491" i="6"/>
  <c r="J491" i="6" s="1"/>
  <c r="G490" i="6"/>
  <c r="H490" i="6"/>
  <c r="I490" i="6"/>
  <c r="M490" i="6" s="1"/>
  <c r="G489" i="6"/>
  <c r="I489" i="6"/>
  <c r="M489" i="6" s="1"/>
  <c r="H489" i="6"/>
  <c r="H488" i="6"/>
  <c r="G488" i="6"/>
  <c r="J488" i="6" s="1"/>
  <c r="I488" i="6"/>
  <c r="M488" i="6" s="1"/>
  <c r="I487" i="6"/>
  <c r="M487" i="6" s="1"/>
  <c r="G487" i="6"/>
  <c r="H487" i="6"/>
  <c r="H486" i="6"/>
  <c r="I486" i="6"/>
  <c r="M486" i="6" s="1"/>
  <c r="G486" i="6"/>
  <c r="J486" i="6" s="1"/>
  <c r="H485" i="6"/>
  <c r="G485" i="6"/>
  <c r="J485" i="6" s="1"/>
  <c r="I485" i="6"/>
  <c r="M485" i="6" s="1"/>
  <c r="I484" i="6"/>
  <c r="M484" i="6" s="1"/>
  <c r="H484" i="6"/>
  <c r="G484" i="6"/>
  <c r="J484" i="6" s="1"/>
  <c r="H483" i="6"/>
  <c r="I483" i="6"/>
  <c r="M483" i="6" s="1"/>
  <c r="G483" i="6"/>
  <c r="J483" i="6" s="1"/>
  <c r="G482" i="6"/>
  <c r="H482" i="6"/>
  <c r="I482" i="6"/>
  <c r="M482" i="6" s="1"/>
  <c r="G481" i="6"/>
  <c r="I481" i="6"/>
  <c r="M481" i="6" s="1"/>
  <c r="H481" i="6"/>
  <c r="I480" i="6"/>
  <c r="M480" i="6" s="1"/>
  <c r="H480" i="6"/>
  <c r="G480" i="6"/>
  <c r="J480" i="6" s="1"/>
  <c r="G479" i="6"/>
  <c r="I479" i="6"/>
  <c r="M479" i="6" s="1"/>
  <c r="H479" i="6"/>
  <c r="I478" i="6"/>
  <c r="M478" i="6" s="1"/>
  <c r="H478" i="6"/>
  <c r="G478" i="6"/>
  <c r="J478" i="6" s="1"/>
  <c r="I477" i="6"/>
  <c r="M477" i="6" s="1"/>
  <c r="H477" i="6"/>
  <c r="G477" i="6"/>
  <c r="J477" i="6" s="1"/>
  <c r="I476" i="6"/>
  <c r="M476" i="6" s="1"/>
  <c r="H476" i="6"/>
  <c r="G476" i="6"/>
  <c r="J476" i="6" s="1"/>
  <c r="G475" i="6"/>
  <c r="H475" i="6"/>
  <c r="I475" i="6"/>
  <c r="M475" i="6" s="1"/>
  <c r="G474" i="6"/>
  <c r="H474" i="6"/>
  <c r="I474" i="6"/>
  <c r="M474" i="6" s="1"/>
  <c r="H473" i="6"/>
  <c r="I473" i="6"/>
  <c r="M473" i="6" s="1"/>
  <c r="G473" i="6"/>
  <c r="J473" i="6" s="1"/>
  <c r="G472" i="6"/>
  <c r="I472" i="6"/>
  <c r="M472" i="6" s="1"/>
  <c r="H472" i="6"/>
  <c r="I471" i="6"/>
  <c r="M471" i="6" s="1"/>
  <c r="H471" i="6"/>
  <c r="G471" i="6"/>
  <c r="J471" i="6" s="1"/>
  <c r="I470" i="6"/>
  <c r="M470" i="6" s="1"/>
  <c r="H470" i="6"/>
  <c r="G470" i="6"/>
  <c r="J470" i="6" s="1"/>
  <c r="I469" i="6"/>
  <c r="M469" i="6" s="1"/>
  <c r="H469" i="6"/>
  <c r="G469" i="6"/>
  <c r="J469" i="6" s="1"/>
  <c r="I468" i="6"/>
  <c r="M468" i="6" s="1"/>
  <c r="H468" i="6"/>
  <c r="G468" i="6"/>
  <c r="J468" i="6" s="1"/>
  <c r="G467" i="6"/>
  <c r="I467" i="6"/>
  <c r="M467" i="6" s="1"/>
  <c r="H467" i="6"/>
  <c r="I466" i="6"/>
  <c r="M466" i="6" s="1"/>
  <c r="H466" i="6"/>
  <c r="G466" i="6"/>
  <c r="J466" i="6" s="1"/>
  <c r="I465" i="6"/>
  <c r="M465" i="6" s="1"/>
  <c r="H465" i="6"/>
  <c r="G465" i="6"/>
  <c r="J465" i="6" s="1"/>
  <c r="I464" i="6"/>
  <c r="M464" i="6" s="1"/>
  <c r="H464" i="6"/>
  <c r="G464" i="6"/>
  <c r="J464" i="6" s="1"/>
  <c r="I463" i="6"/>
  <c r="M463" i="6" s="1"/>
  <c r="H463" i="6"/>
  <c r="G463" i="6"/>
  <c r="J463" i="6" s="1"/>
  <c r="G462" i="6"/>
  <c r="I462" i="6"/>
  <c r="M462" i="6" s="1"/>
  <c r="H462" i="6"/>
  <c r="I461" i="6"/>
  <c r="M461" i="6" s="1"/>
  <c r="H461" i="6"/>
  <c r="G461" i="6"/>
  <c r="J461" i="6" s="1"/>
  <c r="I460" i="6"/>
  <c r="M460" i="6" s="1"/>
  <c r="H460" i="6"/>
  <c r="G460" i="6"/>
  <c r="J460" i="6" s="1"/>
  <c r="I459" i="6"/>
  <c r="M459" i="6" s="1"/>
  <c r="H459" i="6"/>
  <c r="G459" i="6"/>
  <c r="J459" i="6" s="1"/>
  <c r="I458" i="6"/>
  <c r="M458" i="6" s="1"/>
  <c r="H458" i="6"/>
  <c r="G458" i="6"/>
  <c r="J458" i="6" s="1"/>
  <c r="I457" i="6"/>
  <c r="M457" i="6" s="1"/>
  <c r="H457" i="6"/>
  <c r="G457" i="6"/>
  <c r="J457" i="6" s="1"/>
  <c r="I456" i="6"/>
  <c r="M456" i="6" s="1"/>
  <c r="H456" i="6"/>
  <c r="G456" i="6"/>
  <c r="J456" i="6" s="1"/>
  <c r="I455" i="6"/>
  <c r="M455" i="6" s="1"/>
  <c r="H455" i="6"/>
  <c r="G455" i="6"/>
  <c r="J455" i="6" s="1"/>
  <c r="G454" i="6"/>
  <c r="I454" i="6"/>
  <c r="M454" i="6" s="1"/>
  <c r="H454" i="6"/>
  <c r="I453" i="6"/>
  <c r="M453" i="6" s="1"/>
  <c r="G453" i="6"/>
  <c r="H453" i="6"/>
  <c r="H452" i="6"/>
  <c r="G452" i="6"/>
  <c r="J452" i="6" s="1"/>
  <c r="I452" i="6"/>
  <c r="M452" i="6" s="1"/>
  <c r="I451" i="6"/>
  <c r="M451" i="6" s="1"/>
  <c r="H451" i="6"/>
  <c r="G451" i="6"/>
  <c r="J451" i="6" s="1"/>
  <c r="I450" i="6"/>
  <c r="M450" i="6" s="1"/>
  <c r="H450" i="6"/>
  <c r="G450" i="6"/>
  <c r="J450" i="6" s="1"/>
  <c r="I449" i="6"/>
  <c r="M449" i="6" s="1"/>
  <c r="H449" i="6"/>
  <c r="G449" i="6"/>
  <c r="J449" i="6" s="1"/>
  <c r="G448" i="6"/>
  <c r="I448" i="6"/>
  <c r="M448" i="6" s="1"/>
  <c r="H448" i="6"/>
  <c r="H447" i="6"/>
  <c r="I447" i="6"/>
  <c r="M447" i="6" s="1"/>
  <c r="G447" i="6"/>
  <c r="H446" i="6"/>
  <c r="G446" i="6"/>
  <c r="J446" i="6" s="1"/>
  <c r="I446" i="6"/>
  <c r="M446" i="6" s="1"/>
  <c r="H445" i="6"/>
  <c r="G445" i="6"/>
  <c r="J445" i="6" s="1"/>
  <c r="I445" i="6"/>
  <c r="M445" i="6" s="1"/>
  <c r="H444" i="6"/>
  <c r="G444" i="6"/>
  <c r="J444" i="6" s="1"/>
  <c r="I444" i="6"/>
  <c r="M444" i="6" s="1"/>
  <c r="H443" i="6"/>
  <c r="I443" i="6"/>
  <c r="M443" i="6" s="1"/>
  <c r="G443" i="6"/>
  <c r="J443" i="6" s="1"/>
  <c r="I442" i="6"/>
  <c r="M442" i="6" s="1"/>
  <c r="H442" i="6"/>
  <c r="G442" i="6"/>
  <c r="J442" i="6" s="1"/>
  <c r="I441" i="6"/>
  <c r="M441" i="6" s="1"/>
  <c r="H441" i="6"/>
  <c r="G441" i="6"/>
  <c r="J441" i="6" s="1"/>
  <c r="I440" i="6"/>
  <c r="M440" i="6" s="1"/>
  <c r="H440" i="6"/>
  <c r="G440" i="6"/>
  <c r="J440" i="6" s="1"/>
  <c r="G439" i="6"/>
  <c r="H439" i="6"/>
  <c r="I439" i="6"/>
  <c r="M439" i="6" s="1"/>
  <c r="I438" i="6"/>
  <c r="M438" i="6" s="1"/>
  <c r="H438" i="6"/>
  <c r="G438" i="6"/>
  <c r="J438" i="6" s="1"/>
  <c r="I437" i="6"/>
  <c r="M437" i="6" s="1"/>
  <c r="G437" i="6"/>
  <c r="H437" i="6"/>
  <c r="I436" i="6"/>
  <c r="M436" i="6" s="1"/>
  <c r="H436" i="6"/>
  <c r="G436" i="6"/>
  <c r="J436" i="6" s="1"/>
  <c r="I435" i="6"/>
  <c r="M435" i="6" s="1"/>
  <c r="H435" i="6"/>
  <c r="G435" i="6"/>
  <c r="J435" i="6" s="1"/>
  <c r="I434" i="6"/>
  <c r="M434" i="6" s="1"/>
  <c r="H434" i="6"/>
  <c r="G434" i="6"/>
  <c r="J434" i="6" s="1"/>
  <c r="I433" i="6"/>
  <c r="M433" i="6" s="1"/>
  <c r="H433" i="6"/>
  <c r="G433" i="6"/>
  <c r="J433" i="6" s="1"/>
  <c r="G432" i="6"/>
  <c r="H432" i="6"/>
  <c r="I432" i="6"/>
  <c r="M432" i="6" s="1"/>
  <c r="H431" i="6"/>
  <c r="I431" i="6"/>
  <c r="M431" i="6" s="1"/>
  <c r="G431" i="6"/>
  <c r="J431" i="6" s="1"/>
  <c r="I430" i="6"/>
  <c r="M430" i="6" s="1"/>
  <c r="G430" i="6"/>
  <c r="H430" i="6"/>
  <c r="I429" i="6"/>
  <c r="M429" i="6" s="1"/>
  <c r="H429" i="6"/>
  <c r="G429" i="6"/>
  <c r="J429" i="6" s="1"/>
  <c r="G428" i="6"/>
  <c r="I428" i="6"/>
  <c r="M428" i="6" s="1"/>
  <c r="H428" i="6"/>
  <c r="I427" i="6"/>
  <c r="M427" i="6" s="1"/>
  <c r="H427" i="6"/>
  <c r="G427" i="6"/>
  <c r="J427" i="6" s="1"/>
  <c r="G426" i="6"/>
  <c r="I426" i="6"/>
  <c r="M426" i="6" s="1"/>
  <c r="H426" i="6"/>
  <c r="G425" i="6"/>
  <c r="H425" i="6"/>
  <c r="I425" i="6"/>
  <c r="M425" i="6" s="1"/>
  <c r="G424" i="6"/>
  <c r="H424" i="6"/>
  <c r="I424" i="6"/>
  <c r="M424" i="6" s="1"/>
  <c r="G423" i="6"/>
  <c r="H423" i="6"/>
  <c r="I423" i="6"/>
  <c r="M423" i="6" s="1"/>
  <c r="G422" i="6"/>
  <c r="H422" i="6"/>
  <c r="I422" i="6"/>
  <c r="M422" i="6" s="1"/>
  <c r="G421" i="6"/>
  <c r="I421" i="6"/>
  <c r="M421" i="6" s="1"/>
  <c r="H421" i="6"/>
  <c r="G420" i="6"/>
  <c r="H420" i="6"/>
  <c r="I420" i="6"/>
  <c r="M420" i="6" s="1"/>
  <c r="I419" i="6"/>
  <c r="M419" i="6" s="1"/>
  <c r="H419" i="6"/>
  <c r="G419" i="6"/>
  <c r="J419" i="6" s="1"/>
  <c r="G418" i="6"/>
  <c r="I418" i="6"/>
  <c r="M418" i="6" s="1"/>
  <c r="H418" i="6"/>
  <c r="I416" i="6"/>
  <c r="M416" i="6" s="1"/>
  <c r="H416" i="6"/>
  <c r="G416" i="6"/>
  <c r="J416" i="6" s="1"/>
  <c r="I415" i="6"/>
  <c r="M415" i="6" s="1"/>
  <c r="H415" i="6"/>
  <c r="G415" i="6"/>
  <c r="J415" i="6" s="1"/>
  <c r="I414" i="6"/>
  <c r="M414" i="6" s="1"/>
  <c r="H414" i="6"/>
  <c r="G414" i="6"/>
  <c r="J414" i="6" s="1"/>
  <c r="G413" i="6"/>
  <c r="I413" i="6"/>
  <c r="M413" i="6" s="1"/>
  <c r="H413" i="6"/>
  <c r="I412" i="6"/>
  <c r="M412" i="6" s="1"/>
  <c r="H412" i="6"/>
  <c r="G412" i="6"/>
  <c r="J412" i="6" s="1"/>
  <c r="G411" i="6"/>
  <c r="H411" i="6"/>
  <c r="I411" i="6"/>
  <c r="M411" i="6" s="1"/>
  <c r="G410" i="6"/>
  <c r="H410" i="6"/>
  <c r="I410" i="6"/>
  <c r="M410" i="6" s="1"/>
  <c r="G409" i="6"/>
  <c r="H409" i="6"/>
  <c r="I409" i="6"/>
  <c r="M409" i="6" s="1"/>
  <c r="G408" i="6"/>
  <c r="H408" i="6"/>
  <c r="I408" i="6"/>
  <c r="M408" i="6" s="1"/>
  <c r="H407" i="6"/>
  <c r="G407" i="6"/>
  <c r="J407" i="6" s="1"/>
  <c r="I407" i="6"/>
  <c r="M407" i="6" s="1"/>
  <c r="G406" i="6"/>
  <c r="H406" i="6"/>
  <c r="I406" i="6"/>
  <c r="M406" i="6" s="1"/>
  <c r="G405" i="6"/>
  <c r="H405" i="6"/>
  <c r="I405" i="6"/>
  <c r="M405" i="6" s="1"/>
  <c r="G404" i="6"/>
  <c r="H404" i="6"/>
  <c r="I404" i="6"/>
  <c r="M404" i="6" s="1"/>
  <c r="H403" i="6"/>
  <c r="I403" i="6"/>
  <c r="M403" i="6" s="1"/>
  <c r="G403" i="6"/>
  <c r="J403" i="6" s="1"/>
  <c r="I402" i="6"/>
  <c r="M402" i="6" s="1"/>
  <c r="H402" i="6"/>
  <c r="G402" i="6"/>
  <c r="J402" i="6" s="1"/>
  <c r="H401" i="6"/>
  <c r="I401" i="6"/>
  <c r="M401" i="6" s="1"/>
  <c r="G401" i="6"/>
  <c r="J401" i="6" s="1"/>
  <c r="G400" i="6"/>
  <c r="H400" i="6"/>
  <c r="I400" i="6"/>
  <c r="M400" i="6" s="1"/>
  <c r="I399" i="6"/>
  <c r="M399" i="6" s="1"/>
  <c r="G399" i="6"/>
  <c r="H399" i="6"/>
  <c r="I398" i="6"/>
  <c r="M398" i="6" s="1"/>
  <c r="H398" i="6"/>
  <c r="G398" i="6"/>
  <c r="J398" i="6" s="1"/>
  <c r="I397" i="6"/>
  <c r="M397" i="6" s="1"/>
  <c r="H397" i="6"/>
  <c r="G397" i="6"/>
  <c r="J397" i="6" s="1"/>
  <c r="I396" i="6"/>
  <c r="M396" i="6" s="1"/>
  <c r="H396" i="6"/>
  <c r="G396" i="6"/>
  <c r="J396" i="6" s="1"/>
  <c r="G395" i="6"/>
  <c r="H395" i="6"/>
  <c r="I395" i="6"/>
  <c r="M395" i="6" s="1"/>
  <c r="H394" i="6"/>
  <c r="G394" i="6"/>
  <c r="J394" i="6" s="1"/>
  <c r="I394" i="6"/>
  <c r="M394" i="6" s="1"/>
  <c r="G393" i="6"/>
  <c r="H393" i="6"/>
  <c r="I393" i="6"/>
  <c r="M393" i="6" s="1"/>
  <c r="H392" i="6"/>
  <c r="I392" i="6"/>
  <c r="M392" i="6" s="1"/>
  <c r="G392" i="6"/>
  <c r="J392" i="6" s="1"/>
  <c r="G391" i="6"/>
  <c r="I391" i="6"/>
  <c r="M391" i="6" s="1"/>
  <c r="H391" i="6"/>
  <c r="I390" i="6"/>
  <c r="M390" i="6" s="1"/>
  <c r="H390" i="6"/>
  <c r="G390" i="6"/>
  <c r="J390" i="6" s="1"/>
  <c r="I389" i="6"/>
  <c r="M389" i="6" s="1"/>
  <c r="G389" i="6"/>
  <c r="H389" i="6"/>
  <c r="I388" i="6"/>
  <c r="M388" i="6" s="1"/>
  <c r="H388" i="6"/>
  <c r="G388" i="6"/>
  <c r="J388" i="6" s="1"/>
  <c r="I387" i="6"/>
  <c r="M387" i="6" s="1"/>
  <c r="H387" i="6"/>
  <c r="G387" i="6"/>
  <c r="J387" i="6" s="1"/>
  <c r="H386" i="6"/>
  <c r="G386" i="6"/>
  <c r="J386" i="6" s="1"/>
  <c r="I386" i="6"/>
  <c r="M386" i="6" s="1"/>
  <c r="H385" i="6"/>
  <c r="G385" i="6"/>
  <c r="J385" i="6" s="1"/>
  <c r="I385" i="6"/>
  <c r="M385" i="6" s="1"/>
  <c r="I384" i="6"/>
  <c r="M384" i="6" s="1"/>
  <c r="G384" i="6"/>
  <c r="H384" i="6"/>
  <c r="H383" i="6"/>
  <c r="I383" i="6"/>
  <c r="M383" i="6" s="1"/>
  <c r="G383" i="6"/>
  <c r="J383" i="6" s="1"/>
  <c r="I382" i="6"/>
  <c r="M382" i="6" s="1"/>
  <c r="H382" i="6"/>
  <c r="G382" i="6"/>
  <c r="J382" i="6" s="1"/>
  <c r="H381" i="6"/>
  <c r="I381" i="6"/>
  <c r="M381" i="6" s="1"/>
  <c r="G381" i="6"/>
  <c r="J381" i="6" s="1"/>
  <c r="I380" i="6"/>
  <c r="M380" i="6" s="1"/>
  <c r="H380" i="6"/>
  <c r="G380" i="6"/>
  <c r="J380" i="6" s="1"/>
  <c r="I379" i="6"/>
  <c r="M379" i="6" s="1"/>
  <c r="H379" i="6"/>
  <c r="G379" i="6"/>
  <c r="J379" i="6" s="1"/>
  <c r="H378" i="6"/>
  <c r="I378" i="6"/>
  <c r="M378" i="6" s="1"/>
  <c r="G378" i="6"/>
  <c r="J378" i="6" s="1"/>
  <c r="I377" i="6"/>
  <c r="M377" i="6" s="1"/>
  <c r="H377" i="6"/>
  <c r="G377" i="6"/>
  <c r="J377" i="6" s="1"/>
  <c r="I376" i="6"/>
  <c r="M376" i="6" s="1"/>
  <c r="H376" i="6"/>
  <c r="G376" i="6"/>
  <c r="J376" i="6" s="1"/>
  <c r="I375" i="6"/>
  <c r="M375" i="6" s="1"/>
  <c r="H375" i="6"/>
  <c r="G375" i="6"/>
  <c r="J375" i="6" s="1"/>
  <c r="G374" i="6"/>
  <c r="H374" i="6"/>
  <c r="I374" i="6"/>
  <c r="M374" i="6" s="1"/>
  <c r="H373" i="6"/>
  <c r="I373" i="6"/>
  <c r="M373" i="6" s="1"/>
  <c r="G373" i="6"/>
  <c r="J373" i="6" s="1"/>
  <c r="G372" i="6"/>
  <c r="H372" i="6"/>
  <c r="I372" i="6"/>
  <c r="M372" i="6" s="1"/>
  <c r="G371" i="6"/>
  <c r="I371" i="6"/>
  <c r="M371" i="6" s="1"/>
  <c r="H371" i="6"/>
  <c r="G370" i="6"/>
  <c r="H370" i="6"/>
  <c r="I370" i="6"/>
  <c r="M370" i="6" s="1"/>
  <c r="H369" i="6"/>
  <c r="I369" i="6"/>
  <c r="M369" i="6" s="1"/>
  <c r="G369" i="6"/>
  <c r="J369" i="6" s="1"/>
  <c r="G368" i="6"/>
  <c r="I368" i="6"/>
  <c r="M368" i="6" s="1"/>
  <c r="H368" i="6"/>
  <c r="I367" i="6"/>
  <c r="M367" i="6" s="1"/>
  <c r="H367" i="6"/>
  <c r="G367" i="6"/>
  <c r="J367" i="6" s="1"/>
  <c r="H366" i="6"/>
  <c r="G366" i="6"/>
  <c r="J366" i="6" s="1"/>
  <c r="I366" i="6"/>
  <c r="M366" i="6" s="1"/>
  <c r="G365" i="6"/>
  <c r="H365" i="6"/>
  <c r="I365" i="6"/>
  <c r="M365" i="6" s="1"/>
  <c r="G364" i="6"/>
  <c r="H364" i="6"/>
  <c r="I364" i="6"/>
  <c r="M364" i="6" s="1"/>
  <c r="G363" i="6"/>
  <c r="H363" i="6"/>
  <c r="I363" i="6"/>
  <c r="M363" i="6" s="1"/>
  <c r="G362" i="6"/>
  <c r="H362" i="6"/>
  <c r="I362" i="6"/>
  <c r="M362" i="6" s="1"/>
  <c r="H361" i="6"/>
  <c r="G361" i="6"/>
  <c r="J361" i="6" s="1"/>
  <c r="I361" i="6"/>
  <c r="M361" i="6" s="1"/>
  <c r="G360" i="6"/>
  <c r="I360" i="6"/>
  <c r="M360" i="6" s="1"/>
  <c r="H360" i="6"/>
  <c r="G359" i="6"/>
  <c r="H359" i="6"/>
  <c r="I359" i="6"/>
  <c r="M359" i="6" s="1"/>
  <c r="H358" i="6"/>
  <c r="I358" i="6"/>
  <c r="M358" i="6" s="1"/>
  <c r="G358" i="6"/>
  <c r="J358" i="6" s="1"/>
  <c r="G357" i="6"/>
  <c r="I357" i="6"/>
  <c r="M357" i="6" s="1"/>
  <c r="H357" i="6"/>
  <c r="G356" i="6"/>
  <c r="H356" i="6"/>
  <c r="I356" i="6"/>
  <c r="M356" i="6" s="1"/>
  <c r="H355" i="6"/>
  <c r="I355" i="6"/>
  <c r="M355" i="6" s="1"/>
  <c r="G355" i="6"/>
  <c r="J355" i="6" s="1"/>
  <c r="I354" i="6"/>
  <c r="M354" i="6" s="1"/>
  <c r="G354" i="6"/>
  <c r="H354" i="6"/>
  <c r="H353" i="6"/>
  <c r="I353" i="6"/>
  <c r="M353" i="6" s="1"/>
  <c r="G353" i="6"/>
  <c r="J353" i="6" s="1"/>
  <c r="G352" i="6"/>
  <c r="I352" i="6"/>
  <c r="M352" i="6" s="1"/>
  <c r="H352" i="6"/>
  <c r="I351" i="6"/>
  <c r="M351" i="6" s="1"/>
  <c r="G351" i="6"/>
  <c r="H351" i="6"/>
  <c r="G350" i="6"/>
  <c r="H350" i="6"/>
  <c r="I350" i="6"/>
  <c r="M350" i="6" s="1"/>
  <c r="G349" i="6"/>
  <c r="H349" i="6"/>
  <c r="I349" i="6"/>
  <c r="M349" i="6" s="1"/>
  <c r="G348" i="6"/>
  <c r="I348" i="6"/>
  <c r="M348" i="6" s="1"/>
  <c r="H348" i="6"/>
  <c r="I347" i="6"/>
  <c r="M347" i="6" s="1"/>
  <c r="H347" i="6"/>
  <c r="G347" i="6"/>
  <c r="J347" i="6" s="1"/>
  <c r="I346" i="6"/>
  <c r="M346" i="6" s="1"/>
  <c r="G346" i="6"/>
  <c r="H346" i="6"/>
  <c r="H345" i="6"/>
  <c r="I345" i="6"/>
  <c r="M345" i="6" s="1"/>
  <c r="G345" i="6"/>
  <c r="J345" i="6" s="1"/>
  <c r="H344" i="6"/>
  <c r="I344" i="6"/>
  <c r="M344" i="6" s="1"/>
  <c r="G344" i="6"/>
  <c r="J344" i="6" s="1"/>
  <c r="G343" i="6"/>
  <c r="H343" i="6"/>
  <c r="I343" i="6"/>
  <c r="M343" i="6" s="1"/>
  <c r="G342" i="6"/>
  <c r="H342" i="6"/>
  <c r="I342" i="6"/>
  <c r="M342" i="6" s="1"/>
  <c r="I341" i="6"/>
  <c r="M341" i="6" s="1"/>
  <c r="G341" i="6"/>
  <c r="H341" i="6"/>
  <c r="G340" i="6"/>
  <c r="H340" i="6"/>
  <c r="I340" i="6"/>
  <c r="M340" i="6" s="1"/>
  <c r="I339" i="6"/>
  <c r="M339" i="6" s="1"/>
  <c r="G339" i="6"/>
  <c r="H339" i="6"/>
  <c r="I338" i="6"/>
  <c r="M338" i="6" s="1"/>
  <c r="H338" i="6"/>
  <c r="G338" i="6"/>
  <c r="J338" i="6" s="1"/>
  <c r="I337" i="6"/>
  <c r="M337" i="6" s="1"/>
  <c r="G337" i="6"/>
  <c r="H337" i="6"/>
  <c r="I336" i="6"/>
  <c r="M336" i="6" s="1"/>
  <c r="G336" i="6"/>
  <c r="H336" i="6"/>
  <c r="G335" i="6"/>
  <c r="H335" i="6"/>
  <c r="I335" i="6"/>
  <c r="M335" i="6" s="1"/>
  <c r="G334" i="6"/>
  <c r="H334" i="6"/>
  <c r="I334" i="6"/>
  <c r="M334" i="6" s="1"/>
  <c r="H333" i="6"/>
  <c r="I333" i="6"/>
  <c r="M333" i="6" s="1"/>
  <c r="G333" i="6"/>
  <c r="J333" i="6" s="1"/>
  <c r="G332" i="6"/>
  <c r="H332" i="6"/>
  <c r="I332" i="6"/>
  <c r="M332" i="6" s="1"/>
  <c r="I331" i="6"/>
  <c r="M331" i="6" s="1"/>
  <c r="G331" i="6"/>
  <c r="H331" i="6"/>
  <c r="G330" i="6"/>
  <c r="H330" i="6"/>
  <c r="I330" i="6"/>
  <c r="M330" i="6" s="1"/>
  <c r="H329" i="6"/>
  <c r="I329" i="6"/>
  <c r="M329" i="6" s="1"/>
  <c r="G329" i="6"/>
  <c r="J329" i="6" s="1"/>
  <c r="H328" i="6"/>
  <c r="G328" i="6"/>
  <c r="J328" i="6" s="1"/>
  <c r="I328" i="6"/>
  <c r="M328" i="6" s="1"/>
  <c r="I327" i="6"/>
  <c r="M327" i="6" s="1"/>
  <c r="H327" i="6"/>
  <c r="G327" i="6"/>
  <c r="J327" i="6" s="1"/>
  <c r="G326" i="6"/>
  <c r="I326" i="6"/>
  <c r="M326" i="6" s="1"/>
  <c r="H326" i="6"/>
  <c r="H325" i="6"/>
  <c r="G325" i="6"/>
  <c r="J325" i="6" s="1"/>
  <c r="I325" i="6"/>
  <c r="M325" i="6" s="1"/>
  <c r="I324" i="6"/>
  <c r="M324" i="6" s="1"/>
  <c r="H324" i="6"/>
  <c r="G324" i="6"/>
  <c r="J324" i="6" s="1"/>
  <c r="I323" i="6"/>
  <c r="M323" i="6" s="1"/>
  <c r="H323" i="6"/>
  <c r="G323" i="6"/>
  <c r="J323" i="6" s="1"/>
  <c r="G322" i="6"/>
  <c r="H322" i="6"/>
  <c r="I322" i="6"/>
  <c r="M322" i="6" s="1"/>
  <c r="G321" i="6"/>
  <c r="H321" i="6"/>
  <c r="I321" i="6"/>
  <c r="M321" i="6" s="1"/>
  <c r="G320" i="6"/>
  <c r="H320" i="6"/>
  <c r="I320" i="6"/>
  <c r="M320" i="6" s="1"/>
  <c r="I319" i="6"/>
  <c r="M319" i="6" s="1"/>
  <c r="H319" i="6"/>
  <c r="G319" i="6"/>
  <c r="J319" i="6" s="1"/>
  <c r="I318" i="6"/>
  <c r="M318" i="6" s="1"/>
  <c r="H318" i="6"/>
  <c r="G318" i="6"/>
  <c r="J318" i="6" s="1"/>
  <c r="I317" i="6"/>
  <c r="M317" i="6" s="1"/>
  <c r="G317" i="6"/>
  <c r="H317" i="6"/>
  <c r="G316" i="6"/>
  <c r="H316" i="6"/>
  <c r="I316" i="6"/>
  <c r="M316" i="6" s="1"/>
  <c r="I315" i="6"/>
  <c r="M315" i="6" s="1"/>
  <c r="H315" i="6"/>
  <c r="G315" i="6"/>
  <c r="J315" i="6" s="1"/>
  <c r="I314" i="6"/>
  <c r="M314" i="6" s="1"/>
  <c r="H314" i="6"/>
  <c r="G314" i="6"/>
  <c r="J314" i="6" s="1"/>
  <c r="I313" i="6"/>
  <c r="M313" i="6" s="1"/>
  <c r="H313" i="6"/>
  <c r="G313" i="6"/>
  <c r="J313" i="6" s="1"/>
  <c r="I312" i="6"/>
  <c r="M312" i="6" s="1"/>
  <c r="H312" i="6"/>
  <c r="G312" i="6"/>
  <c r="J312" i="6" s="1"/>
  <c r="I311" i="6"/>
  <c r="M311" i="6" s="1"/>
  <c r="H311" i="6"/>
  <c r="G311" i="6"/>
  <c r="J311" i="6" s="1"/>
  <c r="I310" i="6"/>
  <c r="M310" i="6" s="1"/>
  <c r="H310" i="6"/>
  <c r="G310" i="6"/>
  <c r="J310" i="6" s="1"/>
  <c r="G309" i="6"/>
  <c r="I309" i="6"/>
  <c r="M309" i="6" s="1"/>
  <c r="H309" i="6"/>
  <c r="I308" i="6"/>
  <c r="M308" i="6" s="1"/>
  <c r="H308" i="6"/>
  <c r="G308" i="6"/>
  <c r="J308" i="6" s="1"/>
  <c r="I307" i="6"/>
  <c r="M307" i="6" s="1"/>
  <c r="H307" i="6"/>
  <c r="G307" i="6"/>
  <c r="J307" i="6" s="1"/>
  <c r="I306" i="6"/>
  <c r="M306" i="6" s="1"/>
  <c r="H306" i="6"/>
  <c r="G306" i="6"/>
  <c r="J306" i="6" s="1"/>
  <c r="G305" i="6"/>
  <c r="I305" i="6"/>
  <c r="M305" i="6" s="1"/>
  <c r="H305" i="6"/>
  <c r="H304" i="6"/>
  <c r="I304" i="6"/>
  <c r="M304" i="6" s="1"/>
  <c r="G304" i="6"/>
  <c r="J304" i="6" s="1"/>
  <c r="G303" i="6"/>
  <c r="H303" i="6"/>
  <c r="I303" i="6"/>
  <c r="M303" i="6" s="1"/>
  <c r="I302" i="6"/>
  <c r="M302" i="6" s="1"/>
  <c r="H302" i="6"/>
  <c r="G302" i="6"/>
  <c r="J302" i="6" s="1"/>
  <c r="I301" i="6"/>
  <c r="M301" i="6" s="1"/>
  <c r="H301" i="6"/>
  <c r="G301" i="6"/>
  <c r="J301" i="6" s="1"/>
  <c r="I300" i="6"/>
  <c r="M300" i="6" s="1"/>
  <c r="G300" i="6"/>
  <c r="H300" i="6"/>
  <c r="G299" i="6"/>
  <c r="H299" i="6"/>
  <c r="I299" i="6"/>
  <c r="M299" i="6" s="1"/>
  <c r="I298" i="6"/>
  <c r="M298" i="6" s="1"/>
  <c r="G298" i="6"/>
  <c r="H298" i="6"/>
  <c r="H297" i="6"/>
  <c r="G297" i="6"/>
  <c r="J297" i="6" s="1"/>
  <c r="I297" i="6"/>
  <c r="M297" i="6" s="1"/>
  <c r="H296" i="6"/>
  <c r="G296" i="6"/>
  <c r="J296" i="6" s="1"/>
  <c r="I296" i="6"/>
  <c r="M296" i="6" s="1"/>
  <c r="H295" i="6"/>
  <c r="G295" i="6"/>
  <c r="J295" i="6" s="1"/>
  <c r="I295" i="6"/>
  <c r="M295" i="6" s="1"/>
  <c r="I294" i="6"/>
  <c r="M294" i="6" s="1"/>
  <c r="H294" i="6"/>
  <c r="G294" i="6"/>
  <c r="J294" i="6" s="1"/>
  <c r="G293" i="6"/>
  <c r="H293" i="6"/>
  <c r="I293" i="6"/>
  <c r="M293" i="6" s="1"/>
  <c r="G292" i="6"/>
  <c r="H292" i="6"/>
  <c r="I292" i="6"/>
  <c r="M292" i="6" s="1"/>
  <c r="G291" i="6"/>
  <c r="H291" i="6"/>
  <c r="I291" i="6"/>
  <c r="M291" i="6" s="1"/>
  <c r="G290" i="6"/>
  <c r="I290" i="6"/>
  <c r="M290" i="6" s="1"/>
  <c r="H290" i="6"/>
  <c r="I289" i="6"/>
  <c r="M289" i="6" s="1"/>
  <c r="G289" i="6"/>
  <c r="H289" i="6"/>
  <c r="G288" i="6"/>
  <c r="H288" i="6"/>
  <c r="I288" i="6"/>
  <c r="M288" i="6" s="1"/>
  <c r="H287" i="6"/>
  <c r="G287" i="6"/>
  <c r="J287" i="6" s="1"/>
  <c r="I287" i="6"/>
  <c r="M287" i="6" s="1"/>
  <c r="G286" i="6"/>
  <c r="H286" i="6"/>
  <c r="I286" i="6"/>
  <c r="M286" i="6" s="1"/>
  <c r="G285" i="6"/>
  <c r="H285" i="6"/>
  <c r="I285" i="6"/>
  <c r="M285" i="6" s="1"/>
  <c r="G284" i="6"/>
  <c r="H284" i="6"/>
  <c r="I284" i="6"/>
  <c r="M284" i="6" s="1"/>
  <c r="H283" i="6"/>
  <c r="I283" i="6"/>
  <c r="M283" i="6" s="1"/>
  <c r="G283" i="6"/>
  <c r="J283" i="6" s="1"/>
  <c r="I282" i="6"/>
  <c r="M282" i="6" s="1"/>
  <c r="G282" i="6"/>
  <c r="H282" i="6"/>
  <c r="H281" i="6"/>
  <c r="I281" i="6"/>
  <c r="M281" i="6" s="1"/>
  <c r="G281" i="6"/>
  <c r="J281" i="6" s="1"/>
  <c r="H280" i="6"/>
  <c r="G280" i="6"/>
  <c r="J280" i="6" s="1"/>
  <c r="I280" i="6"/>
  <c r="M280" i="6" s="1"/>
  <c r="I279" i="6"/>
  <c r="M279" i="6" s="1"/>
  <c r="G279" i="6"/>
  <c r="H279" i="6"/>
  <c r="I278" i="6"/>
  <c r="M278" i="6" s="1"/>
  <c r="H278" i="6"/>
  <c r="G278" i="6"/>
  <c r="J278" i="6" s="1"/>
  <c r="I277" i="6"/>
  <c r="M277" i="6" s="1"/>
  <c r="H277" i="6"/>
  <c r="G277" i="6"/>
  <c r="J277" i="6" s="1"/>
  <c r="G276" i="6"/>
  <c r="I276" i="6"/>
  <c r="M276" i="6" s="1"/>
  <c r="H276" i="6"/>
  <c r="I275" i="6"/>
  <c r="M275" i="6" s="1"/>
  <c r="H275" i="6"/>
  <c r="G275" i="6"/>
  <c r="J275" i="6" s="1"/>
  <c r="I274" i="6"/>
  <c r="M274" i="6" s="1"/>
  <c r="H274" i="6"/>
  <c r="G274" i="6"/>
  <c r="J274" i="6" s="1"/>
  <c r="I273" i="6"/>
  <c r="M273" i="6" s="1"/>
  <c r="H273" i="6"/>
  <c r="G273" i="6"/>
  <c r="J273" i="6" s="1"/>
  <c r="I272" i="6"/>
  <c r="M272" i="6" s="1"/>
  <c r="H272" i="6"/>
  <c r="G272" i="6"/>
  <c r="H271" i="6"/>
  <c r="G271" i="6"/>
  <c r="J271" i="6" s="1"/>
  <c r="I271" i="6"/>
  <c r="M271" i="6" s="1"/>
  <c r="I270" i="6"/>
  <c r="M270" i="6" s="1"/>
  <c r="H270" i="6"/>
  <c r="G270" i="6"/>
  <c r="J270" i="6" s="1"/>
  <c r="I269" i="6"/>
  <c r="M269" i="6" s="1"/>
  <c r="G269" i="6"/>
  <c r="H269" i="6"/>
  <c r="G268" i="6"/>
  <c r="I268" i="6"/>
  <c r="M268" i="6" s="1"/>
  <c r="H268" i="6"/>
  <c r="G267" i="6"/>
  <c r="H267" i="6"/>
  <c r="I267" i="6"/>
  <c r="M267" i="6" s="1"/>
  <c r="I266" i="6"/>
  <c r="M266" i="6" s="1"/>
  <c r="H266" i="6"/>
  <c r="G266" i="6"/>
  <c r="J266" i="6" s="1"/>
  <c r="G265" i="6"/>
  <c r="I265" i="6"/>
  <c r="M265" i="6" s="1"/>
  <c r="H265" i="6"/>
  <c r="I264" i="6"/>
  <c r="M264" i="6" s="1"/>
  <c r="H264" i="6"/>
  <c r="G264" i="6"/>
  <c r="J264" i="6" s="1"/>
  <c r="I263" i="6"/>
  <c r="M263" i="6" s="1"/>
  <c r="H263" i="6"/>
  <c r="G263" i="6"/>
  <c r="J263" i="6" s="1"/>
  <c r="G262" i="6"/>
  <c r="I262" i="6"/>
  <c r="M262" i="6" s="1"/>
  <c r="H262" i="6"/>
  <c r="I261" i="6"/>
  <c r="M261" i="6" s="1"/>
  <c r="H261" i="6"/>
  <c r="G261" i="6"/>
  <c r="J261" i="6" s="1"/>
  <c r="I260" i="6"/>
  <c r="M260" i="6" s="1"/>
  <c r="H260" i="6"/>
  <c r="G260" i="6"/>
  <c r="J260" i="6" s="1"/>
  <c r="H259" i="6"/>
  <c r="G259" i="6"/>
  <c r="J259" i="6" s="1"/>
  <c r="I259" i="6"/>
  <c r="M259" i="6" s="1"/>
  <c r="I258" i="6"/>
  <c r="M258" i="6" s="1"/>
  <c r="H258" i="6"/>
  <c r="G258" i="6"/>
  <c r="J258" i="6" s="1"/>
  <c r="I257" i="6"/>
  <c r="M257" i="6" s="1"/>
  <c r="H257" i="6"/>
  <c r="G257" i="6"/>
  <c r="J257" i="6" s="1"/>
  <c r="G256" i="6"/>
  <c r="H256" i="6"/>
  <c r="I256" i="6"/>
  <c r="M256" i="6" s="1"/>
  <c r="G255" i="6"/>
  <c r="H255" i="6"/>
  <c r="I255" i="6"/>
  <c r="M255" i="6" s="1"/>
  <c r="H254" i="6"/>
  <c r="I254" i="6"/>
  <c r="M254" i="6" s="1"/>
  <c r="G254" i="6"/>
  <c r="J254" i="6" s="1"/>
  <c r="I253" i="6"/>
  <c r="M253" i="6" s="1"/>
  <c r="H253" i="6"/>
  <c r="G253" i="6"/>
  <c r="J253" i="6" s="1"/>
  <c r="H252" i="6"/>
  <c r="I252" i="6"/>
  <c r="M252" i="6" s="1"/>
  <c r="G252" i="6"/>
  <c r="J252" i="6" s="1"/>
  <c r="H251" i="6"/>
  <c r="G251" i="6"/>
  <c r="J251" i="6" s="1"/>
  <c r="I251" i="6"/>
  <c r="M251" i="6" s="1"/>
  <c r="I250" i="6"/>
  <c r="M250" i="6" s="1"/>
  <c r="G250" i="6"/>
  <c r="H250" i="6"/>
  <c r="G249" i="6"/>
  <c r="H249" i="6"/>
  <c r="I249" i="6"/>
  <c r="M249" i="6" s="1"/>
  <c r="I248" i="6"/>
  <c r="M248" i="6" s="1"/>
  <c r="H248" i="6"/>
  <c r="G248" i="6"/>
  <c r="J248" i="6" s="1"/>
  <c r="G247" i="6"/>
  <c r="I247" i="6"/>
  <c r="M247" i="6" s="1"/>
  <c r="H247" i="6"/>
  <c r="H246" i="6"/>
  <c r="I246" i="6"/>
  <c r="M246" i="6" s="1"/>
  <c r="G246" i="6"/>
  <c r="J246" i="6" s="1"/>
  <c r="H245" i="6"/>
  <c r="I245" i="6"/>
  <c r="M245" i="6" s="1"/>
  <c r="G245" i="6"/>
  <c r="J245" i="6" s="1"/>
  <c r="G244" i="6"/>
  <c r="I244" i="6"/>
  <c r="M244" i="6" s="1"/>
  <c r="H244" i="6"/>
  <c r="I243" i="6"/>
  <c r="M243" i="6" s="1"/>
  <c r="H243" i="6"/>
  <c r="G243" i="6"/>
  <c r="J243" i="6" s="1"/>
  <c r="I242" i="6"/>
  <c r="M242" i="6" s="1"/>
  <c r="H242" i="6"/>
  <c r="G242" i="6"/>
  <c r="J242" i="6" s="1"/>
  <c r="G241" i="6"/>
  <c r="I241" i="6"/>
  <c r="M241" i="6" s="1"/>
  <c r="H241" i="6"/>
  <c r="I240" i="6"/>
  <c r="M240" i="6" s="1"/>
  <c r="H240" i="6"/>
  <c r="G240" i="6"/>
  <c r="J240" i="6" s="1"/>
  <c r="I239" i="6"/>
  <c r="M239" i="6" s="1"/>
  <c r="H239" i="6"/>
  <c r="G239" i="6"/>
  <c r="J239" i="6" s="1"/>
  <c r="I238" i="6"/>
  <c r="M238" i="6" s="1"/>
  <c r="H238" i="6"/>
  <c r="G238" i="6"/>
  <c r="J238" i="6" s="1"/>
  <c r="H237" i="6"/>
  <c r="G237" i="6"/>
  <c r="J237" i="6" s="1"/>
  <c r="I237" i="6"/>
  <c r="M237" i="6" s="1"/>
  <c r="I236" i="6"/>
  <c r="M236" i="6" s="1"/>
  <c r="H236" i="6"/>
  <c r="G236" i="6"/>
  <c r="J236" i="6" s="1"/>
  <c r="G235" i="6"/>
  <c r="I235" i="6"/>
  <c r="M235" i="6" s="1"/>
  <c r="H235" i="6"/>
  <c r="G234" i="6"/>
  <c r="H234" i="6"/>
  <c r="I234" i="6"/>
  <c r="M234" i="6" s="1"/>
  <c r="I233" i="6"/>
  <c r="M233" i="6" s="1"/>
  <c r="H233" i="6"/>
  <c r="G233" i="6"/>
  <c r="J233" i="6" s="1"/>
  <c r="I232" i="6"/>
  <c r="M232" i="6" s="1"/>
  <c r="H232" i="6"/>
  <c r="G232" i="6"/>
  <c r="J232" i="6" s="1"/>
  <c r="H231" i="6"/>
  <c r="I231" i="6"/>
  <c r="M231" i="6" s="1"/>
  <c r="G231" i="6"/>
  <c r="J231" i="6" s="1"/>
  <c r="I230" i="6"/>
  <c r="M230" i="6" s="1"/>
  <c r="H230" i="6"/>
  <c r="G230" i="6"/>
  <c r="J230" i="6" s="1"/>
  <c r="I229" i="6"/>
  <c r="M229" i="6" s="1"/>
  <c r="H229" i="6"/>
  <c r="G229" i="6"/>
  <c r="J229" i="6" s="1"/>
  <c r="I228" i="6"/>
  <c r="M228" i="6" s="1"/>
  <c r="H228" i="6"/>
  <c r="G228" i="6"/>
  <c r="J228" i="6" s="1"/>
  <c r="I227" i="6"/>
  <c r="M227" i="6" s="1"/>
  <c r="H227" i="6"/>
  <c r="G227" i="6"/>
  <c r="J227" i="6" s="1"/>
  <c r="H226" i="6"/>
  <c r="G226" i="6"/>
  <c r="J226" i="6" s="1"/>
  <c r="I226" i="6"/>
  <c r="M226" i="6" s="1"/>
  <c r="I225" i="6"/>
  <c r="M225" i="6" s="1"/>
  <c r="H225" i="6"/>
  <c r="G225" i="6"/>
  <c r="J225" i="6" s="1"/>
  <c r="I224" i="6"/>
  <c r="M224" i="6" s="1"/>
  <c r="G224" i="6"/>
  <c r="H224" i="6"/>
  <c r="I223" i="6"/>
  <c r="M223" i="6" s="1"/>
  <c r="H223" i="6"/>
  <c r="G223" i="6"/>
  <c r="J223" i="6" s="1"/>
  <c r="G222" i="6"/>
  <c r="I222" i="6"/>
  <c r="M222" i="6" s="1"/>
  <c r="H222" i="6"/>
  <c r="G221" i="6"/>
  <c r="H221" i="6"/>
  <c r="I221" i="6"/>
  <c r="M221" i="6" s="1"/>
  <c r="I220" i="6"/>
  <c r="M220" i="6" s="1"/>
  <c r="H220" i="6"/>
  <c r="G220" i="6"/>
  <c r="J220" i="6" s="1"/>
  <c r="G219" i="6"/>
  <c r="I219" i="6"/>
  <c r="M219" i="6" s="1"/>
  <c r="H219" i="6"/>
  <c r="G218" i="6"/>
  <c r="H218" i="6"/>
  <c r="I218" i="6"/>
  <c r="M218" i="6" s="1"/>
  <c r="G217" i="6"/>
  <c r="H217" i="6"/>
  <c r="I217" i="6"/>
  <c r="M217" i="6" s="1"/>
  <c r="H216" i="6"/>
  <c r="I216" i="6"/>
  <c r="M216" i="6" s="1"/>
  <c r="G216" i="6"/>
  <c r="J216" i="6" s="1"/>
  <c r="G215" i="6"/>
  <c r="I215" i="6"/>
  <c r="M215" i="6" s="1"/>
  <c r="H215" i="6"/>
  <c r="G214" i="6"/>
  <c r="I214" i="6"/>
  <c r="M214" i="6" s="1"/>
  <c r="H214" i="6"/>
  <c r="H213" i="6"/>
  <c r="G213" i="6"/>
  <c r="J213" i="6" s="1"/>
  <c r="I213" i="6"/>
  <c r="M213" i="6" s="1"/>
  <c r="H212" i="6"/>
  <c r="G212" i="6"/>
  <c r="J212" i="6" s="1"/>
  <c r="I212" i="6"/>
  <c r="M212" i="6" s="1"/>
  <c r="I211" i="6"/>
  <c r="M211" i="6" s="1"/>
  <c r="G211" i="6"/>
  <c r="H211" i="6"/>
  <c r="G210" i="6"/>
  <c r="H210" i="6"/>
  <c r="I210" i="6"/>
  <c r="M210" i="6" s="1"/>
  <c r="G209" i="6"/>
  <c r="H209" i="6"/>
  <c r="I209" i="6"/>
  <c r="M209" i="6" s="1"/>
  <c r="I208" i="6"/>
  <c r="M208" i="6" s="1"/>
  <c r="G208" i="6"/>
  <c r="H208" i="6"/>
  <c r="I207" i="6"/>
  <c r="M207" i="6" s="1"/>
  <c r="H207" i="6"/>
  <c r="G207" i="6"/>
  <c r="J207" i="6" s="1"/>
  <c r="H206" i="6"/>
  <c r="G206" i="6"/>
  <c r="J206" i="6" s="1"/>
  <c r="I206" i="6"/>
  <c r="M206" i="6" s="1"/>
  <c r="I205" i="6"/>
  <c r="M205" i="6" s="1"/>
  <c r="H205" i="6"/>
  <c r="G205" i="6"/>
  <c r="J205" i="6" s="1"/>
  <c r="I204" i="6"/>
  <c r="M204" i="6" s="1"/>
  <c r="H204" i="6"/>
  <c r="G204" i="6"/>
  <c r="J204" i="6" s="1"/>
  <c r="H203" i="6"/>
  <c r="G203" i="6"/>
  <c r="J203" i="6" s="1"/>
  <c r="I203" i="6"/>
  <c r="M203" i="6" s="1"/>
  <c r="G202" i="6"/>
  <c r="H202" i="6"/>
  <c r="I202" i="6"/>
  <c r="M202" i="6" s="1"/>
  <c r="I201" i="6"/>
  <c r="M201" i="6" s="1"/>
  <c r="H201" i="6"/>
  <c r="G201" i="6"/>
  <c r="J201" i="6" s="1"/>
  <c r="I200" i="6"/>
  <c r="M200" i="6" s="1"/>
  <c r="H200" i="6"/>
  <c r="G200" i="6"/>
  <c r="J200" i="6" s="1"/>
  <c r="I199" i="6"/>
  <c r="M199" i="6" s="1"/>
  <c r="H199" i="6"/>
  <c r="G199" i="6"/>
  <c r="J199" i="6" s="1"/>
  <c r="I198" i="6"/>
  <c r="M198" i="6" s="1"/>
  <c r="G198" i="6"/>
  <c r="H198" i="6"/>
  <c r="I197" i="6"/>
  <c r="M197" i="6" s="1"/>
  <c r="H197" i="6"/>
  <c r="G197" i="6"/>
  <c r="J197" i="6" s="1"/>
  <c r="G196" i="6"/>
  <c r="I196" i="6"/>
  <c r="M196" i="6" s="1"/>
  <c r="H196" i="6"/>
  <c r="G195" i="6"/>
  <c r="H195" i="6"/>
  <c r="I195" i="6"/>
  <c r="M195" i="6" s="1"/>
  <c r="G194" i="6"/>
  <c r="H194" i="6"/>
  <c r="I194" i="6"/>
  <c r="M194" i="6" s="1"/>
  <c r="H193" i="6"/>
  <c r="G193" i="6"/>
  <c r="J193" i="6" s="1"/>
  <c r="I193" i="6"/>
  <c r="M193" i="6" s="1"/>
  <c r="G192" i="6"/>
  <c r="H192" i="6"/>
  <c r="I192" i="6"/>
  <c r="M192" i="6" s="1"/>
  <c r="I191" i="6"/>
  <c r="M191" i="6" s="1"/>
  <c r="G191" i="6"/>
  <c r="H191" i="6"/>
  <c r="G190" i="6"/>
  <c r="I190" i="6"/>
  <c r="M190" i="6" s="1"/>
  <c r="H190" i="6"/>
  <c r="H189" i="6"/>
  <c r="G189" i="6"/>
  <c r="J189" i="6" s="1"/>
  <c r="I189" i="6"/>
  <c r="M189" i="6" s="1"/>
  <c r="I188" i="6"/>
  <c r="M188" i="6" s="1"/>
  <c r="H188" i="6"/>
  <c r="G188" i="6"/>
  <c r="J188" i="6" s="1"/>
  <c r="H187" i="6"/>
  <c r="I187" i="6"/>
  <c r="M187" i="6" s="1"/>
  <c r="G187" i="6"/>
  <c r="J187" i="6" s="1"/>
  <c r="H186" i="6"/>
  <c r="G186" i="6"/>
  <c r="J186" i="6" s="1"/>
  <c r="I186" i="6"/>
  <c r="M186" i="6" s="1"/>
  <c r="G185" i="6"/>
  <c r="H185" i="6"/>
  <c r="I185" i="6"/>
  <c r="M185" i="6" s="1"/>
  <c r="I184" i="6"/>
  <c r="M184" i="6" s="1"/>
  <c r="G184" i="6"/>
  <c r="H184" i="6"/>
  <c r="G183" i="6"/>
  <c r="I183" i="6"/>
  <c r="M183" i="6" s="1"/>
  <c r="H183" i="6"/>
  <c r="I182" i="6"/>
  <c r="M182" i="6" s="1"/>
  <c r="G182" i="6"/>
  <c r="H182" i="6"/>
  <c r="H181" i="6"/>
  <c r="G181" i="6"/>
  <c r="J181" i="6" s="1"/>
  <c r="I181" i="6"/>
  <c r="M181" i="6" s="1"/>
  <c r="I180" i="6"/>
  <c r="M180" i="6" s="1"/>
  <c r="H180" i="6"/>
  <c r="G180" i="6"/>
  <c r="J180" i="6" s="1"/>
  <c r="I179" i="6"/>
  <c r="M179" i="6" s="1"/>
  <c r="H179" i="6"/>
  <c r="G179" i="6"/>
  <c r="J179" i="6" s="1"/>
  <c r="H178" i="6"/>
  <c r="G178" i="6"/>
  <c r="J178" i="6" s="1"/>
  <c r="I178" i="6"/>
  <c r="M178" i="6" s="1"/>
  <c r="I177" i="6"/>
  <c r="M177" i="6" s="1"/>
  <c r="H177" i="6"/>
  <c r="G177" i="6"/>
  <c r="J177" i="6" s="1"/>
  <c r="I176" i="6"/>
  <c r="M176" i="6" s="1"/>
  <c r="G176" i="6"/>
  <c r="H176" i="6"/>
  <c r="H175" i="6"/>
  <c r="I175" i="6"/>
  <c r="M175" i="6" s="1"/>
  <c r="G175" i="6"/>
  <c r="J175" i="6" s="1"/>
  <c r="H174" i="6"/>
  <c r="I174" i="6"/>
  <c r="M174" i="6" s="1"/>
  <c r="G174" i="6"/>
  <c r="J174" i="6" s="1"/>
  <c r="G173" i="6"/>
  <c r="H173" i="6"/>
  <c r="I173" i="6"/>
  <c r="M173" i="6" s="1"/>
  <c r="H172" i="6"/>
  <c r="I172" i="6"/>
  <c r="M172" i="6" s="1"/>
  <c r="G172" i="6"/>
  <c r="J172" i="6" s="1"/>
  <c r="I171" i="6"/>
  <c r="M171" i="6" s="1"/>
  <c r="H171" i="6"/>
  <c r="G171" i="6"/>
  <c r="J171" i="6" s="1"/>
  <c r="H170" i="6"/>
  <c r="G170" i="6"/>
  <c r="J170" i="6" s="1"/>
  <c r="I170" i="6"/>
  <c r="M170" i="6" s="1"/>
  <c r="G169" i="6"/>
  <c r="H169" i="6"/>
  <c r="I169" i="6"/>
  <c r="M169" i="6" s="1"/>
  <c r="I168" i="6"/>
  <c r="M168" i="6" s="1"/>
  <c r="G168" i="6"/>
  <c r="H168" i="6"/>
  <c r="G167" i="6"/>
  <c r="H167" i="6"/>
  <c r="I167" i="6"/>
  <c r="M167" i="6" s="1"/>
  <c r="I166" i="6"/>
  <c r="M166" i="6" s="1"/>
  <c r="G166" i="6"/>
  <c r="H166" i="6"/>
  <c r="H165" i="6"/>
  <c r="I165" i="6"/>
  <c r="M165" i="6" s="1"/>
  <c r="G165" i="6"/>
  <c r="J165" i="6" s="1"/>
  <c r="I164" i="6"/>
  <c r="M164" i="6" s="1"/>
  <c r="G164" i="6"/>
  <c r="H164" i="6"/>
  <c r="I163" i="6"/>
  <c r="M163" i="6" s="1"/>
  <c r="H163" i="6"/>
  <c r="G163" i="6"/>
  <c r="J163" i="6" s="1"/>
  <c r="I162" i="6"/>
  <c r="M162" i="6" s="1"/>
  <c r="H162" i="6"/>
  <c r="G162" i="6"/>
  <c r="J162" i="6" s="1"/>
  <c r="I161" i="6"/>
  <c r="M161" i="6" s="1"/>
  <c r="G161" i="6"/>
  <c r="H161" i="6"/>
  <c r="H159" i="6"/>
  <c r="G159" i="6"/>
  <c r="J159" i="6" s="1"/>
  <c r="I159" i="6"/>
  <c r="M159" i="6" s="1"/>
  <c r="G158" i="6"/>
  <c r="H158" i="6"/>
  <c r="I158" i="6"/>
  <c r="M158" i="6" s="1"/>
  <c r="H157" i="6"/>
  <c r="G157" i="6"/>
  <c r="J157" i="6" s="1"/>
  <c r="I157" i="6"/>
  <c r="M157" i="6" s="1"/>
  <c r="I156" i="6"/>
  <c r="M156" i="6" s="1"/>
  <c r="G156" i="6"/>
  <c r="H156" i="6"/>
  <c r="H155" i="6"/>
  <c r="I155" i="6"/>
  <c r="M155" i="6" s="1"/>
  <c r="G155" i="6"/>
  <c r="J155" i="6" s="1"/>
  <c r="I154" i="6"/>
  <c r="M154" i="6" s="1"/>
  <c r="H154" i="6"/>
  <c r="G154" i="6"/>
  <c r="J154" i="6" s="1"/>
  <c r="H153" i="6"/>
  <c r="G153" i="6"/>
  <c r="J153" i="6" s="1"/>
  <c r="I153" i="6"/>
  <c r="M153" i="6" s="1"/>
  <c r="I152" i="6"/>
  <c r="M152" i="6" s="1"/>
  <c r="G152" i="6"/>
  <c r="H152" i="6"/>
  <c r="H151" i="6"/>
  <c r="I151" i="6"/>
  <c r="M151" i="6" s="1"/>
  <c r="G151" i="6"/>
  <c r="J151" i="6" s="1"/>
  <c r="I150" i="6"/>
  <c r="M150" i="6" s="1"/>
  <c r="H150" i="6"/>
  <c r="G150" i="6"/>
  <c r="J150" i="6" s="1"/>
  <c r="I149" i="6"/>
  <c r="M149" i="6" s="1"/>
  <c r="H149" i="6"/>
  <c r="G149" i="6"/>
  <c r="J149" i="6" s="1"/>
  <c r="G148" i="6"/>
  <c r="I148" i="6"/>
  <c r="M148" i="6" s="1"/>
  <c r="H148" i="6"/>
  <c r="H147" i="6"/>
  <c r="G147" i="6"/>
  <c r="J147" i="6" s="1"/>
  <c r="I147" i="6"/>
  <c r="M147" i="6" s="1"/>
  <c r="G146" i="6"/>
  <c r="H146" i="6"/>
  <c r="I146" i="6"/>
  <c r="M146" i="6" s="1"/>
  <c r="I145" i="6"/>
  <c r="M145" i="6" s="1"/>
  <c r="H145" i="6"/>
  <c r="G145" i="6"/>
  <c r="J145" i="6" s="1"/>
  <c r="G144" i="6"/>
  <c r="I144" i="6"/>
  <c r="M144" i="6" s="1"/>
  <c r="H144" i="6"/>
  <c r="I143" i="6"/>
  <c r="M143" i="6" s="1"/>
  <c r="H143" i="6"/>
  <c r="G143" i="6"/>
  <c r="J143" i="6" s="1"/>
  <c r="H142" i="6"/>
  <c r="I142" i="6"/>
  <c r="M142" i="6" s="1"/>
  <c r="G142" i="6"/>
  <c r="J142" i="6" s="1"/>
  <c r="I141" i="6"/>
  <c r="M141" i="6" s="1"/>
  <c r="G141" i="6"/>
  <c r="H141" i="6"/>
  <c r="I140" i="6"/>
  <c r="M140" i="6" s="1"/>
  <c r="H140" i="6"/>
  <c r="G140" i="6"/>
  <c r="J140" i="6" s="1"/>
  <c r="G139" i="6"/>
  <c r="I139" i="6"/>
  <c r="M139" i="6" s="1"/>
  <c r="H139" i="6"/>
  <c r="G138" i="6"/>
  <c r="H138" i="6"/>
  <c r="I138" i="6"/>
  <c r="M138" i="6" s="1"/>
  <c r="I137" i="6"/>
  <c r="M137" i="6" s="1"/>
  <c r="H137" i="6"/>
  <c r="G137" i="6"/>
  <c r="J137" i="6" s="1"/>
  <c r="I136" i="6"/>
  <c r="M136" i="6" s="1"/>
  <c r="H136" i="6"/>
  <c r="G136" i="6"/>
  <c r="J136" i="6" s="1"/>
  <c r="G135" i="6"/>
  <c r="H135" i="6"/>
  <c r="I135" i="6"/>
  <c r="M135" i="6" s="1"/>
  <c r="I134" i="6"/>
  <c r="M134" i="6" s="1"/>
  <c r="G134" i="6"/>
  <c r="H134" i="6"/>
  <c r="G133" i="6"/>
  <c r="H133" i="6"/>
  <c r="I133" i="6"/>
  <c r="M133" i="6" s="1"/>
  <c r="H132" i="6"/>
  <c r="I132" i="6"/>
  <c r="M132" i="6" s="1"/>
  <c r="G132" i="6"/>
  <c r="J132" i="6" s="1"/>
  <c r="G131" i="6"/>
  <c r="I131" i="6"/>
  <c r="M131" i="6" s="1"/>
  <c r="H131" i="6"/>
  <c r="I130" i="6"/>
  <c r="M130" i="6" s="1"/>
  <c r="H130" i="6"/>
  <c r="G130" i="6"/>
  <c r="J130" i="6" s="1"/>
  <c r="I129" i="6"/>
  <c r="M129" i="6" s="1"/>
  <c r="H129" i="6"/>
  <c r="G129" i="6"/>
  <c r="J129" i="6" s="1"/>
  <c r="G128" i="6"/>
  <c r="I128" i="6"/>
  <c r="M128" i="6" s="1"/>
  <c r="H128" i="6"/>
  <c r="I127" i="6"/>
  <c r="M127" i="6" s="1"/>
  <c r="H127" i="6"/>
  <c r="G127" i="6"/>
  <c r="J127" i="6" s="1"/>
  <c r="I126" i="6"/>
  <c r="M126" i="6" s="1"/>
  <c r="H126" i="6"/>
  <c r="G126" i="6"/>
  <c r="J126" i="6" s="1"/>
  <c r="I125" i="6"/>
  <c r="M125" i="6" s="1"/>
  <c r="H125" i="6"/>
  <c r="G125" i="6"/>
  <c r="J125" i="6" s="1"/>
  <c r="G124" i="6"/>
  <c r="I124" i="6"/>
  <c r="M124" i="6" s="1"/>
  <c r="H124" i="6"/>
  <c r="I123" i="6"/>
  <c r="M123" i="6" s="1"/>
  <c r="H123" i="6"/>
  <c r="G123" i="6"/>
  <c r="J123" i="6" s="1"/>
  <c r="I122" i="6"/>
  <c r="M122" i="6" s="1"/>
  <c r="H122" i="6"/>
  <c r="G122" i="6"/>
  <c r="J122" i="6" s="1"/>
  <c r="I121" i="6"/>
  <c r="M121" i="6" s="1"/>
  <c r="H121" i="6"/>
  <c r="G121" i="6"/>
  <c r="J121" i="6" s="1"/>
  <c r="G120" i="6"/>
  <c r="I120" i="6"/>
  <c r="M120" i="6" s="1"/>
  <c r="H120" i="6"/>
  <c r="I119" i="6"/>
  <c r="M119" i="6" s="1"/>
  <c r="H119" i="6"/>
  <c r="G119" i="6"/>
  <c r="J119" i="6" s="1"/>
  <c r="I118" i="6"/>
  <c r="M118" i="6" s="1"/>
  <c r="H118" i="6"/>
  <c r="G118" i="6"/>
  <c r="J118" i="6" s="1"/>
  <c r="I117" i="6"/>
  <c r="M117" i="6" s="1"/>
  <c r="H117" i="6"/>
  <c r="G117" i="6"/>
  <c r="J117" i="6" s="1"/>
  <c r="I116" i="6"/>
  <c r="M116" i="6" s="1"/>
  <c r="H116" i="6"/>
  <c r="G116" i="6"/>
  <c r="J116" i="6" s="1"/>
  <c r="I115" i="6"/>
  <c r="M115" i="6" s="1"/>
  <c r="H115" i="6"/>
  <c r="G115" i="6"/>
  <c r="J115" i="6" s="1"/>
  <c r="I114" i="6"/>
  <c r="M114" i="6" s="1"/>
  <c r="H114" i="6"/>
  <c r="G114" i="6"/>
  <c r="J114" i="6" s="1"/>
  <c r="I113" i="6"/>
  <c r="M113" i="6" s="1"/>
  <c r="H113" i="6"/>
  <c r="G113" i="6"/>
  <c r="J113" i="6" s="1"/>
  <c r="I112" i="6"/>
  <c r="M112" i="6" s="1"/>
  <c r="H112" i="6"/>
  <c r="G112" i="6"/>
  <c r="J112" i="6" s="1"/>
  <c r="I111" i="6"/>
  <c r="M111" i="6" s="1"/>
  <c r="H111" i="6"/>
  <c r="G111" i="6"/>
  <c r="J111" i="6" s="1"/>
  <c r="I110" i="6"/>
  <c r="M110" i="6" s="1"/>
  <c r="H110" i="6"/>
  <c r="G110" i="6"/>
  <c r="J110" i="6" s="1"/>
  <c r="I109" i="6"/>
  <c r="M109" i="6" s="1"/>
  <c r="H109" i="6"/>
  <c r="G109" i="6"/>
  <c r="J109" i="6" s="1"/>
  <c r="I108" i="6"/>
  <c r="M108" i="6" s="1"/>
  <c r="H108" i="6"/>
  <c r="G108" i="6"/>
  <c r="J108" i="6" s="1"/>
  <c r="G107" i="6"/>
  <c r="I107" i="6"/>
  <c r="M107" i="6" s="1"/>
  <c r="H107" i="6"/>
  <c r="I106" i="6"/>
  <c r="M106" i="6" s="1"/>
  <c r="H106" i="6"/>
  <c r="G106" i="6"/>
  <c r="J106" i="6" s="1"/>
  <c r="I105" i="6"/>
  <c r="M105" i="6" s="1"/>
  <c r="H105" i="6"/>
  <c r="G105" i="6"/>
  <c r="J105" i="6" s="1"/>
  <c r="I104" i="6"/>
  <c r="M104" i="6" s="1"/>
  <c r="H104" i="6"/>
  <c r="G104" i="6"/>
  <c r="J104" i="6" s="1"/>
  <c r="G103" i="6"/>
  <c r="I103" i="6"/>
  <c r="M103" i="6" s="1"/>
  <c r="H103" i="6"/>
  <c r="I102" i="6"/>
  <c r="M102" i="6" s="1"/>
  <c r="H102" i="6"/>
  <c r="G102" i="6"/>
  <c r="J102" i="6" s="1"/>
  <c r="I101" i="6"/>
  <c r="M101" i="6" s="1"/>
  <c r="H101" i="6"/>
  <c r="G101" i="6"/>
  <c r="J101" i="6" s="1"/>
  <c r="I100" i="6"/>
  <c r="M100" i="6" s="1"/>
  <c r="H100" i="6"/>
  <c r="G100" i="6"/>
  <c r="J100" i="6" s="1"/>
  <c r="I99" i="6"/>
  <c r="M99" i="6" s="1"/>
  <c r="H99" i="6"/>
  <c r="G99" i="6"/>
  <c r="J99" i="6" s="1"/>
  <c r="I98" i="6"/>
  <c r="M98" i="6" s="1"/>
  <c r="H98" i="6"/>
  <c r="G98" i="6"/>
  <c r="J98" i="6" s="1"/>
  <c r="I97" i="6"/>
  <c r="M97" i="6" s="1"/>
  <c r="H97" i="6"/>
  <c r="G97" i="6"/>
  <c r="J97" i="6" s="1"/>
  <c r="I96" i="6"/>
  <c r="M96" i="6" s="1"/>
  <c r="H96" i="6"/>
  <c r="G96" i="6"/>
  <c r="J96" i="6" s="1"/>
  <c r="I95" i="6"/>
  <c r="M95" i="6" s="1"/>
  <c r="H95" i="6"/>
  <c r="G95" i="6"/>
  <c r="J95" i="6" s="1"/>
  <c r="I94" i="6"/>
  <c r="M94" i="6" s="1"/>
  <c r="H94" i="6"/>
  <c r="G94" i="6"/>
  <c r="J94" i="6" s="1"/>
  <c r="I93" i="6"/>
  <c r="M93" i="6" s="1"/>
  <c r="H93" i="6"/>
  <c r="G93" i="6"/>
  <c r="J93" i="6" s="1"/>
  <c r="I92" i="6"/>
  <c r="M92" i="6" s="1"/>
  <c r="H92" i="6"/>
  <c r="G92" i="6"/>
  <c r="J92" i="6" s="1"/>
  <c r="I91" i="6"/>
  <c r="M91" i="6" s="1"/>
  <c r="H91" i="6"/>
  <c r="G91" i="6"/>
  <c r="J91" i="6" s="1"/>
  <c r="G90" i="6"/>
  <c r="I90" i="6"/>
  <c r="M90" i="6" s="1"/>
  <c r="H90" i="6"/>
  <c r="I89" i="6"/>
  <c r="M89" i="6" s="1"/>
  <c r="H89" i="6"/>
  <c r="G89" i="6"/>
  <c r="J89" i="6" s="1"/>
  <c r="I88" i="6"/>
  <c r="M88" i="6" s="1"/>
  <c r="H88" i="6"/>
  <c r="G88" i="6"/>
  <c r="J88" i="6" s="1"/>
  <c r="I87" i="6"/>
  <c r="M87" i="6" s="1"/>
  <c r="H87" i="6"/>
  <c r="G87" i="6"/>
  <c r="J87" i="6" s="1"/>
  <c r="G86" i="6"/>
  <c r="I86" i="6"/>
  <c r="M86" i="6" s="1"/>
  <c r="H86" i="6"/>
  <c r="I85" i="6"/>
  <c r="M85" i="6" s="1"/>
  <c r="H85" i="6"/>
  <c r="G85" i="6"/>
  <c r="J85" i="6" s="1"/>
  <c r="I84" i="6"/>
  <c r="M84" i="6" s="1"/>
  <c r="H84" i="6"/>
  <c r="G84" i="6"/>
  <c r="J84" i="6" s="1"/>
  <c r="I83" i="6"/>
  <c r="M83" i="6" s="1"/>
  <c r="H83" i="6"/>
  <c r="G83" i="6"/>
  <c r="J83" i="6" s="1"/>
  <c r="I82" i="6"/>
  <c r="M82" i="6" s="1"/>
  <c r="H82" i="6"/>
  <c r="G82" i="6"/>
  <c r="J82" i="6" s="1"/>
  <c r="I81" i="6"/>
  <c r="M81" i="6" s="1"/>
  <c r="H81" i="6"/>
  <c r="G81" i="6"/>
  <c r="J81" i="6" s="1"/>
  <c r="I80" i="6"/>
  <c r="M80" i="6" s="1"/>
  <c r="H80" i="6"/>
  <c r="G80" i="6"/>
  <c r="J80" i="6" s="1"/>
  <c r="I79" i="6"/>
  <c r="M79" i="6" s="1"/>
  <c r="H79" i="6"/>
  <c r="G79" i="6"/>
  <c r="J79" i="6" s="1"/>
  <c r="I78" i="6"/>
  <c r="M78" i="6" s="1"/>
  <c r="H78" i="6"/>
  <c r="G78" i="6"/>
  <c r="J78" i="6" s="1"/>
  <c r="I77" i="6"/>
  <c r="M77" i="6" s="1"/>
  <c r="H77" i="6"/>
  <c r="G77" i="6"/>
  <c r="J77" i="6" s="1"/>
  <c r="I76" i="6"/>
  <c r="M76" i="6" s="1"/>
  <c r="H76" i="6"/>
  <c r="G76" i="6"/>
  <c r="J76" i="6" s="1"/>
  <c r="I75" i="6"/>
  <c r="M75" i="6" s="1"/>
  <c r="H75" i="6"/>
  <c r="G75" i="6"/>
  <c r="J75" i="6" s="1"/>
  <c r="I74" i="6"/>
  <c r="M74" i="6" s="1"/>
  <c r="H74" i="6"/>
  <c r="G74" i="6"/>
  <c r="J74" i="6" s="1"/>
  <c r="G73" i="6"/>
  <c r="I73" i="6"/>
  <c r="M73" i="6" s="1"/>
  <c r="H73" i="6"/>
  <c r="I72" i="6"/>
  <c r="M72" i="6" s="1"/>
  <c r="H72" i="6"/>
  <c r="G72" i="6"/>
  <c r="J72" i="6" s="1"/>
  <c r="I71" i="6"/>
  <c r="M71" i="6" s="1"/>
  <c r="H71" i="6"/>
  <c r="G71" i="6"/>
  <c r="J71" i="6" s="1"/>
  <c r="I70" i="6"/>
  <c r="M70" i="6" s="1"/>
  <c r="H70" i="6"/>
  <c r="G70" i="6"/>
  <c r="J70" i="6" s="1"/>
  <c r="I69" i="6"/>
  <c r="M69" i="6" s="1"/>
  <c r="H69" i="6"/>
  <c r="G69" i="6"/>
  <c r="J69" i="6" s="1"/>
  <c r="I68" i="6"/>
  <c r="M68" i="6" s="1"/>
  <c r="H68" i="6"/>
  <c r="G68" i="6"/>
  <c r="J68" i="6" s="1"/>
  <c r="I67" i="6"/>
  <c r="M67" i="6" s="1"/>
  <c r="H67" i="6"/>
  <c r="G67" i="6"/>
  <c r="J67" i="6" s="1"/>
  <c r="I66" i="6"/>
  <c r="M66" i="6" s="1"/>
  <c r="H66" i="6"/>
  <c r="G66" i="6"/>
  <c r="J66" i="6" s="1"/>
  <c r="I65" i="6"/>
  <c r="M65" i="6" s="1"/>
  <c r="H65" i="6"/>
  <c r="G65" i="6"/>
  <c r="J65" i="6" s="1"/>
  <c r="G64" i="6"/>
  <c r="I64" i="6"/>
  <c r="M64" i="6" s="1"/>
  <c r="H64" i="6"/>
  <c r="I63" i="6"/>
  <c r="M63" i="6" s="1"/>
  <c r="H63" i="6"/>
  <c r="G63" i="6"/>
  <c r="J63" i="6" s="1"/>
  <c r="I62" i="6"/>
  <c r="M62" i="6" s="1"/>
  <c r="H62" i="6"/>
  <c r="G62" i="6"/>
  <c r="J62" i="6" s="1"/>
  <c r="I61" i="6"/>
  <c r="M61" i="6" s="1"/>
  <c r="H61" i="6"/>
  <c r="G61" i="6"/>
  <c r="J61" i="6" s="1"/>
  <c r="G60" i="6"/>
  <c r="I60" i="6"/>
  <c r="M60" i="6" s="1"/>
  <c r="H60" i="6"/>
  <c r="I59" i="6"/>
  <c r="M59" i="6" s="1"/>
  <c r="H59" i="6"/>
  <c r="G59" i="6"/>
  <c r="J59" i="6" s="1"/>
  <c r="I58" i="6"/>
  <c r="M58" i="6" s="1"/>
  <c r="H58" i="6"/>
  <c r="G58" i="6"/>
  <c r="J58" i="6" s="1"/>
  <c r="I57" i="6"/>
  <c r="M57" i="6" s="1"/>
  <c r="H57" i="6"/>
  <c r="G57" i="6"/>
  <c r="J57" i="6" s="1"/>
  <c r="I56" i="6"/>
  <c r="M56" i="6" s="1"/>
  <c r="H56" i="6"/>
  <c r="G56" i="6"/>
  <c r="J56" i="6" s="1"/>
  <c r="G55" i="6"/>
  <c r="H55" i="6"/>
  <c r="I55" i="6"/>
  <c r="M55" i="6" s="1"/>
  <c r="I54" i="6"/>
  <c r="M54" i="6" s="1"/>
  <c r="H54" i="6"/>
  <c r="G54" i="6"/>
  <c r="J54" i="6" s="1"/>
  <c r="G53" i="6"/>
  <c r="I53" i="6"/>
  <c r="M53" i="6" s="1"/>
  <c r="H53" i="6"/>
  <c r="G52" i="6"/>
  <c r="H52" i="6"/>
  <c r="I52" i="6"/>
  <c r="M52" i="6" s="1"/>
  <c r="I51" i="6"/>
  <c r="M51" i="6" s="1"/>
  <c r="H51" i="6"/>
  <c r="G51" i="6"/>
  <c r="J51" i="6" s="1"/>
  <c r="H50" i="6"/>
  <c r="I50" i="6"/>
  <c r="M50" i="6" s="1"/>
  <c r="G50" i="6"/>
  <c r="J50" i="6" s="1"/>
  <c r="G49" i="6"/>
  <c r="I49" i="6"/>
  <c r="M49" i="6" s="1"/>
  <c r="H49" i="6"/>
  <c r="G48" i="6"/>
  <c r="H48" i="6"/>
  <c r="I48" i="6"/>
  <c r="M48" i="6" s="1"/>
  <c r="G47" i="6"/>
  <c r="H47" i="6"/>
  <c r="I47" i="6"/>
  <c r="M47" i="6" s="1"/>
  <c r="H46" i="6"/>
  <c r="I46" i="6"/>
  <c r="M46" i="6" s="1"/>
  <c r="G46" i="6"/>
  <c r="J46" i="6" s="1"/>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694" i="5"/>
  <c r="G594" i="11"/>
  <c r="G694" i="5"/>
  <c r="J694" i="5"/>
  <c r="I693" i="5"/>
  <c r="G593" i="11"/>
  <c r="G693" i="5"/>
  <c r="J693" i="5"/>
  <c r="I692" i="5"/>
  <c r="G592" i="11"/>
  <c r="J692" i="5"/>
  <c r="G692" i="5"/>
  <c r="I691" i="5"/>
  <c r="G591" i="11"/>
  <c r="J691" i="5"/>
  <c r="G691" i="5"/>
  <c r="I690" i="5"/>
  <c r="G590" i="11"/>
  <c r="G690" i="5"/>
  <c r="J690" i="5"/>
  <c r="I689" i="5"/>
  <c r="G589" i="11"/>
  <c r="J689" i="5"/>
  <c r="G689" i="5"/>
  <c r="I688" i="5"/>
  <c r="G588" i="11"/>
  <c r="G688" i="5"/>
  <c r="J688" i="5"/>
  <c r="I687" i="5"/>
  <c r="G587" i="11"/>
  <c r="J687" i="5"/>
  <c r="G687" i="5"/>
  <c r="I686" i="5"/>
  <c r="G586" i="11"/>
  <c r="J686" i="5"/>
  <c r="G686" i="5"/>
  <c r="I685" i="5"/>
  <c r="G585" i="11"/>
  <c r="J685" i="5"/>
  <c r="G685" i="5"/>
  <c r="I684" i="5"/>
  <c r="G584" i="11"/>
  <c r="J684" i="5"/>
  <c r="G684" i="5"/>
  <c r="I683" i="5"/>
  <c r="G583" i="11"/>
  <c r="G683" i="5"/>
  <c r="J683" i="5"/>
  <c r="I682" i="5"/>
  <c r="G582" i="11"/>
  <c r="J682" i="5"/>
  <c r="G682" i="5"/>
  <c r="I681" i="5"/>
  <c r="G581" i="11"/>
  <c r="J681" i="5"/>
  <c r="G681" i="5"/>
  <c r="I680" i="5"/>
  <c r="G580" i="11"/>
  <c r="G680" i="5"/>
  <c r="J680" i="5"/>
  <c r="I679" i="5"/>
  <c r="G579" i="11"/>
  <c r="J679" i="5"/>
  <c r="G679" i="5"/>
  <c r="I678" i="5"/>
  <c r="G578" i="11"/>
  <c r="G678" i="5"/>
  <c r="J678" i="5"/>
  <c r="I677" i="5"/>
  <c r="G577" i="11"/>
  <c r="J677" i="5"/>
  <c r="G677" i="5"/>
  <c r="I676" i="5"/>
  <c r="G576" i="11"/>
  <c r="G676" i="5"/>
  <c r="J676" i="5"/>
  <c r="I675" i="5"/>
  <c r="G575" i="11"/>
  <c r="G675" i="5"/>
  <c r="J675" i="5"/>
  <c r="I674" i="5"/>
  <c r="G574" i="11"/>
  <c r="G674" i="5"/>
  <c r="J674" i="5"/>
  <c r="I673" i="5"/>
  <c r="G573" i="11"/>
  <c r="J673" i="5"/>
  <c r="G673" i="5"/>
  <c r="I672" i="5"/>
  <c r="G572" i="11"/>
  <c r="J672" i="5"/>
  <c r="G672" i="5"/>
  <c r="I671" i="5"/>
  <c r="G571" i="11"/>
  <c r="G671" i="5"/>
  <c r="J671" i="5"/>
  <c r="I670" i="5"/>
  <c r="G570" i="11"/>
  <c r="G670" i="5"/>
  <c r="J670" i="5"/>
  <c r="I669" i="5"/>
  <c r="G569" i="11"/>
  <c r="J669" i="5"/>
  <c r="G669" i="5"/>
  <c r="I668" i="5"/>
  <c r="G568" i="11"/>
  <c r="G668" i="5"/>
  <c r="J668" i="5"/>
  <c r="I667" i="5"/>
  <c r="G567" i="11"/>
  <c r="J667" i="5"/>
  <c r="G667" i="5"/>
  <c r="I666" i="5"/>
  <c r="G566" i="11"/>
  <c r="J666" i="5"/>
  <c r="G666" i="5"/>
  <c r="I665" i="5"/>
  <c r="G565" i="11"/>
  <c r="J665" i="5"/>
  <c r="G665" i="5"/>
  <c r="I664" i="5"/>
  <c r="G564" i="11"/>
  <c r="J664" i="5"/>
  <c r="G664" i="5"/>
  <c r="I663" i="5"/>
  <c r="G563" i="11"/>
  <c r="J663" i="5"/>
  <c r="G663" i="5"/>
  <c r="I662" i="5"/>
  <c r="G562" i="11"/>
  <c r="J662" i="5"/>
  <c r="G662" i="5"/>
  <c r="I661" i="5"/>
  <c r="G559" i="11"/>
  <c r="J661" i="5"/>
  <c r="G661" i="5"/>
  <c r="I660" i="5"/>
  <c r="G558" i="11"/>
  <c r="J660" i="5"/>
  <c r="G660" i="5"/>
  <c r="I659" i="5"/>
  <c r="G557" i="11"/>
  <c r="G659" i="5"/>
  <c r="J659" i="5"/>
  <c r="I658" i="5"/>
  <c r="G556" i="11"/>
  <c r="J658" i="5"/>
  <c r="G658" i="5"/>
  <c r="I657" i="5"/>
  <c r="G555" i="11"/>
  <c r="J657" i="5"/>
  <c r="G657" i="5"/>
  <c r="I656" i="5"/>
  <c r="G554" i="11"/>
  <c r="J656" i="5"/>
  <c r="G656" i="5"/>
  <c r="I655" i="5"/>
  <c r="G553" i="11"/>
  <c r="J655" i="5"/>
  <c r="G655" i="5"/>
  <c r="I654" i="5"/>
  <c r="G552" i="11"/>
  <c r="J654" i="5"/>
  <c r="G654" i="5"/>
  <c r="I653" i="5"/>
  <c r="G551" i="11"/>
  <c r="J653" i="5"/>
  <c r="G653" i="5"/>
  <c r="I652" i="5"/>
  <c r="G550" i="11"/>
  <c r="J652" i="5"/>
  <c r="G652" i="5"/>
  <c r="I651" i="5"/>
  <c r="G549" i="11"/>
  <c r="J651" i="5"/>
  <c r="G651" i="5"/>
  <c r="I650" i="5"/>
  <c r="G548" i="11"/>
  <c r="G650" i="5"/>
  <c r="J650" i="5"/>
  <c r="I649" i="5"/>
  <c r="G547" i="11"/>
  <c r="G649" i="5"/>
  <c r="J649" i="5"/>
  <c r="I648" i="5"/>
  <c r="G546" i="11"/>
  <c r="G648" i="5"/>
  <c r="J648" i="5"/>
  <c r="I647" i="5"/>
  <c r="G545" i="11"/>
  <c r="J647" i="5"/>
  <c r="G647" i="5"/>
  <c r="I646" i="5"/>
  <c r="G544" i="11"/>
  <c r="J646" i="5"/>
  <c r="G646" i="5"/>
  <c r="I645" i="5"/>
  <c r="G543" i="11"/>
  <c r="J645" i="5"/>
  <c r="G645" i="5"/>
  <c r="I644" i="5"/>
  <c r="G542" i="11"/>
  <c r="J644" i="5"/>
  <c r="G644" i="5"/>
  <c r="I643" i="5"/>
  <c r="G541" i="11"/>
  <c r="J643" i="5"/>
  <c r="G643" i="5"/>
  <c r="I642" i="5"/>
  <c r="G540" i="11"/>
  <c r="J642" i="5"/>
  <c r="G642" i="5"/>
  <c r="I641" i="5"/>
  <c r="G539" i="11"/>
  <c r="G641" i="5"/>
  <c r="J641" i="5"/>
  <c r="I640" i="5"/>
  <c r="G538" i="11"/>
  <c r="G640" i="5"/>
  <c r="J640" i="5"/>
  <c r="I639" i="5"/>
  <c r="G537" i="11"/>
  <c r="J639" i="5"/>
  <c r="G639" i="5"/>
  <c r="I638" i="5"/>
  <c r="G536" i="11"/>
  <c r="G638" i="5"/>
  <c r="J638" i="5"/>
  <c r="I637" i="5"/>
  <c r="G535" i="11"/>
  <c r="J637" i="5"/>
  <c r="G637" i="5"/>
  <c r="I636" i="5"/>
  <c r="G534" i="11"/>
  <c r="G636" i="5"/>
  <c r="J636" i="5"/>
  <c r="I635" i="5"/>
  <c r="G533" i="11"/>
  <c r="J635" i="5"/>
  <c r="G635" i="5"/>
  <c r="I634" i="5"/>
  <c r="G532" i="11"/>
  <c r="J634" i="5"/>
  <c r="G634" i="5"/>
  <c r="I633" i="5"/>
  <c r="G531" i="11"/>
  <c r="G633" i="5"/>
  <c r="J633" i="5"/>
  <c r="I632" i="5"/>
  <c r="G530" i="11"/>
  <c r="J632" i="5"/>
  <c r="G632" i="5"/>
  <c r="I631" i="5"/>
  <c r="G529" i="11"/>
  <c r="J631" i="5"/>
  <c r="G631" i="5"/>
  <c r="I630" i="5"/>
  <c r="G526" i="11"/>
  <c r="J630" i="5"/>
  <c r="G630" i="5"/>
  <c r="I629" i="5"/>
  <c r="G525" i="11"/>
  <c r="G629" i="5"/>
  <c r="J629" i="5"/>
  <c r="I628" i="5"/>
  <c r="G524" i="11"/>
  <c r="G628" i="5"/>
  <c r="J628" i="5"/>
  <c r="I627" i="5"/>
  <c r="G523" i="11"/>
  <c r="J627" i="5"/>
  <c r="G627" i="5"/>
  <c r="I626" i="5"/>
  <c r="G522" i="11"/>
  <c r="G626" i="5"/>
  <c r="J626" i="5"/>
  <c r="I625" i="5"/>
  <c r="G521" i="11"/>
  <c r="G625" i="5"/>
  <c r="J625" i="5"/>
  <c r="I624" i="5"/>
  <c r="G520" i="11"/>
  <c r="J624" i="5"/>
  <c r="G624" i="5"/>
  <c r="I623" i="5"/>
  <c r="G519" i="11"/>
  <c r="J623" i="5"/>
  <c r="G623" i="5"/>
  <c r="I622" i="5"/>
  <c r="G518" i="11"/>
  <c r="G622" i="5"/>
  <c r="J622" i="5"/>
  <c r="I621" i="5"/>
  <c r="G517" i="11"/>
  <c r="G621" i="5"/>
  <c r="J621" i="5"/>
  <c r="I620" i="5"/>
  <c r="G516" i="11"/>
  <c r="G620" i="5"/>
  <c r="J620" i="5"/>
  <c r="I619" i="5"/>
  <c r="G515" i="11"/>
  <c r="G619" i="5"/>
  <c r="J619" i="5"/>
  <c r="I618" i="5"/>
  <c r="G514" i="11"/>
  <c r="J618" i="5"/>
  <c r="G618" i="5"/>
  <c r="I617" i="5"/>
  <c r="G513" i="11"/>
  <c r="G617" i="5"/>
  <c r="J617" i="5"/>
  <c r="I616" i="5"/>
  <c r="G512" i="11"/>
  <c r="J616" i="5"/>
  <c r="G616" i="5"/>
  <c r="I615" i="5"/>
  <c r="G511" i="11"/>
  <c r="J615" i="5"/>
  <c r="G615" i="5"/>
  <c r="I614" i="5"/>
  <c r="G510" i="11"/>
  <c r="I613" i="5"/>
  <c r="G509" i="11"/>
  <c r="J613" i="5"/>
  <c r="G613" i="5"/>
  <c r="I612" i="5"/>
  <c r="G508" i="11"/>
  <c r="G612" i="5"/>
  <c r="J612" i="5"/>
  <c r="I611" i="5"/>
  <c r="G507" i="11"/>
  <c r="G611" i="5"/>
  <c r="J611" i="5"/>
  <c r="I610" i="5"/>
  <c r="G506" i="11"/>
  <c r="G610" i="5"/>
  <c r="J610" i="5"/>
  <c r="I609" i="5"/>
  <c r="G505" i="11"/>
  <c r="J609" i="5"/>
  <c r="G609" i="5"/>
  <c r="I608" i="5"/>
  <c r="G504" i="11"/>
  <c r="G608" i="5"/>
  <c r="J608" i="5"/>
  <c r="I607" i="5"/>
  <c r="G503" i="11"/>
  <c r="J607" i="5"/>
  <c r="G607" i="5"/>
  <c r="I606" i="5"/>
  <c r="G502" i="11"/>
  <c r="J606" i="5"/>
  <c r="G606" i="5"/>
  <c r="I605" i="5"/>
  <c r="G501" i="11"/>
  <c r="J605" i="5"/>
  <c r="G605" i="5"/>
  <c r="I604" i="5"/>
  <c r="G500" i="11"/>
  <c r="J604" i="5"/>
  <c r="G604" i="5"/>
  <c r="I603" i="5"/>
  <c r="G499" i="11"/>
  <c r="J603" i="5"/>
  <c r="G603" i="5"/>
  <c r="I602" i="5"/>
  <c r="G498" i="11"/>
  <c r="J602" i="5"/>
  <c r="G602" i="5"/>
  <c r="I601" i="5"/>
  <c r="G497" i="11"/>
  <c r="J601" i="5"/>
  <c r="G601" i="5"/>
  <c r="I600" i="5"/>
  <c r="G496" i="11"/>
  <c r="J600" i="5"/>
  <c r="G600" i="5"/>
  <c r="I599" i="5"/>
  <c r="G495" i="11"/>
  <c r="J599" i="5"/>
  <c r="G599" i="5"/>
  <c r="I598" i="5"/>
  <c r="G494" i="11"/>
  <c r="J598" i="5"/>
  <c r="G598" i="5"/>
  <c r="I597" i="5"/>
  <c r="G493" i="11"/>
  <c r="G597" i="5"/>
  <c r="J597" i="5"/>
  <c r="I596" i="5"/>
  <c r="G492" i="11"/>
  <c r="J596" i="5"/>
  <c r="G596" i="5"/>
  <c r="I595" i="5"/>
  <c r="G491" i="11"/>
  <c r="J595" i="5"/>
  <c r="G595" i="5"/>
  <c r="I594" i="5"/>
  <c r="G490" i="11"/>
  <c r="J594" i="5"/>
  <c r="G594" i="5"/>
  <c r="I593" i="5"/>
  <c r="G489" i="11"/>
  <c r="J593" i="5"/>
  <c r="G593" i="5"/>
  <c r="I592" i="5"/>
  <c r="G488" i="11"/>
  <c r="J592" i="5"/>
  <c r="G592" i="5"/>
  <c r="I591" i="5"/>
  <c r="G487" i="11"/>
  <c r="J591" i="5"/>
  <c r="G591" i="5"/>
  <c r="I590" i="5"/>
  <c r="G486" i="11"/>
  <c r="J590" i="5"/>
  <c r="G590" i="5"/>
  <c r="I589" i="5"/>
  <c r="G485" i="11"/>
  <c r="J589" i="5"/>
  <c r="G589" i="5"/>
  <c r="I588" i="5"/>
  <c r="G484" i="11"/>
  <c r="J588" i="5"/>
  <c r="G588" i="5"/>
  <c r="I587" i="5"/>
  <c r="G483" i="11"/>
  <c r="J587" i="5"/>
  <c r="G587" i="5"/>
  <c r="I586" i="5"/>
  <c r="G482" i="11"/>
  <c r="J586" i="5"/>
  <c r="G586" i="5"/>
  <c r="I585" i="5"/>
  <c r="G481" i="11"/>
  <c r="J585" i="5"/>
  <c r="G585" i="5"/>
  <c r="I584" i="5"/>
  <c r="G480" i="11"/>
  <c r="J584" i="5"/>
  <c r="G584" i="5"/>
  <c r="I583" i="5"/>
  <c r="G479" i="11"/>
  <c r="J583" i="5"/>
  <c r="G583" i="5"/>
  <c r="I582" i="5"/>
  <c r="G476" i="11"/>
  <c r="J582" i="5"/>
  <c r="G582" i="5"/>
  <c r="I581" i="5"/>
  <c r="G475" i="11"/>
  <c r="J581" i="5"/>
  <c r="G581" i="5"/>
  <c r="I580" i="5"/>
  <c r="G474" i="11"/>
  <c r="J580" i="5"/>
  <c r="G580" i="5"/>
  <c r="I579" i="5"/>
  <c r="G473" i="11"/>
  <c r="J579" i="5"/>
  <c r="G579" i="5"/>
  <c r="I578" i="5"/>
  <c r="G472" i="11"/>
  <c r="J578" i="5"/>
  <c r="G578" i="5"/>
  <c r="I577" i="5"/>
  <c r="G471" i="11"/>
  <c r="J577" i="5"/>
  <c r="G577" i="5"/>
  <c r="I576" i="5"/>
  <c r="G470" i="11"/>
  <c r="J576" i="5"/>
  <c r="G576" i="5"/>
  <c r="I575" i="5"/>
  <c r="G469" i="11"/>
  <c r="J575" i="5"/>
  <c r="G575" i="5"/>
  <c r="I574" i="5"/>
  <c r="G468" i="11"/>
  <c r="J574" i="5"/>
  <c r="G574" i="5"/>
  <c r="I573" i="5"/>
  <c r="G467" i="11"/>
  <c r="J573" i="5"/>
  <c r="G573" i="5"/>
  <c r="I572" i="5"/>
  <c r="G466" i="11"/>
  <c r="J572" i="5"/>
  <c r="G572" i="5"/>
  <c r="I571" i="5"/>
  <c r="G465" i="11"/>
  <c r="J571" i="5"/>
  <c r="G571" i="5"/>
  <c r="I570" i="5"/>
  <c r="G464" i="11"/>
  <c r="J570" i="5"/>
  <c r="G570" i="5"/>
  <c r="I569" i="5"/>
  <c r="G463" i="11"/>
  <c r="J569" i="5"/>
  <c r="G569" i="5"/>
  <c r="I568" i="5"/>
  <c r="G462" i="11"/>
  <c r="J568" i="5"/>
  <c r="G568" i="5"/>
  <c r="I567" i="5"/>
  <c r="G461" i="11"/>
  <c r="J567" i="5"/>
  <c r="G567" i="5"/>
  <c r="I566" i="5"/>
  <c r="G460" i="11"/>
  <c r="G566" i="5"/>
  <c r="J566" i="5"/>
  <c r="I565" i="5"/>
  <c r="G459" i="11"/>
  <c r="J565" i="5"/>
  <c r="G565" i="5"/>
  <c r="I564" i="5"/>
  <c r="G456" i="11"/>
  <c r="G564" i="5"/>
  <c r="J564" i="5"/>
  <c r="I563" i="5"/>
  <c r="G455" i="11"/>
  <c r="G563" i="5"/>
  <c r="J563" i="5"/>
  <c r="I562" i="5"/>
  <c r="G454" i="11"/>
  <c r="G562" i="5"/>
  <c r="J562" i="5"/>
  <c r="I561" i="5"/>
  <c r="G453" i="11"/>
  <c r="J561" i="5"/>
  <c r="G561" i="5"/>
  <c r="I560" i="5"/>
  <c r="G452" i="11"/>
  <c r="J560" i="5"/>
  <c r="G560" i="5"/>
  <c r="I559" i="5"/>
  <c r="G451" i="11"/>
  <c r="G559" i="5"/>
  <c r="J559" i="5"/>
  <c r="I558" i="5"/>
  <c r="G450" i="11"/>
  <c r="J558" i="5"/>
  <c r="G558" i="5"/>
  <c r="I557" i="5"/>
  <c r="G449" i="11"/>
  <c r="G557" i="5"/>
  <c r="J557" i="5"/>
  <c r="I556" i="5"/>
  <c r="G448" i="11"/>
  <c r="J556" i="5"/>
  <c r="G556" i="5"/>
  <c r="I555" i="5"/>
  <c r="G447" i="11"/>
  <c r="G555" i="5"/>
  <c r="J555" i="5"/>
  <c r="I554" i="5"/>
  <c r="G446" i="11"/>
  <c r="G554" i="5"/>
  <c r="J554" i="5"/>
  <c r="I553" i="5"/>
  <c r="G445" i="11"/>
  <c r="J553" i="5"/>
  <c r="G553" i="5"/>
  <c r="I552" i="5"/>
  <c r="G444" i="11"/>
  <c r="G552" i="5"/>
  <c r="J552" i="5"/>
  <c r="I551" i="5"/>
  <c r="G443" i="11"/>
  <c r="J551" i="5"/>
  <c r="G551" i="5"/>
  <c r="I550" i="5"/>
  <c r="G442" i="11"/>
  <c r="J550" i="5"/>
  <c r="G550" i="5"/>
  <c r="I549" i="5"/>
  <c r="G441" i="11"/>
  <c r="G549" i="5"/>
  <c r="J549" i="5"/>
  <c r="I548" i="5"/>
  <c r="G440" i="11"/>
  <c r="G548" i="5"/>
  <c r="J548" i="5"/>
  <c r="I547" i="5"/>
  <c r="G439" i="11"/>
  <c r="J547" i="5"/>
  <c r="G547" i="5"/>
  <c r="I546" i="5"/>
  <c r="G438" i="11"/>
  <c r="J546" i="5"/>
  <c r="G546" i="5"/>
  <c r="I545" i="5"/>
  <c r="G437" i="11"/>
  <c r="J545" i="5"/>
  <c r="G545" i="5"/>
  <c r="I544" i="5"/>
  <c r="G436" i="11"/>
  <c r="J544" i="5"/>
  <c r="G544" i="5"/>
  <c r="I543" i="5"/>
  <c r="G435" i="11"/>
  <c r="J543" i="5"/>
  <c r="G543" i="5"/>
  <c r="I542" i="5"/>
  <c r="G434" i="11"/>
  <c r="G542" i="5"/>
  <c r="J542" i="5"/>
  <c r="I541" i="5"/>
  <c r="G433" i="11"/>
  <c r="J541" i="5"/>
  <c r="G541" i="5"/>
  <c r="I540" i="5"/>
  <c r="G430" i="11"/>
  <c r="G540" i="5"/>
  <c r="J540" i="5"/>
  <c r="I539" i="5"/>
  <c r="G429" i="11"/>
  <c r="J539" i="5"/>
  <c r="G539" i="5"/>
  <c r="I538" i="5"/>
  <c r="G428" i="11"/>
  <c r="G538" i="5"/>
  <c r="J538" i="5"/>
  <c r="I537" i="5"/>
  <c r="G427" i="11"/>
  <c r="J537" i="5"/>
  <c r="G537" i="5"/>
  <c r="I536" i="5"/>
  <c r="G426" i="11"/>
  <c r="J536" i="5"/>
  <c r="G536" i="5"/>
  <c r="I535" i="5"/>
  <c r="G425" i="11"/>
  <c r="G535" i="5"/>
  <c r="J535" i="5"/>
  <c r="I534" i="5"/>
  <c r="G424" i="11"/>
  <c r="J534" i="5"/>
  <c r="G534" i="5"/>
  <c r="I533" i="5"/>
  <c r="G423" i="11"/>
  <c r="J533" i="5"/>
  <c r="G533" i="5"/>
  <c r="I532" i="5"/>
  <c r="G422" i="11"/>
  <c r="J532" i="5"/>
  <c r="G532" i="5"/>
  <c r="I531" i="5"/>
  <c r="G421" i="11"/>
  <c r="G531" i="5"/>
  <c r="J531" i="5"/>
  <c r="I530" i="5"/>
  <c r="G420" i="11"/>
  <c r="G530" i="5"/>
  <c r="J530" i="5"/>
  <c r="I529" i="5"/>
  <c r="G419" i="11"/>
  <c r="G529" i="5"/>
  <c r="J529" i="5"/>
  <c r="I528" i="5"/>
  <c r="G418" i="11"/>
  <c r="G528" i="5"/>
  <c r="J528" i="5"/>
  <c r="I527" i="5"/>
  <c r="G417" i="11"/>
  <c r="G527" i="5"/>
  <c r="J527" i="5"/>
  <c r="I526" i="5"/>
  <c r="G416" i="11"/>
  <c r="J526" i="5"/>
  <c r="G526" i="5"/>
  <c r="I525" i="5"/>
  <c r="G415" i="11"/>
  <c r="G525" i="5"/>
  <c r="J525" i="5"/>
  <c r="I524" i="5"/>
  <c r="G414" i="11"/>
  <c r="G524" i="5"/>
  <c r="J524" i="5"/>
  <c r="I523" i="5"/>
  <c r="G413" i="11"/>
  <c r="J523" i="5"/>
  <c r="G523" i="5"/>
  <c r="I522" i="5"/>
  <c r="G412" i="11"/>
  <c r="J522" i="5"/>
  <c r="G522" i="5"/>
  <c r="I521" i="5"/>
  <c r="G411" i="11"/>
  <c r="J521" i="5"/>
  <c r="G521" i="5"/>
  <c r="I520" i="5"/>
  <c r="G410" i="11"/>
  <c r="G520" i="5"/>
  <c r="J520" i="5"/>
  <c r="I519" i="5"/>
  <c r="G761" i="11"/>
  <c r="J519" i="5"/>
  <c r="G519" i="5"/>
  <c r="I518" i="5"/>
  <c r="G760" i="11"/>
  <c r="G518" i="5"/>
  <c r="J518" i="5"/>
  <c r="I517" i="5"/>
  <c r="G759" i="11"/>
  <c r="G517" i="5"/>
  <c r="J517" i="5"/>
  <c r="I516" i="5"/>
  <c r="G758" i="11"/>
  <c r="J516" i="5"/>
  <c r="G516" i="5"/>
  <c r="I515" i="5"/>
  <c r="G757" i="11"/>
  <c r="J515" i="5"/>
  <c r="G515" i="5"/>
  <c r="I514" i="5"/>
  <c r="G756" i="11"/>
  <c r="J514" i="5"/>
  <c r="G514" i="5"/>
  <c r="I513" i="5"/>
  <c r="G755" i="11"/>
  <c r="J513" i="5"/>
  <c r="G513" i="5"/>
  <c r="I512" i="5"/>
  <c r="G754" i="11"/>
  <c r="G512" i="5"/>
  <c r="J512" i="5"/>
  <c r="I511" i="5"/>
  <c r="G753" i="11"/>
  <c r="G511" i="5"/>
  <c r="J511" i="5"/>
  <c r="I510" i="5"/>
  <c r="G752" i="11"/>
  <c r="J510" i="5"/>
  <c r="G510" i="5"/>
  <c r="I509" i="5"/>
  <c r="G751" i="11"/>
  <c r="J509" i="5"/>
  <c r="G509" i="5"/>
  <c r="I508" i="5"/>
  <c r="G750" i="11"/>
  <c r="J508" i="5"/>
  <c r="G508" i="5"/>
  <c r="I507" i="5"/>
  <c r="G749" i="11"/>
  <c r="G507" i="5"/>
  <c r="J507" i="5"/>
  <c r="I506" i="5"/>
  <c r="G748" i="11"/>
  <c r="G506" i="5"/>
  <c r="J506" i="5"/>
  <c r="I505" i="5"/>
  <c r="G747" i="11"/>
  <c r="J505" i="5"/>
  <c r="G505" i="5"/>
  <c r="I504" i="5"/>
  <c r="G746" i="11"/>
  <c r="J504" i="5"/>
  <c r="G504" i="5"/>
  <c r="I503" i="5"/>
  <c r="G745" i="11"/>
  <c r="J503" i="5"/>
  <c r="G503" i="5"/>
  <c r="I502" i="5"/>
  <c r="G744" i="11"/>
  <c r="J502" i="5"/>
  <c r="G502" i="5"/>
  <c r="I501" i="5"/>
  <c r="G743" i="11"/>
  <c r="J501" i="5"/>
  <c r="G501" i="5"/>
  <c r="I500" i="5"/>
  <c r="G742" i="11"/>
  <c r="G500" i="5"/>
  <c r="J500" i="5"/>
  <c r="I499" i="5"/>
  <c r="G741" i="11"/>
  <c r="G499" i="5"/>
  <c r="J499" i="5"/>
  <c r="I498" i="5"/>
  <c r="G740" i="11"/>
  <c r="J498" i="5"/>
  <c r="G498" i="5"/>
  <c r="I497" i="5"/>
  <c r="G739" i="11"/>
  <c r="J497" i="5"/>
  <c r="G497" i="5"/>
  <c r="I496" i="5"/>
  <c r="G738" i="11"/>
  <c r="G496" i="5"/>
  <c r="J496" i="5"/>
  <c r="I495" i="5"/>
  <c r="G737" i="11"/>
  <c r="G495" i="5"/>
  <c r="J495" i="5"/>
  <c r="I494" i="5"/>
  <c r="G736" i="11"/>
  <c r="J494" i="5"/>
  <c r="G494" i="5"/>
  <c r="I493" i="5"/>
  <c r="G735" i="11"/>
  <c r="J493" i="5"/>
  <c r="G493" i="5"/>
  <c r="I492" i="5"/>
  <c r="G734" i="11"/>
  <c r="G492" i="5"/>
  <c r="J492" i="5"/>
  <c r="I491" i="5"/>
  <c r="G733" i="11"/>
  <c r="G491" i="5"/>
  <c r="J491" i="5"/>
  <c r="I490" i="5"/>
  <c r="G732" i="11"/>
  <c r="G490" i="5"/>
  <c r="J490" i="5"/>
  <c r="I489" i="5"/>
  <c r="G731" i="11"/>
  <c r="G489" i="5"/>
  <c r="J489" i="5"/>
  <c r="I488" i="5"/>
  <c r="G730" i="11"/>
  <c r="G488" i="5"/>
  <c r="J488" i="5"/>
  <c r="I487" i="5"/>
  <c r="G729" i="11"/>
  <c r="J487" i="5"/>
  <c r="G487" i="5"/>
  <c r="I486" i="5"/>
  <c r="G728" i="11"/>
  <c r="J486" i="5"/>
  <c r="G486" i="5"/>
  <c r="I485" i="5"/>
  <c r="G727" i="11"/>
  <c r="G485" i="5"/>
  <c r="J485" i="5"/>
  <c r="I484" i="5"/>
  <c r="G726" i="11"/>
  <c r="G484" i="5"/>
  <c r="J484" i="5"/>
  <c r="I483" i="5"/>
  <c r="G725" i="11"/>
  <c r="G483" i="5"/>
  <c r="J483" i="5"/>
  <c r="I482" i="5"/>
  <c r="G724" i="11"/>
  <c r="J482" i="5"/>
  <c r="G482" i="5"/>
  <c r="I481" i="5"/>
  <c r="G723" i="11"/>
  <c r="J481" i="5"/>
  <c r="G481" i="5"/>
  <c r="I480" i="5"/>
  <c r="G722" i="11"/>
  <c r="J480" i="5"/>
  <c r="G480" i="5"/>
  <c r="I479" i="5"/>
  <c r="G719" i="11"/>
  <c r="G479" i="5"/>
  <c r="J479" i="5"/>
  <c r="I478" i="5"/>
  <c r="G718" i="11"/>
  <c r="G478" i="5"/>
  <c r="J478" i="5"/>
  <c r="I477" i="5"/>
  <c r="G717" i="11"/>
  <c r="G477" i="5"/>
  <c r="J477" i="5"/>
  <c r="I476" i="5"/>
  <c r="G716" i="11"/>
  <c r="G476" i="5"/>
  <c r="J476" i="5"/>
  <c r="I475" i="5"/>
  <c r="G715" i="11"/>
  <c r="J475" i="5"/>
  <c r="G475" i="5"/>
  <c r="I474" i="5"/>
  <c r="G714" i="11"/>
  <c r="G474" i="5"/>
  <c r="J474" i="5"/>
  <c r="I473" i="5"/>
  <c r="G713" i="11"/>
  <c r="J473" i="5"/>
  <c r="G473" i="5"/>
  <c r="I472" i="5"/>
  <c r="G712" i="11"/>
  <c r="J472" i="5"/>
  <c r="G472" i="5"/>
  <c r="I471" i="5"/>
  <c r="G711" i="11"/>
  <c r="J471" i="5"/>
  <c r="G471" i="5"/>
  <c r="I470" i="5"/>
  <c r="G710" i="11"/>
  <c r="J470" i="5"/>
  <c r="G470" i="5"/>
  <c r="I469" i="5"/>
  <c r="G709" i="11"/>
  <c r="J469" i="5"/>
  <c r="G469" i="5"/>
  <c r="I468" i="5"/>
  <c r="G708" i="11"/>
  <c r="J468" i="5"/>
  <c r="G468" i="5"/>
  <c r="I467" i="5"/>
  <c r="G707" i="11"/>
  <c r="J467" i="5"/>
  <c r="G467" i="5"/>
  <c r="I466" i="5"/>
  <c r="G706" i="11"/>
  <c r="J466" i="5"/>
  <c r="G466" i="5"/>
  <c r="I465" i="5"/>
  <c r="G705" i="11"/>
  <c r="G465" i="5"/>
  <c r="J465" i="5"/>
  <c r="I464" i="5"/>
  <c r="G704" i="11"/>
  <c r="J464" i="5"/>
  <c r="G464" i="5"/>
  <c r="I463" i="5"/>
  <c r="G703" i="11"/>
  <c r="J463" i="5"/>
  <c r="G463" i="5"/>
  <c r="I462" i="5"/>
  <c r="G702" i="11"/>
  <c r="J462" i="5"/>
  <c r="G462" i="5"/>
  <c r="I461" i="5"/>
  <c r="G701" i="11"/>
  <c r="J461" i="5"/>
  <c r="G461" i="5"/>
  <c r="I460" i="5"/>
  <c r="G700" i="11"/>
  <c r="J460" i="5"/>
  <c r="G460" i="5"/>
  <c r="I459" i="5"/>
  <c r="G697" i="11"/>
  <c r="J459" i="5"/>
  <c r="G459" i="5"/>
  <c r="I458" i="5"/>
  <c r="G696" i="11"/>
  <c r="J458" i="5"/>
  <c r="G458" i="5"/>
  <c r="I457" i="5"/>
  <c r="G695" i="11"/>
  <c r="G457" i="5"/>
  <c r="J457" i="5"/>
  <c r="I456" i="5"/>
  <c r="G694" i="11"/>
  <c r="J456" i="5"/>
  <c r="G456" i="5"/>
  <c r="I455" i="5"/>
  <c r="G693" i="11"/>
  <c r="J455" i="5"/>
  <c r="G455" i="5"/>
  <c r="I454" i="5"/>
  <c r="G692" i="11"/>
  <c r="J454" i="5"/>
  <c r="G454" i="5"/>
  <c r="I453" i="5"/>
  <c r="G691" i="11"/>
  <c r="G453" i="5"/>
  <c r="J453" i="5"/>
  <c r="I452" i="5"/>
  <c r="G690" i="11"/>
  <c r="G452" i="5"/>
  <c r="J452" i="5"/>
  <c r="I451" i="5"/>
  <c r="G689" i="11"/>
  <c r="G451" i="5"/>
  <c r="J451" i="5"/>
  <c r="I450" i="5"/>
  <c r="G688" i="11"/>
  <c r="G450" i="5"/>
  <c r="J450" i="5"/>
  <c r="I449" i="5"/>
  <c r="G687" i="11"/>
  <c r="G449" i="5"/>
  <c r="J449" i="5"/>
  <c r="I448" i="5"/>
  <c r="G686" i="11"/>
  <c r="J448" i="5"/>
  <c r="G448" i="5"/>
  <c r="I447" i="5"/>
  <c r="G685" i="11"/>
  <c r="G447" i="5"/>
  <c r="J447" i="5"/>
  <c r="I446" i="5"/>
  <c r="G684" i="11"/>
  <c r="G446" i="5"/>
  <c r="J446" i="5"/>
  <c r="I445" i="5"/>
  <c r="G683" i="11"/>
  <c r="J445" i="5"/>
  <c r="G445" i="5"/>
  <c r="I444" i="5"/>
  <c r="G682" i="11"/>
  <c r="J444" i="5"/>
  <c r="G444" i="5"/>
  <c r="I443" i="5"/>
  <c r="G681" i="11"/>
  <c r="G443" i="5"/>
  <c r="J443" i="5"/>
  <c r="I442" i="5"/>
  <c r="G680" i="11"/>
  <c r="G442" i="5"/>
  <c r="J442" i="5"/>
  <c r="I441" i="5"/>
  <c r="G679" i="11"/>
  <c r="G441" i="5"/>
  <c r="J441" i="5"/>
  <c r="I440" i="5"/>
  <c r="G678" i="11"/>
  <c r="G440" i="5"/>
  <c r="J440" i="5"/>
  <c r="I439" i="5"/>
  <c r="G677" i="11"/>
  <c r="G439" i="5"/>
  <c r="J439" i="5"/>
  <c r="I438" i="5"/>
  <c r="G676" i="11"/>
  <c r="G438" i="5"/>
  <c r="J438" i="5"/>
  <c r="I437" i="5"/>
  <c r="G675" i="11"/>
  <c r="G437" i="5"/>
  <c r="J437" i="5"/>
  <c r="I436" i="5"/>
  <c r="G674" i="11"/>
  <c r="G436" i="5"/>
  <c r="J436" i="5"/>
  <c r="I435" i="5"/>
  <c r="G673" i="11"/>
  <c r="J435" i="5"/>
  <c r="G435" i="5"/>
  <c r="I434" i="5"/>
  <c r="G672" i="11"/>
  <c r="G434" i="5"/>
  <c r="J434" i="5"/>
  <c r="I433" i="5"/>
  <c r="G671" i="11"/>
  <c r="G433" i="5"/>
  <c r="J433" i="5"/>
  <c r="I432" i="5"/>
  <c r="G670" i="11"/>
  <c r="J432" i="5"/>
  <c r="G432" i="5"/>
  <c r="I431" i="5"/>
  <c r="G669" i="11"/>
  <c r="J431" i="5"/>
  <c r="G431" i="5"/>
  <c r="I430" i="5"/>
  <c r="G668" i="11"/>
  <c r="J430" i="5"/>
  <c r="G430" i="5"/>
  <c r="I429" i="5"/>
  <c r="G636" i="11"/>
  <c r="G429" i="5"/>
  <c r="J429" i="5"/>
  <c r="I428" i="5"/>
  <c r="G635" i="11"/>
  <c r="G428" i="5"/>
  <c r="J428" i="5"/>
  <c r="I427" i="5"/>
  <c r="G634" i="11"/>
  <c r="J427" i="5"/>
  <c r="G427" i="5"/>
  <c r="I426" i="5"/>
  <c r="G633" i="11"/>
  <c r="J426" i="5"/>
  <c r="G426" i="5"/>
  <c r="I425" i="5"/>
  <c r="G632" i="11"/>
  <c r="J425" i="5"/>
  <c r="G425" i="5"/>
  <c r="I424" i="5"/>
  <c r="G631" i="11"/>
  <c r="J424" i="5"/>
  <c r="G424" i="5"/>
  <c r="I423" i="5"/>
  <c r="G630" i="11"/>
  <c r="J423" i="5"/>
  <c r="G423" i="5"/>
  <c r="I422" i="5"/>
  <c r="G629" i="11"/>
  <c r="J422" i="5"/>
  <c r="G422" i="5"/>
  <c r="I421" i="5"/>
  <c r="G628" i="11"/>
  <c r="G421" i="5"/>
  <c r="J421" i="5"/>
  <c r="I420" i="5"/>
  <c r="G627" i="11"/>
  <c r="J420" i="5"/>
  <c r="G420" i="5"/>
  <c r="I419" i="5"/>
  <c r="G626" i="11"/>
  <c r="G419" i="5"/>
  <c r="J419" i="5"/>
  <c r="I418" i="5"/>
  <c r="G625" i="11"/>
  <c r="J418" i="5"/>
  <c r="G418" i="5"/>
  <c r="I417" i="5"/>
  <c r="G624" i="11"/>
  <c r="G417" i="5"/>
  <c r="J417" i="5"/>
  <c r="I416" i="5"/>
  <c r="G623" i="11"/>
  <c r="J416" i="5"/>
  <c r="G416" i="5"/>
  <c r="I415" i="5"/>
  <c r="G622" i="11"/>
  <c r="J415" i="5"/>
  <c r="G415" i="5"/>
  <c r="I414" i="5"/>
  <c r="G621" i="11"/>
  <c r="G414" i="5"/>
  <c r="J414" i="5"/>
  <c r="I413" i="5"/>
  <c r="G620" i="11"/>
  <c r="J413" i="5"/>
  <c r="G413" i="5"/>
  <c r="I412" i="5"/>
  <c r="G619" i="11"/>
  <c r="G412" i="5"/>
  <c r="J412" i="5"/>
  <c r="I411" i="5"/>
  <c r="G618" i="11"/>
  <c r="I410" i="5"/>
  <c r="G617" i="11"/>
  <c r="J410" i="5"/>
  <c r="G410" i="5"/>
  <c r="I409" i="5"/>
  <c r="G616" i="11"/>
  <c r="J409" i="5"/>
  <c r="G409" i="5"/>
  <c r="I408" i="5"/>
  <c r="G615" i="11"/>
  <c r="G408" i="5"/>
  <c r="J408" i="5"/>
  <c r="I407" i="5"/>
  <c r="G614" i="11"/>
  <c r="J407" i="5"/>
  <c r="G407" i="5"/>
  <c r="I406" i="5"/>
  <c r="G613" i="11"/>
  <c r="J406" i="5"/>
  <c r="G406" i="5"/>
  <c r="I405" i="5"/>
  <c r="G612" i="11"/>
  <c r="J405" i="5"/>
  <c r="G405" i="5"/>
  <c r="I404" i="5"/>
  <c r="G611" i="11"/>
  <c r="J404" i="5"/>
  <c r="G404" i="5"/>
  <c r="I403" i="5"/>
  <c r="G610" i="11"/>
  <c r="G403" i="5"/>
  <c r="J403" i="5"/>
  <c r="I402" i="5"/>
  <c r="G609" i="11"/>
  <c r="G402" i="5"/>
  <c r="J402" i="5"/>
  <c r="I401" i="5"/>
  <c r="G608" i="11"/>
  <c r="J401" i="5"/>
  <c r="G401" i="5"/>
  <c r="I400" i="5"/>
  <c r="G607" i="11"/>
  <c r="G400" i="5"/>
  <c r="J400" i="5"/>
  <c r="I399" i="5"/>
  <c r="G606" i="11"/>
  <c r="J399" i="5"/>
  <c r="G399" i="5"/>
  <c r="I398" i="5"/>
  <c r="G605" i="11"/>
  <c r="G398" i="5"/>
  <c r="J398" i="5"/>
  <c r="I397" i="5"/>
  <c r="G604" i="11"/>
  <c r="J397" i="5"/>
  <c r="G397" i="5"/>
  <c r="I396" i="5"/>
  <c r="G603" i="11"/>
  <c r="J396" i="5"/>
  <c r="G396" i="5"/>
  <c r="I395" i="5"/>
  <c r="G602" i="11"/>
  <c r="G395" i="5"/>
  <c r="J395" i="5"/>
  <c r="I394" i="5"/>
  <c r="G601" i="11"/>
  <c r="G394" i="5"/>
  <c r="J394" i="5"/>
  <c r="I393" i="5"/>
  <c r="G600" i="11"/>
  <c r="J393" i="5"/>
  <c r="G393" i="5"/>
  <c r="I392" i="5"/>
  <c r="G599" i="11"/>
  <c r="J392" i="5"/>
  <c r="G392" i="5"/>
  <c r="I391" i="5"/>
  <c r="G598" i="11"/>
  <c r="J391" i="5"/>
  <c r="G391" i="5"/>
  <c r="I390" i="5"/>
  <c r="G597" i="11"/>
  <c r="J390" i="5"/>
  <c r="G390" i="5"/>
  <c r="I389" i="5"/>
  <c r="G665" i="11"/>
  <c r="G389" i="5"/>
  <c r="J389" i="5"/>
  <c r="I388" i="5"/>
  <c r="G664" i="11"/>
  <c r="G388" i="5"/>
  <c r="J388" i="5"/>
  <c r="I387" i="5"/>
  <c r="G663" i="11"/>
  <c r="J387" i="5"/>
  <c r="G387" i="5"/>
  <c r="I386" i="5"/>
  <c r="G662" i="11"/>
  <c r="J386" i="5"/>
  <c r="G386" i="5"/>
  <c r="I385" i="5"/>
  <c r="G661" i="11"/>
  <c r="G385" i="5"/>
  <c r="J385" i="5"/>
  <c r="I384" i="5"/>
  <c r="G660" i="11"/>
  <c r="J384" i="5"/>
  <c r="G384" i="5"/>
  <c r="I383" i="5"/>
  <c r="G659" i="11"/>
  <c r="G383" i="5"/>
  <c r="J383" i="5"/>
  <c r="I382" i="5"/>
  <c r="G658" i="11"/>
  <c r="J382" i="5"/>
  <c r="G382" i="5"/>
  <c r="I381" i="5"/>
  <c r="G657" i="11"/>
  <c r="J381" i="5"/>
  <c r="G381" i="5"/>
  <c r="I380" i="5"/>
  <c r="G656" i="11"/>
  <c r="J380" i="5"/>
  <c r="G380" i="5"/>
  <c r="I379" i="5"/>
  <c r="G655" i="11"/>
  <c r="J379" i="5"/>
  <c r="G379" i="5"/>
  <c r="I378" i="5"/>
  <c r="G654" i="11"/>
  <c r="G378" i="5"/>
  <c r="J378" i="5"/>
  <c r="I377" i="5"/>
  <c r="G653" i="11"/>
  <c r="J377" i="5"/>
  <c r="G377" i="5"/>
  <c r="I376" i="5"/>
  <c r="G652" i="11"/>
  <c r="G376" i="5"/>
  <c r="J376" i="5"/>
  <c r="I375" i="5"/>
  <c r="G651" i="11"/>
  <c r="G375" i="5"/>
  <c r="J375" i="5"/>
  <c r="I374" i="5"/>
  <c r="G650" i="11"/>
  <c r="G374" i="5"/>
  <c r="J374" i="5"/>
  <c r="I373" i="5"/>
  <c r="G649" i="11"/>
  <c r="J373" i="5"/>
  <c r="G373" i="5"/>
  <c r="I372" i="5"/>
  <c r="G648" i="11"/>
  <c r="J372" i="5"/>
  <c r="G372" i="5"/>
  <c r="I371" i="5"/>
  <c r="G647" i="11"/>
  <c r="J371" i="5"/>
  <c r="G371" i="5"/>
  <c r="I370" i="5"/>
  <c r="G646" i="11"/>
  <c r="J370" i="5"/>
  <c r="G370" i="5"/>
  <c r="I369" i="5"/>
  <c r="G645" i="11"/>
  <c r="G369" i="5"/>
  <c r="J369" i="5"/>
  <c r="I368" i="5"/>
  <c r="G644" i="11"/>
  <c r="J368" i="5"/>
  <c r="G368" i="5"/>
  <c r="I367" i="5"/>
  <c r="G643" i="11"/>
  <c r="J367" i="5"/>
  <c r="G367" i="5"/>
  <c r="I366" i="5"/>
  <c r="G642" i="11"/>
  <c r="J366" i="5"/>
  <c r="G366" i="5"/>
  <c r="I365" i="5"/>
  <c r="G641" i="11"/>
  <c r="J365" i="5"/>
  <c r="G365" i="5"/>
  <c r="I364" i="5"/>
  <c r="G640" i="11"/>
  <c r="G364" i="5"/>
  <c r="J364" i="5"/>
  <c r="I363" i="5"/>
  <c r="G639" i="11"/>
  <c r="G363" i="5"/>
  <c r="J363" i="5"/>
  <c r="I362" i="5"/>
  <c r="G407" i="11"/>
  <c r="G362" i="5"/>
  <c r="J362" i="5"/>
  <c r="I361" i="5"/>
  <c r="G406" i="11"/>
  <c r="J361" i="5"/>
  <c r="G361" i="5"/>
  <c r="I360" i="5"/>
  <c r="G405" i="11"/>
  <c r="J360" i="5"/>
  <c r="G360" i="5"/>
  <c r="I359" i="5"/>
  <c r="G404" i="11"/>
  <c r="J359" i="5"/>
  <c r="G359" i="5"/>
  <c r="I358" i="5"/>
  <c r="G403" i="11"/>
  <c r="J358" i="5"/>
  <c r="G358" i="5"/>
  <c r="I357" i="5"/>
  <c r="G402" i="11"/>
  <c r="J357" i="5"/>
  <c r="G357" i="5"/>
  <c r="I356" i="5"/>
  <c r="G401" i="11"/>
  <c r="J356" i="5"/>
  <c r="G356" i="5"/>
  <c r="I355" i="5"/>
  <c r="G400" i="11"/>
  <c r="J355" i="5"/>
  <c r="G355" i="5"/>
  <c r="I354" i="5"/>
  <c r="G399" i="11"/>
  <c r="G354" i="5"/>
  <c r="J354" i="5"/>
  <c r="I353" i="5"/>
  <c r="G398" i="11"/>
  <c r="I352" i="5"/>
  <c r="G397" i="11"/>
  <c r="G352" i="5"/>
  <c r="J352" i="5"/>
  <c r="I351" i="5"/>
  <c r="G396" i="11"/>
  <c r="J351" i="5"/>
  <c r="G351" i="5"/>
  <c r="I350" i="5"/>
  <c r="G395" i="11"/>
  <c r="G350" i="5"/>
  <c r="J350" i="5"/>
  <c r="I349" i="5"/>
  <c r="G394" i="11"/>
  <c r="G349" i="5"/>
  <c r="J349" i="5"/>
  <c r="I348" i="5"/>
  <c r="G393" i="11"/>
  <c r="J348" i="5"/>
  <c r="G348" i="5"/>
  <c r="I347" i="5"/>
  <c r="G392" i="11"/>
  <c r="J347" i="5"/>
  <c r="G347" i="5"/>
  <c r="I346" i="5"/>
  <c r="G389" i="11"/>
  <c r="G346" i="5"/>
  <c r="J346" i="5"/>
  <c r="I345" i="5"/>
  <c r="G388" i="11"/>
  <c r="J345" i="5"/>
  <c r="G345" i="5"/>
  <c r="I344" i="5"/>
  <c r="G387" i="11"/>
  <c r="G344" i="5"/>
  <c r="J344" i="5"/>
  <c r="I343" i="5"/>
  <c r="G386" i="11"/>
  <c r="J343" i="5"/>
  <c r="G343" i="5"/>
  <c r="I342" i="5"/>
  <c r="G385" i="11"/>
  <c r="J342" i="5"/>
  <c r="G342" i="5"/>
  <c r="I341" i="5"/>
  <c r="G384" i="11"/>
  <c r="J341" i="5"/>
  <c r="G341" i="5"/>
  <c r="I340" i="5"/>
  <c r="G383" i="11"/>
  <c r="J340" i="5"/>
  <c r="G340" i="5"/>
  <c r="G382" i="11"/>
  <c r="I339" i="5"/>
  <c r="G339" i="5"/>
  <c r="J339" i="5"/>
  <c r="I338" i="5"/>
  <c r="G381" i="11"/>
  <c r="G338" i="5"/>
  <c r="J338" i="5"/>
  <c r="I337" i="5"/>
  <c r="G380" i="11"/>
  <c r="G337" i="5"/>
  <c r="J337" i="5"/>
  <c r="G379" i="11"/>
  <c r="I336" i="5"/>
  <c r="G336" i="5"/>
  <c r="J336" i="5"/>
  <c r="I335" i="5"/>
  <c r="G378" i="11"/>
  <c r="J335" i="5"/>
  <c r="G335" i="5"/>
  <c r="G377" i="11"/>
  <c r="I334" i="5"/>
  <c r="G334" i="5"/>
  <c r="J334" i="5"/>
  <c r="I333" i="5"/>
  <c r="G376" i="11"/>
  <c r="J333" i="5"/>
  <c r="G333" i="5"/>
  <c r="G375" i="11"/>
  <c r="I332" i="5"/>
  <c r="G332" i="5"/>
  <c r="J332" i="5"/>
  <c r="G374" i="11"/>
  <c r="I331" i="5"/>
  <c r="G331" i="5"/>
  <c r="J331" i="5"/>
  <c r="G373" i="11"/>
  <c r="I330" i="5"/>
  <c r="G330" i="5"/>
  <c r="J330" i="5"/>
  <c r="G370" i="11"/>
  <c r="I329" i="5"/>
  <c r="J329" i="5"/>
  <c r="G329" i="5"/>
  <c r="I328" i="5"/>
  <c r="G369" i="11"/>
  <c r="J328" i="5"/>
  <c r="G328" i="5"/>
  <c r="I327" i="5"/>
  <c r="G368" i="11"/>
  <c r="G327" i="5"/>
  <c r="J327" i="5"/>
  <c r="I326" i="5"/>
  <c r="G367" i="11"/>
  <c r="J326" i="5"/>
  <c r="G326" i="5"/>
  <c r="I325" i="5"/>
  <c r="G366" i="11"/>
  <c r="J325" i="5"/>
  <c r="G325" i="5"/>
  <c r="G365" i="11"/>
  <c r="I324" i="5"/>
  <c r="G324" i="5"/>
  <c r="J324" i="5"/>
  <c r="I323" i="5"/>
  <c r="G364" i="11"/>
  <c r="J323" i="5"/>
  <c r="G323" i="5"/>
  <c r="G363" i="11"/>
  <c r="I322" i="5"/>
  <c r="J322" i="5"/>
  <c r="G322" i="5"/>
  <c r="I321" i="5"/>
  <c r="G362" i="11"/>
  <c r="J321" i="5"/>
  <c r="G321" i="5"/>
  <c r="G361" i="11"/>
  <c r="I320" i="5"/>
  <c r="G320" i="5"/>
  <c r="J320" i="5"/>
  <c r="I319" i="5"/>
  <c r="G360" i="11"/>
  <c r="J319" i="5"/>
  <c r="G319" i="5"/>
  <c r="G359" i="11"/>
  <c r="I318" i="5"/>
  <c r="J318" i="5"/>
  <c r="G318" i="5"/>
  <c r="I317" i="5"/>
  <c r="G358" i="11"/>
  <c r="G317" i="5"/>
  <c r="J317" i="5"/>
  <c r="G357" i="11"/>
  <c r="I316" i="5"/>
  <c r="J316" i="5"/>
  <c r="G316" i="5"/>
  <c r="G356" i="11"/>
  <c r="I315" i="5"/>
  <c r="G315" i="5"/>
  <c r="J315" i="5"/>
  <c r="I314" i="5"/>
  <c r="G355" i="11"/>
  <c r="G314" i="5"/>
  <c r="J314" i="5"/>
  <c r="G354" i="11"/>
  <c r="I313" i="5"/>
  <c r="J313" i="5"/>
  <c r="G313" i="5"/>
  <c r="I312" i="5"/>
  <c r="G353" i="11"/>
  <c r="J312" i="5"/>
  <c r="G312" i="5"/>
  <c r="G352" i="11"/>
  <c r="I311" i="5"/>
  <c r="G311" i="5"/>
  <c r="J311" i="5"/>
  <c r="G351" i="11"/>
  <c r="I310" i="5"/>
  <c r="G310" i="5"/>
  <c r="J310" i="5"/>
  <c r="I309" i="5"/>
  <c r="G350" i="11"/>
  <c r="G309" i="5"/>
  <c r="J309" i="5"/>
  <c r="I308" i="5"/>
  <c r="G349" i="11"/>
  <c r="G308" i="5"/>
  <c r="J308" i="5"/>
  <c r="I307" i="5"/>
  <c r="G348" i="11"/>
  <c r="J307" i="5"/>
  <c r="G307" i="5"/>
  <c r="G347" i="11"/>
  <c r="I306" i="5"/>
  <c r="G306" i="5"/>
  <c r="J306" i="5"/>
  <c r="I305" i="5"/>
  <c r="G346" i="11"/>
  <c r="G305" i="5"/>
  <c r="J305" i="5"/>
  <c r="I304" i="5"/>
  <c r="G345" i="11"/>
  <c r="J304" i="5"/>
  <c r="G304" i="5"/>
  <c r="I303" i="5"/>
  <c r="G344" i="11"/>
  <c r="J303" i="5"/>
  <c r="G303" i="5"/>
  <c r="G343" i="11"/>
  <c r="I302" i="5"/>
  <c r="J302" i="5"/>
  <c r="G302" i="5"/>
  <c r="I301" i="5"/>
  <c r="G188" i="11"/>
  <c r="J301" i="5"/>
  <c r="G301" i="5"/>
  <c r="I300" i="5"/>
  <c r="G187" i="11"/>
  <c r="G300" i="5"/>
  <c r="J300" i="5"/>
  <c r="I299" i="5"/>
  <c r="G186" i="11"/>
  <c r="J299" i="5"/>
  <c r="G299" i="5"/>
  <c r="G185" i="11"/>
  <c r="I298" i="5"/>
  <c r="J298" i="5"/>
  <c r="G298" i="5"/>
  <c r="I297" i="5"/>
  <c r="G184" i="11"/>
  <c r="G297" i="5"/>
  <c r="J297" i="5"/>
  <c r="I296" i="5"/>
  <c r="G181" i="11"/>
  <c r="G296" i="5"/>
  <c r="J296" i="5"/>
  <c r="I295" i="5"/>
  <c r="G180" i="11"/>
  <c r="J295" i="5"/>
  <c r="G295" i="5"/>
  <c r="I294" i="5"/>
  <c r="G179" i="11"/>
  <c r="G294" i="5"/>
  <c r="J294" i="5"/>
  <c r="G178" i="11"/>
  <c r="I293" i="5"/>
  <c r="J293" i="5"/>
  <c r="G293" i="5"/>
  <c r="G177" i="11"/>
  <c r="L177" i="11" s="1"/>
  <c r="I292" i="5"/>
  <c r="J292" i="5"/>
  <c r="G292" i="5"/>
  <c r="I291" i="5"/>
  <c r="G174" i="11"/>
  <c r="L174" i="11" s="1"/>
  <c r="G291" i="5"/>
  <c r="J291" i="5"/>
  <c r="I290" i="5"/>
  <c r="G173" i="11"/>
  <c r="L173" i="11" s="1"/>
  <c r="J290" i="5"/>
  <c r="G290" i="5"/>
  <c r="G172" i="11"/>
  <c r="L172" i="11" s="1"/>
  <c r="I289" i="5"/>
  <c r="G289" i="5"/>
  <c r="J289" i="5"/>
  <c r="I288" i="5"/>
  <c r="G171" i="11"/>
  <c r="L171" i="11" s="1"/>
  <c r="J288" i="5"/>
  <c r="G288" i="5"/>
  <c r="I287" i="5"/>
  <c r="G170" i="11"/>
  <c r="L170" i="11" s="1"/>
  <c r="G287" i="5"/>
  <c r="J287" i="5"/>
  <c r="I286" i="5"/>
  <c r="G167" i="11"/>
  <c r="L167" i="11" s="1"/>
  <c r="G286" i="5"/>
  <c r="J286" i="5"/>
  <c r="I285" i="5"/>
  <c r="G166" i="11"/>
  <c r="L166" i="11" s="1"/>
  <c r="J285" i="5"/>
  <c r="G285" i="5"/>
  <c r="G165" i="11"/>
  <c r="L165" i="11" s="1"/>
  <c r="I284" i="5"/>
  <c r="G284" i="5"/>
  <c r="J284" i="5"/>
  <c r="I283" i="5"/>
  <c r="G164" i="11"/>
  <c r="L164" i="11" s="1"/>
  <c r="G283" i="5"/>
  <c r="J283" i="5"/>
  <c r="I282" i="5"/>
  <c r="G163" i="11"/>
  <c r="L163" i="11" s="1"/>
  <c r="J282" i="5"/>
  <c r="G282" i="5"/>
  <c r="G160" i="11"/>
  <c r="L160" i="11" s="1"/>
  <c r="I281" i="5"/>
  <c r="G281" i="5"/>
  <c r="J281" i="5"/>
  <c r="G159" i="11"/>
  <c r="L159" i="11" s="1"/>
  <c r="I280" i="5"/>
  <c r="G280" i="5"/>
  <c r="J280" i="5"/>
  <c r="I279" i="5"/>
  <c r="G158" i="11"/>
  <c r="L158" i="11" s="1"/>
  <c r="G279" i="5"/>
  <c r="J279" i="5"/>
  <c r="G157" i="11"/>
  <c r="L157" i="11" s="1"/>
  <c r="I278" i="5"/>
  <c r="J278" i="5"/>
  <c r="G278" i="5"/>
  <c r="I277" i="5"/>
  <c r="G156" i="11"/>
  <c r="L156" i="11" s="1"/>
  <c r="G277" i="5"/>
  <c r="J277" i="5"/>
  <c r="I276" i="5"/>
  <c r="G153" i="11"/>
  <c r="L153" i="11" s="1"/>
  <c r="J276" i="5"/>
  <c r="G276" i="5"/>
  <c r="G152" i="11"/>
  <c r="L152" i="11" s="1"/>
  <c r="I275" i="5"/>
  <c r="J275" i="5"/>
  <c r="G275" i="5"/>
  <c r="G151" i="11"/>
  <c r="L151" i="11" s="1"/>
  <c r="I274" i="5"/>
  <c r="J274" i="5"/>
  <c r="G274" i="5"/>
  <c r="G150" i="11"/>
  <c r="L150" i="11" s="1"/>
  <c r="I273" i="5"/>
  <c r="J273" i="5"/>
  <c r="G273" i="5"/>
  <c r="G149" i="11"/>
  <c r="L149" i="11" s="1"/>
  <c r="I272" i="5"/>
  <c r="J272" i="5"/>
  <c r="G272" i="5"/>
  <c r="I271" i="5"/>
  <c r="G146" i="11"/>
  <c r="L146" i="11" s="1"/>
  <c r="J271" i="5"/>
  <c r="G271" i="5"/>
  <c r="G145" i="11"/>
  <c r="L145" i="11" s="1"/>
  <c r="I270" i="5"/>
  <c r="G270" i="5"/>
  <c r="J270" i="5"/>
  <c r="G144" i="11"/>
  <c r="L144" i="11" s="1"/>
  <c r="I269" i="5"/>
  <c r="J269" i="5"/>
  <c r="G269" i="5"/>
  <c r="I268" i="5"/>
  <c r="G143" i="11"/>
  <c r="L143" i="11" s="1"/>
  <c r="G268" i="5"/>
  <c r="J268" i="5"/>
  <c r="G142" i="11"/>
  <c r="L142" i="11" s="1"/>
  <c r="I267" i="5"/>
  <c r="G267" i="5"/>
  <c r="J267" i="5"/>
  <c r="G141" i="11"/>
  <c r="L141" i="11" s="1"/>
  <c r="I266" i="5"/>
  <c r="J266" i="5"/>
  <c r="G266" i="5"/>
  <c r="I265" i="5"/>
  <c r="G140" i="11"/>
  <c r="L140" i="11" s="1"/>
  <c r="J265" i="5"/>
  <c r="G265" i="5"/>
  <c r="G139" i="11"/>
  <c r="L139" i="11" s="1"/>
  <c r="I264" i="5"/>
  <c r="J264" i="5"/>
  <c r="G264" i="5"/>
  <c r="G138" i="11"/>
  <c r="L138" i="11" s="1"/>
  <c r="I263" i="5"/>
  <c r="J263" i="5"/>
  <c r="G263" i="5"/>
  <c r="I262" i="5"/>
  <c r="G137" i="11"/>
  <c r="L137" i="11" s="1"/>
  <c r="G262" i="5"/>
  <c r="J262" i="5"/>
  <c r="G136" i="11"/>
  <c r="L136" i="11" s="1"/>
  <c r="I261" i="5"/>
  <c r="G261" i="5"/>
  <c r="J261" i="5"/>
  <c r="G135" i="11"/>
  <c r="L135" i="11" s="1"/>
  <c r="I260" i="5"/>
  <c r="G260" i="5"/>
  <c r="J260" i="5"/>
  <c r="G134" i="11"/>
  <c r="L134" i="11" s="1"/>
  <c r="I259" i="5"/>
  <c r="G259" i="5"/>
  <c r="J259" i="5"/>
  <c r="I258" i="5"/>
  <c r="G133" i="11"/>
  <c r="L133" i="11" s="1"/>
  <c r="J258" i="5"/>
  <c r="G258" i="5"/>
  <c r="I257" i="5"/>
  <c r="G132" i="11"/>
  <c r="L132" i="11" s="1"/>
  <c r="J257" i="5"/>
  <c r="G257" i="5"/>
  <c r="I256" i="5"/>
  <c r="G131" i="11"/>
  <c r="L131" i="11" s="1"/>
  <c r="G256" i="5"/>
  <c r="J256" i="5"/>
  <c r="I255" i="5"/>
  <c r="G130" i="11"/>
  <c r="L130" i="11" s="1"/>
  <c r="G255" i="5"/>
  <c r="J255" i="5"/>
  <c r="G129" i="11"/>
  <c r="L129" i="11" s="1"/>
  <c r="I254" i="5"/>
  <c r="G254" i="5"/>
  <c r="J254" i="5"/>
  <c r="G128" i="11"/>
  <c r="L128" i="11" s="1"/>
  <c r="I253" i="5"/>
  <c r="J253" i="5"/>
  <c r="G253" i="5"/>
  <c r="I252" i="5"/>
  <c r="G127" i="11"/>
  <c r="L127" i="11" s="1"/>
  <c r="G252" i="5"/>
  <c r="J252" i="5"/>
  <c r="G126" i="11"/>
  <c r="L126" i="11" s="1"/>
  <c r="I251" i="5"/>
  <c r="J251" i="5"/>
  <c r="G251" i="5"/>
  <c r="I250" i="5"/>
  <c r="G125" i="11"/>
  <c r="L125" i="11" s="1"/>
  <c r="G250" i="5"/>
  <c r="J250" i="5"/>
  <c r="I249" i="5"/>
  <c r="G124" i="11"/>
  <c r="L124" i="11" s="1"/>
  <c r="J249" i="5"/>
  <c r="G249" i="5"/>
  <c r="I248" i="5"/>
  <c r="G123" i="11"/>
  <c r="L123" i="11" s="1"/>
  <c r="J248" i="5"/>
  <c r="G248" i="5"/>
  <c r="G122" i="11"/>
  <c r="L122" i="11" s="1"/>
  <c r="I247" i="5"/>
  <c r="G247" i="5"/>
  <c r="J247" i="5"/>
  <c r="G121" i="11"/>
  <c r="L121" i="11" s="1"/>
  <c r="I246" i="5"/>
  <c r="G246" i="5"/>
  <c r="J246" i="5"/>
  <c r="G120" i="11"/>
  <c r="L120" i="11" s="1"/>
  <c r="I245" i="5"/>
  <c r="G245" i="5"/>
  <c r="J245" i="5"/>
  <c r="I244" i="5"/>
  <c r="G119" i="11"/>
  <c r="L119" i="11" s="1"/>
  <c r="G244" i="5"/>
  <c r="J244" i="5"/>
  <c r="G118" i="11"/>
  <c r="L118" i="11" s="1"/>
  <c r="I243" i="5"/>
  <c r="J243" i="5"/>
  <c r="G243" i="5"/>
  <c r="I242" i="5"/>
  <c r="G117" i="11"/>
  <c r="L117" i="11" s="1"/>
  <c r="G242" i="5"/>
  <c r="J242" i="5"/>
  <c r="G278" i="11"/>
  <c r="I241" i="5"/>
  <c r="J241" i="5"/>
  <c r="G241" i="5"/>
  <c r="G277" i="11"/>
  <c r="I240" i="5"/>
  <c r="J240" i="5"/>
  <c r="G240" i="5"/>
  <c r="I239" i="5"/>
  <c r="G276" i="11"/>
  <c r="J239" i="5"/>
  <c r="G239" i="5"/>
  <c r="I238" i="5"/>
  <c r="G275" i="11"/>
  <c r="J238" i="5"/>
  <c r="G238" i="5"/>
  <c r="G274" i="11"/>
  <c r="I237" i="5"/>
  <c r="G237" i="5"/>
  <c r="J237" i="5"/>
  <c r="G273" i="11"/>
  <c r="I236" i="5"/>
  <c r="J236" i="5"/>
  <c r="G236" i="5"/>
  <c r="I235" i="5"/>
  <c r="G272" i="11"/>
  <c r="J235" i="5"/>
  <c r="G235" i="5"/>
  <c r="I234" i="5"/>
  <c r="G271" i="11"/>
  <c r="G234" i="5"/>
  <c r="J234" i="5"/>
  <c r="G270" i="11"/>
  <c r="I233" i="5"/>
  <c r="J233" i="5"/>
  <c r="G233" i="5"/>
  <c r="I232" i="5"/>
  <c r="G269" i="11"/>
  <c r="J232" i="5"/>
  <c r="G232" i="5"/>
  <c r="G268" i="11"/>
  <c r="I231" i="5"/>
  <c r="J231" i="5"/>
  <c r="G231" i="5"/>
  <c r="G267" i="11"/>
  <c r="I230" i="5"/>
  <c r="J230" i="5"/>
  <c r="G230" i="5"/>
  <c r="G266" i="11"/>
  <c r="I229" i="5"/>
  <c r="G229" i="5"/>
  <c r="J229" i="5"/>
  <c r="I228" i="5"/>
  <c r="G265" i="11"/>
  <c r="J228" i="5"/>
  <c r="G228" i="5"/>
  <c r="I227" i="5"/>
  <c r="G264" i="11"/>
  <c r="G227" i="5"/>
  <c r="J227" i="5"/>
  <c r="I226" i="5"/>
  <c r="G263" i="11"/>
  <c r="G226" i="5"/>
  <c r="J226" i="5"/>
  <c r="G262" i="11"/>
  <c r="I225" i="5"/>
  <c r="J225" i="5"/>
  <c r="G225" i="5"/>
  <c r="I224" i="5"/>
  <c r="G261" i="11"/>
  <c r="J224" i="5"/>
  <c r="G224" i="5"/>
  <c r="I223" i="5"/>
  <c r="G260" i="11"/>
  <c r="J223" i="5"/>
  <c r="G223" i="5"/>
  <c r="G259" i="11"/>
  <c r="I222" i="5"/>
  <c r="G222" i="5"/>
  <c r="J222" i="5"/>
  <c r="G258" i="11"/>
  <c r="I221" i="5"/>
  <c r="J221" i="5"/>
  <c r="G221" i="5"/>
  <c r="I220" i="5"/>
  <c r="G257" i="11"/>
  <c r="J220" i="5"/>
  <c r="G220" i="5"/>
  <c r="G256" i="11"/>
  <c r="I219" i="5"/>
  <c r="J219" i="5"/>
  <c r="G219" i="5"/>
  <c r="I218" i="5"/>
  <c r="G255" i="11"/>
  <c r="J218" i="5"/>
  <c r="G218" i="5"/>
  <c r="G254" i="11"/>
  <c r="I217" i="5"/>
  <c r="G217" i="5"/>
  <c r="J217" i="5"/>
  <c r="I216" i="5"/>
  <c r="G253" i="11"/>
  <c r="J216" i="5"/>
  <c r="G216" i="5"/>
  <c r="G252" i="11"/>
  <c r="I215" i="5"/>
  <c r="J215" i="5"/>
  <c r="G215" i="5"/>
  <c r="I214" i="5"/>
  <c r="G251" i="11"/>
  <c r="J214" i="5"/>
  <c r="G214" i="5"/>
  <c r="I213" i="5"/>
  <c r="G250" i="11"/>
  <c r="J213" i="5"/>
  <c r="G213" i="5"/>
  <c r="G249" i="11"/>
  <c r="I212" i="5"/>
  <c r="J212" i="5"/>
  <c r="G212" i="5"/>
  <c r="I211" i="5"/>
  <c r="G248" i="11"/>
  <c r="G211" i="5"/>
  <c r="J211" i="5"/>
  <c r="I210" i="5"/>
  <c r="G247" i="11"/>
  <c r="G210" i="5"/>
  <c r="J210" i="5"/>
  <c r="G246" i="11"/>
  <c r="I209" i="5"/>
  <c r="G209" i="5"/>
  <c r="J209" i="5"/>
  <c r="I208" i="5"/>
  <c r="G245" i="11"/>
  <c r="I207" i="5"/>
  <c r="G244" i="11"/>
  <c r="J207" i="5"/>
  <c r="G207" i="5"/>
  <c r="I206" i="5"/>
  <c r="G243" i="11"/>
  <c r="G206" i="5"/>
  <c r="J206" i="5"/>
  <c r="I205" i="5"/>
  <c r="G242" i="11"/>
  <c r="J205" i="5"/>
  <c r="G205" i="5"/>
  <c r="I204" i="5"/>
  <c r="G241" i="11"/>
  <c r="J204" i="5"/>
  <c r="G204" i="5"/>
  <c r="I203" i="5"/>
  <c r="G240" i="11"/>
  <c r="G203" i="5"/>
  <c r="J203" i="5"/>
  <c r="I202" i="5"/>
  <c r="G239" i="11"/>
  <c r="J202" i="5"/>
  <c r="G202" i="5"/>
  <c r="I201" i="5"/>
  <c r="G238" i="11"/>
  <c r="J201" i="5"/>
  <c r="G201" i="5"/>
  <c r="I200" i="5"/>
  <c r="G237" i="11"/>
  <c r="J200" i="5"/>
  <c r="G200" i="5"/>
  <c r="I199" i="5"/>
  <c r="G236" i="11"/>
  <c r="G199" i="5"/>
  <c r="J199" i="5"/>
  <c r="I198" i="5"/>
  <c r="G235" i="11"/>
  <c r="J198" i="5"/>
  <c r="G198" i="5"/>
  <c r="I197" i="5"/>
  <c r="G234" i="11"/>
  <c r="G197" i="5"/>
  <c r="J197" i="5"/>
  <c r="I196" i="5"/>
  <c r="G233" i="11"/>
  <c r="G196" i="5"/>
  <c r="J196" i="5"/>
  <c r="I195" i="5"/>
  <c r="G232" i="11"/>
  <c r="G195" i="5"/>
  <c r="J195" i="5"/>
  <c r="I194" i="5"/>
  <c r="G231" i="11"/>
  <c r="G194" i="5"/>
  <c r="J194" i="5"/>
  <c r="I193" i="5"/>
  <c r="G230" i="11"/>
  <c r="G193" i="5"/>
  <c r="J193" i="5"/>
  <c r="I192" i="5"/>
  <c r="G229" i="11"/>
  <c r="G192" i="5"/>
  <c r="J192" i="5"/>
  <c r="I191" i="5"/>
  <c r="G228" i="11"/>
  <c r="G191" i="5"/>
  <c r="J191" i="5"/>
  <c r="I190" i="5"/>
  <c r="G227" i="11"/>
  <c r="G190" i="5"/>
  <c r="J190" i="5"/>
  <c r="I189" i="5"/>
  <c r="G226" i="11"/>
  <c r="J189" i="5"/>
  <c r="G189" i="5"/>
  <c r="I188" i="5"/>
  <c r="G225" i="11"/>
  <c r="G188" i="5"/>
  <c r="J188" i="5"/>
  <c r="I187" i="5"/>
  <c r="G340" i="11"/>
  <c r="G187" i="5"/>
  <c r="J187" i="5"/>
  <c r="I186" i="5"/>
  <c r="G339" i="11"/>
  <c r="J186" i="5"/>
  <c r="G186" i="5"/>
  <c r="I185" i="5"/>
  <c r="G338" i="11"/>
  <c r="G185" i="5"/>
  <c r="J185" i="5"/>
  <c r="I184" i="5"/>
  <c r="G337" i="11"/>
  <c r="J184" i="5"/>
  <c r="G184" i="5"/>
  <c r="I183" i="5"/>
  <c r="G336" i="11"/>
  <c r="J183" i="5"/>
  <c r="G183" i="5"/>
  <c r="I182" i="5"/>
  <c r="G335" i="11"/>
  <c r="G182" i="5"/>
  <c r="J182" i="5"/>
  <c r="I181" i="5"/>
  <c r="G334" i="11"/>
  <c r="J181" i="5"/>
  <c r="G181" i="5"/>
  <c r="I180" i="5"/>
  <c r="G333" i="11"/>
  <c r="J180" i="5"/>
  <c r="G180" i="5"/>
  <c r="I179" i="5"/>
  <c r="G332" i="11"/>
  <c r="J179" i="5"/>
  <c r="G179" i="5"/>
  <c r="I178" i="5"/>
  <c r="G331" i="11"/>
  <c r="G178" i="5"/>
  <c r="J178" i="5"/>
  <c r="I177" i="5"/>
  <c r="G330" i="11"/>
  <c r="G177" i="5"/>
  <c r="J177" i="5"/>
  <c r="I176" i="5"/>
  <c r="G329" i="11"/>
  <c r="G176" i="5"/>
  <c r="J176" i="5"/>
  <c r="I175" i="5"/>
  <c r="G328" i="11"/>
  <c r="G175" i="5"/>
  <c r="J175" i="5"/>
  <c r="I174" i="5"/>
  <c r="G327" i="11"/>
  <c r="G174" i="5"/>
  <c r="J174" i="5"/>
  <c r="I173" i="5"/>
  <c r="G326" i="11"/>
  <c r="J173" i="5"/>
  <c r="G173" i="5"/>
  <c r="I172" i="5"/>
  <c r="G325" i="11"/>
  <c r="G172" i="5"/>
  <c r="J172" i="5"/>
  <c r="I171" i="5"/>
  <c r="G324" i="11"/>
  <c r="G171" i="5"/>
  <c r="J171" i="5"/>
  <c r="I170" i="5"/>
  <c r="G323" i="11"/>
  <c r="J170" i="5"/>
  <c r="G170" i="5"/>
  <c r="I169" i="5"/>
  <c r="G322" i="11"/>
  <c r="G169" i="5"/>
  <c r="J169" i="5"/>
  <c r="I168" i="5"/>
  <c r="G321" i="11"/>
  <c r="J168" i="5"/>
  <c r="G168" i="5"/>
  <c r="I167" i="5"/>
  <c r="G320" i="11"/>
  <c r="J167" i="5"/>
  <c r="G167" i="5"/>
  <c r="I166" i="5"/>
  <c r="G319" i="11"/>
  <c r="J166" i="5"/>
  <c r="G166" i="5"/>
  <c r="I165" i="5"/>
  <c r="G318" i="11"/>
  <c r="G165" i="5"/>
  <c r="J165" i="5"/>
  <c r="I164" i="5"/>
  <c r="G317" i="11"/>
  <c r="G164" i="5"/>
  <c r="J164" i="5"/>
  <c r="I163" i="5"/>
  <c r="G316" i="11"/>
  <c r="G163" i="5"/>
  <c r="J163" i="5"/>
  <c r="I162" i="5"/>
  <c r="G315" i="11"/>
  <c r="J162" i="5"/>
  <c r="G162" i="5"/>
  <c r="I161" i="5"/>
  <c r="G314" i="11"/>
  <c r="G161" i="5"/>
  <c r="J161" i="5"/>
  <c r="I160" i="5"/>
  <c r="G313" i="11"/>
  <c r="G160" i="5"/>
  <c r="J160" i="5"/>
  <c r="I159" i="5"/>
  <c r="G312" i="11"/>
  <c r="J159" i="5"/>
  <c r="G159" i="5"/>
  <c r="I158" i="5"/>
  <c r="G311" i="11"/>
  <c r="G158" i="5"/>
  <c r="J158" i="5"/>
  <c r="I157" i="5"/>
  <c r="G310" i="11"/>
  <c r="J157" i="5"/>
  <c r="G157" i="5"/>
  <c r="I156" i="5"/>
  <c r="G309" i="11"/>
  <c r="G156" i="5"/>
  <c r="J156" i="5"/>
  <c r="I155" i="5"/>
  <c r="G308" i="11"/>
  <c r="J155" i="5"/>
  <c r="G155" i="5"/>
  <c r="I154" i="5"/>
  <c r="G307" i="11"/>
  <c r="G154" i="5"/>
  <c r="J154" i="5"/>
  <c r="I153" i="5"/>
  <c r="G306" i="11"/>
  <c r="J153" i="5"/>
  <c r="G153" i="5"/>
  <c r="I152" i="5"/>
  <c r="G305" i="11"/>
  <c r="G152" i="5"/>
  <c r="J152" i="5"/>
  <c r="I151" i="5"/>
  <c r="G304" i="11"/>
  <c r="J151" i="5"/>
  <c r="G151" i="5"/>
  <c r="I150" i="5"/>
  <c r="G303" i="11"/>
  <c r="G150" i="5"/>
  <c r="J150" i="5"/>
  <c r="I149" i="5"/>
  <c r="G302" i="11"/>
  <c r="G149" i="5"/>
  <c r="J149" i="5"/>
  <c r="I148" i="5"/>
  <c r="G301" i="11"/>
  <c r="G148" i="5"/>
  <c r="J148" i="5"/>
  <c r="I147" i="5"/>
  <c r="G300" i="11"/>
  <c r="J147" i="5"/>
  <c r="G147" i="5"/>
  <c r="I146" i="5"/>
  <c r="G299" i="11"/>
  <c r="G146" i="5"/>
  <c r="J146" i="5"/>
  <c r="I145" i="5"/>
  <c r="G298" i="11"/>
  <c r="G145" i="5"/>
  <c r="J145" i="5"/>
  <c r="I144" i="5"/>
  <c r="G297" i="11"/>
  <c r="J144" i="5"/>
  <c r="G144" i="5"/>
  <c r="I143" i="5"/>
  <c r="G296" i="11"/>
  <c r="G143" i="5"/>
  <c r="J143" i="5"/>
  <c r="I142" i="5"/>
  <c r="G295" i="11"/>
  <c r="J142" i="5"/>
  <c r="G142" i="5"/>
  <c r="I141" i="5"/>
  <c r="G294" i="11"/>
  <c r="J141" i="5"/>
  <c r="G141" i="5"/>
  <c r="I140" i="5"/>
  <c r="G293" i="11"/>
  <c r="J140" i="5"/>
  <c r="G140" i="5"/>
  <c r="I139" i="5"/>
  <c r="G292" i="11"/>
  <c r="G139" i="5"/>
  <c r="J139" i="5"/>
  <c r="I138" i="5"/>
  <c r="G291" i="11"/>
  <c r="G138" i="5"/>
  <c r="J138" i="5"/>
  <c r="I137" i="5"/>
  <c r="G290" i="11"/>
  <c r="J137" i="5"/>
  <c r="G137" i="5"/>
  <c r="I136" i="5"/>
  <c r="G289" i="11"/>
  <c r="G136" i="5"/>
  <c r="J136" i="5"/>
  <c r="I135" i="5"/>
  <c r="G288" i="11"/>
  <c r="G135" i="5"/>
  <c r="J135" i="5"/>
  <c r="I134" i="5"/>
  <c r="G287" i="11"/>
  <c r="J134" i="5"/>
  <c r="G134" i="5"/>
  <c r="I133" i="5"/>
  <c r="G286" i="11"/>
  <c r="J133" i="5"/>
  <c r="G133" i="5"/>
  <c r="I132" i="5"/>
  <c r="G285" i="11"/>
  <c r="J132" i="5"/>
  <c r="G132" i="5"/>
  <c r="I131" i="5"/>
  <c r="G284" i="11"/>
  <c r="J131" i="5"/>
  <c r="G131" i="5"/>
  <c r="I130" i="5"/>
  <c r="G283" i="11"/>
  <c r="J130" i="5"/>
  <c r="G130" i="5"/>
  <c r="I129" i="5"/>
  <c r="G282" i="11"/>
  <c r="J129" i="5"/>
  <c r="G129" i="5"/>
  <c r="I128" i="5"/>
  <c r="G281" i="11"/>
  <c r="J128" i="5"/>
  <c r="G128" i="5"/>
  <c r="I127" i="5"/>
  <c r="G222" i="11"/>
  <c r="J127" i="5"/>
  <c r="G127" i="5"/>
  <c r="I126" i="5"/>
  <c r="G221" i="11"/>
  <c r="J126" i="5"/>
  <c r="G126" i="5"/>
  <c r="I125" i="5"/>
  <c r="G220" i="11"/>
  <c r="J125" i="5"/>
  <c r="G125" i="5"/>
  <c r="I124" i="5"/>
  <c r="G219" i="11"/>
  <c r="J124" i="5"/>
  <c r="G124" i="5"/>
  <c r="I123" i="5"/>
  <c r="G218" i="11"/>
  <c r="J123" i="5"/>
  <c r="G123" i="5"/>
  <c r="I122" i="5"/>
  <c r="G217" i="11"/>
  <c r="J122" i="5"/>
  <c r="G122" i="5"/>
  <c r="I121" i="5"/>
  <c r="G216" i="11"/>
  <c r="J121" i="5"/>
  <c r="G121" i="5"/>
  <c r="I120" i="5"/>
  <c r="G215" i="11"/>
  <c r="J120" i="5"/>
  <c r="G120" i="5"/>
  <c r="I119" i="5"/>
  <c r="G214" i="11"/>
  <c r="J119" i="5"/>
  <c r="G119" i="5"/>
  <c r="I118" i="5"/>
  <c r="G213" i="11"/>
  <c r="J118" i="5"/>
  <c r="G118" i="5"/>
  <c r="I117" i="5"/>
  <c r="G212" i="11"/>
  <c r="J117" i="5"/>
  <c r="G117" i="5"/>
  <c r="I116" i="5"/>
  <c r="G211" i="11"/>
  <c r="J116" i="5"/>
  <c r="G116" i="5"/>
  <c r="I115" i="5"/>
  <c r="G210" i="11"/>
  <c r="J115" i="5"/>
  <c r="G115" i="5"/>
  <c r="I114" i="5"/>
  <c r="G209" i="11"/>
  <c r="J114" i="5"/>
  <c r="G114" i="5"/>
  <c r="I113" i="5"/>
  <c r="G208" i="11"/>
  <c r="J113" i="5"/>
  <c r="G113" i="5"/>
  <c r="I112" i="5"/>
  <c r="G205" i="11"/>
  <c r="J112" i="5"/>
  <c r="G112" i="5"/>
  <c r="I111" i="5"/>
  <c r="G204" i="11"/>
  <c r="J111" i="5"/>
  <c r="G111" i="5"/>
  <c r="I110" i="5"/>
  <c r="G203" i="11"/>
  <c r="J110" i="5"/>
  <c r="G110" i="5"/>
  <c r="I109" i="5"/>
  <c r="G202" i="11"/>
  <c r="J109" i="5"/>
  <c r="G109" i="5"/>
  <c r="I108" i="5"/>
  <c r="G201" i="11"/>
  <c r="J108" i="5"/>
  <c r="G108" i="5"/>
  <c r="I107" i="5"/>
  <c r="G200" i="11"/>
  <c r="J107" i="5"/>
  <c r="G107" i="5"/>
  <c r="I106" i="5"/>
  <c r="G199" i="11"/>
  <c r="J106" i="5"/>
  <c r="G106" i="5"/>
  <c r="I105" i="5"/>
  <c r="G198" i="11"/>
  <c r="G105" i="5"/>
  <c r="J105" i="5"/>
  <c r="I104" i="5"/>
  <c r="G197" i="11"/>
  <c r="G104" i="5"/>
  <c r="J104" i="5"/>
  <c r="I103" i="5"/>
  <c r="G196" i="11"/>
  <c r="G103" i="5"/>
  <c r="J103" i="5"/>
  <c r="I102" i="5"/>
  <c r="G195" i="11"/>
  <c r="J102" i="5"/>
  <c r="G102" i="5"/>
  <c r="I101" i="5"/>
  <c r="G194" i="11"/>
  <c r="G101" i="5"/>
  <c r="J101" i="5"/>
  <c r="I100" i="5"/>
  <c r="G193" i="11"/>
  <c r="G100" i="5"/>
  <c r="J100" i="5"/>
  <c r="I99" i="5"/>
  <c r="G192" i="11"/>
  <c r="G99" i="5"/>
  <c r="J99" i="5"/>
  <c r="I98" i="5"/>
  <c r="G191" i="11"/>
  <c r="G98" i="5"/>
  <c r="J98" i="5"/>
  <c r="I97" i="5"/>
  <c r="G114" i="11"/>
  <c r="G97" i="5"/>
  <c r="J97" i="5"/>
  <c r="I96" i="5"/>
  <c r="G113" i="11"/>
  <c r="J96" i="5"/>
  <c r="G96" i="5"/>
  <c r="I95" i="5"/>
  <c r="G112" i="11"/>
  <c r="J95" i="5"/>
  <c r="G95" i="5"/>
  <c r="I94" i="5"/>
  <c r="G111" i="11"/>
  <c r="J94" i="5"/>
  <c r="G94" i="5"/>
  <c r="I93" i="5"/>
  <c r="G110" i="11"/>
  <c r="G93" i="5"/>
  <c r="J93" i="5"/>
  <c r="I92" i="5"/>
  <c r="G107" i="11"/>
  <c r="G92" i="5"/>
  <c r="J92" i="5"/>
  <c r="I91" i="5"/>
  <c r="G106" i="11"/>
  <c r="G91" i="5"/>
  <c r="J91" i="5"/>
  <c r="I90" i="5"/>
  <c r="G105" i="11"/>
  <c r="J90" i="5"/>
  <c r="G90" i="5"/>
  <c r="I89" i="5"/>
  <c r="G104" i="11"/>
  <c r="J89" i="5"/>
  <c r="G89" i="5"/>
  <c r="I88" i="5"/>
  <c r="G103" i="11"/>
  <c r="G88" i="5"/>
  <c r="J88" i="5"/>
  <c r="I87" i="5"/>
  <c r="G100" i="11"/>
  <c r="G87" i="5"/>
  <c r="J87" i="5"/>
  <c r="G99" i="11"/>
  <c r="I86" i="5"/>
  <c r="J86" i="5"/>
  <c r="G86" i="5"/>
  <c r="G98" i="11"/>
  <c r="I85" i="5"/>
  <c r="G85" i="5"/>
  <c r="J85" i="5"/>
  <c r="G97" i="11"/>
  <c r="I84" i="5"/>
  <c r="G84" i="5"/>
  <c r="J84" i="5"/>
  <c r="G96" i="11"/>
  <c r="I83" i="5"/>
  <c r="G83" i="5"/>
  <c r="J83" i="5"/>
  <c r="I82" i="5"/>
  <c r="G93" i="11"/>
  <c r="J82" i="5"/>
  <c r="G82" i="5"/>
  <c r="I81" i="5"/>
  <c r="G92" i="11"/>
  <c r="J81" i="5"/>
  <c r="G81" i="5"/>
  <c r="I80" i="5"/>
  <c r="G91" i="11"/>
  <c r="G80" i="5"/>
  <c r="J80" i="5"/>
  <c r="I79" i="5"/>
  <c r="G90" i="11"/>
  <c r="J79" i="5"/>
  <c r="G79" i="5"/>
  <c r="I78" i="5"/>
  <c r="G89" i="11"/>
  <c r="J78" i="5"/>
  <c r="G78" i="5"/>
  <c r="I77" i="5"/>
  <c r="G86" i="11"/>
  <c r="G77" i="5"/>
  <c r="J77" i="5"/>
  <c r="I76" i="5"/>
  <c r="G85" i="11"/>
  <c r="J76" i="5"/>
  <c r="G76" i="5"/>
  <c r="I75" i="5"/>
  <c r="G84" i="11"/>
  <c r="J75" i="5"/>
  <c r="G75" i="5"/>
  <c r="I74" i="5"/>
  <c r="G83" i="11"/>
  <c r="J74" i="5"/>
  <c r="G74" i="5"/>
  <c r="I73" i="5"/>
  <c r="G82" i="11"/>
  <c r="G73" i="5"/>
  <c r="J73" i="5"/>
  <c r="I72" i="5"/>
  <c r="G79" i="11"/>
  <c r="G72" i="5"/>
  <c r="J72" i="5"/>
  <c r="I71" i="5"/>
  <c r="G78" i="11"/>
  <c r="J71" i="5"/>
  <c r="G71" i="5"/>
  <c r="I70" i="5"/>
  <c r="G77" i="11"/>
  <c r="J70" i="5"/>
  <c r="G70" i="5"/>
  <c r="I69" i="5"/>
  <c r="G76" i="11"/>
  <c r="J69" i="5"/>
  <c r="G69" i="5"/>
  <c r="G75" i="11"/>
  <c r="I68" i="5"/>
  <c r="G68" i="5"/>
  <c r="J68" i="5"/>
  <c r="I67" i="5"/>
  <c r="G72" i="11"/>
  <c r="G67" i="5"/>
  <c r="J67" i="5"/>
  <c r="G71" i="11"/>
  <c r="I66" i="5"/>
  <c r="G66" i="5"/>
  <c r="J66" i="5"/>
  <c r="I65" i="5"/>
  <c r="G70" i="11"/>
  <c r="J65" i="5"/>
  <c r="G65" i="5"/>
  <c r="I64" i="5"/>
  <c r="G69" i="11"/>
  <c r="J64" i="5"/>
  <c r="G64" i="5"/>
  <c r="I63" i="5"/>
  <c r="G68" i="11"/>
  <c r="G63" i="5"/>
  <c r="J63" i="5"/>
  <c r="I62" i="5"/>
  <c r="G67" i="11"/>
  <c r="G62" i="5"/>
  <c r="J62" i="5"/>
  <c r="I61" i="5"/>
  <c r="G66" i="11"/>
  <c r="G61" i="5"/>
  <c r="J61" i="5"/>
  <c r="I60" i="5"/>
  <c r="G65" i="11"/>
  <c r="J60" i="5"/>
  <c r="G60" i="5"/>
  <c r="I59" i="5"/>
  <c r="G64" i="11"/>
  <c r="J59" i="5"/>
  <c r="G59" i="5"/>
  <c r="I58" i="5"/>
  <c r="G63" i="11"/>
  <c r="G58" i="5"/>
  <c r="J58" i="5"/>
  <c r="I57" i="5"/>
  <c r="G62" i="11"/>
  <c r="G57" i="5"/>
  <c r="J57" i="5"/>
  <c r="I56" i="5"/>
  <c r="G61" i="11"/>
  <c r="J56" i="5"/>
  <c r="G56" i="5"/>
  <c r="I55" i="5"/>
  <c r="G60" i="11"/>
  <c r="G55" i="5"/>
  <c r="J55" i="5"/>
  <c r="I54" i="5"/>
  <c r="G59" i="11"/>
  <c r="J54" i="5"/>
  <c r="G54" i="5"/>
  <c r="I53" i="5"/>
  <c r="G58" i="11"/>
  <c r="J53" i="5"/>
  <c r="G53" i="5"/>
  <c r="G55" i="11"/>
  <c r="I52" i="5"/>
  <c r="G52" i="5"/>
  <c r="J52" i="5"/>
  <c r="I51" i="5"/>
  <c r="G54" i="11"/>
  <c r="J51" i="5"/>
  <c r="G51" i="5"/>
  <c r="I50" i="5"/>
  <c r="G53" i="11"/>
  <c r="J50" i="5"/>
  <c r="G50" i="5"/>
  <c r="I49" i="5"/>
  <c r="G52" i="11"/>
  <c r="J49" i="5"/>
  <c r="G49" i="5"/>
  <c r="I48" i="5"/>
  <c r="G51" i="11"/>
  <c r="J48" i="5"/>
  <c r="G48" i="5"/>
  <c r="I47" i="5"/>
  <c r="G50" i="11"/>
  <c r="J47" i="5"/>
  <c r="G47" i="5"/>
  <c r="I46" i="5"/>
  <c r="G49" i="11"/>
  <c r="J46" i="5"/>
  <c r="G46" i="5"/>
  <c r="I45" i="5"/>
  <c r="G48" i="11"/>
  <c r="G45" i="5"/>
  <c r="J45" i="5"/>
  <c r="I44" i="5"/>
  <c r="G47" i="11"/>
  <c r="G44" i="5"/>
  <c r="J44" i="5"/>
  <c r="I43" i="5"/>
  <c r="G46" i="11"/>
  <c r="G43" i="5"/>
  <c r="J43" i="5"/>
  <c r="I42" i="5"/>
  <c r="G45" i="11"/>
  <c r="G42" i="5"/>
  <c r="J42" i="5"/>
  <c r="G44" i="11"/>
  <c r="I41" i="5"/>
  <c r="J41" i="5"/>
  <c r="G41" i="5"/>
  <c r="G43" i="11"/>
  <c r="I40" i="5"/>
  <c r="G40" i="5"/>
  <c r="J40" i="5"/>
  <c r="I39" i="5"/>
  <c r="G42" i="11"/>
  <c r="G39" i="5"/>
  <c r="J39" i="5"/>
  <c r="G41" i="11"/>
  <c r="I38" i="5"/>
  <c r="J38" i="5"/>
  <c r="G38" i="5"/>
  <c r="G38" i="11"/>
  <c r="I37" i="5"/>
  <c r="J37" i="5"/>
  <c r="G37" i="5"/>
  <c r="I36" i="5"/>
  <c r="G37" i="11"/>
  <c r="G36" i="5"/>
  <c r="J36" i="5"/>
  <c r="I35" i="5"/>
  <c r="G36" i="11"/>
  <c r="J35" i="5"/>
  <c r="G35" i="5"/>
  <c r="I34" i="5"/>
  <c r="G35" i="11"/>
  <c r="J34" i="5"/>
  <c r="G34" i="5"/>
  <c r="I33" i="5"/>
  <c r="G34" i="11"/>
  <c r="J33" i="5"/>
  <c r="G33" i="5"/>
  <c r="I32" i="5"/>
  <c r="G33" i="11"/>
  <c r="G32" i="5"/>
  <c r="J32" i="5"/>
  <c r="I31" i="5"/>
  <c r="G32" i="11"/>
  <c r="J31" i="5"/>
  <c r="G31" i="5"/>
  <c r="I30" i="5"/>
  <c r="G31" i="11"/>
  <c r="G30" i="5"/>
  <c r="J30" i="5"/>
  <c r="I29" i="5"/>
  <c r="G30" i="11"/>
  <c r="J29" i="5"/>
  <c r="G29" i="5"/>
  <c r="I28" i="5"/>
  <c r="G29" i="11"/>
  <c r="J28" i="5"/>
  <c r="G28" i="5"/>
  <c r="I27" i="5"/>
  <c r="G28" i="11"/>
  <c r="J27" i="5"/>
  <c r="G27" i="5"/>
  <c r="I26" i="5"/>
  <c r="G27" i="11"/>
  <c r="L27" i="11" s="1"/>
  <c r="J26" i="5"/>
  <c r="G26" i="5"/>
  <c r="G26" i="11"/>
  <c r="L26" i="11" s="1"/>
  <c r="I25" i="5"/>
  <c r="G25" i="5"/>
  <c r="J25" i="5"/>
  <c r="I24" i="5"/>
  <c r="G25" i="11"/>
  <c r="L25" i="11" s="1"/>
  <c r="G24" i="5"/>
  <c r="J24" i="5"/>
  <c r="G24" i="11"/>
  <c r="L24" i="11" s="1"/>
  <c r="I23" i="5"/>
  <c r="G23" i="5"/>
  <c r="J23" i="5"/>
  <c r="I22" i="5"/>
  <c r="G23" i="11"/>
  <c r="L23" i="11" s="1"/>
  <c r="J22" i="5"/>
  <c r="G22" i="5"/>
  <c r="I21" i="5"/>
  <c r="G22" i="11"/>
  <c r="L22" i="11" s="1"/>
  <c r="G21" i="5"/>
  <c r="J21" i="5"/>
  <c r="I20" i="5"/>
  <c r="G21" i="11"/>
  <c r="L21" i="11" s="1"/>
  <c r="G20" i="5"/>
  <c r="J20" i="5"/>
  <c r="I19" i="5"/>
  <c r="G20" i="11"/>
  <c r="L20" i="11" s="1"/>
  <c r="J19" i="5"/>
  <c r="G19" i="5"/>
  <c r="I18" i="5"/>
  <c r="G19" i="11"/>
  <c r="L19" i="11" s="1"/>
  <c r="G18" i="5"/>
  <c r="J18" i="5"/>
  <c r="I17" i="5"/>
  <c r="G18" i="11"/>
  <c r="L18" i="11" s="1"/>
  <c r="G17" i="5"/>
  <c r="J17" i="5"/>
  <c r="I16" i="5"/>
  <c r="G17" i="11"/>
  <c r="L17" i="11" s="1"/>
  <c r="J16" i="5"/>
  <c r="G16" i="5"/>
  <c r="G16" i="11"/>
  <c r="L16" i="11" s="1"/>
  <c r="I15" i="5"/>
  <c r="J15" i="5"/>
  <c r="G15" i="5"/>
  <c r="G15" i="11"/>
  <c r="L15" i="11" s="1"/>
  <c r="I14" i="5"/>
  <c r="J14" i="5"/>
  <c r="G14" i="5"/>
  <c r="I13" i="5"/>
  <c r="G14" i="11"/>
  <c r="L14" i="11" s="1"/>
  <c r="G13" i="5"/>
  <c r="J13" i="5"/>
  <c r="G13" i="11"/>
  <c r="L13" i="11" s="1"/>
  <c r="I12" i="5"/>
  <c r="J12" i="5"/>
  <c r="G12" i="5"/>
  <c r="I11" i="5"/>
  <c r="G12" i="11"/>
  <c r="L12" i="11" s="1"/>
  <c r="G11" i="5"/>
  <c r="J11" i="5"/>
  <c r="I10" i="5"/>
  <c r="G11" i="11"/>
  <c r="L11" i="11" s="1"/>
  <c r="J10" i="5"/>
  <c r="G10" i="5"/>
  <c r="I9" i="5"/>
  <c r="G10" i="11"/>
  <c r="L10" i="11" s="1"/>
  <c r="J9" i="5"/>
  <c r="G9" i="5"/>
  <c r="I8" i="5"/>
  <c r="G9" i="11"/>
  <c r="L9" i="11" s="1"/>
  <c r="J8" i="5"/>
  <c r="G8" i="5"/>
  <c r="B11" i="8"/>
  <c r="B24" i="19"/>
  <c r="C24" i="19" s="1"/>
  <c r="J620" i="6" l="1"/>
  <c r="N22" i="10"/>
  <c r="O22" i="10" s="1"/>
  <c r="Q22" i="10" s="1"/>
  <c r="J646" i="6"/>
  <c r="J644" i="6"/>
  <c r="J631" i="6"/>
  <c r="J627" i="6"/>
  <c r="J603" i="6"/>
  <c r="J555" i="6"/>
  <c r="J543" i="6"/>
  <c r="J454" i="6"/>
  <c r="J453" i="6"/>
  <c r="J339" i="6"/>
  <c r="J417" i="6"/>
  <c r="K340" i="11"/>
  <c r="L340" i="11"/>
  <c r="K339" i="11"/>
  <c r="L339" i="11"/>
  <c r="K338" i="11"/>
  <c r="L338" i="11"/>
  <c r="K337" i="11"/>
  <c r="L337" i="11"/>
  <c r="K336" i="11"/>
  <c r="L336" i="11"/>
  <c r="K335" i="11"/>
  <c r="L335" i="11"/>
  <c r="K334" i="11"/>
  <c r="L334" i="11"/>
  <c r="K333" i="11"/>
  <c r="L333" i="11"/>
  <c r="K332" i="11"/>
  <c r="L332" i="11"/>
  <c r="K331" i="11"/>
  <c r="L331" i="11"/>
  <c r="K330" i="11"/>
  <c r="L330" i="11"/>
  <c r="K329" i="11"/>
  <c r="L329" i="11"/>
  <c r="K328" i="11"/>
  <c r="L328" i="11"/>
  <c r="K327" i="11"/>
  <c r="L327" i="11"/>
  <c r="K326" i="11"/>
  <c r="L326" i="11"/>
  <c r="K325" i="11"/>
  <c r="L325" i="11"/>
  <c r="K324" i="11"/>
  <c r="L324" i="11"/>
  <c r="K323" i="11"/>
  <c r="L323" i="11"/>
  <c r="K322" i="11"/>
  <c r="L322" i="11"/>
  <c r="K321" i="11"/>
  <c r="L321" i="11"/>
  <c r="K320" i="11"/>
  <c r="L320" i="11"/>
  <c r="K319" i="11"/>
  <c r="L319" i="11"/>
  <c r="K318" i="11"/>
  <c r="L318" i="11"/>
  <c r="K317" i="11"/>
  <c r="L317" i="11"/>
  <c r="K316" i="11"/>
  <c r="L316" i="11"/>
  <c r="K315" i="11"/>
  <c r="L315" i="11"/>
  <c r="K314" i="11"/>
  <c r="L314" i="11"/>
  <c r="K313" i="11"/>
  <c r="L313" i="11"/>
  <c r="K312" i="11"/>
  <c r="L312" i="11"/>
  <c r="K311" i="11"/>
  <c r="L311" i="11"/>
  <c r="K310" i="11"/>
  <c r="L310" i="11"/>
  <c r="K309" i="11"/>
  <c r="L309" i="11"/>
  <c r="K308" i="11"/>
  <c r="L308" i="11"/>
  <c r="K307" i="11"/>
  <c r="L307" i="11"/>
  <c r="K306" i="11"/>
  <c r="L306" i="11"/>
  <c r="K305" i="11"/>
  <c r="L305" i="11"/>
  <c r="K304" i="11"/>
  <c r="L304" i="11"/>
  <c r="K303" i="11"/>
  <c r="L303" i="11"/>
  <c r="K302" i="11"/>
  <c r="L302" i="11"/>
  <c r="K301" i="11"/>
  <c r="L301" i="11"/>
  <c r="K300" i="11"/>
  <c r="L300" i="11"/>
  <c r="K299" i="11"/>
  <c r="L299" i="11"/>
  <c r="K298" i="11"/>
  <c r="L298" i="11"/>
  <c r="K297" i="11"/>
  <c r="L297" i="11"/>
  <c r="K296" i="11"/>
  <c r="L296" i="11"/>
  <c r="K295" i="11"/>
  <c r="L295" i="11"/>
  <c r="K294" i="11"/>
  <c r="L294" i="11"/>
  <c r="K293" i="11"/>
  <c r="L293" i="11"/>
  <c r="K292" i="11"/>
  <c r="L292" i="11"/>
  <c r="K291" i="11"/>
  <c r="L291" i="11"/>
  <c r="K290" i="11"/>
  <c r="L290" i="11"/>
  <c r="K289" i="11"/>
  <c r="L289" i="11"/>
  <c r="K288" i="11"/>
  <c r="L288" i="11"/>
  <c r="K287" i="11"/>
  <c r="L287" i="11"/>
  <c r="K286" i="11"/>
  <c r="L286" i="11"/>
  <c r="K285" i="11"/>
  <c r="L285" i="11"/>
  <c r="K284" i="11"/>
  <c r="L284" i="11"/>
  <c r="K283" i="11"/>
  <c r="L283" i="11"/>
  <c r="K282" i="11"/>
  <c r="L282" i="11"/>
  <c r="K281" i="11"/>
  <c r="L281" i="11"/>
  <c r="K636" i="6"/>
  <c r="L636" i="6" s="1"/>
  <c r="N636" i="6" s="1"/>
  <c r="P636" i="6" s="1"/>
  <c r="K642" i="6"/>
  <c r="K646" i="6"/>
  <c r="L646" i="6" s="1"/>
  <c r="N646" i="6" s="1"/>
  <c r="P646" i="6" s="1"/>
  <c r="K633" i="6"/>
  <c r="L633" i="6" s="1"/>
  <c r="N633" i="6" s="1"/>
  <c r="P633" i="6" s="1"/>
  <c r="K629" i="6"/>
  <c r="K634" i="6"/>
  <c r="L634" i="6" s="1"/>
  <c r="N634" i="6" s="1"/>
  <c r="P634" i="6" s="1"/>
  <c r="K638" i="6"/>
  <c r="L638" i="6" s="1"/>
  <c r="N638" i="6" s="1"/>
  <c r="P638" i="6" s="1"/>
  <c r="K632" i="6"/>
  <c r="K639" i="6"/>
  <c r="L639" i="6" s="1"/>
  <c r="N639" i="6" s="1"/>
  <c r="P639" i="6" s="1"/>
  <c r="K643" i="6"/>
  <c r="K647" i="6"/>
  <c r="K635" i="6"/>
  <c r="K640" i="6"/>
  <c r="L640" i="6" s="1"/>
  <c r="N640" i="6" s="1"/>
  <c r="P640" i="6" s="1"/>
  <c r="K644" i="6"/>
  <c r="L644" i="6" s="1"/>
  <c r="N644" i="6" s="1"/>
  <c r="P644" i="6" s="1"/>
  <c r="K648" i="6"/>
  <c r="L648" i="6" s="1"/>
  <c r="N648" i="6" s="1"/>
  <c r="P648" i="6" s="1"/>
  <c r="K587" i="6"/>
  <c r="K590" i="6"/>
  <c r="K598" i="6"/>
  <c r="L598" i="6" s="1"/>
  <c r="N598" i="6" s="1"/>
  <c r="P598" i="6" s="1"/>
  <c r="K604" i="6"/>
  <c r="L604" i="6" s="1"/>
  <c r="N604" i="6" s="1"/>
  <c r="P604" i="6" s="1"/>
  <c r="K591" i="6"/>
  <c r="L591" i="6" s="1"/>
  <c r="N591" i="6" s="1"/>
  <c r="P591" i="6" s="1"/>
  <c r="K596" i="6"/>
  <c r="L596" i="6" s="1"/>
  <c r="N596" i="6" s="1"/>
  <c r="P596" i="6" s="1"/>
  <c r="K602" i="6"/>
  <c r="K589" i="6"/>
  <c r="L589" i="6" s="1"/>
  <c r="N589" i="6" s="1"/>
  <c r="P589" i="6" s="1"/>
  <c r="K595" i="6"/>
  <c r="L595" i="6" s="1"/>
  <c r="N595" i="6" s="1"/>
  <c r="P595" i="6" s="1"/>
  <c r="K600" i="6"/>
  <c r="L600" i="6" s="1"/>
  <c r="N600" i="6" s="1"/>
  <c r="P600" i="6" s="1"/>
  <c r="K606" i="6"/>
  <c r="K593" i="6"/>
  <c r="L593" i="6" s="1"/>
  <c r="N593" i="6" s="1"/>
  <c r="P593" i="6" s="1"/>
  <c r="K597" i="6"/>
  <c r="L597" i="6" s="1"/>
  <c r="N597" i="6" s="1"/>
  <c r="P597" i="6" s="1"/>
  <c r="K603" i="6"/>
  <c r="L603" i="6" s="1"/>
  <c r="N603" i="6" s="1"/>
  <c r="P603" i="6" s="1"/>
  <c r="K588" i="6"/>
  <c r="L588" i="6" s="1"/>
  <c r="N588" i="6" s="1"/>
  <c r="P588" i="6" s="1"/>
  <c r="K594" i="6"/>
  <c r="L594" i="6" s="1"/>
  <c r="N594" i="6" s="1"/>
  <c r="P594" i="6" s="1"/>
  <c r="K601" i="6"/>
  <c r="L601" i="6" s="1"/>
  <c r="N601" i="6" s="1"/>
  <c r="P601" i="6" s="1"/>
  <c r="K592" i="6"/>
  <c r="K599" i="6"/>
  <c r="L599" i="6" s="1"/>
  <c r="N599" i="6" s="1"/>
  <c r="P599" i="6" s="1"/>
  <c r="K605" i="6"/>
  <c r="L605" i="6" s="1"/>
  <c r="N605" i="6" s="1"/>
  <c r="P605" i="6" s="1"/>
  <c r="L587" i="6"/>
  <c r="N587" i="6" s="1"/>
  <c r="P587" i="6" s="1"/>
  <c r="K549" i="6"/>
  <c r="K558" i="6"/>
  <c r="K551" i="6"/>
  <c r="L551" i="6" s="1"/>
  <c r="N551" i="6" s="1"/>
  <c r="P551" i="6" s="1"/>
  <c r="K560" i="6"/>
  <c r="L560" i="6" s="1"/>
  <c r="N560" i="6" s="1"/>
  <c r="P560" i="6" s="1"/>
  <c r="K550" i="6"/>
  <c r="L550" i="6" s="1"/>
  <c r="N550" i="6" s="1"/>
  <c r="P550" i="6" s="1"/>
  <c r="K555" i="6"/>
  <c r="L555" i="6" s="1"/>
  <c r="N555" i="6" s="1"/>
  <c r="P555" i="6" s="1"/>
  <c r="K562" i="6"/>
  <c r="L562" i="6" s="1"/>
  <c r="N562" i="6" s="1"/>
  <c r="P562" i="6" s="1"/>
  <c r="K554" i="6"/>
  <c r="K564" i="6"/>
  <c r="L564" i="6" s="1"/>
  <c r="N564" i="6" s="1"/>
  <c r="P564" i="6" s="1"/>
  <c r="K553" i="6"/>
  <c r="L553" i="6" s="1"/>
  <c r="N553" i="6" s="1"/>
  <c r="P553" i="6" s="1"/>
  <c r="K556" i="6"/>
  <c r="K561" i="6"/>
  <c r="K552" i="6"/>
  <c r="K559" i="6"/>
  <c r="L559" i="6" s="1"/>
  <c r="N559" i="6" s="1"/>
  <c r="P559" i="6" s="1"/>
  <c r="K565" i="6"/>
  <c r="L565" i="6" s="1"/>
  <c r="N565" i="6" s="1"/>
  <c r="P565" i="6" s="1"/>
  <c r="K563" i="6"/>
  <c r="L563" i="6" s="1"/>
  <c r="N563" i="6" s="1"/>
  <c r="P563" i="6" s="1"/>
  <c r="K548" i="6"/>
  <c r="K557" i="6"/>
  <c r="K566" i="6"/>
  <c r="L566" i="6" s="1"/>
  <c r="N566" i="6" s="1"/>
  <c r="P566" i="6" s="1"/>
  <c r="L548" i="6"/>
  <c r="N548" i="6" s="1"/>
  <c r="P548" i="6" s="1"/>
  <c r="K501" i="6"/>
  <c r="K490" i="6"/>
  <c r="K496" i="6"/>
  <c r="L496" i="6" s="1"/>
  <c r="N496" i="6" s="1"/>
  <c r="P496" i="6" s="1"/>
  <c r="K504" i="6"/>
  <c r="L504" i="6" s="1"/>
  <c r="N504" i="6" s="1"/>
  <c r="P504" i="6" s="1"/>
  <c r="K489" i="6"/>
  <c r="K495" i="6"/>
  <c r="L495" i="6" s="1"/>
  <c r="N495" i="6" s="1"/>
  <c r="P495" i="6" s="1"/>
  <c r="K503" i="6"/>
  <c r="L503" i="6" s="1"/>
  <c r="N503" i="6" s="1"/>
  <c r="P503" i="6" s="1"/>
  <c r="K486" i="6"/>
  <c r="L486" i="6" s="1"/>
  <c r="N486" i="6" s="1"/>
  <c r="P486" i="6" s="1"/>
  <c r="K493" i="6"/>
  <c r="K499" i="6"/>
  <c r="K485" i="6"/>
  <c r="L485" i="6" s="1"/>
  <c r="N485" i="6" s="1"/>
  <c r="P485" i="6" s="1"/>
  <c r="K492" i="6"/>
  <c r="K498" i="6"/>
  <c r="L498" i="6" s="1"/>
  <c r="N498" i="6" s="1"/>
  <c r="P498" i="6" s="1"/>
  <c r="K488" i="6"/>
  <c r="L488" i="6" s="1"/>
  <c r="N488" i="6" s="1"/>
  <c r="P488" i="6" s="1"/>
  <c r="K500" i="6"/>
  <c r="K491" i="6"/>
  <c r="L491" i="6" s="1"/>
  <c r="N491" i="6" s="1"/>
  <c r="P491" i="6" s="1"/>
  <c r="K497" i="6"/>
  <c r="L497" i="6" s="1"/>
  <c r="N497" i="6" s="1"/>
  <c r="P497" i="6" s="1"/>
  <c r="K505" i="6"/>
  <c r="K487" i="6"/>
  <c r="K494" i="6"/>
  <c r="L494" i="6" s="1"/>
  <c r="N494" i="6" s="1"/>
  <c r="P494" i="6" s="1"/>
  <c r="K502" i="6"/>
  <c r="K466" i="6"/>
  <c r="L466" i="6" s="1"/>
  <c r="N466" i="6" s="1"/>
  <c r="P466" i="6" s="1"/>
  <c r="K474" i="6"/>
  <c r="K481" i="6"/>
  <c r="K482" i="6"/>
  <c r="K463" i="6"/>
  <c r="K472" i="6"/>
  <c r="K478" i="6"/>
  <c r="L478" i="6" s="1"/>
  <c r="N478" i="6" s="1"/>
  <c r="P478" i="6" s="1"/>
  <c r="K467" i="6"/>
  <c r="K473" i="6"/>
  <c r="L473" i="6" s="1"/>
  <c r="N473" i="6" s="1"/>
  <c r="P473" i="6" s="1"/>
  <c r="K480" i="6"/>
  <c r="L480" i="6" s="1"/>
  <c r="N480" i="6" s="1"/>
  <c r="P480" i="6" s="1"/>
  <c r="K464" i="6"/>
  <c r="L464" i="6" s="1"/>
  <c r="N464" i="6" s="1"/>
  <c r="P464" i="6" s="1"/>
  <c r="K471" i="6"/>
  <c r="L471" i="6" s="1"/>
  <c r="N471" i="6" s="1"/>
  <c r="P471" i="6" s="1"/>
  <c r="K479" i="6"/>
  <c r="K469" i="6"/>
  <c r="L469" i="6" s="1"/>
  <c r="N469" i="6" s="1"/>
  <c r="P469" i="6" s="1"/>
  <c r="K476" i="6"/>
  <c r="L476" i="6" s="1"/>
  <c r="N476" i="6" s="1"/>
  <c r="P476" i="6" s="1"/>
  <c r="K483" i="6"/>
  <c r="L483" i="6" s="1"/>
  <c r="N483" i="6" s="1"/>
  <c r="P483" i="6" s="1"/>
  <c r="K465" i="6"/>
  <c r="L465" i="6" s="1"/>
  <c r="N465" i="6" s="1"/>
  <c r="P465" i="6" s="1"/>
  <c r="K470" i="6"/>
  <c r="L470" i="6" s="1"/>
  <c r="N470" i="6" s="1"/>
  <c r="P470" i="6" s="1"/>
  <c r="K477" i="6"/>
  <c r="L477" i="6" s="1"/>
  <c r="N477" i="6" s="1"/>
  <c r="P477" i="6" s="1"/>
  <c r="K468" i="6"/>
  <c r="L468" i="6" s="1"/>
  <c r="N468" i="6" s="1"/>
  <c r="P468" i="6" s="1"/>
  <c r="K475" i="6"/>
  <c r="K484" i="6"/>
  <c r="L484" i="6" s="1"/>
  <c r="N484" i="6" s="1"/>
  <c r="P484" i="6" s="1"/>
  <c r="L463" i="6"/>
  <c r="N463" i="6" s="1"/>
  <c r="P463" i="6" s="1"/>
  <c r="K445" i="6"/>
  <c r="L445" i="6" s="1"/>
  <c r="N445" i="6" s="1"/>
  <c r="P445" i="6" s="1"/>
  <c r="K457" i="6"/>
  <c r="L457" i="6" s="1"/>
  <c r="N457" i="6" s="1"/>
  <c r="P457" i="6" s="1"/>
  <c r="K446" i="6"/>
  <c r="L446" i="6" s="1"/>
  <c r="N446" i="6" s="1"/>
  <c r="P446" i="6" s="1"/>
  <c r="K454" i="6"/>
  <c r="L454" i="6" s="1"/>
  <c r="N454" i="6" s="1"/>
  <c r="P454" i="6" s="1"/>
  <c r="K462" i="6"/>
  <c r="K447" i="6"/>
  <c r="K459" i="6"/>
  <c r="L459" i="6" s="1"/>
  <c r="N459" i="6" s="1"/>
  <c r="P459" i="6" s="1"/>
  <c r="K449" i="6"/>
  <c r="L449" i="6" s="1"/>
  <c r="N449" i="6" s="1"/>
  <c r="P449" i="6" s="1"/>
  <c r="K455" i="6"/>
  <c r="L455" i="6" s="1"/>
  <c r="N455" i="6" s="1"/>
  <c r="P455" i="6" s="1"/>
  <c r="K443" i="6"/>
  <c r="L443" i="6" s="1"/>
  <c r="N443" i="6" s="1"/>
  <c r="P443" i="6" s="1"/>
  <c r="K452" i="6"/>
  <c r="L452" i="6" s="1"/>
  <c r="N452" i="6" s="1"/>
  <c r="P452" i="6" s="1"/>
  <c r="K458" i="6"/>
  <c r="L458" i="6" s="1"/>
  <c r="N458" i="6" s="1"/>
  <c r="P458" i="6" s="1"/>
  <c r="K444" i="6"/>
  <c r="L444" i="6" s="1"/>
  <c r="N444" i="6" s="1"/>
  <c r="P444" i="6" s="1"/>
  <c r="K453" i="6"/>
  <c r="L453" i="6" s="1"/>
  <c r="N453" i="6" s="1"/>
  <c r="P453" i="6" s="1"/>
  <c r="K442" i="6"/>
  <c r="K451" i="6"/>
  <c r="L451" i="6" s="1"/>
  <c r="N451" i="6" s="1"/>
  <c r="P451" i="6" s="1"/>
  <c r="K461" i="6"/>
  <c r="L461" i="6" s="1"/>
  <c r="N461" i="6" s="1"/>
  <c r="P461" i="6" s="1"/>
  <c r="K448" i="6"/>
  <c r="K456" i="6"/>
  <c r="L456" i="6" s="1"/>
  <c r="N456" i="6" s="1"/>
  <c r="P456" i="6" s="1"/>
  <c r="K450" i="6"/>
  <c r="L450" i="6" s="1"/>
  <c r="N450" i="6" s="1"/>
  <c r="P450" i="6" s="1"/>
  <c r="K460" i="6"/>
  <c r="L460" i="6" s="1"/>
  <c r="N460" i="6" s="1"/>
  <c r="P460" i="6" s="1"/>
  <c r="L442" i="6"/>
  <c r="N442" i="6" s="1"/>
  <c r="P442" i="6" s="1"/>
  <c r="K385" i="6"/>
  <c r="L385" i="6" s="1"/>
  <c r="N385" i="6" s="1"/>
  <c r="P385" i="6" s="1"/>
  <c r="K392" i="6"/>
  <c r="L392" i="6" s="1"/>
  <c r="N392" i="6" s="1"/>
  <c r="P392" i="6" s="1"/>
  <c r="K393" i="6"/>
  <c r="K394" i="6"/>
  <c r="L394" i="6" s="1"/>
  <c r="N394" i="6" s="1"/>
  <c r="P394" i="6" s="1"/>
  <c r="K395" i="6"/>
  <c r="K396" i="6"/>
  <c r="L396" i="6" s="1"/>
  <c r="N396" i="6" s="1"/>
  <c r="P396" i="6" s="1"/>
  <c r="K381" i="6"/>
  <c r="L381" i="6" s="1"/>
  <c r="N381" i="6" s="1"/>
  <c r="P381" i="6" s="1"/>
  <c r="K389" i="6"/>
  <c r="K382" i="6"/>
  <c r="L382" i="6" s="1"/>
  <c r="N382" i="6" s="1"/>
  <c r="P382" i="6" s="1"/>
  <c r="K391" i="6"/>
  <c r="K384" i="6"/>
  <c r="K398" i="6"/>
  <c r="L398" i="6" s="1"/>
  <c r="N398" i="6" s="1"/>
  <c r="P398" i="6" s="1"/>
  <c r="K378" i="6"/>
  <c r="L378" i="6" s="1"/>
  <c r="N378" i="6" s="1"/>
  <c r="P378" i="6" s="1"/>
  <c r="K386" i="6"/>
  <c r="L386" i="6" s="1"/>
  <c r="N386" i="6" s="1"/>
  <c r="P386" i="6" s="1"/>
  <c r="K383" i="6"/>
  <c r="L383" i="6" s="1"/>
  <c r="N383" i="6" s="1"/>
  <c r="P383" i="6" s="1"/>
  <c r="K397" i="6"/>
  <c r="L397" i="6" s="1"/>
  <c r="N397" i="6" s="1"/>
  <c r="P397" i="6" s="1"/>
  <c r="K377" i="6"/>
  <c r="K387" i="6"/>
  <c r="L387" i="6" s="1"/>
  <c r="N387" i="6" s="1"/>
  <c r="P387" i="6" s="1"/>
  <c r="K380" i="6"/>
  <c r="L380" i="6" s="1"/>
  <c r="N380" i="6" s="1"/>
  <c r="P380" i="6" s="1"/>
  <c r="K390" i="6"/>
  <c r="L390" i="6" s="1"/>
  <c r="N390" i="6" s="1"/>
  <c r="P390" i="6" s="1"/>
  <c r="K379" i="6"/>
  <c r="L379" i="6" s="1"/>
  <c r="N379" i="6" s="1"/>
  <c r="P379" i="6" s="1"/>
  <c r="K388" i="6"/>
  <c r="L388" i="6" s="1"/>
  <c r="N388" i="6" s="1"/>
  <c r="P388" i="6" s="1"/>
  <c r="L377" i="6"/>
  <c r="N377" i="6" s="1"/>
  <c r="P377" i="6" s="1"/>
  <c r="K359" i="6"/>
  <c r="K368" i="6"/>
  <c r="K376" i="6"/>
  <c r="L376" i="6" s="1"/>
  <c r="N376" i="6" s="1"/>
  <c r="P376" i="6" s="1"/>
  <c r="K363" i="6"/>
  <c r="K371" i="6"/>
  <c r="K357" i="6"/>
  <c r="K365" i="6"/>
  <c r="K373" i="6"/>
  <c r="L373" i="6" s="1"/>
  <c r="N373" i="6" s="1"/>
  <c r="P373" i="6" s="1"/>
  <c r="K358" i="6"/>
  <c r="L358" i="6" s="1"/>
  <c r="N358" i="6" s="1"/>
  <c r="P358" i="6" s="1"/>
  <c r="K367" i="6"/>
  <c r="L367" i="6" s="1"/>
  <c r="N367" i="6" s="1"/>
  <c r="P367" i="6" s="1"/>
  <c r="K375" i="6"/>
  <c r="L375" i="6" s="1"/>
  <c r="N375" i="6" s="1"/>
  <c r="P375" i="6" s="1"/>
  <c r="K360" i="6"/>
  <c r="K369" i="6"/>
  <c r="L369" i="6" s="1"/>
  <c r="N369" i="6" s="1"/>
  <c r="P369" i="6" s="1"/>
  <c r="K356" i="6"/>
  <c r="K364" i="6"/>
  <c r="K374" i="6"/>
  <c r="K355" i="6"/>
  <c r="L355" i="6" s="1"/>
  <c r="N355" i="6" s="1"/>
  <c r="P355" i="6" s="1"/>
  <c r="K366" i="6"/>
  <c r="L366" i="6" s="1"/>
  <c r="N366" i="6" s="1"/>
  <c r="P366" i="6" s="1"/>
  <c r="K353" i="6"/>
  <c r="K361" i="6"/>
  <c r="L361" i="6" s="1"/>
  <c r="N361" i="6" s="1"/>
  <c r="P361" i="6" s="1"/>
  <c r="K372" i="6"/>
  <c r="K354" i="6"/>
  <c r="K362" i="6"/>
  <c r="K370" i="6"/>
  <c r="L353" i="6"/>
  <c r="N353" i="6" s="1"/>
  <c r="P353" i="6" s="1"/>
  <c r="K334" i="6"/>
  <c r="K343" i="6"/>
  <c r="K352" i="6"/>
  <c r="K339" i="6"/>
  <c r="L339" i="6" s="1"/>
  <c r="N339" i="6" s="1"/>
  <c r="P339" i="6" s="1"/>
  <c r="K349" i="6"/>
  <c r="K338" i="6"/>
  <c r="L338" i="6" s="1"/>
  <c r="N338" i="6" s="1"/>
  <c r="P338" i="6" s="1"/>
  <c r="K347" i="6"/>
  <c r="L347" i="6" s="1"/>
  <c r="N347" i="6" s="1"/>
  <c r="P347" i="6" s="1"/>
  <c r="K341" i="6"/>
  <c r="K350" i="6"/>
  <c r="K333" i="6"/>
  <c r="K342" i="6"/>
  <c r="K351" i="6"/>
  <c r="K340" i="6"/>
  <c r="K348" i="6"/>
  <c r="K336" i="6"/>
  <c r="K346" i="6"/>
  <c r="K335" i="6"/>
  <c r="K344" i="6"/>
  <c r="L344" i="6" s="1"/>
  <c r="N344" i="6" s="1"/>
  <c r="P344" i="6" s="1"/>
  <c r="K337" i="6"/>
  <c r="K345" i="6"/>
  <c r="L345" i="6" s="1"/>
  <c r="N345" i="6" s="1"/>
  <c r="P345" i="6" s="1"/>
  <c r="L333" i="6"/>
  <c r="N333" i="6" s="1"/>
  <c r="P333" i="6" s="1"/>
  <c r="K316" i="6"/>
  <c r="K326" i="6"/>
  <c r="K320" i="6"/>
  <c r="K329" i="6"/>
  <c r="L329" i="6" s="1"/>
  <c r="N329" i="6" s="1"/>
  <c r="P329" i="6" s="1"/>
  <c r="K312" i="6"/>
  <c r="K321" i="6"/>
  <c r="K330" i="6"/>
  <c r="K315" i="6"/>
  <c r="L315" i="6" s="1"/>
  <c r="N315" i="6" s="1"/>
  <c r="P315" i="6" s="1"/>
  <c r="K323" i="6"/>
  <c r="L323" i="6" s="1"/>
  <c r="N323" i="6" s="1"/>
  <c r="P323" i="6" s="1"/>
  <c r="K332" i="6"/>
  <c r="K314" i="6"/>
  <c r="L314" i="6" s="1"/>
  <c r="N314" i="6" s="1"/>
  <c r="P314" i="6" s="1"/>
  <c r="K324" i="6"/>
  <c r="L324" i="6" s="1"/>
  <c r="N324" i="6" s="1"/>
  <c r="P324" i="6" s="1"/>
  <c r="K313" i="6"/>
  <c r="L313" i="6" s="1"/>
  <c r="N313" i="6" s="1"/>
  <c r="P313" i="6" s="1"/>
  <c r="K322" i="6"/>
  <c r="K331" i="6"/>
  <c r="K317" i="6"/>
  <c r="K327" i="6"/>
  <c r="L327" i="6" s="1"/>
  <c r="N327" i="6" s="1"/>
  <c r="P327" i="6" s="1"/>
  <c r="K318" i="6"/>
  <c r="L318" i="6" s="1"/>
  <c r="N318" i="6" s="1"/>
  <c r="P318" i="6" s="1"/>
  <c r="K325" i="6"/>
  <c r="L325" i="6" s="1"/>
  <c r="N325" i="6" s="1"/>
  <c r="P325" i="6" s="1"/>
  <c r="K319" i="6"/>
  <c r="L319" i="6" s="1"/>
  <c r="N319" i="6" s="1"/>
  <c r="P319" i="6" s="1"/>
  <c r="K328" i="6"/>
  <c r="L328" i="6" s="1"/>
  <c r="N328" i="6" s="1"/>
  <c r="P328" i="6" s="1"/>
  <c r="L312" i="6"/>
  <c r="N312" i="6" s="1"/>
  <c r="P312" i="6" s="1"/>
  <c r="K272" i="6"/>
  <c r="K281" i="6"/>
  <c r="L281" i="6" s="1"/>
  <c r="N281" i="6" s="1"/>
  <c r="P281" i="6" s="1"/>
  <c r="K279" i="6"/>
  <c r="K288" i="6"/>
  <c r="K277" i="6"/>
  <c r="L277" i="6" s="1"/>
  <c r="N277" i="6" s="1"/>
  <c r="P277" i="6" s="1"/>
  <c r="K286" i="6"/>
  <c r="K271" i="6"/>
  <c r="K280" i="6"/>
  <c r="L280" i="6" s="1"/>
  <c r="N280" i="6" s="1"/>
  <c r="P280" i="6" s="1"/>
  <c r="K278" i="6"/>
  <c r="L278" i="6" s="1"/>
  <c r="N278" i="6" s="1"/>
  <c r="P278" i="6" s="1"/>
  <c r="K287" i="6"/>
  <c r="L287" i="6" s="1"/>
  <c r="N287" i="6" s="1"/>
  <c r="P287" i="6" s="1"/>
  <c r="K276" i="6"/>
  <c r="K285" i="6"/>
  <c r="K274" i="6"/>
  <c r="L274" i="6" s="1"/>
  <c r="N274" i="6" s="1"/>
  <c r="P274" i="6" s="1"/>
  <c r="K283" i="6"/>
  <c r="L283" i="6" s="1"/>
  <c r="N283" i="6" s="1"/>
  <c r="P283" i="6" s="1"/>
  <c r="K273" i="6"/>
  <c r="L273" i="6" s="1"/>
  <c r="N273" i="6" s="1"/>
  <c r="P273" i="6" s="1"/>
  <c r="K282" i="6"/>
  <c r="K275" i="6"/>
  <c r="L275" i="6" s="1"/>
  <c r="N275" i="6" s="1"/>
  <c r="P275" i="6" s="1"/>
  <c r="K284" i="6"/>
  <c r="L271" i="6"/>
  <c r="N271" i="6" s="1"/>
  <c r="P271" i="6" s="1"/>
  <c r="K256" i="6"/>
  <c r="K264" i="6"/>
  <c r="L264" i="6" s="1"/>
  <c r="N264" i="6" s="1"/>
  <c r="P264" i="6" s="1"/>
  <c r="K253" i="6"/>
  <c r="K262" i="6"/>
  <c r="K270" i="6"/>
  <c r="L270" i="6" s="1"/>
  <c r="N270" i="6" s="1"/>
  <c r="P270" i="6" s="1"/>
  <c r="K259" i="6"/>
  <c r="L259" i="6" s="1"/>
  <c r="N259" i="6" s="1"/>
  <c r="P259" i="6" s="1"/>
  <c r="K268" i="6"/>
  <c r="K261" i="6"/>
  <c r="L261" i="6" s="1"/>
  <c r="N261" i="6" s="1"/>
  <c r="P261" i="6" s="1"/>
  <c r="K260" i="6"/>
  <c r="L260" i="6" s="1"/>
  <c r="N260" i="6" s="1"/>
  <c r="P260" i="6" s="1"/>
  <c r="K269" i="6"/>
  <c r="K258" i="6"/>
  <c r="L258" i="6" s="1"/>
  <c r="N258" i="6" s="1"/>
  <c r="P258" i="6" s="1"/>
  <c r="K267" i="6"/>
  <c r="K255" i="6"/>
  <c r="K265" i="6"/>
  <c r="K254" i="6"/>
  <c r="L254" i="6" s="1"/>
  <c r="N254" i="6" s="1"/>
  <c r="P254" i="6" s="1"/>
  <c r="K263" i="6"/>
  <c r="L263" i="6" s="1"/>
  <c r="N263" i="6" s="1"/>
  <c r="P263" i="6" s="1"/>
  <c r="K257" i="6"/>
  <c r="L257" i="6" s="1"/>
  <c r="N257" i="6" s="1"/>
  <c r="P257" i="6" s="1"/>
  <c r="K266" i="6"/>
  <c r="L266" i="6" s="1"/>
  <c r="N266" i="6" s="1"/>
  <c r="P266" i="6" s="1"/>
  <c r="L253" i="6"/>
  <c r="N253" i="6" s="1"/>
  <c r="P253" i="6" s="1"/>
  <c r="K232" i="6"/>
  <c r="K233" i="6"/>
  <c r="L233" i="6" s="1"/>
  <c r="N233" i="6" s="1"/>
  <c r="P233" i="6" s="1"/>
  <c r="K234" i="6"/>
  <c r="K235" i="6"/>
  <c r="K236" i="6"/>
  <c r="L236" i="6" s="1"/>
  <c r="N236" i="6" s="1"/>
  <c r="P236" i="6" s="1"/>
  <c r="K237" i="6"/>
  <c r="L237" i="6" s="1"/>
  <c r="N237" i="6" s="1"/>
  <c r="P237" i="6" s="1"/>
  <c r="K238" i="6"/>
  <c r="L238" i="6" s="1"/>
  <c r="N238" i="6" s="1"/>
  <c r="P238" i="6" s="1"/>
  <c r="K239" i="6"/>
  <c r="L239" i="6" s="1"/>
  <c r="N239" i="6" s="1"/>
  <c r="P239" i="6" s="1"/>
  <c r="K240" i="6"/>
  <c r="L240" i="6" s="1"/>
  <c r="N240" i="6" s="1"/>
  <c r="P240" i="6" s="1"/>
  <c r="K241" i="6"/>
  <c r="K242" i="6"/>
  <c r="L242" i="6" s="1"/>
  <c r="N242" i="6" s="1"/>
  <c r="P242" i="6" s="1"/>
  <c r="K243" i="6"/>
  <c r="L243" i="6" s="1"/>
  <c r="N243" i="6" s="1"/>
  <c r="P243" i="6" s="1"/>
  <c r="K244" i="6"/>
  <c r="K245" i="6"/>
  <c r="L245" i="6" s="1"/>
  <c r="N245" i="6" s="1"/>
  <c r="P245" i="6" s="1"/>
  <c r="K246" i="6"/>
  <c r="L246" i="6" s="1"/>
  <c r="N246" i="6" s="1"/>
  <c r="P246" i="6" s="1"/>
  <c r="K247" i="6"/>
  <c r="K248" i="6"/>
  <c r="L248" i="6" s="1"/>
  <c r="N248" i="6" s="1"/>
  <c r="P248" i="6" s="1"/>
  <c r="K249" i="6"/>
  <c r="K250" i="6"/>
  <c r="K252" i="6"/>
  <c r="L252" i="6" s="1"/>
  <c r="N252" i="6" s="1"/>
  <c r="P252" i="6" s="1"/>
  <c r="K251" i="6"/>
  <c r="L251" i="6" s="1"/>
  <c r="N251" i="6" s="1"/>
  <c r="P251" i="6" s="1"/>
  <c r="L232" i="6"/>
  <c r="N232" i="6" s="1"/>
  <c r="P232" i="6" s="1"/>
  <c r="K219" i="6"/>
  <c r="K228" i="6"/>
  <c r="L228" i="6" s="1"/>
  <c r="N228" i="6" s="1"/>
  <c r="P228" i="6" s="1"/>
  <c r="K217" i="6"/>
  <c r="K225" i="6"/>
  <c r="L225" i="6" s="1"/>
  <c r="N225" i="6" s="1"/>
  <c r="P225" i="6" s="1"/>
  <c r="K213" i="6"/>
  <c r="L213" i="6" s="1"/>
  <c r="N213" i="6" s="1"/>
  <c r="P213" i="6" s="1"/>
  <c r="K222" i="6"/>
  <c r="K231" i="6"/>
  <c r="L231" i="6" s="1"/>
  <c r="N231" i="6" s="1"/>
  <c r="P231" i="6" s="1"/>
  <c r="K216" i="6"/>
  <c r="L216" i="6" s="1"/>
  <c r="N216" i="6" s="1"/>
  <c r="P216" i="6" s="1"/>
  <c r="K224" i="6"/>
  <c r="K215" i="6"/>
  <c r="K223" i="6"/>
  <c r="L223" i="6" s="1"/>
  <c r="N223" i="6" s="1"/>
  <c r="P223" i="6" s="1"/>
  <c r="K214" i="6"/>
  <c r="K221" i="6"/>
  <c r="K230" i="6"/>
  <c r="L230" i="6" s="1"/>
  <c r="N230" i="6" s="1"/>
  <c r="P230" i="6" s="1"/>
  <c r="K226" i="6"/>
  <c r="L226" i="6" s="1"/>
  <c r="N226" i="6" s="1"/>
  <c r="P226" i="6" s="1"/>
  <c r="K218" i="6"/>
  <c r="K227" i="6"/>
  <c r="L227" i="6" s="1"/>
  <c r="N227" i="6" s="1"/>
  <c r="P227" i="6" s="1"/>
  <c r="K220" i="6"/>
  <c r="L220" i="6" s="1"/>
  <c r="N220" i="6" s="1"/>
  <c r="P220" i="6" s="1"/>
  <c r="K229" i="6"/>
  <c r="L229" i="6" s="1"/>
  <c r="N229" i="6" s="1"/>
  <c r="P229" i="6" s="1"/>
  <c r="K176" i="6"/>
  <c r="K185" i="6"/>
  <c r="K172" i="6"/>
  <c r="L172" i="6" s="1"/>
  <c r="N172" i="6" s="1"/>
  <c r="P172" i="6" s="1"/>
  <c r="K182" i="6"/>
  <c r="K190" i="6"/>
  <c r="K177" i="6"/>
  <c r="L177" i="6" s="1"/>
  <c r="N177" i="6" s="1"/>
  <c r="P177" i="6" s="1"/>
  <c r="K186" i="6"/>
  <c r="L186" i="6" s="1"/>
  <c r="N186" i="6" s="1"/>
  <c r="P186" i="6" s="1"/>
  <c r="K178" i="6"/>
  <c r="L178" i="6" s="1"/>
  <c r="N178" i="6" s="1"/>
  <c r="P178" i="6" s="1"/>
  <c r="K189" i="6"/>
  <c r="L189" i="6" s="1"/>
  <c r="N189" i="6" s="1"/>
  <c r="P189" i="6" s="1"/>
  <c r="K170" i="6"/>
  <c r="K179" i="6"/>
  <c r="L179" i="6" s="1"/>
  <c r="N179" i="6" s="1"/>
  <c r="P179" i="6" s="1"/>
  <c r="K188" i="6"/>
  <c r="L188" i="6" s="1"/>
  <c r="N188" i="6" s="1"/>
  <c r="P188" i="6" s="1"/>
  <c r="K171" i="6"/>
  <c r="L171" i="6" s="1"/>
  <c r="N171" i="6" s="1"/>
  <c r="P171" i="6" s="1"/>
  <c r="K180" i="6"/>
  <c r="L180" i="6" s="1"/>
  <c r="N180" i="6" s="1"/>
  <c r="P180" i="6" s="1"/>
  <c r="K187" i="6"/>
  <c r="L187" i="6" s="1"/>
  <c r="N187" i="6" s="1"/>
  <c r="P187" i="6" s="1"/>
  <c r="K174" i="6"/>
  <c r="L174" i="6" s="1"/>
  <c r="N174" i="6" s="1"/>
  <c r="P174" i="6" s="1"/>
  <c r="K184" i="6"/>
  <c r="K173" i="6"/>
  <c r="K181" i="6"/>
  <c r="L181" i="6" s="1"/>
  <c r="N181" i="6" s="1"/>
  <c r="P181" i="6" s="1"/>
  <c r="K175" i="6"/>
  <c r="L175" i="6" s="1"/>
  <c r="N175" i="6" s="1"/>
  <c r="P175" i="6" s="1"/>
  <c r="K183" i="6"/>
  <c r="L170" i="6"/>
  <c r="N170" i="6" s="1"/>
  <c r="P170" i="6" s="1"/>
  <c r="K133" i="6"/>
  <c r="K141" i="6"/>
  <c r="K127" i="6"/>
  <c r="L127" i="6" s="1"/>
  <c r="N127" i="6" s="1"/>
  <c r="P127" i="6" s="1"/>
  <c r="K136" i="6"/>
  <c r="L136" i="6" s="1"/>
  <c r="N136" i="6" s="1"/>
  <c r="P136" i="6" s="1"/>
  <c r="K146" i="6"/>
  <c r="K130" i="6"/>
  <c r="L130" i="6" s="1"/>
  <c r="N130" i="6" s="1"/>
  <c r="P130" i="6" s="1"/>
  <c r="K140" i="6"/>
  <c r="L140" i="6" s="1"/>
  <c r="N140" i="6" s="1"/>
  <c r="P140" i="6" s="1"/>
  <c r="K135" i="6"/>
  <c r="K144" i="6"/>
  <c r="K126" i="6"/>
  <c r="K134" i="6"/>
  <c r="K142" i="6"/>
  <c r="L142" i="6" s="1"/>
  <c r="N142" i="6" s="1"/>
  <c r="P142" i="6" s="1"/>
  <c r="K131" i="6"/>
  <c r="K138" i="6"/>
  <c r="K147" i="6"/>
  <c r="L147" i="6" s="1"/>
  <c r="N147" i="6" s="1"/>
  <c r="P147" i="6" s="1"/>
  <c r="K129" i="6"/>
  <c r="L129" i="6" s="1"/>
  <c r="N129" i="6" s="1"/>
  <c r="P129" i="6" s="1"/>
  <c r="K143" i="6"/>
  <c r="L143" i="6" s="1"/>
  <c r="N143" i="6" s="1"/>
  <c r="P143" i="6" s="1"/>
  <c r="K128" i="6"/>
  <c r="K137" i="6"/>
  <c r="L137" i="6" s="1"/>
  <c r="N137" i="6" s="1"/>
  <c r="P137" i="6" s="1"/>
  <c r="K145" i="6"/>
  <c r="L145" i="6" s="1"/>
  <c r="N145" i="6" s="1"/>
  <c r="P145" i="6" s="1"/>
  <c r="K132" i="6"/>
  <c r="L132" i="6" s="1"/>
  <c r="N132" i="6" s="1"/>
  <c r="P132" i="6" s="1"/>
  <c r="K139" i="6"/>
  <c r="L126" i="6"/>
  <c r="N126" i="6" s="1"/>
  <c r="P126" i="6" s="1"/>
  <c r="K108" i="6"/>
  <c r="L108" i="6" s="1"/>
  <c r="N108" i="6" s="1"/>
  <c r="P108" i="6" s="1"/>
  <c r="K117" i="6"/>
  <c r="L117" i="6" s="1"/>
  <c r="N117" i="6" s="1"/>
  <c r="P117" i="6" s="1"/>
  <c r="K124" i="6"/>
  <c r="K110" i="6"/>
  <c r="L110" i="6" s="1"/>
  <c r="N110" i="6" s="1"/>
  <c r="P110" i="6" s="1"/>
  <c r="K118" i="6"/>
  <c r="L118" i="6" s="1"/>
  <c r="N118" i="6" s="1"/>
  <c r="P118" i="6" s="1"/>
  <c r="K113" i="6"/>
  <c r="L113" i="6" s="1"/>
  <c r="N113" i="6" s="1"/>
  <c r="P113" i="6" s="1"/>
  <c r="K121" i="6"/>
  <c r="L121" i="6" s="1"/>
  <c r="N121" i="6" s="1"/>
  <c r="P121" i="6" s="1"/>
  <c r="K116" i="6"/>
  <c r="L116" i="6" s="1"/>
  <c r="N116" i="6" s="1"/>
  <c r="P116" i="6" s="1"/>
  <c r="K125" i="6"/>
  <c r="L125" i="6" s="1"/>
  <c r="N125" i="6" s="1"/>
  <c r="P125" i="6" s="1"/>
  <c r="K106" i="6"/>
  <c r="K114" i="6"/>
  <c r="L114" i="6" s="1"/>
  <c r="N114" i="6" s="1"/>
  <c r="P114" i="6" s="1"/>
  <c r="K107" i="6"/>
  <c r="K115" i="6"/>
  <c r="L115" i="6" s="1"/>
  <c r="N115" i="6" s="1"/>
  <c r="P115" i="6" s="1"/>
  <c r="K123" i="6"/>
  <c r="L123" i="6" s="1"/>
  <c r="N123" i="6" s="1"/>
  <c r="P123" i="6" s="1"/>
  <c r="K111" i="6"/>
  <c r="L111" i="6" s="1"/>
  <c r="N111" i="6" s="1"/>
  <c r="P111" i="6" s="1"/>
  <c r="K120" i="6"/>
  <c r="K109" i="6"/>
  <c r="L109" i="6" s="1"/>
  <c r="N109" i="6" s="1"/>
  <c r="P109" i="6" s="1"/>
  <c r="K119" i="6"/>
  <c r="L119" i="6" s="1"/>
  <c r="N119" i="6" s="1"/>
  <c r="P119" i="6" s="1"/>
  <c r="K112" i="6"/>
  <c r="L112" i="6" s="1"/>
  <c r="N112" i="6" s="1"/>
  <c r="P112" i="6" s="1"/>
  <c r="K122" i="6"/>
  <c r="L122" i="6" s="1"/>
  <c r="N122" i="6" s="1"/>
  <c r="P122" i="6" s="1"/>
  <c r="L106" i="6"/>
  <c r="N106" i="6" s="1"/>
  <c r="P106" i="6" s="1"/>
  <c r="K85" i="6"/>
  <c r="K92" i="6"/>
  <c r="L92" i="6" s="1"/>
  <c r="N92" i="6" s="1"/>
  <c r="P92" i="6" s="1"/>
  <c r="K93" i="6"/>
  <c r="L93" i="6" s="1"/>
  <c r="N93" i="6" s="1"/>
  <c r="P93" i="6" s="1"/>
  <c r="K94" i="6"/>
  <c r="L94" i="6" s="1"/>
  <c r="N94" i="6" s="1"/>
  <c r="P94" i="6" s="1"/>
  <c r="K95" i="6"/>
  <c r="L95" i="6" s="1"/>
  <c r="N95" i="6" s="1"/>
  <c r="P95" i="6" s="1"/>
  <c r="K96" i="6"/>
  <c r="L96" i="6" s="1"/>
  <c r="N96" i="6" s="1"/>
  <c r="P96" i="6" s="1"/>
  <c r="K97" i="6"/>
  <c r="L97" i="6" s="1"/>
  <c r="N97" i="6" s="1"/>
  <c r="P97" i="6" s="1"/>
  <c r="K98" i="6"/>
  <c r="L98" i="6" s="1"/>
  <c r="N98" i="6" s="1"/>
  <c r="P98" i="6" s="1"/>
  <c r="K99" i="6"/>
  <c r="L99" i="6" s="1"/>
  <c r="N99" i="6" s="1"/>
  <c r="P99" i="6" s="1"/>
  <c r="K100" i="6"/>
  <c r="L100" i="6" s="1"/>
  <c r="N100" i="6" s="1"/>
  <c r="P100" i="6" s="1"/>
  <c r="K101" i="6"/>
  <c r="L101" i="6" s="1"/>
  <c r="N101" i="6" s="1"/>
  <c r="P101" i="6" s="1"/>
  <c r="K102" i="6"/>
  <c r="L102" i="6" s="1"/>
  <c r="N102" i="6" s="1"/>
  <c r="P102" i="6" s="1"/>
  <c r="K103" i="6"/>
  <c r="K104" i="6"/>
  <c r="L104" i="6" s="1"/>
  <c r="N104" i="6" s="1"/>
  <c r="P104" i="6" s="1"/>
  <c r="K105" i="6"/>
  <c r="L105" i="6" s="1"/>
  <c r="N105" i="6" s="1"/>
  <c r="P105" i="6" s="1"/>
  <c r="K88" i="6"/>
  <c r="L88" i="6" s="1"/>
  <c r="N88" i="6" s="1"/>
  <c r="P88" i="6" s="1"/>
  <c r="K89" i="6"/>
  <c r="L89" i="6" s="1"/>
  <c r="N89" i="6" s="1"/>
  <c r="P89" i="6" s="1"/>
  <c r="K91" i="6"/>
  <c r="L91" i="6" s="1"/>
  <c r="N91" i="6" s="1"/>
  <c r="P91" i="6" s="1"/>
  <c r="K86" i="6"/>
  <c r="K87" i="6"/>
  <c r="L87" i="6" s="1"/>
  <c r="N87" i="6" s="1"/>
  <c r="P87" i="6" s="1"/>
  <c r="K90" i="6"/>
  <c r="L85" i="6"/>
  <c r="N85" i="6" s="1"/>
  <c r="P85" i="6" s="1"/>
  <c r="K76" i="6"/>
  <c r="L76" i="6" s="1"/>
  <c r="N76" i="6" s="1"/>
  <c r="P76" i="6" s="1"/>
  <c r="K71" i="6"/>
  <c r="L71" i="6" s="1"/>
  <c r="N71" i="6" s="1"/>
  <c r="P71" i="6" s="1"/>
  <c r="K79" i="6"/>
  <c r="L79" i="6" s="1"/>
  <c r="N79" i="6" s="1"/>
  <c r="P79" i="6" s="1"/>
  <c r="K74" i="6"/>
  <c r="L74" i="6" s="1"/>
  <c r="N74" i="6" s="1"/>
  <c r="P74" i="6" s="1"/>
  <c r="K81" i="6"/>
  <c r="L81" i="6" s="1"/>
  <c r="N81" i="6" s="1"/>
  <c r="P81" i="6" s="1"/>
  <c r="K68" i="6"/>
  <c r="L68" i="6" s="1"/>
  <c r="N68" i="6" s="1"/>
  <c r="P68" i="6" s="1"/>
  <c r="K75" i="6"/>
  <c r="L75" i="6" s="1"/>
  <c r="N75" i="6" s="1"/>
  <c r="P75" i="6" s="1"/>
  <c r="K80" i="6"/>
  <c r="L80" i="6" s="1"/>
  <c r="N80" i="6" s="1"/>
  <c r="P80" i="6" s="1"/>
  <c r="K72" i="6"/>
  <c r="L72" i="6" s="1"/>
  <c r="N72" i="6" s="1"/>
  <c r="P72" i="6" s="1"/>
  <c r="K83" i="6"/>
  <c r="L83" i="6" s="1"/>
  <c r="N83" i="6" s="1"/>
  <c r="P83" i="6" s="1"/>
  <c r="K69" i="6"/>
  <c r="L69" i="6" s="1"/>
  <c r="N69" i="6" s="1"/>
  <c r="P69" i="6" s="1"/>
  <c r="K77" i="6"/>
  <c r="L77" i="6" s="1"/>
  <c r="N77" i="6" s="1"/>
  <c r="P77" i="6" s="1"/>
  <c r="K84" i="6"/>
  <c r="L84" i="6" s="1"/>
  <c r="N84" i="6" s="1"/>
  <c r="P84" i="6" s="1"/>
  <c r="K70" i="6"/>
  <c r="L70" i="6" s="1"/>
  <c r="N70" i="6" s="1"/>
  <c r="P70" i="6" s="1"/>
  <c r="K78" i="6"/>
  <c r="L78" i="6" s="1"/>
  <c r="N78" i="6" s="1"/>
  <c r="P78" i="6" s="1"/>
  <c r="K67" i="6"/>
  <c r="L67" i="6" s="1"/>
  <c r="N67" i="6" s="1"/>
  <c r="P67" i="6" s="1"/>
  <c r="K73" i="6"/>
  <c r="K82" i="6"/>
  <c r="L82" i="6" s="1"/>
  <c r="N82" i="6" s="1"/>
  <c r="P82" i="6" s="1"/>
  <c r="K46" i="6"/>
  <c r="K54" i="6"/>
  <c r="L54" i="6" s="1"/>
  <c r="N54" i="6" s="1"/>
  <c r="P54" i="6" s="1"/>
  <c r="K65" i="6"/>
  <c r="L65" i="6" s="1"/>
  <c r="N65" i="6" s="1"/>
  <c r="P65" i="6" s="1"/>
  <c r="K51" i="6"/>
  <c r="L51" i="6" s="1"/>
  <c r="N51" i="6" s="1"/>
  <c r="P51" i="6" s="1"/>
  <c r="K59" i="6"/>
  <c r="L59" i="6" s="1"/>
  <c r="N59" i="6" s="1"/>
  <c r="P59" i="6" s="1"/>
  <c r="K64" i="6"/>
  <c r="K47" i="6"/>
  <c r="K58" i="6"/>
  <c r="L58" i="6" s="1"/>
  <c r="N58" i="6" s="1"/>
  <c r="P58" i="6" s="1"/>
  <c r="K63" i="6"/>
  <c r="L63" i="6" s="1"/>
  <c r="N63" i="6" s="1"/>
  <c r="P63" i="6" s="1"/>
  <c r="K53" i="6"/>
  <c r="K60" i="6"/>
  <c r="K50" i="6"/>
  <c r="L50" i="6" s="1"/>
  <c r="N50" i="6" s="1"/>
  <c r="P50" i="6" s="1"/>
  <c r="K56" i="6"/>
  <c r="L56" i="6" s="1"/>
  <c r="N56" i="6" s="1"/>
  <c r="P56" i="6" s="1"/>
  <c r="K66" i="6"/>
  <c r="L66" i="6" s="1"/>
  <c r="N66" i="6" s="1"/>
  <c r="P66" i="6" s="1"/>
  <c r="K52" i="6"/>
  <c r="K61" i="6"/>
  <c r="L61" i="6" s="1"/>
  <c r="N61" i="6" s="1"/>
  <c r="P61" i="6" s="1"/>
  <c r="K49" i="6"/>
  <c r="K55" i="6"/>
  <c r="K62" i="6"/>
  <c r="L62" i="6" s="1"/>
  <c r="N62" i="6" s="1"/>
  <c r="P62" i="6" s="1"/>
  <c r="K48" i="6"/>
  <c r="K57" i="6"/>
  <c r="L57" i="6" s="1"/>
  <c r="N57" i="6" s="1"/>
  <c r="P57" i="6" s="1"/>
  <c r="L46" i="6"/>
  <c r="N46" i="6" s="1"/>
  <c r="P46" i="6" s="1"/>
  <c r="K694" i="5"/>
  <c r="L694" i="5"/>
  <c r="N694" i="5" s="1"/>
  <c r="K693" i="5"/>
  <c r="L693" i="5"/>
  <c r="N693" i="5" s="1"/>
  <c r="K692" i="5"/>
  <c r="L692" i="5"/>
  <c r="N692" i="5" s="1"/>
  <c r="K691" i="5"/>
  <c r="L691" i="5"/>
  <c r="N691" i="5" s="1"/>
  <c r="K690" i="5"/>
  <c r="L690" i="5"/>
  <c r="N690" i="5" s="1"/>
  <c r="K689" i="5"/>
  <c r="L689" i="5"/>
  <c r="N689" i="5" s="1"/>
  <c r="K688" i="5"/>
  <c r="L688" i="5"/>
  <c r="N688" i="5" s="1"/>
  <c r="K687" i="5"/>
  <c r="L687" i="5"/>
  <c r="N687" i="5" s="1"/>
  <c r="K686" i="5"/>
  <c r="L686" i="5"/>
  <c r="N686" i="5" s="1"/>
  <c r="K685" i="5"/>
  <c r="L685" i="5"/>
  <c r="N685" i="5" s="1"/>
  <c r="K684" i="5"/>
  <c r="L684" i="5"/>
  <c r="N684" i="5" s="1"/>
  <c r="K683" i="5"/>
  <c r="L683" i="5"/>
  <c r="N683" i="5" s="1"/>
  <c r="K682" i="5"/>
  <c r="L682" i="5"/>
  <c r="N682" i="5" s="1"/>
  <c r="K681" i="5"/>
  <c r="L681" i="5"/>
  <c r="N681" i="5" s="1"/>
  <c r="K680" i="5"/>
  <c r="L680" i="5"/>
  <c r="N680" i="5" s="1"/>
  <c r="K679" i="5"/>
  <c r="L679" i="5"/>
  <c r="N679" i="5" s="1"/>
  <c r="K678" i="5"/>
  <c r="L678" i="5"/>
  <c r="N678" i="5" s="1"/>
  <c r="K677" i="5"/>
  <c r="L677" i="5"/>
  <c r="N677" i="5" s="1"/>
  <c r="K676" i="5"/>
  <c r="L676" i="5"/>
  <c r="N676" i="5" s="1"/>
  <c r="K675" i="5"/>
  <c r="L675" i="5"/>
  <c r="N675" i="5" s="1"/>
  <c r="K674" i="5"/>
  <c r="L674" i="5"/>
  <c r="N674" i="5" s="1"/>
  <c r="K673" i="5"/>
  <c r="L673" i="5"/>
  <c r="N673" i="5" s="1"/>
  <c r="K672" i="5"/>
  <c r="L672" i="5"/>
  <c r="N672" i="5" s="1"/>
  <c r="K671" i="5"/>
  <c r="L671" i="5"/>
  <c r="N671" i="5" s="1"/>
  <c r="K670" i="5"/>
  <c r="L670" i="5"/>
  <c r="N670" i="5" s="1"/>
  <c r="K669" i="5"/>
  <c r="L669" i="5"/>
  <c r="N669" i="5" s="1"/>
  <c r="K668" i="5"/>
  <c r="L668" i="5"/>
  <c r="N668" i="5" s="1"/>
  <c r="K667" i="5"/>
  <c r="L667" i="5"/>
  <c r="N667" i="5" s="1"/>
  <c r="K666" i="5"/>
  <c r="L666" i="5"/>
  <c r="N666" i="5" s="1"/>
  <c r="K665" i="5"/>
  <c r="L665" i="5"/>
  <c r="N665" i="5" s="1"/>
  <c r="K664" i="5"/>
  <c r="L664" i="5"/>
  <c r="N664" i="5" s="1"/>
  <c r="K663" i="5"/>
  <c r="L663" i="5"/>
  <c r="N663" i="5" s="1"/>
  <c r="K662" i="5"/>
  <c r="L662" i="5"/>
  <c r="N662" i="5" s="1"/>
  <c r="K661" i="5"/>
  <c r="L661" i="5"/>
  <c r="N661" i="5" s="1"/>
  <c r="K660" i="5"/>
  <c r="L660" i="5"/>
  <c r="N660" i="5" s="1"/>
  <c r="K659" i="5"/>
  <c r="L659" i="5"/>
  <c r="N659" i="5" s="1"/>
  <c r="K658" i="5"/>
  <c r="L658" i="5"/>
  <c r="N658" i="5" s="1"/>
  <c r="K657" i="5"/>
  <c r="L657" i="5"/>
  <c r="N657" i="5" s="1"/>
  <c r="K656" i="5"/>
  <c r="L656" i="5"/>
  <c r="N656" i="5" s="1"/>
  <c r="K655" i="5"/>
  <c r="L655" i="5"/>
  <c r="N655" i="5" s="1"/>
  <c r="K654" i="5"/>
  <c r="L654" i="5"/>
  <c r="N654" i="5" s="1"/>
  <c r="K653" i="5"/>
  <c r="L653" i="5"/>
  <c r="N653" i="5" s="1"/>
  <c r="K652" i="5"/>
  <c r="L652" i="5"/>
  <c r="N652" i="5" s="1"/>
  <c r="K651" i="5"/>
  <c r="L651" i="5"/>
  <c r="N651" i="5" s="1"/>
  <c r="K650" i="5"/>
  <c r="L650" i="5"/>
  <c r="N650" i="5" s="1"/>
  <c r="K649" i="5"/>
  <c r="L649" i="5"/>
  <c r="N649" i="5" s="1"/>
  <c r="K648" i="5"/>
  <c r="L648" i="5"/>
  <c r="N648" i="5" s="1"/>
  <c r="K647" i="5"/>
  <c r="L647" i="5"/>
  <c r="N647" i="5" s="1"/>
  <c r="K646" i="5"/>
  <c r="L646" i="5"/>
  <c r="N646" i="5" s="1"/>
  <c r="K645" i="5"/>
  <c r="L645" i="5"/>
  <c r="N645" i="5" s="1"/>
  <c r="K644" i="5"/>
  <c r="L644" i="5"/>
  <c r="N644" i="5" s="1"/>
  <c r="K643" i="5"/>
  <c r="L643" i="5"/>
  <c r="N643" i="5" s="1"/>
  <c r="K642" i="5"/>
  <c r="L642" i="5"/>
  <c r="N642" i="5" s="1"/>
  <c r="K641" i="5"/>
  <c r="L641" i="5"/>
  <c r="N641" i="5" s="1"/>
  <c r="K640" i="5"/>
  <c r="L640" i="5"/>
  <c r="N640" i="5" s="1"/>
  <c r="K639" i="5"/>
  <c r="L639" i="5"/>
  <c r="N639" i="5" s="1"/>
  <c r="K638" i="5"/>
  <c r="L638" i="5"/>
  <c r="N638" i="5" s="1"/>
  <c r="K637" i="5"/>
  <c r="L637" i="5"/>
  <c r="N637" i="5" s="1"/>
  <c r="K636" i="5"/>
  <c r="L636" i="5"/>
  <c r="N636" i="5" s="1"/>
  <c r="K635" i="5"/>
  <c r="L635" i="5"/>
  <c r="N635" i="5" s="1"/>
  <c r="K634" i="5"/>
  <c r="L634" i="5"/>
  <c r="N634" i="5" s="1"/>
  <c r="K633" i="5"/>
  <c r="L633" i="5"/>
  <c r="N633" i="5" s="1"/>
  <c r="K632" i="5"/>
  <c r="L632" i="5"/>
  <c r="N632" i="5" s="1"/>
  <c r="K631" i="5"/>
  <c r="L631" i="5"/>
  <c r="N631" i="5" s="1"/>
  <c r="K630" i="5"/>
  <c r="L630" i="5"/>
  <c r="N630" i="5" s="1"/>
  <c r="K629" i="5"/>
  <c r="L629" i="5"/>
  <c r="N629" i="5" s="1"/>
  <c r="K628" i="5"/>
  <c r="L628" i="5"/>
  <c r="N628" i="5" s="1"/>
  <c r="K627" i="5"/>
  <c r="L627" i="5"/>
  <c r="N627" i="5" s="1"/>
  <c r="K626" i="5"/>
  <c r="L626" i="5"/>
  <c r="N626" i="5" s="1"/>
  <c r="K625" i="5"/>
  <c r="L625" i="5"/>
  <c r="N625" i="5" s="1"/>
  <c r="K624" i="5"/>
  <c r="L624" i="5"/>
  <c r="N624" i="5" s="1"/>
  <c r="K623" i="5"/>
  <c r="L623" i="5"/>
  <c r="N623" i="5" s="1"/>
  <c r="K622" i="5"/>
  <c r="L622" i="5"/>
  <c r="N622" i="5" s="1"/>
  <c r="K621" i="5"/>
  <c r="L621" i="5"/>
  <c r="N621" i="5" s="1"/>
  <c r="K620" i="5"/>
  <c r="L620" i="5"/>
  <c r="N620" i="5" s="1"/>
  <c r="K619" i="5"/>
  <c r="L619" i="5"/>
  <c r="N619" i="5" s="1"/>
  <c r="K618" i="5"/>
  <c r="L618" i="5"/>
  <c r="N618" i="5" s="1"/>
  <c r="K617" i="5"/>
  <c r="L617" i="5"/>
  <c r="N617" i="5" s="1"/>
  <c r="K616" i="5"/>
  <c r="L616" i="5"/>
  <c r="N616" i="5" s="1"/>
  <c r="K615" i="5"/>
  <c r="L615" i="5"/>
  <c r="N615" i="5" s="1"/>
  <c r="N614" i="5"/>
  <c r="K613" i="5"/>
  <c r="L613" i="5"/>
  <c r="N613" i="5" s="1"/>
  <c r="K612" i="5"/>
  <c r="L612" i="5"/>
  <c r="N612" i="5" s="1"/>
  <c r="K611" i="5"/>
  <c r="L611" i="5"/>
  <c r="N611" i="5" s="1"/>
  <c r="K610" i="5"/>
  <c r="L610" i="5"/>
  <c r="N610" i="5" s="1"/>
  <c r="K609" i="5"/>
  <c r="L609" i="5"/>
  <c r="N609" i="5" s="1"/>
  <c r="K608" i="5"/>
  <c r="L608" i="5"/>
  <c r="N608" i="5" s="1"/>
  <c r="K607" i="5"/>
  <c r="L607" i="5"/>
  <c r="N607" i="5" s="1"/>
  <c r="K606" i="5"/>
  <c r="L606" i="5"/>
  <c r="N606" i="5" s="1"/>
  <c r="K605" i="5"/>
  <c r="L605" i="5"/>
  <c r="N605" i="5" s="1"/>
  <c r="K604" i="5"/>
  <c r="L604" i="5"/>
  <c r="N604" i="5" s="1"/>
  <c r="K603" i="5"/>
  <c r="L603" i="5"/>
  <c r="N603" i="5" s="1"/>
  <c r="K602" i="5"/>
  <c r="L602" i="5"/>
  <c r="N602" i="5" s="1"/>
  <c r="K601" i="5"/>
  <c r="L601" i="5"/>
  <c r="N601" i="5" s="1"/>
  <c r="K600" i="5"/>
  <c r="L600" i="5"/>
  <c r="N600" i="5" s="1"/>
  <c r="K599" i="5"/>
  <c r="L599" i="5"/>
  <c r="N599" i="5" s="1"/>
  <c r="K598" i="5"/>
  <c r="L598" i="5"/>
  <c r="N598" i="5" s="1"/>
  <c r="K597" i="5"/>
  <c r="L597" i="5"/>
  <c r="N597" i="5" s="1"/>
  <c r="K596" i="5"/>
  <c r="L596" i="5"/>
  <c r="N596" i="5" s="1"/>
  <c r="K595" i="5"/>
  <c r="L595" i="5"/>
  <c r="N595" i="5" s="1"/>
  <c r="K594" i="5"/>
  <c r="L594" i="5"/>
  <c r="N594" i="5" s="1"/>
  <c r="K593" i="5"/>
  <c r="L593" i="5"/>
  <c r="N593" i="5" s="1"/>
  <c r="K592" i="5"/>
  <c r="L592" i="5"/>
  <c r="N592" i="5" s="1"/>
  <c r="K591" i="5"/>
  <c r="L591" i="5"/>
  <c r="N591" i="5" s="1"/>
  <c r="K590" i="5"/>
  <c r="L590" i="5"/>
  <c r="N590" i="5" s="1"/>
  <c r="K589" i="5"/>
  <c r="L589" i="5"/>
  <c r="N589" i="5" s="1"/>
  <c r="K588" i="5"/>
  <c r="L588" i="5"/>
  <c r="N588" i="5" s="1"/>
  <c r="K587" i="5"/>
  <c r="L587" i="5"/>
  <c r="N587" i="5" s="1"/>
  <c r="K586" i="5"/>
  <c r="L586" i="5"/>
  <c r="N586" i="5" s="1"/>
  <c r="K585" i="5"/>
  <c r="L585" i="5"/>
  <c r="N585" i="5" s="1"/>
  <c r="K584" i="5"/>
  <c r="L584" i="5"/>
  <c r="N584" i="5" s="1"/>
  <c r="K583" i="5"/>
  <c r="L583" i="5"/>
  <c r="N583" i="5" s="1"/>
  <c r="K582" i="5"/>
  <c r="L582" i="5"/>
  <c r="N582" i="5" s="1"/>
  <c r="K581" i="5"/>
  <c r="L581" i="5"/>
  <c r="N581" i="5" s="1"/>
  <c r="K580" i="5"/>
  <c r="L580" i="5"/>
  <c r="N580" i="5" s="1"/>
  <c r="K579" i="5"/>
  <c r="L579" i="5"/>
  <c r="N579" i="5" s="1"/>
  <c r="K578" i="5"/>
  <c r="L578" i="5"/>
  <c r="N578" i="5" s="1"/>
  <c r="K577" i="5"/>
  <c r="L577" i="5"/>
  <c r="N577" i="5" s="1"/>
  <c r="K576" i="5"/>
  <c r="L576" i="5"/>
  <c r="N576" i="5" s="1"/>
  <c r="K575" i="5"/>
  <c r="L575" i="5"/>
  <c r="N575" i="5" s="1"/>
  <c r="K574" i="5"/>
  <c r="L574" i="5"/>
  <c r="N574" i="5" s="1"/>
  <c r="K573" i="5"/>
  <c r="L573" i="5"/>
  <c r="N573" i="5" s="1"/>
  <c r="K572" i="5"/>
  <c r="L572" i="5"/>
  <c r="N572" i="5" s="1"/>
  <c r="K571" i="5"/>
  <c r="L571" i="5"/>
  <c r="N571" i="5" s="1"/>
  <c r="K570" i="5"/>
  <c r="L570" i="5"/>
  <c r="N570" i="5" s="1"/>
  <c r="K569" i="5"/>
  <c r="L569" i="5"/>
  <c r="N569" i="5" s="1"/>
  <c r="K568" i="5"/>
  <c r="L568" i="5"/>
  <c r="N568" i="5" s="1"/>
  <c r="K567" i="5"/>
  <c r="L567" i="5"/>
  <c r="N567" i="5" s="1"/>
  <c r="K566" i="5"/>
  <c r="L566" i="5"/>
  <c r="N566" i="5" s="1"/>
  <c r="K565" i="5"/>
  <c r="L565" i="5"/>
  <c r="N565" i="5" s="1"/>
  <c r="K564" i="5"/>
  <c r="L564" i="5"/>
  <c r="N564" i="5" s="1"/>
  <c r="K563" i="5"/>
  <c r="L563" i="5"/>
  <c r="N563" i="5" s="1"/>
  <c r="K562" i="5"/>
  <c r="L562" i="5"/>
  <c r="N562" i="5" s="1"/>
  <c r="K561" i="5"/>
  <c r="L561" i="5"/>
  <c r="N561" i="5" s="1"/>
  <c r="K560" i="5"/>
  <c r="L560" i="5"/>
  <c r="N560" i="5" s="1"/>
  <c r="K559" i="5"/>
  <c r="L559" i="5"/>
  <c r="N559" i="5" s="1"/>
  <c r="K558" i="5"/>
  <c r="L558" i="5"/>
  <c r="N558" i="5" s="1"/>
  <c r="K557" i="5"/>
  <c r="L557" i="5"/>
  <c r="N557" i="5" s="1"/>
  <c r="K556" i="5"/>
  <c r="L556" i="5"/>
  <c r="N556" i="5" s="1"/>
  <c r="K555" i="5"/>
  <c r="L555" i="5"/>
  <c r="N555" i="5" s="1"/>
  <c r="K554" i="5"/>
  <c r="L554" i="5"/>
  <c r="N554" i="5" s="1"/>
  <c r="K553" i="5"/>
  <c r="L553" i="5"/>
  <c r="N553" i="5" s="1"/>
  <c r="K552" i="5"/>
  <c r="L552" i="5"/>
  <c r="N552" i="5" s="1"/>
  <c r="K551" i="5"/>
  <c r="L551" i="5"/>
  <c r="N551" i="5" s="1"/>
  <c r="K550" i="5"/>
  <c r="L550" i="5"/>
  <c r="N550" i="5" s="1"/>
  <c r="K549" i="5"/>
  <c r="L549" i="5"/>
  <c r="N549" i="5" s="1"/>
  <c r="K548" i="5"/>
  <c r="L548" i="5"/>
  <c r="N548" i="5" s="1"/>
  <c r="K547" i="5"/>
  <c r="L547" i="5"/>
  <c r="N547" i="5" s="1"/>
  <c r="K546" i="5"/>
  <c r="L546" i="5"/>
  <c r="N546" i="5" s="1"/>
  <c r="K545" i="5"/>
  <c r="L545" i="5"/>
  <c r="N545" i="5" s="1"/>
  <c r="K544" i="5"/>
  <c r="L544" i="5"/>
  <c r="N544" i="5" s="1"/>
  <c r="K543" i="5"/>
  <c r="L543" i="5"/>
  <c r="N543" i="5" s="1"/>
  <c r="K542" i="5"/>
  <c r="L542" i="5"/>
  <c r="N542" i="5" s="1"/>
  <c r="K541" i="5"/>
  <c r="L541" i="5"/>
  <c r="N541" i="5" s="1"/>
  <c r="K540" i="5"/>
  <c r="L540" i="5"/>
  <c r="N540" i="5" s="1"/>
  <c r="K539" i="5"/>
  <c r="L539" i="5"/>
  <c r="N539" i="5" s="1"/>
  <c r="K538" i="5"/>
  <c r="L538" i="5"/>
  <c r="N538" i="5" s="1"/>
  <c r="K537" i="5"/>
  <c r="L537" i="5"/>
  <c r="N537" i="5" s="1"/>
  <c r="K536" i="5"/>
  <c r="L536" i="5"/>
  <c r="N536" i="5" s="1"/>
  <c r="K535" i="5"/>
  <c r="L535" i="5"/>
  <c r="N535" i="5" s="1"/>
  <c r="K534" i="5"/>
  <c r="L534" i="5"/>
  <c r="N534" i="5" s="1"/>
  <c r="K533" i="5"/>
  <c r="L533" i="5"/>
  <c r="N533" i="5" s="1"/>
  <c r="K532" i="5"/>
  <c r="L532" i="5"/>
  <c r="N532" i="5" s="1"/>
  <c r="K531" i="5"/>
  <c r="L531" i="5"/>
  <c r="N531" i="5" s="1"/>
  <c r="K530" i="5"/>
  <c r="L530" i="5"/>
  <c r="N530" i="5" s="1"/>
  <c r="K529" i="5"/>
  <c r="L529" i="5"/>
  <c r="N529" i="5" s="1"/>
  <c r="K528" i="5"/>
  <c r="L528" i="5"/>
  <c r="N528" i="5" s="1"/>
  <c r="K527" i="5"/>
  <c r="L527" i="5"/>
  <c r="N527" i="5" s="1"/>
  <c r="K526" i="5"/>
  <c r="L526" i="5"/>
  <c r="N526" i="5" s="1"/>
  <c r="K525" i="5"/>
  <c r="L525" i="5"/>
  <c r="N525" i="5" s="1"/>
  <c r="K524" i="5"/>
  <c r="L524" i="5"/>
  <c r="N524" i="5" s="1"/>
  <c r="K523" i="5"/>
  <c r="L523" i="5"/>
  <c r="N523" i="5" s="1"/>
  <c r="K522" i="5"/>
  <c r="L522" i="5"/>
  <c r="N522" i="5" s="1"/>
  <c r="K521" i="5"/>
  <c r="L521" i="5"/>
  <c r="N521" i="5" s="1"/>
  <c r="K520" i="5"/>
  <c r="L520" i="5"/>
  <c r="N520" i="5" s="1"/>
  <c r="K519" i="5"/>
  <c r="L519" i="5"/>
  <c r="N519" i="5" s="1"/>
  <c r="K518" i="5"/>
  <c r="L518" i="5"/>
  <c r="N518" i="5" s="1"/>
  <c r="K517" i="5"/>
  <c r="L517" i="5"/>
  <c r="N517" i="5" s="1"/>
  <c r="K516" i="5"/>
  <c r="L516" i="5"/>
  <c r="N516" i="5" s="1"/>
  <c r="K515" i="5"/>
  <c r="L515" i="5"/>
  <c r="N515" i="5" s="1"/>
  <c r="K514" i="5"/>
  <c r="L514" i="5"/>
  <c r="N514" i="5" s="1"/>
  <c r="K513" i="5"/>
  <c r="L513" i="5"/>
  <c r="N513" i="5" s="1"/>
  <c r="K512" i="5"/>
  <c r="L512" i="5"/>
  <c r="N512" i="5" s="1"/>
  <c r="K511" i="5"/>
  <c r="L511" i="5"/>
  <c r="N511" i="5" s="1"/>
  <c r="K510" i="5"/>
  <c r="L510" i="5"/>
  <c r="N510" i="5" s="1"/>
  <c r="K509" i="5"/>
  <c r="L509" i="5"/>
  <c r="N509" i="5" s="1"/>
  <c r="K508" i="5"/>
  <c r="L508" i="5"/>
  <c r="N508" i="5" s="1"/>
  <c r="K507" i="5"/>
  <c r="L507" i="5"/>
  <c r="N507" i="5" s="1"/>
  <c r="K506" i="5"/>
  <c r="L506" i="5"/>
  <c r="N506" i="5" s="1"/>
  <c r="K505" i="5"/>
  <c r="L505" i="5"/>
  <c r="N505" i="5" s="1"/>
  <c r="K504" i="5"/>
  <c r="L504" i="5"/>
  <c r="N504" i="5" s="1"/>
  <c r="K503" i="5"/>
  <c r="L503" i="5"/>
  <c r="N503" i="5" s="1"/>
  <c r="K502" i="5"/>
  <c r="L502" i="5"/>
  <c r="N502" i="5" s="1"/>
  <c r="K501" i="5"/>
  <c r="L501" i="5"/>
  <c r="N501" i="5" s="1"/>
  <c r="K500" i="5"/>
  <c r="L500" i="5"/>
  <c r="N500" i="5" s="1"/>
  <c r="K499" i="5"/>
  <c r="L499" i="5"/>
  <c r="N499" i="5" s="1"/>
  <c r="K498" i="5"/>
  <c r="L498" i="5"/>
  <c r="N498" i="5" s="1"/>
  <c r="K497" i="5"/>
  <c r="L497" i="5"/>
  <c r="N497" i="5" s="1"/>
  <c r="K496" i="5"/>
  <c r="L496" i="5"/>
  <c r="N496" i="5" s="1"/>
  <c r="K495" i="5"/>
  <c r="L495" i="5"/>
  <c r="N495" i="5" s="1"/>
  <c r="K494" i="5"/>
  <c r="L494" i="5"/>
  <c r="N494" i="5" s="1"/>
  <c r="K493" i="5"/>
  <c r="L493" i="5"/>
  <c r="N493" i="5" s="1"/>
  <c r="K492" i="5"/>
  <c r="L492" i="5"/>
  <c r="N492" i="5" s="1"/>
  <c r="K491" i="5"/>
  <c r="L491" i="5"/>
  <c r="N491" i="5" s="1"/>
  <c r="K490" i="5"/>
  <c r="L490" i="5"/>
  <c r="N490" i="5" s="1"/>
  <c r="K489" i="5"/>
  <c r="L489" i="5"/>
  <c r="N489" i="5" s="1"/>
  <c r="K488" i="5"/>
  <c r="L488" i="5"/>
  <c r="N488" i="5" s="1"/>
  <c r="K487" i="5"/>
  <c r="L487" i="5"/>
  <c r="N487" i="5" s="1"/>
  <c r="K486" i="5"/>
  <c r="L486" i="5"/>
  <c r="N486" i="5" s="1"/>
  <c r="K485" i="5"/>
  <c r="L485" i="5"/>
  <c r="N485" i="5" s="1"/>
  <c r="K484" i="5"/>
  <c r="L484" i="5"/>
  <c r="N484" i="5" s="1"/>
  <c r="K483" i="5"/>
  <c r="L483" i="5"/>
  <c r="N483" i="5" s="1"/>
  <c r="K482" i="5"/>
  <c r="L482" i="5"/>
  <c r="N482" i="5" s="1"/>
  <c r="K481" i="5"/>
  <c r="L481" i="5"/>
  <c r="N481" i="5" s="1"/>
  <c r="K480" i="5"/>
  <c r="L480" i="5"/>
  <c r="N480" i="5" s="1"/>
  <c r="K479" i="5"/>
  <c r="L479" i="5"/>
  <c r="N479" i="5" s="1"/>
  <c r="K478" i="5"/>
  <c r="L478" i="5"/>
  <c r="N478" i="5" s="1"/>
  <c r="K477" i="5"/>
  <c r="L477" i="5"/>
  <c r="N477" i="5" s="1"/>
  <c r="K476" i="5"/>
  <c r="L476" i="5"/>
  <c r="N476" i="5" s="1"/>
  <c r="K475" i="5"/>
  <c r="L475" i="5"/>
  <c r="N475" i="5" s="1"/>
  <c r="K474" i="5"/>
  <c r="L474" i="5"/>
  <c r="N474" i="5" s="1"/>
  <c r="K473" i="5"/>
  <c r="L473" i="5"/>
  <c r="N473" i="5" s="1"/>
  <c r="K472" i="5"/>
  <c r="L472" i="5"/>
  <c r="N472" i="5" s="1"/>
  <c r="K471" i="5"/>
  <c r="L471" i="5"/>
  <c r="N471" i="5" s="1"/>
  <c r="K470" i="5"/>
  <c r="L470" i="5"/>
  <c r="N470" i="5" s="1"/>
  <c r="K469" i="5"/>
  <c r="L469" i="5"/>
  <c r="N469" i="5" s="1"/>
  <c r="K468" i="5"/>
  <c r="L468" i="5"/>
  <c r="N468" i="5" s="1"/>
  <c r="K467" i="5"/>
  <c r="L467" i="5"/>
  <c r="N467" i="5" s="1"/>
  <c r="K466" i="5"/>
  <c r="L466" i="5"/>
  <c r="N466" i="5" s="1"/>
  <c r="K465" i="5"/>
  <c r="L465" i="5"/>
  <c r="N465" i="5" s="1"/>
  <c r="K464" i="5"/>
  <c r="L464" i="5"/>
  <c r="N464" i="5" s="1"/>
  <c r="K463" i="5"/>
  <c r="L463" i="5"/>
  <c r="N463" i="5" s="1"/>
  <c r="K462" i="5"/>
  <c r="L462" i="5"/>
  <c r="N462" i="5" s="1"/>
  <c r="K461" i="5"/>
  <c r="L461" i="5"/>
  <c r="N461" i="5" s="1"/>
  <c r="K460" i="5"/>
  <c r="L460" i="5"/>
  <c r="N460" i="5" s="1"/>
  <c r="K459" i="5"/>
  <c r="L459" i="5"/>
  <c r="N459" i="5" s="1"/>
  <c r="K458" i="5"/>
  <c r="L458" i="5"/>
  <c r="N458" i="5" s="1"/>
  <c r="K457" i="5"/>
  <c r="L457" i="5"/>
  <c r="N457" i="5" s="1"/>
  <c r="K456" i="5"/>
  <c r="L456" i="5"/>
  <c r="N456" i="5" s="1"/>
  <c r="K455" i="5"/>
  <c r="L455" i="5"/>
  <c r="N455" i="5" s="1"/>
  <c r="K454" i="5"/>
  <c r="L454" i="5"/>
  <c r="N454" i="5" s="1"/>
  <c r="K453" i="5"/>
  <c r="L453" i="5"/>
  <c r="N453" i="5" s="1"/>
  <c r="K452" i="5"/>
  <c r="L452" i="5"/>
  <c r="N452" i="5" s="1"/>
  <c r="K451" i="5"/>
  <c r="L451" i="5"/>
  <c r="N451" i="5" s="1"/>
  <c r="K450" i="5"/>
  <c r="L450" i="5"/>
  <c r="N450" i="5" s="1"/>
  <c r="K449" i="5"/>
  <c r="L449" i="5"/>
  <c r="N449" i="5" s="1"/>
  <c r="K448" i="5"/>
  <c r="L448" i="5"/>
  <c r="N448" i="5" s="1"/>
  <c r="K447" i="5"/>
  <c r="L447" i="5"/>
  <c r="N447" i="5" s="1"/>
  <c r="K446" i="5"/>
  <c r="L446" i="5"/>
  <c r="N446" i="5" s="1"/>
  <c r="K445" i="5"/>
  <c r="L445" i="5"/>
  <c r="N445" i="5" s="1"/>
  <c r="K444" i="5"/>
  <c r="L444" i="5"/>
  <c r="N444" i="5" s="1"/>
  <c r="K443" i="5"/>
  <c r="L443" i="5"/>
  <c r="N443" i="5" s="1"/>
  <c r="K442" i="5"/>
  <c r="L442" i="5"/>
  <c r="N442" i="5" s="1"/>
  <c r="K441" i="5"/>
  <c r="L441" i="5"/>
  <c r="N441" i="5" s="1"/>
  <c r="K440" i="5"/>
  <c r="L440" i="5"/>
  <c r="N440" i="5" s="1"/>
  <c r="K439" i="5"/>
  <c r="L439" i="5"/>
  <c r="N439" i="5" s="1"/>
  <c r="K438" i="5"/>
  <c r="L438" i="5"/>
  <c r="N438" i="5" s="1"/>
  <c r="K437" i="5"/>
  <c r="L437" i="5"/>
  <c r="N437" i="5" s="1"/>
  <c r="K436" i="5"/>
  <c r="L436" i="5"/>
  <c r="N436" i="5" s="1"/>
  <c r="K435" i="5"/>
  <c r="L435" i="5"/>
  <c r="N435" i="5" s="1"/>
  <c r="K434" i="5"/>
  <c r="L434" i="5"/>
  <c r="N434" i="5" s="1"/>
  <c r="K433" i="5"/>
  <c r="L433" i="5"/>
  <c r="N433" i="5" s="1"/>
  <c r="K432" i="5"/>
  <c r="L432" i="5"/>
  <c r="N432" i="5" s="1"/>
  <c r="K431" i="5"/>
  <c r="L431" i="5"/>
  <c r="N431" i="5" s="1"/>
  <c r="K430" i="5"/>
  <c r="L430" i="5"/>
  <c r="N430" i="5" s="1"/>
  <c r="K429" i="5"/>
  <c r="L429" i="5"/>
  <c r="N429" i="5" s="1"/>
  <c r="K428" i="5"/>
  <c r="L428" i="5"/>
  <c r="N428" i="5" s="1"/>
  <c r="K427" i="5"/>
  <c r="L427" i="5"/>
  <c r="N427" i="5" s="1"/>
  <c r="K426" i="5"/>
  <c r="L426" i="5"/>
  <c r="N426" i="5" s="1"/>
  <c r="K425" i="5"/>
  <c r="L425" i="5"/>
  <c r="N425" i="5" s="1"/>
  <c r="K424" i="5"/>
  <c r="L424" i="5"/>
  <c r="N424" i="5" s="1"/>
  <c r="K423" i="5"/>
  <c r="L423" i="5"/>
  <c r="N423" i="5" s="1"/>
  <c r="K422" i="5"/>
  <c r="L422" i="5"/>
  <c r="N422" i="5" s="1"/>
  <c r="K421" i="5"/>
  <c r="L421" i="5"/>
  <c r="N421" i="5" s="1"/>
  <c r="K420" i="5"/>
  <c r="L420" i="5"/>
  <c r="N420" i="5" s="1"/>
  <c r="K419" i="5"/>
  <c r="L419" i="5"/>
  <c r="N419" i="5" s="1"/>
  <c r="K418" i="5"/>
  <c r="L418" i="5"/>
  <c r="N418" i="5" s="1"/>
  <c r="K417" i="5"/>
  <c r="L417" i="5"/>
  <c r="N417" i="5" s="1"/>
  <c r="K416" i="5"/>
  <c r="L416" i="5"/>
  <c r="N416" i="5" s="1"/>
  <c r="K415" i="5"/>
  <c r="L415" i="5"/>
  <c r="N415" i="5" s="1"/>
  <c r="K414" i="5"/>
  <c r="L414" i="5"/>
  <c r="N414" i="5" s="1"/>
  <c r="K413" i="5"/>
  <c r="L413" i="5"/>
  <c r="N413" i="5" s="1"/>
  <c r="K412" i="5"/>
  <c r="L412" i="5"/>
  <c r="N412" i="5" s="1"/>
  <c r="N411" i="5"/>
  <c r="K410" i="5"/>
  <c r="L410" i="5"/>
  <c r="N410" i="5" s="1"/>
  <c r="K409" i="5"/>
  <c r="L409" i="5"/>
  <c r="N409" i="5" s="1"/>
  <c r="K408" i="5"/>
  <c r="L408" i="5"/>
  <c r="N408" i="5" s="1"/>
  <c r="K407" i="5"/>
  <c r="L407" i="5"/>
  <c r="N407" i="5" s="1"/>
  <c r="K406" i="5"/>
  <c r="L406" i="5"/>
  <c r="N406" i="5" s="1"/>
  <c r="K405" i="5"/>
  <c r="L405" i="5"/>
  <c r="N405" i="5" s="1"/>
  <c r="K404" i="5"/>
  <c r="L404" i="5"/>
  <c r="N404" i="5" s="1"/>
  <c r="K403" i="5"/>
  <c r="L403" i="5"/>
  <c r="N403" i="5" s="1"/>
  <c r="K402" i="5"/>
  <c r="L402" i="5"/>
  <c r="N402" i="5" s="1"/>
  <c r="K401" i="5"/>
  <c r="L401" i="5"/>
  <c r="N401" i="5" s="1"/>
  <c r="K400" i="5"/>
  <c r="L400" i="5"/>
  <c r="N400" i="5" s="1"/>
  <c r="K399" i="5"/>
  <c r="L399" i="5"/>
  <c r="N399" i="5" s="1"/>
  <c r="K398" i="5"/>
  <c r="L398" i="5"/>
  <c r="N398" i="5" s="1"/>
  <c r="K397" i="5"/>
  <c r="L397" i="5"/>
  <c r="N397" i="5" s="1"/>
  <c r="K396" i="5"/>
  <c r="L396" i="5"/>
  <c r="N396" i="5" s="1"/>
  <c r="K395" i="5"/>
  <c r="L395" i="5"/>
  <c r="N395" i="5" s="1"/>
  <c r="K394" i="5"/>
  <c r="L394" i="5"/>
  <c r="N394" i="5" s="1"/>
  <c r="K393" i="5"/>
  <c r="L393" i="5"/>
  <c r="N393" i="5" s="1"/>
  <c r="K392" i="5"/>
  <c r="L392" i="5"/>
  <c r="N392" i="5" s="1"/>
  <c r="K391" i="5"/>
  <c r="L391" i="5"/>
  <c r="N391" i="5" s="1"/>
  <c r="K390" i="5"/>
  <c r="L390" i="5"/>
  <c r="N390" i="5" s="1"/>
  <c r="K389" i="5"/>
  <c r="L389" i="5"/>
  <c r="N389" i="5" s="1"/>
  <c r="K388" i="5"/>
  <c r="L388" i="5"/>
  <c r="N388" i="5" s="1"/>
  <c r="K387" i="5"/>
  <c r="L387" i="5"/>
  <c r="N387" i="5" s="1"/>
  <c r="K386" i="5"/>
  <c r="L386" i="5"/>
  <c r="N386" i="5" s="1"/>
  <c r="K385" i="5"/>
  <c r="L385" i="5"/>
  <c r="N385" i="5" s="1"/>
  <c r="K384" i="5"/>
  <c r="L384" i="5"/>
  <c r="N384" i="5" s="1"/>
  <c r="K383" i="5"/>
  <c r="L383" i="5"/>
  <c r="N383" i="5" s="1"/>
  <c r="K382" i="5"/>
  <c r="L382" i="5"/>
  <c r="N382" i="5" s="1"/>
  <c r="K381" i="5"/>
  <c r="L381" i="5"/>
  <c r="N381" i="5" s="1"/>
  <c r="K380" i="5"/>
  <c r="L380" i="5"/>
  <c r="N380" i="5" s="1"/>
  <c r="K379" i="5"/>
  <c r="L379" i="5"/>
  <c r="N379" i="5" s="1"/>
  <c r="K378" i="5"/>
  <c r="L378" i="5"/>
  <c r="N378" i="5" s="1"/>
  <c r="K377" i="5"/>
  <c r="L377" i="5"/>
  <c r="N377" i="5" s="1"/>
  <c r="K376" i="5"/>
  <c r="L376" i="5"/>
  <c r="N376" i="5" s="1"/>
  <c r="K375" i="5"/>
  <c r="L375" i="5"/>
  <c r="N375" i="5" s="1"/>
  <c r="K374" i="5"/>
  <c r="L374" i="5"/>
  <c r="N374" i="5" s="1"/>
  <c r="K373" i="5"/>
  <c r="L373" i="5"/>
  <c r="N373" i="5" s="1"/>
  <c r="K372" i="5"/>
  <c r="L372" i="5"/>
  <c r="N372" i="5" s="1"/>
  <c r="K371" i="5"/>
  <c r="L371" i="5"/>
  <c r="N371" i="5" s="1"/>
  <c r="K370" i="5"/>
  <c r="L370" i="5"/>
  <c r="N370" i="5" s="1"/>
  <c r="K369" i="5"/>
  <c r="L369" i="5"/>
  <c r="N369" i="5" s="1"/>
  <c r="K368" i="5"/>
  <c r="L368" i="5"/>
  <c r="N368" i="5" s="1"/>
  <c r="K367" i="5"/>
  <c r="L367" i="5"/>
  <c r="N367" i="5" s="1"/>
  <c r="K366" i="5"/>
  <c r="L366" i="5"/>
  <c r="N366" i="5" s="1"/>
  <c r="K365" i="5"/>
  <c r="L365" i="5"/>
  <c r="N365" i="5" s="1"/>
  <c r="K364" i="5"/>
  <c r="L364" i="5"/>
  <c r="N364" i="5" s="1"/>
  <c r="K363" i="5"/>
  <c r="L363" i="5"/>
  <c r="N363" i="5" s="1"/>
  <c r="K362" i="5"/>
  <c r="L362" i="5"/>
  <c r="N362" i="5" s="1"/>
  <c r="K361" i="5"/>
  <c r="L361" i="5"/>
  <c r="N361" i="5" s="1"/>
  <c r="K360" i="5"/>
  <c r="L360" i="5"/>
  <c r="N360" i="5" s="1"/>
  <c r="K359" i="5"/>
  <c r="L359" i="5"/>
  <c r="N359" i="5" s="1"/>
  <c r="K358" i="5"/>
  <c r="L358" i="5"/>
  <c r="N358" i="5" s="1"/>
  <c r="K357" i="5"/>
  <c r="L357" i="5"/>
  <c r="N357" i="5" s="1"/>
  <c r="K356" i="5"/>
  <c r="L356" i="5"/>
  <c r="N356" i="5" s="1"/>
  <c r="K355" i="5"/>
  <c r="L355" i="5"/>
  <c r="N355" i="5" s="1"/>
  <c r="L354" i="5"/>
  <c r="N354" i="5" s="1"/>
  <c r="K354" i="5"/>
  <c r="N353" i="5"/>
  <c r="K352" i="5"/>
  <c r="L352" i="5"/>
  <c r="N352" i="5" s="1"/>
  <c r="K351" i="5"/>
  <c r="L351" i="5"/>
  <c r="N351" i="5" s="1"/>
  <c r="K350" i="5"/>
  <c r="L350" i="5"/>
  <c r="N350" i="5" s="1"/>
  <c r="K349" i="5"/>
  <c r="L349" i="5"/>
  <c r="N349" i="5" s="1"/>
  <c r="L348" i="5"/>
  <c r="N348" i="5" s="1"/>
  <c r="K348" i="5"/>
  <c r="L347" i="5"/>
  <c r="N347" i="5" s="1"/>
  <c r="K347" i="5"/>
  <c r="K346" i="5"/>
  <c r="L346" i="5"/>
  <c r="N346" i="5" s="1"/>
  <c r="L345" i="5"/>
  <c r="N345" i="5" s="1"/>
  <c r="K345" i="5"/>
  <c r="K344" i="5"/>
  <c r="L344" i="5"/>
  <c r="N344" i="5" s="1"/>
  <c r="K343" i="5"/>
  <c r="L343" i="5"/>
  <c r="N343" i="5" s="1"/>
  <c r="K342" i="5"/>
  <c r="L342" i="5"/>
  <c r="N342" i="5" s="1"/>
  <c r="K341" i="5"/>
  <c r="L341" i="5"/>
  <c r="N341" i="5" s="1"/>
  <c r="L340" i="5"/>
  <c r="N340" i="5" s="1"/>
  <c r="K340" i="5"/>
  <c r="L339" i="5"/>
  <c r="N339" i="5" s="1"/>
  <c r="K339" i="5"/>
  <c r="L338" i="5"/>
  <c r="N338" i="5" s="1"/>
  <c r="K338" i="5"/>
  <c r="L337" i="5"/>
  <c r="N337" i="5" s="1"/>
  <c r="K337" i="5"/>
  <c r="L336" i="5"/>
  <c r="N336" i="5" s="1"/>
  <c r="K336" i="5"/>
  <c r="K335" i="5"/>
  <c r="L335" i="5"/>
  <c r="N335" i="5" s="1"/>
  <c r="K334" i="5"/>
  <c r="L334" i="5"/>
  <c r="N334" i="5" s="1"/>
  <c r="L333" i="5"/>
  <c r="N333" i="5" s="1"/>
  <c r="K333" i="5"/>
  <c r="K332" i="5"/>
  <c r="L332" i="5"/>
  <c r="N332" i="5" s="1"/>
  <c r="K331" i="5"/>
  <c r="L331" i="5"/>
  <c r="N331" i="5" s="1"/>
  <c r="K330" i="5"/>
  <c r="L330" i="5"/>
  <c r="N330" i="5" s="1"/>
  <c r="K329" i="5"/>
  <c r="L329" i="5"/>
  <c r="N329" i="5" s="1"/>
  <c r="K328" i="5"/>
  <c r="L328" i="5"/>
  <c r="N328" i="5" s="1"/>
  <c r="K327" i="5"/>
  <c r="L327" i="5"/>
  <c r="N327" i="5" s="1"/>
  <c r="K326" i="5"/>
  <c r="L326" i="5"/>
  <c r="N326" i="5" s="1"/>
  <c r="K325" i="5"/>
  <c r="L325" i="5"/>
  <c r="N325" i="5" s="1"/>
  <c r="K324" i="5"/>
  <c r="L324" i="5"/>
  <c r="N324" i="5" s="1"/>
  <c r="L323" i="5"/>
  <c r="N323" i="5" s="1"/>
  <c r="K323" i="5"/>
  <c r="L322" i="5"/>
  <c r="N322" i="5" s="1"/>
  <c r="K322" i="5"/>
  <c r="K321" i="5"/>
  <c r="L321" i="5"/>
  <c r="N321" i="5" s="1"/>
  <c r="K320" i="5"/>
  <c r="L320" i="5"/>
  <c r="N320" i="5" s="1"/>
  <c r="K319" i="5"/>
  <c r="L319" i="5"/>
  <c r="N319" i="5" s="1"/>
  <c r="L318" i="5"/>
  <c r="N318" i="5" s="1"/>
  <c r="K318" i="5"/>
  <c r="L317" i="5"/>
  <c r="N317" i="5" s="1"/>
  <c r="K317" i="5"/>
  <c r="K316" i="5"/>
  <c r="L316" i="5"/>
  <c r="N316" i="5" s="1"/>
  <c r="L315" i="5"/>
  <c r="N315" i="5" s="1"/>
  <c r="K315" i="5"/>
  <c r="L314" i="5"/>
  <c r="N314" i="5" s="1"/>
  <c r="K314" i="5"/>
  <c r="L313" i="5"/>
  <c r="N313" i="5" s="1"/>
  <c r="K313" i="5"/>
  <c r="L312" i="5"/>
  <c r="N312" i="5" s="1"/>
  <c r="K312" i="5"/>
  <c r="L311" i="5"/>
  <c r="N311" i="5" s="1"/>
  <c r="K311" i="5"/>
  <c r="L310" i="5"/>
  <c r="N310" i="5" s="1"/>
  <c r="K310" i="5"/>
  <c r="L309" i="5"/>
  <c r="N309" i="5" s="1"/>
  <c r="K309" i="5"/>
  <c r="K308" i="5"/>
  <c r="L308" i="5"/>
  <c r="N308" i="5" s="1"/>
  <c r="L307" i="5"/>
  <c r="N307" i="5" s="1"/>
  <c r="K307" i="5"/>
  <c r="K306" i="5"/>
  <c r="L306" i="5"/>
  <c r="N306" i="5" s="1"/>
  <c r="K305" i="5"/>
  <c r="L305" i="5"/>
  <c r="N305" i="5" s="1"/>
  <c r="K304" i="5"/>
  <c r="L304" i="5"/>
  <c r="N304" i="5" s="1"/>
  <c r="K303" i="5"/>
  <c r="L303" i="5"/>
  <c r="N303" i="5" s="1"/>
  <c r="L302" i="5"/>
  <c r="N302" i="5" s="1"/>
  <c r="K302" i="5"/>
  <c r="K301" i="5"/>
  <c r="L301" i="5"/>
  <c r="N301" i="5" s="1"/>
  <c r="K300" i="5"/>
  <c r="L300" i="5"/>
  <c r="N300" i="5" s="1"/>
  <c r="K299" i="5"/>
  <c r="L299" i="5"/>
  <c r="N299" i="5" s="1"/>
  <c r="L298" i="5"/>
  <c r="N298" i="5" s="1"/>
  <c r="K298" i="5"/>
  <c r="K297" i="5"/>
  <c r="L297" i="5"/>
  <c r="N297" i="5" s="1"/>
  <c r="K296" i="5"/>
  <c r="L296" i="5"/>
  <c r="N296" i="5" s="1"/>
  <c r="L295" i="5"/>
  <c r="N295" i="5" s="1"/>
  <c r="K295" i="5"/>
  <c r="K294" i="5"/>
  <c r="L294" i="5"/>
  <c r="N294" i="5" s="1"/>
  <c r="K293" i="5"/>
  <c r="L293" i="5"/>
  <c r="N293" i="5" s="1"/>
  <c r="L292" i="5"/>
  <c r="N292" i="5" s="1"/>
  <c r="K292" i="5"/>
  <c r="K291" i="5"/>
  <c r="L291" i="5"/>
  <c r="N291" i="5" s="1"/>
  <c r="K290" i="5"/>
  <c r="L290" i="5"/>
  <c r="N290" i="5" s="1"/>
  <c r="K289" i="5"/>
  <c r="L289" i="5"/>
  <c r="N289" i="5" s="1"/>
  <c r="K288" i="5"/>
  <c r="L288" i="5"/>
  <c r="N288" i="5" s="1"/>
  <c r="K287" i="5"/>
  <c r="L287" i="5"/>
  <c r="N287" i="5" s="1"/>
  <c r="K286" i="5"/>
  <c r="L286" i="5"/>
  <c r="N286" i="5" s="1"/>
  <c r="L285" i="5"/>
  <c r="N285" i="5" s="1"/>
  <c r="K285" i="5"/>
  <c r="K284" i="5"/>
  <c r="L284" i="5"/>
  <c r="N284" i="5" s="1"/>
  <c r="L283" i="5"/>
  <c r="N283" i="5" s="1"/>
  <c r="K283" i="5"/>
  <c r="K282" i="5"/>
  <c r="L282" i="5"/>
  <c r="N282" i="5" s="1"/>
  <c r="K281" i="5"/>
  <c r="L281" i="5"/>
  <c r="N281" i="5" s="1"/>
  <c r="K280" i="5"/>
  <c r="L280" i="5"/>
  <c r="N280" i="5" s="1"/>
  <c r="K279" i="5"/>
  <c r="L279" i="5"/>
  <c r="N279" i="5" s="1"/>
  <c r="K278" i="5"/>
  <c r="L278" i="5"/>
  <c r="N278" i="5" s="1"/>
  <c r="K277" i="5"/>
  <c r="L277" i="5"/>
  <c r="N277" i="5" s="1"/>
  <c r="L276" i="5"/>
  <c r="N276" i="5" s="1"/>
  <c r="K276" i="5"/>
  <c r="K275" i="5"/>
  <c r="L275" i="5"/>
  <c r="N275" i="5" s="1"/>
  <c r="L274" i="5"/>
  <c r="N274" i="5" s="1"/>
  <c r="K274" i="5"/>
  <c r="L273" i="5"/>
  <c r="N273" i="5" s="1"/>
  <c r="K273" i="5"/>
  <c r="L272" i="5"/>
  <c r="N272" i="5" s="1"/>
  <c r="K272" i="5"/>
  <c r="L271" i="5"/>
  <c r="N271" i="5" s="1"/>
  <c r="K271" i="5"/>
  <c r="K270" i="5"/>
  <c r="L270" i="5"/>
  <c r="N270" i="5" s="1"/>
  <c r="K269" i="5"/>
  <c r="L269" i="5"/>
  <c r="N269" i="5" s="1"/>
  <c r="K268" i="5"/>
  <c r="L268" i="5"/>
  <c r="N268" i="5" s="1"/>
  <c r="K267" i="5"/>
  <c r="L267" i="5"/>
  <c r="N267" i="5" s="1"/>
  <c r="K266" i="5"/>
  <c r="L266" i="5"/>
  <c r="N266" i="5" s="1"/>
  <c r="K265" i="5"/>
  <c r="L265" i="5"/>
  <c r="N265" i="5" s="1"/>
  <c r="K264" i="5"/>
  <c r="L264" i="5"/>
  <c r="N264" i="5" s="1"/>
  <c r="K263" i="5"/>
  <c r="L263" i="5"/>
  <c r="N263" i="5" s="1"/>
  <c r="K262" i="5"/>
  <c r="L262" i="5"/>
  <c r="N262" i="5" s="1"/>
  <c r="L261" i="5"/>
  <c r="N261" i="5" s="1"/>
  <c r="K261" i="5"/>
  <c r="K260" i="5"/>
  <c r="L260" i="5"/>
  <c r="N260" i="5" s="1"/>
  <c r="K259" i="5"/>
  <c r="L259" i="5"/>
  <c r="N259" i="5" s="1"/>
  <c r="K258" i="5"/>
  <c r="L258" i="5"/>
  <c r="N258" i="5" s="1"/>
  <c r="L257" i="5"/>
  <c r="N257" i="5" s="1"/>
  <c r="K257" i="5"/>
  <c r="K256" i="5"/>
  <c r="L256" i="5"/>
  <c r="N256" i="5" s="1"/>
  <c r="L255" i="5"/>
  <c r="N255" i="5" s="1"/>
  <c r="K255" i="5"/>
  <c r="L254" i="5"/>
  <c r="N254" i="5" s="1"/>
  <c r="K254" i="5"/>
  <c r="L253" i="5"/>
  <c r="N253" i="5" s="1"/>
  <c r="K253" i="5"/>
  <c r="L252" i="5"/>
  <c r="N252" i="5" s="1"/>
  <c r="K252" i="5"/>
  <c r="L251" i="5"/>
  <c r="N251" i="5" s="1"/>
  <c r="K251" i="5"/>
  <c r="L250" i="5"/>
  <c r="N250" i="5" s="1"/>
  <c r="K250" i="5"/>
  <c r="K249" i="5"/>
  <c r="L249" i="5"/>
  <c r="N249" i="5" s="1"/>
  <c r="L248" i="5"/>
  <c r="N248" i="5" s="1"/>
  <c r="K248" i="5"/>
  <c r="K247" i="5"/>
  <c r="L247" i="5"/>
  <c r="N247" i="5" s="1"/>
  <c r="L246" i="5"/>
  <c r="N246" i="5" s="1"/>
  <c r="K246" i="5"/>
  <c r="L245" i="5"/>
  <c r="N245" i="5" s="1"/>
  <c r="K245" i="5"/>
  <c r="L244" i="5"/>
  <c r="N244" i="5" s="1"/>
  <c r="K244" i="5"/>
  <c r="K243" i="5"/>
  <c r="L243" i="5"/>
  <c r="N243" i="5" s="1"/>
  <c r="L242" i="5"/>
  <c r="N242" i="5" s="1"/>
  <c r="K242" i="5"/>
  <c r="L241" i="5"/>
  <c r="N241" i="5" s="1"/>
  <c r="K241" i="5"/>
  <c r="L240" i="5"/>
  <c r="N240" i="5" s="1"/>
  <c r="K240" i="5"/>
  <c r="L239" i="5"/>
  <c r="N239" i="5" s="1"/>
  <c r="K239" i="5"/>
  <c r="K238" i="5"/>
  <c r="L238" i="5"/>
  <c r="N238" i="5" s="1"/>
  <c r="L237" i="5"/>
  <c r="N237" i="5" s="1"/>
  <c r="K237" i="5"/>
  <c r="L236" i="5"/>
  <c r="N236" i="5" s="1"/>
  <c r="K236" i="5"/>
  <c r="K235" i="5"/>
  <c r="L235" i="5"/>
  <c r="N235" i="5" s="1"/>
  <c r="L234" i="5"/>
  <c r="N234" i="5" s="1"/>
  <c r="K234" i="5"/>
  <c r="K233" i="5"/>
  <c r="L233" i="5"/>
  <c r="N233" i="5" s="1"/>
  <c r="K232" i="5"/>
  <c r="L232" i="5"/>
  <c r="N232" i="5" s="1"/>
  <c r="L231" i="5"/>
  <c r="N231" i="5" s="1"/>
  <c r="K231" i="5"/>
  <c r="L230" i="5"/>
  <c r="N230" i="5" s="1"/>
  <c r="K230" i="5"/>
  <c r="K229" i="5"/>
  <c r="L229" i="5"/>
  <c r="N229" i="5" s="1"/>
  <c r="L228" i="5"/>
  <c r="N228" i="5" s="1"/>
  <c r="K228" i="5"/>
  <c r="L227" i="5"/>
  <c r="N227" i="5" s="1"/>
  <c r="K227" i="5"/>
  <c r="L226" i="5"/>
  <c r="N226" i="5" s="1"/>
  <c r="K226" i="5"/>
  <c r="L225" i="5"/>
  <c r="N225" i="5" s="1"/>
  <c r="K225" i="5"/>
  <c r="K224" i="5"/>
  <c r="L224" i="5"/>
  <c r="N224" i="5" s="1"/>
  <c r="L223" i="5"/>
  <c r="N223" i="5" s="1"/>
  <c r="K223" i="5"/>
  <c r="L222" i="5"/>
  <c r="N222" i="5" s="1"/>
  <c r="K222" i="5"/>
  <c r="L221" i="5"/>
  <c r="N221" i="5" s="1"/>
  <c r="K221" i="5"/>
  <c r="K220" i="5"/>
  <c r="L220" i="5"/>
  <c r="N220" i="5" s="1"/>
  <c r="K219" i="5"/>
  <c r="L219" i="5"/>
  <c r="N219" i="5" s="1"/>
  <c r="L218" i="5"/>
  <c r="N218" i="5" s="1"/>
  <c r="K218" i="5"/>
  <c r="K217" i="5"/>
  <c r="L217" i="5"/>
  <c r="N217" i="5" s="1"/>
  <c r="K216" i="5"/>
  <c r="L216" i="5"/>
  <c r="N216" i="5" s="1"/>
  <c r="K215" i="5"/>
  <c r="L215" i="5"/>
  <c r="N215" i="5" s="1"/>
  <c r="L214" i="5"/>
  <c r="N214" i="5" s="1"/>
  <c r="K214" i="5"/>
  <c r="L213" i="5"/>
  <c r="N213" i="5" s="1"/>
  <c r="K213" i="5"/>
  <c r="L212" i="5"/>
  <c r="N212" i="5" s="1"/>
  <c r="K212" i="5"/>
  <c r="K211" i="5"/>
  <c r="L211" i="5"/>
  <c r="N211" i="5" s="1"/>
  <c r="K210" i="5"/>
  <c r="L210" i="5"/>
  <c r="N210" i="5" s="1"/>
  <c r="K209" i="5"/>
  <c r="L209" i="5"/>
  <c r="N209" i="5" s="1"/>
  <c r="N208" i="5"/>
  <c r="K207" i="5"/>
  <c r="L207" i="5"/>
  <c r="N207" i="5" s="1"/>
  <c r="K206" i="5"/>
  <c r="L206" i="5"/>
  <c r="N206" i="5" s="1"/>
  <c r="K205" i="5"/>
  <c r="L205" i="5"/>
  <c r="N205" i="5" s="1"/>
  <c r="K204" i="5"/>
  <c r="L204" i="5"/>
  <c r="N204" i="5" s="1"/>
  <c r="K203" i="5"/>
  <c r="L203" i="5"/>
  <c r="N203" i="5" s="1"/>
  <c r="K202" i="5"/>
  <c r="L202" i="5"/>
  <c r="N202" i="5" s="1"/>
  <c r="K201" i="5"/>
  <c r="L201" i="5"/>
  <c r="N201" i="5" s="1"/>
  <c r="K200" i="5"/>
  <c r="L200" i="5"/>
  <c r="N200" i="5" s="1"/>
  <c r="K199" i="5"/>
  <c r="L199" i="5"/>
  <c r="N199" i="5" s="1"/>
  <c r="K198" i="5"/>
  <c r="L198" i="5"/>
  <c r="N198" i="5" s="1"/>
  <c r="K197" i="5"/>
  <c r="L197" i="5"/>
  <c r="N197" i="5" s="1"/>
  <c r="K196" i="5"/>
  <c r="L196" i="5"/>
  <c r="N196" i="5" s="1"/>
  <c r="K195" i="5"/>
  <c r="L195" i="5"/>
  <c r="N195" i="5" s="1"/>
  <c r="K194" i="5"/>
  <c r="L194" i="5"/>
  <c r="N194" i="5" s="1"/>
  <c r="K193" i="5"/>
  <c r="L193" i="5"/>
  <c r="N193" i="5" s="1"/>
  <c r="K192" i="5"/>
  <c r="L192" i="5"/>
  <c r="N192" i="5" s="1"/>
  <c r="K191" i="5"/>
  <c r="L191" i="5"/>
  <c r="N191" i="5" s="1"/>
  <c r="K190" i="5"/>
  <c r="L190" i="5"/>
  <c r="N190" i="5" s="1"/>
  <c r="K189" i="5"/>
  <c r="L189" i="5"/>
  <c r="N189" i="5" s="1"/>
  <c r="K188" i="5"/>
  <c r="L188" i="5"/>
  <c r="N188" i="5" s="1"/>
  <c r="K187" i="5"/>
  <c r="L187" i="5"/>
  <c r="N187" i="5" s="1"/>
  <c r="K186" i="5"/>
  <c r="L186" i="5"/>
  <c r="N186" i="5" s="1"/>
  <c r="K185" i="5"/>
  <c r="L185" i="5"/>
  <c r="N185" i="5" s="1"/>
  <c r="K184" i="5"/>
  <c r="L184" i="5"/>
  <c r="N184" i="5" s="1"/>
  <c r="K183" i="5"/>
  <c r="L183" i="5"/>
  <c r="N183" i="5" s="1"/>
  <c r="K182" i="5"/>
  <c r="L182" i="5"/>
  <c r="N182" i="5" s="1"/>
  <c r="K181" i="5"/>
  <c r="L181" i="5"/>
  <c r="N181" i="5" s="1"/>
  <c r="K180" i="5"/>
  <c r="L180" i="5"/>
  <c r="N180" i="5" s="1"/>
  <c r="K179" i="5"/>
  <c r="L179" i="5"/>
  <c r="N179" i="5" s="1"/>
  <c r="K178" i="5"/>
  <c r="L178" i="5"/>
  <c r="N178" i="5" s="1"/>
  <c r="K177" i="5"/>
  <c r="L177" i="5"/>
  <c r="N177" i="5" s="1"/>
  <c r="K176" i="5"/>
  <c r="L176" i="5"/>
  <c r="N176" i="5" s="1"/>
  <c r="K175" i="5"/>
  <c r="L175" i="5"/>
  <c r="N175" i="5" s="1"/>
  <c r="K174" i="5"/>
  <c r="L174" i="5"/>
  <c r="N174" i="5" s="1"/>
  <c r="K173" i="5"/>
  <c r="L173" i="5"/>
  <c r="N173" i="5" s="1"/>
  <c r="K172" i="5"/>
  <c r="L172" i="5"/>
  <c r="N172" i="5" s="1"/>
  <c r="K171" i="5"/>
  <c r="L171" i="5"/>
  <c r="N171" i="5" s="1"/>
  <c r="K170" i="5"/>
  <c r="L170" i="5"/>
  <c r="N170" i="5" s="1"/>
  <c r="K169" i="5"/>
  <c r="L169" i="5"/>
  <c r="N169" i="5" s="1"/>
  <c r="K168" i="5"/>
  <c r="L168" i="5"/>
  <c r="N168" i="5" s="1"/>
  <c r="K167" i="5"/>
  <c r="L167" i="5"/>
  <c r="N167" i="5" s="1"/>
  <c r="K166" i="5"/>
  <c r="L166" i="5"/>
  <c r="N166" i="5" s="1"/>
  <c r="K165" i="5"/>
  <c r="L165" i="5"/>
  <c r="N165" i="5" s="1"/>
  <c r="K164" i="5"/>
  <c r="L164" i="5"/>
  <c r="N164" i="5" s="1"/>
  <c r="K163" i="5"/>
  <c r="L163" i="5"/>
  <c r="N163" i="5" s="1"/>
  <c r="K162" i="5"/>
  <c r="L162" i="5"/>
  <c r="N162" i="5" s="1"/>
  <c r="K161" i="5"/>
  <c r="L161" i="5"/>
  <c r="N161" i="5" s="1"/>
  <c r="K160" i="5"/>
  <c r="L160" i="5"/>
  <c r="N160" i="5" s="1"/>
  <c r="K159" i="5"/>
  <c r="L159" i="5"/>
  <c r="N159" i="5" s="1"/>
  <c r="K158" i="5"/>
  <c r="L158" i="5"/>
  <c r="N158" i="5" s="1"/>
  <c r="K157" i="5"/>
  <c r="L157" i="5"/>
  <c r="N157" i="5" s="1"/>
  <c r="K156" i="5"/>
  <c r="L156" i="5"/>
  <c r="N156" i="5" s="1"/>
  <c r="K155" i="5"/>
  <c r="L155" i="5"/>
  <c r="N155" i="5" s="1"/>
  <c r="K154" i="5"/>
  <c r="L154" i="5"/>
  <c r="N154" i="5" s="1"/>
  <c r="K153" i="5"/>
  <c r="L153" i="5"/>
  <c r="N153" i="5" s="1"/>
  <c r="K152" i="5"/>
  <c r="L152" i="5"/>
  <c r="N152" i="5" s="1"/>
  <c r="K151" i="5"/>
  <c r="L151" i="5"/>
  <c r="N151" i="5" s="1"/>
  <c r="K150" i="5"/>
  <c r="L150" i="5"/>
  <c r="N150" i="5" s="1"/>
  <c r="K149" i="5"/>
  <c r="L149" i="5"/>
  <c r="N149" i="5" s="1"/>
  <c r="K148" i="5"/>
  <c r="L148" i="5"/>
  <c r="N148" i="5" s="1"/>
  <c r="K147" i="5"/>
  <c r="L147" i="5"/>
  <c r="N147" i="5" s="1"/>
  <c r="K146" i="5"/>
  <c r="L146" i="5"/>
  <c r="N146" i="5" s="1"/>
  <c r="K145" i="5"/>
  <c r="L145" i="5"/>
  <c r="N145" i="5" s="1"/>
  <c r="K144" i="5"/>
  <c r="L144" i="5"/>
  <c r="N144" i="5" s="1"/>
  <c r="K143" i="5"/>
  <c r="L143" i="5"/>
  <c r="N143" i="5" s="1"/>
  <c r="K142" i="5"/>
  <c r="L142" i="5"/>
  <c r="N142" i="5" s="1"/>
  <c r="K141" i="5"/>
  <c r="L141" i="5"/>
  <c r="N141" i="5" s="1"/>
  <c r="K140" i="5"/>
  <c r="L140" i="5"/>
  <c r="N140" i="5" s="1"/>
  <c r="K139" i="5"/>
  <c r="L139" i="5"/>
  <c r="N139" i="5" s="1"/>
  <c r="K138" i="5"/>
  <c r="L138" i="5"/>
  <c r="N138" i="5" s="1"/>
  <c r="K137" i="5"/>
  <c r="L137" i="5"/>
  <c r="N137" i="5" s="1"/>
  <c r="K136" i="5"/>
  <c r="L136" i="5"/>
  <c r="N136" i="5" s="1"/>
  <c r="K135" i="5"/>
  <c r="L135" i="5"/>
  <c r="N135" i="5" s="1"/>
  <c r="K134" i="5"/>
  <c r="L134" i="5"/>
  <c r="N134" i="5" s="1"/>
  <c r="K133" i="5"/>
  <c r="L133" i="5"/>
  <c r="N133" i="5" s="1"/>
  <c r="K132" i="5"/>
  <c r="L132" i="5"/>
  <c r="N132" i="5" s="1"/>
  <c r="K131" i="5"/>
  <c r="L131" i="5"/>
  <c r="N131" i="5" s="1"/>
  <c r="K130" i="5"/>
  <c r="L130" i="5"/>
  <c r="N130" i="5" s="1"/>
  <c r="K129" i="5"/>
  <c r="L129" i="5"/>
  <c r="N129" i="5" s="1"/>
  <c r="K128" i="5"/>
  <c r="L128" i="5"/>
  <c r="N128" i="5" s="1"/>
  <c r="K127" i="5"/>
  <c r="L127" i="5"/>
  <c r="K126" i="5"/>
  <c r="L126" i="5"/>
  <c r="K125" i="5"/>
  <c r="L125" i="5"/>
  <c r="K124" i="5"/>
  <c r="L124" i="5"/>
  <c r="K123" i="5"/>
  <c r="L123" i="5"/>
  <c r="K122" i="5"/>
  <c r="L122" i="5"/>
  <c r="K121" i="5"/>
  <c r="L121" i="5"/>
  <c r="K120" i="5"/>
  <c r="L120" i="5"/>
  <c r="K119" i="5"/>
  <c r="L119" i="5"/>
  <c r="K118" i="5"/>
  <c r="L118" i="5"/>
  <c r="K117" i="5"/>
  <c r="L117" i="5"/>
  <c r="K116" i="5"/>
  <c r="L116" i="5"/>
  <c r="K115" i="5"/>
  <c r="L115" i="5"/>
  <c r="K114" i="5"/>
  <c r="L114" i="5"/>
  <c r="K113" i="5"/>
  <c r="L113" i="5"/>
  <c r="K112" i="5"/>
  <c r="L112" i="5"/>
  <c r="K111" i="5"/>
  <c r="L111" i="5"/>
  <c r="K110" i="5"/>
  <c r="L110" i="5"/>
  <c r="K109" i="5"/>
  <c r="L109" i="5"/>
  <c r="K108" i="5"/>
  <c r="L108" i="5"/>
  <c r="K107" i="5"/>
  <c r="L107" i="5"/>
  <c r="K106" i="5"/>
  <c r="L106" i="5"/>
  <c r="K105" i="5"/>
  <c r="L105" i="5"/>
  <c r="K104" i="5"/>
  <c r="L104" i="5"/>
  <c r="K103" i="5"/>
  <c r="L103" i="5"/>
  <c r="K102" i="5"/>
  <c r="L102" i="5"/>
  <c r="K101" i="5"/>
  <c r="L101" i="5"/>
  <c r="K100" i="5"/>
  <c r="L100" i="5"/>
  <c r="K99" i="5"/>
  <c r="L99" i="5"/>
  <c r="K98" i="5"/>
  <c r="L98" i="5"/>
  <c r="K97" i="5"/>
  <c r="L97" i="5"/>
  <c r="N97" i="5" s="1"/>
  <c r="K96" i="5"/>
  <c r="L96" i="5"/>
  <c r="N96" i="5" s="1"/>
  <c r="K95" i="5"/>
  <c r="L95" i="5"/>
  <c r="N95" i="5" s="1"/>
  <c r="K94" i="5"/>
  <c r="L94" i="5"/>
  <c r="N94" i="5" s="1"/>
  <c r="L93" i="5"/>
  <c r="N93" i="5" s="1"/>
  <c r="K93" i="5"/>
  <c r="K92" i="5"/>
  <c r="L92" i="5"/>
  <c r="N92" i="5" s="1"/>
  <c r="K91" i="5"/>
  <c r="L91" i="5"/>
  <c r="N91" i="5" s="1"/>
  <c r="K90" i="5"/>
  <c r="L90" i="5"/>
  <c r="N90" i="5" s="1"/>
  <c r="K89" i="5"/>
  <c r="L89" i="5"/>
  <c r="N89" i="5" s="1"/>
  <c r="K88" i="5"/>
  <c r="L88" i="5"/>
  <c r="N88" i="5" s="1"/>
  <c r="K87" i="5"/>
  <c r="L87" i="5"/>
  <c r="N87" i="5" s="1"/>
  <c r="K86" i="5"/>
  <c r="L86" i="5"/>
  <c r="N86" i="5" s="1"/>
  <c r="K85" i="5"/>
  <c r="L85" i="5"/>
  <c r="N85" i="5" s="1"/>
  <c r="L84" i="5"/>
  <c r="N84" i="5" s="1"/>
  <c r="K84" i="5"/>
  <c r="K83" i="5"/>
  <c r="L83" i="5"/>
  <c r="N83" i="5" s="1"/>
  <c r="K82" i="5"/>
  <c r="L82" i="5"/>
  <c r="N82" i="5" s="1"/>
  <c r="K81" i="5"/>
  <c r="L81" i="5"/>
  <c r="N81" i="5" s="1"/>
  <c r="K80" i="5"/>
  <c r="L80" i="5"/>
  <c r="N80" i="5" s="1"/>
  <c r="K79" i="5"/>
  <c r="L79" i="5"/>
  <c r="N79" i="5" s="1"/>
  <c r="K78" i="5"/>
  <c r="L78" i="5"/>
  <c r="N78" i="5" s="1"/>
  <c r="K77" i="5"/>
  <c r="L77" i="5"/>
  <c r="N77" i="5" s="1"/>
  <c r="K76" i="5"/>
  <c r="L76" i="5"/>
  <c r="N76" i="5" s="1"/>
  <c r="K75" i="5"/>
  <c r="L75" i="5"/>
  <c r="N75" i="5" s="1"/>
  <c r="K74" i="5"/>
  <c r="L74" i="5"/>
  <c r="N74" i="5" s="1"/>
  <c r="K73" i="5"/>
  <c r="L73" i="5"/>
  <c r="N73" i="5" s="1"/>
  <c r="K72" i="5"/>
  <c r="L72" i="5"/>
  <c r="N72" i="5" s="1"/>
  <c r="K71" i="5"/>
  <c r="L71" i="5"/>
  <c r="N71" i="5" s="1"/>
  <c r="K70" i="5"/>
  <c r="L70" i="5"/>
  <c r="N70" i="5" s="1"/>
  <c r="L69" i="5"/>
  <c r="N69" i="5" s="1"/>
  <c r="K69" i="5"/>
  <c r="K68" i="5"/>
  <c r="L68" i="5"/>
  <c r="N68" i="5" s="1"/>
  <c r="K67" i="5"/>
  <c r="L67" i="5"/>
  <c r="N67" i="5" s="1"/>
  <c r="L66" i="5"/>
  <c r="N66" i="5" s="1"/>
  <c r="K66" i="5"/>
  <c r="K65" i="5"/>
  <c r="L65" i="5"/>
  <c r="N65" i="5" s="1"/>
  <c r="K64" i="5"/>
  <c r="L64" i="5"/>
  <c r="N64" i="5" s="1"/>
  <c r="K63" i="5"/>
  <c r="L63" i="5"/>
  <c r="N63" i="5" s="1"/>
  <c r="K62" i="5"/>
  <c r="L62" i="5"/>
  <c r="N62" i="5" s="1"/>
  <c r="K61" i="5"/>
  <c r="L61" i="5"/>
  <c r="N61" i="5" s="1"/>
  <c r="K60" i="5"/>
  <c r="L60" i="5"/>
  <c r="N60" i="5" s="1"/>
  <c r="K59" i="5"/>
  <c r="L59" i="5"/>
  <c r="N59" i="5" s="1"/>
  <c r="K58" i="5"/>
  <c r="L58" i="5"/>
  <c r="N58" i="5" s="1"/>
  <c r="K57" i="5"/>
  <c r="L57" i="5"/>
  <c r="N57" i="5" s="1"/>
  <c r="K56" i="5"/>
  <c r="L56" i="5"/>
  <c r="N56" i="5" s="1"/>
  <c r="K55" i="5"/>
  <c r="L55" i="5"/>
  <c r="N55" i="5" s="1"/>
  <c r="K54" i="5"/>
  <c r="L54" i="5"/>
  <c r="N54" i="5" s="1"/>
  <c r="K53" i="5"/>
  <c r="L53" i="5"/>
  <c r="N53" i="5" s="1"/>
  <c r="K52" i="5"/>
  <c r="L52" i="5"/>
  <c r="N52" i="5" s="1"/>
  <c r="L51" i="5"/>
  <c r="N51" i="5" s="1"/>
  <c r="K51" i="5"/>
  <c r="K50" i="5"/>
  <c r="L50" i="5"/>
  <c r="N50" i="5" s="1"/>
  <c r="K49" i="5"/>
  <c r="L49" i="5"/>
  <c r="N49" i="5" s="1"/>
  <c r="K48" i="5"/>
  <c r="L48" i="5"/>
  <c r="N48" i="5" s="1"/>
  <c r="K47" i="5"/>
  <c r="L47" i="5"/>
  <c r="N47" i="5" s="1"/>
  <c r="K46" i="5"/>
  <c r="L46" i="5"/>
  <c r="N46" i="5" s="1"/>
  <c r="K45" i="5"/>
  <c r="L45" i="5"/>
  <c r="N45" i="5" s="1"/>
  <c r="K44" i="5"/>
  <c r="L44" i="5"/>
  <c r="N44" i="5" s="1"/>
  <c r="K43" i="5"/>
  <c r="L43" i="5"/>
  <c r="N43" i="5" s="1"/>
  <c r="K42" i="5"/>
  <c r="L42" i="5"/>
  <c r="N42" i="5" s="1"/>
  <c r="K41" i="5"/>
  <c r="L41" i="5"/>
  <c r="N41" i="5" s="1"/>
  <c r="L40" i="5"/>
  <c r="N40" i="5" s="1"/>
  <c r="K40" i="5"/>
  <c r="K39" i="5"/>
  <c r="L39" i="5"/>
  <c r="N39" i="5" s="1"/>
  <c r="K38" i="5"/>
  <c r="L38" i="5"/>
  <c r="N38" i="5" s="1"/>
  <c r="K37" i="5"/>
  <c r="L37" i="5"/>
  <c r="N37" i="5" s="1"/>
  <c r="L36" i="5"/>
  <c r="N36" i="5" s="1"/>
  <c r="K36" i="5"/>
  <c r="K35" i="5"/>
  <c r="L35" i="5"/>
  <c r="N35" i="5" s="1"/>
  <c r="K34" i="5"/>
  <c r="L34" i="5"/>
  <c r="N34" i="5" s="1"/>
  <c r="K33" i="5"/>
  <c r="L33" i="5"/>
  <c r="N33" i="5" s="1"/>
  <c r="K32" i="5"/>
  <c r="L32" i="5"/>
  <c r="N32" i="5" s="1"/>
  <c r="K31" i="5"/>
  <c r="L31" i="5"/>
  <c r="N31" i="5" s="1"/>
  <c r="K30" i="5"/>
  <c r="L30" i="5"/>
  <c r="N30" i="5" s="1"/>
  <c r="L29" i="5"/>
  <c r="N29" i="5" s="1"/>
  <c r="K29" i="5"/>
  <c r="K28" i="5"/>
  <c r="L28" i="5"/>
  <c r="N28" i="5" s="1"/>
  <c r="K27" i="5"/>
  <c r="L27" i="5"/>
  <c r="N27" i="5" s="1"/>
  <c r="K26" i="5"/>
  <c r="L26" i="5"/>
  <c r="N26" i="5" s="1"/>
  <c r="K25" i="5"/>
  <c r="L25" i="5"/>
  <c r="N25" i="5" s="1"/>
  <c r="K24" i="5"/>
  <c r="L24" i="5"/>
  <c r="N24" i="5" s="1"/>
  <c r="K23" i="5"/>
  <c r="L23" i="5"/>
  <c r="N23" i="5" s="1"/>
  <c r="K22" i="5"/>
  <c r="L22" i="5"/>
  <c r="N22" i="5" s="1"/>
  <c r="K21" i="5"/>
  <c r="L21" i="5"/>
  <c r="N21" i="5" s="1"/>
  <c r="K20" i="5"/>
  <c r="L20" i="5"/>
  <c r="N20" i="5" s="1"/>
  <c r="K19" i="5"/>
  <c r="L19" i="5"/>
  <c r="N19" i="5" s="1"/>
  <c r="L18" i="5"/>
  <c r="N18" i="5" s="1"/>
  <c r="K18" i="5"/>
  <c r="K17" i="5"/>
  <c r="L17" i="5"/>
  <c r="N17" i="5" s="1"/>
  <c r="K16" i="5"/>
  <c r="L16" i="5"/>
  <c r="N16" i="5" s="1"/>
  <c r="K15" i="5"/>
  <c r="L15" i="5"/>
  <c r="N15" i="5" s="1"/>
  <c r="L14" i="5"/>
  <c r="N14" i="5" s="1"/>
  <c r="K14" i="5"/>
  <c r="K13" i="5"/>
  <c r="L13" i="5"/>
  <c r="N13" i="5" s="1"/>
  <c r="L12" i="5"/>
  <c r="N12" i="5" s="1"/>
  <c r="K12" i="5"/>
  <c r="K11" i="5"/>
  <c r="L11" i="5"/>
  <c r="N11" i="5" s="1"/>
  <c r="K10" i="5"/>
  <c r="L10" i="5"/>
  <c r="N10" i="5" s="1"/>
  <c r="K9" i="5"/>
  <c r="L9" i="5"/>
  <c r="N9" i="5" s="1"/>
  <c r="AD24" i="5"/>
  <c r="AD38" i="5"/>
  <c r="AD42" i="5"/>
  <c r="AD45" i="5"/>
  <c r="AD74" i="5"/>
  <c r="AD77" i="5"/>
  <c r="AD84" i="5"/>
  <c r="AD86" i="5"/>
  <c r="AD88" i="5"/>
  <c r="AD93" i="5"/>
  <c r="AD11" i="5"/>
  <c r="AD25" i="5"/>
  <c r="AD31" i="5"/>
  <c r="AD37" i="5"/>
  <c r="AD72" i="5"/>
  <c r="AD79" i="5"/>
  <c r="AD26" i="5"/>
  <c r="AD30" i="5"/>
  <c r="AD17" i="5"/>
  <c r="AD18" i="5"/>
  <c r="AD22" i="5"/>
  <c r="AD36" i="5"/>
  <c r="AD19" i="5"/>
  <c r="AD20" i="5"/>
  <c r="AD21" i="5"/>
  <c r="AD32" i="5"/>
  <c r="AD33" i="5"/>
  <c r="AD34" i="5"/>
  <c r="AD46" i="5"/>
  <c r="AD47" i="5"/>
  <c r="AD48" i="5"/>
  <c r="AD8" i="5"/>
  <c r="AD55" i="5"/>
  <c r="AD56" i="5"/>
  <c r="AD57" i="5"/>
  <c r="AD58" i="5"/>
  <c r="AD59" i="5"/>
  <c r="AD60" i="5"/>
  <c r="AD61" i="5"/>
  <c r="AD12" i="5"/>
  <c r="AD27" i="5"/>
  <c r="AD29" i="5"/>
  <c r="AD44" i="5"/>
  <c r="AD51" i="5"/>
  <c r="AD75" i="5"/>
  <c r="AD76" i="5"/>
  <c r="AD28" i="5"/>
  <c r="AD68" i="5"/>
  <c r="AD81" i="5"/>
  <c r="AD89" i="5"/>
  <c r="AD23" i="5"/>
  <c r="AD53" i="5"/>
  <c r="AD71" i="5"/>
  <c r="AD10" i="5"/>
  <c r="AD43" i="5"/>
  <c r="AD52" i="5"/>
  <c r="AD69" i="5"/>
  <c r="AD96" i="5"/>
  <c r="AD82" i="5"/>
  <c r="AD83" i="5"/>
  <c r="AD95" i="5"/>
  <c r="AD15" i="5"/>
  <c r="AD16" i="5"/>
  <c r="AD65" i="5"/>
  <c r="AD73" i="5"/>
  <c r="AD9" i="5"/>
  <c r="AD66" i="5"/>
  <c r="AD67" i="5"/>
  <c r="AD78" i="5"/>
  <c r="AD92" i="5"/>
  <c r="AD13" i="5"/>
  <c r="AD14" i="5"/>
  <c r="AD39" i="5"/>
  <c r="AD40" i="5"/>
  <c r="AD41" i="5"/>
  <c r="AD50" i="5"/>
  <c r="AD54" i="5"/>
  <c r="AD64" i="5"/>
  <c r="AD70" i="5"/>
  <c r="AD80" i="5"/>
  <c r="AD85" i="5"/>
  <c r="AD87" i="5"/>
  <c r="AD91" i="5"/>
  <c r="AD94" i="5"/>
  <c r="K8" i="5"/>
  <c r="L8" i="5"/>
  <c r="N8" i="5" s="1"/>
  <c r="Z9" i="5"/>
  <c r="FD9" i="5" s="1"/>
  <c r="Z23" i="5"/>
  <c r="FD23" i="5" s="1"/>
  <c r="Z37" i="5"/>
  <c r="FD37" i="5" s="1"/>
  <c r="Z54" i="5"/>
  <c r="FD54" i="5" s="1"/>
  <c r="Z24" i="5"/>
  <c r="FD24" i="5" s="1"/>
  <c r="Z27" i="5"/>
  <c r="FD27" i="5" s="1"/>
  <c r="Z28" i="5"/>
  <c r="FD28" i="5" s="1"/>
  <c r="Z30" i="5"/>
  <c r="FD30" i="5" s="1"/>
  <c r="Z53" i="5"/>
  <c r="FD53" i="5" s="1"/>
  <c r="Z67" i="5"/>
  <c r="FD67" i="5" s="1"/>
  <c r="Z85" i="5"/>
  <c r="FD85" i="5" s="1"/>
  <c r="Z93" i="5"/>
  <c r="FD93" i="5" s="1"/>
  <c r="Z52" i="5"/>
  <c r="FD52" i="5" s="1"/>
  <c r="Z68" i="5"/>
  <c r="FD68" i="5" s="1"/>
  <c r="Z80" i="5"/>
  <c r="FD80" i="5" s="1"/>
  <c r="Z87" i="5"/>
  <c r="FD87" i="5" s="1"/>
  <c r="Z92" i="5"/>
  <c r="FD92" i="5" s="1"/>
  <c r="Z16" i="5"/>
  <c r="FD16" i="5" s="1"/>
  <c r="Z10" i="5"/>
  <c r="FD10" i="5" s="1"/>
  <c r="Z11" i="5"/>
  <c r="FD11" i="5" s="1"/>
  <c r="Z19" i="5"/>
  <c r="FD19" i="5" s="1"/>
  <c r="Z20" i="5"/>
  <c r="FD20" i="5" s="1"/>
  <c r="Z21" i="5"/>
  <c r="FD21" i="5" s="1"/>
  <c r="Z32" i="5"/>
  <c r="FD32" i="5" s="1"/>
  <c r="Z33" i="5"/>
  <c r="FD33" i="5" s="1"/>
  <c r="Z34" i="5"/>
  <c r="FD34" i="5" s="1"/>
  <c r="Z35" i="5"/>
  <c r="FD35" i="5" s="1"/>
  <c r="AD35" i="5"/>
  <c r="Z40" i="5"/>
  <c r="FD40" i="5" s="1"/>
  <c r="Z43" i="5"/>
  <c r="FD43" i="5" s="1"/>
  <c r="Z45" i="5"/>
  <c r="FD45" i="5" s="1"/>
  <c r="Z46" i="5"/>
  <c r="FD46" i="5" s="1"/>
  <c r="Z47" i="5"/>
  <c r="FD47" i="5" s="1"/>
  <c r="Z48" i="5"/>
  <c r="FD48" i="5"/>
  <c r="Z49" i="5"/>
  <c r="FD49" i="5" s="1"/>
  <c r="AD49" i="5"/>
  <c r="Z13" i="5"/>
  <c r="FD13" i="5" s="1"/>
  <c r="Z41" i="5"/>
  <c r="FD41" i="5" s="1"/>
  <c r="Z42" i="5"/>
  <c r="FD42" i="5" s="1"/>
  <c r="Z55" i="5"/>
  <c r="FD55" i="5" s="1"/>
  <c r="Z56" i="5"/>
  <c r="FD56" i="5" s="1"/>
  <c r="Z57" i="5"/>
  <c r="FD57" i="5" s="1"/>
  <c r="Z58" i="5"/>
  <c r="FD58" i="5" s="1"/>
  <c r="Z59" i="5"/>
  <c r="FD59" i="5" s="1"/>
  <c r="Z60" i="5"/>
  <c r="FD60" i="5" s="1"/>
  <c r="Z61" i="5"/>
  <c r="FD61" i="5"/>
  <c r="Z62" i="5"/>
  <c r="AD62" i="5"/>
  <c r="FD62" i="5"/>
  <c r="Z63" i="5"/>
  <c r="FD63" i="5" s="1"/>
  <c r="AD63" i="5"/>
  <c r="Z22" i="5"/>
  <c r="FD22" i="5" s="1"/>
  <c r="Z50" i="5"/>
  <c r="FD50" i="5" s="1"/>
  <c r="Z65" i="5"/>
  <c r="FD65" i="5" s="1"/>
  <c r="Z70" i="5"/>
  <c r="FD70" i="5" s="1"/>
  <c r="Z75" i="5"/>
  <c r="FD75" i="5" s="1"/>
  <c r="Z76" i="5"/>
  <c r="FD76" i="5"/>
  <c r="Z8" i="5"/>
  <c r="FD8" i="5" s="1"/>
  <c r="Z38" i="5"/>
  <c r="FD38" i="5" s="1"/>
  <c r="Z64" i="5"/>
  <c r="FD64" i="5" s="1"/>
  <c r="Z89" i="5"/>
  <c r="FD89" i="5" s="1"/>
  <c r="Z90" i="5"/>
  <c r="AD90" i="5"/>
  <c r="FD90" i="5"/>
  <c r="Z18" i="5"/>
  <c r="FD18" i="5" s="1"/>
  <c r="Z39" i="5"/>
  <c r="FD39" i="5" s="1"/>
  <c r="Z81" i="5"/>
  <c r="FD81" i="5" s="1"/>
  <c r="Z95" i="5"/>
  <c r="FD95" i="5" s="1"/>
  <c r="Z79" i="5"/>
  <c r="FD79" i="5" s="1"/>
  <c r="Z86" i="5"/>
  <c r="FD86" i="5" s="1"/>
  <c r="Z15" i="5"/>
  <c r="FD15" i="5" s="1"/>
  <c r="Z31" i="5"/>
  <c r="FD31" i="5" s="1"/>
  <c r="Z72" i="5"/>
  <c r="FD72" i="5" s="1"/>
  <c r="Z91" i="5"/>
  <c r="FD91" i="5" s="1"/>
  <c r="Z12" i="5"/>
  <c r="FD12" i="5" s="1"/>
  <c r="Z14" i="5"/>
  <c r="FD14" i="5" s="1"/>
  <c r="Z82" i="5"/>
  <c r="FD82" i="5" s="1"/>
  <c r="Z26" i="5"/>
  <c r="FD26" i="5" s="1"/>
  <c r="Z44" i="5"/>
  <c r="FD44" i="5" s="1"/>
  <c r="Z73" i="5"/>
  <c r="FD73" i="5" s="1"/>
  <c r="Z74" i="5"/>
  <c r="FD74" i="5" s="1"/>
  <c r="Z83" i="5"/>
  <c r="FD83" i="5" s="1"/>
  <c r="Z17" i="5"/>
  <c r="FD17" i="5" s="1"/>
  <c r="Z25" i="5"/>
  <c r="FD25" i="5" s="1"/>
  <c r="Z29" i="5"/>
  <c r="FD29" i="5" s="1"/>
  <c r="Z36" i="5"/>
  <c r="FD36" i="5" s="1"/>
  <c r="Z51" i="5"/>
  <c r="FD51" i="5" s="1"/>
  <c r="Z66" i="5"/>
  <c r="FD66" i="5" s="1"/>
  <c r="Z69" i="5"/>
  <c r="FD69" i="5" s="1"/>
  <c r="Z71" i="5"/>
  <c r="FD71" i="5" s="1"/>
  <c r="Z77" i="5"/>
  <c r="FD77" i="5" s="1"/>
  <c r="Z78" i="5"/>
  <c r="FD78" i="5" s="1"/>
  <c r="Z84" i="5"/>
  <c r="FD84" i="5" s="1"/>
  <c r="Z88" i="5"/>
  <c r="FD88" i="5" s="1"/>
  <c r="Z94" i="5"/>
  <c r="FD94" i="5" s="1"/>
  <c r="Z96" i="5"/>
  <c r="FD96" i="5" s="1"/>
  <c r="AA69" i="11"/>
  <c r="AA70" i="11"/>
  <c r="AA71" i="11"/>
  <c r="AA72" i="11"/>
  <c r="AA75" i="11"/>
  <c r="AA76" i="11"/>
  <c r="AA77" i="11"/>
  <c r="AA78" i="11"/>
  <c r="AA79" i="11"/>
  <c r="AA82" i="11"/>
  <c r="AA83" i="11"/>
  <c r="AA84" i="11"/>
  <c r="AA85" i="11"/>
  <c r="AA86" i="11"/>
  <c r="AA89" i="11"/>
  <c r="AA90" i="11"/>
  <c r="AA91" i="11"/>
  <c r="AA92" i="11"/>
  <c r="AA93" i="11"/>
  <c r="AA96" i="11"/>
  <c r="AA97" i="11"/>
  <c r="AA98" i="11"/>
  <c r="AA99" i="11"/>
  <c r="AA100" i="11"/>
  <c r="AA103" i="11"/>
  <c r="AA104" i="11"/>
  <c r="AA105" i="11"/>
  <c r="AA106" i="11"/>
  <c r="AA107" i="11"/>
  <c r="AA110" i="11"/>
  <c r="AA111" i="11"/>
  <c r="AA112" i="11"/>
  <c r="AA113" i="11"/>
  <c r="AA114" i="11"/>
  <c r="AA117" i="11"/>
  <c r="AA118" i="11"/>
  <c r="AA119" i="11"/>
  <c r="AA120" i="11"/>
  <c r="AA121" i="11"/>
  <c r="AA122" i="11"/>
  <c r="AA123" i="11"/>
  <c r="AA124" i="11"/>
  <c r="AA125" i="11"/>
  <c r="AA126" i="11"/>
  <c r="AA127" i="11"/>
  <c r="AA128" i="11"/>
  <c r="AA129" i="11"/>
  <c r="AA130" i="11"/>
  <c r="AA131" i="11"/>
  <c r="AA132" i="11"/>
  <c r="AA133" i="11"/>
  <c r="AA134" i="11"/>
  <c r="AA135" i="11"/>
  <c r="AA136" i="11"/>
  <c r="AA137" i="11"/>
  <c r="AA138" i="11"/>
  <c r="AA139" i="11"/>
  <c r="AA140" i="11"/>
  <c r="AA141" i="11"/>
  <c r="AA142" i="11"/>
  <c r="AA143" i="11"/>
  <c r="AA144" i="11"/>
  <c r="AA145" i="11"/>
  <c r="AA146" i="11"/>
  <c r="AA149" i="11"/>
  <c r="AA150" i="11"/>
  <c r="AA151" i="11"/>
  <c r="AA152" i="11"/>
  <c r="AA153" i="11"/>
  <c r="AA156" i="11"/>
  <c r="AA157" i="11"/>
  <c r="AA158" i="11"/>
  <c r="AA159" i="11"/>
  <c r="AA160" i="11"/>
  <c r="AA163" i="11"/>
  <c r="AA164" i="11"/>
  <c r="AA165" i="11"/>
  <c r="AA166" i="11"/>
  <c r="AA167" i="11"/>
  <c r="AA170" i="11"/>
  <c r="AA171" i="11"/>
  <c r="AA172" i="11"/>
  <c r="AA173" i="11"/>
  <c r="AA174" i="11"/>
  <c r="AA177" i="11"/>
  <c r="AA178" i="11"/>
  <c r="AA179" i="11"/>
  <c r="AA180" i="11"/>
  <c r="AA181" i="11"/>
  <c r="AA184" i="11"/>
  <c r="AA185" i="11"/>
  <c r="AA186" i="11"/>
  <c r="AA187" i="11"/>
  <c r="AA188" i="11"/>
  <c r="AA191" i="11"/>
  <c r="AA192" i="11"/>
  <c r="AA193" i="11"/>
  <c r="AA194" i="11"/>
  <c r="AA195" i="11"/>
  <c r="AA196" i="11"/>
  <c r="AA197" i="11"/>
  <c r="AA198" i="11"/>
  <c r="AA199" i="11"/>
  <c r="AA200" i="11"/>
  <c r="AA201" i="11"/>
  <c r="AA202" i="11"/>
  <c r="AA203" i="11"/>
  <c r="AA204" i="11"/>
  <c r="AA205" i="11"/>
  <c r="AA208" i="11"/>
  <c r="AA209" i="11"/>
  <c r="AA210" i="11"/>
  <c r="AA211" i="11"/>
  <c r="AA212" i="11"/>
  <c r="AA213" i="11"/>
  <c r="AA214" i="11"/>
  <c r="AA215" i="11"/>
  <c r="AA216" i="11"/>
  <c r="AA217" i="11"/>
  <c r="AA218" i="11"/>
  <c r="AA219" i="11"/>
  <c r="AA220" i="11"/>
  <c r="AA221" i="11"/>
  <c r="AA222" i="11"/>
  <c r="AA225" i="11"/>
  <c r="AA226" i="11"/>
  <c r="AA227" i="11"/>
  <c r="AA228" i="11"/>
  <c r="AA229" i="11"/>
  <c r="AA230" i="11"/>
  <c r="AA231" i="11"/>
  <c r="AA232" i="11"/>
  <c r="AA233" i="11"/>
  <c r="AA234" i="11"/>
  <c r="AA235" i="11"/>
  <c r="AA236" i="11"/>
  <c r="AA237" i="11"/>
  <c r="AA238" i="11"/>
  <c r="AA239" i="11"/>
  <c r="AA240" i="11"/>
  <c r="AA241" i="11"/>
  <c r="AA242" i="11"/>
  <c r="AA243" i="11"/>
  <c r="AA244" i="11"/>
  <c r="AA245" i="11"/>
  <c r="AA246" i="11"/>
  <c r="AA247" i="11"/>
  <c r="AA248" i="11"/>
  <c r="AA249" i="11"/>
  <c r="AA250" i="11"/>
  <c r="AA251" i="11"/>
  <c r="AA252" i="11"/>
  <c r="AA253" i="11"/>
  <c r="AA254" i="11"/>
  <c r="AA255" i="11"/>
  <c r="AA256" i="11"/>
  <c r="AA257" i="11"/>
  <c r="AA258" i="11"/>
  <c r="AA259" i="11"/>
  <c r="AA260" i="11"/>
  <c r="AA261" i="11"/>
  <c r="AA262" i="11"/>
  <c r="AA263" i="11"/>
  <c r="AA264" i="11"/>
  <c r="AA265" i="11"/>
  <c r="AA266" i="11"/>
  <c r="AA267" i="11"/>
  <c r="AA268" i="11"/>
  <c r="AA269" i="11"/>
  <c r="AA270" i="11"/>
  <c r="AA271" i="11"/>
  <c r="AA272" i="11"/>
  <c r="AA273" i="11"/>
  <c r="AA274" i="11"/>
  <c r="AA275" i="11"/>
  <c r="AA276" i="11"/>
  <c r="AA277" i="11"/>
  <c r="AA278" i="11"/>
  <c r="AA281" i="11"/>
  <c r="AA282" i="11"/>
  <c r="AA283" i="11"/>
  <c r="AA284" i="11"/>
  <c r="AA285" i="11"/>
  <c r="AA286" i="11"/>
  <c r="AA287" i="11"/>
  <c r="AA288" i="11"/>
  <c r="AA289" i="11"/>
  <c r="AA290" i="11"/>
  <c r="AA291" i="11"/>
  <c r="AA292" i="11"/>
  <c r="AA293" i="11"/>
  <c r="AA294" i="11"/>
  <c r="AA295" i="11"/>
  <c r="AA296" i="11"/>
  <c r="AA297" i="11"/>
  <c r="AA298" i="11"/>
  <c r="AA299" i="11"/>
  <c r="AA300" i="11"/>
  <c r="AA301" i="11"/>
  <c r="AA302" i="11"/>
  <c r="AA303" i="11"/>
  <c r="AA304" i="11"/>
  <c r="AA305" i="11"/>
  <c r="AA306" i="11"/>
  <c r="AA307" i="11"/>
  <c r="AA308" i="11"/>
  <c r="AA309" i="11"/>
  <c r="AA310" i="11"/>
  <c r="AA311" i="11"/>
  <c r="AA312" i="11"/>
  <c r="AA313" i="11"/>
  <c r="AA314" i="11"/>
  <c r="AA315" i="11"/>
  <c r="AA316" i="11"/>
  <c r="AA317" i="11"/>
  <c r="AA318" i="11"/>
  <c r="AA319" i="11"/>
  <c r="AA320" i="11"/>
  <c r="AA321" i="11"/>
  <c r="AA322" i="11"/>
  <c r="AA323" i="11"/>
  <c r="AA324" i="11"/>
  <c r="AA325" i="11"/>
  <c r="AA326" i="11"/>
  <c r="AA327" i="11"/>
  <c r="AA328" i="11"/>
  <c r="AA329" i="11"/>
  <c r="AA330" i="11"/>
  <c r="AA331" i="11"/>
  <c r="AA332" i="11"/>
  <c r="AA333" i="11"/>
  <c r="AA334" i="11"/>
  <c r="AA335" i="11"/>
  <c r="AA336" i="11"/>
  <c r="AA337" i="11"/>
  <c r="AA338" i="11"/>
  <c r="AA339" i="11"/>
  <c r="AA340" i="11"/>
  <c r="AA343" i="11"/>
  <c r="AA344" i="11"/>
  <c r="AA345" i="11"/>
  <c r="AA346" i="11"/>
  <c r="AA347" i="11"/>
  <c r="AA348" i="11"/>
  <c r="AA349" i="11"/>
  <c r="AA350" i="11"/>
  <c r="AA351" i="11"/>
  <c r="AA352" i="11"/>
  <c r="AA353" i="11"/>
  <c r="AA354" i="11"/>
  <c r="AA355" i="11"/>
  <c r="AA356" i="11"/>
  <c r="AA357" i="11"/>
  <c r="AA358" i="11"/>
  <c r="AA359" i="11"/>
  <c r="AA360" i="11"/>
  <c r="AA361" i="11"/>
  <c r="AA362" i="11"/>
  <c r="AA363" i="11"/>
  <c r="AA364" i="11"/>
  <c r="AA365" i="11"/>
  <c r="AA366" i="11"/>
  <c r="AA367" i="11"/>
  <c r="AA368" i="11"/>
  <c r="AA369" i="11"/>
  <c r="AA370" i="11"/>
  <c r="AA373" i="11"/>
  <c r="AA374" i="11"/>
  <c r="AA375" i="11"/>
  <c r="AA376" i="11"/>
  <c r="AA377" i="11"/>
  <c r="AA378" i="11"/>
  <c r="AA379" i="11"/>
  <c r="AA380" i="11"/>
  <c r="AA381" i="11"/>
  <c r="AA382" i="11"/>
  <c r="AA383" i="11"/>
  <c r="AA384" i="11"/>
  <c r="AA385" i="11"/>
  <c r="AA386" i="11"/>
  <c r="AA387" i="11"/>
  <c r="AA388" i="11"/>
  <c r="AA389" i="11"/>
  <c r="AA392" i="11"/>
  <c r="AA393" i="11"/>
  <c r="AA394" i="11"/>
  <c r="AA395" i="11"/>
  <c r="AA396" i="11"/>
  <c r="AA397" i="11"/>
  <c r="AA398" i="11"/>
  <c r="AA399" i="11"/>
  <c r="AA400" i="11"/>
  <c r="AA401" i="11"/>
  <c r="AA402" i="11"/>
  <c r="AA403" i="11"/>
  <c r="AA404" i="11"/>
  <c r="AA405" i="11"/>
  <c r="AA406" i="11"/>
  <c r="AA407" i="11"/>
  <c r="AA410" i="11"/>
  <c r="AA411" i="11"/>
  <c r="AA412" i="11"/>
  <c r="AA413" i="11"/>
  <c r="AA414" i="11"/>
  <c r="AA415" i="11"/>
  <c r="AA416" i="11"/>
  <c r="AA417" i="11"/>
  <c r="AA418" i="11"/>
  <c r="AA419" i="11"/>
  <c r="AA420" i="11"/>
  <c r="AA421" i="11"/>
  <c r="AA422" i="11"/>
  <c r="AA423" i="11"/>
  <c r="AA424" i="11"/>
  <c r="AA425" i="11"/>
  <c r="AA426" i="11"/>
  <c r="AA427" i="11"/>
  <c r="AA428" i="11"/>
  <c r="AA429" i="11"/>
  <c r="AA430" i="11"/>
  <c r="AA433" i="11"/>
  <c r="AA434" i="11"/>
  <c r="AA435" i="11"/>
  <c r="AA436" i="11"/>
  <c r="AA437" i="11"/>
  <c r="AA438" i="11"/>
  <c r="AA439" i="11"/>
  <c r="AA440" i="11"/>
  <c r="AA441" i="11"/>
  <c r="AA442" i="11"/>
  <c r="AA443" i="11"/>
  <c r="AA444" i="11"/>
  <c r="AA445" i="11"/>
  <c r="AA446" i="11"/>
  <c r="AA447" i="11"/>
  <c r="AA448" i="11"/>
  <c r="AA449" i="11"/>
  <c r="AA450" i="11"/>
  <c r="AA451" i="11"/>
  <c r="AA452" i="11"/>
  <c r="AA453" i="11"/>
  <c r="AA454" i="11"/>
  <c r="AA455" i="11"/>
  <c r="AA456" i="11"/>
  <c r="AA459" i="11"/>
  <c r="AA460" i="11"/>
  <c r="AA461" i="11"/>
  <c r="AA462" i="11"/>
  <c r="AA463" i="11"/>
  <c r="AA464" i="11"/>
  <c r="AA465" i="11"/>
  <c r="AA466" i="11"/>
  <c r="AA467" i="11"/>
  <c r="AA468" i="11"/>
  <c r="AA469" i="11"/>
  <c r="AA470" i="11"/>
  <c r="AA471" i="11"/>
  <c r="AA472" i="11"/>
  <c r="AA473" i="11"/>
  <c r="AA474" i="11"/>
  <c r="AA475" i="11"/>
  <c r="AA476" i="11"/>
  <c r="AA479" i="11"/>
  <c r="AA480" i="11"/>
  <c r="AA481" i="11"/>
  <c r="AA482" i="11"/>
  <c r="AA483" i="11"/>
  <c r="AA484" i="11"/>
  <c r="AA485" i="11"/>
  <c r="AA486" i="11"/>
  <c r="AA487" i="11"/>
  <c r="AA488" i="11"/>
  <c r="AA489" i="11"/>
  <c r="AA490" i="11"/>
  <c r="AA491" i="11"/>
  <c r="AA492" i="11"/>
  <c r="AA493" i="11"/>
  <c r="AA494" i="11"/>
  <c r="AA495" i="11"/>
  <c r="AA496" i="11"/>
  <c r="AA497" i="11"/>
  <c r="AA498" i="11"/>
  <c r="AA499" i="11"/>
  <c r="AA500" i="11"/>
  <c r="AA501" i="11"/>
  <c r="AA502" i="11"/>
  <c r="AA503" i="11"/>
  <c r="AA504" i="11"/>
  <c r="AA505" i="11"/>
  <c r="AA506" i="11"/>
  <c r="AA507" i="11"/>
  <c r="AA508" i="11"/>
  <c r="AA509" i="11"/>
  <c r="AA510" i="11"/>
  <c r="AA511" i="11"/>
  <c r="AA512" i="11"/>
  <c r="AA513" i="11"/>
  <c r="AA514" i="11"/>
  <c r="AA515" i="11"/>
  <c r="AA516" i="11"/>
  <c r="AA517" i="11"/>
  <c r="AA518" i="11"/>
  <c r="AA519" i="11"/>
  <c r="AA520" i="11"/>
  <c r="AA521" i="11"/>
  <c r="AA522" i="11"/>
  <c r="AA523" i="11"/>
  <c r="AA524" i="11"/>
  <c r="AA525" i="11"/>
  <c r="AA526" i="11"/>
  <c r="AA529" i="11"/>
  <c r="AA530" i="11"/>
  <c r="AA531" i="11"/>
  <c r="AA532" i="11"/>
  <c r="AA533" i="11"/>
  <c r="AA534" i="11"/>
  <c r="AA535" i="11"/>
  <c r="AA536" i="11"/>
  <c r="AA537" i="11"/>
  <c r="AA538" i="11"/>
  <c r="AA539" i="11"/>
  <c r="AA540" i="11"/>
  <c r="AA541" i="11"/>
  <c r="AA542" i="11"/>
  <c r="AA543" i="11"/>
  <c r="AA544" i="11"/>
  <c r="AA545" i="11"/>
  <c r="AA546" i="11"/>
  <c r="AA547" i="11"/>
  <c r="AA548" i="11"/>
  <c r="AA549" i="11"/>
  <c r="AA550" i="11"/>
  <c r="AA551" i="11"/>
  <c r="AA552" i="11"/>
  <c r="AA553" i="11"/>
  <c r="AA554" i="11"/>
  <c r="AA555" i="11"/>
  <c r="AA556" i="11"/>
  <c r="AA557" i="11"/>
  <c r="AA558" i="11"/>
  <c r="AA559" i="11"/>
  <c r="AA562" i="11"/>
  <c r="AA563" i="11"/>
  <c r="AA564" i="11"/>
  <c r="AA565" i="11"/>
  <c r="AA566" i="11"/>
  <c r="AA567" i="11"/>
  <c r="AA568" i="11"/>
  <c r="AA569" i="11"/>
  <c r="AA570" i="11"/>
  <c r="AA571" i="11"/>
  <c r="AA572" i="11"/>
  <c r="AA573" i="11"/>
  <c r="AA574" i="11"/>
  <c r="AA575" i="11"/>
  <c r="AA576" i="11"/>
  <c r="AA577" i="11"/>
  <c r="AA578" i="11"/>
  <c r="AA579" i="11"/>
  <c r="AA580" i="11"/>
  <c r="AA581" i="11"/>
  <c r="AA582" i="11"/>
  <c r="AA583" i="11"/>
  <c r="AA584" i="11"/>
  <c r="AA585" i="11"/>
  <c r="AA586" i="11"/>
  <c r="AA587" i="11"/>
  <c r="AA588" i="11"/>
  <c r="AA589" i="11"/>
  <c r="AA590" i="11"/>
  <c r="AA591" i="11"/>
  <c r="AA592" i="11"/>
  <c r="AA593" i="11"/>
  <c r="AA594" i="11"/>
  <c r="AA597" i="11"/>
  <c r="AA598" i="11"/>
  <c r="AA599" i="11"/>
  <c r="AA600" i="11"/>
  <c r="AA601" i="11"/>
  <c r="AA602" i="11"/>
  <c r="AA603" i="11"/>
  <c r="AA604" i="11"/>
  <c r="AA605" i="11"/>
  <c r="AA606" i="11"/>
  <c r="AA607" i="11"/>
  <c r="AA608" i="11"/>
  <c r="AA609" i="11"/>
  <c r="AA610" i="11"/>
  <c r="AA611" i="11"/>
  <c r="AA612" i="11"/>
  <c r="AA613" i="11"/>
  <c r="AA614" i="11"/>
  <c r="AA615" i="11"/>
  <c r="AA616" i="11"/>
  <c r="AA617" i="11"/>
  <c r="AA618" i="11"/>
  <c r="AA619" i="11"/>
  <c r="AA620" i="11"/>
  <c r="AA621" i="11"/>
  <c r="AA622" i="11"/>
  <c r="AA623" i="11"/>
  <c r="AA624" i="11"/>
  <c r="AA625" i="11"/>
  <c r="AA626" i="11"/>
  <c r="AA627" i="11"/>
  <c r="AA628" i="11"/>
  <c r="AA629" i="11"/>
  <c r="AA630" i="11"/>
  <c r="AA631" i="11"/>
  <c r="AA632" i="11"/>
  <c r="AA633" i="11"/>
  <c r="AA634" i="11"/>
  <c r="AA635" i="11"/>
  <c r="AA636" i="11"/>
  <c r="AA639" i="11"/>
  <c r="AA640" i="11"/>
  <c r="AA641" i="11"/>
  <c r="AA642" i="11"/>
  <c r="AA643" i="11"/>
  <c r="AA644" i="11"/>
  <c r="AA645" i="11"/>
  <c r="AA646" i="11"/>
  <c r="AA647" i="11"/>
  <c r="AA648" i="11"/>
  <c r="AA649" i="11"/>
  <c r="AA650" i="11"/>
  <c r="AA651" i="11"/>
  <c r="AA652" i="11"/>
  <c r="AA653" i="11"/>
  <c r="AA654" i="11"/>
  <c r="AA655" i="11"/>
  <c r="AA656" i="11"/>
  <c r="AA657" i="11"/>
  <c r="AA658" i="11"/>
  <c r="AA659" i="11"/>
  <c r="AA660" i="11"/>
  <c r="AA661" i="11"/>
  <c r="AA662" i="11"/>
  <c r="AA663" i="11"/>
  <c r="AA664" i="11"/>
  <c r="AA665" i="11"/>
  <c r="AA668" i="11"/>
  <c r="AA669" i="11"/>
  <c r="AA670" i="11"/>
  <c r="AA671" i="11"/>
  <c r="AA672" i="11"/>
  <c r="AA673" i="11"/>
  <c r="AA674" i="11"/>
  <c r="AA675" i="11"/>
  <c r="AA676" i="11"/>
  <c r="AA677" i="11"/>
  <c r="AA678" i="11"/>
  <c r="AA679" i="11"/>
  <c r="AA680" i="11"/>
  <c r="AA681" i="11"/>
  <c r="AA682" i="11"/>
  <c r="AA683" i="11"/>
  <c r="AA684" i="11"/>
  <c r="AA685" i="11"/>
  <c r="AA686" i="11"/>
  <c r="AA687" i="11"/>
  <c r="AA688" i="11"/>
  <c r="AA689" i="11"/>
  <c r="AA690" i="11"/>
  <c r="AA691" i="11"/>
  <c r="AA692" i="11"/>
  <c r="AA693" i="11"/>
  <c r="AA694" i="11"/>
  <c r="AA695" i="11"/>
  <c r="AA696" i="11"/>
  <c r="AA697" i="11"/>
  <c r="AA700" i="11"/>
  <c r="AA701" i="11"/>
  <c r="AA702" i="11"/>
  <c r="AA703" i="11"/>
  <c r="AA704" i="11"/>
  <c r="AA705" i="11"/>
  <c r="AA706" i="11"/>
  <c r="AA707" i="11"/>
  <c r="AA708" i="11"/>
  <c r="AA709" i="11"/>
  <c r="AA710" i="11"/>
  <c r="AA711" i="11"/>
  <c r="AA712" i="11"/>
  <c r="AA713" i="11"/>
  <c r="AA714" i="11"/>
  <c r="AA715" i="11"/>
  <c r="AA716" i="11"/>
  <c r="AA717" i="11"/>
  <c r="AA718" i="11"/>
  <c r="AA719" i="11"/>
  <c r="AA722" i="11"/>
  <c r="AA723" i="11"/>
  <c r="AA724" i="11"/>
  <c r="AA725" i="11"/>
  <c r="AA726" i="11"/>
  <c r="AA727" i="11"/>
  <c r="AA728" i="11"/>
  <c r="AA729" i="11"/>
  <c r="AA730" i="11"/>
  <c r="AA731" i="11"/>
  <c r="AA732" i="11"/>
  <c r="AA733" i="11"/>
  <c r="AA734" i="11"/>
  <c r="AA735" i="11"/>
  <c r="AA736" i="11"/>
  <c r="AA737" i="11"/>
  <c r="AA738" i="11"/>
  <c r="AA739" i="11"/>
  <c r="AA740" i="11"/>
  <c r="AA741" i="11"/>
  <c r="AA742" i="11"/>
  <c r="AA743" i="11"/>
  <c r="AA744" i="11"/>
  <c r="AA745" i="11"/>
  <c r="AA746" i="11"/>
  <c r="AA747" i="11"/>
  <c r="AA748" i="11"/>
  <c r="AA749" i="11"/>
  <c r="AA750" i="11"/>
  <c r="AA751" i="11"/>
  <c r="AA752" i="11"/>
  <c r="AA753" i="11"/>
  <c r="AA754" i="11"/>
  <c r="AA755" i="11"/>
  <c r="AA756" i="11"/>
  <c r="AA757" i="11"/>
  <c r="AA758" i="11"/>
  <c r="AA759" i="11"/>
  <c r="AA760" i="11"/>
  <c r="AA761" i="11"/>
  <c r="A6" i="12"/>
  <c r="A6" i="13"/>
  <c r="B13" i="15"/>
  <c r="B12" i="1"/>
  <c r="L5"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AA37" i="11"/>
  <c r="AA38" i="11"/>
  <c r="AA41" i="11"/>
  <c r="AA42" i="11"/>
  <c r="AA43" i="11"/>
  <c r="AA44" i="11"/>
  <c r="AA45" i="11"/>
  <c r="AA46" i="11"/>
  <c r="AA47" i="11"/>
  <c r="AA48" i="11"/>
  <c r="AA49" i="11"/>
  <c r="AA50" i="11"/>
  <c r="AA51" i="11"/>
  <c r="AA52" i="11"/>
  <c r="AA53" i="11"/>
  <c r="AA54" i="11"/>
  <c r="AA55" i="11"/>
  <c r="AA58" i="11"/>
  <c r="AA59" i="11"/>
  <c r="AA60" i="11"/>
  <c r="AA61" i="11"/>
  <c r="AA62" i="11"/>
  <c r="AA63" i="11"/>
  <c r="AA64" i="11"/>
  <c r="AA65" i="11"/>
  <c r="AA66" i="11"/>
  <c r="AA67" i="11"/>
  <c r="AA68" i="11"/>
  <c r="J647" i="6"/>
  <c r="J645" i="6"/>
  <c r="J629" i="6"/>
  <c r="J626" i="6"/>
  <c r="J619" i="6"/>
  <c r="J618" i="6"/>
  <c r="J617" i="6"/>
  <c r="J613" i="6"/>
  <c r="J612" i="6"/>
  <c r="J608" i="6"/>
  <c r="J606" i="6"/>
  <c r="J602" i="6"/>
  <c r="J590" i="6"/>
  <c r="N239" i="10"/>
  <c r="O239" i="10" s="1"/>
  <c r="Q239" i="10" s="1"/>
  <c r="N237" i="10"/>
  <c r="O237" i="10" s="1"/>
  <c r="Q237" i="10" s="1"/>
  <c r="N234" i="10"/>
  <c r="O234" i="10" s="1"/>
  <c r="Q234" i="10" s="1"/>
  <c r="N226" i="10"/>
  <c r="O226" i="10" s="1"/>
  <c r="Q226" i="10" s="1"/>
  <c r="N224" i="10"/>
  <c r="O224" i="10" s="1"/>
  <c r="Q224" i="10" s="1"/>
  <c r="N217" i="10"/>
  <c r="O217" i="10" s="1"/>
  <c r="Q217" i="10" s="1"/>
  <c r="N216" i="10"/>
  <c r="O216" i="10" s="1"/>
  <c r="Q216" i="10" s="1"/>
  <c r="N211" i="10"/>
  <c r="O211" i="10" s="1"/>
  <c r="Q211" i="10" s="1"/>
  <c r="N209" i="10"/>
  <c r="O209" i="10" s="1"/>
  <c r="Q209" i="10" s="1"/>
  <c r="N206" i="10"/>
  <c r="O206" i="10" s="1"/>
  <c r="Q206" i="10" s="1"/>
  <c r="N204" i="10"/>
  <c r="O204" i="10" s="1"/>
  <c r="Q204" i="10" s="1"/>
  <c r="N203" i="10"/>
  <c r="O203" i="10" s="1"/>
  <c r="Q203" i="10" s="1"/>
  <c r="N202" i="10"/>
  <c r="O202" i="10" s="1"/>
  <c r="Q202" i="10" s="1"/>
  <c r="N201" i="10"/>
  <c r="O201" i="10" s="1"/>
  <c r="Q201" i="10" s="1"/>
  <c r="N198" i="10"/>
  <c r="O198" i="10" s="1"/>
  <c r="Q198" i="10" s="1"/>
  <c r="N196" i="10"/>
  <c r="O196" i="10" s="1"/>
  <c r="Q196" i="10" s="1"/>
  <c r="N194" i="10"/>
  <c r="O194" i="10" s="1"/>
  <c r="Q194" i="10" s="1"/>
  <c r="N192" i="10"/>
  <c r="O192" i="10" s="1"/>
  <c r="Q192" i="10" s="1"/>
  <c r="N190" i="10"/>
  <c r="O190" i="10" s="1"/>
  <c r="Q190" i="10" s="1"/>
  <c r="N185" i="10"/>
  <c r="O185" i="10" s="1"/>
  <c r="Q185" i="10" s="1"/>
  <c r="N184" i="10"/>
  <c r="O184" i="10" s="1"/>
  <c r="Q184" i="10" s="1"/>
  <c r="N182" i="10"/>
  <c r="O182" i="10" s="1"/>
  <c r="Q182" i="10" s="1"/>
  <c r="N180" i="10"/>
  <c r="O180" i="10" s="1"/>
  <c r="Q180" i="10" s="1"/>
  <c r="N176" i="10"/>
  <c r="O176" i="10" s="1"/>
  <c r="Q176" i="10" s="1"/>
  <c r="N175" i="10"/>
  <c r="O175" i="10" s="1"/>
  <c r="Q175" i="10" s="1"/>
  <c r="N173" i="10"/>
  <c r="O173" i="10" s="1"/>
  <c r="Q173" i="10" s="1"/>
  <c r="N170" i="10"/>
  <c r="O170" i="10" s="1"/>
  <c r="Q170" i="10" s="1"/>
  <c r="N167" i="10"/>
  <c r="O167" i="10" s="1"/>
  <c r="Q167" i="10" s="1"/>
  <c r="N166" i="10"/>
  <c r="O166" i="10" s="1"/>
  <c r="Q166" i="10" s="1"/>
  <c r="N164" i="10"/>
  <c r="O164" i="10" s="1"/>
  <c r="Q164" i="10" s="1"/>
  <c r="N163" i="10"/>
  <c r="O163" i="10" s="1"/>
  <c r="Q163" i="10" s="1"/>
  <c r="N161" i="10"/>
  <c r="O161" i="10" s="1"/>
  <c r="Q161" i="10" s="1"/>
  <c r="N160" i="10"/>
  <c r="O160" i="10" s="1"/>
  <c r="Q160" i="10" s="1"/>
  <c r="N159" i="10"/>
  <c r="O159" i="10" s="1"/>
  <c r="Q159" i="10" s="1"/>
  <c r="N157" i="10"/>
  <c r="O157" i="10" s="1"/>
  <c r="Q157" i="10" s="1"/>
  <c r="N156" i="10"/>
  <c r="O156" i="10" s="1"/>
  <c r="Q156" i="10" s="1"/>
  <c r="N154" i="10"/>
  <c r="O154" i="10" s="1"/>
  <c r="Q154" i="10" s="1"/>
  <c r="N149" i="10"/>
  <c r="O149" i="10" s="1"/>
  <c r="Q149" i="10" s="1"/>
  <c r="N148" i="10"/>
  <c r="O148" i="10" s="1"/>
  <c r="Q148" i="10" s="1"/>
  <c r="N145" i="10"/>
  <c r="O145" i="10" s="1"/>
  <c r="Q145" i="10" s="1"/>
  <c r="N140" i="10"/>
  <c r="O140" i="10" s="1"/>
  <c r="Q140" i="10" s="1"/>
  <c r="N138" i="10"/>
  <c r="O138" i="10" s="1"/>
  <c r="Q138" i="10" s="1"/>
  <c r="N136" i="10"/>
  <c r="O136" i="10" s="1"/>
  <c r="Q136" i="10" s="1"/>
  <c r="N135" i="10"/>
  <c r="O135" i="10" s="1"/>
  <c r="Q135" i="10" s="1"/>
  <c r="N134" i="10"/>
  <c r="O134" i="10" s="1"/>
  <c r="Q134" i="10" s="1"/>
  <c r="N129" i="10"/>
  <c r="O129" i="10" s="1"/>
  <c r="Q129" i="10" s="1"/>
  <c r="N128" i="10"/>
  <c r="O128" i="10" s="1"/>
  <c r="Q128" i="10" s="1"/>
  <c r="N29" i="10"/>
  <c r="O29" i="10" s="1"/>
  <c r="Q29" i="10" s="1"/>
  <c r="N27" i="10"/>
  <c r="O27" i="10" s="1"/>
  <c r="Q27" i="10" s="1"/>
  <c r="N25" i="10"/>
  <c r="O25" i="10" s="1"/>
  <c r="Q25" i="10" s="1"/>
  <c r="N21" i="10"/>
  <c r="O21" i="10" s="1"/>
  <c r="Q21" i="10" s="1"/>
  <c r="N20" i="10"/>
  <c r="O20" i="10" s="1"/>
  <c r="Q20" i="10" s="1"/>
  <c r="N19" i="10"/>
  <c r="O19" i="10" s="1"/>
  <c r="Q19" i="10" s="1"/>
  <c r="N18" i="10"/>
  <c r="O18" i="10" s="1"/>
  <c r="Q18" i="10" s="1"/>
  <c r="N10" i="10"/>
  <c r="O10" i="10" s="1"/>
  <c r="Q10" i="10" s="1"/>
  <c r="J666" i="6"/>
  <c r="J653" i="6"/>
  <c r="J650" i="6"/>
  <c r="J643" i="6"/>
  <c r="J642" i="6"/>
  <c r="J641" i="6"/>
  <c r="J635" i="6"/>
  <c r="J623" i="6"/>
  <c r="J621" i="6"/>
  <c r="J586" i="6"/>
  <c r="N126" i="10"/>
  <c r="O126" i="10" s="1"/>
  <c r="Q126" i="10" s="1"/>
  <c r="N124" i="10"/>
  <c r="O124" i="10" s="1"/>
  <c r="Q124" i="10" s="1"/>
  <c r="N123" i="10"/>
  <c r="O123" i="10" s="1"/>
  <c r="Q123" i="10" s="1"/>
  <c r="N120" i="10"/>
  <c r="O120" i="10" s="1"/>
  <c r="Q120" i="10" s="1"/>
  <c r="N119" i="10"/>
  <c r="O119" i="10" s="1"/>
  <c r="Q119" i="10" s="1"/>
  <c r="N118" i="10"/>
  <c r="O118" i="10" s="1"/>
  <c r="Q118" i="10" s="1"/>
  <c r="N115" i="10"/>
  <c r="O115" i="10" s="1"/>
  <c r="Q115" i="10" s="1"/>
  <c r="N110" i="10"/>
  <c r="O110" i="10" s="1"/>
  <c r="Q110" i="10" s="1"/>
  <c r="N107" i="10"/>
  <c r="O107" i="10" s="1"/>
  <c r="Q107" i="10" s="1"/>
  <c r="N103" i="10"/>
  <c r="O103" i="10" s="1"/>
  <c r="Q103" i="10" s="1"/>
  <c r="N102" i="10"/>
  <c r="O102" i="10" s="1"/>
  <c r="Q102" i="10" s="1"/>
  <c r="N98" i="10"/>
  <c r="O98" i="10" s="1"/>
  <c r="Q98" i="10" s="1"/>
  <c r="N95" i="10"/>
  <c r="O95" i="10" s="1"/>
  <c r="Q95" i="10" s="1"/>
  <c r="N94" i="10"/>
  <c r="O94" i="10" s="1"/>
  <c r="Q94" i="10" s="1"/>
  <c r="N91" i="10"/>
  <c r="O91" i="10" s="1"/>
  <c r="Q91" i="10" s="1"/>
  <c r="N87" i="10"/>
  <c r="O87" i="10" s="1"/>
  <c r="Q87" i="10" s="1"/>
  <c r="N85" i="10"/>
  <c r="O85" i="10" s="1"/>
  <c r="Q85" i="10" s="1"/>
  <c r="N84" i="10"/>
  <c r="O84" i="10" s="1"/>
  <c r="Q84" i="10" s="1"/>
  <c r="N76" i="10"/>
  <c r="O76" i="10" s="1"/>
  <c r="Q76" i="10" s="1"/>
  <c r="N75" i="10"/>
  <c r="O75" i="10" s="1"/>
  <c r="Q75" i="10" s="1"/>
  <c r="N74" i="10"/>
  <c r="O74" i="10" s="1"/>
  <c r="Q74" i="10" s="1"/>
  <c r="N73" i="10"/>
  <c r="O73" i="10" s="1"/>
  <c r="Q73" i="10" s="1"/>
  <c r="N70" i="10"/>
  <c r="O70" i="10" s="1"/>
  <c r="Q70" i="10" s="1"/>
  <c r="N69" i="10"/>
  <c r="O69" i="10" s="1"/>
  <c r="Q69" i="10" s="1"/>
  <c r="N68" i="10"/>
  <c r="O68" i="10" s="1"/>
  <c r="Q68" i="10" s="1"/>
  <c r="N66" i="10"/>
  <c r="O66" i="10" s="1"/>
  <c r="Q66" i="10" s="1"/>
  <c r="N64" i="10"/>
  <c r="O64" i="10" s="1"/>
  <c r="Q64" i="10" s="1"/>
  <c r="N63" i="10"/>
  <c r="O63" i="10" s="1"/>
  <c r="Q63" i="10" s="1"/>
  <c r="N62" i="10"/>
  <c r="O62" i="10" s="1"/>
  <c r="Q62" i="10" s="1"/>
  <c r="N61" i="10"/>
  <c r="O61" i="10" s="1"/>
  <c r="Q61" i="10" s="1"/>
  <c r="N60" i="10"/>
  <c r="O60" i="10" s="1"/>
  <c r="Q60" i="10" s="1"/>
  <c r="N59" i="10"/>
  <c r="O59" i="10" s="1"/>
  <c r="Q59" i="10" s="1"/>
  <c r="N50" i="10"/>
  <c r="O50" i="10" s="1"/>
  <c r="Q50" i="10" s="1"/>
  <c r="N48" i="10"/>
  <c r="O48" i="10" s="1"/>
  <c r="Q48" i="10" s="1"/>
  <c r="N47" i="10"/>
  <c r="O47" i="10" s="1"/>
  <c r="Q47" i="10" s="1"/>
  <c r="N46" i="10"/>
  <c r="O46" i="10" s="1"/>
  <c r="Q46" i="10" s="1"/>
  <c r="N45" i="10"/>
  <c r="O45" i="10" s="1"/>
  <c r="Q45" i="10" s="1"/>
  <c r="N44" i="10"/>
  <c r="O44" i="10" s="1"/>
  <c r="Q44" i="10" s="1"/>
  <c r="N43" i="10"/>
  <c r="O43" i="10" s="1"/>
  <c r="Q43" i="10" s="1"/>
  <c r="N42" i="10"/>
  <c r="O42" i="10" s="1"/>
  <c r="Q42" i="10" s="1"/>
  <c r="N41" i="10"/>
  <c r="O41" i="10" s="1"/>
  <c r="Q41" i="10" s="1"/>
  <c r="N39" i="10"/>
  <c r="O39" i="10" s="1"/>
  <c r="Q39" i="10" s="1"/>
  <c r="N38" i="10"/>
  <c r="O38" i="10" s="1"/>
  <c r="Q38" i="10" s="1"/>
  <c r="N37" i="10"/>
  <c r="O37" i="10" s="1"/>
  <c r="Q37" i="10" s="1"/>
  <c r="N36" i="10"/>
  <c r="O36" i="10" s="1"/>
  <c r="Q36" i="10" s="1"/>
  <c r="N34" i="10"/>
  <c r="O34" i="10" s="1"/>
  <c r="Q34" i="10" s="1"/>
  <c r="N31" i="10"/>
  <c r="O31" i="10" s="1"/>
  <c r="Q31" i="10" s="1"/>
  <c r="N16" i="10"/>
  <c r="O16" i="10" s="1"/>
  <c r="Q16" i="10" s="1"/>
  <c r="N14" i="10"/>
  <c r="O14" i="10" s="1"/>
  <c r="Q14" i="10" s="1"/>
  <c r="N13" i="10"/>
  <c r="O13" i="10" s="1"/>
  <c r="Q13" i="10" s="1"/>
  <c r="N12" i="10"/>
  <c r="O12" i="10" s="1"/>
  <c r="Q12" i="10" s="1"/>
  <c r="N11" i="10"/>
  <c r="O11" i="10" s="1"/>
  <c r="Q11" i="10" s="1"/>
  <c r="N9" i="10"/>
  <c r="O9" i="10" s="1"/>
  <c r="Q9" i="10" s="1"/>
  <c r="N8" i="10"/>
  <c r="O8" i="10" s="1"/>
  <c r="A41" i="13" s="1" a="1"/>
  <c r="J654" i="6"/>
  <c r="J652" i="6"/>
  <c r="J651" i="6"/>
  <c r="J632" i="6"/>
  <c r="J630" i="6"/>
  <c r="J625" i="6"/>
  <c r="J624" i="6"/>
  <c r="J611" i="6"/>
  <c r="J607" i="6"/>
  <c r="J576" i="6"/>
  <c r="J569" i="6"/>
  <c r="J567" i="6"/>
  <c r="J557" i="6"/>
  <c r="J661" i="6"/>
  <c r="J659" i="6"/>
  <c r="J656" i="6"/>
  <c r="J655" i="6"/>
  <c r="J592" i="6"/>
  <c r="J574" i="6"/>
  <c r="J561" i="6"/>
  <c r="J558" i="6"/>
  <c r="J556" i="6"/>
  <c r="J235" i="6"/>
  <c r="J554" i="6"/>
  <c r="J552" i="6"/>
  <c r="J549" i="6"/>
  <c r="J547" i="6"/>
  <c r="J546" i="6"/>
  <c r="J545" i="6"/>
  <c r="J542" i="6"/>
  <c r="J540" i="6"/>
  <c r="J539" i="6"/>
  <c r="J537" i="6"/>
  <c r="J535" i="6"/>
  <c r="J533" i="6"/>
  <c r="J531" i="6"/>
  <c r="J527" i="6"/>
  <c r="J523" i="6"/>
  <c r="J522" i="6"/>
  <c r="J521" i="6"/>
  <c r="J520" i="6"/>
  <c r="J518" i="6"/>
  <c r="J517" i="6"/>
  <c r="J516" i="6"/>
  <c r="J515" i="6"/>
  <c r="J510" i="6"/>
  <c r="J509" i="6"/>
  <c r="J508" i="6"/>
  <c r="J507" i="6"/>
  <c r="J506" i="6"/>
  <c r="J505" i="6"/>
  <c r="J502" i="6"/>
  <c r="J501" i="6"/>
  <c r="J500" i="6"/>
  <c r="J499" i="6"/>
  <c r="J493" i="6"/>
  <c r="J492" i="6"/>
  <c r="J490" i="6"/>
  <c r="J489" i="6"/>
  <c r="J487" i="6"/>
  <c r="J482" i="6"/>
  <c r="J481" i="6"/>
  <c r="J479" i="6"/>
  <c r="J475" i="6"/>
  <c r="J474" i="6"/>
  <c r="J472" i="6"/>
  <c r="J467" i="6"/>
  <c r="J462" i="6"/>
  <c r="J448" i="6"/>
  <c r="J234" i="6"/>
  <c r="J447" i="6"/>
  <c r="J439" i="6"/>
  <c r="J437" i="6"/>
  <c r="J432" i="6"/>
  <c r="J430" i="6"/>
  <c r="J428" i="6"/>
  <c r="J426" i="6"/>
  <c r="J425" i="6"/>
  <c r="J424" i="6"/>
  <c r="J423" i="6"/>
  <c r="J422" i="6"/>
  <c r="J421" i="6"/>
  <c r="J420" i="6"/>
  <c r="J418" i="6"/>
  <c r="J413" i="6"/>
  <c r="J411" i="6"/>
  <c r="J410" i="6"/>
  <c r="J409" i="6"/>
  <c r="J408" i="6"/>
  <c r="J406" i="6"/>
  <c r="J405" i="6"/>
  <c r="J404" i="6"/>
  <c r="J400" i="6"/>
  <c r="J399" i="6"/>
  <c r="J395" i="6"/>
  <c r="J393" i="6"/>
  <c r="J391" i="6"/>
  <c r="J389" i="6"/>
  <c r="J384" i="6"/>
  <c r="J374" i="6"/>
  <c r="J372" i="6"/>
  <c r="J371" i="6"/>
  <c r="J370" i="6"/>
  <c r="J368" i="6"/>
  <c r="J365" i="6"/>
  <c r="J364" i="6"/>
  <c r="J363" i="6"/>
  <c r="J362" i="6"/>
  <c r="J360" i="6"/>
  <c r="J359" i="6"/>
  <c r="J357" i="6"/>
  <c r="J356" i="6"/>
  <c r="J354" i="6"/>
  <c r="J352" i="6"/>
  <c r="J351" i="6"/>
  <c r="J350" i="6"/>
  <c r="J349" i="6"/>
  <c r="J348" i="6"/>
  <c r="J346" i="6"/>
  <c r="J343" i="6"/>
  <c r="J342" i="6"/>
  <c r="J341" i="6"/>
  <c r="J340" i="6"/>
  <c r="J272" i="6"/>
  <c r="J269" i="6"/>
  <c r="J268" i="6"/>
  <c r="J267" i="6"/>
  <c r="J265" i="6"/>
  <c r="J262" i="6"/>
  <c r="J256" i="6"/>
  <c r="J255" i="6"/>
  <c r="J250" i="6"/>
  <c r="J249" i="6"/>
  <c r="J247" i="6"/>
  <c r="J244" i="6"/>
  <c r="J241" i="6"/>
  <c r="J337" i="6"/>
  <c r="J336" i="6"/>
  <c r="J335" i="6"/>
  <c r="J334" i="6"/>
  <c r="J332" i="6"/>
  <c r="J331" i="6"/>
  <c r="J330" i="6"/>
  <c r="J326" i="6"/>
  <c r="J322" i="6"/>
  <c r="J321" i="6"/>
  <c r="J320" i="6"/>
  <c r="J317" i="6"/>
  <c r="J316" i="6"/>
  <c r="J309" i="6"/>
  <c r="J305" i="6"/>
  <c r="J303" i="6"/>
  <c r="J300" i="6"/>
  <c r="J299" i="6"/>
  <c r="J298" i="6"/>
  <c r="J293" i="6"/>
  <c r="J292" i="6"/>
  <c r="J291" i="6"/>
  <c r="J290" i="6"/>
  <c r="J289" i="6"/>
  <c r="J288" i="6"/>
  <c r="J286" i="6"/>
  <c r="J285" i="6"/>
  <c r="J284" i="6"/>
  <c r="J282" i="6"/>
  <c r="J279" i="6"/>
  <c r="J276" i="6"/>
  <c r="J224" i="6"/>
  <c r="J222" i="6"/>
  <c r="J221" i="6"/>
  <c r="J219" i="6"/>
  <c r="J218" i="6"/>
  <c r="J217" i="6"/>
  <c r="J215" i="6"/>
  <c r="J214" i="6"/>
  <c r="J211" i="6"/>
  <c r="J210" i="6"/>
  <c r="J209" i="6"/>
  <c r="J208" i="6"/>
  <c r="J202" i="6"/>
  <c r="J198" i="6"/>
  <c r="J196" i="6"/>
  <c r="J195" i="6"/>
  <c r="J194" i="6"/>
  <c r="J192" i="6"/>
  <c r="J191" i="6"/>
  <c r="J190" i="6"/>
  <c r="J185" i="6"/>
  <c r="J184" i="6"/>
  <c r="J183" i="6"/>
  <c r="J182" i="6"/>
  <c r="J176" i="6"/>
  <c r="J173" i="6"/>
  <c r="J169" i="6"/>
  <c r="J168" i="6"/>
  <c r="J167" i="6"/>
  <c r="J166" i="6"/>
  <c r="J164" i="6"/>
  <c r="J161" i="6"/>
  <c r="J158" i="6"/>
  <c r="J156" i="6"/>
  <c r="J152" i="6"/>
  <c r="J148" i="6"/>
  <c r="J146" i="6"/>
  <c r="J144" i="6"/>
  <c r="J141" i="6"/>
  <c r="J139" i="6"/>
  <c r="J138" i="6"/>
  <c r="J135" i="6"/>
  <c r="J134" i="6"/>
  <c r="J133" i="6"/>
  <c r="J131" i="6"/>
  <c r="J128" i="6"/>
  <c r="J124" i="6"/>
  <c r="J120" i="6"/>
  <c r="J107" i="6"/>
  <c r="J103" i="6"/>
  <c r="J90" i="6"/>
  <c r="J86" i="6"/>
  <c r="J73" i="6"/>
  <c r="J64" i="6"/>
  <c r="J60" i="6"/>
  <c r="J55" i="6"/>
  <c r="J53" i="6"/>
  <c r="J52" i="6"/>
  <c r="J49" i="6"/>
  <c r="J48" i="6"/>
  <c r="J47" i="6"/>
  <c r="K614" i="5"/>
  <c r="L614" i="5"/>
  <c r="L411" i="5"/>
  <c r="K411" i="5"/>
  <c r="L208" i="5"/>
  <c r="K208" i="5"/>
  <c r="K353" i="5"/>
  <c r="L353" i="5"/>
  <c r="K649" i="6" l="1"/>
  <c r="L649" i="6" s="1"/>
  <c r="N649" i="6" s="1"/>
  <c r="P649" i="6" s="1"/>
  <c r="K658" i="6"/>
  <c r="L658" i="6" s="1"/>
  <c r="N658" i="6" s="1"/>
  <c r="P658" i="6" s="1"/>
  <c r="K662" i="6"/>
  <c r="L662" i="6" s="1"/>
  <c r="N662" i="6" s="1"/>
  <c r="P662" i="6" s="1"/>
  <c r="K667" i="6"/>
  <c r="L667" i="6" s="1"/>
  <c r="N667" i="6" s="1"/>
  <c r="P667" i="6" s="1"/>
  <c r="K628" i="6"/>
  <c r="L628" i="6" s="1"/>
  <c r="N628" i="6" s="1"/>
  <c r="P628" i="6" s="1"/>
  <c r="K631" i="6"/>
  <c r="L631" i="6" s="1"/>
  <c r="N631" i="6" s="1"/>
  <c r="P631" i="6" s="1"/>
  <c r="K637" i="6"/>
  <c r="L637" i="6" s="1"/>
  <c r="N637" i="6" s="1"/>
  <c r="P637" i="6" s="1"/>
  <c r="K641" i="6"/>
  <c r="L641" i="6" s="1"/>
  <c r="N641" i="6" s="1"/>
  <c r="P641" i="6" s="1"/>
  <c r="K645" i="6"/>
  <c r="L645" i="6" s="1"/>
  <c r="N645" i="6" s="1"/>
  <c r="P645" i="6" s="1"/>
  <c r="K630" i="6"/>
  <c r="L630" i="6" s="1"/>
  <c r="N630" i="6" s="1"/>
  <c r="P630" i="6" s="1"/>
  <c r="M694" i="5"/>
  <c r="M693" i="5"/>
  <c r="M692" i="5"/>
  <c r="M691" i="5"/>
  <c r="M690" i="5"/>
  <c r="M689" i="5"/>
  <c r="M688" i="5"/>
  <c r="M687" i="5"/>
  <c r="M686" i="5"/>
  <c r="M685" i="5"/>
  <c r="M684" i="5"/>
  <c r="M683" i="5"/>
  <c r="M682" i="5"/>
  <c r="M681" i="5"/>
  <c r="M680" i="5"/>
  <c r="M679" i="5"/>
  <c r="M678" i="5"/>
  <c r="M677" i="5"/>
  <c r="M676" i="5"/>
  <c r="M675" i="5"/>
  <c r="M674" i="5"/>
  <c r="M673" i="5"/>
  <c r="M672" i="5"/>
  <c r="M671" i="5"/>
  <c r="M670" i="5"/>
  <c r="M669" i="5"/>
  <c r="M668" i="5"/>
  <c r="M667" i="5"/>
  <c r="M666" i="5"/>
  <c r="M665" i="5"/>
  <c r="M664" i="5"/>
  <c r="M663" i="5"/>
  <c r="M662" i="5"/>
  <c r="M661" i="5"/>
  <c r="M660" i="5"/>
  <c r="M659" i="5"/>
  <c r="M658" i="5"/>
  <c r="M657" i="5"/>
  <c r="M656" i="5"/>
  <c r="M655" i="5"/>
  <c r="M654" i="5"/>
  <c r="M653" i="5"/>
  <c r="M652" i="5"/>
  <c r="M651" i="5"/>
  <c r="M650" i="5"/>
  <c r="M649" i="5"/>
  <c r="M648" i="5"/>
  <c r="M647" i="5"/>
  <c r="M646" i="5"/>
  <c r="M645" i="5"/>
  <c r="M644" i="5"/>
  <c r="M643" i="5"/>
  <c r="M642" i="5"/>
  <c r="M641" i="5"/>
  <c r="M640" i="5"/>
  <c r="M639" i="5"/>
  <c r="M638" i="5"/>
  <c r="M637" i="5"/>
  <c r="M636" i="5"/>
  <c r="M635" i="5"/>
  <c r="M634" i="5"/>
  <c r="M633" i="5"/>
  <c r="M632" i="5"/>
  <c r="M631" i="5"/>
  <c r="M630" i="5"/>
  <c r="M629" i="5"/>
  <c r="M628" i="5"/>
  <c r="M627" i="5"/>
  <c r="M626" i="5"/>
  <c r="M625" i="5"/>
  <c r="M624" i="5"/>
  <c r="M623" i="5"/>
  <c r="M622" i="5"/>
  <c r="M621" i="5"/>
  <c r="M620" i="5"/>
  <c r="M619" i="5"/>
  <c r="M618" i="5"/>
  <c r="M617" i="5"/>
  <c r="M616" i="5"/>
  <c r="M615"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FF18" i="5"/>
  <c r="FE18" i="5"/>
  <c r="FG18" i="5" s="1"/>
  <c r="FH18" i="5" s="1"/>
  <c r="FF21" i="5"/>
  <c r="FE21" i="5"/>
  <c r="FG21" i="5" s="1"/>
  <c r="FH21" i="5" s="1"/>
  <c r="FF33" i="5"/>
  <c r="FE33" i="5"/>
  <c r="FG33" i="5" s="1"/>
  <c r="FH33" i="5" s="1"/>
  <c r="FF47" i="5"/>
  <c r="FE47" i="5"/>
  <c r="FG47" i="5" s="1"/>
  <c r="FH47" i="5" s="1"/>
  <c r="FF57" i="5"/>
  <c r="FE57" i="5"/>
  <c r="FG57" i="5" s="1"/>
  <c r="FH57" i="5" s="1"/>
  <c r="FF58" i="5"/>
  <c r="FE58" i="5"/>
  <c r="FG58" i="5" s="1"/>
  <c r="FH58" i="5" s="1"/>
  <c r="FF74" i="5"/>
  <c r="FE74" i="5"/>
  <c r="FG74" i="5" s="1"/>
  <c r="FH74" i="5" s="1"/>
  <c r="FF89" i="5"/>
  <c r="FE89" i="5"/>
  <c r="FG89" i="5" s="1"/>
  <c r="FH89" i="5" s="1"/>
  <c r="FF19" i="5"/>
  <c r="FE19" i="5"/>
  <c r="FG19" i="5" s="1"/>
  <c r="FH19" i="5" s="1"/>
  <c r="FF32" i="5"/>
  <c r="FE32" i="5"/>
  <c r="FG32" i="5" s="1"/>
  <c r="FH32" i="5" s="1"/>
  <c r="FF46" i="5"/>
  <c r="FE46" i="5"/>
  <c r="FG46" i="5" s="1"/>
  <c r="FH46" i="5" s="1"/>
  <c r="FF55" i="5"/>
  <c r="FE55" i="5"/>
  <c r="FG55" i="5" s="1"/>
  <c r="FH55" i="5" s="1"/>
  <c r="FF60" i="5"/>
  <c r="FE60" i="5"/>
  <c r="FG60" i="5" s="1"/>
  <c r="FH60" i="5" s="1"/>
  <c r="FF88" i="5"/>
  <c r="FE88" i="5"/>
  <c r="FG88" i="5" s="1"/>
  <c r="FH88" i="5" s="1"/>
  <c r="FF20" i="5"/>
  <c r="FE20" i="5"/>
  <c r="FG20" i="5" s="1"/>
  <c r="FH20" i="5" s="1"/>
  <c r="FF31" i="5"/>
  <c r="FE31" i="5"/>
  <c r="FF34" i="5"/>
  <c r="FE34" i="5"/>
  <c r="FG34" i="5" s="1"/>
  <c r="FH34" i="5" s="1"/>
  <c r="FF54" i="5"/>
  <c r="FE54" i="5"/>
  <c r="FG54" i="5" s="1"/>
  <c r="FH54" i="5" s="1"/>
  <c r="FF56" i="5"/>
  <c r="FE56" i="5"/>
  <c r="FG56" i="5" s="1"/>
  <c r="FH56" i="5" s="1"/>
  <c r="FF59" i="5"/>
  <c r="FE59" i="5"/>
  <c r="FG59" i="5" s="1"/>
  <c r="FH59" i="5" s="1"/>
  <c r="FF75" i="5"/>
  <c r="FE75" i="5"/>
  <c r="FG75" i="5" s="1"/>
  <c r="FH75" i="5" s="1"/>
  <c r="FF14" i="5"/>
  <c r="FE14" i="5"/>
  <c r="FG14" i="5" s="1"/>
  <c r="FH14" i="5" s="1"/>
  <c r="FE16" i="5"/>
  <c r="FF16" i="5"/>
  <c r="AE24" i="5"/>
  <c r="AF24" i="5"/>
  <c r="AE38" i="5"/>
  <c r="AF38" i="5"/>
  <c r="FE39" i="5"/>
  <c r="FF39" i="5"/>
  <c r="AE42" i="5"/>
  <c r="AF42" i="5"/>
  <c r="AE45" i="5"/>
  <c r="AF45" i="5"/>
  <c r="FE70" i="5"/>
  <c r="FF70" i="5"/>
  <c r="AE74" i="5"/>
  <c r="AF74" i="5"/>
  <c r="AE77" i="5"/>
  <c r="AF77" i="5"/>
  <c r="FE77" i="5"/>
  <c r="FF77" i="5"/>
  <c r="AE84" i="5"/>
  <c r="AF84" i="5"/>
  <c r="AE86" i="5"/>
  <c r="AF86" i="5"/>
  <c r="FE87" i="5"/>
  <c r="FF87" i="5"/>
  <c r="AE88" i="5"/>
  <c r="AF88" i="5"/>
  <c r="AE93" i="5"/>
  <c r="AF93" i="5"/>
  <c r="AE11" i="5"/>
  <c r="AF11" i="5"/>
  <c r="FE12" i="5"/>
  <c r="FF12" i="5"/>
  <c r="AE25" i="5"/>
  <c r="AF25" i="5"/>
  <c r="AF31" i="5"/>
  <c r="AE31" i="5"/>
  <c r="AG31" i="5" s="1"/>
  <c r="AH31" i="5" s="1"/>
  <c r="AF37" i="5"/>
  <c r="AE37" i="5"/>
  <c r="AG37" i="5" s="1"/>
  <c r="AH37" i="5" s="1"/>
  <c r="FE38" i="5"/>
  <c r="FF38" i="5"/>
  <c r="FE66" i="5"/>
  <c r="FF66" i="5"/>
  <c r="FE71" i="5"/>
  <c r="FF71" i="5"/>
  <c r="AE72" i="5"/>
  <c r="AF72" i="5"/>
  <c r="AE79" i="5"/>
  <c r="AF79" i="5"/>
  <c r="FE79" i="5"/>
  <c r="FF79" i="5"/>
  <c r="FE93" i="5"/>
  <c r="FF93" i="5"/>
  <c r="AE26" i="5"/>
  <c r="AF26" i="5"/>
  <c r="FE28" i="5"/>
  <c r="FF28" i="5"/>
  <c r="AE30" i="5"/>
  <c r="AF30" i="5"/>
  <c r="FE44" i="5"/>
  <c r="FF44" i="5"/>
  <c r="FE49" i="5"/>
  <c r="FF49" i="5"/>
  <c r="FE67" i="5"/>
  <c r="FF67" i="5"/>
  <c r="FE86" i="5"/>
  <c r="FF86" i="5"/>
  <c r="AF17" i="5"/>
  <c r="AE17" i="5"/>
  <c r="AG17" i="5" s="1"/>
  <c r="AH17" i="5" s="1"/>
  <c r="AE18" i="5"/>
  <c r="AF18" i="5"/>
  <c r="AF22" i="5"/>
  <c r="AE22" i="5"/>
  <c r="FF22" i="5"/>
  <c r="FE22" i="5"/>
  <c r="FG22" i="5" s="1"/>
  <c r="FH22" i="5" s="1"/>
  <c r="AE36" i="5"/>
  <c r="AF36" i="5"/>
  <c r="AE19" i="5"/>
  <c r="AF19" i="5"/>
  <c r="AE20" i="5"/>
  <c r="AF20" i="5"/>
  <c r="AE21" i="5"/>
  <c r="AF21" i="5"/>
  <c r="AE32" i="5"/>
  <c r="AF32" i="5"/>
  <c r="AE33" i="5"/>
  <c r="AF33" i="5"/>
  <c r="AE34" i="5"/>
  <c r="AF34" i="5"/>
  <c r="FE45" i="5"/>
  <c r="FF45" i="5"/>
  <c r="AE46" i="5"/>
  <c r="AF46" i="5"/>
  <c r="AE47" i="5"/>
  <c r="AF47" i="5"/>
  <c r="AE48" i="5"/>
  <c r="AF48" i="5"/>
  <c r="AE8" i="5"/>
  <c r="AF8" i="5"/>
  <c r="FE10" i="5"/>
  <c r="FF10" i="5"/>
  <c r="FE11" i="5"/>
  <c r="FF11" i="5"/>
  <c r="FE23" i="5"/>
  <c r="FF23" i="5"/>
  <c r="FE26" i="5"/>
  <c r="FF26" i="5"/>
  <c r="FE27" i="5"/>
  <c r="FF27" i="5"/>
  <c r="FE29" i="5"/>
  <c r="FF29" i="5"/>
  <c r="FE52" i="5"/>
  <c r="FF52" i="5"/>
  <c r="AE55" i="5"/>
  <c r="AF55" i="5"/>
  <c r="AE56" i="5"/>
  <c r="AF56" i="5"/>
  <c r="AE57" i="5"/>
  <c r="AF57" i="5"/>
  <c r="AE58" i="5"/>
  <c r="AF58" i="5"/>
  <c r="AE59" i="5"/>
  <c r="AF59" i="5"/>
  <c r="AE60" i="5"/>
  <c r="AF60" i="5"/>
  <c r="AE61" i="5"/>
  <c r="AF61" i="5"/>
  <c r="AE12" i="5"/>
  <c r="AF12" i="5"/>
  <c r="AE27" i="5"/>
  <c r="AF27" i="5"/>
  <c r="AF29" i="5"/>
  <c r="AE29" i="5"/>
  <c r="AG29" i="5" s="1"/>
  <c r="AH29" i="5" s="1"/>
  <c r="FE35" i="5"/>
  <c r="FF35" i="5"/>
  <c r="AE44" i="5"/>
  <c r="AF44" i="5"/>
  <c r="AE51" i="5"/>
  <c r="AF51" i="5"/>
  <c r="FE63" i="5"/>
  <c r="FF63" i="5"/>
  <c r="FE64" i="5"/>
  <c r="FF64" i="5"/>
  <c r="AE75" i="5"/>
  <c r="AF75" i="5"/>
  <c r="AE76" i="5"/>
  <c r="AF76" i="5"/>
  <c r="FE9" i="5"/>
  <c r="FF9" i="5"/>
  <c r="FE15" i="5"/>
  <c r="FF15" i="5"/>
  <c r="AE28" i="5"/>
  <c r="AF28" i="5"/>
  <c r="AE68" i="5"/>
  <c r="AF68" i="5"/>
  <c r="FE72" i="5"/>
  <c r="FF72" i="5"/>
  <c r="FE78" i="5"/>
  <c r="FF78" i="5"/>
  <c r="AE81" i="5"/>
  <c r="AF81" i="5"/>
  <c r="FE84" i="5"/>
  <c r="FF84" i="5"/>
  <c r="AE89" i="5"/>
  <c r="AF89" i="5"/>
  <c r="FE17" i="5"/>
  <c r="FF17" i="5"/>
  <c r="AE23" i="5"/>
  <c r="AF23" i="5"/>
  <c r="FF40" i="5"/>
  <c r="FE40" i="5"/>
  <c r="FG40" i="5" s="1"/>
  <c r="FH40" i="5" s="1"/>
  <c r="AE53" i="5"/>
  <c r="AF53" i="5"/>
  <c r="FF69" i="5"/>
  <c r="FE69" i="5"/>
  <c r="FG69" i="5" s="1"/>
  <c r="FH69" i="5" s="1"/>
  <c r="AE71" i="5"/>
  <c r="AF71" i="5"/>
  <c r="AF10" i="5"/>
  <c r="AE10" i="5"/>
  <c r="AG10" i="5" s="1"/>
  <c r="AH10" i="5" s="1"/>
  <c r="FE41" i="5"/>
  <c r="FF41" i="5"/>
  <c r="FE42" i="5"/>
  <c r="FF42" i="5"/>
  <c r="AE43" i="5"/>
  <c r="AF43" i="5"/>
  <c r="FE50" i="5"/>
  <c r="FF50" i="5"/>
  <c r="AE52" i="5"/>
  <c r="AF52" i="5"/>
  <c r="AE69" i="5"/>
  <c r="AF69" i="5"/>
  <c r="FE80" i="5"/>
  <c r="FF80" i="5"/>
  <c r="FE91" i="5"/>
  <c r="FF91" i="5"/>
  <c r="AE96" i="5"/>
  <c r="AF96" i="5"/>
  <c r="FE37" i="5"/>
  <c r="FF37" i="5"/>
  <c r="AE82" i="5"/>
  <c r="AF82" i="5"/>
  <c r="AE83" i="5"/>
  <c r="AF83" i="5"/>
  <c r="AE95" i="5"/>
  <c r="AF95" i="5"/>
  <c r="FE95" i="5"/>
  <c r="FF95" i="5"/>
  <c r="FE13" i="5"/>
  <c r="FF13" i="5"/>
  <c r="AE15" i="5"/>
  <c r="AF15" i="5"/>
  <c r="AE16" i="5"/>
  <c r="AF16" i="5"/>
  <c r="FF30" i="5"/>
  <c r="FE30" i="5"/>
  <c r="FG30" i="5" s="1"/>
  <c r="FH30" i="5" s="1"/>
  <c r="AE65" i="5"/>
  <c r="AF65" i="5"/>
  <c r="FE65" i="5"/>
  <c r="FF65" i="5"/>
  <c r="AE73" i="5"/>
  <c r="AF73" i="5"/>
  <c r="FE73" i="5"/>
  <c r="FF73" i="5"/>
  <c r="FE83" i="5"/>
  <c r="FF83" i="5"/>
  <c r="FE92" i="5"/>
  <c r="FF92" i="5"/>
  <c r="AE9" i="5"/>
  <c r="AF9" i="5"/>
  <c r="FE25" i="5"/>
  <c r="FF25" i="5"/>
  <c r="AE66" i="5"/>
  <c r="AF66" i="5"/>
  <c r="AE67" i="5"/>
  <c r="AF67" i="5"/>
  <c r="AE78" i="5"/>
  <c r="AF78" i="5"/>
  <c r="AE92" i="5"/>
  <c r="AF92" i="5"/>
  <c r="FE8" i="5"/>
  <c r="FF8" i="5"/>
  <c r="AE13" i="5"/>
  <c r="AF13" i="5"/>
  <c r="AE14" i="5"/>
  <c r="AF14" i="5"/>
  <c r="FE24" i="5"/>
  <c r="FF24" i="5"/>
  <c r="FE36" i="5"/>
  <c r="FF36" i="5"/>
  <c r="AE39" i="5"/>
  <c r="AF39" i="5"/>
  <c r="AE40" i="5"/>
  <c r="AF40" i="5"/>
  <c r="AE41" i="5"/>
  <c r="AF41" i="5"/>
  <c r="FE43" i="5"/>
  <c r="FF43" i="5"/>
  <c r="AE50" i="5"/>
  <c r="AF50" i="5"/>
  <c r="FE51" i="5"/>
  <c r="FF51" i="5"/>
  <c r="FE53" i="5"/>
  <c r="FF53" i="5"/>
  <c r="AE54" i="5"/>
  <c r="AF54" i="5"/>
  <c r="AE64" i="5"/>
  <c r="AF64" i="5"/>
  <c r="FE68" i="5"/>
  <c r="FF68" i="5"/>
  <c r="AE70" i="5"/>
  <c r="AF70" i="5"/>
  <c r="AE80" i="5"/>
  <c r="AF80" i="5"/>
  <c r="FE81" i="5"/>
  <c r="FF81" i="5"/>
  <c r="FE82" i="5"/>
  <c r="FF82" i="5"/>
  <c r="AE85" i="5"/>
  <c r="AF85" i="5"/>
  <c r="FE85" i="5"/>
  <c r="FF85" i="5"/>
  <c r="AE87" i="5"/>
  <c r="AF87" i="5"/>
  <c r="AE91" i="5"/>
  <c r="AF91" i="5"/>
  <c r="AE94" i="5"/>
  <c r="AF94" i="5"/>
  <c r="FE94" i="5"/>
  <c r="FF94" i="5"/>
  <c r="M8" i="5"/>
  <c r="AE35" i="5"/>
  <c r="AF35" i="5"/>
  <c r="FE48" i="5"/>
  <c r="FF48" i="5"/>
  <c r="AE49" i="5"/>
  <c r="AF49" i="5"/>
  <c r="FE61" i="5"/>
  <c r="FF61" i="5"/>
  <c r="AE62" i="5"/>
  <c r="AF62" i="5"/>
  <c r="FE62" i="5"/>
  <c r="FF62" i="5"/>
  <c r="AE63" i="5"/>
  <c r="AF63" i="5"/>
  <c r="FE76" i="5"/>
  <c r="FF76" i="5"/>
  <c r="AE90" i="5"/>
  <c r="AF90" i="5"/>
  <c r="FE90" i="5"/>
  <c r="FF90" i="5"/>
  <c r="FE96" i="5"/>
  <c r="FF96" i="5"/>
  <c r="B15" i="14"/>
  <c r="Q8" i="10"/>
  <c r="K626" i="6"/>
  <c r="L626" i="6" s="1"/>
  <c r="N626" i="6" s="1"/>
  <c r="P626" i="6" s="1"/>
  <c r="K619" i="6"/>
  <c r="L619" i="6" s="1"/>
  <c r="N619" i="6" s="1"/>
  <c r="P619" i="6" s="1"/>
  <c r="K612" i="6"/>
  <c r="L612" i="6" s="1"/>
  <c r="N612" i="6" s="1"/>
  <c r="P612" i="6" s="1"/>
  <c r="K625" i="6"/>
  <c r="L625" i="6" s="1"/>
  <c r="N625" i="6" s="1"/>
  <c r="P625" i="6" s="1"/>
  <c r="K620" i="6"/>
  <c r="L620" i="6" s="1"/>
  <c r="N620" i="6" s="1"/>
  <c r="P620" i="6" s="1"/>
  <c r="K614" i="6"/>
  <c r="L614" i="6" s="1"/>
  <c r="N614" i="6" s="1"/>
  <c r="P614" i="6" s="1"/>
  <c r="K607" i="6"/>
  <c r="L607" i="6" s="1"/>
  <c r="N607" i="6" s="1"/>
  <c r="P607" i="6" s="1"/>
  <c r="K624" i="6"/>
  <c r="L624" i="6" s="1"/>
  <c r="N624" i="6" s="1"/>
  <c r="P624" i="6" s="1"/>
  <c r="K618" i="6"/>
  <c r="L618" i="6" s="1"/>
  <c r="N618" i="6" s="1"/>
  <c r="P618" i="6" s="1"/>
  <c r="K613" i="6"/>
  <c r="L613" i="6" s="1"/>
  <c r="N613" i="6" s="1"/>
  <c r="P613" i="6" s="1"/>
  <c r="K609" i="6"/>
  <c r="L609" i="6" s="1"/>
  <c r="N609" i="6" s="1"/>
  <c r="P609" i="6" s="1"/>
  <c r="K627" i="6"/>
  <c r="L627" i="6" s="1"/>
  <c r="N627" i="6" s="1"/>
  <c r="P627" i="6" s="1"/>
  <c r="K623" i="6"/>
  <c r="L623" i="6" s="1"/>
  <c r="N623" i="6" s="1"/>
  <c r="P623" i="6" s="1"/>
  <c r="K617" i="6"/>
  <c r="L617" i="6" s="1"/>
  <c r="N617" i="6" s="1"/>
  <c r="P617" i="6" s="1"/>
  <c r="K611" i="6"/>
  <c r="L611" i="6" s="1"/>
  <c r="N611" i="6" s="1"/>
  <c r="P611" i="6" s="1"/>
  <c r="K621" i="6"/>
  <c r="L621" i="6" s="1"/>
  <c r="N621" i="6" s="1"/>
  <c r="P621" i="6" s="1"/>
  <c r="K615" i="6"/>
  <c r="L615" i="6" s="1"/>
  <c r="N615" i="6" s="1"/>
  <c r="P615" i="6" s="1"/>
  <c r="K608" i="6"/>
  <c r="L608" i="6" s="1"/>
  <c r="N608" i="6" s="1"/>
  <c r="P608" i="6" s="1"/>
  <c r="K622" i="6"/>
  <c r="L622" i="6" s="1"/>
  <c r="N622" i="6" s="1"/>
  <c r="P622" i="6" s="1"/>
  <c r="K616" i="6"/>
  <c r="L616" i="6" s="1"/>
  <c r="N616" i="6" s="1"/>
  <c r="P616" i="6" s="1"/>
  <c r="K610" i="6"/>
  <c r="L610" i="6" s="1"/>
  <c r="N610" i="6" s="1"/>
  <c r="P610" i="6" s="1"/>
  <c r="K582" i="6"/>
  <c r="L582" i="6" s="1"/>
  <c r="N582" i="6" s="1"/>
  <c r="P582" i="6" s="1"/>
  <c r="K574" i="6"/>
  <c r="L574" i="6" s="1"/>
  <c r="N574" i="6" s="1"/>
  <c r="P574" i="6" s="1"/>
  <c r="K583" i="6"/>
  <c r="L583" i="6" s="1"/>
  <c r="N583" i="6" s="1"/>
  <c r="P583" i="6" s="1"/>
  <c r="K577" i="6"/>
  <c r="L577" i="6" s="1"/>
  <c r="N577" i="6" s="1"/>
  <c r="P577" i="6" s="1"/>
  <c r="K569" i="6"/>
  <c r="L569" i="6" s="1"/>
  <c r="N569" i="6" s="1"/>
  <c r="P569" i="6" s="1"/>
  <c r="K586" i="6"/>
  <c r="L586" i="6" s="1"/>
  <c r="N586" i="6" s="1"/>
  <c r="P586" i="6" s="1"/>
  <c r="K580" i="6"/>
  <c r="L580" i="6" s="1"/>
  <c r="N580" i="6" s="1"/>
  <c r="P580" i="6" s="1"/>
  <c r="K573" i="6"/>
  <c r="L573" i="6" s="1"/>
  <c r="N573" i="6" s="1"/>
  <c r="P573" i="6" s="1"/>
  <c r="K584" i="6"/>
  <c r="L584" i="6" s="1"/>
  <c r="N584" i="6" s="1"/>
  <c r="P584" i="6" s="1"/>
  <c r="K579" i="6"/>
  <c r="L579" i="6" s="1"/>
  <c r="N579" i="6" s="1"/>
  <c r="P579" i="6" s="1"/>
  <c r="K572" i="6"/>
  <c r="L572" i="6" s="1"/>
  <c r="N572" i="6" s="1"/>
  <c r="P572" i="6" s="1"/>
  <c r="K585" i="6"/>
  <c r="L585" i="6" s="1"/>
  <c r="N585" i="6" s="1"/>
  <c r="P585" i="6" s="1"/>
  <c r="K578" i="6"/>
  <c r="L578" i="6" s="1"/>
  <c r="N578" i="6" s="1"/>
  <c r="P578" i="6" s="1"/>
  <c r="K570" i="6"/>
  <c r="L570" i="6" s="1"/>
  <c r="N570" i="6" s="1"/>
  <c r="P570" i="6" s="1"/>
  <c r="K581" i="6"/>
  <c r="L581" i="6" s="1"/>
  <c r="N581" i="6" s="1"/>
  <c r="P581" i="6" s="1"/>
  <c r="K575" i="6"/>
  <c r="L575" i="6" s="1"/>
  <c r="N575" i="6" s="1"/>
  <c r="P575" i="6" s="1"/>
  <c r="K568" i="6"/>
  <c r="L568" i="6" s="1"/>
  <c r="N568" i="6" s="1"/>
  <c r="P568" i="6" s="1"/>
  <c r="K571" i="6"/>
  <c r="L571" i="6" s="1"/>
  <c r="N571" i="6" s="1"/>
  <c r="P571" i="6" s="1"/>
  <c r="K576" i="6"/>
  <c r="L576" i="6" s="1"/>
  <c r="N576" i="6" s="1"/>
  <c r="P576" i="6" s="1"/>
  <c r="K567" i="6"/>
  <c r="L567" i="6" s="1"/>
  <c r="N567" i="6" s="1"/>
  <c r="P567" i="6" s="1"/>
  <c r="D33" i="6" s="1"/>
  <c r="K537" i="6"/>
  <c r="L537" i="6" s="1"/>
  <c r="N537" i="6" s="1"/>
  <c r="P537" i="6" s="1"/>
  <c r="K529" i="6"/>
  <c r="L529" i="6" s="1"/>
  <c r="N529" i="6" s="1"/>
  <c r="P529" i="6" s="1"/>
  <c r="K542" i="6"/>
  <c r="L542" i="6" s="1"/>
  <c r="N542" i="6" s="1"/>
  <c r="P542" i="6" s="1"/>
  <c r="K530" i="6"/>
  <c r="L530" i="6" s="1"/>
  <c r="N530" i="6" s="1"/>
  <c r="P530" i="6" s="1"/>
  <c r="K546" i="6"/>
  <c r="L546" i="6" s="1"/>
  <c r="N546" i="6" s="1"/>
  <c r="P546" i="6" s="1"/>
  <c r="K533" i="6"/>
  <c r="L533" i="6" s="1"/>
  <c r="N533" i="6" s="1"/>
  <c r="P533" i="6" s="1"/>
  <c r="K545" i="6"/>
  <c r="L545" i="6" s="1"/>
  <c r="N545" i="6" s="1"/>
  <c r="P545" i="6" s="1"/>
  <c r="K534" i="6"/>
  <c r="L534" i="6" s="1"/>
  <c r="N534" i="6" s="1"/>
  <c r="P534" i="6" s="1"/>
  <c r="K547" i="6"/>
  <c r="L547" i="6" s="1"/>
  <c r="N547" i="6" s="1"/>
  <c r="P547" i="6" s="1"/>
  <c r="K535" i="6"/>
  <c r="L535" i="6" s="1"/>
  <c r="N535" i="6" s="1"/>
  <c r="P535" i="6" s="1"/>
  <c r="K528" i="6"/>
  <c r="L528" i="6" s="1"/>
  <c r="N528" i="6" s="1"/>
  <c r="P528" i="6" s="1"/>
  <c r="K544" i="6"/>
  <c r="L544" i="6" s="1"/>
  <c r="N544" i="6" s="1"/>
  <c r="P544" i="6" s="1"/>
  <c r="K532" i="6"/>
  <c r="L532" i="6" s="1"/>
  <c r="N532" i="6" s="1"/>
  <c r="P532" i="6" s="1"/>
  <c r="K541" i="6"/>
  <c r="L541" i="6" s="1"/>
  <c r="N541" i="6" s="1"/>
  <c r="P541" i="6" s="1"/>
  <c r="K540" i="6"/>
  <c r="L540" i="6" s="1"/>
  <c r="N540" i="6" s="1"/>
  <c r="P540" i="6" s="1"/>
  <c r="K539" i="6"/>
  <c r="L539" i="6" s="1"/>
  <c r="N539" i="6" s="1"/>
  <c r="P539" i="6" s="1"/>
  <c r="K538" i="6"/>
  <c r="L538" i="6" s="1"/>
  <c r="N538" i="6" s="1"/>
  <c r="P538" i="6" s="1"/>
  <c r="K543" i="6"/>
  <c r="L543" i="6" s="1"/>
  <c r="N543" i="6" s="1"/>
  <c r="P543" i="6" s="1"/>
  <c r="K531" i="6"/>
  <c r="L531" i="6" s="1"/>
  <c r="N531" i="6" s="1"/>
  <c r="P531" i="6" s="1"/>
  <c r="K536" i="6"/>
  <c r="L536" i="6" s="1"/>
  <c r="N536" i="6" s="1"/>
  <c r="P536" i="6" s="1"/>
  <c r="K527" i="6"/>
  <c r="L527" i="6" s="1"/>
  <c r="N527" i="6" s="1"/>
  <c r="P527" i="6" s="1"/>
  <c r="K519" i="6"/>
  <c r="L519" i="6" s="1"/>
  <c r="N519" i="6" s="1"/>
  <c r="P519" i="6" s="1"/>
  <c r="K511" i="6"/>
  <c r="L511" i="6" s="1"/>
  <c r="N511" i="6" s="1"/>
  <c r="P511" i="6" s="1"/>
  <c r="K522" i="6"/>
  <c r="L522" i="6" s="1"/>
  <c r="N522" i="6" s="1"/>
  <c r="P522" i="6" s="1"/>
  <c r="K512" i="6"/>
  <c r="L512" i="6" s="1"/>
  <c r="N512" i="6" s="1"/>
  <c r="P512" i="6" s="1"/>
  <c r="K525" i="6"/>
  <c r="L525" i="6" s="1"/>
  <c r="N525" i="6" s="1"/>
  <c r="P525" i="6" s="1"/>
  <c r="K516" i="6"/>
  <c r="L516" i="6" s="1"/>
  <c r="N516" i="6" s="1"/>
  <c r="P516" i="6" s="1"/>
  <c r="K508" i="6"/>
  <c r="L508" i="6" s="1"/>
  <c r="N508" i="6" s="1"/>
  <c r="P508" i="6" s="1"/>
  <c r="K526" i="6"/>
  <c r="L526" i="6" s="1"/>
  <c r="N526" i="6" s="1"/>
  <c r="P526" i="6" s="1"/>
  <c r="K520" i="6"/>
  <c r="L520" i="6" s="1"/>
  <c r="N520" i="6" s="1"/>
  <c r="P520" i="6" s="1"/>
  <c r="K513" i="6"/>
  <c r="L513" i="6" s="1"/>
  <c r="N513" i="6" s="1"/>
  <c r="P513" i="6" s="1"/>
  <c r="K506" i="6"/>
  <c r="L506" i="6" s="1"/>
  <c r="N506" i="6" s="1"/>
  <c r="P506" i="6" s="1"/>
  <c r="K521" i="6"/>
  <c r="L521" i="6" s="1"/>
  <c r="N521" i="6" s="1"/>
  <c r="P521" i="6" s="1"/>
  <c r="K515" i="6"/>
  <c r="L515" i="6" s="1"/>
  <c r="N515" i="6" s="1"/>
  <c r="P515" i="6" s="1"/>
  <c r="K507" i="6"/>
  <c r="L507" i="6" s="1"/>
  <c r="N507" i="6" s="1"/>
  <c r="P507" i="6" s="1"/>
  <c r="K524" i="6"/>
  <c r="L524" i="6" s="1"/>
  <c r="N524" i="6" s="1"/>
  <c r="P524" i="6" s="1"/>
  <c r="K517" i="6"/>
  <c r="L517" i="6" s="1"/>
  <c r="N517" i="6" s="1"/>
  <c r="P517" i="6" s="1"/>
  <c r="K509" i="6"/>
  <c r="L509" i="6" s="1"/>
  <c r="N509" i="6" s="1"/>
  <c r="P509" i="6" s="1"/>
  <c r="K523" i="6"/>
  <c r="L523" i="6" s="1"/>
  <c r="N523" i="6" s="1"/>
  <c r="P523" i="6" s="1"/>
  <c r="K514" i="6"/>
  <c r="L514" i="6" s="1"/>
  <c r="N514" i="6" s="1"/>
  <c r="P514" i="6" s="1"/>
  <c r="K518" i="6"/>
  <c r="L518" i="6" s="1"/>
  <c r="N518" i="6" s="1"/>
  <c r="P518" i="6" s="1"/>
  <c r="K510" i="6"/>
  <c r="L510" i="6" s="1"/>
  <c r="N510" i="6" s="1"/>
  <c r="P510" i="6" s="1"/>
  <c r="K440" i="6"/>
  <c r="L440" i="6" s="1"/>
  <c r="N440" i="6" s="1"/>
  <c r="P440" i="6" s="1"/>
  <c r="K429" i="6"/>
  <c r="L429" i="6" s="1"/>
  <c r="N429" i="6" s="1"/>
  <c r="P429" i="6" s="1"/>
  <c r="K420" i="6"/>
  <c r="L420" i="6" s="1"/>
  <c r="N420" i="6" s="1"/>
  <c r="P420" i="6" s="1"/>
  <c r="K439" i="6"/>
  <c r="L439" i="6" s="1"/>
  <c r="N439" i="6" s="1"/>
  <c r="P439" i="6" s="1"/>
  <c r="K431" i="6"/>
  <c r="L431" i="6" s="1"/>
  <c r="N431" i="6" s="1"/>
  <c r="P431" i="6" s="1"/>
  <c r="K422" i="6"/>
  <c r="L422" i="6" s="1"/>
  <c r="N422" i="6" s="1"/>
  <c r="P422" i="6" s="1"/>
  <c r="K433" i="6"/>
  <c r="L433" i="6" s="1"/>
  <c r="N433" i="6" s="1"/>
  <c r="P433" i="6" s="1"/>
  <c r="K423" i="6"/>
  <c r="L423" i="6" s="1"/>
  <c r="N423" i="6" s="1"/>
  <c r="P423" i="6" s="1"/>
  <c r="K435" i="6"/>
  <c r="L435" i="6" s="1"/>
  <c r="N435" i="6" s="1"/>
  <c r="P435" i="6" s="1"/>
  <c r="K425" i="6"/>
  <c r="L425" i="6" s="1"/>
  <c r="N425" i="6" s="1"/>
  <c r="P425" i="6" s="1"/>
  <c r="K434" i="6"/>
  <c r="L434" i="6" s="1"/>
  <c r="N434" i="6" s="1"/>
  <c r="P434" i="6" s="1"/>
  <c r="K426" i="6"/>
  <c r="L426" i="6" s="1"/>
  <c r="N426" i="6" s="1"/>
  <c r="P426" i="6" s="1"/>
  <c r="K441" i="6"/>
  <c r="L441" i="6" s="1"/>
  <c r="N441" i="6" s="1"/>
  <c r="P441" i="6" s="1"/>
  <c r="K432" i="6"/>
  <c r="L432" i="6" s="1"/>
  <c r="N432" i="6" s="1"/>
  <c r="P432" i="6" s="1"/>
  <c r="K424" i="6"/>
  <c r="L424" i="6" s="1"/>
  <c r="N424" i="6" s="1"/>
  <c r="P424" i="6" s="1"/>
  <c r="K436" i="6"/>
  <c r="L436" i="6" s="1"/>
  <c r="N436" i="6" s="1"/>
  <c r="P436" i="6" s="1"/>
  <c r="K427" i="6"/>
  <c r="L427" i="6" s="1"/>
  <c r="N427" i="6" s="1"/>
  <c r="P427" i="6" s="1"/>
  <c r="K438" i="6"/>
  <c r="L438" i="6" s="1"/>
  <c r="N438" i="6" s="1"/>
  <c r="P438" i="6" s="1"/>
  <c r="K430" i="6"/>
  <c r="L430" i="6" s="1"/>
  <c r="N430" i="6" s="1"/>
  <c r="P430" i="6" s="1"/>
  <c r="K421" i="6"/>
  <c r="L421" i="6" s="1"/>
  <c r="N421" i="6" s="1"/>
  <c r="P421" i="6" s="1"/>
  <c r="K437" i="6"/>
  <c r="L437" i="6" s="1"/>
  <c r="N437" i="6" s="1"/>
  <c r="P437" i="6" s="1"/>
  <c r="K428" i="6"/>
  <c r="L428" i="6" s="1"/>
  <c r="N428" i="6" s="1"/>
  <c r="P428" i="6" s="1"/>
  <c r="K410" i="6"/>
  <c r="L410" i="6" s="1"/>
  <c r="N410" i="6" s="1"/>
  <c r="P410" i="6" s="1"/>
  <c r="K401" i="6"/>
  <c r="L401" i="6" s="1"/>
  <c r="N401" i="6" s="1"/>
  <c r="P401" i="6" s="1"/>
  <c r="K411" i="6"/>
  <c r="L411" i="6" s="1"/>
  <c r="N411" i="6" s="1"/>
  <c r="P411" i="6" s="1"/>
  <c r="K403" i="6"/>
  <c r="L403" i="6" s="1"/>
  <c r="N403" i="6" s="1"/>
  <c r="P403" i="6" s="1"/>
  <c r="K412" i="6"/>
  <c r="L412" i="6" s="1"/>
  <c r="N412" i="6" s="1"/>
  <c r="P412" i="6" s="1"/>
  <c r="K402" i="6"/>
  <c r="L402" i="6" s="1"/>
  <c r="N402" i="6" s="1"/>
  <c r="P402" i="6" s="1"/>
  <c r="K415" i="6"/>
  <c r="L415" i="6" s="1"/>
  <c r="N415" i="6" s="1"/>
  <c r="P415" i="6" s="1"/>
  <c r="K406" i="6"/>
  <c r="L406" i="6" s="1"/>
  <c r="N406" i="6" s="1"/>
  <c r="P406" i="6" s="1"/>
  <c r="K419" i="6"/>
  <c r="L419" i="6" s="1"/>
  <c r="N419" i="6" s="1"/>
  <c r="P419" i="6" s="1"/>
  <c r="K409" i="6"/>
  <c r="L409" i="6" s="1"/>
  <c r="N409" i="6" s="1"/>
  <c r="P409" i="6" s="1"/>
  <c r="K400" i="6"/>
  <c r="L400" i="6" s="1"/>
  <c r="N400" i="6" s="1"/>
  <c r="P400" i="6" s="1"/>
  <c r="K416" i="6"/>
  <c r="L416" i="6" s="1"/>
  <c r="N416" i="6" s="1"/>
  <c r="P416" i="6" s="1"/>
  <c r="K407" i="6"/>
  <c r="L407" i="6" s="1"/>
  <c r="N407" i="6" s="1"/>
  <c r="P407" i="6" s="1"/>
  <c r="K414" i="6"/>
  <c r="L414" i="6" s="1"/>
  <c r="N414" i="6" s="1"/>
  <c r="P414" i="6" s="1"/>
  <c r="K405" i="6"/>
  <c r="L405" i="6" s="1"/>
  <c r="N405" i="6" s="1"/>
  <c r="P405" i="6" s="1"/>
  <c r="K413" i="6"/>
  <c r="L413" i="6" s="1"/>
  <c r="N413" i="6" s="1"/>
  <c r="P413" i="6" s="1"/>
  <c r="K404" i="6"/>
  <c r="L404" i="6" s="1"/>
  <c r="N404" i="6" s="1"/>
  <c r="P404" i="6" s="1"/>
  <c r="K418" i="6"/>
  <c r="L418" i="6" s="1"/>
  <c r="N418" i="6" s="1"/>
  <c r="P418" i="6" s="1"/>
  <c r="K408" i="6"/>
  <c r="L408" i="6" s="1"/>
  <c r="N408" i="6" s="1"/>
  <c r="P408" i="6" s="1"/>
  <c r="K399" i="6"/>
  <c r="L399" i="6" s="1"/>
  <c r="N399" i="6" s="1"/>
  <c r="P399" i="6" s="1"/>
  <c r="K417" i="6"/>
  <c r="L417" i="6" s="1"/>
  <c r="N417" i="6" s="1"/>
  <c r="P417" i="6" s="1"/>
  <c r="K310" i="6"/>
  <c r="L310" i="6" s="1"/>
  <c r="N310" i="6" s="1"/>
  <c r="P310" i="6" s="1"/>
  <c r="K301" i="6"/>
  <c r="L301" i="6" s="1"/>
  <c r="N301" i="6" s="1"/>
  <c r="P301" i="6" s="1"/>
  <c r="K292" i="6"/>
  <c r="L292" i="6" s="1"/>
  <c r="N292" i="6" s="1"/>
  <c r="P292" i="6" s="1"/>
  <c r="K309" i="6"/>
  <c r="L309" i="6" s="1"/>
  <c r="N309" i="6" s="1"/>
  <c r="P309" i="6" s="1"/>
  <c r="K300" i="6"/>
  <c r="L300" i="6" s="1"/>
  <c r="N300" i="6" s="1"/>
  <c r="P300" i="6" s="1"/>
  <c r="K291" i="6"/>
  <c r="L291" i="6" s="1"/>
  <c r="N291" i="6" s="1"/>
  <c r="P291" i="6" s="1"/>
  <c r="K306" i="6"/>
  <c r="L306" i="6" s="1"/>
  <c r="N306" i="6" s="1"/>
  <c r="P306" i="6" s="1"/>
  <c r="K295" i="6"/>
  <c r="L295" i="6" s="1"/>
  <c r="N295" i="6" s="1"/>
  <c r="P295" i="6" s="1"/>
  <c r="K303" i="6"/>
  <c r="L303" i="6" s="1"/>
  <c r="N303" i="6" s="1"/>
  <c r="P303" i="6" s="1"/>
  <c r="K293" i="6"/>
  <c r="L293" i="6" s="1"/>
  <c r="N293" i="6" s="1"/>
  <c r="P293" i="6" s="1"/>
  <c r="K305" i="6"/>
  <c r="L305" i="6" s="1"/>
  <c r="N305" i="6" s="1"/>
  <c r="P305" i="6" s="1"/>
  <c r="K296" i="6"/>
  <c r="L296" i="6" s="1"/>
  <c r="N296" i="6" s="1"/>
  <c r="P296" i="6" s="1"/>
  <c r="K307" i="6"/>
  <c r="L307" i="6" s="1"/>
  <c r="N307" i="6" s="1"/>
  <c r="P307" i="6" s="1"/>
  <c r="K298" i="6"/>
  <c r="L298" i="6" s="1"/>
  <c r="N298" i="6" s="1"/>
  <c r="P298" i="6" s="1"/>
  <c r="K289" i="6"/>
  <c r="L289" i="6" s="1"/>
  <c r="N289" i="6" s="1"/>
  <c r="P289" i="6" s="1"/>
  <c r="K304" i="6"/>
  <c r="L304" i="6" s="1"/>
  <c r="N304" i="6" s="1"/>
  <c r="P304" i="6" s="1"/>
  <c r="K294" i="6"/>
  <c r="L294" i="6" s="1"/>
  <c r="N294" i="6" s="1"/>
  <c r="P294" i="6" s="1"/>
  <c r="K311" i="6"/>
  <c r="L311" i="6" s="1"/>
  <c r="N311" i="6" s="1"/>
  <c r="P311" i="6" s="1"/>
  <c r="K302" i="6"/>
  <c r="L302" i="6" s="1"/>
  <c r="N302" i="6" s="1"/>
  <c r="P302" i="6" s="1"/>
  <c r="K297" i="6"/>
  <c r="L297" i="6" s="1"/>
  <c r="N297" i="6" s="1"/>
  <c r="P297" i="6" s="1"/>
  <c r="K308" i="6"/>
  <c r="L308" i="6" s="1"/>
  <c r="N308" i="6" s="1"/>
  <c r="P308" i="6" s="1"/>
  <c r="K299" i="6"/>
  <c r="L299" i="6" s="1"/>
  <c r="N299" i="6" s="1"/>
  <c r="P299" i="6" s="1"/>
  <c r="K290" i="6"/>
  <c r="L290" i="6" s="1"/>
  <c r="N290" i="6" s="1"/>
  <c r="P290" i="6" s="1"/>
  <c r="K211" i="6"/>
  <c r="L211" i="6" s="1"/>
  <c r="N211" i="6" s="1"/>
  <c r="P211" i="6" s="1"/>
  <c r="K202" i="6"/>
  <c r="L202" i="6" s="1"/>
  <c r="N202" i="6" s="1"/>
  <c r="P202" i="6" s="1"/>
  <c r="K194" i="6"/>
  <c r="L194" i="6" s="1"/>
  <c r="N194" i="6" s="1"/>
  <c r="P194" i="6" s="1"/>
  <c r="K209" i="6"/>
  <c r="L209" i="6" s="1"/>
  <c r="N209" i="6" s="1"/>
  <c r="P209" i="6" s="1"/>
  <c r="K199" i="6"/>
  <c r="L199" i="6" s="1"/>
  <c r="N199" i="6" s="1"/>
  <c r="P199" i="6" s="1"/>
  <c r="K191" i="6"/>
  <c r="L191" i="6" s="1"/>
  <c r="N191" i="6" s="1"/>
  <c r="P191" i="6" s="1"/>
  <c r="K212" i="6"/>
  <c r="L212" i="6" s="1"/>
  <c r="N212" i="6" s="1"/>
  <c r="P212" i="6" s="1"/>
  <c r="K203" i="6"/>
  <c r="L203" i="6" s="1"/>
  <c r="N203" i="6" s="1"/>
  <c r="P203" i="6" s="1"/>
  <c r="K193" i="6"/>
  <c r="L193" i="6" s="1"/>
  <c r="N193" i="6" s="1"/>
  <c r="P193" i="6" s="1"/>
  <c r="K205" i="6"/>
  <c r="L205" i="6" s="1"/>
  <c r="N205" i="6" s="1"/>
  <c r="P205" i="6" s="1"/>
  <c r="K196" i="6"/>
  <c r="L196" i="6" s="1"/>
  <c r="N196" i="6" s="1"/>
  <c r="P196" i="6" s="1"/>
  <c r="K206" i="6"/>
  <c r="L206" i="6" s="1"/>
  <c r="N206" i="6" s="1"/>
  <c r="P206" i="6" s="1"/>
  <c r="K198" i="6"/>
  <c r="L198" i="6" s="1"/>
  <c r="N198" i="6" s="1"/>
  <c r="P198" i="6" s="1"/>
  <c r="K207" i="6"/>
  <c r="L207" i="6" s="1"/>
  <c r="N207" i="6" s="1"/>
  <c r="P207" i="6" s="1"/>
  <c r="K197" i="6"/>
  <c r="L197" i="6" s="1"/>
  <c r="N197" i="6" s="1"/>
  <c r="P197" i="6" s="1"/>
  <c r="K204" i="6"/>
  <c r="L204" i="6" s="1"/>
  <c r="N204" i="6" s="1"/>
  <c r="P204" i="6" s="1"/>
  <c r="K195" i="6"/>
  <c r="L195" i="6" s="1"/>
  <c r="N195" i="6" s="1"/>
  <c r="P195" i="6" s="1"/>
  <c r="K208" i="6"/>
  <c r="L208" i="6" s="1"/>
  <c r="N208" i="6" s="1"/>
  <c r="P208" i="6" s="1"/>
  <c r="K200" i="6"/>
  <c r="L200" i="6" s="1"/>
  <c r="N200" i="6" s="1"/>
  <c r="P200" i="6" s="1"/>
  <c r="K210" i="6"/>
  <c r="L210" i="6" s="1"/>
  <c r="N210" i="6" s="1"/>
  <c r="P210" i="6" s="1"/>
  <c r="K201" i="6"/>
  <c r="L201" i="6" s="1"/>
  <c r="N201" i="6" s="1"/>
  <c r="P201" i="6" s="1"/>
  <c r="K192" i="6"/>
  <c r="L192" i="6" s="1"/>
  <c r="N192" i="6" s="1"/>
  <c r="P192" i="6" s="1"/>
  <c r="K160" i="6"/>
  <c r="L160" i="6" s="1"/>
  <c r="N160" i="6" s="1"/>
  <c r="P160" i="6" s="1"/>
  <c r="K166" i="6"/>
  <c r="L166" i="6" s="1"/>
  <c r="N166" i="6" s="1"/>
  <c r="P166" i="6" s="1"/>
  <c r="K156" i="6"/>
  <c r="L156" i="6" s="1"/>
  <c r="N156" i="6" s="1"/>
  <c r="P156" i="6" s="1"/>
  <c r="K148" i="6"/>
  <c r="L148" i="6" s="1"/>
  <c r="N148" i="6" s="1"/>
  <c r="P148" i="6" s="1"/>
  <c r="K164" i="6"/>
  <c r="L164" i="6" s="1"/>
  <c r="N164" i="6" s="1"/>
  <c r="P164" i="6" s="1"/>
  <c r="K154" i="6"/>
  <c r="L154" i="6" s="1"/>
  <c r="N154" i="6" s="1"/>
  <c r="P154" i="6" s="1"/>
  <c r="K165" i="6"/>
  <c r="L165" i="6" s="1"/>
  <c r="N165" i="6" s="1"/>
  <c r="P165" i="6" s="1"/>
  <c r="K153" i="6"/>
  <c r="L153" i="6" s="1"/>
  <c r="N153" i="6" s="1"/>
  <c r="P153" i="6" s="1"/>
  <c r="K159" i="6"/>
  <c r="L159" i="6" s="1"/>
  <c r="N159" i="6" s="1"/>
  <c r="P159" i="6" s="1"/>
  <c r="K150" i="6"/>
  <c r="L150" i="6" s="1"/>
  <c r="N150" i="6" s="1"/>
  <c r="P150" i="6" s="1"/>
  <c r="K169" i="6"/>
  <c r="L169" i="6" s="1"/>
  <c r="N169" i="6" s="1"/>
  <c r="P169" i="6" s="1"/>
  <c r="K158" i="6"/>
  <c r="L158" i="6" s="1"/>
  <c r="N158" i="6" s="1"/>
  <c r="P158" i="6" s="1"/>
  <c r="K152" i="6"/>
  <c r="L152" i="6" s="1"/>
  <c r="N152" i="6" s="1"/>
  <c r="P152" i="6" s="1"/>
  <c r="K168" i="6"/>
  <c r="L168" i="6" s="1"/>
  <c r="N168" i="6" s="1"/>
  <c r="P168" i="6" s="1"/>
  <c r="K162" i="6"/>
  <c r="L162" i="6" s="1"/>
  <c r="N162" i="6" s="1"/>
  <c r="P162" i="6" s="1"/>
  <c r="K151" i="6"/>
  <c r="L151" i="6" s="1"/>
  <c r="N151" i="6" s="1"/>
  <c r="P151" i="6" s="1"/>
  <c r="K163" i="6"/>
  <c r="L163" i="6" s="1"/>
  <c r="N163" i="6" s="1"/>
  <c r="P163" i="6" s="1"/>
  <c r="K155" i="6"/>
  <c r="L155" i="6" s="1"/>
  <c r="N155" i="6" s="1"/>
  <c r="P155" i="6" s="1"/>
  <c r="K167" i="6"/>
  <c r="L167" i="6" s="1"/>
  <c r="N167" i="6" s="1"/>
  <c r="P167" i="6" s="1"/>
  <c r="K157" i="6"/>
  <c r="L157" i="6" s="1"/>
  <c r="N157" i="6" s="1"/>
  <c r="P157" i="6" s="1"/>
  <c r="K149" i="6"/>
  <c r="L149" i="6" s="1"/>
  <c r="N149" i="6" s="1"/>
  <c r="P149" i="6" s="1"/>
  <c r="K161" i="6"/>
  <c r="L161" i="6" s="1"/>
  <c r="N161" i="6" s="1"/>
  <c r="P161" i="6" s="1"/>
  <c r="M614" i="5"/>
  <c r="M411" i="5"/>
  <c r="M208" i="5"/>
  <c r="M353" i="5"/>
  <c r="L647" i="6"/>
  <c r="N647" i="6" s="1"/>
  <c r="P647" i="6" s="1"/>
  <c r="L629" i="6"/>
  <c r="N629" i="6" s="1"/>
  <c r="P629" i="6" s="1"/>
  <c r="L606" i="6"/>
  <c r="N606" i="6" s="1"/>
  <c r="P606" i="6" s="1"/>
  <c r="L602" i="6"/>
  <c r="N602" i="6" s="1"/>
  <c r="P602" i="6" s="1"/>
  <c r="L590" i="6"/>
  <c r="N590" i="6" s="1"/>
  <c r="P590" i="6" s="1"/>
  <c r="L643" i="6"/>
  <c r="N643" i="6" s="1"/>
  <c r="P643" i="6" s="1"/>
  <c r="L642" i="6"/>
  <c r="N642" i="6" s="1"/>
  <c r="P642" i="6" s="1"/>
  <c r="L635" i="6"/>
  <c r="N635" i="6" s="1"/>
  <c r="P635" i="6" s="1"/>
  <c r="L632" i="6"/>
  <c r="N632" i="6" s="1"/>
  <c r="P632" i="6" s="1"/>
  <c r="L557" i="6"/>
  <c r="N557" i="6" s="1"/>
  <c r="P557" i="6" s="1"/>
  <c r="L592" i="6"/>
  <c r="N592" i="6" s="1"/>
  <c r="P592" i="6" s="1"/>
  <c r="L561" i="6"/>
  <c r="N561" i="6" s="1"/>
  <c r="P561" i="6" s="1"/>
  <c r="L558" i="6"/>
  <c r="N558" i="6" s="1"/>
  <c r="P558" i="6" s="1"/>
  <c r="L556" i="6"/>
  <c r="N556" i="6" s="1"/>
  <c r="P556" i="6" s="1"/>
  <c r="L235" i="6"/>
  <c r="N235" i="6" s="1"/>
  <c r="P235" i="6" s="1"/>
  <c r="L554" i="6"/>
  <c r="N554" i="6" s="1"/>
  <c r="P554" i="6" s="1"/>
  <c r="L552" i="6"/>
  <c r="N552" i="6" s="1"/>
  <c r="P552" i="6" s="1"/>
  <c r="L549" i="6"/>
  <c r="N549" i="6" s="1"/>
  <c r="P549" i="6" s="1"/>
  <c r="D32" i="6" s="1"/>
  <c r="L505" i="6"/>
  <c r="N505" i="6" s="1"/>
  <c r="P505" i="6" s="1"/>
  <c r="L502" i="6"/>
  <c r="N502" i="6" s="1"/>
  <c r="P502" i="6" s="1"/>
  <c r="L501" i="6"/>
  <c r="N501" i="6" s="1"/>
  <c r="P501" i="6" s="1"/>
  <c r="L500" i="6"/>
  <c r="N500" i="6" s="1"/>
  <c r="P500" i="6" s="1"/>
  <c r="L499" i="6"/>
  <c r="N499" i="6" s="1"/>
  <c r="P499" i="6" s="1"/>
  <c r="L493" i="6"/>
  <c r="N493" i="6" s="1"/>
  <c r="P493" i="6" s="1"/>
  <c r="L492" i="6"/>
  <c r="N492" i="6" s="1"/>
  <c r="P492" i="6" s="1"/>
  <c r="L490" i="6"/>
  <c r="N490" i="6" s="1"/>
  <c r="P490" i="6" s="1"/>
  <c r="L489" i="6"/>
  <c r="N489" i="6" s="1"/>
  <c r="P489" i="6" s="1"/>
  <c r="L487" i="6"/>
  <c r="N487" i="6" s="1"/>
  <c r="P487" i="6" s="1"/>
  <c r="L482" i="6"/>
  <c r="N482" i="6" s="1"/>
  <c r="P482" i="6" s="1"/>
  <c r="L481" i="6"/>
  <c r="N481" i="6" s="1"/>
  <c r="P481" i="6" s="1"/>
  <c r="L479" i="6"/>
  <c r="N479" i="6" s="1"/>
  <c r="P479" i="6" s="1"/>
  <c r="L475" i="6"/>
  <c r="N475" i="6" s="1"/>
  <c r="P475" i="6" s="1"/>
  <c r="L474" i="6"/>
  <c r="N474" i="6" s="1"/>
  <c r="P474" i="6" s="1"/>
  <c r="L472" i="6"/>
  <c r="N472" i="6" s="1"/>
  <c r="P472" i="6" s="1"/>
  <c r="L467" i="6"/>
  <c r="N467" i="6" s="1"/>
  <c r="P467" i="6" s="1"/>
  <c r="D28" i="6" s="1"/>
  <c r="L462" i="6"/>
  <c r="N462" i="6" s="1"/>
  <c r="P462" i="6" s="1"/>
  <c r="L448" i="6"/>
  <c r="N448" i="6" s="1"/>
  <c r="P448" i="6" s="1"/>
  <c r="L234" i="6"/>
  <c r="N234" i="6" s="1"/>
  <c r="P234" i="6" s="1"/>
  <c r="L447" i="6"/>
  <c r="N447" i="6" s="1"/>
  <c r="P447" i="6" s="1"/>
  <c r="D27" i="6" s="1"/>
  <c r="L395" i="6"/>
  <c r="N395" i="6" s="1"/>
  <c r="P395" i="6" s="1"/>
  <c r="L393" i="6"/>
  <c r="N393" i="6" s="1"/>
  <c r="P393" i="6" s="1"/>
  <c r="L391" i="6"/>
  <c r="N391" i="6" s="1"/>
  <c r="P391" i="6" s="1"/>
  <c r="L389" i="6"/>
  <c r="N389" i="6" s="1"/>
  <c r="P389" i="6" s="1"/>
  <c r="L384" i="6"/>
  <c r="N384" i="6" s="1"/>
  <c r="P384" i="6" s="1"/>
  <c r="D24" i="6" s="1"/>
  <c r="L374" i="6"/>
  <c r="N374" i="6" s="1"/>
  <c r="P374" i="6" s="1"/>
  <c r="L372" i="6"/>
  <c r="N372" i="6" s="1"/>
  <c r="P372" i="6" s="1"/>
  <c r="L371" i="6"/>
  <c r="N371" i="6" s="1"/>
  <c r="P371" i="6" s="1"/>
  <c r="L370" i="6"/>
  <c r="N370" i="6" s="1"/>
  <c r="P370" i="6" s="1"/>
  <c r="L368" i="6"/>
  <c r="N368" i="6" s="1"/>
  <c r="P368" i="6" s="1"/>
  <c r="L365" i="6"/>
  <c r="N365" i="6" s="1"/>
  <c r="P365" i="6" s="1"/>
  <c r="L364" i="6"/>
  <c r="N364" i="6" s="1"/>
  <c r="P364" i="6" s="1"/>
  <c r="L363" i="6"/>
  <c r="N363" i="6" s="1"/>
  <c r="P363" i="6" s="1"/>
  <c r="L362" i="6"/>
  <c r="N362" i="6" s="1"/>
  <c r="P362" i="6" s="1"/>
  <c r="L360" i="6"/>
  <c r="N360" i="6" s="1"/>
  <c r="P360" i="6" s="1"/>
  <c r="L359" i="6"/>
  <c r="N359" i="6" s="1"/>
  <c r="P359" i="6" s="1"/>
  <c r="L357" i="6"/>
  <c r="N357" i="6" s="1"/>
  <c r="P357" i="6" s="1"/>
  <c r="L356" i="6"/>
  <c r="N356" i="6" s="1"/>
  <c r="P356" i="6" s="1"/>
  <c r="L354" i="6"/>
  <c r="N354" i="6" s="1"/>
  <c r="P354" i="6" s="1"/>
  <c r="D23" i="6" s="1"/>
  <c r="L352" i="6"/>
  <c r="N352" i="6" s="1"/>
  <c r="P352" i="6" s="1"/>
  <c r="L351" i="6"/>
  <c r="N351" i="6" s="1"/>
  <c r="P351" i="6" s="1"/>
  <c r="L350" i="6"/>
  <c r="N350" i="6" s="1"/>
  <c r="P350" i="6" s="1"/>
  <c r="L349" i="6"/>
  <c r="N349" i="6" s="1"/>
  <c r="P349" i="6" s="1"/>
  <c r="L348" i="6"/>
  <c r="N348" i="6" s="1"/>
  <c r="P348" i="6" s="1"/>
  <c r="L346" i="6"/>
  <c r="N346" i="6" s="1"/>
  <c r="P346" i="6" s="1"/>
  <c r="L343" i="6"/>
  <c r="N343" i="6" s="1"/>
  <c r="P343" i="6" s="1"/>
  <c r="L342" i="6"/>
  <c r="N342" i="6" s="1"/>
  <c r="P342" i="6" s="1"/>
  <c r="L341" i="6"/>
  <c r="N341" i="6" s="1"/>
  <c r="P341" i="6" s="1"/>
  <c r="L340" i="6"/>
  <c r="N340" i="6" s="1"/>
  <c r="P340" i="6" s="1"/>
  <c r="L272" i="6"/>
  <c r="N272" i="6" s="1"/>
  <c r="P272" i="6" s="1"/>
  <c r="L269" i="6"/>
  <c r="N269" i="6" s="1"/>
  <c r="P269" i="6" s="1"/>
  <c r="L268" i="6"/>
  <c r="N268" i="6" s="1"/>
  <c r="P268" i="6" s="1"/>
  <c r="L267" i="6"/>
  <c r="N267" i="6" s="1"/>
  <c r="P267" i="6" s="1"/>
  <c r="L265" i="6"/>
  <c r="N265" i="6" s="1"/>
  <c r="P265" i="6" s="1"/>
  <c r="L262" i="6"/>
  <c r="N262" i="6" s="1"/>
  <c r="P262" i="6" s="1"/>
  <c r="L256" i="6"/>
  <c r="N256" i="6" s="1"/>
  <c r="P256" i="6" s="1"/>
  <c r="L255" i="6"/>
  <c r="N255" i="6" s="1"/>
  <c r="P255" i="6" s="1"/>
  <c r="D18" i="6" s="1"/>
  <c r="L250" i="6"/>
  <c r="N250" i="6" s="1"/>
  <c r="P250" i="6" s="1"/>
  <c r="L249" i="6"/>
  <c r="N249" i="6" s="1"/>
  <c r="P249" i="6" s="1"/>
  <c r="L247" i="6"/>
  <c r="N247" i="6" s="1"/>
  <c r="P247" i="6" s="1"/>
  <c r="L244" i="6"/>
  <c r="N244" i="6" s="1"/>
  <c r="P244" i="6" s="1"/>
  <c r="L241" i="6"/>
  <c r="N241" i="6" s="1"/>
  <c r="P241" i="6" s="1"/>
  <c r="L337" i="6"/>
  <c r="N337" i="6" s="1"/>
  <c r="P337" i="6" s="1"/>
  <c r="L336" i="6"/>
  <c r="N336" i="6" s="1"/>
  <c r="P336" i="6" s="1"/>
  <c r="L335" i="6"/>
  <c r="N335" i="6" s="1"/>
  <c r="P335" i="6" s="1"/>
  <c r="L334" i="6"/>
  <c r="N334" i="6" s="1"/>
  <c r="P334" i="6" s="1"/>
  <c r="D22" i="6" s="1"/>
  <c r="L332" i="6"/>
  <c r="N332" i="6" s="1"/>
  <c r="P332" i="6" s="1"/>
  <c r="L331" i="6"/>
  <c r="N331" i="6" s="1"/>
  <c r="P331" i="6" s="1"/>
  <c r="L330" i="6"/>
  <c r="N330" i="6" s="1"/>
  <c r="P330" i="6" s="1"/>
  <c r="L326" i="6"/>
  <c r="N326" i="6" s="1"/>
  <c r="P326" i="6" s="1"/>
  <c r="L322" i="6"/>
  <c r="N322" i="6" s="1"/>
  <c r="P322" i="6" s="1"/>
  <c r="L321" i="6"/>
  <c r="N321" i="6" s="1"/>
  <c r="P321" i="6" s="1"/>
  <c r="L320" i="6"/>
  <c r="N320" i="6" s="1"/>
  <c r="P320" i="6" s="1"/>
  <c r="L317" i="6"/>
  <c r="N317" i="6" s="1"/>
  <c r="P317" i="6" s="1"/>
  <c r="L316" i="6"/>
  <c r="N316" i="6" s="1"/>
  <c r="P316" i="6" s="1"/>
  <c r="D21" i="6" s="1"/>
  <c r="L288" i="6"/>
  <c r="N288" i="6" s="1"/>
  <c r="P288" i="6" s="1"/>
  <c r="L286" i="6"/>
  <c r="N286" i="6" s="1"/>
  <c r="P286" i="6" s="1"/>
  <c r="L285" i="6"/>
  <c r="N285" i="6" s="1"/>
  <c r="P285" i="6" s="1"/>
  <c r="L284" i="6"/>
  <c r="N284" i="6" s="1"/>
  <c r="P284" i="6" s="1"/>
  <c r="L282" i="6"/>
  <c r="N282" i="6" s="1"/>
  <c r="P282" i="6" s="1"/>
  <c r="L279" i="6"/>
  <c r="N279" i="6" s="1"/>
  <c r="P279" i="6" s="1"/>
  <c r="L276" i="6"/>
  <c r="N276" i="6" s="1"/>
  <c r="P276" i="6" s="1"/>
  <c r="L224" i="6"/>
  <c r="N224" i="6" s="1"/>
  <c r="P224" i="6" s="1"/>
  <c r="L222" i="6"/>
  <c r="N222" i="6" s="1"/>
  <c r="P222" i="6" s="1"/>
  <c r="L221" i="6"/>
  <c r="N221" i="6" s="1"/>
  <c r="P221" i="6" s="1"/>
  <c r="L219" i="6"/>
  <c r="N219" i="6" s="1"/>
  <c r="P219" i="6" s="1"/>
  <c r="L218" i="6"/>
  <c r="N218" i="6" s="1"/>
  <c r="P218" i="6" s="1"/>
  <c r="L217" i="6"/>
  <c r="N217" i="6" s="1"/>
  <c r="P217" i="6" s="1"/>
  <c r="L215" i="6"/>
  <c r="N215" i="6" s="1"/>
  <c r="P215" i="6" s="1"/>
  <c r="L214" i="6"/>
  <c r="N214" i="6" s="1"/>
  <c r="P214" i="6" s="1"/>
  <c r="D16" i="6" s="1"/>
  <c r="L190" i="6"/>
  <c r="N190" i="6" s="1"/>
  <c r="P190" i="6" s="1"/>
  <c r="L185" i="6"/>
  <c r="N185" i="6" s="1"/>
  <c r="P185" i="6" s="1"/>
  <c r="L184" i="6"/>
  <c r="N184" i="6" s="1"/>
  <c r="P184" i="6" s="1"/>
  <c r="L183" i="6"/>
  <c r="N183" i="6" s="1"/>
  <c r="P183" i="6" s="1"/>
  <c r="L182" i="6"/>
  <c r="N182" i="6" s="1"/>
  <c r="P182" i="6" s="1"/>
  <c r="L176" i="6"/>
  <c r="N176" i="6" s="1"/>
  <c r="P176" i="6" s="1"/>
  <c r="L173" i="6"/>
  <c r="N173" i="6" s="1"/>
  <c r="P173" i="6" s="1"/>
  <c r="D14" i="6" s="1"/>
  <c r="L146" i="6"/>
  <c r="N146" i="6" s="1"/>
  <c r="P146" i="6" s="1"/>
  <c r="L144" i="6"/>
  <c r="N144" i="6" s="1"/>
  <c r="P144" i="6" s="1"/>
  <c r="L141" i="6"/>
  <c r="N141" i="6" s="1"/>
  <c r="P141" i="6" s="1"/>
  <c r="L139" i="6"/>
  <c r="N139" i="6" s="1"/>
  <c r="P139" i="6" s="1"/>
  <c r="L138" i="6"/>
  <c r="N138" i="6" s="1"/>
  <c r="P138" i="6" s="1"/>
  <c r="L135" i="6"/>
  <c r="N135" i="6" s="1"/>
  <c r="P135" i="6" s="1"/>
  <c r="L134" i="6"/>
  <c r="N134" i="6" s="1"/>
  <c r="P134" i="6" s="1"/>
  <c r="L133" i="6"/>
  <c r="N133" i="6" s="1"/>
  <c r="P133" i="6" s="1"/>
  <c r="L131" i="6"/>
  <c r="N131" i="6" s="1"/>
  <c r="P131" i="6" s="1"/>
  <c r="L128" i="6"/>
  <c r="N128" i="6" s="1"/>
  <c r="P128" i="6" s="1"/>
  <c r="D12" i="6" s="1"/>
  <c r="L124" i="6"/>
  <c r="N124" i="6" s="1"/>
  <c r="P124" i="6" s="1"/>
  <c r="L120" i="6"/>
  <c r="N120" i="6" s="1"/>
  <c r="P120" i="6" s="1"/>
  <c r="L107" i="6"/>
  <c r="N107" i="6" s="1"/>
  <c r="P107" i="6" s="1"/>
  <c r="D11" i="6" s="1"/>
  <c r="L103" i="6"/>
  <c r="N103" i="6" s="1"/>
  <c r="P103" i="6" s="1"/>
  <c r="L90" i="6"/>
  <c r="N90" i="6" s="1"/>
  <c r="P90" i="6" s="1"/>
  <c r="L86" i="6"/>
  <c r="N86" i="6" s="1"/>
  <c r="P86" i="6" s="1"/>
  <c r="D10" i="6" s="1"/>
  <c r="L73" i="6"/>
  <c r="N73" i="6" s="1"/>
  <c r="P73" i="6" s="1"/>
  <c r="D9" i="6" s="1"/>
  <c r="L64" i="6"/>
  <c r="N64" i="6" s="1"/>
  <c r="P64" i="6" s="1"/>
  <c r="L60" i="6"/>
  <c r="N60" i="6" s="1"/>
  <c r="P60" i="6" s="1"/>
  <c r="L55" i="6"/>
  <c r="N55" i="6" s="1"/>
  <c r="P55" i="6" s="1"/>
  <c r="L53" i="6"/>
  <c r="N53" i="6" s="1"/>
  <c r="P53" i="6" s="1"/>
  <c r="L52" i="6"/>
  <c r="N52" i="6" s="1"/>
  <c r="P52" i="6" s="1"/>
  <c r="L49" i="6"/>
  <c r="N49" i="6" s="1"/>
  <c r="P49" i="6" s="1"/>
  <c r="L48" i="6"/>
  <c r="N48" i="6" s="1"/>
  <c r="P48" i="6" s="1"/>
  <c r="L47" i="6"/>
  <c r="N47" i="6" s="1"/>
  <c r="P47" i="6" s="1"/>
  <c r="D8" i="6" s="1"/>
  <c r="M127" i="5"/>
  <c r="N127" i="5"/>
  <c r="M126" i="5"/>
  <c r="N126" i="5"/>
  <c r="M125" i="5"/>
  <c r="N125" i="5"/>
  <c r="M124" i="5"/>
  <c r="N124" i="5"/>
  <c r="M123" i="5"/>
  <c r="N123" i="5"/>
  <c r="M122" i="5"/>
  <c r="N122" i="5"/>
  <c r="M121" i="5"/>
  <c r="N121" i="5"/>
  <c r="M120" i="5"/>
  <c r="N120" i="5"/>
  <c r="M119" i="5"/>
  <c r="N119" i="5"/>
  <c r="M118" i="5"/>
  <c r="N118" i="5"/>
  <c r="M117" i="5"/>
  <c r="N117" i="5"/>
  <c r="M116" i="5"/>
  <c r="N116" i="5"/>
  <c r="M115" i="5"/>
  <c r="N115" i="5"/>
  <c r="M114" i="5"/>
  <c r="N114" i="5"/>
  <c r="M113" i="5"/>
  <c r="N113" i="5"/>
  <c r="M112" i="5"/>
  <c r="N112" i="5"/>
  <c r="M111" i="5"/>
  <c r="N111" i="5"/>
  <c r="M110" i="5"/>
  <c r="N110" i="5"/>
  <c r="M109" i="5"/>
  <c r="N109" i="5"/>
  <c r="M108" i="5"/>
  <c r="N108" i="5"/>
  <c r="M107" i="5"/>
  <c r="N107" i="5"/>
  <c r="M106" i="5"/>
  <c r="N106" i="5"/>
  <c r="M105" i="5"/>
  <c r="N105" i="5"/>
  <c r="M104" i="5"/>
  <c r="N104" i="5"/>
  <c r="M103" i="5"/>
  <c r="N103" i="5"/>
  <c r="M102" i="5"/>
  <c r="N102" i="5"/>
  <c r="M101" i="5"/>
  <c r="N101" i="5"/>
  <c r="M100" i="5"/>
  <c r="N100" i="5"/>
  <c r="M99" i="5"/>
  <c r="N99" i="5"/>
  <c r="M98" i="5"/>
  <c r="N98" i="5"/>
  <c r="K671" i="6"/>
  <c r="L671" i="6" s="1"/>
  <c r="N671" i="6" s="1"/>
  <c r="P671" i="6" s="1"/>
  <c r="K650" i="6"/>
  <c r="L650" i="6" s="1"/>
  <c r="N650" i="6" s="1"/>
  <c r="P650" i="6" s="1"/>
  <c r="K660" i="6"/>
  <c r="L660" i="6" s="1"/>
  <c r="N660" i="6" s="1"/>
  <c r="P660" i="6" s="1"/>
  <c r="K655" i="6"/>
  <c r="L655" i="6" s="1"/>
  <c r="N655" i="6" s="1"/>
  <c r="P655" i="6" s="1"/>
  <c r="K651" i="6"/>
  <c r="L651" i="6" s="1"/>
  <c r="N651" i="6" s="1"/>
  <c r="P651" i="6" s="1"/>
  <c r="K664" i="6"/>
  <c r="L664" i="6" s="1"/>
  <c r="N664" i="6" s="1"/>
  <c r="P664" i="6" s="1"/>
  <c r="K656" i="6"/>
  <c r="L656" i="6" s="1"/>
  <c r="N656" i="6" s="1"/>
  <c r="P656" i="6" s="1"/>
  <c r="K652" i="6"/>
  <c r="L652" i="6" s="1"/>
  <c r="N652" i="6" s="1"/>
  <c r="P652" i="6" s="1"/>
  <c r="K672" i="6"/>
  <c r="L672" i="6" s="1"/>
  <c r="N672" i="6" s="1"/>
  <c r="P672" i="6" s="1"/>
  <c r="K659" i="6"/>
  <c r="L659" i="6" s="1"/>
  <c r="N659" i="6" s="1"/>
  <c r="P659" i="6" s="1"/>
  <c r="K665" i="6"/>
  <c r="L665" i="6" s="1"/>
  <c r="N665" i="6" s="1"/>
  <c r="P665" i="6" s="1"/>
  <c r="K657" i="6"/>
  <c r="L657" i="6" s="1"/>
  <c r="N657" i="6" s="1"/>
  <c r="P657" i="6" s="1"/>
  <c r="K663" i="6"/>
  <c r="L663" i="6" s="1"/>
  <c r="N663" i="6" s="1"/>
  <c r="P663" i="6" s="1"/>
  <c r="K670" i="6"/>
  <c r="L670" i="6" s="1"/>
  <c r="N670" i="6" s="1"/>
  <c r="P670" i="6" s="1"/>
  <c r="K661" i="6"/>
  <c r="L661" i="6" s="1"/>
  <c r="N661" i="6" s="1"/>
  <c r="P661" i="6" s="1"/>
  <c r="K654" i="6"/>
  <c r="L654" i="6" s="1"/>
  <c r="N654" i="6" s="1"/>
  <c r="P654" i="6" s="1"/>
  <c r="K666" i="6"/>
  <c r="L666" i="6" s="1"/>
  <c r="N666" i="6" s="1"/>
  <c r="P666" i="6" s="1"/>
  <c r="K669" i="6"/>
  <c r="L669" i="6" s="1"/>
  <c r="N669" i="6" s="1"/>
  <c r="P669" i="6" s="1"/>
  <c r="K668" i="6"/>
  <c r="L668" i="6" s="1"/>
  <c r="N668" i="6" s="1"/>
  <c r="P668" i="6" s="1"/>
  <c r="K653" i="6"/>
  <c r="L653" i="6" s="1"/>
  <c r="N653" i="6" s="1"/>
  <c r="P653" i="6" s="1"/>
  <c r="FG93" i="5" l="1"/>
  <c r="FH93" i="5" s="1"/>
  <c r="AG58" i="5"/>
  <c r="AH58" i="5" s="1"/>
  <c r="D35" i="6"/>
  <c r="D30" i="6"/>
  <c r="D26" i="6"/>
  <c r="D25" i="6"/>
  <c r="D20" i="6"/>
  <c r="D15" i="6"/>
  <c r="D13" i="6"/>
  <c r="D36" i="6"/>
  <c r="D34" i="6"/>
  <c r="FG82" i="5"/>
  <c r="FH82" i="5" s="1"/>
  <c r="D31" i="6"/>
  <c r="FI18" i="5"/>
  <c r="FJ18" i="5"/>
  <c r="FI21" i="5"/>
  <c r="FJ21" i="5"/>
  <c r="FI33" i="5"/>
  <c r="FJ33" i="5"/>
  <c r="FI47" i="5"/>
  <c r="FJ47" i="5"/>
  <c r="FI57" i="5"/>
  <c r="FJ57" i="5"/>
  <c r="FI58" i="5"/>
  <c r="FJ58" i="5"/>
  <c r="FI74" i="5"/>
  <c r="FJ74" i="5"/>
  <c r="FI19" i="5"/>
  <c r="FJ19" i="5"/>
  <c r="FI32" i="5"/>
  <c r="FJ32" i="5"/>
  <c r="FI46" i="5"/>
  <c r="FJ46" i="5"/>
  <c r="FI55" i="5"/>
  <c r="FJ55" i="5"/>
  <c r="FI60" i="5"/>
  <c r="FJ60" i="5"/>
  <c r="FI88" i="5"/>
  <c r="FJ88" i="5"/>
  <c r="FI20" i="5"/>
  <c r="FJ20" i="5"/>
  <c r="FI34" i="5"/>
  <c r="FJ34" i="5"/>
  <c r="FI54" i="5"/>
  <c r="FJ54" i="5"/>
  <c r="FI56" i="5"/>
  <c r="FJ56" i="5"/>
  <c r="FI59" i="5"/>
  <c r="FJ59" i="5"/>
  <c r="FI75" i="5"/>
  <c r="FJ75" i="5"/>
  <c r="FJ14" i="5"/>
  <c r="FI14" i="5"/>
  <c r="FK14" i="5" s="1"/>
  <c r="FL14" i="5" s="1"/>
  <c r="FI22" i="5"/>
  <c r="FJ22" i="5"/>
  <c r="AJ29" i="5"/>
  <c r="AI29" i="5"/>
  <c r="AK29" i="5" s="1"/>
  <c r="AL29" i="5" s="1"/>
  <c r="FI40" i="5"/>
  <c r="FJ40" i="5"/>
  <c r="FI69" i="5"/>
  <c r="FJ69" i="5"/>
  <c r="AI10" i="5"/>
  <c r="AJ10" i="5"/>
  <c r="FJ30" i="5"/>
  <c r="FI30" i="5"/>
  <c r="FK30" i="5" s="1"/>
  <c r="FL30" i="5" s="1"/>
  <c r="FG79" i="5"/>
  <c r="FH79" i="5" s="1"/>
  <c r="FG16" i="5"/>
  <c r="FH16" i="5" s="1"/>
  <c r="AG24" i="5"/>
  <c r="AH24" i="5" s="1"/>
  <c r="AG38" i="5"/>
  <c r="AH38" i="5" s="1"/>
  <c r="FG39" i="5"/>
  <c r="FH39" i="5" s="1"/>
  <c r="AG42" i="5"/>
  <c r="AH42" i="5" s="1"/>
  <c r="AG45" i="5"/>
  <c r="AH45" i="5" s="1"/>
  <c r="FG70" i="5"/>
  <c r="FH70" i="5" s="1"/>
  <c r="AG74" i="5"/>
  <c r="AH74" i="5" s="1"/>
  <c r="AG77" i="5"/>
  <c r="AH77" i="5" s="1"/>
  <c r="FG77" i="5"/>
  <c r="FH77" i="5" s="1"/>
  <c r="AG84" i="5"/>
  <c r="AH84" i="5" s="1"/>
  <c r="AG86" i="5"/>
  <c r="AH86" i="5" s="1"/>
  <c r="FG87" i="5"/>
  <c r="FH87" i="5" s="1"/>
  <c r="AG88" i="5"/>
  <c r="AH88" i="5" s="1"/>
  <c r="AG93" i="5"/>
  <c r="AH93" i="5" s="1"/>
  <c r="AG11" i="5"/>
  <c r="AH11" i="5" s="1"/>
  <c r="FG12" i="5"/>
  <c r="FH12" i="5" s="1"/>
  <c r="AG25" i="5"/>
  <c r="AH25" i="5" s="1"/>
  <c r="AG21" i="5"/>
  <c r="AH21" i="5" s="1"/>
  <c r="AG32" i="5"/>
  <c r="AH32" i="5" s="1"/>
  <c r="AG33" i="5"/>
  <c r="AH33" i="5" s="1"/>
  <c r="AG71" i="5"/>
  <c r="AH71" i="5" s="1"/>
  <c r="AG34" i="5"/>
  <c r="AH34" i="5" s="1"/>
  <c r="FG45" i="5"/>
  <c r="FH45" i="5" s="1"/>
  <c r="AG46" i="5"/>
  <c r="AH46" i="5" s="1"/>
  <c r="AG47" i="5"/>
  <c r="AH47" i="5" s="1"/>
  <c r="AG48" i="5"/>
  <c r="AH48" i="5" s="1"/>
  <c r="AG8" i="5"/>
  <c r="AH8" i="5" s="1"/>
  <c r="FG10" i="5"/>
  <c r="FH10" i="5" s="1"/>
  <c r="FG11" i="5"/>
  <c r="FH11" i="5" s="1"/>
  <c r="FG23" i="5"/>
  <c r="FH23" i="5" s="1"/>
  <c r="FG26" i="5"/>
  <c r="FH26" i="5" s="1"/>
  <c r="FG27" i="5"/>
  <c r="FH27" i="5" s="1"/>
  <c r="FG29" i="5"/>
  <c r="FH29" i="5" s="1"/>
  <c r="FG52" i="5"/>
  <c r="FH52" i="5" s="1"/>
  <c r="AG55" i="5"/>
  <c r="AH55" i="5" s="1"/>
  <c r="AG56" i="5"/>
  <c r="AH56" i="5" s="1"/>
  <c r="AG57" i="5"/>
  <c r="AH57" i="5" s="1"/>
  <c r="AG59" i="5"/>
  <c r="AH59" i="5" s="1"/>
  <c r="FG35" i="5"/>
  <c r="FH35" i="5" s="1"/>
  <c r="AG44" i="5"/>
  <c r="AH44" i="5" s="1"/>
  <c r="AG51" i="5"/>
  <c r="AH51" i="5" s="1"/>
  <c r="FG63" i="5"/>
  <c r="FH63" i="5" s="1"/>
  <c r="FG64" i="5"/>
  <c r="FH64" i="5" s="1"/>
  <c r="AG75" i="5"/>
  <c r="AH75" i="5" s="1"/>
  <c r="AG76" i="5"/>
  <c r="AH76" i="5" s="1"/>
  <c r="FG9" i="5"/>
  <c r="FH9" i="5" s="1"/>
  <c r="FG15" i="5"/>
  <c r="FH15" i="5" s="1"/>
  <c r="AG28" i="5"/>
  <c r="AH28" i="5" s="1"/>
  <c r="AG68" i="5"/>
  <c r="AH68" i="5" s="1"/>
  <c r="FG72" i="5"/>
  <c r="FH72" i="5" s="1"/>
  <c r="FG78" i="5"/>
  <c r="FH78" i="5" s="1"/>
  <c r="AG81" i="5"/>
  <c r="AH81" i="5" s="1"/>
  <c r="FG84" i="5"/>
  <c r="FH84" i="5" s="1"/>
  <c r="AG89" i="5"/>
  <c r="AH89" i="5" s="1"/>
  <c r="AG53" i="5"/>
  <c r="AH53" i="5" s="1"/>
  <c r="AG65" i="5"/>
  <c r="AH65" i="5" s="1"/>
  <c r="FG65" i="5"/>
  <c r="FH65" i="5" s="1"/>
  <c r="AG73" i="5"/>
  <c r="AH73" i="5" s="1"/>
  <c r="FG73" i="5"/>
  <c r="FH73" i="5" s="1"/>
  <c r="FG83" i="5"/>
  <c r="FH83" i="5" s="1"/>
  <c r="FG92" i="5"/>
  <c r="FH92" i="5" s="1"/>
  <c r="AG9" i="5"/>
  <c r="AH9" i="5" s="1"/>
  <c r="FG25" i="5"/>
  <c r="FH25" i="5" s="1"/>
  <c r="AG66" i="5"/>
  <c r="AH66" i="5" s="1"/>
  <c r="AG67" i="5"/>
  <c r="AH67" i="5" s="1"/>
  <c r="AG78" i="5"/>
  <c r="AH78" i="5" s="1"/>
  <c r="AG92" i="5"/>
  <c r="AH92" i="5" s="1"/>
  <c r="FG8" i="5"/>
  <c r="FH8" i="5" s="1"/>
  <c r="AG13" i="5"/>
  <c r="AH13" i="5" s="1"/>
  <c r="AG14" i="5"/>
  <c r="AH14" i="5" s="1"/>
  <c r="FG24" i="5"/>
  <c r="FH24" i="5" s="1"/>
  <c r="FG36" i="5"/>
  <c r="FH36" i="5" s="1"/>
  <c r="AG39" i="5"/>
  <c r="AH39" i="5" s="1"/>
  <c r="AG40" i="5"/>
  <c r="AH40" i="5" s="1"/>
  <c r="AG41" i="5"/>
  <c r="AH41" i="5" s="1"/>
  <c r="FG43" i="5"/>
  <c r="FH43" i="5" s="1"/>
  <c r="AG50" i="5"/>
  <c r="AH50" i="5" s="1"/>
  <c r="FG51" i="5"/>
  <c r="FH51" i="5" s="1"/>
  <c r="FG53" i="5"/>
  <c r="FH53" i="5" s="1"/>
  <c r="AG54" i="5"/>
  <c r="AH54" i="5" s="1"/>
  <c r="AG64" i="5"/>
  <c r="AH64" i="5" s="1"/>
  <c r="FG68" i="5"/>
  <c r="FH68" i="5" s="1"/>
  <c r="AG70" i="5"/>
  <c r="AH70" i="5" s="1"/>
  <c r="FG81" i="5"/>
  <c r="FH81" i="5" s="1"/>
  <c r="AG85" i="5"/>
  <c r="AH85" i="5" s="1"/>
  <c r="FG85" i="5"/>
  <c r="FH85" i="5" s="1"/>
  <c r="AG87" i="5"/>
  <c r="AH87" i="5" s="1"/>
  <c r="AG91" i="5"/>
  <c r="AH91" i="5" s="1"/>
  <c r="AG94" i="5"/>
  <c r="AH94" i="5" s="1"/>
  <c r="FG94" i="5"/>
  <c r="FH94" i="5" s="1"/>
  <c r="AG35" i="5"/>
  <c r="AH35" i="5" s="1"/>
  <c r="E34" i="6"/>
  <c r="H34" i="6" s="1"/>
  <c r="AG60" i="5"/>
  <c r="AH60" i="5" s="1"/>
  <c r="AG61" i="5"/>
  <c r="AH61" i="5" s="1"/>
  <c r="AG12" i="5"/>
  <c r="AH12" i="5" s="1"/>
  <c r="AG27" i="5"/>
  <c r="AH27" i="5" s="1"/>
  <c r="FG41" i="5"/>
  <c r="FH41" i="5" s="1"/>
  <c r="FG42" i="5"/>
  <c r="FH42" i="5" s="1"/>
  <c r="AG43" i="5"/>
  <c r="AH43" i="5" s="1"/>
  <c r="FG50" i="5"/>
  <c r="FH50" i="5" s="1"/>
  <c r="AG52" i="5"/>
  <c r="AH52" i="5" s="1"/>
  <c r="AG69" i="5"/>
  <c r="AH69" i="5" s="1"/>
  <c r="FG80" i="5"/>
  <c r="FH80" i="5" s="1"/>
  <c r="FG91" i="5"/>
  <c r="FH91" i="5" s="1"/>
  <c r="AG96" i="5"/>
  <c r="AH96" i="5" s="1"/>
  <c r="FG37" i="5"/>
  <c r="FH37" i="5" s="1"/>
  <c r="AG82" i="5"/>
  <c r="AH82" i="5" s="1"/>
  <c r="AG83" i="5"/>
  <c r="AH83" i="5" s="1"/>
  <c r="AG95" i="5"/>
  <c r="AH95" i="5" s="1"/>
  <c r="FG95" i="5"/>
  <c r="FH95" i="5" s="1"/>
  <c r="FG13" i="5"/>
  <c r="FH13" i="5" s="1"/>
  <c r="AG15" i="5"/>
  <c r="AH15" i="5" s="1"/>
  <c r="AG16" i="5"/>
  <c r="AH16" i="5" s="1"/>
  <c r="E36" i="6"/>
  <c r="H36" i="6" s="1"/>
  <c r="FG17" i="5"/>
  <c r="FH17" i="5" s="1"/>
  <c r="AG23" i="5"/>
  <c r="AH23" i="5" s="1"/>
  <c r="AG80" i="5"/>
  <c r="AH80" i="5" s="1"/>
  <c r="FG48" i="5"/>
  <c r="FH48" i="5" s="1"/>
  <c r="AG49" i="5"/>
  <c r="AH49" i="5" s="1"/>
  <c r="FG61" i="5"/>
  <c r="FH61" i="5" s="1"/>
  <c r="AG62" i="5"/>
  <c r="AH62" i="5" s="1"/>
  <c r="FG62" i="5"/>
  <c r="FH62" i="5" s="1"/>
  <c r="AG63" i="5"/>
  <c r="AH63" i="5" s="1"/>
  <c r="FG76" i="5"/>
  <c r="FH76" i="5" s="1"/>
  <c r="AG90" i="5"/>
  <c r="AH90" i="5" s="1"/>
  <c r="E32" i="6"/>
  <c r="H32" i="6" s="1"/>
  <c r="FG90" i="5"/>
  <c r="FH90" i="5" s="1"/>
  <c r="FG96" i="5"/>
  <c r="FH96" i="5" s="1"/>
  <c r="FG31" i="5"/>
  <c r="FH31" i="5" s="1"/>
  <c r="AG18" i="5"/>
  <c r="AH18" i="5" s="1"/>
  <c r="AG22" i="5"/>
  <c r="AH22" i="5" s="1"/>
  <c r="AG36" i="5"/>
  <c r="AH36" i="5" s="1"/>
  <c r="AG19" i="5"/>
  <c r="AH19" i="5" s="1"/>
  <c r="AG20" i="5"/>
  <c r="AH20" i="5" s="1"/>
  <c r="D29" i="6"/>
  <c r="D17" i="6"/>
  <c r="D19" i="6"/>
  <c r="D37" i="6"/>
  <c r="E18" i="6" s="1"/>
  <c r="H18" i="6" s="1"/>
  <c r="FG38" i="5"/>
  <c r="FH38" i="5" s="1"/>
  <c r="FG66" i="5"/>
  <c r="FH66" i="5" s="1"/>
  <c r="FG71" i="5"/>
  <c r="FH71" i="5" s="1"/>
  <c r="AG72" i="5"/>
  <c r="AH72" i="5" s="1"/>
  <c r="AG79" i="5"/>
  <c r="AH79" i="5" s="1"/>
  <c r="AG26" i="5"/>
  <c r="AH26" i="5" s="1"/>
  <c r="FG28" i="5"/>
  <c r="FH28" i="5" s="1"/>
  <c r="AG30" i="5"/>
  <c r="AH30" i="5" s="1"/>
  <c r="FG44" i="5"/>
  <c r="FH44" i="5" s="1"/>
  <c r="FG49" i="5"/>
  <c r="FH49" i="5" s="1"/>
  <c r="FG67" i="5"/>
  <c r="FH67" i="5" s="1"/>
  <c r="FG86" i="5"/>
  <c r="FH86" i="5" s="1"/>
  <c r="FI89" i="5"/>
  <c r="FJ89" i="5"/>
  <c r="AI31" i="5"/>
  <c r="AJ31" i="5"/>
  <c r="AI37" i="5"/>
  <c r="AJ37" i="5"/>
  <c r="AJ17" i="5"/>
  <c r="AI17" i="5"/>
  <c r="AK17" i="5" s="1"/>
  <c r="AL17" i="5" s="1"/>
  <c r="AI58" i="5"/>
  <c r="AJ58" i="5"/>
  <c r="FI93" i="5" l="1"/>
  <c r="FJ93" i="5"/>
  <c r="FI82" i="5"/>
  <c r="FJ82" i="5"/>
  <c r="FN14" i="5"/>
  <c r="FM14" i="5"/>
  <c r="FO14" i="5" s="1"/>
  <c r="FP14" i="5" s="1"/>
  <c r="AN29" i="5"/>
  <c r="AM29" i="5"/>
  <c r="AO29" i="5" s="1"/>
  <c r="AP29" i="5" s="1"/>
  <c r="FN30" i="5"/>
  <c r="FM30" i="5"/>
  <c r="FO30" i="5" s="1"/>
  <c r="FP30" i="5" s="1"/>
  <c r="FJ79" i="5"/>
  <c r="FI79" i="5"/>
  <c r="FK79" i="5" s="1"/>
  <c r="FL79" i="5" s="1"/>
  <c r="FJ16" i="5"/>
  <c r="FI16" i="5"/>
  <c r="FK16" i="5" s="1"/>
  <c r="FL16" i="5" s="1"/>
  <c r="AJ24" i="5"/>
  <c r="AI24" i="5"/>
  <c r="AK24" i="5" s="1"/>
  <c r="AL24" i="5" s="1"/>
  <c r="AJ38" i="5"/>
  <c r="AI38" i="5"/>
  <c r="AK38" i="5" s="1"/>
  <c r="AL38" i="5" s="1"/>
  <c r="FI39" i="5"/>
  <c r="FJ39" i="5"/>
  <c r="AJ42" i="5"/>
  <c r="AI42" i="5"/>
  <c r="AK42" i="5" s="1"/>
  <c r="AL42" i="5" s="1"/>
  <c r="AJ45" i="5"/>
  <c r="AI45" i="5"/>
  <c r="FJ70" i="5"/>
  <c r="FI70" i="5"/>
  <c r="FK70" i="5" s="1"/>
  <c r="FL70" i="5" s="1"/>
  <c r="AJ74" i="5"/>
  <c r="AI74" i="5"/>
  <c r="AJ77" i="5"/>
  <c r="AI77" i="5"/>
  <c r="AK77" i="5" s="1"/>
  <c r="AL77" i="5" s="1"/>
  <c r="FJ77" i="5"/>
  <c r="FI77" i="5"/>
  <c r="FK77" i="5" s="1"/>
  <c r="FL77" i="5" s="1"/>
  <c r="AJ84" i="5"/>
  <c r="AI84" i="5"/>
  <c r="AK84" i="5" s="1"/>
  <c r="AL84" i="5" s="1"/>
  <c r="AJ86" i="5"/>
  <c r="AI86" i="5"/>
  <c r="AK86" i="5" s="1"/>
  <c r="AL86" i="5" s="1"/>
  <c r="FJ87" i="5"/>
  <c r="FI87" i="5"/>
  <c r="FK87" i="5" s="1"/>
  <c r="FL87" i="5" s="1"/>
  <c r="AJ88" i="5"/>
  <c r="AI88" i="5"/>
  <c r="AK88" i="5" s="1"/>
  <c r="AL88" i="5" s="1"/>
  <c r="AJ93" i="5"/>
  <c r="AI93" i="5"/>
  <c r="AK93" i="5" s="1"/>
  <c r="AL93" i="5" s="1"/>
  <c r="AI11" i="5"/>
  <c r="AJ11" i="5"/>
  <c r="FJ12" i="5"/>
  <c r="FI12" i="5"/>
  <c r="AJ25" i="5"/>
  <c r="AI25" i="5"/>
  <c r="AK25" i="5" s="1"/>
  <c r="AL25" i="5" s="1"/>
  <c r="AJ21" i="5"/>
  <c r="AI21" i="5"/>
  <c r="AK21" i="5" s="1"/>
  <c r="AL21" i="5" s="1"/>
  <c r="AJ32" i="5"/>
  <c r="AI32" i="5"/>
  <c r="AK32" i="5" s="1"/>
  <c r="AL32" i="5" s="1"/>
  <c r="AJ33" i="5"/>
  <c r="AI33" i="5"/>
  <c r="AK33" i="5" s="1"/>
  <c r="AL33" i="5" s="1"/>
  <c r="AI71" i="5"/>
  <c r="AJ71" i="5"/>
  <c r="AJ34" i="5"/>
  <c r="AI34" i="5"/>
  <c r="AK34" i="5" s="1"/>
  <c r="AL34" i="5" s="1"/>
  <c r="FJ45" i="5"/>
  <c r="FI45" i="5"/>
  <c r="FK45" i="5" s="1"/>
  <c r="FL45" i="5" s="1"/>
  <c r="AJ46" i="5"/>
  <c r="AI46" i="5"/>
  <c r="AK46" i="5" s="1"/>
  <c r="AL46" i="5" s="1"/>
  <c r="AJ47" i="5"/>
  <c r="AI47" i="5"/>
  <c r="AK47" i="5" s="1"/>
  <c r="AL47" i="5" s="1"/>
  <c r="AJ48" i="5"/>
  <c r="AI48" i="5"/>
  <c r="AK48" i="5" s="1"/>
  <c r="AL48" i="5" s="1"/>
  <c r="AI8" i="5"/>
  <c r="AJ8" i="5"/>
  <c r="FI10" i="5"/>
  <c r="FJ10" i="5"/>
  <c r="FJ11" i="5"/>
  <c r="FI11" i="5"/>
  <c r="FK11" i="5" s="1"/>
  <c r="FL11" i="5" s="1"/>
  <c r="FI23" i="5"/>
  <c r="FJ23" i="5"/>
  <c r="FJ26" i="5"/>
  <c r="FI26" i="5"/>
  <c r="FK26" i="5" s="1"/>
  <c r="FL26" i="5" s="1"/>
  <c r="FJ27" i="5"/>
  <c r="FI27" i="5"/>
  <c r="FK27" i="5" s="1"/>
  <c r="FL27" i="5" s="1"/>
  <c r="FI29" i="5"/>
  <c r="FJ29" i="5"/>
  <c r="FJ52" i="5"/>
  <c r="FI52" i="5"/>
  <c r="FK52" i="5" s="1"/>
  <c r="FL52" i="5" s="1"/>
  <c r="AJ55" i="5"/>
  <c r="AI55" i="5"/>
  <c r="AK55" i="5" s="1"/>
  <c r="AL55" i="5" s="1"/>
  <c r="AJ56" i="5"/>
  <c r="AI56" i="5"/>
  <c r="AK56" i="5" s="1"/>
  <c r="AL56" i="5" s="1"/>
  <c r="AJ57" i="5"/>
  <c r="AI57" i="5"/>
  <c r="AK57" i="5" s="1"/>
  <c r="AL57" i="5" s="1"/>
  <c r="AJ59" i="5"/>
  <c r="AI59" i="5"/>
  <c r="AK59" i="5" s="1"/>
  <c r="AL59" i="5" s="1"/>
  <c r="FJ35" i="5"/>
  <c r="FI35" i="5"/>
  <c r="FK35" i="5" s="1"/>
  <c r="FL35" i="5" s="1"/>
  <c r="AI44" i="5"/>
  <c r="AJ44" i="5"/>
  <c r="AI51" i="5"/>
  <c r="AJ51" i="5"/>
  <c r="FJ63" i="5"/>
  <c r="FI63" i="5"/>
  <c r="FK63" i="5" s="1"/>
  <c r="FL63" i="5" s="1"/>
  <c r="FJ64" i="5"/>
  <c r="FI64" i="5"/>
  <c r="FK64" i="5" s="1"/>
  <c r="FL64" i="5" s="1"/>
  <c r="AJ75" i="5"/>
  <c r="AI75" i="5"/>
  <c r="AK75" i="5" s="1"/>
  <c r="AL75" i="5" s="1"/>
  <c r="AJ76" i="5"/>
  <c r="AI76" i="5"/>
  <c r="AK76" i="5" s="1"/>
  <c r="AL76" i="5" s="1"/>
  <c r="FJ9" i="5"/>
  <c r="FI9" i="5"/>
  <c r="FK9" i="5" s="1"/>
  <c r="FL9" i="5" s="1"/>
  <c r="FJ15" i="5"/>
  <c r="FI15" i="5"/>
  <c r="FK15" i="5" s="1"/>
  <c r="FL15" i="5" s="1"/>
  <c r="AJ28" i="5"/>
  <c r="AI28" i="5"/>
  <c r="AK28" i="5" s="1"/>
  <c r="AL28" i="5" s="1"/>
  <c r="AJ68" i="5"/>
  <c r="AI68" i="5"/>
  <c r="AK68" i="5" s="1"/>
  <c r="AL68" i="5" s="1"/>
  <c r="FJ72" i="5"/>
  <c r="FI72" i="5"/>
  <c r="FK72" i="5" s="1"/>
  <c r="FL72" i="5" s="1"/>
  <c r="FJ78" i="5"/>
  <c r="FI78" i="5"/>
  <c r="FK78" i="5" s="1"/>
  <c r="FL78" i="5" s="1"/>
  <c r="AJ81" i="5"/>
  <c r="AI81" i="5"/>
  <c r="AK81" i="5" s="1"/>
  <c r="AL81" i="5" s="1"/>
  <c r="FJ84" i="5"/>
  <c r="FI84" i="5"/>
  <c r="FK84" i="5" s="1"/>
  <c r="FL84" i="5" s="1"/>
  <c r="AJ89" i="5"/>
  <c r="AI89" i="5"/>
  <c r="AK89" i="5" s="1"/>
  <c r="AL89" i="5" s="1"/>
  <c r="AJ53" i="5"/>
  <c r="AI53" i="5"/>
  <c r="AK53" i="5" s="1"/>
  <c r="AL53" i="5" s="1"/>
  <c r="AJ65" i="5"/>
  <c r="AI65" i="5"/>
  <c r="AK65" i="5" s="1"/>
  <c r="AL65" i="5" s="1"/>
  <c r="FJ65" i="5"/>
  <c r="FI65" i="5"/>
  <c r="FK65" i="5" s="1"/>
  <c r="FL65" i="5" s="1"/>
  <c r="AJ73" i="5"/>
  <c r="AI73" i="5"/>
  <c r="AK73" i="5" s="1"/>
  <c r="AL73" i="5" s="1"/>
  <c r="FJ73" i="5"/>
  <c r="FI73" i="5"/>
  <c r="FK73" i="5" s="1"/>
  <c r="FL73" i="5" s="1"/>
  <c r="FJ83" i="5"/>
  <c r="FI83" i="5"/>
  <c r="FK83" i="5" s="1"/>
  <c r="FL83" i="5" s="1"/>
  <c r="FJ92" i="5"/>
  <c r="FI92" i="5"/>
  <c r="FK92" i="5" s="1"/>
  <c r="FL92" i="5" s="1"/>
  <c r="AI9" i="5"/>
  <c r="AJ9" i="5"/>
  <c r="FJ25" i="5"/>
  <c r="FI25" i="5"/>
  <c r="FK25" i="5" s="1"/>
  <c r="FL25" i="5" s="1"/>
  <c r="AI66" i="5"/>
  <c r="AJ66" i="5"/>
  <c r="AJ67" i="5"/>
  <c r="AI67" i="5"/>
  <c r="AK67" i="5" s="1"/>
  <c r="AL67" i="5" s="1"/>
  <c r="AI78" i="5"/>
  <c r="AJ78" i="5"/>
  <c r="AI92" i="5"/>
  <c r="AJ92" i="5"/>
  <c r="FJ8" i="5"/>
  <c r="FI8" i="5"/>
  <c r="FK8" i="5" s="1"/>
  <c r="FL8" i="5" s="1"/>
  <c r="AI13" i="5"/>
  <c r="AJ13" i="5"/>
  <c r="AI14" i="5"/>
  <c r="AJ14" i="5"/>
  <c r="FI24" i="5"/>
  <c r="FJ24" i="5"/>
  <c r="FJ36" i="5"/>
  <c r="FI36" i="5"/>
  <c r="FK36" i="5" s="1"/>
  <c r="FL36" i="5" s="1"/>
  <c r="AJ39" i="5"/>
  <c r="AI39" i="5"/>
  <c r="AK39" i="5" s="1"/>
  <c r="AL39" i="5" s="1"/>
  <c r="AI40" i="5"/>
  <c r="AJ40" i="5"/>
  <c r="AI41" i="5"/>
  <c r="AJ41" i="5"/>
  <c r="FJ43" i="5"/>
  <c r="FI43" i="5"/>
  <c r="FK43" i="5" s="1"/>
  <c r="FL43" i="5" s="1"/>
  <c r="AI50" i="5"/>
  <c r="AJ50" i="5"/>
  <c r="FJ51" i="5"/>
  <c r="FI51" i="5"/>
  <c r="FK51" i="5" s="1"/>
  <c r="FL51" i="5" s="1"/>
  <c r="FJ53" i="5"/>
  <c r="FI53" i="5"/>
  <c r="FK53" i="5" s="1"/>
  <c r="FL53" i="5" s="1"/>
  <c r="AI54" i="5"/>
  <c r="AJ54" i="5"/>
  <c r="AI64" i="5"/>
  <c r="AJ64" i="5"/>
  <c r="FJ68" i="5"/>
  <c r="FI68" i="5"/>
  <c r="FK68" i="5" s="1"/>
  <c r="FL68" i="5" s="1"/>
  <c r="AI70" i="5"/>
  <c r="AJ70" i="5"/>
  <c r="FJ81" i="5"/>
  <c r="FI81" i="5"/>
  <c r="FK81" i="5" s="1"/>
  <c r="FL81" i="5" s="1"/>
  <c r="AI85" i="5"/>
  <c r="AJ85" i="5"/>
  <c r="FJ85" i="5"/>
  <c r="FI85" i="5"/>
  <c r="FK85" i="5" s="1"/>
  <c r="FL85" i="5" s="1"/>
  <c r="AI87" i="5"/>
  <c r="AJ87" i="5"/>
  <c r="AI91" i="5"/>
  <c r="AJ91" i="5"/>
  <c r="AI94" i="5"/>
  <c r="AJ94" i="5"/>
  <c r="FJ94" i="5"/>
  <c r="FI94" i="5"/>
  <c r="FK94" i="5" s="1"/>
  <c r="FL94" i="5" s="1"/>
  <c r="AJ35" i="5"/>
  <c r="AI35" i="5"/>
  <c r="AK35" i="5" s="1"/>
  <c r="AL35" i="5" s="1"/>
  <c r="AJ60" i="5"/>
  <c r="AI60" i="5"/>
  <c r="AK60" i="5" s="1"/>
  <c r="AL60" i="5" s="1"/>
  <c r="AJ61" i="5"/>
  <c r="AI61" i="5"/>
  <c r="AK61" i="5" s="1"/>
  <c r="AL61" i="5" s="1"/>
  <c r="AI12" i="5"/>
  <c r="AJ12" i="5"/>
  <c r="AI27" i="5"/>
  <c r="AJ27" i="5"/>
  <c r="FJ41" i="5"/>
  <c r="FI41" i="5"/>
  <c r="FK41" i="5" s="1"/>
  <c r="FL41" i="5" s="1"/>
  <c r="FJ42" i="5"/>
  <c r="FI42" i="5"/>
  <c r="FK42" i="5" s="1"/>
  <c r="FL42" i="5" s="1"/>
  <c r="AI43" i="5"/>
  <c r="AJ43" i="5"/>
  <c r="FJ50" i="5"/>
  <c r="FI50" i="5"/>
  <c r="FK50" i="5" s="1"/>
  <c r="FL50" i="5" s="1"/>
  <c r="AI52" i="5"/>
  <c r="AJ52" i="5"/>
  <c r="AI69" i="5"/>
  <c r="AJ69" i="5"/>
  <c r="FJ80" i="5"/>
  <c r="FI80" i="5"/>
  <c r="FK80" i="5" s="1"/>
  <c r="FL80" i="5" s="1"/>
  <c r="FJ91" i="5"/>
  <c r="FI91" i="5"/>
  <c r="FK91" i="5" s="1"/>
  <c r="FL91" i="5" s="1"/>
  <c r="AJ96" i="5"/>
  <c r="AI96" i="5"/>
  <c r="AK96" i="5" s="1"/>
  <c r="AL96" i="5" s="1"/>
  <c r="FJ37" i="5"/>
  <c r="FI37" i="5"/>
  <c r="FK37" i="5" s="1"/>
  <c r="FL37" i="5" s="1"/>
  <c r="AI82" i="5"/>
  <c r="AJ82" i="5"/>
  <c r="AI83" i="5"/>
  <c r="AJ83" i="5"/>
  <c r="AJ95" i="5"/>
  <c r="AI95" i="5"/>
  <c r="AK95" i="5" s="1"/>
  <c r="AL95" i="5" s="1"/>
  <c r="FJ95" i="5"/>
  <c r="FI95" i="5"/>
  <c r="FJ13" i="5"/>
  <c r="FI13" i="5"/>
  <c r="FK13" i="5" s="1"/>
  <c r="FL13" i="5" s="1"/>
  <c r="AI15" i="5"/>
  <c r="AJ15" i="5"/>
  <c r="AI16" i="5"/>
  <c r="AJ16" i="5"/>
  <c r="FI17" i="5"/>
  <c r="FJ17" i="5"/>
  <c r="AI23" i="5"/>
  <c r="AJ23" i="5"/>
  <c r="AI80" i="5"/>
  <c r="AJ80" i="5"/>
  <c r="FJ48" i="5"/>
  <c r="FI48" i="5"/>
  <c r="FK48" i="5" s="1"/>
  <c r="FL48" i="5" s="1"/>
  <c r="AJ49" i="5"/>
  <c r="AI49" i="5"/>
  <c r="AK49" i="5" s="1"/>
  <c r="AL49" i="5" s="1"/>
  <c r="FJ61" i="5"/>
  <c r="FI61" i="5"/>
  <c r="FK61" i="5" s="1"/>
  <c r="FL61" i="5" s="1"/>
  <c r="AJ62" i="5"/>
  <c r="AI62" i="5"/>
  <c r="AK62" i="5" s="1"/>
  <c r="AL62" i="5" s="1"/>
  <c r="FJ62" i="5"/>
  <c r="FI62" i="5"/>
  <c r="FK62" i="5" s="1"/>
  <c r="FL62" i="5" s="1"/>
  <c r="AJ63" i="5"/>
  <c r="AI63" i="5"/>
  <c r="FJ76" i="5"/>
  <c r="FI76" i="5"/>
  <c r="AJ90" i="5"/>
  <c r="AI90" i="5"/>
  <c r="AK90" i="5" s="1"/>
  <c r="AL90" i="5" s="1"/>
  <c r="FJ90" i="5"/>
  <c r="FI90" i="5"/>
  <c r="FK90" i="5" s="1"/>
  <c r="FL90" i="5" s="1"/>
  <c r="FJ96" i="5"/>
  <c r="FI96" i="5"/>
  <c r="FK96" i="5" s="1"/>
  <c r="FL96" i="5" s="1"/>
  <c r="FJ31" i="5"/>
  <c r="FI31" i="5"/>
  <c r="FK31" i="5" s="1"/>
  <c r="FL31" i="5" s="1"/>
  <c r="AJ18" i="5"/>
  <c r="AI18" i="5"/>
  <c r="AK18" i="5" s="1"/>
  <c r="AL18" i="5" s="1"/>
  <c r="AI22" i="5"/>
  <c r="AJ22" i="5"/>
  <c r="AJ36" i="5"/>
  <c r="AI36" i="5"/>
  <c r="AK36" i="5" s="1"/>
  <c r="AL36" i="5" s="1"/>
  <c r="AJ19" i="5"/>
  <c r="AI19" i="5"/>
  <c r="AK19" i="5" s="1"/>
  <c r="AL19" i="5" s="1"/>
  <c r="AJ20" i="5"/>
  <c r="AI20" i="5"/>
  <c r="AK20" i="5" s="1"/>
  <c r="AL20" i="5" s="1"/>
  <c r="E13" i="6"/>
  <c r="H13" i="6" s="1"/>
  <c r="E17" i="6"/>
  <c r="H17" i="6" s="1"/>
  <c r="FJ38" i="5"/>
  <c r="FI38" i="5"/>
  <c r="FK38" i="5" s="1"/>
  <c r="FL38" i="5" s="1"/>
  <c r="FJ66" i="5"/>
  <c r="FI66" i="5"/>
  <c r="FK66" i="5" s="1"/>
  <c r="FL66" i="5" s="1"/>
  <c r="FJ71" i="5"/>
  <c r="FI71" i="5"/>
  <c r="FK71" i="5" s="1"/>
  <c r="FL71" i="5" s="1"/>
  <c r="AJ72" i="5"/>
  <c r="AI72" i="5"/>
  <c r="AK72" i="5" s="1"/>
  <c r="AL72" i="5" s="1"/>
  <c r="AJ79" i="5"/>
  <c r="AI79" i="5"/>
  <c r="AK79" i="5" s="1"/>
  <c r="AL79" i="5" s="1"/>
  <c r="AJ26" i="5"/>
  <c r="AI26" i="5"/>
  <c r="AK26" i="5" s="1"/>
  <c r="AL26" i="5" s="1"/>
  <c r="FJ28" i="5"/>
  <c r="FI28" i="5"/>
  <c r="FK28" i="5" s="1"/>
  <c r="FL28" i="5" s="1"/>
  <c r="AJ30" i="5"/>
  <c r="AI30" i="5"/>
  <c r="AK30" i="5" s="1"/>
  <c r="AL30" i="5" s="1"/>
  <c r="FJ44" i="5"/>
  <c r="FI44" i="5"/>
  <c r="FK44" i="5" s="1"/>
  <c r="FL44" i="5" s="1"/>
  <c r="FJ49" i="5"/>
  <c r="FI49" i="5"/>
  <c r="FK49" i="5" s="1"/>
  <c r="FL49" i="5" s="1"/>
  <c r="FJ67" i="5"/>
  <c r="FI67" i="5"/>
  <c r="FK67" i="5" s="1"/>
  <c r="FL67" i="5" s="1"/>
  <c r="FJ86" i="5"/>
  <c r="FI86" i="5"/>
  <c r="FK86" i="5" s="1"/>
  <c r="FL86" i="5" s="1"/>
  <c r="AN17" i="5"/>
  <c r="AM17" i="5"/>
  <c r="AO17" i="5" s="1"/>
  <c r="AP17" i="5" s="1"/>
  <c r="FK18" i="5"/>
  <c r="FL18" i="5" s="1"/>
  <c r="FK21" i="5"/>
  <c r="FL21" i="5" s="1"/>
  <c r="FK33" i="5"/>
  <c r="FL33" i="5" s="1"/>
  <c r="FK47" i="5"/>
  <c r="FL47" i="5" s="1"/>
  <c r="FK57" i="5"/>
  <c r="FL57" i="5" s="1"/>
  <c r="FK58" i="5"/>
  <c r="FL58" i="5" s="1"/>
  <c r="FK74" i="5"/>
  <c r="FL74" i="5" s="1"/>
  <c r="FK19" i="5"/>
  <c r="FL19" i="5" s="1"/>
  <c r="FK32" i="5"/>
  <c r="FL32" i="5" s="1"/>
  <c r="FK46" i="5"/>
  <c r="FL46" i="5" s="1"/>
  <c r="FK55" i="5"/>
  <c r="FL55" i="5" s="1"/>
  <c r="FK60" i="5"/>
  <c r="FL60" i="5" s="1"/>
  <c r="FK88" i="5"/>
  <c r="FL88" i="5" s="1"/>
  <c r="FK20" i="5"/>
  <c r="FL20" i="5" s="1"/>
  <c r="FK34" i="5"/>
  <c r="FL34" i="5" s="1"/>
  <c r="FK54" i="5"/>
  <c r="FL54" i="5" s="1"/>
  <c r="FK56" i="5"/>
  <c r="FL56" i="5" s="1"/>
  <c r="FK59" i="5"/>
  <c r="FL59" i="5" s="1"/>
  <c r="FK75" i="5"/>
  <c r="FL75" i="5" s="1"/>
  <c r="FK93" i="5"/>
  <c r="FL93" i="5" s="1"/>
  <c r="FK22" i="5"/>
  <c r="FL22" i="5" s="1"/>
  <c r="FK69" i="5"/>
  <c r="FL69" i="5" s="1"/>
  <c r="AK10" i="5"/>
  <c r="AL10" i="5" s="1"/>
  <c r="E29" i="6"/>
  <c r="H29" i="6" s="1"/>
  <c r="E37" i="6"/>
  <c r="H37" i="6" s="1"/>
  <c r="FK89" i="5"/>
  <c r="FL89" i="5" s="1"/>
  <c r="AK31" i="5"/>
  <c r="AL31" i="5" s="1"/>
  <c r="AK37" i="5"/>
  <c r="AL37" i="5" s="1"/>
  <c r="AK58" i="5"/>
  <c r="AL58" i="5" s="1"/>
  <c r="FK40" i="5"/>
  <c r="FL40" i="5" s="1"/>
  <c r="FK82" i="5"/>
  <c r="FL82" i="5" s="1"/>
  <c r="E28" i="6"/>
  <c r="H28" i="6" s="1"/>
  <c r="E22" i="6"/>
  <c r="H22" i="6" s="1"/>
  <c r="E21" i="6"/>
  <c r="H21" i="6" s="1"/>
  <c r="E16" i="6"/>
  <c r="H16" i="6" s="1"/>
  <c r="E14" i="6"/>
  <c r="H14" i="6" s="1"/>
  <c r="E12" i="6"/>
  <c r="H12" i="6" s="1"/>
  <c r="E11" i="6"/>
  <c r="H11" i="6" s="1"/>
  <c r="E10" i="6"/>
  <c r="H10" i="6" s="1"/>
  <c r="E9" i="6"/>
  <c r="H9" i="6" s="1"/>
  <c r="E30" i="6"/>
  <c r="H30" i="6" s="1"/>
  <c r="E33" i="6"/>
  <c r="H33" i="6" s="1"/>
  <c r="E20" i="6"/>
  <c r="H20" i="6" s="1"/>
  <c r="E35" i="6"/>
  <c r="H35" i="6" s="1"/>
  <c r="E31" i="6"/>
  <c r="H31" i="6" s="1"/>
  <c r="E15" i="6"/>
  <c r="H15" i="6" s="1"/>
  <c r="E26" i="6"/>
  <c r="H26" i="6" s="1"/>
  <c r="E25" i="6"/>
  <c r="H25" i="6" s="1"/>
  <c r="E8" i="6"/>
  <c r="E19" i="6"/>
  <c r="H19" i="6" s="1"/>
  <c r="E27" i="6"/>
  <c r="H27" i="6" s="1"/>
  <c r="E24" i="6"/>
  <c r="H24" i="6" s="1"/>
  <c r="E23" i="6"/>
  <c r="H23" i="6" s="1"/>
  <c r="AK45" i="5" l="1"/>
  <c r="AL45" i="5" s="1"/>
  <c r="FK12" i="5"/>
  <c r="FL12" i="5" s="1"/>
  <c r="AK51" i="5"/>
  <c r="AL51" i="5" s="1"/>
  <c r="AK66" i="5"/>
  <c r="AL66" i="5" s="1"/>
  <c r="AK43" i="5"/>
  <c r="AL43" i="5" s="1"/>
  <c r="FK95" i="5"/>
  <c r="FL95" i="5" s="1"/>
  <c r="FK76" i="5"/>
  <c r="FL76" i="5" s="1"/>
  <c r="FQ14" i="5"/>
  <c r="FR14" i="5"/>
  <c r="AR29" i="5"/>
  <c r="AQ29" i="5"/>
  <c r="AS29" i="5" s="1"/>
  <c r="AT29" i="5" s="1"/>
  <c r="FR30" i="5"/>
  <c r="FQ30" i="5"/>
  <c r="FS30" i="5" s="1"/>
  <c r="FT30" i="5" s="1"/>
  <c r="FM79" i="5"/>
  <c r="FN79" i="5"/>
  <c r="FM16" i="5"/>
  <c r="FN16" i="5"/>
  <c r="AN24" i="5"/>
  <c r="AM24" i="5"/>
  <c r="AO24" i="5" s="1"/>
  <c r="AP24" i="5" s="1"/>
  <c r="AM38" i="5"/>
  <c r="AN38" i="5"/>
  <c r="AM42" i="5"/>
  <c r="AN42" i="5"/>
  <c r="FN70" i="5"/>
  <c r="FM70" i="5"/>
  <c r="FO70" i="5" s="1"/>
  <c r="FP70" i="5" s="1"/>
  <c r="AN77" i="5"/>
  <c r="AM77" i="5"/>
  <c r="AO77" i="5" s="1"/>
  <c r="AP77" i="5" s="1"/>
  <c r="FM77" i="5"/>
  <c r="FN77" i="5"/>
  <c r="AN84" i="5"/>
  <c r="AM84" i="5"/>
  <c r="AO84" i="5" s="1"/>
  <c r="AP84" i="5" s="1"/>
  <c r="AN86" i="5"/>
  <c r="AM86" i="5"/>
  <c r="AO86" i="5" s="1"/>
  <c r="AP86" i="5" s="1"/>
  <c r="FM87" i="5"/>
  <c r="FN87" i="5"/>
  <c r="AN88" i="5"/>
  <c r="AM88" i="5"/>
  <c r="AO88" i="5" s="1"/>
  <c r="AP88" i="5" s="1"/>
  <c r="AM93" i="5"/>
  <c r="AN93" i="5"/>
  <c r="AN25" i="5"/>
  <c r="AM25" i="5"/>
  <c r="AO25" i="5" s="1"/>
  <c r="AP25" i="5" s="1"/>
  <c r="AN21" i="5"/>
  <c r="AM21" i="5"/>
  <c r="AO21" i="5" s="1"/>
  <c r="AP21" i="5" s="1"/>
  <c r="AN32" i="5"/>
  <c r="AM32" i="5"/>
  <c r="AO32" i="5" s="1"/>
  <c r="AP32" i="5" s="1"/>
  <c r="AN33" i="5"/>
  <c r="AM33" i="5"/>
  <c r="AO33" i="5" s="1"/>
  <c r="AP33" i="5" s="1"/>
  <c r="AN34" i="5"/>
  <c r="AM34" i="5"/>
  <c r="AO34" i="5" s="1"/>
  <c r="AP34" i="5" s="1"/>
  <c r="FN45" i="5"/>
  <c r="FM45" i="5"/>
  <c r="FO45" i="5" s="1"/>
  <c r="FP45" i="5" s="1"/>
  <c r="AN46" i="5"/>
  <c r="AM46" i="5"/>
  <c r="AO46" i="5" s="1"/>
  <c r="AP46" i="5" s="1"/>
  <c r="AN47" i="5"/>
  <c r="AM47" i="5"/>
  <c r="AO47" i="5" s="1"/>
  <c r="AP47" i="5" s="1"/>
  <c r="AN48" i="5"/>
  <c r="AM48" i="5"/>
  <c r="AO48" i="5" s="1"/>
  <c r="AP48" i="5" s="1"/>
  <c r="FM11" i="5"/>
  <c r="FN11" i="5"/>
  <c r="FM26" i="5"/>
  <c r="FN26" i="5"/>
  <c r="FM27" i="5"/>
  <c r="FN27" i="5"/>
  <c r="FM52" i="5"/>
  <c r="FN52" i="5"/>
  <c r="AN55" i="5"/>
  <c r="AM55" i="5"/>
  <c r="AO55" i="5" s="1"/>
  <c r="AP55" i="5" s="1"/>
  <c r="AN56" i="5"/>
  <c r="AM56" i="5"/>
  <c r="AO56" i="5" s="1"/>
  <c r="AP56" i="5" s="1"/>
  <c r="AN57" i="5"/>
  <c r="AM57" i="5"/>
  <c r="AO57" i="5" s="1"/>
  <c r="AP57" i="5" s="1"/>
  <c r="AN59" i="5"/>
  <c r="AM59" i="5"/>
  <c r="AO59" i="5" s="1"/>
  <c r="AP59" i="5" s="1"/>
  <c r="FM35" i="5"/>
  <c r="FN35" i="5"/>
  <c r="FM63" i="5"/>
  <c r="FN63" i="5"/>
  <c r="FM64" i="5"/>
  <c r="FN64" i="5"/>
  <c r="AN75" i="5"/>
  <c r="AM75" i="5"/>
  <c r="AO75" i="5" s="1"/>
  <c r="AP75" i="5" s="1"/>
  <c r="AN76" i="5"/>
  <c r="AM76" i="5"/>
  <c r="AO76" i="5" s="1"/>
  <c r="AP76" i="5" s="1"/>
  <c r="FM9" i="5"/>
  <c r="FN9" i="5"/>
  <c r="FM15" i="5"/>
  <c r="FN15" i="5"/>
  <c r="AM28" i="5"/>
  <c r="AN28" i="5"/>
  <c r="AM68" i="5"/>
  <c r="AN68" i="5"/>
  <c r="FM72" i="5"/>
  <c r="FN72" i="5"/>
  <c r="FM78" i="5"/>
  <c r="FN78" i="5"/>
  <c r="AM81" i="5"/>
  <c r="AN81" i="5"/>
  <c r="FM84" i="5"/>
  <c r="FN84" i="5"/>
  <c r="AN89" i="5"/>
  <c r="AM89" i="5"/>
  <c r="AO89" i="5" s="1"/>
  <c r="AP89" i="5" s="1"/>
  <c r="AM53" i="5"/>
  <c r="AN53" i="5"/>
  <c r="AM65" i="5"/>
  <c r="AN65" i="5"/>
  <c r="FM65" i="5"/>
  <c r="FN65" i="5"/>
  <c r="AM73" i="5"/>
  <c r="AN73" i="5"/>
  <c r="FM73" i="5"/>
  <c r="FN73" i="5"/>
  <c r="FM83" i="5"/>
  <c r="FN83" i="5"/>
  <c r="FM92" i="5"/>
  <c r="FN92" i="5"/>
  <c r="FM25" i="5"/>
  <c r="FN25" i="5"/>
  <c r="AM67" i="5"/>
  <c r="AN67" i="5"/>
  <c r="FM8" i="5"/>
  <c r="FN8" i="5"/>
  <c r="FM36" i="5"/>
  <c r="FN36" i="5"/>
  <c r="AN39" i="5"/>
  <c r="AM39" i="5"/>
  <c r="AO39" i="5" s="1"/>
  <c r="AP39" i="5" s="1"/>
  <c r="FM43" i="5"/>
  <c r="FN43" i="5"/>
  <c r="FM51" i="5"/>
  <c r="FN51" i="5"/>
  <c r="FM53" i="5"/>
  <c r="FN53" i="5"/>
  <c r="FM68" i="5"/>
  <c r="FN68" i="5"/>
  <c r="FM81" i="5"/>
  <c r="FN81" i="5"/>
  <c r="FM85" i="5"/>
  <c r="FN85" i="5"/>
  <c r="FM94" i="5"/>
  <c r="FN94" i="5"/>
  <c r="AN35" i="5"/>
  <c r="AM35" i="5"/>
  <c r="AO35" i="5" s="1"/>
  <c r="AP35" i="5" s="1"/>
  <c r="AN60" i="5"/>
  <c r="AM60" i="5"/>
  <c r="AO60" i="5" s="1"/>
  <c r="AP60" i="5" s="1"/>
  <c r="AN61" i="5"/>
  <c r="AM61" i="5"/>
  <c r="AO61" i="5" s="1"/>
  <c r="AP61" i="5" s="1"/>
  <c r="FM41" i="5"/>
  <c r="FN41" i="5"/>
  <c r="FM42" i="5"/>
  <c r="FN42" i="5"/>
  <c r="FM50" i="5"/>
  <c r="FN50" i="5"/>
  <c r="FM80" i="5"/>
  <c r="FN80" i="5"/>
  <c r="FM91" i="5"/>
  <c r="FN91" i="5"/>
  <c r="AN96" i="5"/>
  <c r="AM96" i="5"/>
  <c r="AO96" i="5" s="1"/>
  <c r="AP96" i="5" s="1"/>
  <c r="FM37" i="5"/>
  <c r="FN37" i="5"/>
  <c r="AM95" i="5"/>
  <c r="AN95" i="5"/>
  <c r="FM13" i="5"/>
  <c r="FN13" i="5"/>
  <c r="FN48" i="5"/>
  <c r="FM48" i="5"/>
  <c r="FO48" i="5" s="1"/>
  <c r="FP48" i="5" s="1"/>
  <c r="AN49" i="5"/>
  <c r="AM49" i="5"/>
  <c r="AO49" i="5" s="1"/>
  <c r="AP49" i="5" s="1"/>
  <c r="FN61" i="5"/>
  <c r="FM61" i="5"/>
  <c r="FO61" i="5" s="1"/>
  <c r="FP61" i="5" s="1"/>
  <c r="AN62" i="5"/>
  <c r="AM62" i="5"/>
  <c r="AO62" i="5" s="1"/>
  <c r="AP62" i="5" s="1"/>
  <c r="FN62" i="5"/>
  <c r="FM62" i="5"/>
  <c r="FO62" i="5" s="1"/>
  <c r="FP62" i="5" s="1"/>
  <c r="AN90" i="5"/>
  <c r="AM90" i="5"/>
  <c r="AO90" i="5" s="1"/>
  <c r="AP90" i="5" s="1"/>
  <c r="FN90" i="5"/>
  <c r="FM90" i="5"/>
  <c r="FO90" i="5" s="1"/>
  <c r="FP90" i="5" s="1"/>
  <c r="FN96" i="5"/>
  <c r="FM96" i="5"/>
  <c r="FO96" i="5" s="1"/>
  <c r="FP96" i="5" s="1"/>
  <c r="FM31" i="5"/>
  <c r="FN31" i="5"/>
  <c r="AN18" i="5"/>
  <c r="AM18" i="5"/>
  <c r="AO18" i="5" s="1"/>
  <c r="AP18" i="5" s="1"/>
  <c r="AN36" i="5"/>
  <c r="AM36" i="5"/>
  <c r="AO36" i="5" s="1"/>
  <c r="AP36" i="5" s="1"/>
  <c r="AN19" i="5"/>
  <c r="AM19" i="5"/>
  <c r="AO19" i="5" s="1"/>
  <c r="AP19" i="5" s="1"/>
  <c r="AN20" i="5"/>
  <c r="AM20" i="5"/>
  <c r="AO20" i="5" s="1"/>
  <c r="AP20" i="5" s="1"/>
  <c r="FM38" i="5"/>
  <c r="FN38" i="5"/>
  <c r="FM66" i="5"/>
  <c r="FN66" i="5"/>
  <c r="FM71" i="5"/>
  <c r="FN71" i="5"/>
  <c r="AM72" i="5"/>
  <c r="AN72" i="5"/>
  <c r="AM79" i="5"/>
  <c r="AN79" i="5"/>
  <c r="AN26" i="5"/>
  <c r="AM26" i="5"/>
  <c r="AO26" i="5" s="1"/>
  <c r="AP26" i="5" s="1"/>
  <c r="FM28" i="5"/>
  <c r="FN28" i="5"/>
  <c r="AN30" i="5"/>
  <c r="AM30" i="5"/>
  <c r="AO30" i="5" s="1"/>
  <c r="AP30" i="5" s="1"/>
  <c r="FM44" i="5"/>
  <c r="FN44" i="5"/>
  <c r="FN49" i="5"/>
  <c r="FM49" i="5"/>
  <c r="FO49" i="5" s="1"/>
  <c r="FP49" i="5" s="1"/>
  <c r="FM67" i="5"/>
  <c r="FN67" i="5"/>
  <c r="FM86" i="5"/>
  <c r="FN86" i="5"/>
  <c r="AQ17" i="5"/>
  <c r="AR17" i="5"/>
  <c r="FN18" i="5"/>
  <c r="FM18" i="5"/>
  <c r="FO18" i="5" s="1"/>
  <c r="FP18" i="5" s="1"/>
  <c r="FN21" i="5"/>
  <c r="FM21" i="5"/>
  <c r="FO21" i="5" s="1"/>
  <c r="FP21" i="5" s="1"/>
  <c r="FN33" i="5"/>
  <c r="FM33" i="5"/>
  <c r="FO33" i="5" s="1"/>
  <c r="FP33" i="5" s="1"/>
  <c r="FN47" i="5"/>
  <c r="FM47" i="5"/>
  <c r="FO47" i="5" s="1"/>
  <c r="FP47" i="5" s="1"/>
  <c r="FN57" i="5"/>
  <c r="FM57" i="5"/>
  <c r="FO57" i="5" s="1"/>
  <c r="FP57" i="5" s="1"/>
  <c r="FN58" i="5"/>
  <c r="FM58" i="5"/>
  <c r="FO58" i="5" s="1"/>
  <c r="FP58" i="5" s="1"/>
  <c r="FN74" i="5"/>
  <c r="FM74" i="5"/>
  <c r="FO74" i="5" s="1"/>
  <c r="FP74" i="5" s="1"/>
  <c r="FN19" i="5"/>
  <c r="FM19" i="5"/>
  <c r="FO19" i="5" s="1"/>
  <c r="FP19" i="5" s="1"/>
  <c r="FN32" i="5"/>
  <c r="FM32" i="5"/>
  <c r="FO32" i="5" s="1"/>
  <c r="FP32" i="5" s="1"/>
  <c r="FN46" i="5"/>
  <c r="FM46" i="5"/>
  <c r="FO46" i="5" s="1"/>
  <c r="FP46" i="5" s="1"/>
  <c r="FN55" i="5"/>
  <c r="FM55" i="5"/>
  <c r="FO55" i="5" s="1"/>
  <c r="FP55" i="5" s="1"/>
  <c r="FN60" i="5"/>
  <c r="FM60" i="5"/>
  <c r="FO60" i="5" s="1"/>
  <c r="FP60" i="5" s="1"/>
  <c r="FN88" i="5"/>
  <c r="FM88" i="5"/>
  <c r="FO88" i="5" s="1"/>
  <c r="FP88" i="5" s="1"/>
  <c r="FN20" i="5"/>
  <c r="FM20" i="5"/>
  <c r="FN34" i="5"/>
  <c r="FM34" i="5"/>
  <c r="FO34" i="5" s="1"/>
  <c r="FP34" i="5" s="1"/>
  <c r="FN54" i="5"/>
  <c r="FM54" i="5"/>
  <c r="FO54" i="5" s="1"/>
  <c r="FP54" i="5" s="1"/>
  <c r="FN56" i="5"/>
  <c r="FM56" i="5"/>
  <c r="FO56" i="5" s="1"/>
  <c r="FP56" i="5" s="1"/>
  <c r="FN59" i="5"/>
  <c r="FM59" i="5"/>
  <c r="FO59" i="5" s="1"/>
  <c r="FP59" i="5" s="1"/>
  <c r="FN75" i="5"/>
  <c r="FM75" i="5"/>
  <c r="FO75" i="5" s="1"/>
  <c r="FP75" i="5" s="1"/>
  <c r="FN93" i="5"/>
  <c r="FM93" i="5"/>
  <c r="FO93" i="5" s="1"/>
  <c r="FP93" i="5" s="1"/>
  <c r="FM22" i="5"/>
  <c r="FN22" i="5"/>
  <c r="FN69" i="5"/>
  <c r="FM69" i="5"/>
  <c r="FO69" i="5" s="1"/>
  <c r="FP69" i="5" s="1"/>
  <c r="AN10" i="5"/>
  <c r="AM10" i="5"/>
  <c r="AO10" i="5" s="1"/>
  <c r="AP10" i="5" s="1"/>
  <c r="FM89" i="5"/>
  <c r="FN89" i="5"/>
  <c r="AM31" i="5"/>
  <c r="AN31" i="5"/>
  <c r="AN37" i="5"/>
  <c r="AM37" i="5"/>
  <c r="AO37" i="5" s="1"/>
  <c r="AP37" i="5" s="1"/>
  <c r="AM58" i="5"/>
  <c r="AN58" i="5"/>
  <c r="FN40" i="5"/>
  <c r="FM40" i="5"/>
  <c r="FO40" i="5" s="1"/>
  <c r="FP40" i="5" s="1"/>
  <c r="FN82" i="5"/>
  <c r="FM82" i="5"/>
  <c r="FO82" i="5" s="1"/>
  <c r="FP82" i="5" s="1"/>
  <c r="H8" i="6"/>
  <c r="AK74" i="5"/>
  <c r="AL74" i="5" s="1"/>
  <c r="AK11" i="5"/>
  <c r="AL11" i="5" s="1"/>
  <c r="AK71" i="5"/>
  <c r="AL71" i="5" s="1"/>
  <c r="AK8" i="5"/>
  <c r="AL8" i="5" s="1"/>
  <c r="FK10" i="5"/>
  <c r="FL10" i="5" s="1"/>
  <c r="AK44" i="5"/>
  <c r="AL44" i="5" s="1"/>
  <c r="FK23" i="5"/>
  <c r="FL23" i="5" s="1"/>
  <c r="FK29" i="5"/>
  <c r="FL29" i="5" s="1"/>
  <c r="AK9" i="5"/>
  <c r="AL9" i="5" s="1"/>
  <c r="AK78" i="5"/>
  <c r="AL78" i="5" s="1"/>
  <c r="AK92" i="5"/>
  <c r="AL92" i="5" s="1"/>
  <c r="AK13" i="5"/>
  <c r="AL13" i="5" s="1"/>
  <c r="AK14" i="5"/>
  <c r="AL14" i="5" s="1"/>
  <c r="FK24" i="5"/>
  <c r="FL24" i="5" s="1"/>
  <c r="AK40" i="5"/>
  <c r="AL40" i="5" s="1"/>
  <c r="AK41" i="5"/>
  <c r="AL41" i="5" s="1"/>
  <c r="AK50" i="5"/>
  <c r="AL50" i="5" s="1"/>
  <c r="AK54" i="5"/>
  <c r="AL54" i="5" s="1"/>
  <c r="AK64" i="5"/>
  <c r="AL64" i="5" s="1"/>
  <c r="AK70" i="5"/>
  <c r="AL70" i="5" s="1"/>
  <c r="AK85" i="5"/>
  <c r="AL85" i="5" s="1"/>
  <c r="AK87" i="5"/>
  <c r="AL87" i="5" s="1"/>
  <c r="AK91" i="5"/>
  <c r="AL91" i="5" s="1"/>
  <c r="AK94" i="5"/>
  <c r="AL94" i="5" s="1"/>
  <c r="AK12" i="5"/>
  <c r="AL12" i="5" s="1"/>
  <c r="AK27" i="5"/>
  <c r="AL27" i="5" s="1"/>
  <c r="AK52" i="5"/>
  <c r="AL52" i="5" s="1"/>
  <c r="AK69" i="5"/>
  <c r="AL69" i="5" s="1"/>
  <c r="AK82" i="5"/>
  <c r="AL82" i="5" s="1"/>
  <c r="AK83" i="5"/>
  <c r="AL83" i="5" s="1"/>
  <c r="AK15" i="5"/>
  <c r="AL15" i="5" s="1"/>
  <c r="AK16" i="5"/>
  <c r="AL16" i="5" s="1"/>
  <c r="FK17" i="5"/>
  <c r="FL17" i="5" s="1"/>
  <c r="AK23" i="5"/>
  <c r="AL23" i="5" s="1"/>
  <c r="AK80" i="5"/>
  <c r="AL80" i="5" s="1"/>
  <c r="AK63" i="5"/>
  <c r="AL63" i="5" s="1"/>
  <c r="AK22" i="5"/>
  <c r="AL22" i="5" s="1"/>
  <c r="FK39" i="5"/>
  <c r="FL39" i="5" s="1"/>
  <c r="FO27" i="5" l="1"/>
  <c r="FP27" i="5" s="1"/>
  <c r="AO67" i="5"/>
  <c r="AP67" i="5" s="1"/>
  <c r="AQ67" i="5" s="1"/>
  <c r="AS67" i="5" s="1"/>
  <c r="AT67" i="5" s="1"/>
  <c r="FO94" i="5"/>
  <c r="FP94" i="5" s="1"/>
  <c r="FO66" i="5"/>
  <c r="FP66" i="5" s="1"/>
  <c r="FO86" i="5"/>
  <c r="FP86" i="5" s="1"/>
  <c r="FO20" i="5"/>
  <c r="FP20" i="5" s="1"/>
  <c r="AN45" i="5"/>
  <c r="AM45" i="5"/>
  <c r="AO45" i="5" s="1"/>
  <c r="AP45" i="5" s="1"/>
  <c r="FM12" i="5"/>
  <c r="FO12" i="5" s="1"/>
  <c r="FP12" i="5" s="1"/>
  <c r="FN12" i="5"/>
  <c r="AN51" i="5"/>
  <c r="AM51" i="5"/>
  <c r="AO51" i="5" s="1"/>
  <c r="AP51" i="5" s="1"/>
  <c r="AN66" i="5"/>
  <c r="AM66" i="5"/>
  <c r="AO66" i="5" s="1"/>
  <c r="AP66" i="5" s="1"/>
  <c r="AM43" i="5"/>
  <c r="AO43" i="5" s="1"/>
  <c r="AP43" i="5" s="1"/>
  <c r="AN43" i="5"/>
  <c r="FM95" i="5"/>
  <c r="FO95" i="5" s="1"/>
  <c r="FP95" i="5" s="1"/>
  <c r="FN95" i="5"/>
  <c r="FN76" i="5"/>
  <c r="FM76" i="5"/>
  <c r="FO76" i="5" s="1"/>
  <c r="FP76" i="5" s="1"/>
  <c r="AV29" i="5"/>
  <c r="AU29" i="5"/>
  <c r="AW29" i="5" s="1"/>
  <c r="AX29" i="5" s="1"/>
  <c r="FU30" i="5"/>
  <c r="FV30" i="5"/>
  <c r="AQ24" i="5"/>
  <c r="AR24" i="5"/>
  <c r="FQ70" i="5"/>
  <c r="FR70" i="5"/>
  <c r="AQ77" i="5"/>
  <c r="AR77" i="5"/>
  <c r="AR84" i="5"/>
  <c r="AQ84" i="5"/>
  <c r="AS84" i="5" s="1"/>
  <c r="AT84" i="5" s="1"/>
  <c r="AR86" i="5"/>
  <c r="AQ86" i="5"/>
  <c r="AS86" i="5" s="1"/>
  <c r="AT86" i="5" s="1"/>
  <c r="AQ88" i="5"/>
  <c r="AR88" i="5"/>
  <c r="AR25" i="5"/>
  <c r="AQ25" i="5"/>
  <c r="AS25" i="5" s="1"/>
  <c r="AT25" i="5" s="1"/>
  <c r="AR21" i="5"/>
  <c r="AQ21" i="5"/>
  <c r="AS21" i="5" s="1"/>
  <c r="AT21" i="5" s="1"/>
  <c r="AR32" i="5"/>
  <c r="AQ32" i="5"/>
  <c r="AS32" i="5" s="1"/>
  <c r="AT32" i="5" s="1"/>
  <c r="AR33" i="5"/>
  <c r="AQ33" i="5"/>
  <c r="AS33" i="5" s="1"/>
  <c r="AT33" i="5" s="1"/>
  <c r="AR34" i="5"/>
  <c r="AQ34" i="5"/>
  <c r="AS34" i="5" s="1"/>
  <c r="AT34" i="5" s="1"/>
  <c r="FQ45" i="5"/>
  <c r="FR45" i="5"/>
  <c r="AR46" i="5"/>
  <c r="AQ46" i="5"/>
  <c r="AS46" i="5" s="1"/>
  <c r="AT46" i="5" s="1"/>
  <c r="AR47" i="5"/>
  <c r="AQ47" i="5"/>
  <c r="AS47" i="5" s="1"/>
  <c r="AT47" i="5" s="1"/>
  <c r="AR48" i="5"/>
  <c r="AQ48" i="5"/>
  <c r="AS48" i="5" s="1"/>
  <c r="AT48" i="5" s="1"/>
  <c r="AR55" i="5"/>
  <c r="AQ55" i="5"/>
  <c r="AR56" i="5"/>
  <c r="AQ56" i="5"/>
  <c r="AS56" i="5" s="1"/>
  <c r="AT56" i="5" s="1"/>
  <c r="AR57" i="5"/>
  <c r="AQ57" i="5"/>
  <c r="AS57" i="5" s="1"/>
  <c r="AT57" i="5" s="1"/>
  <c r="AR59" i="5"/>
  <c r="AQ59" i="5"/>
  <c r="AS59" i="5" s="1"/>
  <c r="AT59" i="5" s="1"/>
  <c r="AR75" i="5"/>
  <c r="AQ75" i="5"/>
  <c r="AS75" i="5" s="1"/>
  <c r="AT75" i="5" s="1"/>
  <c r="AR76" i="5"/>
  <c r="AQ76" i="5"/>
  <c r="AS76" i="5" s="1"/>
  <c r="AT76" i="5" s="1"/>
  <c r="AR89" i="5"/>
  <c r="AQ89" i="5"/>
  <c r="AS89" i="5" s="1"/>
  <c r="AT89" i="5" s="1"/>
  <c r="AR67" i="5"/>
  <c r="AR39" i="5"/>
  <c r="AQ39" i="5"/>
  <c r="AS39" i="5" s="1"/>
  <c r="AT39" i="5" s="1"/>
  <c r="AR35" i="5"/>
  <c r="AQ35" i="5"/>
  <c r="AS35" i="5" s="1"/>
  <c r="AT35" i="5" s="1"/>
  <c r="AR60" i="5"/>
  <c r="AQ60" i="5"/>
  <c r="AS60" i="5" s="1"/>
  <c r="AT60" i="5" s="1"/>
  <c r="AR61" i="5"/>
  <c r="AQ61" i="5"/>
  <c r="AS61" i="5" s="1"/>
  <c r="AT61" i="5" s="1"/>
  <c r="AR96" i="5"/>
  <c r="AQ96" i="5"/>
  <c r="AS96" i="5" s="1"/>
  <c r="AT96" i="5" s="1"/>
  <c r="FR48" i="5"/>
  <c r="FQ48" i="5"/>
  <c r="FS48" i="5" s="1"/>
  <c r="FT48" i="5" s="1"/>
  <c r="AR49" i="5"/>
  <c r="AQ49" i="5"/>
  <c r="AS49" i="5" s="1"/>
  <c r="AT49" i="5" s="1"/>
  <c r="FR61" i="5"/>
  <c r="FQ61" i="5"/>
  <c r="FS61" i="5" s="1"/>
  <c r="FT61" i="5" s="1"/>
  <c r="AR62" i="5"/>
  <c r="AQ62" i="5"/>
  <c r="AS62" i="5" s="1"/>
  <c r="AT62" i="5" s="1"/>
  <c r="FR62" i="5"/>
  <c r="FQ62" i="5"/>
  <c r="FS62" i="5" s="1"/>
  <c r="FT62" i="5" s="1"/>
  <c r="AR90" i="5"/>
  <c r="AQ90" i="5"/>
  <c r="AS90" i="5" s="1"/>
  <c r="AT90" i="5" s="1"/>
  <c r="FR90" i="5"/>
  <c r="FQ90" i="5"/>
  <c r="FS90" i="5" s="1"/>
  <c r="FT90" i="5" s="1"/>
  <c r="FR96" i="5"/>
  <c r="FQ96" i="5"/>
  <c r="FS96" i="5" s="1"/>
  <c r="FT96" i="5" s="1"/>
  <c r="AQ18" i="5"/>
  <c r="AR18" i="5"/>
  <c r="AQ36" i="5"/>
  <c r="AR36" i="5"/>
  <c r="AQ19" i="5"/>
  <c r="AR19" i="5"/>
  <c r="AQ20" i="5"/>
  <c r="AR20" i="5"/>
  <c r="AQ26" i="5"/>
  <c r="AR26" i="5"/>
  <c r="AQ30" i="5"/>
  <c r="AR30" i="5"/>
  <c r="FR49" i="5"/>
  <c r="FQ49" i="5"/>
  <c r="FS49" i="5" s="1"/>
  <c r="FT49" i="5" s="1"/>
  <c r="FQ18" i="5"/>
  <c r="FR18" i="5"/>
  <c r="FQ21" i="5"/>
  <c r="FR21" i="5"/>
  <c r="FQ33" i="5"/>
  <c r="FR33" i="5"/>
  <c r="FQ47" i="5"/>
  <c r="FR47" i="5"/>
  <c r="FQ57" i="5"/>
  <c r="FR57" i="5"/>
  <c r="FQ58" i="5"/>
  <c r="FR58" i="5"/>
  <c r="FQ74" i="5"/>
  <c r="FR74" i="5"/>
  <c r="FQ19" i="5"/>
  <c r="FR19" i="5"/>
  <c r="FQ32" i="5"/>
  <c r="FR32" i="5"/>
  <c r="FQ46" i="5"/>
  <c r="FR46" i="5"/>
  <c r="FQ55" i="5"/>
  <c r="FR55" i="5"/>
  <c r="FQ60" i="5"/>
  <c r="FR60" i="5"/>
  <c r="FQ88" i="5"/>
  <c r="FR88" i="5"/>
  <c r="FQ34" i="5"/>
  <c r="FR34" i="5"/>
  <c r="FQ54" i="5"/>
  <c r="FR54" i="5"/>
  <c r="FQ56" i="5"/>
  <c r="FR56" i="5"/>
  <c r="FQ59" i="5"/>
  <c r="FR59" i="5"/>
  <c r="FQ75" i="5"/>
  <c r="FR75" i="5"/>
  <c r="FQ93" i="5"/>
  <c r="FR93" i="5"/>
  <c r="FQ69" i="5"/>
  <c r="FR69" i="5"/>
  <c r="AR10" i="5"/>
  <c r="AQ10" i="5"/>
  <c r="AS10" i="5" s="1"/>
  <c r="AT10" i="5" s="1"/>
  <c r="AR37" i="5"/>
  <c r="AQ37" i="5"/>
  <c r="AS37" i="5" s="1"/>
  <c r="AT37" i="5" s="1"/>
  <c r="FQ40" i="5"/>
  <c r="FR40" i="5"/>
  <c r="FQ82" i="5"/>
  <c r="FR82" i="5"/>
  <c r="J23" i="6"/>
  <c r="J24" i="6"/>
  <c r="J27" i="6"/>
  <c r="J25" i="6"/>
  <c r="J26" i="6"/>
  <c r="J15" i="6"/>
  <c r="J31" i="6"/>
  <c r="J35" i="6"/>
  <c r="J20" i="6"/>
  <c r="J33" i="6"/>
  <c r="J30" i="6"/>
  <c r="J9" i="6"/>
  <c r="J10" i="6"/>
  <c r="J11" i="6"/>
  <c r="J37" i="6"/>
  <c r="J29" i="6"/>
  <c r="J17" i="6"/>
  <c r="J13" i="6"/>
  <c r="J12" i="6"/>
  <c r="J14" i="6"/>
  <c r="J16" i="6"/>
  <c r="J21" i="6"/>
  <c r="J22" i="6"/>
  <c r="J28" i="6"/>
  <c r="J32" i="6"/>
  <c r="J18" i="6"/>
  <c r="J19" i="6"/>
  <c r="J34" i="6"/>
  <c r="J36" i="6"/>
  <c r="J8" i="6"/>
  <c r="AM74" i="5"/>
  <c r="AN74" i="5"/>
  <c r="AN11" i="5"/>
  <c r="AM11" i="5"/>
  <c r="AO11" i="5" s="1"/>
  <c r="AP11" i="5" s="1"/>
  <c r="AM71" i="5"/>
  <c r="AN71" i="5"/>
  <c r="AM8" i="5"/>
  <c r="AN8" i="5"/>
  <c r="FN10" i="5"/>
  <c r="FM10" i="5"/>
  <c r="FO10" i="5" s="1"/>
  <c r="FP10" i="5" s="1"/>
  <c r="AM44" i="5"/>
  <c r="AN44" i="5"/>
  <c r="FM23" i="5"/>
  <c r="FN23" i="5"/>
  <c r="FM29" i="5"/>
  <c r="FN29" i="5"/>
  <c r="AM9" i="5"/>
  <c r="AN9" i="5"/>
  <c r="AM78" i="5"/>
  <c r="AN78" i="5"/>
  <c r="AM92" i="5"/>
  <c r="AN92" i="5"/>
  <c r="AM13" i="5"/>
  <c r="AN13" i="5"/>
  <c r="AM14" i="5"/>
  <c r="AN14" i="5"/>
  <c r="FN24" i="5"/>
  <c r="FM24" i="5"/>
  <c r="FO24" i="5" s="1"/>
  <c r="FP24" i="5" s="1"/>
  <c r="AN40" i="5"/>
  <c r="AM40" i="5"/>
  <c r="AO40" i="5" s="1"/>
  <c r="AP40" i="5" s="1"/>
  <c r="AM41" i="5"/>
  <c r="AN41" i="5"/>
  <c r="AM50" i="5"/>
  <c r="AN50" i="5"/>
  <c r="AM54" i="5"/>
  <c r="AN54" i="5"/>
  <c r="AM64" i="5"/>
  <c r="AN64" i="5"/>
  <c r="AM70" i="5"/>
  <c r="AN70" i="5"/>
  <c r="AM85" i="5"/>
  <c r="AN85" i="5"/>
  <c r="AM87" i="5"/>
  <c r="AN87" i="5"/>
  <c r="AM91" i="5"/>
  <c r="AN91" i="5"/>
  <c r="AM94" i="5"/>
  <c r="AN94" i="5"/>
  <c r="AN12" i="5"/>
  <c r="AM12" i="5"/>
  <c r="AO12" i="5" s="1"/>
  <c r="AP12" i="5" s="1"/>
  <c r="AN27" i="5"/>
  <c r="AM27" i="5"/>
  <c r="AO27" i="5" s="1"/>
  <c r="AP27" i="5" s="1"/>
  <c r="AM52" i="5"/>
  <c r="AN52" i="5"/>
  <c r="AM69" i="5"/>
  <c r="AN69" i="5"/>
  <c r="AM82" i="5"/>
  <c r="AN82" i="5"/>
  <c r="AM83" i="5"/>
  <c r="AN83" i="5"/>
  <c r="AM15" i="5"/>
  <c r="AN15" i="5"/>
  <c r="AM16" i="5"/>
  <c r="AN16" i="5"/>
  <c r="FN17" i="5"/>
  <c r="FM17" i="5"/>
  <c r="FO17" i="5" s="1"/>
  <c r="FP17" i="5" s="1"/>
  <c r="AM23" i="5"/>
  <c r="AN23" i="5"/>
  <c r="AM80" i="5"/>
  <c r="AN80" i="5"/>
  <c r="AM63" i="5"/>
  <c r="AN63" i="5"/>
  <c r="AN22" i="5"/>
  <c r="AM22" i="5"/>
  <c r="FN39" i="5"/>
  <c r="FM39" i="5"/>
  <c r="FO39" i="5" s="1"/>
  <c r="FP39" i="5" s="1"/>
  <c r="FS14" i="5"/>
  <c r="FT14" i="5" s="1"/>
  <c r="FO79" i="5"/>
  <c r="FP79" i="5" s="1"/>
  <c r="FO16" i="5"/>
  <c r="FP16" i="5" s="1"/>
  <c r="AO38" i="5"/>
  <c r="AP38" i="5" s="1"/>
  <c r="AO42" i="5"/>
  <c r="AP42" i="5" s="1"/>
  <c r="FO77" i="5"/>
  <c r="FP77" i="5" s="1"/>
  <c r="AO93" i="5"/>
  <c r="AP93" i="5" s="1"/>
  <c r="FO87" i="5"/>
  <c r="FP87" i="5" s="1"/>
  <c r="FO63" i="5"/>
  <c r="FP63" i="5" s="1"/>
  <c r="FO64" i="5"/>
  <c r="FP64" i="5" s="1"/>
  <c r="FO11" i="5"/>
  <c r="FP11" i="5" s="1"/>
  <c r="FO26" i="5"/>
  <c r="FP26" i="5" s="1"/>
  <c r="FO52" i="5"/>
  <c r="FP52" i="5" s="1"/>
  <c r="FO35" i="5"/>
  <c r="FP35" i="5" s="1"/>
  <c r="FO9" i="5"/>
  <c r="FP9" i="5" s="1"/>
  <c r="FO15" i="5"/>
  <c r="FP15" i="5" s="1"/>
  <c r="AO28" i="5"/>
  <c r="AP28" i="5" s="1"/>
  <c r="AO68" i="5"/>
  <c r="AP68" i="5" s="1"/>
  <c r="FO72" i="5"/>
  <c r="FP72" i="5" s="1"/>
  <c r="FO78" i="5"/>
  <c r="FP78" i="5" s="1"/>
  <c r="AO81" i="5"/>
  <c r="AP81" i="5" s="1"/>
  <c r="FO84" i="5"/>
  <c r="FP84" i="5" s="1"/>
  <c r="AO53" i="5"/>
  <c r="AP53" i="5" s="1"/>
  <c r="AO65" i="5"/>
  <c r="AP65" i="5" s="1"/>
  <c r="FO65" i="5"/>
  <c r="FP65" i="5" s="1"/>
  <c r="AO73" i="5"/>
  <c r="AP73" i="5" s="1"/>
  <c r="FO73" i="5"/>
  <c r="FP73" i="5" s="1"/>
  <c r="FO83" i="5"/>
  <c r="FP83" i="5" s="1"/>
  <c r="FO92" i="5"/>
  <c r="FP92" i="5" s="1"/>
  <c r="FO25" i="5"/>
  <c r="FP25" i="5" s="1"/>
  <c r="FO8" i="5"/>
  <c r="FP8" i="5" s="1"/>
  <c r="FO36" i="5"/>
  <c r="FP36" i="5" s="1"/>
  <c r="FO43" i="5"/>
  <c r="FP43" i="5" s="1"/>
  <c r="FO51" i="5"/>
  <c r="FP51" i="5" s="1"/>
  <c r="FO53" i="5"/>
  <c r="FP53" i="5" s="1"/>
  <c r="FO68" i="5"/>
  <c r="FP68" i="5" s="1"/>
  <c r="FO81" i="5"/>
  <c r="FP81" i="5" s="1"/>
  <c r="FO85" i="5"/>
  <c r="FP85" i="5" s="1"/>
  <c r="FO37" i="5"/>
  <c r="FP37" i="5" s="1"/>
  <c r="AO95" i="5"/>
  <c r="AP95" i="5" s="1"/>
  <c r="FO13" i="5"/>
  <c r="FP13" i="5" s="1"/>
  <c r="FO38" i="5"/>
  <c r="FP38" i="5" s="1"/>
  <c r="FO41" i="5"/>
  <c r="FP41" i="5" s="1"/>
  <c r="FO42" i="5"/>
  <c r="FP42" i="5" s="1"/>
  <c r="FO50" i="5"/>
  <c r="FP50" i="5" s="1"/>
  <c r="FO80" i="5"/>
  <c r="FP80" i="5" s="1"/>
  <c r="FO91" i="5"/>
  <c r="FP91" i="5" s="1"/>
  <c r="FO31" i="5"/>
  <c r="FP31" i="5" s="1"/>
  <c r="FO71" i="5"/>
  <c r="FP71" i="5" s="1"/>
  <c r="AO72" i="5"/>
  <c r="AP72" i="5" s="1"/>
  <c r="AO79" i="5"/>
  <c r="AP79" i="5" s="1"/>
  <c r="FO28" i="5"/>
  <c r="FP28" i="5" s="1"/>
  <c r="FO44" i="5"/>
  <c r="FP44" i="5" s="1"/>
  <c r="FO67" i="5"/>
  <c r="FP67" i="5" s="1"/>
  <c r="AS17" i="5"/>
  <c r="AT17" i="5" s="1"/>
  <c r="FO22" i="5"/>
  <c r="FP22" i="5" s="1"/>
  <c r="FO89" i="5"/>
  <c r="FP89" i="5" s="1"/>
  <c r="AO31" i="5"/>
  <c r="AP31" i="5" s="1"/>
  <c r="AO58" i="5"/>
  <c r="AP58" i="5" s="1"/>
  <c r="FS57" i="5" l="1"/>
  <c r="FT57" i="5" s="1"/>
  <c r="AO85" i="5"/>
  <c r="AP85" i="5" s="1"/>
  <c r="AO15" i="5"/>
  <c r="AP15" i="5" s="1"/>
  <c r="FS82" i="5"/>
  <c r="FT82" i="5" s="1"/>
  <c r="AO22" i="5"/>
  <c r="AP22" i="5" s="1"/>
  <c r="FR27" i="5"/>
  <c r="FQ27" i="5"/>
  <c r="FS27" i="5" s="1"/>
  <c r="FT27" i="5" s="1"/>
  <c r="FQ94" i="5"/>
  <c r="FR94" i="5"/>
  <c r="FQ66" i="5"/>
  <c r="FR66" i="5"/>
  <c r="FQ86" i="5"/>
  <c r="FR86" i="5"/>
  <c r="FQ20" i="5"/>
  <c r="FR20" i="5"/>
  <c r="AQ45" i="5"/>
  <c r="AR45" i="5"/>
  <c r="AR51" i="5"/>
  <c r="AQ51" i="5"/>
  <c r="AS51" i="5" s="1"/>
  <c r="AT51" i="5" s="1"/>
  <c r="AR66" i="5"/>
  <c r="AQ66" i="5"/>
  <c r="AS66" i="5" s="1"/>
  <c r="AT66" i="5" s="1"/>
  <c r="FR76" i="5"/>
  <c r="FQ76" i="5"/>
  <c r="FS76" i="5" s="1"/>
  <c r="FT76" i="5" s="1"/>
  <c r="AZ29" i="5"/>
  <c r="AY29" i="5"/>
  <c r="BA29" i="5" s="1"/>
  <c r="BB29" i="5" s="1"/>
  <c r="AU84" i="5"/>
  <c r="AV84" i="5"/>
  <c r="AU86" i="5"/>
  <c r="AV86" i="5"/>
  <c r="AU25" i="5"/>
  <c r="AV25" i="5"/>
  <c r="AV21" i="5"/>
  <c r="AU21" i="5"/>
  <c r="AW21" i="5" s="1"/>
  <c r="AX21" i="5" s="1"/>
  <c r="AV32" i="5"/>
  <c r="AU32" i="5"/>
  <c r="AW32" i="5" s="1"/>
  <c r="AX32" i="5" s="1"/>
  <c r="AV33" i="5"/>
  <c r="AU33" i="5"/>
  <c r="AW33" i="5" s="1"/>
  <c r="AX33" i="5" s="1"/>
  <c r="AV34" i="5"/>
  <c r="AU34" i="5"/>
  <c r="AW34" i="5" s="1"/>
  <c r="AX34" i="5" s="1"/>
  <c r="AV46" i="5"/>
  <c r="AU46" i="5"/>
  <c r="AW46" i="5" s="1"/>
  <c r="AX46" i="5" s="1"/>
  <c r="AV47" i="5"/>
  <c r="AU47" i="5"/>
  <c r="AW47" i="5" s="1"/>
  <c r="AX47" i="5" s="1"/>
  <c r="AV48" i="5"/>
  <c r="AU48" i="5"/>
  <c r="AW48" i="5" s="1"/>
  <c r="AX48" i="5" s="1"/>
  <c r="FU27" i="5"/>
  <c r="FV27" i="5"/>
  <c r="AV56" i="5"/>
  <c r="AU56" i="5"/>
  <c r="AW56" i="5" s="1"/>
  <c r="AX56" i="5" s="1"/>
  <c r="AV57" i="5"/>
  <c r="AU57" i="5"/>
  <c r="AW57" i="5" s="1"/>
  <c r="AX57" i="5" s="1"/>
  <c r="AV59" i="5"/>
  <c r="AU59" i="5"/>
  <c r="AW59" i="5" s="1"/>
  <c r="AX59" i="5" s="1"/>
  <c r="AV75" i="5"/>
  <c r="AU75" i="5"/>
  <c r="AW75" i="5" s="1"/>
  <c r="AX75" i="5" s="1"/>
  <c r="AV76" i="5"/>
  <c r="AU76" i="5"/>
  <c r="AW76" i="5" s="1"/>
  <c r="AX76" i="5" s="1"/>
  <c r="AV89" i="5"/>
  <c r="AU89" i="5"/>
  <c r="AW89" i="5" s="1"/>
  <c r="AX89" i="5" s="1"/>
  <c r="AV67" i="5"/>
  <c r="AU67" i="5"/>
  <c r="AW67" i="5" s="1"/>
  <c r="AX67" i="5" s="1"/>
  <c r="AV39" i="5"/>
  <c r="AU39" i="5"/>
  <c r="AW39" i="5" s="1"/>
  <c r="AX39" i="5" s="1"/>
  <c r="AV35" i="5"/>
  <c r="AU35" i="5"/>
  <c r="AW35" i="5" s="1"/>
  <c r="AX35" i="5" s="1"/>
  <c r="AV60" i="5"/>
  <c r="AU60" i="5"/>
  <c r="AV61" i="5"/>
  <c r="AU61" i="5"/>
  <c r="AW61" i="5" s="1"/>
  <c r="AX61" i="5" s="1"/>
  <c r="AV96" i="5"/>
  <c r="AU96" i="5"/>
  <c r="AW96" i="5" s="1"/>
  <c r="AX96" i="5" s="1"/>
  <c r="FV48" i="5"/>
  <c r="FU48" i="5"/>
  <c r="FW48" i="5" s="1"/>
  <c r="FX48" i="5" s="1"/>
  <c r="AV49" i="5"/>
  <c r="AU49" i="5"/>
  <c r="AW49" i="5" s="1"/>
  <c r="AX49" i="5" s="1"/>
  <c r="FV61" i="5"/>
  <c r="FU61" i="5"/>
  <c r="FW61" i="5" s="1"/>
  <c r="FX61" i="5" s="1"/>
  <c r="AV62" i="5"/>
  <c r="AU62" i="5"/>
  <c r="AW62" i="5" s="1"/>
  <c r="AX62" i="5" s="1"/>
  <c r="FV62" i="5"/>
  <c r="FU62" i="5"/>
  <c r="FW62" i="5" s="1"/>
  <c r="FX62" i="5" s="1"/>
  <c r="AV90" i="5"/>
  <c r="AU90" i="5"/>
  <c r="AW90" i="5" s="1"/>
  <c r="AX90" i="5" s="1"/>
  <c r="FV90" i="5"/>
  <c r="FU90" i="5"/>
  <c r="FW90" i="5" s="1"/>
  <c r="FX90" i="5" s="1"/>
  <c r="FV96" i="5"/>
  <c r="FU96" i="5"/>
  <c r="FW96" i="5" s="1"/>
  <c r="FX96" i="5" s="1"/>
  <c r="FV49" i="5"/>
  <c r="FU49" i="5"/>
  <c r="FW49" i="5" s="1"/>
  <c r="FX49" i="5" s="1"/>
  <c r="FU57" i="5"/>
  <c r="FV57" i="5"/>
  <c r="AV10" i="5"/>
  <c r="AU10" i="5"/>
  <c r="AW10" i="5" s="1"/>
  <c r="AX10" i="5" s="1"/>
  <c r="AV37" i="5"/>
  <c r="AU37" i="5"/>
  <c r="AW37" i="5" s="1"/>
  <c r="AX37" i="5" s="1"/>
  <c r="FU82" i="5"/>
  <c r="FV82" i="5"/>
  <c r="K23" i="6"/>
  <c r="L23" i="6"/>
  <c r="M23" i="6" s="1"/>
  <c r="L24" i="6"/>
  <c r="K24" i="6"/>
  <c r="M24" i="6"/>
  <c r="K27" i="6"/>
  <c r="L27" i="6"/>
  <c r="M27" i="6" s="1"/>
  <c r="K25" i="6"/>
  <c r="L25" i="6"/>
  <c r="M25" i="6"/>
  <c r="K26" i="6"/>
  <c r="L26" i="6"/>
  <c r="M26" i="6"/>
  <c r="K15" i="6"/>
  <c r="L15" i="6"/>
  <c r="M15" i="6" s="1"/>
  <c r="K31" i="6"/>
  <c r="L31" i="6"/>
  <c r="M31" i="6"/>
  <c r="K35" i="6"/>
  <c r="L35" i="6"/>
  <c r="M35" i="6"/>
  <c r="K20" i="6"/>
  <c r="L20" i="6"/>
  <c r="M20" i="6"/>
  <c r="K33" i="6"/>
  <c r="L33" i="6"/>
  <c r="M33" i="6"/>
  <c r="K30" i="6"/>
  <c r="L30" i="6"/>
  <c r="M30" i="6"/>
  <c r="L9" i="6"/>
  <c r="M9" i="6"/>
  <c r="K9" i="6"/>
  <c r="K10" i="6"/>
  <c r="L10" i="6"/>
  <c r="M10" i="6"/>
  <c r="K11" i="6"/>
  <c r="L11" i="6"/>
  <c r="M11" i="6"/>
  <c r="L37" i="6"/>
  <c r="M37" i="6" s="1"/>
  <c r="K37" i="6"/>
  <c r="K29" i="6"/>
  <c r="L29" i="6"/>
  <c r="M29" i="6"/>
  <c r="L17" i="6"/>
  <c r="K17" i="6"/>
  <c r="M17" i="6"/>
  <c r="L13" i="6"/>
  <c r="M13" i="6" s="1"/>
  <c r="K13" i="6"/>
  <c r="L12" i="6"/>
  <c r="M12" i="6" s="1"/>
  <c r="K12" i="6"/>
  <c r="L14" i="6"/>
  <c r="M14" i="6" s="1"/>
  <c r="K14" i="6"/>
  <c r="K16" i="6"/>
  <c r="L16" i="6"/>
  <c r="M16" i="6"/>
  <c r="K21" i="6"/>
  <c r="L21" i="6"/>
  <c r="M21" i="6"/>
  <c r="K22" i="6"/>
  <c r="L22" i="6"/>
  <c r="M22" i="6"/>
  <c r="L28" i="6"/>
  <c r="K28" i="6"/>
  <c r="M28" i="6"/>
  <c r="L32" i="6"/>
  <c r="M32" i="6" s="1"/>
  <c r="K32" i="6"/>
  <c r="K18" i="6"/>
  <c r="L18" i="6"/>
  <c r="M18" i="6" s="1"/>
  <c r="L19" i="6"/>
  <c r="M19" i="6"/>
  <c r="K19" i="6"/>
  <c r="L34" i="6"/>
  <c r="M34" i="6" s="1"/>
  <c r="K34" i="6"/>
  <c r="L36" i="6"/>
  <c r="M36" i="6" s="1"/>
  <c r="K36" i="6"/>
  <c r="K8" i="6"/>
  <c r="L8" i="6"/>
  <c r="M8" i="6"/>
  <c r="AR11" i="5"/>
  <c r="AQ11" i="5"/>
  <c r="AS11" i="5" s="1"/>
  <c r="AT11" i="5" s="1"/>
  <c r="FQ10" i="5"/>
  <c r="FR10" i="5"/>
  <c r="FR24" i="5"/>
  <c r="FQ24" i="5"/>
  <c r="FS24" i="5" s="1"/>
  <c r="FT24" i="5" s="1"/>
  <c r="AR40" i="5"/>
  <c r="AQ40" i="5"/>
  <c r="AS40" i="5" s="1"/>
  <c r="AT40" i="5" s="1"/>
  <c r="AR85" i="5"/>
  <c r="AQ85" i="5"/>
  <c r="AS85" i="5" s="1"/>
  <c r="AT85" i="5" s="1"/>
  <c r="AR12" i="5"/>
  <c r="AQ12" i="5"/>
  <c r="AS12" i="5" s="1"/>
  <c r="AT12" i="5" s="1"/>
  <c r="AQ27" i="5"/>
  <c r="AR27" i="5"/>
  <c r="AR15" i="5"/>
  <c r="AQ15" i="5"/>
  <c r="AS15" i="5" s="1"/>
  <c r="AT15" i="5" s="1"/>
  <c r="FQ17" i="5"/>
  <c r="FR17" i="5"/>
  <c r="AR22" i="5"/>
  <c r="AQ22" i="5"/>
  <c r="AS22" i="5" s="1"/>
  <c r="AT22" i="5" s="1"/>
  <c r="FQ39" i="5"/>
  <c r="FR39" i="5"/>
  <c r="FV14" i="5"/>
  <c r="FU14" i="5"/>
  <c r="FW14" i="5" s="1"/>
  <c r="FX14" i="5" s="1"/>
  <c r="FR79" i="5"/>
  <c r="FQ79" i="5"/>
  <c r="FS79" i="5" s="1"/>
  <c r="FT79" i="5" s="1"/>
  <c r="FR16" i="5"/>
  <c r="FQ16" i="5"/>
  <c r="FS16" i="5" s="1"/>
  <c r="FT16" i="5" s="1"/>
  <c r="AQ38" i="5"/>
  <c r="AR38" i="5"/>
  <c r="AQ42" i="5"/>
  <c r="AR42" i="5"/>
  <c r="FR77" i="5"/>
  <c r="FQ77" i="5"/>
  <c r="FS77" i="5" s="1"/>
  <c r="FT77" i="5" s="1"/>
  <c r="AQ93" i="5"/>
  <c r="AR93" i="5"/>
  <c r="FR12" i="5"/>
  <c r="FQ12" i="5"/>
  <c r="FS12" i="5" s="1"/>
  <c r="FT12" i="5" s="1"/>
  <c r="FR87" i="5"/>
  <c r="FQ87" i="5"/>
  <c r="FS87" i="5" s="1"/>
  <c r="FT87" i="5" s="1"/>
  <c r="FR63" i="5"/>
  <c r="FQ63" i="5"/>
  <c r="FS63" i="5" s="1"/>
  <c r="FT63" i="5" s="1"/>
  <c r="FR64" i="5"/>
  <c r="FQ64" i="5"/>
  <c r="FS64" i="5" s="1"/>
  <c r="FT64" i="5" s="1"/>
  <c r="FR11" i="5"/>
  <c r="FQ11" i="5"/>
  <c r="FS11" i="5" s="1"/>
  <c r="FT11" i="5" s="1"/>
  <c r="FQ26" i="5"/>
  <c r="FR26" i="5"/>
  <c r="FR52" i="5"/>
  <c r="FQ52" i="5"/>
  <c r="FS52" i="5" s="1"/>
  <c r="FT52" i="5" s="1"/>
  <c r="FQ35" i="5"/>
  <c r="FR35" i="5"/>
  <c r="FR9" i="5"/>
  <c r="FQ9" i="5"/>
  <c r="FS9" i="5" s="1"/>
  <c r="FT9" i="5" s="1"/>
  <c r="FR15" i="5"/>
  <c r="FQ15" i="5"/>
  <c r="AQ28" i="5"/>
  <c r="AR28" i="5"/>
  <c r="AR68" i="5"/>
  <c r="AQ68" i="5"/>
  <c r="AS68" i="5" s="1"/>
  <c r="AT68" i="5" s="1"/>
  <c r="FR72" i="5"/>
  <c r="FQ72" i="5"/>
  <c r="FS72" i="5" s="1"/>
  <c r="FT72" i="5" s="1"/>
  <c r="FR78" i="5"/>
  <c r="FQ78" i="5"/>
  <c r="FS78" i="5" s="1"/>
  <c r="FT78" i="5" s="1"/>
  <c r="AQ81" i="5"/>
  <c r="AR81" i="5"/>
  <c r="FR84" i="5"/>
  <c r="FQ84" i="5"/>
  <c r="FS84" i="5" s="1"/>
  <c r="FT84" i="5" s="1"/>
  <c r="AR53" i="5"/>
  <c r="AQ53" i="5"/>
  <c r="AS53" i="5" s="1"/>
  <c r="AT53" i="5" s="1"/>
  <c r="AQ65" i="5"/>
  <c r="AR65" i="5"/>
  <c r="FR65" i="5"/>
  <c r="FQ65" i="5"/>
  <c r="FS65" i="5" s="1"/>
  <c r="FT65" i="5" s="1"/>
  <c r="AQ73" i="5"/>
  <c r="AR73" i="5"/>
  <c r="FQ73" i="5"/>
  <c r="FR73" i="5"/>
  <c r="FR83" i="5"/>
  <c r="FQ83" i="5"/>
  <c r="FS83" i="5" s="1"/>
  <c r="FT83" i="5" s="1"/>
  <c r="FR92" i="5"/>
  <c r="FQ92" i="5"/>
  <c r="FS92" i="5" s="1"/>
  <c r="FT92" i="5" s="1"/>
  <c r="FR25" i="5"/>
  <c r="FQ25" i="5"/>
  <c r="FS25" i="5" s="1"/>
  <c r="FT25" i="5" s="1"/>
  <c r="FR8" i="5"/>
  <c r="FQ8" i="5"/>
  <c r="FS8" i="5" s="1"/>
  <c r="FT8" i="5" s="1"/>
  <c r="FR36" i="5"/>
  <c r="FQ36" i="5"/>
  <c r="FS36" i="5" s="1"/>
  <c r="FT36" i="5" s="1"/>
  <c r="FR43" i="5"/>
  <c r="FQ43" i="5"/>
  <c r="FS43" i="5" s="1"/>
  <c r="FT43" i="5" s="1"/>
  <c r="FR51" i="5"/>
  <c r="FQ51" i="5"/>
  <c r="FS51" i="5" s="1"/>
  <c r="FT51" i="5" s="1"/>
  <c r="FR53" i="5"/>
  <c r="FQ53" i="5"/>
  <c r="FS53" i="5" s="1"/>
  <c r="FT53" i="5" s="1"/>
  <c r="FR68" i="5"/>
  <c r="FQ68" i="5"/>
  <c r="FS68" i="5" s="1"/>
  <c r="FT68" i="5" s="1"/>
  <c r="FR81" i="5"/>
  <c r="FQ81" i="5"/>
  <c r="FS81" i="5" s="1"/>
  <c r="FT81" i="5" s="1"/>
  <c r="FR85" i="5"/>
  <c r="FQ85" i="5"/>
  <c r="FS85" i="5" s="1"/>
  <c r="FT85" i="5" s="1"/>
  <c r="FR37" i="5"/>
  <c r="FQ37" i="5"/>
  <c r="FS37" i="5" s="1"/>
  <c r="FT37" i="5" s="1"/>
  <c r="AQ95" i="5"/>
  <c r="AR95" i="5"/>
  <c r="FR95" i="5"/>
  <c r="FQ95" i="5"/>
  <c r="FS95" i="5" s="1"/>
  <c r="FT95" i="5" s="1"/>
  <c r="FR13" i="5"/>
  <c r="FQ13" i="5"/>
  <c r="FS13" i="5" s="1"/>
  <c r="FT13" i="5" s="1"/>
  <c r="FR38" i="5"/>
  <c r="FQ38" i="5"/>
  <c r="FS38" i="5" s="1"/>
  <c r="FT38" i="5" s="1"/>
  <c r="FR41" i="5"/>
  <c r="FQ41" i="5"/>
  <c r="FS41" i="5" s="1"/>
  <c r="FT41" i="5" s="1"/>
  <c r="FR42" i="5"/>
  <c r="FQ42" i="5"/>
  <c r="FS42" i="5" s="1"/>
  <c r="FT42" i="5" s="1"/>
  <c r="AQ43" i="5"/>
  <c r="AR43" i="5"/>
  <c r="FR50" i="5"/>
  <c r="FQ50" i="5"/>
  <c r="FS50" i="5" s="1"/>
  <c r="FT50" i="5" s="1"/>
  <c r="FR80" i="5"/>
  <c r="FQ80" i="5"/>
  <c r="FS80" i="5" s="1"/>
  <c r="FT80" i="5" s="1"/>
  <c r="FR91" i="5"/>
  <c r="FQ91" i="5"/>
  <c r="FS91" i="5" s="1"/>
  <c r="FT91" i="5" s="1"/>
  <c r="FR31" i="5"/>
  <c r="FQ31" i="5"/>
  <c r="FR71" i="5"/>
  <c r="FQ71" i="5"/>
  <c r="FS71" i="5" s="1"/>
  <c r="FT71" i="5" s="1"/>
  <c r="AQ72" i="5"/>
  <c r="AR72" i="5"/>
  <c r="AR79" i="5"/>
  <c r="AQ79" i="5"/>
  <c r="AS79" i="5" s="1"/>
  <c r="AT79" i="5" s="1"/>
  <c r="FR28" i="5"/>
  <c r="FQ28" i="5"/>
  <c r="FS28" i="5" s="1"/>
  <c r="FT28" i="5" s="1"/>
  <c r="FR44" i="5"/>
  <c r="FQ44" i="5"/>
  <c r="FS44" i="5" s="1"/>
  <c r="FT44" i="5" s="1"/>
  <c r="FR67" i="5"/>
  <c r="FQ67" i="5"/>
  <c r="FS67" i="5" s="1"/>
  <c r="FT67" i="5" s="1"/>
  <c r="AU17" i="5"/>
  <c r="AV17" i="5"/>
  <c r="FQ22" i="5"/>
  <c r="FR22" i="5"/>
  <c r="FQ89" i="5"/>
  <c r="FR89" i="5"/>
  <c r="AQ31" i="5"/>
  <c r="AR31" i="5"/>
  <c r="AQ58" i="5"/>
  <c r="AR58" i="5"/>
  <c r="FW30" i="5"/>
  <c r="FX30" i="5" s="1"/>
  <c r="AS24" i="5"/>
  <c r="AT24" i="5" s="1"/>
  <c r="AS45" i="5"/>
  <c r="AT45" i="5" s="1"/>
  <c r="FS70" i="5"/>
  <c r="FT70" i="5" s="1"/>
  <c r="AS77" i="5"/>
  <c r="AT77" i="5" s="1"/>
  <c r="AS88" i="5"/>
  <c r="AT88" i="5" s="1"/>
  <c r="FS45" i="5"/>
  <c r="FT45" i="5" s="1"/>
  <c r="AS55" i="5"/>
  <c r="AT55" i="5" s="1"/>
  <c r="FS94" i="5"/>
  <c r="FT94" i="5" s="1"/>
  <c r="AS18" i="5"/>
  <c r="AT18" i="5" s="1"/>
  <c r="AS36" i="5"/>
  <c r="AT36" i="5" s="1"/>
  <c r="AS19" i="5"/>
  <c r="AT19" i="5" s="1"/>
  <c r="AS20" i="5"/>
  <c r="AT20" i="5" s="1"/>
  <c r="AS26" i="5"/>
  <c r="AT26" i="5" s="1"/>
  <c r="AS30" i="5"/>
  <c r="AT30" i="5" s="1"/>
  <c r="FS86" i="5"/>
  <c r="FT86" i="5" s="1"/>
  <c r="FS18" i="5"/>
  <c r="FT18" i="5" s="1"/>
  <c r="FS21" i="5"/>
  <c r="FT21" i="5" s="1"/>
  <c r="FS33" i="5"/>
  <c r="FT33" i="5" s="1"/>
  <c r="FS47" i="5"/>
  <c r="FT47" i="5" s="1"/>
  <c r="FS58" i="5"/>
  <c r="FT58" i="5" s="1"/>
  <c r="FS74" i="5"/>
  <c r="FT74" i="5" s="1"/>
  <c r="FS19" i="5"/>
  <c r="FT19" i="5" s="1"/>
  <c r="FS32" i="5"/>
  <c r="FT32" i="5" s="1"/>
  <c r="FS46" i="5"/>
  <c r="FT46" i="5" s="1"/>
  <c r="FS55" i="5"/>
  <c r="FT55" i="5" s="1"/>
  <c r="FS60" i="5"/>
  <c r="FT60" i="5" s="1"/>
  <c r="FS88" i="5"/>
  <c r="FT88" i="5" s="1"/>
  <c r="FS20" i="5"/>
  <c r="FT20" i="5" s="1"/>
  <c r="FS34" i="5"/>
  <c r="FT34" i="5" s="1"/>
  <c r="FS54" i="5"/>
  <c r="FT54" i="5" s="1"/>
  <c r="FS56" i="5"/>
  <c r="FT56" i="5" s="1"/>
  <c r="FS59" i="5"/>
  <c r="FT59" i="5" s="1"/>
  <c r="FS75" i="5"/>
  <c r="FT75" i="5" s="1"/>
  <c r="FS93" i="5"/>
  <c r="FT93" i="5" s="1"/>
  <c r="FS69" i="5"/>
  <c r="FT69" i="5" s="1"/>
  <c r="FS40" i="5"/>
  <c r="FT40" i="5" s="1"/>
  <c r="AO74" i="5"/>
  <c r="AP74" i="5" s="1"/>
  <c r="AO71" i="5"/>
  <c r="AP71" i="5" s="1"/>
  <c r="AO8" i="5"/>
  <c r="AP8" i="5" s="1"/>
  <c r="AO44" i="5"/>
  <c r="AP44" i="5" s="1"/>
  <c r="FO23" i="5"/>
  <c r="FP23" i="5" s="1"/>
  <c r="FO29" i="5"/>
  <c r="FP29" i="5" s="1"/>
  <c r="AO9" i="5"/>
  <c r="AP9" i="5" s="1"/>
  <c r="AO78" i="5"/>
  <c r="AP78" i="5" s="1"/>
  <c r="AO92" i="5"/>
  <c r="AP92" i="5" s="1"/>
  <c r="AO41" i="5"/>
  <c r="AP41" i="5" s="1"/>
  <c r="AO50" i="5"/>
  <c r="AP50" i="5" s="1"/>
  <c r="AO54" i="5"/>
  <c r="AP54" i="5" s="1"/>
  <c r="AO64" i="5"/>
  <c r="AP64" i="5" s="1"/>
  <c r="AO70" i="5"/>
  <c r="AP70" i="5" s="1"/>
  <c r="AO13" i="5"/>
  <c r="AP13" i="5" s="1"/>
  <c r="AO14" i="5"/>
  <c r="AP14" i="5" s="1"/>
  <c r="AO87" i="5"/>
  <c r="AP87" i="5" s="1"/>
  <c r="AO91" i="5"/>
  <c r="AP91" i="5" s="1"/>
  <c r="AO94" i="5"/>
  <c r="AP94" i="5" s="1"/>
  <c r="AO52" i="5"/>
  <c r="AP52" i="5" s="1"/>
  <c r="AO69" i="5"/>
  <c r="AP69" i="5" s="1"/>
  <c r="AO82" i="5"/>
  <c r="AP82" i="5" s="1"/>
  <c r="AO83" i="5"/>
  <c r="AP83" i="5" s="1"/>
  <c r="AO16" i="5"/>
  <c r="AP16" i="5" s="1"/>
  <c r="AO23" i="5"/>
  <c r="AP23" i="5" s="1"/>
  <c r="AO80" i="5"/>
  <c r="AP80" i="5" s="1"/>
  <c r="AO63" i="5"/>
  <c r="AP63" i="5" s="1"/>
  <c r="FS66" i="5" l="1"/>
  <c r="FT66" i="5" s="1"/>
  <c r="AW60" i="5"/>
  <c r="AX60" i="5" s="1"/>
  <c r="FS73" i="5"/>
  <c r="FT73" i="5" s="1"/>
  <c r="R36" i="6"/>
  <c r="FS15" i="5"/>
  <c r="FT15" i="5" s="1"/>
  <c r="FS31" i="5"/>
  <c r="FT31" i="5" s="1"/>
  <c r="AS31" i="5"/>
  <c r="AT31" i="5" s="1"/>
  <c r="AV51" i="5"/>
  <c r="AU51" i="5"/>
  <c r="AW51" i="5" s="1"/>
  <c r="AX51" i="5" s="1"/>
  <c r="AV66" i="5"/>
  <c r="AU66" i="5"/>
  <c r="AW66" i="5" s="1"/>
  <c r="AX66" i="5" s="1"/>
  <c r="FV76" i="5"/>
  <c r="FU76" i="5"/>
  <c r="FW76" i="5" s="1"/>
  <c r="FX76" i="5" s="1"/>
  <c r="BD29" i="5"/>
  <c r="BC29" i="5"/>
  <c r="BE29" i="5" s="1"/>
  <c r="BF29" i="5" s="1"/>
  <c r="AZ21" i="5"/>
  <c r="AY21" i="5"/>
  <c r="BA21" i="5" s="1"/>
  <c r="BB21" i="5" s="1"/>
  <c r="AZ32" i="5"/>
  <c r="AY32" i="5"/>
  <c r="BA32" i="5" s="1"/>
  <c r="BB32" i="5" s="1"/>
  <c r="AZ33" i="5"/>
  <c r="AY33" i="5"/>
  <c r="BA33" i="5" s="1"/>
  <c r="BB33" i="5" s="1"/>
  <c r="AZ34" i="5"/>
  <c r="AY34" i="5"/>
  <c r="BA34" i="5" s="1"/>
  <c r="BB34" i="5" s="1"/>
  <c r="AZ46" i="5"/>
  <c r="AY46" i="5"/>
  <c r="BA46" i="5" s="1"/>
  <c r="BB46" i="5" s="1"/>
  <c r="AZ47" i="5"/>
  <c r="AY47" i="5"/>
  <c r="BA47" i="5" s="1"/>
  <c r="BB47" i="5" s="1"/>
  <c r="AZ48" i="5"/>
  <c r="AY48" i="5"/>
  <c r="BA48" i="5" s="1"/>
  <c r="BB48" i="5" s="1"/>
  <c r="AZ56" i="5"/>
  <c r="AY56" i="5"/>
  <c r="BA56" i="5" s="1"/>
  <c r="BB56" i="5" s="1"/>
  <c r="AZ57" i="5"/>
  <c r="AY57" i="5"/>
  <c r="BA57" i="5" s="1"/>
  <c r="BB57" i="5" s="1"/>
  <c r="AZ59" i="5"/>
  <c r="AY59" i="5"/>
  <c r="BA59" i="5" s="1"/>
  <c r="BB59" i="5" s="1"/>
  <c r="AZ75" i="5"/>
  <c r="AY75" i="5"/>
  <c r="BA75" i="5" s="1"/>
  <c r="BB75" i="5" s="1"/>
  <c r="AZ76" i="5"/>
  <c r="AY76" i="5"/>
  <c r="BA76" i="5" s="1"/>
  <c r="BB76" i="5" s="1"/>
  <c r="AZ89" i="5"/>
  <c r="AY89" i="5"/>
  <c r="BA89" i="5" s="1"/>
  <c r="BB89" i="5" s="1"/>
  <c r="AZ66" i="5"/>
  <c r="AY66" i="5"/>
  <c r="BA66" i="5" s="1"/>
  <c r="BB66" i="5" s="1"/>
  <c r="AZ67" i="5"/>
  <c r="AY67" i="5"/>
  <c r="BA67" i="5" s="1"/>
  <c r="BB67" i="5" s="1"/>
  <c r="AZ39" i="5"/>
  <c r="AY39" i="5"/>
  <c r="BA39" i="5" s="1"/>
  <c r="BB39" i="5" s="1"/>
  <c r="AZ35" i="5"/>
  <c r="AY35" i="5"/>
  <c r="BA35" i="5" s="1"/>
  <c r="BB35" i="5" s="1"/>
  <c r="AZ61" i="5"/>
  <c r="AY61" i="5"/>
  <c r="BA61" i="5" s="1"/>
  <c r="BB61" i="5" s="1"/>
  <c r="AZ96" i="5"/>
  <c r="AY96" i="5"/>
  <c r="BA96" i="5" s="1"/>
  <c r="BB96" i="5" s="1"/>
  <c r="FZ48" i="5"/>
  <c r="FY48" i="5"/>
  <c r="GA48" i="5" s="1"/>
  <c r="GB48" i="5" s="1"/>
  <c r="AZ49" i="5"/>
  <c r="AY49" i="5"/>
  <c r="BA49" i="5" s="1"/>
  <c r="BB49" i="5" s="1"/>
  <c r="FZ61" i="5"/>
  <c r="FY61" i="5"/>
  <c r="GA61" i="5" s="1"/>
  <c r="GB61" i="5" s="1"/>
  <c r="AZ62" i="5"/>
  <c r="AY62" i="5"/>
  <c r="BA62" i="5" s="1"/>
  <c r="BB62" i="5" s="1"/>
  <c r="FZ62" i="5"/>
  <c r="FY62" i="5"/>
  <c r="FZ76" i="5"/>
  <c r="FY76" i="5"/>
  <c r="GA76" i="5" s="1"/>
  <c r="GB76" i="5" s="1"/>
  <c r="AZ90" i="5"/>
  <c r="AY90" i="5"/>
  <c r="FZ90" i="5"/>
  <c r="FY90" i="5"/>
  <c r="GA90" i="5" s="1"/>
  <c r="GB90" i="5" s="1"/>
  <c r="FZ96" i="5"/>
  <c r="FY96" i="5"/>
  <c r="GA96" i="5" s="1"/>
  <c r="GB96" i="5" s="1"/>
  <c r="FY49" i="5"/>
  <c r="FZ49" i="5"/>
  <c r="AZ10" i="5"/>
  <c r="AY10" i="5"/>
  <c r="BA10" i="5" s="1"/>
  <c r="BB10" i="5" s="1"/>
  <c r="AZ37" i="5"/>
  <c r="AY37" i="5"/>
  <c r="BA37" i="5" s="1"/>
  <c r="BB37" i="5" s="1"/>
  <c r="C21" i="7"/>
  <c r="T23" i="6"/>
  <c r="P23" i="6"/>
  <c r="Q23" i="6"/>
  <c r="N23" i="6"/>
  <c r="Q24" i="6"/>
  <c r="N24" i="6"/>
  <c r="C15" i="7"/>
  <c r="T24" i="6"/>
  <c r="P24" i="6"/>
  <c r="C10" i="7"/>
  <c r="T27" i="6"/>
  <c r="P27" i="6"/>
  <c r="Q27" i="6"/>
  <c r="N27" i="6"/>
  <c r="P25" i="6"/>
  <c r="T25" i="6"/>
  <c r="C22" i="7"/>
  <c r="N25" i="6"/>
  <c r="Q25" i="6"/>
  <c r="P26" i="6"/>
  <c r="T26" i="6"/>
  <c r="C26" i="7"/>
  <c r="N26" i="6"/>
  <c r="Q26" i="6"/>
  <c r="P15" i="6"/>
  <c r="T15" i="6"/>
  <c r="C37" i="7"/>
  <c r="N15" i="6"/>
  <c r="Q15" i="6"/>
  <c r="P31" i="6"/>
  <c r="T31" i="6"/>
  <c r="C32" i="7"/>
  <c r="N31" i="6"/>
  <c r="Q31" i="6"/>
  <c r="P35" i="6"/>
  <c r="T35" i="6"/>
  <c r="C23" i="7"/>
  <c r="N35" i="6"/>
  <c r="Q35" i="6"/>
  <c r="P20" i="6"/>
  <c r="T20" i="6"/>
  <c r="C34" i="7"/>
  <c r="N20" i="6"/>
  <c r="Q20" i="6"/>
  <c r="P33" i="6"/>
  <c r="T33" i="6"/>
  <c r="C35" i="7"/>
  <c r="N33" i="6"/>
  <c r="Q33" i="6"/>
  <c r="P30" i="6"/>
  <c r="T30" i="6"/>
  <c r="C11" i="7"/>
  <c r="N30" i="6"/>
  <c r="Q30" i="6"/>
  <c r="N9" i="6"/>
  <c r="Q9" i="6"/>
  <c r="P9" i="6"/>
  <c r="T9" i="6"/>
  <c r="C18" i="7"/>
  <c r="T10" i="6"/>
  <c r="P10" i="6"/>
  <c r="C8" i="7"/>
  <c r="Q10" i="6"/>
  <c r="N10" i="6"/>
  <c r="C19" i="7"/>
  <c r="T11" i="6"/>
  <c r="P11" i="6"/>
  <c r="Q11" i="6"/>
  <c r="N11" i="6"/>
  <c r="Q37" i="6"/>
  <c r="N37" i="6"/>
  <c r="C17" i="7"/>
  <c r="T37" i="6"/>
  <c r="P37" i="6"/>
  <c r="P29" i="6"/>
  <c r="T29" i="6"/>
  <c r="C16" i="7"/>
  <c r="N29" i="6"/>
  <c r="Q29" i="6"/>
  <c r="Q17" i="6"/>
  <c r="N17" i="6"/>
  <c r="C30" i="7"/>
  <c r="T17" i="6"/>
  <c r="P17" i="6"/>
  <c r="N13" i="6"/>
  <c r="Q13" i="6"/>
  <c r="P13" i="6"/>
  <c r="T13" i="6"/>
  <c r="C36" i="7"/>
  <c r="Q12" i="6"/>
  <c r="N12" i="6"/>
  <c r="C20" i="7"/>
  <c r="T12" i="6"/>
  <c r="P12" i="6"/>
  <c r="Q14" i="6"/>
  <c r="N14" i="6"/>
  <c r="C28" i="7"/>
  <c r="T14" i="6"/>
  <c r="P14" i="6"/>
  <c r="T16" i="6"/>
  <c r="P16" i="6"/>
  <c r="C9" i="7"/>
  <c r="Q16" i="6"/>
  <c r="N16" i="6"/>
  <c r="C31" i="7"/>
  <c r="T21" i="6"/>
  <c r="P21" i="6"/>
  <c r="Q21" i="6"/>
  <c r="N21" i="6"/>
  <c r="C25" i="7"/>
  <c r="T22" i="6"/>
  <c r="P22" i="6"/>
  <c r="Q22" i="6"/>
  <c r="N22" i="6"/>
  <c r="Q28" i="6"/>
  <c r="N28" i="6"/>
  <c r="C12" i="7"/>
  <c r="T28" i="6"/>
  <c r="P28" i="6"/>
  <c r="Q32" i="6"/>
  <c r="N32" i="6"/>
  <c r="C33" i="7"/>
  <c r="T32" i="6"/>
  <c r="P32" i="6"/>
  <c r="C29" i="7"/>
  <c r="T18" i="6"/>
  <c r="P18" i="6"/>
  <c r="Q18" i="6"/>
  <c r="N18" i="6"/>
  <c r="Q19" i="6"/>
  <c r="N19" i="6"/>
  <c r="C24" i="7"/>
  <c r="T19" i="6"/>
  <c r="P19" i="6"/>
  <c r="Q34" i="6"/>
  <c r="N34" i="6"/>
  <c r="C13" i="7"/>
  <c r="T34" i="6"/>
  <c r="P34" i="6"/>
  <c r="Q36" i="6"/>
  <c r="N36" i="6"/>
  <c r="C27" i="7"/>
  <c r="T36" i="6"/>
  <c r="P36" i="6"/>
  <c r="P8" i="6"/>
  <c r="T8" i="6"/>
  <c r="C14" i="7"/>
  <c r="K38" i="6"/>
  <c r="B15" i="19" s="1"/>
  <c r="C15" i="19" s="1"/>
  <c r="N8" i="6"/>
  <c r="Q8" i="6"/>
  <c r="AU11" i="5"/>
  <c r="AV11" i="5"/>
  <c r="FU24" i="5"/>
  <c r="FV24" i="5"/>
  <c r="AV40" i="5"/>
  <c r="AU40" i="5"/>
  <c r="AW40" i="5" s="1"/>
  <c r="AX40" i="5" s="1"/>
  <c r="AV85" i="5"/>
  <c r="AU85" i="5"/>
  <c r="AW85" i="5" s="1"/>
  <c r="AX85" i="5" s="1"/>
  <c r="AV12" i="5"/>
  <c r="AU12" i="5"/>
  <c r="AW12" i="5" s="1"/>
  <c r="AX12" i="5" s="1"/>
  <c r="AV15" i="5"/>
  <c r="AU15" i="5"/>
  <c r="AW15" i="5" s="1"/>
  <c r="AX15" i="5" s="1"/>
  <c r="AV22" i="5"/>
  <c r="AU22" i="5"/>
  <c r="AW22" i="5" s="1"/>
  <c r="AX22" i="5" s="1"/>
  <c r="FY14" i="5"/>
  <c r="FZ14" i="5"/>
  <c r="FV79" i="5"/>
  <c r="FU79" i="5"/>
  <c r="FW79" i="5" s="1"/>
  <c r="FX79" i="5" s="1"/>
  <c r="FU16" i="5"/>
  <c r="FV16" i="5"/>
  <c r="FU77" i="5"/>
  <c r="FV77" i="5"/>
  <c r="FU12" i="5"/>
  <c r="FV12" i="5"/>
  <c r="FU87" i="5"/>
  <c r="FV87" i="5"/>
  <c r="FU63" i="5"/>
  <c r="FV63" i="5"/>
  <c r="FU64" i="5"/>
  <c r="FV64" i="5"/>
  <c r="FU11" i="5"/>
  <c r="FV11" i="5"/>
  <c r="FU52" i="5"/>
  <c r="FV52" i="5"/>
  <c r="FU9" i="5"/>
  <c r="FV9" i="5"/>
  <c r="FU15" i="5"/>
  <c r="FV15" i="5"/>
  <c r="AV68" i="5"/>
  <c r="AU68" i="5"/>
  <c r="AW68" i="5" s="1"/>
  <c r="AX68" i="5" s="1"/>
  <c r="FU72" i="5"/>
  <c r="FV72" i="5"/>
  <c r="FU78" i="5"/>
  <c r="FV78" i="5"/>
  <c r="FU84" i="5"/>
  <c r="FV84" i="5"/>
  <c r="AV53" i="5"/>
  <c r="AU53" i="5"/>
  <c r="AW53" i="5" s="1"/>
  <c r="AX53" i="5" s="1"/>
  <c r="FU65" i="5"/>
  <c r="FV65" i="5"/>
  <c r="FU73" i="5"/>
  <c r="FV73" i="5"/>
  <c r="FU83" i="5"/>
  <c r="FV83" i="5"/>
  <c r="FU92" i="5"/>
  <c r="FV92" i="5"/>
  <c r="FV25" i="5"/>
  <c r="FU25" i="5"/>
  <c r="FW25" i="5" s="1"/>
  <c r="FX25" i="5" s="1"/>
  <c r="FV8" i="5"/>
  <c r="FU8" i="5"/>
  <c r="FW8" i="5" s="1"/>
  <c r="FX8" i="5" s="1"/>
  <c r="FV36" i="5"/>
  <c r="FU36" i="5"/>
  <c r="FW36" i="5" s="1"/>
  <c r="FX36" i="5" s="1"/>
  <c r="FU43" i="5"/>
  <c r="FV43" i="5"/>
  <c r="FU51" i="5"/>
  <c r="FV51" i="5"/>
  <c r="FU53" i="5"/>
  <c r="FV53" i="5"/>
  <c r="FU68" i="5"/>
  <c r="FV68" i="5"/>
  <c r="FV81" i="5"/>
  <c r="FU81" i="5"/>
  <c r="FW81" i="5" s="1"/>
  <c r="FX81" i="5" s="1"/>
  <c r="FU85" i="5"/>
  <c r="FV85" i="5"/>
  <c r="FU37" i="5"/>
  <c r="FV37" i="5"/>
  <c r="FU95" i="5"/>
  <c r="FV95" i="5"/>
  <c r="FV13" i="5"/>
  <c r="FU13" i="5"/>
  <c r="FW13" i="5" s="1"/>
  <c r="FX13" i="5" s="1"/>
  <c r="FU38" i="5"/>
  <c r="FV38" i="5"/>
  <c r="FU41" i="5"/>
  <c r="FV41" i="5"/>
  <c r="FU42" i="5"/>
  <c r="FV42" i="5"/>
  <c r="FU50" i="5"/>
  <c r="FV50" i="5"/>
  <c r="FU80" i="5"/>
  <c r="FV80" i="5"/>
  <c r="FU91" i="5"/>
  <c r="FV91" i="5"/>
  <c r="FU31" i="5"/>
  <c r="FV31" i="5"/>
  <c r="FU71" i="5"/>
  <c r="FV71" i="5"/>
  <c r="AV79" i="5"/>
  <c r="AU79" i="5"/>
  <c r="AW79" i="5" s="1"/>
  <c r="AX79" i="5" s="1"/>
  <c r="FU28" i="5"/>
  <c r="FV28" i="5"/>
  <c r="FU44" i="5"/>
  <c r="FV44" i="5"/>
  <c r="FU67" i="5"/>
  <c r="FV67" i="5"/>
  <c r="AV31" i="5"/>
  <c r="AU31" i="5"/>
  <c r="AW31" i="5" s="1"/>
  <c r="AX31" i="5" s="1"/>
  <c r="FZ30" i="5"/>
  <c r="FY30" i="5"/>
  <c r="GA30" i="5" s="1"/>
  <c r="GB30" i="5" s="1"/>
  <c r="AU24" i="5"/>
  <c r="AV24" i="5"/>
  <c r="AU45" i="5"/>
  <c r="AV45" i="5"/>
  <c r="FV70" i="5"/>
  <c r="FU70" i="5"/>
  <c r="FW70" i="5" s="1"/>
  <c r="FX70" i="5" s="1"/>
  <c r="AU77" i="5"/>
  <c r="AV77" i="5"/>
  <c r="AU88" i="5"/>
  <c r="AV88" i="5"/>
  <c r="FV45" i="5"/>
  <c r="FU45" i="5"/>
  <c r="FW45" i="5" s="1"/>
  <c r="FX45" i="5" s="1"/>
  <c r="AU55" i="5"/>
  <c r="AV55" i="5"/>
  <c r="FV94" i="5"/>
  <c r="FU94" i="5"/>
  <c r="FW94" i="5" s="1"/>
  <c r="FX94" i="5" s="1"/>
  <c r="AU18" i="5"/>
  <c r="AV18" i="5"/>
  <c r="AU36" i="5"/>
  <c r="AV36" i="5"/>
  <c r="AU19" i="5"/>
  <c r="AV19" i="5"/>
  <c r="AU20" i="5"/>
  <c r="AV20" i="5"/>
  <c r="AV26" i="5"/>
  <c r="AU26" i="5"/>
  <c r="AW26" i="5" s="1"/>
  <c r="AX26" i="5" s="1"/>
  <c r="AV30" i="5"/>
  <c r="AU30" i="5"/>
  <c r="AW30" i="5" s="1"/>
  <c r="AX30" i="5" s="1"/>
  <c r="FV86" i="5"/>
  <c r="FU86" i="5"/>
  <c r="FW86" i="5" s="1"/>
  <c r="FX86" i="5" s="1"/>
  <c r="FV18" i="5"/>
  <c r="FU18" i="5"/>
  <c r="FW18" i="5" s="1"/>
  <c r="FX18" i="5" s="1"/>
  <c r="FV21" i="5"/>
  <c r="FU21" i="5"/>
  <c r="FW21" i="5" s="1"/>
  <c r="FX21" i="5" s="1"/>
  <c r="FV33" i="5"/>
  <c r="FU33" i="5"/>
  <c r="FW33" i="5" s="1"/>
  <c r="FX33" i="5" s="1"/>
  <c r="FV47" i="5"/>
  <c r="FU47" i="5"/>
  <c r="FW47" i="5" s="1"/>
  <c r="FX47" i="5" s="1"/>
  <c r="FV58" i="5"/>
  <c r="FU58" i="5"/>
  <c r="FW58" i="5" s="1"/>
  <c r="FX58" i="5" s="1"/>
  <c r="FV74" i="5"/>
  <c r="FU74" i="5"/>
  <c r="FW74" i="5" s="1"/>
  <c r="FX74" i="5" s="1"/>
  <c r="FV19" i="5"/>
  <c r="FU19" i="5"/>
  <c r="FW19" i="5" s="1"/>
  <c r="FX19" i="5" s="1"/>
  <c r="FV32" i="5"/>
  <c r="FU32" i="5"/>
  <c r="FW32" i="5" s="1"/>
  <c r="FX32" i="5" s="1"/>
  <c r="FV46" i="5"/>
  <c r="FU46" i="5"/>
  <c r="FW46" i="5" s="1"/>
  <c r="FX46" i="5" s="1"/>
  <c r="FV55" i="5"/>
  <c r="FU55" i="5"/>
  <c r="FW55" i="5" s="1"/>
  <c r="FX55" i="5" s="1"/>
  <c r="FV60" i="5"/>
  <c r="FU60" i="5"/>
  <c r="FW60" i="5" s="1"/>
  <c r="FX60" i="5" s="1"/>
  <c r="FV88" i="5"/>
  <c r="FU88" i="5"/>
  <c r="FW88" i="5" s="1"/>
  <c r="FX88" i="5" s="1"/>
  <c r="FV20" i="5"/>
  <c r="FU20" i="5"/>
  <c r="FW20" i="5" s="1"/>
  <c r="FX20" i="5" s="1"/>
  <c r="FU34" i="5"/>
  <c r="FV34" i="5"/>
  <c r="FV54" i="5"/>
  <c r="FU54" i="5"/>
  <c r="FW54" i="5" s="1"/>
  <c r="FX54" i="5" s="1"/>
  <c r="FV56" i="5"/>
  <c r="FU56" i="5"/>
  <c r="FW56" i="5" s="1"/>
  <c r="FX56" i="5" s="1"/>
  <c r="FV59" i="5"/>
  <c r="FU59" i="5"/>
  <c r="FW59" i="5" s="1"/>
  <c r="FX59" i="5" s="1"/>
  <c r="FV75" i="5"/>
  <c r="FU75" i="5"/>
  <c r="FW75" i="5" s="1"/>
  <c r="FX75" i="5" s="1"/>
  <c r="FV93" i="5"/>
  <c r="FU93" i="5"/>
  <c r="FW93" i="5" s="1"/>
  <c r="FX93" i="5" s="1"/>
  <c r="FV69" i="5"/>
  <c r="FU69" i="5"/>
  <c r="FW69" i="5" s="1"/>
  <c r="FX69" i="5" s="1"/>
  <c r="FV40" i="5"/>
  <c r="FU40" i="5"/>
  <c r="FW40" i="5" s="1"/>
  <c r="FX40" i="5" s="1"/>
  <c r="AR74" i="5"/>
  <c r="AQ74" i="5"/>
  <c r="AS74" i="5" s="1"/>
  <c r="AT74" i="5" s="1"/>
  <c r="AQ71" i="5"/>
  <c r="AR71" i="5"/>
  <c r="AQ8" i="5"/>
  <c r="AR8" i="5"/>
  <c r="AR44" i="5"/>
  <c r="AQ44" i="5"/>
  <c r="AS44" i="5" s="1"/>
  <c r="AT44" i="5" s="1"/>
  <c r="FR23" i="5"/>
  <c r="FQ23" i="5"/>
  <c r="FS23" i="5" s="1"/>
  <c r="FT23" i="5" s="1"/>
  <c r="FR29" i="5"/>
  <c r="FQ29" i="5"/>
  <c r="FS29" i="5" s="1"/>
  <c r="FT29" i="5" s="1"/>
  <c r="AQ9" i="5"/>
  <c r="AR9" i="5"/>
  <c r="AQ78" i="5"/>
  <c r="AR78" i="5"/>
  <c r="AQ92" i="5"/>
  <c r="AR92" i="5"/>
  <c r="AR41" i="5"/>
  <c r="AQ41" i="5"/>
  <c r="AS41" i="5" s="1"/>
  <c r="AT41" i="5" s="1"/>
  <c r="AQ50" i="5"/>
  <c r="AR50" i="5"/>
  <c r="AQ54" i="5"/>
  <c r="AR54" i="5"/>
  <c r="AQ64" i="5"/>
  <c r="AR64" i="5"/>
  <c r="AQ70" i="5"/>
  <c r="AR70" i="5"/>
  <c r="AQ13" i="5"/>
  <c r="AR13" i="5"/>
  <c r="AQ14" i="5"/>
  <c r="AR14" i="5"/>
  <c r="AQ87" i="5"/>
  <c r="AR87" i="5"/>
  <c r="AQ91" i="5"/>
  <c r="AR91" i="5"/>
  <c r="AQ94" i="5"/>
  <c r="AR94" i="5"/>
  <c r="AQ52" i="5"/>
  <c r="AR52" i="5"/>
  <c r="AQ69" i="5"/>
  <c r="AR69" i="5"/>
  <c r="AQ82" i="5"/>
  <c r="AR82" i="5"/>
  <c r="AQ83" i="5"/>
  <c r="AR83" i="5"/>
  <c r="AQ16" i="5"/>
  <c r="AR16" i="5"/>
  <c r="AQ23" i="5"/>
  <c r="AR23" i="5"/>
  <c r="AQ80" i="5"/>
  <c r="AR80" i="5"/>
  <c r="AQ63" i="5"/>
  <c r="AR63" i="5"/>
  <c r="AW84" i="5"/>
  <c r="AX84" i="5" s="1"/>
  <c r="AW86" i="5"/>
  <c r="AX86" i="5" s="1"/>
  <c r="AW25" i="5"/>
  <c r="AX25" i="5" s="1"/>
  <c r="FW27" i="5"/>
  <c r="FX27" i="5" s="1"/>
  <c r="FW57" i="5"/>
  <c r="FX57" i="5" s="1"/>
  <c r="FW82" i="5"/>
  <c r="FX82" i="5" s="1"/>
  <c r="R24" i="6"/>
  <c r="R25" i="6"/>
  <c r="R26" i="6"/>
  <c r="R15" i="6"/>
  <c r="R31" i="6"/>
  <c r="R35" i="6"/>
  <c r="R20" i="6"/>
  <c r="R33" i="6"/>
  <c r="R30" i="6"/>
  <c r="R9" i="6"/>
  <c r="R10" i="6"/>
  <c r="R11" i="6"/>
  <c r="FS35" i="5"/>
  <c r="FT35" i="5" s="1"/>
  <c r="R29" i="6"/>
  <c r="R17" i="6"/>
  <c r="R16" i="6"/>
  <c r="R21" i="6"/>
  <c r="R22" i="6"/>
  <c r="R28" i="6"/>
  <c r="R8" i="6"/>
  <c r="FS10" i="5"/>
  <c r="FT10" i="5" s="1"/>
  <c r="R19" i="6"/>
  <c r="AS27" i="5"/>
  <c r="AT27" i="5" s="1"/>
  <c r="FS17" i="5"/>
  <c r="FT17" i="5" s="1"/>
  <c r="FS39" i="5"/>
  <c r="FT39" i="5" s="1"/>
  <c r="AS38" i="5"/>
  <c r="AT38" i="5" s="1"/>
  <c r="AS42" i="5"/>
  <c r="AT42" i="5" s="1"/>
  <c r="AS73" i="5"/>
  <c r="AT73" i="5" s="1"/>
  <c r="AS93" i="5"/>
  <c r="AT93" i="5" s="1"/>
  <c r="FS26" i="5"/>
  <c r="FT26" i="5" s="1"/>
  <c r="AS28" i="5"/>
  <c r="AT28" i="5" s="1"/>
  <c r="AS81" i="5"/>
  <c r="AT81" i="5" s="1"/>
  <c r="AS65" i="5"/>
  <c r="AT65" i="5" s="1"/>
  <c r="AS95" i="5"/>
  <c r="AT95" i="5" s="1"/>
  <c r="AS43" i="5"/>
  <c r="AT43" i="5" s="1"/>
  <c r="AS72" i="5"/>
  <c r="AT72" i="5" s="1"/>
  <c r="AW17" i="5"/>
  <c r="AX17" i="5" s="1"/>
  <c r="FS22" i="5"/>
  <c r="FT22" i="5" s="1"/>
  <c r="FS89" i="5"/>
  <c r="FT89" i="5" s="1"/>
  <c r="AS58" i="5"/>
  <c r="AT58" i="5" s="1"/>
  <c r="R37" i="6"/>
  <c r="R32" i="6"/>
  <c r="R23" i="6"/>
  <c r="R13" i="6"/>
  <c r="R12" i="6"/>
  <c r="R14" i="6"/>
  <c r="R34" i="6"/>
  <c r="R27" i="6"/>
  <c r="R18" i="6"/>
  <c r="FV66" i="5" l="1"/>
  <c r="FU66" i="5"/>
  <c r="FW66" i="5" s="1"/>
  <c r="FX66" i="5" s="1"/>
  <c r="BA90" i="5"/>
  <c r="BB90" i="5" s="1"/>
  <c r="FW51" i="5"/>
  <c r="FX51" i="5" s="1"/>
  <c r="FW91" i="5"/>
  <c r="FX91" i="5" s="1"/>
  <c r="AW88" i="5"/>
  <c r="AX88" i="5" s="1"/>
  <c r="AS82" i="5"/>
  <c r="AT82" i="5" s="1"/>
  <c r="AZ60" i="5"/>
  <c r="AY60" i="5"/>
  <c r="BA60" i="5" s="1"/>
  <c r="BB60" i="5" s="1"/>
  <c r="AZ51" i="5"/>
  <c r="AY51" i="5"/>
  <c r="BA51" i="5" s="1"/>
  <c r="BB51" i="5" s="1"/>
  <c r="BH29" i="5"/>
  <c r="BG29" i="5"/>
  <c r="BI29" i="5" s="1"/>
  <c r="BJ29" i="5" s="1"/>
  <c r="BD21" i="5"/>
  <c r="BC21" i="5"/>
  <c r="BE21" i="5" s="1"/>
  <c r="BF21" i="5" s="1"/>
  <c r="BD32" i="5"/>
  <c r="BC32" i="5"/>
  <c r="BE32" i="5" s="1"/>
  <c r="BF32" i="5" s="1"/>
  <c r="BD33" i="5"/>
  <c r="BC33" i="5"/>
  <c r="BE33" i="5" s="1"/>
  <c r="BF33" i="5" s="1"/>
  <c r="BD34" i="5"/>
  <c r="BC34" i="5"/>
  <c r="BE34" i="5" s="1"/>
  <c r="BF34" i="5" s="1"/>
  <c r="BD46" i="5"/>
  <c r="BC46" i="5"/>
  <c r="BE46" i="5" s="1"/>
  <c r="BF46" i="5" s="1"/>
  <c r="BD47" i="5"/>
  <c r="BC47" i="5"/>
  <c r="BE47" i="5" s="1"/>
  <c r="BF47" i="5" s="1"/>
  <c r="BD48" i="5"/>
  <c r="BC48" i="5"/>
  <c r="BE48" i="5" s="1"/>
  <c r="BF48" i="5" s="1"/>
  <c r="BD56" i="5"/>
  <c r="BC56" i="5"/>
  <c r="BE56" i="5" s="1"/>
  <c r="BF56" i="5" s="1"/>
  <c r="BD57" i="5"/>
  <c r="BC57" i="5"/>
  <c r="BE57" i="5" s="1"/>
  <c r="BF57" i="5" s="1"/>
  <c r="BD59" i="5"/>
  <c r="BC59" i="5"/>
  <c r="BE59" i="5" s="1"/>
  <c r="BF59" i="5" s="1"/>
  <c r="BD51" i="5"/>
  <c r="BC51" i="5"/>
  <c r="BE51" i="5" s="1"/>
  <c r="BF51" i="5" s="1"/>
  <c r="BD75" i="5"/>
  <c r="BC75" i="5"/>
  <c r="BE75" i="5" s="1"/>
  <c r="BF75" i="5" s="1"/>
  <c r="BD76" i="5"/>
  <c r="BC76" i="5"/>
  <c r="BE76" i="5" s="1"/>
  <c r="BF76" i="5" s="1"/>
  <c r="BD89" i="5"/>
  <c r="BC89" i="5"/>
  <c r="BE89" i="5" s="1"/>
  <c r="BF89" i="5" s="1"/>
  <c r="BD66" i="5"/>
  <c r="BC66" i="5"/>
  <c r="BE66" i="5" s="1"/>
  <c r="BF66" i="5" s="1"/>
  <c r="BD67" i="5"/>
  <c r="BC67" i="5"/>
  <c r="BE67" i="5" s="1"/>
  <c r="BF67" i="5" s="1"/>
  <c r="BD39" i="5"/>
  <c r="BC39" i="5"/>
  <c r="BE39" i="5" s="1"/>
  <c r="BF39" i="5" s="1"/>
  <c r="BD35" i="5"/>
  <c r="BC35" i="5"/>
  <c r="BE35" i="5" s="1"/>
  <c r="BF35" i="5" s="1"/>
  <c r="BD61" i="5"/>
  <c r="BC61" i="5"/>
  <c r="BE61" i="5" s="1"/>
  <c r="BF61" i="5" s="1"/>
  <c r="BD96" i="5"/>
  <c r="BC96" i="5"/>
  <c r="BE96" i="5" s="1"/>
  <c r="BF96" i="5" s="1"/>
  <c r="GD48" i="5"/>
  <c r="GC48" i="5"/>
  <c r="GE48" i="5" s="1"/>
  <c r="GF48" i="5" s="1"/>
  <c r="BD49" i="5"/>
  <c r="BC49" i="5"/>
  <c r="BE49" i="5" s="1"/>
  <c r="BF49" i="5" s="1"/>
  <c r="GD61" i="5"/>
  <c r="GC61" i="5"/>
  <c r="GE61" i="5" s="1"/>
  <c r="GF61" i="5" s="1"/>
  <c r="BD62" i="5"/>
  <c r="BC62" i="5"/>
  <c r="BE62" i="5" s="1"/>
  <c r="BF62" i="5" s="1"/>
  <c r="GD76" i="5"/>
  <c r="GC76" i="5"/>
  <c r="GE76" i="5" s="1"/>
  <c r="GF76" i="5" s="1"/>
  <c r="BD90" i="5"/>
  <c r="BC90" i="5"/>
  <c r="BE90" i="5" s="1"/>
  <c r="BF90" i="5" s="1"/>
  <c r="GD90" i="5"/>
  <c r="GC90" i="5"/>
  <c r="GE90" i="5" s="1"/>
  <c r="GF90" i="5" s="1"/>
  <c r="GD96" i="5"/>
  <c r="GC96" i="5"/>
  <c r="GE96" i="5" s="1"/>
  <c r="GF96" i="5" s="1"/>
  <c r="BD10" i="5"/>
  <c r="BC10" i="5"/>
  <c r="BE10" i="5" s="1"/>
  <c r="BF10" i="5" s="1"/>
  <c r="BC37" i="5"/>
  <c r="BE37" i="5" s="1"/>
  <c r="BF37" i="5" s="1"/>
  <c r="BD37" i="5"/>
  <c r="D21" i="7"/>
  <c r="E21" i="7" s="1"/>
  <c r="C45" i="15"/>
  <c r="D15" i="7"/>
  <c r="E15" i="7" s="1"/>
  <c r="C39" i="15"/>
  <c r="D10" i="7"/>
  <c r="E10" i="7" s="1"/>
  <c r="C34" i="15"/>
  <c r="D22" i="7"/>
  <c r="E22" i="7" s="1"/>
  <c r="C46" i="15"/>
  <c r="D26" i="7"/>
  <c r="E26" i="7" s="1"/>
  <c r="C50" i="15"/>
  <c r="D37" i="7"/>
  <c r="E37" i="7" s="1"/>
  <c r="C61" i="15"/>
  <c r="D32" i="7"/>
  <c r="E32" i="7" s="1"/>
  <c r="C56" i="15"/>
  <c r="D23" i="7"/>
  <c r="E23" i="7" s="1"/>
  <c r="C47" i="15"/>
  <c r="C58" i="15"/>
  <c r="D34" i="7"/>
  <c r="E34" i="7" s="1"/>
  <c r="D35" i="7"/>
  <c r="E35" i="7" s="1"/>
  <c r="C59" i="15"/>
  <c r="D11" i="7"/>
  <c r="E11" i="7" s="1"/>
  <c r="C35" i="15"/>
  <c r="D18" i="7"/>
  <c r="E18" i="7" s="1"/>
  <c r="C42" i="15"/>
  <c r="C32" i="15"/>
  <c r="D8" i="7"/>
  <c r="D19" i="7"/>
  <c r="E19" i="7" s="1"/>
  <c r="C43" i="15"/>
  <c r="D17" i="7"/>
  <c r="E17" i="7" s="1"/>
  <c r="C41" i="15"/>
  <c r="D16" i="7"/>
  <c r="E16" i="7" s="1"/>
  <c r="C40" i="15"/>
  <c r="D30" i="7"/>
  <c r="E30" i="7" s="1"/>
  <c r="C54" i="15"/>
  <c r="D36" i="7"/>
  <c r="E36" i="7" s="1"/>
  <c r="C60" i="15"/>
  <c r="D20" i="7"/>
  <c r="E20" i="7" s="1"/>
  <c r="C44" i="15"/>
  <c r="D28" i="7"/>
  <c r="E28" i="7" s="1"/>
  <c r="C52" i="15"/>
  <c r="C33" i="15"/>
  <c r="D9" i="7"/>
  <c r="E9" i="7"/>
  <c r="D31" i="7"/>
  <c r="E31" i="7" s="1"/>
  <c r="C55" i="15"/>
  <c r="D25" i="7"/>
  <c r="E25" i="7" s="1"/>
  <c r="C49" i="15"/>
  <c r="D12" i="7"/>
  <c r="E12" i="7" s="1"/>
  <c r="C36" i="15"/>
  <c r="C57" i="15"/>
  <c r="D33" i="7"/>
  <c r="E33" i="7" s="1"/>
  <c r="D29" i="7"/>
  <c r="E29" i="7" s="1"/>
  <c r="C53" i="15"/>
  <c r="D24" i="7"/>
  <c r="E24" i="7" s="1"/>
  <c r="C48" i="15"/>
  <c r="D13" i="7"/>
  <c r="E13" i="7" s="1"/>
  <c r="C37" i="15"/>
  <c r="D27" i="7"/>
  <c r="E27" i="7" s="1"/>
  <c r="C51" i="15"/>
  <c r="D14" i="7"/>
  <c r="E14" i="7" s="1"/>
  <c r="C38" i="15"/>
  <c r="AY40" i="5"/>
  <c r="AZ40" i="5"/>
  <c r="AZ85" i="5"/>
  <c r="AY85" i="5"/>
  <c r="BA85" i="5" s="1"/>
  <c r="BB85" i="5" s="1"/>
  <c r="AZ12" i="5"/>
  <c r="AY12" i="5"/>
  <c r="BA12" i="5" s="1"/>
  <c r="BB12" i="5" s="1"/>
  <c r="AY15" i="5"/>
  <c r="AZ15" i="5"/>
  <c r="AZ22" i="5"/>
  <c r="AY22" i="5"/>
  <c r="BA22" i="5" s="1"/>
  <c r="BB22" i="5" s="1"/>
  <c r="FY79" i="5"/>
  <c r="FZ79" i="5"/>
  <c r="AZ68" i="5"/>
  <c r="AY68" i="5"/>
  <c r="BA68" i="5" s="1"/>
  <c r="BB68" i="5" s="1"/>
  <c r="AZ53" i="5"/>
  <c r="AY53" i="5"/>
  <c r="BA53" i="5" s="1"/>
  <c r="BB53" i="5" s="1"/>
  <c r="FY25" i="5"/>
  <c r="FZ25" i="5"/>
  <c r="FY8" i="5"/>
  <c r="FZ8" i="5"/>
  <c r="FY36" i="5"/>
  <c r="FZ36" i="5"/>
  <c r="FY81" i="5"/>
  <c r="FZ81" i="5"/>
  <c r="FY13" i="5"/>
  <c r="FZ13" i="5"/>
  <c r="AY79" i="5"/>
  <c r="AZ79" i="5"/>
  <c r="AZ31" i="5"/>
  <c r="AY31" i="5"/>
  <c r="BA31" i="5" s="1"/>
  <c r="BB31" i="5" s="1"/>
  <c r="GC30" i="5"/>
  <c r="GD30" i="5"/>
  <c r="FY70" i="5"/>
  <c r="FZ70" i="5"/>
  <c r="FY45" i="5"/>
  <c r="FZ45" i="5"/>
  <c r="FY94" i="5"/>
  <c r="FZ94" i="5"/>
  <c r="AZ26" i="5"/>
  <c r="AY26" i="5"/>
  <c r="BA26" i="5" s="1"/>
  <c r="BB26" i="5" s="1"/>
  <c r="AZ30" i="5"/>
  <c r="AY30" i="5"/>
  <c r="BA30" i="5" s="1"/>
  <c r="BB30" i="5" s="1"/>
  <c r="FY86" i="5"/>
  <c r="FZ86" i="5"/>
  <c r="FY18" i="5"/>
  <c r="FZ18" i="5"/>
  <c r="FY21" i="5"/>
  <c r="FZ21" i="5"/>
  <c r="FY33" i="5"/>
  <c r="FZ33" i="5"/>
  <c r="FY47" i="5"/>
  <c r="FZ47" i="5"/>
  <c r="FY58" i="5"/>
  <c r="FZ58" i="5"/>
  <c r="FY74" i="5"/>
  <c r="FZ74" i="5"/>
  <c r="FY19" i="5"/>
  <c r="FZ19" i="5"/>
  <c r="FY32" i="5"/>
  <c r="FZ32" i="5"/>
  <c r="FY46" i="5"/>
  <c r="FZ46" i="5"/>
  <c r="FY55" i="5"/>
  <c r="FZ55" i="5"/>
  <c r="FY60" i="5"/>
  <c r="FZ60" i="5"/>
  <c r="FY88" i="5"/>
  <c r="FZ88" i="5"/>
  <c r="FY20" i="5"/>
  <c r="FZ20" i="5"/>
  <c r="FY54" i="5"/>
  <c r="FZ54" i="5"/>
  <c r="FY56" i="5"/>
  <c r="FZ56" i="5"/>
  <c r="FY59" i="5"/>
  <c r="FZ59" i="5"/>
  <c r="FY75" i="5"/>
  <c r="FZ75" i="5"/>
  <c r="FY93" i="5"/>
  <c r="FZ93" i="5"/>
  <c r="FY69" i="5"/>
  <c r="FZ69" i="5"/>
  <c r="FY40" i="5"/>
  <c r="FZ40" i="5"/>
  <c r="AV74" i="5"/>
  <c r="AU74" i="5"/>
  <c r="AW74" i="5" s="1"/>
  <c r="AX74" i="5" s="1"/>
  <c r="AV44" i="5"/>
  <c r="AU44" i="5"/>
  <c r="AW44" i="5" s="1"/>
  <c r="AX44" i="5" s="1"/>
  <c r="FV23" i="5"/>
  <c r="FU23" i="5"/>
  <c r="FW23" i="5" s="1"/>
  <c r="FX23" i="5" s="1"/>
  <c r="FV29" i="5"/>
  <c r="FU29" i="5"/>
  <c r="FW29" i="5" s="1"/>
  <c r="FX29" i="5" s="1"/>
  <c r="AV41" i="5"/>
  <c r="AU41" i="5"/>
  <c r="AW41" i="5" s="1"/>
  <c r="AX41" i="5" s="1"/>
  <c r="AY84" i="5"/>
  <c r="AZ84" i="5"/>
  <c r="AY86" i="5"/>
  <c r="AZ86" i="5"/>
  <c r="AY25" i="5"/>
  <c r="AZ25" i="5"/>
  <c r="FZ27" i="5"/>
  <c r="FY27" i="5"/>
  <c r="GA27" i="5" s="1"/>
  <c r="GB27" i="5" s="1"/>
  <c r="FZ66" i="5"/>
  <c r="FY66" i="5"/>
  <c r="GA66" i="5" s="1"/>
  <c r="GB66" i="5" s="1"/>
  <c r="FZ57" i="5"/>
  <c r="FY57" i="5"/>
  <c r="GA57" i="5" s="1"/>
  <c r="GB57" i="5" s="1"/>
  <c r="FZ82" i="5"/>
  <c r="FY82" i="5"/>
  <c r="GA82" i="5" s="1"/>
  <c r="GB82" i="5" s="1"/>
  <c r="FU35" i="5"/>
  <c r="FV35" i="5"/>
  <c r="FV10" i="5"/>
  <c r="FU10" i="5"/>
  <c r="FW10" i="5" s="1"/>
  <c r="FX10" i="5" s="1"/>
  <c r="AU27" i="5"/>
  <c r="AV27" i="5"/>
  <c r="FV17" i="5"/>
  <c r="FU17" i="5"/>
  <c r="FV39" i="5"/>
  <c r="FU39" i="5"/>
  <c r="FW39" i="5" s="1"/>
  <c r="FX39" i="5" s="1"/>
  <c r="AU38" i="5"/>
  <c r="AV38" i="5"/>
  <c r="AU42" i="5"/>
  <c r="AV42" i="5"/>
  <c r="AU73" i="5"/>
  <c r="AV73" i="5"/>
  <c r="AV93" i="5"/>
  <c r="AU93" i="5"/>
  <c r="AW93" i="5" s="1"/>
  <c r="AX93" i="5" s="1"/>
  <c r="FV26" i="5"/>
  <c r="FU26" i="5"/>
  <c r="FW26" i="5" s="1"/>
  <c r="FX26" i="5" s="1"/>
  <c r="AV28" i="5"/>
  <c r="AU28" i="5"/>
  <c r="AW28" i="5" s="1"/>
  <c r="AX28" i="5" s="1"/>
  <c r="AU81" i="5"/>
  <c r="AV81" i="5"/>
  <c r="AU65" i="5"/>
  <c r="AV65" i="5"/>
  <c r="AU95" i="5"/>
  <c r="AV95" i="5"/>
  <c r="AU43" i="5"/>
  <c r="AV43" i="5"/>
  <c r="AU72" i="5"/>
  <c r="AV72" i="5"/>
  <c r="AY17" i="5"/>
  <c r="AZ17" i="5"/>
  <c r="FV22" i="5"/>
  <c r="FU22" i="5"/>
  <c r="FW22" i="5" s="1"/>
  <c r="FX22" i="5" s="1"/>
  <c r="FU89" i="5"/>
  <c r="FV89" i="5"/>
  <c r="AU58" i="5"/>
  <c r="AV58" i="5"/>
  <c r="GA62" i="5"/>
  <c r="GB62" i="5" s="1"/>
  <c r="GA49" i="5"/>
  <c r="GB49" i="5" s="1"/>
  <c r="AW77" i="5"/>
  <c r="AX77" i="5" s="1"/>
  <c r="FW34" i="5"/>
  <c r="FX34" i="5" s="1"/>
  <c r="AS71" i="5"/>
  <c r="AT71" i="5" s="1"/>
  <c r="AS8" i="5"/>
  <c r="AT8" i="5" s="1"/>
  <c r="B22" i="19"/>
  <c r="C22" i="19" s="1"/>
  <c r="B29" i="19"/>
  <c r="C29" i="19" s="1"/>
  <c r="AW11" i="5"/>
  <c r="AX11" i="5" s="1"/>
  <c r="FW24" i="5"/>
  <c r="FX24" i="5" s="1"/>
  <c r="FW38" i="5"/>
  <c r="FX38" i="5" s="1"/>
  <c r="FW41" i="5"/>
  <c r="FX41" i="5" s="1"/>
  <c r="FW42" i="5"/>
  <c r="FX42" i="5" s="1"/>
  <c r="FW50" i="5"/>
  <c r="FX50" i="5" s="1"/>
  <c r="FW80" i="5"/>
  <c r="FX80" i="5" s="1"/>
  <c r="AS9" i="5"/>
  <c r="AT9" i="5" s="1"/>
  <c r="AS78" i="5"/>
  <c r="AT78" i="5" s="1"/>
  <c r="GA14" i="5"/>
  <c r="GB14" i="5" s="1"/>
  <c r="FW16" i="5"/>
  <c r="FX16" i="5" s="1"/>
  <c r="FW77" i="5"/>
  <c r="FX77" i="5" s="1"/>
  <c r="FW12" i="5"/>
  <c r="FX12" i="5" s="1"/>
  <c r="FW87" i="5"/>
  <c r="FX87" i="5" s="1"/>
  <c r="FW63" i="5"/>
  <c r="FX63" i="5" s="1"/>
  <c r="FW64" i="5"/>
  <c r="FX64" i="5" s="1"/>
  <c r="FW11" i="5"/>
  <c r="FX11" i="5" s="1"/>
  <c r="FW52" i="5"/>
  <c r="FX52" i="5" s="1"/>
  <c r="FW9" i="5"/>
  <c r="FX9" i="5" s="1"/>
  <c r="FW15" i="5"/>
  <c r="FX15" i="5" s="1"/>
  <c r="FW72" i="5"/>
  <c r="FX72" i="5" s="1"/>
  <c r="FW78" i="5"/>
  <c r="FX78" i="5" s="1"/>
  <c r="FW84" i="5"/>
  <c r="FX84" i="5" s="1"/>
  <c r="FW65" i="5"/>
  <c r="FX65" i="5" s="1"/>
  <c r="FW73" i="5"/>
  <c r="FX73" i="5" s="1"/>
  <c r="FW83" i="5"/>
  <c r="FX83" i="5" s="1"/>
  <c r="FW92" i="5"/>
  <c r="FX92" i="5" s="1"/>
  <c r="FW43" i="5"/>
  <c r="FX43" i="5" s="1"/>
  <c r="FW53" i="5"/>
  <c r="FX53" i="5" s="1"/>
  <c r="FW68" i="5"/>
  <c r="FX68" i="5" s="1"/>
  <c r="FW85" i="5"/>
  <c r="FX85" i="5" s="1"/>
  <c r="FW37" i="5"/>
  <c r="FX37" i="5" s="1"/>
  <c r="FW95" i="5"/>
  <c r="FX95" i="5" s="1"/>
  <c r="FW31" i="5"/>
  <c r="FX31" i="5" s="1"/>
  <c r="FW71" i="5"/>
  <c r="FX71" i="5" s="1"/>
  <c r="FW28" i="5"/>
  <c r="FX28" i="5" s="1"/>
  <c r="FW44" i="5"/>
  <c r="FX44" i="5" s="1"/>
  <c r="FW67" i="5"/>
  <c r="FX67" i="5" s="1"/>
  <c r="AW24" i="5"/>
  <c r="AX24" i="5" s="1"/>
  <c r="AW45" i="5"/>
  <c r="AX45" i="5" s="1"/>
  <c r="AW55" i="5"/>
  <c r="AX55" i="5" s="1"/>
  <c r="AW18" i="5"/>
  <c r="AX18" i="5" s="1"/>
  <c r="AW36" i="5"/>
  <c r="AX36" i="5" s="1"/>
  <c r="AW19" i="5"/>
  <c r="AX19" i="5" s="1"/>
  <c r="AW20" i="5"/>
  <c r="AX20" i="5" s="1"/>
  <c r="AS92" i="5"/>
  <c r="AT92" i="5" s="1"/>
  <c r="AS50" i="5"/>
  <c r="AT50" i="5" s="1"/>
  <c r="AS54" i="5"/>
  <c r="AT54" i="5" s="1"/>
  <c r="AS64" i="5"/>
  <c r="AT64" i="5" s="1"/>
  <c r="AS70" i="5"/>
  <c r="AT70" i="5" s="1"/>
  <c r="AS13" i="5"/>
  <c r="AT13" i="5" s="1"/>
  <c r="AS14" i="5"/>
  <c r="AT14" i="5" s="1"/>
  <c r="AS87" i="5"/>
  <c r="AT87" i="5" s="1"/>
  <c r="AS91" i="5"/>
  <c r="AT91" i="5" s="1"/>
  <c r="AS94" i="5"/>
  <c r="AT94" i="5" s="1"/>
  <c r="AS52" i="5"/>
  <c r="AT52" i="5" s="1"/>
  <c r="AS69" i="5"/>
  <c r="AT69" i="5" s="1"/>
  <c r="AS83" i="5"/>
  <c r="AT83" i="5" s="1"/>
  <c r="AS16" i="5"/>
  <c r="AT16" i="5" s="1"/>
  <c r="AS23" i="5"/>
  <c r="AT23" i="5" s="1"/>
  <c r="AS80" i="5"/>
  <c r="AT80" i="5" s="1"/>
  <c r="AS63" i="5"/>
  <c r="AT63" i="5" s="1"/>
  <c r="GA70" i="5" l="1"/>
  <c r="GB70" i="5" s="1"/>
  <c r="AW27" i="5"/>
  <c r="AX27" i="5" s="1"/>
  <c r="FW17" i="5"/>
  <c r="FX17" i="5" s="1"/>
  <c r="FY51" i="5"/>
  <c r="FZ51" i="5"/>
  <c r="FY91" i="5"/>
  <c r="FZ91" i="5"/>
  <c r="AY88" i="5"/>
  <c r="AZ88" i="5"/>
  <c r="AV82" i="5"/>
  <c r="AU82" i="5"/>
  <c r="AW82" i="5" s="1"/>
  <c r="AX82" i="5" s="1"/>
  <c r="BD60" i="5"/>
  <c r="BC60" i="5"/>
  <c r="BE60" i="5" s="1"/>
  <c r="BF60" i="5" s="1"/>
  <c r="BK29" i="5"/>
  <c r="BL29" i="5"/>
  <c r="BH21" i="5"/>
  <c r="BG21" i="5"/>
  <c r="BI21" i="5" s="1"/>
  <c r="BJ21" i="5" s="1"/>
  <c r="BH32" i="5"/>
  <c r="BG32" i="5"/>
  <c r="BI32" i="5" s="1"/>
  <c r="BJ32" i="5" s="1"/>
  <c r="BH33" i="5"/>
  <c r="BG33" i="5"/>
  <c r="BI33" i="5" s="1"/>
  <c r="BJ33" i="5" s="1"/>
  <c r="BH34" i="5"/>
  <c r="BG34" i="5"/>
  <c r="BI34" i="5" s="1"/>
  <c r="BJ34" i="5" s="1"/>
  <c r="BH46" i="5"/>
  <c r="BG46" i="5"/>
  <c r="BI46" i="5" s="1"/>
  <c r="BJ46" i="5" s="1"/>
  <c r="BH47" i="5"/>
  <c r="BG47" i="5"/>
  <c r="BI47" i="5" s="1"/>
  <c r="BJ47" i="5" s="1"/>
  <c r="BH48" i="5"/>
  <c r="BG48" i="5"/>
  <c r="BI48" i="5" s="1"/>
  <c r="BJ48" i="5" s="1"/>
  <c r="BH56" i="5"/>
  <c r="BG56" i="5"/>
  <c r="BI56" i="5" s="1"/>
  <c r="BJ56" i="5" s="1"/>
  <c r="BH57" i="5"/>
  <c r="BG57" i="5"/>
  <c r="BI57" i="5" s="1"/>
  <c r="BJ57" i="5" s="1"/>
  <c r="BH59" i="5"/>
  <c r="BG59" i="5"/>
  <c r="BI59" i="5" s="1"/>
  <c r="BJ59" i="5" s="1"/>
  <c r="BH51" i="5"/>
  <c r="BG51" i="5"/>
  <c r="BI51" i="5" s="1"/>
  <c r="BJ51" i="5" s="1"/>
  <c r="BH75" i="5"/>
  <c r="BG75" i="5"/>
  <c r="BH76" i="5"/>
  <c r="BG76" i="5"/>
  <c r="BI76" i="5" s="1"/>
  <c r="BJ76" i="5" s="1"/>
  <c r="BH89" i="5"/>
  <c r="BG89" i="5"/>
  <c r="BI89" i="5" s="1"/>
  <c r="BJ89" i="5" s="1"/>
  <c r="BH66" i="5"/>
  <c r="BG66" i="5"/>
  <c r="BI66" i="5" s="1"/>
  <c r="BJ66" i="5" s="1"/>
  <c r="BH67" i="5"/>
  <c r="BG67" i="5"/>
  <c r="BI67" i="5" s="1"/>
  <c r="BJ67" i="5" s="1"/>
  <c r="BH39" i="5"/>
  <c r="BG39" i="5"/>
  <c r="BI39" i="5" s="1"/>
  <c r="BJ39" i="5" s="1"/>
  <c r="BH35" i="5"/>
  <c r="BG35" i="5"/>
  <c r="BI35" i="5" s="1"/>
  <c r="BJ35" i="5" s="1"/>
  <c r="BH61" i="5"/>
  <c r="BG61" i="5"/>
  <c r="BI61" i="5" s="1"/>
  <c r="BJ61" i="5" s="1"/>
  <c r="BH96" i="5"/>
  <c r="BG96" i="5"/>
  <c r="BI96" i="5" s="1"/>
  <c r="BJ96" i="5" s="1"/>
  <c r="GH48" i="5"/>
  <c r="GG48" i="5"/>
  <c r="GI48" i="5" s="1"/>
  <c r="GJ48" i="5" s="1"/>
  <c r="BH49" i="5"/>
  <c r="BG49" i="5"/>
  <c r="BI49" i="5" s="1"/>
  <c r="BJ49" i="5" s="1"/>
  <c r="GH61" i="5"/>
  <c r="GG61" i="5"/>
  <c r="GI61" i="5" s="1"/>
  <c r="GJ61" i="5" s="1"/>
  <c r="BH62" i="5"/>
  <c r="BG62" i="5"/>
  <c r="BI62" i="5" s="1"/>
  <c r="BJ62" i="5" s="1"/>
  <c r="GH76" i="5"/>
  <c r="GG76" i="5"/>
  <c r="GI76" i="5" s="1"/>
  <c r="GJ76" i="5" s="1"/>
  <c r="BH90" i="5"/>
  <c r="BG90" i="5"/>
  <c r="BI90" i="5" s="1"/>
  <c r="BJ90" i="5" s="1"/>
  <c r="GH90" i="5"/>
  <c r="GG90" i="5"/>
  <c r="GI90" i="5" s="1"/>
  <c r="GJ90" i="5" s="1"/>
  <c r="GH96" i="5"/>
  <c r="GG96" i="5"/>
  <c r="GI96" i="5" s="1"/>
  <c r="GJ96" i="5" s="1"/>
  <c r="BH10" i="5"/>
  <c r="BG10" i="5"/>
  <c r="BI10" i="5" s="1"/>
  <c r="BJ10" i="5" s="1"/>
  <c r="BH37" i="5"/>
  <c r="BG37" i="5"/>
  <c r="BI37" i="5" s="1"/>
  <c r="BJ37" i="5" s="1"/>
  <c r="J21" i="7"/>
  <c r="H21" i="7"/>
  <c r="I21" i="7" s="1"/>
  <c r="F21" i="7"/>
  <c r="AB307" i="11"/>
  <c r="AC307" i="11" s="1"/>
  <c r="J15" i="7"/>
  <c r="H15" i="7"/>
  <c r="I15" i="7" s="1"/>
  <c r="F15" i="7"/>
  <c r="AB295" i="11"/>
  <c r="AC295" i="11" s="1"/>
  <c r="J10" i="7"/>
  <c r="H10" i="7"/>
  <c r="I10" i="7" s="1"/>
  <c r="F10" i="7"/>
  <c r="AB285" i="11"/>
  <c r="AC285" i="11" s="1"/>
  <c r="J22" i="7"/>
  <c r="H22" i="7"/>
  <c r="I22" i="7" s="1"/>
  <c r="F22" i="7"/>
  <c r="AB309" i="11"/>
  <c r="AC309" i="11" s="1"/>
  <c r="J26" i="7"/>
  <c r="H26" i="7"/>
  <c r="I26" i="7" s="1"/>
  <c r="F26" i="7"/>
  <c r="AB317" i="11"/>
  <c r="AC317" i="11" s="1"/>
  <c r="J37" i="7"/>
  <c r="H37" i="7"/>
  <c r="I37" i="7" s="1"/>
  <c r="F37" i="7"/>
  <c r="AB339" i="11"/>
  <c r="AC339" i="11" s="1"/>
  <c r="J32" i="7"/>
  <c r="H32" i="7"/>
  <c r="I32" i="7" s="1"/>
  <c r="F32" i="7"/>
  <c r="AB329" i="11"/>
  <c r="AC329" i="11" s="1"/>
  <c r="J23" i="7"/>
  <c r="H23" i="7"/>
  <c r="I23" i="7" s="1"/>
  <c r="F23" i="7"/>
  <c r="AB311" i="11"/>
  <c r="AC311" i="11" s="1"/>
  <c r="J34" i="7"/>
  <c r="H34" i="7"/>
  <c r="I34" i="7" s="1"/>
  <c r="F34" i="7"/>
  <c r="AB333" i="11"/>
  <c r="AC333" i="11" s="1"/>
  <c r="J35" i="7"/>
  <c r="H35" i="7"/>
  <c r="I35" i="7" s="1"/>
  <c r="F35" i="7"/>
  <c r="AB335" i="11"/>
  <c r="AC335" i="11" s="1"/>
  <c r="J11" i="7"/>
  <c r="H11" i="7"/>
  <c r="I11" i="7" s="1"/>
  <c r="F11" i="7"/>
  <c r="AB287" i="11"/>
  <c r="AC287" i="11" s="1"/>
  <c r="J18" i="7"/>
  <c r="H18" i="7"/>
  <c r="I18" i="7" s="1"/>
  <c r="F18" i="7"/>
  <c r="AB301" i="11"/>
  <c r="AC301" i="11" s="1"/>
  <c r="J19" i="7"/>
  <c r="H19" i="7"/>
  <c r="I19" i="7" s="1"/>
  <c r="F19" i="7"/>
  <c r="AB303" i="11"/>
  <c r="AC303" i="11" s="1"/>
  <c r="J17" i="7"/>
  <c r="H17" i="7"/>
  <c r="I17" i="7" s="1"/>
  <c r="F17" i="7"/>
  <c r="AB299" i="11"/>
  <c r="AC299" i="11" s="1"/>
  <c r="J16" i="7"/>
  <c r="H16" i="7"/>
  <c r="I16" i="7" s="1"/>
  <c r="F16" i="7"/>
  <c r="AB297" i="11"/>
  <c r="AC297" i="11" s="1"/>
  <c r="J30" i="7"/>
  <c r="H30" i="7"/>
  <c r="I30" i="7" s="1"/>
  <c r="F30" i="7"/>
  <c r="AB325" i="11"/>
  <c r="AC325" i="11" s="1"/>
  <c r="J36" i="7"/>
  <c r="H36" i="7"/>
  <c r="I36" i="7" s="1"/>
  <c r="F36" i="7"/>
  <c r="AB337" i="11"/>
  <c r="AC337" i="11" s="1"/>
  <c r="J20" i="7"/>
  <c r="H20" i="7"/>
  <c r="I20" i="7" s="1"/>
  <c r="F20" i="7"/>
  <c r="AB305" i="11"/>
  <c r="AC305" i="11" s="1"/>
  <c r="J28" i="7"/>
  <c r="H28" i="7"/>
  <c r="I28" i="7" s="1"/>
  <c r="F28" i="7"/>
  <c r="AB321" i="11"/>
  <c r="AC321" i="11" s="1"/>
  <c r="J9" i="7"/>
  <c r="H9" i="7"/>
  <c r="I9" i="7" s="1"/>
  <c r="F9" i="7"/>
  <c r="AB283" i="11"/>
  <c r="AC283" i="11" s="1"/>
  <c r="J31" i="7"/>
  <c r="H31" i="7"/>
  <c r="I31" i="7" s="1"/>
  <c r="F31" i="7"/>
  <c r="AB327" i="11"/>
  <c r="AC327" i="11" s="1"/>
  <c r="J25" i="7"/>
  <c r="H25" i="7"/>
  <c r="I25" i="7" s="1"/>
  <c r="F25" i="7"/>
  <c r="AB315" i="11"/>
  <c r="AC315" i="11" s="1"/>
  <c r="J12" i="7"/>
  <c r="H12" i="7"/>
  <c r="I12" i="7" s="1"/>
  <c r="F12" i="7"/>
  <c r="AB289" i="11"/>
  <c r="AC289" i="11" s="1"/>
  <c r="J33" i="7"/>
  <c r="H33" i="7"/>
  <c r="I33" i="7" s="1"/>
  <c r="F33" i="7"/>
  <c r="AB331" i="11"/>
  <c r="AC331" i="11" s="1"/>
  <c r="J29" i="7"/>
  <c r="H29" i="7"/>
  <c r="I29" i="7" s="1"/>
  <c r="F29" i="7"/>
  <c r="AB323" i="11"/>
  <c r="AC323" i="11" s="1"/>
  <c r="J24" i="7"/>
  <c r="H24" i="7"/>
  <c r="I24" i="7" s="1"/>
  <c r="F24" i="7"/>
  <c r="AB313" i="11"/>
  <c r="AC313" i="11" s="1"/>
  <c r="J13" i="7"/>
  <c r="H13" i="7"/>
  <c r="I13" i="7" s="1"/>
  <c r="F13" i="7"/>
  <c r="AB291" i="11"/>
  <c r="AC291" i="11" s="1"/>
  <c r="J27" i="7"/>
  <c r="H27" i="7"/>
  <c r="I27" i="7" s="1"/>
  <c r="F27" i="7"/>
  <c r="AB319" i="11"/>
  <c r="AC319" i="11" s="1"/>
  <c r="J14" i="7"/>
  <c r="H14" i="7"/>
  <c r="I14" i="7" s="1"/>
  <c r="F14" i="7"/>
  <c r="AB293" i="11"/>
  <c r="AC293" i="11" s="1"/>
  <c r="BD85" i="5"/>
  <c r="BC85" i="5"/>
  <c r="BE85" i="5" s="1"/>
  <c r="BF85" i="5" s="1"/>
  <c r="BD12" i="5"/>
  <c r="BC12" i="5"/>
  <c r="BE12" i="5" s="1"/>
  <c r="BF12" i="5" s="1"/>
  <c r="BD22" i="5"/>
  <c r="BC22" i="5"/>
  <c r="BE22" i="5" s="1"/>
  <c r="BF22" i="5" s="1"/>
  <c r="BD68" i="5"/>
  <c r="BC68" i="5"/>
  <c r="BE68" i="5" s="1"/>
  <c r="BF68" i="5" s="1"/>
  <c r="BD53" i="5"/>
  <c r="BC53" i="5"/>
  <c r="BE53" i="5" s="1"/>
  <c r="BF53" i="5" s="1"/>
  <c r="BD31" i="5"/>
  <c r="BC31" i="5"/>
  <c r="BE31" i="5" s="1"/>
  <c r="BF31" i="5" s="1"/>
  <c r="GC70" i="5"/>
  <c r="GD70" i="5"/>
  <c r="BD26" i="5"/>
  <c r="BC26" i="5"/>
  <c r="BE26" i="5" s="1"/>
  <c r="BF26" i="5" s="1"/>
  <c r="BD30" i="5"/>
  <c r="BC30" i="5"/>
  <c r="BE30" i="5" s="1"/>
  <c r="BF30" i="5" s="1"/>
  <c r="AZ74" i="5"/>
  <c r="AY74" i="5"/>
  <c r="BA74" i="5" s="1"/>
  <c r="BB74" i="5" s="1"/>
  <c r="AZ44" i="5"/>
  <c r="AY44" i="5"/>
  <c r="BA44" i="5" s="1"/>
  <c r="BB44" i="5" s="1"/>
  <c r="FY23" i="5"/>
  <c r="FZ23" i="5"/>
  <c r="FZ29" i="5"/>
  <c r="FY29" i="5"/>
  <c r="GA29" i="5" s="1"/>
  <c r="GB29" i="5" s="1"/>
  <c r="AZ41" i="5"/>
  <c r="AY41" i="5"/>
  <c r="BA41" i="5" s="1"/>
  <c r="BB41" i="5" s="1"/>
  <c r="GC27" i="5"/>
  <c r="GD27" i="5"/>
  <c r="GC66" i="5"/>
  <c r="GD66" i="5"/>
  <c r="GC57" i="5"/>
  <c r="GD57" i="5"/>
  <c r="GC82" i="5"/>
  <c r="GD82" i="5"/>
  <c r="FY10" i="5"/>
  <c r="FZ10" i="5"/>
  <c r="AZ27" i="5"/>
  <c r="AY27" i="5"/>
  <c r="BA27" i="5" s="1"/>
  <c r="BB27" i="5" s="1"/>
  <c r="FY17" i="5"/>
  <c r="FZ17" i="5"/>
  <c r="FY39" i="5"/>
  <c r="FZ39" i="5"/>
  <c r="AZ93" i="5"/>
  <c r="AY93" i="5"/>
  <c r="BA93" i="5" s="1"/>
  <c r="BB93" i="5" s="1"/>
  <c r="FY26" i="5"/>
  <c r="FZ26" i="5"/>
  <c r="AZ28" i="5"/>
  <c r="AY28" i="5"/>
  <c r="BA28" i="5" s="1"/>
  <c r="BB28" i="5" s="1"/>
  <c r="FY22" i="5"/>
  <c r="FZ22" i="5"/>
  <c r="GC62" i="5"/>
  <c r="GD62" i="5"/>
  <c r="GD49" i="5"/>
  <c r="GC49" i="5"/>
  <c r="GE49" i="5" s="1"/>
  <c r="GF49" i="5" s="1"/>
  <c r="AY77" i="5"/>
  <c r="AZ77" i="5"/>
  <c r="FY34" i="5"/>
  <c r="FZ34" i="5"/>
  <c r="AU71" i="5"/>
  <c r="AV71" i="5"/>
  <c r="AU8" i="5"/>
  <c r="AV8" i="5"/>
  <c r="AY11" i="5"/>
  <c r="AZ11" i="5"/>
  <c r="FZ24" i="5"/>
  <c r="FY24" i="5"/>
  <c r="GA24" i="5" s="1"/>
  <c r="GB24" i="5" s="1"/>
  <c r="FZ38" i="5"/>
  <c r="FY38" i="5"/>
  <c r="GA38" i="5" s="1"/>
  <c r="GB38" i="5" s="1"/>
  <c r="FZ41" i="5"/>
  <c r="FY41" i="5"/>
  <c r="GA41" i="5" s="1"/>
  <c r="GB41" i="5" s="1"/>
  <c r="FZ42" i="5"/>
  <c r="FY42" i="5"/>
  <c r="GA42" i="5" s="1"/>
  <c r="GB42" i="5" s="1"/>
  <c r="FY50" i="5"/>
  <c r="FZ50" i="5"/>
  <c r="FZ80" i="5"/>
  <c r="FY80" i="5"/>
  <c r="GA80" i="5" s="1"/>
  <c r="GB80" i="5" s="1"/>
  <c r="AU9" i="5"/>
  <c r="AV9" i="5"/>
  <c r="AU78" i="5"/>
  <c r="AV78" i="5"/>
  <c r="GD14" i="5"/>
  <c r="GC14" i="5"/>
  <c r="GE14" i="5" s="1"/>
  <c r="GF14" i="5" s="1"/>
  <c r="FZ16" i="5"/>
  <c r="FY16" i="5"/>
  <c r="GA16" i="5" s="1"/>
  <c r="GB16" i="5" s="1"/>
  <c r="FZ77" i="5"/>
  <c r="FY77" i="5"/>
  <c r="GA77" i="5" s="1"/>
  <c r="GB77" i="5" s="1"/>
  <c r="FZ12" i="5"/>
  <c r="FY12" i="5"/>
  <c r="GA12" i="5" s="1"/>
  <c r="GB12" i="5" s="1"/>
  <c r="FZ87" i="5"/>
  <c r="FY87" i="5"/>
  <c r="GA87" i="5" s="1"/>
  <c r="GB87" i="5" s="1"/>
  <c r="FZ63" i="5"/>
  <c r="FY63" i="5"/>
  <c r="GA63" i="5" s="1"/>
  <c r="GB63" i="5" s="1"/>
  <c r="FZ64" i="5"/>
  <c r="FY64" i="5"/>
  <c r="GA64" i="5" s="1"/>
  <c r="GB64" i="5" s="1"/>
  <c r="FZ11" i="5"/>
  <c r="FY11" i="5"/>
  <c r="GA11" i="5" s="1"/>
  <c r="GB11" i="5" s="1"/>
  <c r="FZ52" i="5"/>
  <c r="FY52" i="5"/>
  <c r="GA52" i="5" s="1"/>
  <c r="GB52" i="5" s="1"/>
  <c r="FZ9" i="5"/>
  <c r="FY9" i="5"/>
  <c r="GA9" i="5" s="1"/>
  <c r="GB9" i="5" s="1"/>
  <c r="FZ15" i="5"/>
  <c r="FY15" i="5"/>
  <c r="GA15" i="5" s="1"/>
  <c r="GB15" i="5" s="1"/>
  <c r="FZ72" i="5"/>
  <c r="FY72" i="5"/>
  <c r="GA72" i="5" s="1"/>
  <c r="GB72" i="5" s="1"/>
  <c r="FZ78" i="5"/>
  <c r="FY78" i="5"/>
  <c r="GA78" i="5" s="1"/>
  <c r="GB78" i="5" s="1"/>
  <c r="FZ84" i="5"/>
  <c r="FY84" i="5"/>
  <c r="GA84" i="5" s="1"/>
  <c r="GB84" i="5" s="1"/>
  <c r="FZ65" i="5"/>
  <c r="FY65" i="5"/>
  <c r="GA65" i="5" s="1"/>
  <c r="GB65" i="5" s="1"/>
  <c r="FZ73" i="5"/>
  <c r="FY73" i="5"/>
  <c r="GA73" i="5" s="1"/>
  <c r="GB73" i="5" s="1"/>
  <c r="FZ83" i="5"/>
  <c r="FY83" i="5"/>
  <c r="GA83" i="5" s="1"/>
  <c r="GB83" i="5" s="1"/>
  <c r="FZ92" i="5"/>
  <c r="FY92" i="5"/>
  <c r="GA92" i="5" s="1"/>
  <c r="GB92" i="5" s="1"/>
  <c r="FZ43" i="5"/>
  <c r="FY43" i="5"/>
  <c r="GA43" i="5" s="1"/>
  <c r="GB43" i="5" s="1"/>
  <c r="FZ53" i="5"/>
  <c r="FY53" i="5"/>
  <c r="GA53" i="5" s="1"/>
  <c r="GB53" i="5" s="1"/>
  <c r="FZ68" i="5"/>
  <c r="FY68" i="5"/>
  <c r="GA68" i="5" s="1"/>
  <c r="GB68" i="5" s="1"/>
  <c r="FZ85" i="5"/>
  <c r="FY85" i="5"/>
  <c r="GA85" i="5" s="1"/>
  <c r="GB85" i="5" s="1"/>
  <c r="FZ37" i="5"/>
  <c r="FY37" i="5"/>
  <c r="GA37" i="5" s="1"/>
  <c r="GB37" i="5" s="1"/>
  <c r="FZ95" i="5"/>
  <c r="FY95" i="5"/>
  <c r="GA95" i="5" s="1"/>
  <c r="GB95" i="5" s="1"/>
  <c r="FZ31" i="5"/>
  <c r="FY31" i="5"/>
  <c r="GA31" i="5" s="1"/>
  <c r="GB31" i="5" s="1"/>
  <c r="FZ71" i="5"/>
  <c r="FY71" i="5"/>
  <c r="GA71" i="5" s="1"/>
  <c r="GB71" i="5" s="1"/>
  <c r="FZ28" i="5"/>
  <c r="FY28" i="5"/>
  <c r="GA28" i="5" s="1"/>
  <c r="GB28" i="5" s="1"/>
  <c r="FY44" i="5"/>
  <c r="FZ44" i="5"/>
  <c r="FZ67" i="5"/>
  <c r="FY67" i="5"/>
  <c r="GA67" i="5" s="1"/>
  <c r="GB67" i="5" s="1"/>
  <c r="AY24" i="5"/>
  <c r="AZ24" i="5"/>
  <c r="AY45" i="5"/>
  <c r="AZ45" i="5"/>
  <c r="AY55" i="5"/>
  <c r="AZ55" i="5"/>
  <c r="AY18" i="5"/>
  <c r="AZ18" i="5"/>
  <c r="AY36" i="5"/>
  <c r="AZ36" i="5"/>
  <c r="AZ19" i="5"/>
  <c r="AY19" i="5"/>
  <c r="BA19" i="5" s="1"/>
  <c r="BB19" i="5" s="1"/>
  <c r="AY20" i="5"/>
  <c r="AZ20" i="5"/>
  <c r="AU92" i="5"/>
  <c r="AV92" i="5"/>
  <c r="AU50" i="5"/>
  <c r="AV50" i="5"/>
  <c r="AU54" i="5"/>
  <c r="AV54" i="5"/>
  <c r="AU64" i="5"/>
  <c r="AV64" i="5"/>
  <c r="AU70" i="5"/>
  <c r="AV70" i="5"/>
  <c r="AU13" i="5"/>
  <c r="AV13" i="5"/>
  <c r="AU14" i="5"/>
  <c r="AV14" i="5"/>
  <c r="AU87" i="5"/>
  <c r="AV87" i="5"/>
  <c r="AU91" i="5"/>
  <c r="AV91" i="5"/>
  <c r="AU94" i="5"/>
  <c r="AV94" i="5"/>
  <c r="AV52" i="5"/>
  <c r="AU52" i="5"/>
  <c r="AW52" i="5" s="1"/>
  <c r="AX52" i="5" s="1"/>
  <c r="AU69" i="5"/>
  <c r="AV69" i="5"/>
  <c r="AU83" i="5"/>
  <c r="AV83" i="5"/>
  <c r="AU16" i="5"/>
  <c r="AV16" i="5"/>
  <c r="AV23" i="5"/>
  <c r="AU23" i="5"/>
  <c r="AW23" i="5" s="1"/>
  <c r="AX23" i="5" s="1"/>
  <c r="AU80" i="5"/>
  <c r="AV80" i="5"/>
  <c r="AU63" i="5"/>
  <c r="AV63" i="5"/>
  <c r="BA15" i="5"/>
  <c r="BB15" i="5" s="1"/>
  <c r="GA86" i="5"/>
  <c r="GB86" i="5" s="1"/>
  <c r="GA18" i="5"/>
  <c r="GB18" i="5" s="1"/>
  <c r="GA21" i="5"/>
  <c r="GB21" i="5" s="1"/>
  <c r="GA33" i="5"/>
  <c r="GB33" i="5" s="1"/>
  <c r="GA47" i="5"/>
  <c r="GB47" i="5" s="1"/>
  <c r="FW35" i="5"/>
  <c r="FX35" i="5" s="1"/>
  <c r="AW38" i="5"/>
  <c r="AX38" i="5" s="1"/>
  <c r="AW42" i="5"/>
  <c r="AX42" i="5" s="1"/>
  <c r="AW73" i="5"/>
  <c r="AX73" i="5" s="1"/>
  <c r="BA40" i="5"/>
  <c r="BB40" i="5" s="1"/>
  <c r="GA79" i="5"/>
  <c r="GB79" i="5" s="1"/>
  <c r="GA25" i="5"/>
  <c r="GB25" i="5" s="1"/>
  <c r="GA8" i="5"/>
  <c r="GB8" i="5" s="1"/>
  <c r="GA36" i="5"/>
  <c r="GB36" i="5" s="1"/>
  <c r="GA51" i="5"/>
  <c r="GB51" i="5" s="1"/>
  <c r="GA81" i="5"/>
  <c r="GB81" i="5" s="1"/>
  <c r="GA13" i="5"/>
  <c r="GB13" i="5" s="1"/>
  <c r="GA91" i="5"/>
  <c r="GB91" i="5" s="1"/>
  <c r="BA79" i="5"/>
  <c r="BB79" i="5" s="1"/>
  <c r="GE30" i="5"/>
  <c r="GF30" i="5" s="1"/>
  <c r="AW81" i="5"/>
  <c r="AX81" i="5" s="1"/>
  <c r="AW65" i="5"/>
  <c r="AX65" i="5" s="1"/>
  <c r="FW89" i="5"/>
  <c r="FX89" i="5" s="1"/>
  <c r="AW58" i="5"/>
  <c r="AX58" i="5" s="1"/>
  <c r="BA88" i="5"/>
  <c r="BB88" i="5" s="1"/>
  <c r="GA45" i="5"/>
  <c r="GB45" i="5" s="1"/>
  <c r="GA94" i="5"/>
  <c r="GB94" i="5" s="1"/>
  <c r="GA58" i="5"/>
  <c r="GB58" i="5" s="1"/>
  <c r="GA74" i="5"/>
  <c r="GB74" i="5" s="1"/>
  <c r="GA19" i="5"/>
  <c r="GB19" i="5" s="1"/>
  <c r="GA32" i="5"/>
  <c r="GB32" i="5" s="1"/>
  <c r="GA46" i="5"/>
  <c r="GB46" i="5" s="1"/>
  <c r="GA55" i="5"/>
  <c r="GB55" i="5" s="1"/>
  <c r="GA60" i="5"/>
  <c r="GB60" i="5" s="1"/>
  <c r="GA88" i="5"/>
  <c r="GB88" i="5" s="1"/>
  <c r="GA20" i="5"/>
  <c r="GB20" i="5" s="1"/>
  <c r="GA54" i="5"/>
  <c r="GB54" i="5" s="1"/>
  <c r="GA56" i="5"/>
  <c r="GB56" i="5" s="1"/>
  <c r="GA59" i="5"/>
  <c r="GB59" i="5" s="1"/>
  <c r="GA75" i="5"/>
  <c r="GB75" i="5" s="1"/>
  <c r="GA93" i="5"/>
  <c r="GB93" i="5" s="1"/>
  <c r="GA69" i="5"/>
  <c r="GB69" i="5" s="1"/>
  <c r="GA40" i="5"/>
  <c r="GB40" i="5" s="1"/>
  <c r="BA84" i="5"/>
  <c r="BB84" i="5" s="1"/>
  <c r="BA86" i="5"/>
  <c r="BB86" i="5" s="1"/>
  <c r="BA25" i="5"/>
  <c r="BB25" i="5" s="1"/>
  <c r="AW95" i="5"/>
  <c r="AX95" i="5" s="1"/>
  <c r="AW43" i="5"/>
  <c r="AX43" i="5" s="1"/>
  <c r="AW72" i="5"/>
  <c r="AX72" i="5" s="1"/>
  <c r="BA17" i="5"/>
  <c r="BB17" i="5" s="1"/>
  <c r="E8" i="7"/>
  <c r="GA39" i="5" l="1"/>
  <c r="GB39" i="5" s="1"/>
  <c r="AW14" i="5"/>
  <c r="AX14" i="5" s="1"/>
  <c r="AZ82" i="5"/>
  <c r="AY82" i="5"/>
  <c r="BA82" i="5" s="1"/>
  <c r="BB82" i="5" s="1"/>
  <c r="BH60" i="5"/>
  <c r="BG60" i="5"/>
  <c r="BI60" i="5" s="1"/>
  <c r="BJ60" i="5" s="1"/>
  <c r="BL21" i="5"/>
  <c r="BK21" i="5"/>
  <c r="BM21" i="5" s="1"/>
  <c r="BN21" i="5" s="1"/>
  <c r="BL32" i="5"/>
  <c r="BK32" i="5"/>
  <c r="BM32" i="5" s="1"/>
  <c r="BN32" i="5" s="1"/>
  <c r="BL33" i="5"/>
  <c r="BK33" i="5"/>
  <c r="BM33" i="5" s="1"/>
  <c r="BN33" i="5" s="1"/>
  <c r="BL34" i="5"/>
  <c r="BK34" i="5"/>
  <c r="BM34" i="5" s="1"/>
  <c r="BN34" i="5" s="1"/>
  <c r="BL46" i="5"/>
  <c r="BK46" i="5"/>
  <c r="BM46" i="5" s="1"/>
  <c r="BN46" i="5" s="1"/>
  <c r="BL47" i="5"/>
  <c r="BK47" i="5"/>
  <c r="BM47" i="5" s="1"/>
  <c r="BN47" i="5" s="1"/>
  <c r="BL48" i="5"/>
  <c r="BK48" i="5"/>
  <c r="BM48" i="5" s="1"/>
  <c r="BN48" i="5" s="1"/>
  <c r="BL56" i="5"/>
  <c r="BK56" i="5"/>
  <c r="BM56" i="5" s="1"/>
  <c r="BN56" i="5" s="1"/>
  <c r="BL57" i="5"/>
  <c r="BK57" i="5"/>
  <c r="BM57" i="5" s="1"/>
  <c r="BN57" i="5" s="1"/>
  <c r="BL59" i="5"/>
  <c r="BK59" i="5"/>
  <c r="BM59" i="5" s="1"/>
  <c r="BN59" i="5" s="1"/>
  <c r="BL51" i="5"/>
  <c r="BK51" i="5"/>
  <c r="BM51" i="5" s="1"/>
  <c r="BN51" i="5" s="1"/>
  <c r="BL76" i="5"/>
  <c r="BK76" i="5"/>
  <c r="BL89" i="5"/>
  <c r="BK89" i="5"/>
  <c r="BM89" i="5" s="1"/>
  <c r="BN89" i="5" s="1"/>
  <c r="BL66" i="5"/>
  <c r="BK66" i="5"/>
  <c r="BM66" i="5" s="1"/>
  <c r="BN66" i="5" s="1"/>
  <c r="BL67" i="5"/>
  <c r="BK67" i="5"/>
  <c r="BM67" i="5" s="1"/>
  <c r="BN67" i="5" s="1"/>
  <c r="BL39" i="5"/>
  <c r="BK39" i="5"/>
  <c r="BM39" i="5" s="1"/>
  <c r="BN39" i="5" s="1"/>
  <c r="BL35" i="5"/>
  <c r="BK35" i="5"/>
  <c r="BM35" i="5" s="1"/>
  <c r="BN35" i="5" s="1"/>
  <c r="BL60" i="5"/>
  <c r="BK60" i="5"/>
  <c r="BL61" i="5"/>
  <c r="BK61" i="5"/>
  <c r="BM61" i="5" s="1"/>
  <c r="BN61" i="5" s="1"/>
  <c r="BL96" i="5"/>
  <c r="BK96" i="5"/>
  <c r="BM96" i="5" s="1"/>
  <c r="BN96" i="5" s="1"/>
  <c r="GL48" i="5"/>
  <c r="GK48" i="5"/>
  <c r="GM48" i="5" s="1"/>
  <c r="GN48" i="5" s="1"/>
  <c r="BL49" i="5"/>
  <c r="BK49" i="5"/>
  <c r="BM49" i="5" s="1"/>
  <c r="BN49" i="5" s="1"/>
  <c r="GL61" i="5"/>
  <c r="GK61" i="5"/>
  <c r="GM61" i="5" s="1"/>
  <c r="GN61" i="5" s="1"/>
  <c r="BL62" i="5"/>
  <c r="BK62" i="5"/>
  <c r="BM62" i="5" s="1"/>
  <c r="BN62" i="5" s="1"/>
  <c r="GL76" i="5"/>
  <c r="GK76" i="5"/>
  <c r="GM76" i="5" s="1"/>
  <c r="GN76" i="5" s="1"/>
  <c r="BL90" i="5"/>
  <c r="BK90" i="5"/>
  <c r="BM90" i="5" s="1"/>
  <c r="BN90" i="5" s="1"/>
  <c r="GL90" i="5"/>
  <c r="GK90" i="5"/>
  <c r="GM90" i="5" s="1"/>
  <c r="GN90" i="5" s="1"/>
  <c r="GL96" i="5"/>
  <c r="GK96" i="5"/>
  <c r="GM96" i="5" s="1"/>
  <c r="GN96" i="5" s="1"/>
  <c r="BL10" i="5"/>
  <c r="BK10" i="5"/>
  <c r="BM10" i="5" s="1"/>
  <c r="BN10" i="5" s="1"/>
  <c r="BL37" i="5"/>
  <c r="BK37" i="5"/>
  <c r="BM37" i="5" s="1"/>
  <c r="BN37" i="5" s="1"/>
  <c r="AB308" i="11"/>
  <c r="AC308" i="11" s="1"/>
  <c r="K21" i="7"/>
  <c r="AB296" i="11"/>
  <c r="AC296" i="11" s="1"/>
  <c r="K15" i="7"/>
  <c r="AB286" i="11"/>
  <c r="AC286" i="11" s="1"/>
  <c r="K10" i="7"/>
  <c r="AB310" i="11"/>
  <c r="AC310" i="11" s="1"/>
  <c r="K22" i="7"/>
  <c r="AB318" i="11"/>
  <c r="AC318" i="11" s="1"/>
  <c r="K26" i="7"/>
  <c r="AB340" i="11"/>
  <c r="AC340" i="11" s="1"/>
  <c r="K37" i="7"/>
  <c r="AB330" i="11"/>
  <c r="AC330" i="11" s="1"/>
  <c r="K32" i="7"/>
  <c r="AB312" i="11"/>
  <c r="AC312" i="11" s="1"/>
  <c r="K23" i="7"/>
  <c r="AB334" i="11"/>
  <c r="AC334" i="11" s="1"/>
  <c r="K34" i="7"/>
  <c r="AB336" i="11"/>
  <c r="AC336" i="11" s="1"/>
  <c r="K35" i="7"/>
  <c r="AB288" i="11"/>
  <c r="AC288" i="11" s="1"/>
  <c r="K11" i="7"/>
  <c r="AB302" i="11"/>
  <c r="AC302" i="11" s="1"/>
  <c r="K18" i="7"/>
  <c r="AB304" i="11"/>
  <c r="AC304" i="11" s="1"/>
  <c r="K19" i="7"/>
  <c r="AB300" i="11"/>
  <c r="AC300" i="11" s="1"/>
  <c r="K17" i="7"/>
  <c r="AB298" i="11"/>
  <c r="AC298" i="11" s="1"/>
  <c r="K16" i="7"/>
  <c r="AB326" i="11"/>
  <c r="AC326" i="11" s="1"/>
  <c r="K30" i="7"/>
  <c r="AB338" i="11"/>
  <c r="AC338" i="11" s="1"/>
  <c r="K36" i="7"/>
  <c r="AB306" i="11"/>
  <c r="AC306" i="11" s="1"/>
  <c r="K20" i="7"/>
  <c r="AB322" i="11"/>
  <c r="AC322" i="11" s="1"/>
  <c r="K28" i="7"/>
  <c r="AB284" i="11"/>
  <c r="AC284" i="11" s="1"/>
  <c r="K9" i="7"/>
  <c r="AB328" i="11"/>
  <c r="AC328" i="11" s="1"/>
  <c r="K31" i="7"/>
  <c r="AB316" i="11"/>
  <c r="AC316" i="11" s="1"/>
  <c r="K25" i="7"/>
  <c r="AB290" i="11"/>
  <c r="AC290" i="11" s="1"/>
  <c r="K12" i="7"/>
  <c r="AB332" i="11"/>
  <c r="AC332" i="11" s="1"/>
  <c r="K33" i="7"/>
  <c r="AB324" i="11"/>
  <c r="AC324" i="11" s="1"/>
  <c r="K29" i="7"/>
  <c r="AB314" i="11"/>
  <c r="AC314" i="11" s="1"/>
  <c r="K24" i="7"/>
  <c r="AB292" i="11"/>
  <c r="AC292" i="11" s="1"/>
  <c r="K13" i="7"/>
  <c r="AB320" i="11"/>
  <c r="AC320" i="11" s="1"/>
  <c r="K27" i="7"/>
  <c r="AB294" i="11"/>
  <c r="AC294" i="11" s="1"/>
  <c r="K14" i="7"/>
  <c r="BH85" i="5"/>
  <c r="BG85" i="5"/>
  <c r="BI85" i="5" s="1"/>
  <c r="BJ85" i="5" s="1"/>
  <c r="BH12" i="5"/>
  <c r="BG12" i="5"/>
  <c r="BI12" i="5" s="1"/>
  <c r="BJ12" i="5" s="1"/>
  <c r="BH22" i="5"/>
  <c r="BG22" i="5"/>
  <c r="BI22" i="5" s="1"/>
  <c r="BJ22" i="5" s="1"/>
  <c r="BH68" i="5"/>
  <c r="BG68" i="5"/>
  <c r="BI68" i="5" s="1"/>
  <c r="BJ68" i="5" s="1"/>
  <c r="BH53" i="5"/>
  <c r="BG53" i="5"/>
  <c r="BI53" i="5" s="1"/>
  <c r="BJ53" i="5" s="1"/>
  <c r="BH31" i="5"/>
  <c r="BG31" i="5"/>
  <c r="BI31" i="5" s="1"/>
  <c r="BJ31" i="5" s="1"/>
  <c r="BH26" i="5"/>
  <c r="BG26" i="5"/>
  <c r="BI26" i="5" s="1"/>
  <c r="BJ26" i="5" s="1"/>
  <c r="BG30" i="5"/>
  <c r="BH30" i="5"/>
  <c r="BD74" i="5"/>
  <c r="BC74" i="5"/>
  <c r="BE74" i="5" s="1"/>
  <c r="BF74" i="5" s="1"/>
  <c r="BD44" i="5"/>
  <c r="BC44" i="5"/>
  <c r="BE44" i="5" s="1"/>
  <c r="BF44" i="5" s="1"/>
  <c r="GC29" i="5"/>
  <c r="GD29" i="5"/>
  <c r="BD41" i="5"/>
  <c r="BC41" i="5"/>
  <c r="BE41" i="5" s="1"/>
  <c r="BF41" i="5" s="1"/>
  <c r="BD82" i="5"/>
  <c r="BC82" i="5"/>
  <c r="BE82" i="5" s="1"/>
  <c r="BF82" i="5" s="1"/>
  <c r="BD27" i="5"/>
  <c r="BC27" i="5"/>
  <c r="BE27" i="5" s="1"/>
  <c r="BF27" i="5" s="1"/>
  <c r="GD39" i="5"/>
  <c r="GC39" i="5"/>
  <c r="GE39" i="5" s="1"/>
  <c r="GF39" i="5" s="1"/>
  <c r="BD93" i="5"/>
  <c r="BC93" i="5"/>
  <c r="BE93" i="5" s="1"/>
  <c r="BF93" i="5" s="1"/>
  <c r="BD28" i="5"/>
  <c r="BC28" i="5"/>
  <c r="BE28" i="5" s="1"/>
  <c r="BF28" i="5" s="1"/>
  <c r="GG49" i="5"/>
  <c r="GH49" i="5"/>
  <c r="GC24" i="5"/>
  <c r="GD24" i="5"/>
  <c r="GC38" i="5"/>
  <c r="GD38" i="5"/>
  <c r="GC41" i="5"/>
  <c r="GD41" i="5"/>
  <c r="GC42" i="5"/>
  <c r="GD42" i="5"/>
  <c r="GC80" i="5"/>
  <c r="GD80" i="5"/>
  <c r="GG14" i="5"/>
  <c r="GH14" i="5"/>
  <c r="GC16" i="5"/>
  <c r="GD16" i="5"/>
  <c r="GC77" i="5"/>
  <c r="GD77" i="5"/>
  <c r="GC12" i="5"/>
  <c r="GD12" i="5"/>
  <c r="GC87" i="5"/>
  <c r="GD87" i="5"/>
  <c r="GC63" i="5"/>
  <c r="GD63" i="5"/>
  <c r="GC64" i="5"/>
  <c r="GD64" i="5"/>
  <c r="GD11" i="5"/>
  <c r="GC11" i="5"/>
  <c r="GE11" i="5" s="1"/>
  <c r="GF11" i="5" s="1"/>
  <c r="GC52" i="5"/>
  <c r="GD52" i="5"/>
  <c r="GC9" i="5"/>
  <c r="GD9" i="5"/>
  <c r="GC15" i="5"/>
  <c r="GD15" i="5"/>
  <c r="GC72" i="5"/>
  <c r="GD72" i="5"/>
  <c r="GC78" i="5"/>
  <c r="GD78" i="5"/>
  <c r="GC84" i="5"/>
  <c r="GD84" i="5"/>
  <c r="GC65" i="5"/>
  <c r="GD65" i="5"/>
  <c r="GC73" i="5"/>
  <c r="GD73" i="5"/>
  <c r="GC83" i="5"/>
  <c r="GD83" i="5"/>
  <c r="GC92" i="5"/>
  <c r="GD92" i="5"/>
  <c r="GC43" i="5"/>
  <c r="GD43" i="5"/>
  <c r="GC53" i="5"/>
  <c r="GD53" i="5"/>
  <c r="GC68" i="5"/>
  <c r="GD68" i="5"/>
  <c r="GC85" i="5"/>
  <c r="GD85" i="5"/>
  <c r="GD37" i="5"/>
  <c r="GC37" i="5"/>
  <c r="GE37" i="5" s="1"/>
  <c r="GF37" i="5" s="1"/>
  <c r="GC95" i="5"/>
  <c r="GD95" i="5"/>
  <c r="GC31" i="5"/>
  <c r="GD31" i="5"/>
  <c r="GC71" i="5"/>
  <c r="GD71" i="5"/>
  <c r="GC28" i="5"/>
  <c r="GE28" i="5" s="1"/>
  <c r="GF28" i="5" s="1"/>
  <c r="GD28" i="5"/>
  <c r="GC67" i="5"/>
  <c r="GD67" i="5"/>
  <c r="BC19" i="5"/>
  <c r="BD19" i="5"/>
  <c r="AZ52" i="5"/>
  <c r="AY52" i="5"/>
  <c r="BA52" i="5" s="1"/>
  <c r="BB52" i="5" s="1"/>
  <c r="AY23" i="5"/>
  <c r="AZ23" i="5"/>
  <c r="BC15" i="5"/>
  <c r="BD15" i="5"/>
  <c r="GD86" i="5"/>
  <c r="GC86" i="5"/>
  <c r="GE86" i="5" s="1"/>
  <c r="GF86" i="5" s="1"/>
  <c r="GD18" i="5"/>
  <c r="GC18" i="5"/>
  <c r="GE18" i="5" s="1"/>
  <c r="GF18" i="5" s="1"/>
  <c r="GD21" i="5"/>
  <c r="GC21" i="5"/>
  <c r="GE21" i="5" s="1"/>
  <c r="GF21" i="5" s="1"/>
  <c r="GD33" i="5"/>
  <c r="GC33" i="5"/>
  <c r="GE33" i="5" s="1"/>
  <c r="GF33" i="5" s="1"/>
  <c r="GD47" i="5"/>
  <c r="GC47" i="5"/>
  <c r="GE47" i="5" s="1"/>
  <c r="GF47" i="5" s="1"/>
  <c r="FZ35" i="5"/>
  <c r="FY35" i="5"/>
  <c r="GA35" i="5" s="1"/>
  <c r="GB35" i="5" s="1"/>
  <c r="AZ38" i="5"/>
  <c r="AY38" i="5"/>
  <c r="BA38" i="5" s="1"/>
  <c r="BB38" i="5" s="1"/>
  <c r="AY42" i="5"/>
  <c r="AZ42" i="5"/>
  <c r="AY73" i="5"/>
  <c r="AZ73" i="5"/>
  <c r="BC40" i="5"/>
  <c r="BD40" i="5"/>
  <c r="GD79" i="5"/>
  <c r="GC79" i="5"/>
  <c r="GE79" i="5" s="1"/>
  <c r="GF79" i="5" s="1"/>
  <c r="GD25" i="5"/>
  <c r="GC25" i="5"/>
  <c r="GE25" i="5" s="1"/>
  <c r="GF25" i="5" s="1"/>
  <c r="GD8" i="5"/>
  <c r="GC8" i="5"/>
  <c r="GE8" i="5" s="1"/>
  <c r="GF8" i="5" s="1"/>
  <c r="GD36" i="5"/>
  <c r="GC36" i="5"/>
  <c r="GE36" i="5" s="1"/>
  <c r="GF36" i="5" s="1"/>
  <c r="GD51" i="5"/>
  <c r="GC51" i="5"/>
  <c r="GE51" i="5" s="1"/>
  <c r="GF51" i="5" s="1"/>
  <c r="GD81" i="5"/>
  <c r="GC81" i="5"/>
  <c r="GE81" i="5" s="1"/>
  <c r="GF81" i="5" s="1"/>
  <c r="GD13" i="5"/>
  <c r="GC13" i="5"/>
  <c r="GE13" i="5" s="1"/>
  <c r="GF13" i="5" s="1"/>
  <c r="GD91" i="5"/>
  <c r="GC91" i="5"/>
  <c r="GE91" i="5" s="1"/>
  <c r="GF91" i="5" s="1"/>
  <c r="BC79" i="5"/>
  <c r="BD79" i="5"/>
  <c r="GH30" i="5"/>
  <c r="GG30" i="5"/>
  <c r="GI30" i="5" s="1"/>
  <c r="GJ30" i="5" s="1"/>
  <c r="AY81" i="5"/>
  <c r="AZ81" i="5"/>
  <c r="AY65" i="5"/>
  <c r="AZ65" i="5"/>
  <c r="FY89" i="5"/>
  <c r="FZ89" i="5"/>
  <c r="AY58" i="5"/>
  <c r="AZ58" i="5"/>
  <c r="BC88" i="5"/>
  <c r="BD88" i="5"/>
  <c r="GD45" i="5"/>
  <c r="GC45" i="5"/>
  <c r="GE45" i="5" s="1"/>
  <c r="GF45" i="5" s="1"/>
  <c r="GD94" i="5"/>
  <c r="GC94" i="5"/>
  <c r="GE94" i="5" s="1"/>
  <c r="GF94" i="5" s="1"/>
  <c r="GD58" i="5"/>
  <c r="GC58" i="5"/>
  <c r="GE58" i="5" s="1"/>
  <c r="GF58" i="5" s="1"/>
  <c r="GD74" i="5"/>
  <c r="GC74" i="5"/>
  <c r="GE74" i="5" s="1"/>
  <c r="GF74" i="5" s="1"/>
  <c r="GD19" i="5"/>
  <c r="GC19" i="5"/>
  <c r="GE19" i="5" s="1"/>
  <c r="GF19" i="5" s="1"/>
  <c r="GD32" i="5"/>
  <c r="GC32" i="5"/>
  <c r="GE32" i="5" s="1"/>
  <c r="GF32" i="5" s="1"/>
  <c r="GD46" i="5"/>
  <c r="GC46" i="5"/>
  <c r="GE46" i="5" s="1"/>
  <c r="GF46" i="5" s="1"/>
  <c r="GD55" i="5"/>
  <c r="GC55" i="5"/>
  <c r="GE55" i="5" s="1"/>
  <c r="GF55" i="5" s="1"/>
  <c r="GD60" i="5"/>
  <c r="GC60" i="5"/>
  <c r="GE60" i="5" s="1"/>
  <c r="GF60" i="5" s="1"/>
  <c r="GD88" i="5"/>
  <c r="GC88" i="5"/>
  <c r="GE88" i="5" s="1"/>
  <c r="GF88" i="5" s="1"/>
  <c r="GD20" i="5"/>
  <c r="GC20" i="5"/>
  <c r="GE20" i="5" s="1"/>
  <c r="GF20" i="5" s="1"/>
  <c r="GD54" i="5"/>
  <c r="GC54" i="5"/>
  <c r="GE54" i="5" s="1"/>
  <c r="GF54" i="5" s="1"/>
  <c r="GD56" i="5"/>
  <c r="GC56" i="5"/>
  <c r="GE56" i="5" s="1"/>
  <c r="GF56" i="5" s="1"/>
  <c r="GD59" i="5"/>
  <c r="GC59" i="5"/>
  <c r="GE59" i="5" s="1"/>
  <c r="GF59" i="5" s="1"/>
  <c r="GD75" i="5"/>
  <c r="GC75" i="5"/>
  <c r="GE75" i="5" s="1"/>
  <c r="GF75" i="5" s="1"/>
  <c r="GD93" i="5"/>
  <c r="GC93" i="5"/>
  <c r="GE93" i="5" s="1"/>
  <c r="GF93" i="5" s="1"/>
  <c r="GD69" i="5"/>
  <c r="GC69" i="5"/>
  <c r="GE69" i="5" s="1"/>
  <c r="GF69" i="5" s="1"/>
  <c r="GD40" i="5"/>
  <c r="GC40" i="5"/>
  <c r="GE40" i="5" s="1"/>
  <c r="GF40" i="5" s="1"/>
  <c r="BC84" i="5"/>
  <c r="BD84" i="5"/>
  <c r="BC86" i="5"/>
  <c r="BD86" i="5"/>
  <c r="BC25" i="5"/>
  <c r="BD25" i="5"/>
  <c r="AY95" i="5"/>
  <c r="AZ95" i="5"/>
  <c r="AY43" i="5"/>
  <c r="AZ43" i="5"/>
  <c r="AY72" i="5"/>
  <c r="AZ72" i="5"/>
  <c r="BC17" i="5"/>
  <c r="BD17" i="5"/>
  <c r="AB281" i="11"/>
  <c r="AC281" i="11" s="1"/>
  <c r="F8" i="7"/>
  <c r="H8" i="7"/>
  <c r="I8" i="7" s="1"/>
  <c r="B23" i="19" s="1"/>
  <c r="C23" i="19" s="1"/>
  <c r="J8" i="7"/>
  <c r="BM29" i="5"/>
  <c r="BN29" i="5" s="1"/>
  <c r="BI75" i="5"/>
  <c r="BJ75" i="5" s="1"/>
  <c r="GE27" i="5"/>
  <c r="GF27" i="5" s="1"/>
  <c r="GE66" i="5"/>
  <c r="GF66" i="5" s="1"/>
  <c r="GE57" i="5"/>
  <c r="GF57" i="5" s="1"/>
  <c r="GE82" i="5"/>
  <c r="GF82" i="5" s="1"/>
  <c r="GA10" i="5"/>
  <c r="GB10" i="5" s="1"/>
  <c r="GE70" i="5"/>
  <c r="GF70" i="5" s="1"/>
  <c r="GA23" i="5"/>
  <c r="GB23" i="5" s="1"/>
  <c r="GA17" i="5"/>
  <c r="GB17" i="5" s="1"/>
  <c r="GA26" i="5"/>
  <c r="GB26" i="5" s="1"/>
  <c r="GA22" i="5"/>
  <c r="GB22" i="5" s="1"/>
  <c r="GE62" i="5"/>
  <c r="GF62" i="5" s="1"/>
  <c r="BA77" i="5"/>
  <c r="BB77" i="5" s="1"/>
  <c r="GA34" i="5"/>
  <c r="GB34" i="5" s="1"/>
  <c r="AW71" i="5"/>
  <c r="AX71" i="5" s="1"/>
  <c r="AW8" i="5"/>
  <c r="AX8" i="5" s="1"/>
  <c r="BA11" i="5"/>
  <c r="BB11" i="5" s="1"/>
  <c r="AW9" i="5"/>
  <c r="AX9" i="5" s="1"/>
  <c r="AW78" i="5"/>
  <c r="AX78" i="5" s="1"/>
  <c r="GA50" i="5"/>
  <c r="GB50" i="5" s="1"/>
  <c r="GA44" i="5"/>
  <c r="GB44" i="5" s="1"/>
  <c r="BA24" i="5"/>
  <c r="BB24" i="5" s="1"/>
  <c r="BA45" i="5"/>
  <c r="BB45" i="5" s="1"/>
  <c r="BA55" i="5"/>
  <c r="BB55" i="5" s="1"/>
  <c r="BA18" i="5"/>
  <c r="BB18" i="5" s="1"/>
  <c r="BA36" i="5"/>
  <c r="BB36" i="5" s="1"/>
  <c r="BA20" i="5"/>
  <c r="BB20" i="5" s="1"/>
  <c r="AW92" i="5"/>
  <c r="AX92" i="5" s="1"/>
  <c r="AW50" i="5"/>
  <c r="AX50" i="5" s="1"/>
  <c r="AW54" i="5"/>
  <c r="AX54" i="5" s="1"/>
  <c r="AW64" i="5"/>
  <c r="AX64" i="5" s="1"/>
  <c r="AW70" i="5"/>
  <c r="AX70" i="5" s="1"/>
  <c r="AW13" i="5"/>
  <c r="AX13" i="5" s="1"/>
  <c r="AW87" i="5"/>
  <c r="AX87" i="5" s="1"/>
  <c r="AW91" i="5"/>
  <c r="AX91" i="5" s="1"/>
  <c r="AW94" i="5"/>
  <c r="AX94" i="5" s="1"/>
  <c r="AW69" i="5"/>
  <c r="AX69" i="5" s="1"/>
  <c r="AW83" i="5"/>
  <c r="AX83" i="5" s="1"/>
  <c r="AW16" i="5"/>
  <c r="AX16" i="5" s="1"/>
  <c r="AW80" i="5"/>
  <c r="AX80" i="5" s="1"/>
  <c r="AW63" i="5"/>
  <c r="AX63" i="5" s="1"/>
  <c r="BM60" i="5" l="1"/>
  <c r="BN60" i="5" s="1"/>
  <c r="GE87" i="5"/>
  <c r="GF87" i="5" s="1"/>
  <c r="GE73" i="5"/>
  <c r="GF73" i="5" s="1"/>
  <c r="AZ14" i="5"/>
  <c r="AY14" i="5"/>
  <c r="BA14" i="5" s="1"/>
  <c r="BB14" i="5" s="1"/>
  <c r="BP21" i="5"/>
  <c r="BO21" i="5"/>
  <c r="BQ21" i="5" s="1"/>
  <c r="BR21" i="5" s="1"/>
  <c r="BP32" i="5"/>
  <c r="BO32" i="5"/>
  <c r="BQ32" i="5" s="1"/>
  <c r="BR32" i="5" s="1"/>
  <c r="BP33" i="5"/>
  <c r="BO33" i="5"/>
  <c r="BQ33" i="5" s="1"/>
  <c r="BR33" i="5" s="1"/>
  <c r="BP34" i="5"/>
  <c r="BO34" i="5"/>
  <c r="BQ34" i="5" s="1"/>
  <c r="BR34" i="5" s="1"/>
  <c r="BP46" i="5"/>
  <c r="BO46" i="5"/>
  <c r="BQ46" i="5" s="1"/>
  <c r="BR46" i="5" s="1"/>
  <c r="BP47" i="5"/>
  <c r="BO47" i="5"/>
  <c r="BP48" i="5"/>
  <c r="BO48" i="5"/>
  <c r="BQ48" i="5" s="1"/>
  <c r="BR48" i="5" s="1"/>
  <c r="BP56" i="5"/>
  <c r="BO56" i="5"/>
  <c r="BQ56" i="5" s="1"/>
  <c r="BR56" i="5" s="1"/>
  <c r="BP57" i="5"/>
  <c r="BO57" i="5"/>
  <c r="BQ57" i="5" s="1"/>
  <c r="BR57" i="5" s="1"/>
  <c r="BP59" i="5"/>
  <c r="BO59" i="5"/>
  <c r="BQ59" i="5" s="1"/>
  <c r="BR59" i="5" s="1"/>
  <c r="BO51" i="5"/>
  <c r="BP51" i="5"/>
  <c r="BP89" i="5"/>
  <c r="BO89" i="5"/>
  <c r="BQ89" i="5" s="1"/>
  <c r="BR89" i="5" s="1"/>
  <c r="BP66" i="5"/>
  <c r="BO66" i="5"/>
  <c r="BQ66" i="5" s="1"/>
  <c r="BR66" i="5" s="1"/>
  <c r="BP67" i="5"/>
  <c r="BO67" i="5"/>
  <c r="BQ67" i="5" s="1"/>
  <c r="BR67" i="5" s="1"/>
  <c r="BP39" i="5"/>
  <c r="BO39" i="5"/>
  <c r="BQ39" i="5" s="1"/>
  <c r="BR39" i="5" s="1"/>
  <c r="BP35" i="5"/>
  <c r="BO35" i="5"/>
  <c r="BQ35" i="5" s="1"/>
  <c r="BR35" i="5" s="1"/>
  <c r="BP60" i="5"/>
  <c r="BO60" i="5"/>
  <c r="BQ60" i="5" s="1"/>
  <c r="BR60" i="5" s="1"/>
  <c r="BP61" i="5"/>
  <c r="BO61" i="5"/>
  <c r="BQ61" i="5" s="1"/>
  <c r="BR61" i="5" s="1"/>
  <c r="BP96" i="5"/>
  <c r="BO96" i="5"/>
  <c r="BQ96" i="5" s="1"/>
  <c r="BR96" i="5" s="1"/>
  <c r="GP48" i="5"/>
  <c r="GO48" i="5"/>
  <c r="GQ48" i="5" s="1"/>
  <c r="GR48" i="5" s="1"/>
  <c r="BP49" i="5"/>
  <c r="BO49" i="5"/>
  <c r="BQ49" i="5" s="1"/>
  <c r="BR49" i="5" s="1"/>
  <c r="GP61" i="5"/>
  <c r="GO61" i="5"/>
  <c r="GQ61" i="5" s="1"/>
  <c r="GR61" i="5" s="1"/>
  <c r="BP62" i="5"/>
  <c r="BO62" i="5"/>
  <c r="BQ62" i="5" s="1"/>
  <c r="BR62" i="5" s="1"/>
  <c r="GP76" i="5"/>
  <c r="GO76" i="5"/>
  <c r="GQ76" i="5" s="1"/>
  <c r="GR76" i="5" s="1"/>
  <c r="BP90" i="5"/>
  <c r="BO90" i="5"/>
  <c r="BQ90" i="5" s="1"/>
  <c r="BR90" i="5" s="1"/>
  <c r="GP90" i="5"/>
  <c r="GO90" i="5"/>
  <c r="GQ90" i="5" s="1"/>
  <c r="GR90" i="5" s="1"/>
  <c r="GP96" i="5"/>
  <c r="GO96" i="5"/>
  <c r="GQ96" i="5" s="1"/>
  <c r="GR96" i="5" s="1"/>
  <c r="BP10" i="5"/>
  <c r="BO10" i="5"/>
  <c r="BQ10" i="5" s="1"/>
  <c r="BR10" i="5" s="1"/>
  <c r="BP37" i="5"/>
  <c r="BO37" i="5"/>
  <c r="BQ37" i="5" s="1"/>
  <c r="BR37" i="5" s="1"/>
  <c r="BL85" i="5"/>
  <c r="BK85" i="5"/>
  <c r="BM85" i="5" s="1"/>
  <c r="BN85" i="5" s="1"/>
  <c r="BK12" i="5"/>
  <c r="BL12" i="5"/>
  <c r="BL22" i="5"/>
  <c r="BK22" i="5"/>
  <c r="BM22" i="5" s="1"/>
  <c r="BN22" i="5" s="1"/>
  <c r="BL68" i="5"/>
  <c r="BK68" i="5"/>
  <c r="BM68" i="5" s="1"/>
  <c r="BN68" i="5" s="1"/>
  <c r="BL53" i="5"/>
  <c r="BK53" i="5"/>
  <c r="BM53" i="5" s="1"/>
  <c r="BN53" i="5" s="1"/>
  <c r="BL31" i="5"/>
  <c r="BK31" i="5"/>
  <c r="BM31" i="5" s="1"/>
  <c r="BN31" i="5" s="1"/>
  <c r="BL26" i="5"/>
  <c r="BK26" i="5"/>
  <c r="BM26" i="5" s="1"/>
  <c r="BN26" i="5" s="1"/>
  <c r="BH74" i="5"/>
  <c r="BG74" i="5"/>
  <c r="BI74" i="5" s="1"/>
  <c r="BJ74" i="5" s="1"/>
  <c r="BH44" i="5"/>
  <c r="BG44" i="5"/>
  <c r="BH41" i="5"/>
  <c r="BG41" i="5"/>
  <c r="BH82" i="5"/>
  <c r="BG82" i="5"/>
  <c r="BI82" i="5" s="1"/>
  <c r="BJ82" i="5" s="1"/>
  <c r="BG27" i="5"/>
  <c r="BH27" i="5"/>
  <c r="GG39" i="5"/>
  <c r="GH39" i="5"/>
  <c r="BG93" i="5"/>
  <c r="BH93" i="5"/>
  <c r="BH28" i="5"/>
  <c r="BG28" i="5"/>
  <c r="BI28" i="5" s="1"/>
  <c r="BJ28" i="5" s="1"/>
  <c r="GH11" i="5"/>
  <c r="GG11" i="5"/>
  <c r="GI11" i="5" s="1"/>
  <c r="GJ11" i="5" s="1"/>
  <c r="GG73" i="5"/>
  <c r="GH73" i="5"/>
  <c r="GH37" i="5"/>
  <c r="GG37" i="5"/>
  <c r="GI37" i="5" s="1"/>
  <c r="GJ37" i="5" s="1"/>
  <c r="GH28" i="5"/>
  <c r="GG28" i="5"/>
  <c r="GI28" i="5" s="1"/>
  <c r="GJ28" i="5" s="1"/>
  <c r="BD14" i="5"/>
  <c r="BC14" i="5"/>
  <c r="BE14" i="5" s="1"/>
  <c r="BF14" i="5" s="1"/>
  <c r="BD52" i="5"/>
  <c r="BC52" i="5"/>
  <c r="BE52" i="5" s="1"/>
  <c r="BF52" i="5" s="1"/>
  <c r="GG86" i="5"/>
  <c r="GH86" i="5"/>
  <c r="GG18" i="5"/>
  <c r="GH18" i="5"/>
  <c r="GH21" i="5"/>
  <c r="GG21" i="5"/>
  <c r="GI21" i="5" s="1"/>
  <c r="GJ21" i="5" s="1"/>
  <c r="GG33" i="5"/>
  <c r="GH33" i="5"/>
  <c r="GG47" i="5"/>
  <c r="GH47" i="5"/>
  <c r="GC35" i="5"/>
  <c r="GD35" i="5"/>
  <c r="BC38" i="5"/>
  <c r="BD38" i="5"/>
  <c r="GG79" i="5"/>
  <c r="GH79" i="5"/>
  <c r="GH25" i="5"/>
  <c r="GG25" i="5"/>
  <c r="GI25" i="5" s="1"/>
  <c r="GJ25" i="5" s="1"/>
  <c r="GG8" i="5"/>
  <c r="GH8" i="5"/>
  <c r="GG36" i="5"/>
  <c r="GH36" i="5"/>
  <c r="GG51" i="5"/>
  <c r="GH51" i="5"/>
  <c r="GG81" i="5"/>
  <c r="GH81" i="5"/>
  <c r="GG13" i="5"/>
  <c r="GH13" i="5"/>
  <c r="GG91" i="5"/>
  <c r="GH91" i="5"/>
  <c r="GK30" i="5"/>
  <c r="GL30" i="5"/>
  <c r="GG45" i="5"/>
  <c r="GH45" i="5"/>
  <c r="GG94" i="5"/>
  <c r="GH94" i="5"/>
  <c r="GG58" i="5"/>
  <c r="GH58" i="5"/>
  <c r="GG74" i="5"/>
  <c r="GH74" i="5"/>
  <c r="GG19" i="5"/>
  <c r="GH19" i="5"/>
  <c r="GG32" i="5"/>
  <c r="GH32" i="5"/>
  <c r="GG46" i="5"/>
  <c r="GH46" i="5"/>
  <c r="GG55" i="5"/>
  <c r="GH55" i="5"/>
  <c r="GG60" i="5"/>
  <c r="GH60" i="5"/>
  <c r="GG88" i="5"/>
  <c r="GH88" i="5"/>
  <c r="GG20" i="5"/>
  <c r="GH20" i="5"/>
  <c r="GG54" i="5"/>
  <c r="GH54" i="5"/>
  <c r="GG56" i="5"/>
  <c r="GH56" i="5"/>
  <c r="GG59" i="5"/>
  <c r="GH59" i="5"/>
  <c r="GG75" i="5"/>
  <c r="GH75" i="5"/>
  <c r="GG93" i="5"/>
  <c r="GH93" i="5"/>
  <c r="GG69" i="5"/>
  <c r="GH69" i="5"/>
  <c r="GG40" i="5"/>
  <c r="GH40" i="5"/>
  <c r="AB282" i="11"/>
  <c r="AC282" i="11" s="1"/>
  <c r="K8" i="7"/>
  <c r="BP29" i="5"/>
  <c r="BO29" i="5"/>
  <c r="BQ29" i="5" s="1"/>
  <c r="BR29" i="5" s="1"/>
  <c r="BK75" i="5"/>
  <c r="BL75" i="5"/>
  <c r="GH27" i="5"/>
  <c r="GG27" i="5"/>
  <c r="GI27" i="5" s="1"/>
  <c r="GJ27" i="5" s="1"/>
  <c r="GH66" i="5"/>
  <c r="GG66" i="5"/>
  <c r="GI66" i="5" s="1"/>
  <c r="GJ66" i="5" s="1"/>
  <c r="GH57" i="5"/>
  <c r="GG57" i="5"/>
  <c r="GI57" i="5" s="1"/>
  <c r="GJ57" i="5" s="1"/>
  <c r="GH82" i="5"/>
  <c r="GG82" i="5"/>
  <c r="GI82" i="5" s="1"/>
  <c r="GJ82" i="5" s="1"/>
  <c r="GD10" i="5"/>
  <c r="GC10" i="5"/>
  <c r="GE10" i="5" s="1"/>
  <c r="GF10" i="5" s="1"/>
  <c r="GH70" i="5"/>
  <c r="GG70" i="5"/>
  <c r="GI70" i="5" s="1"/>
  <c r="GJ70" i="5" s="1"/>
  <c r="GD23" i="5"/>
  <c r="GC23" i="5"/>
  <c r="GE23" i="5" s="1"/>
  <c r="GF23" i="5" s="1"/>
  <c r="GD17" i="5"/>
  <c r="GC17" i="5"/>
  <c r="GE17" i="5" s="1"/>
  <c r="GF17" i="5" s="1"/>
  <c r="GD26" i="5"/>
  <c r="GC26" i="5"/>
  <c r="GE26" i="5" s="1"/>
  <c r="GF26" i="5" s="1"/>
  <c r="GC22" i="5"/>
  <c r="GD22" i="5"/>
  <c r="GG62" i="5"/>
  <c r="GH62" i="5"/>
  <c r="BC77" i="5"/>
  <c r="BD77" i="5"/>
  <c r="GC34" i="5"/>
  <c r="GD34" i="5"/>
  <c r="AY71" i="5"/>
  <c r="AZ71" i="5"/>
  <c r="AY8" i="5"/>
  <c r="AZ8" i="5"/>
  <c r="BC11" i="5"/>
  <c r="BD11" i="5"/>
  <c r="AY9" i="5"/>
  <c r="AZ9" i="5"/>
  <c r="AY78" i="5"/>
  <c r="AZ78" i="5"/>
  <c r="GD50" i="5"/>
  <c r="GC50" i="5"/>
  <c r="GE50" i="5" s="1"/>
  <c r="GF50" i="5" s="1"/>
  <c r="GC44" i="5"/>
  <c r="GD44" i="5"/>
  <c r="BC24" i="5"/>
  <c r="BD24" i="5"/>
  <c r="BD45" i="5"/>
  <c r="BC45" i="5"/>
  <c r="BE45" i="5" s="1"/>
  <c r="BF45" i="5" s="1"/>
  <c r="BC55" i="5"/>
  <c r="BD55" i="5"/>
  <c r="BC18" i="5"/>
  <c r="BD18" i="5"/>
  <c r="BC36" i="5"/>
  <c r="BD36" i="5"/>
  <c r="BD20" i="5"/>
  <c r="BC20" i="5"/>
  <c r="BE20" i="5" s="1"/>
  <c r="BF20" i="5" s="1"/>
  <c r="AY92" i="5"/>
  <c r="AZ92" i="5"/>
  <c r="AY50" i="5"/>
  <c r="AZ50" i="5"/>
  <c r="AY54" i="5"/>
  <c r="AZ54" i="5"/>
  <c r="AY64" i="5"/>
  <c r="AZ64" i="5"/>
  <c r="AY70" i="5"/>
  <c r="AZ70" i="5"/>
  <c r="AZ13" i="5"/>
  <c r="AY13" i="5"/>
  <c r="AY87" i="5"/>
  <c r="AZ87" i="5"/>
  <c r="AY91" i="5"/>
  <c r="AZ91" i="5"/>
  <c r="AY94" i="5"/>
  <c r="AZ94" i="5"/>
  <c r="AY69" i="5"/>
  <c r="AZ69" i="5"/>
  <c r="AZ83" i="5"/>
  <c r="AY83" i="5"/>
  <c r="BA83" i="5" s="1"/>
  <c r="BB83" i="5" s="1"/>
  <c r="AY16" i="5"/>
  <c r="AZ16" i="5"/>
  <c r="AY80" i="5"/>
  <c r="AZ80" i="5"/>
  <c r="AZ63" i="5"/>
  <c r="AY63" i="5"/>
  <c r="BA63" i="5" s="1"/>
  <c r="BB63" i="5" s="1"/>
  <c r="BM76" i="5"/>
  <c r="BN76" i="5" s="1"/>
  <c r="BI30" i="5"/>
  <c r="BJ30" i="5" s="1"/>
  <c r="GE29" i="5"/>
  <c r="GF29" i="5" s="1"/>
  <c r="GI49" i="5"/>
  <c r="GJ49" i="5" s="1"/>
  <c r="GE24" i="5"/>
  <c r="GF24" i="5" s="1"/>
  <c r="GE38" i="5"/>
  <c r="GF38" i="5" s="1"/>
  <c r="GE41" i="5"/>
  <c r="GF41" i="5" s="1"/>
  <c r="GE42" i="5"/>
  <c r="GF42" i="5" s="1"/>
  <c r="GE80" i="5"/>
  <c r="GF80" i="5" s="1"/>
  <c r="GI14" i="5"/>
  <c r="GJ14" i="5" s="1"/>
  <c r="GE16" i="5"/>
  <c r="GF16" i="5" s="1"/>
  <c r="GE77" i="5"/>
  <c r="GF77" i="5" s="1"/>
  <c r="GE12" i="5"/>
  <c r="GF12" i="5" s="1"/>
  <c r="GE95" i="5"/>
  <c r="GF95" i="5" s="1"/>
  <c r="GE31" i="5"/>
  <c r="GF31" i="5" s="1"/>
  <c r="GE71" i="5"/>
  <c r="GF71" i="5" s="1"/>
  <c r="GE63" i="5"/>
  <c r="GF63" i="5" s="1"/>
  <c r="GE64" i="5"/>
  <c r="GF64" i="5" s="1"/>
  <c r="GE52" i="5"/>
  <c r="GF52" i="5" s="1"/>
  <c r="GE9" i="5"/>
  <c r="GF9" i="5" s="1"/>
  <c r="GE15" i="5"/>
  <c r="GF15" i="5" s="1"/>
  <c r="GE72" i="5"/>
  <c r="GF72" i="5" s="1"/>
  <c r="GE78" i="5"/>
  <c r="GF78" i="5" s="1"/>
  <c r="GE84" i="5"/>
  <c r="GF84" i="5" s="1"/>
  <c r="GE65" i="5"/>
  <c r="GF65" i="5" s="1"/>
  <c r="GE83" i="5"/>
  <c r="GF83" i="5" s="1"/>
  <c r="GE92" i="5"/>
  <c r="GF92" i="5" s="1"/>
  <c r="GE43" i="5"/>
  <c r="GF43" i="5" s="1"/>
  <c r="GE53" i="5"/>
  <c r="GF53" i="5" s="1"/>
  <c r="GE68" i="5"/>
  <c r="GF68" i="5" s="1"/>
  <c r="GE85" i="5"/>
  <c r="GF85" i="5" s="1"/>
  <c r="GE67" i="5"/>
  <c r="GF67" i="5" s="1"/>
  <c r="BE19" i="5"/>
  <c r="BF19" i="5" s="1"/>
  <c r="BA23" i="5"/>
  <c r="BB23" i="5" s="1"/>
  <c r="BE15" i="5"/>
  <c r="BF15" i="5" s="1"/>
  <c r="BA42" i="5"/>
  <c r="BB42" i="5" s="1"/>
  <c r="BA73" i="5"/>
  <c r="BB73" i="5" s="1"/>
  <c r="BE40" i="5"/>
  <c r="BF40" i="5" s="1"/>
  <c r="BE79" i="5"/>
  <c r="BF79" i="5" s="1"/>
  <c r="BA81" i="5"/>
  <c r="BB81" i="5" s="1"/>
  <c r="BA65" i="5"/>
  <c r="BB65" i="5" s="1"/>
  <c r="GA89" i="5"/>
  <c r="GB89" i="5" s="1"/>
  <c r="BA58" i="5"/>
  <c r="BB58" i="5" s="1"/>
  <c r="BE88" i="5"/>
  <c r="BF88" i="5" s="1"/>
  <c r="BE84" i="5"/>
  <c r="BF84" i="5" s="1"/>
  <c r="BE86" i="5"/>
  <c r="BF86" i="5" s="1"/>
  <c r="BE25" i="5"/>
  <c r="BF25" i="5" s="1"/>
  <c r="BA95" i="5"/>
  <c r="BB95" i="5" s="1"/>
  <c r="BA43" i="5"/>
  <c r="BB43" i="5" s="1"/>
  <c r="BA72" i="5"/>
  <c r="BB72" i="5" s="1"/>
  <c r="BE17" i="5"/>
  <c r="BF17" i="5" s="1"/>
  <c r="BQ47" i="5" l="1"/>
  <c r="BR47" i="5" s="1"/>
  <c r="BI44" i="5"/>
  <c r="BJ44" i="5" s="1"/>
  <c r="BE38" i="5"/>
  <c r="BF38" i="5" s="1"/>
  <c r="GI88" i="5"/>
  <c r="GJ88" i="5" s="1"/>
  <c r="BA78" i="5"/>
  <c r="BB78" i="5" s="1"/>
  <c r="BA13" i="5"/>
  <c r="BB13" i="5" s="1"/>
  <c r="GG87" i="5"/>
  <c r="GI87" i="5" s="1"/>
  <c r="GJ87" i="5" s="1"/>
  <c r="GH87" i="5"/>
  <c r="BT21" i="5"/>
  <c r="BS21" i="5"/>
  <c r="BU21" i="5" s="1"/>
  <c r="BV21" i="5" s="1"/>
  <c r="BT32" i="5"/>
  <c r="BS32" i="5"/>
  <c r="BU32" i="5" s="1"/>
  <c r="BV32" i="5" s="1"/>
  <c r="BT33" i="5"/>
  <c r="BS33" i="5"/>
  <c r="BU33" i="5" s="1"/>
  <c r="BV33" i="5" s="1"/>
  <c r="BT34" i="5"/>
  <c r="BS34" i="5"/>
  <c r="BU34" i="5" s="1"/>
  <c r="BV34" i="5" s="1"/>
  <c r="BT46" i="5"/>
  <c r="BS46" i="5"/>
  <c r="BU46" i="5" s="1"/>
  <c r="BV46" i="5" s="1"/>
  <c r="BT48" i="5"/>
  <c r="BS48" i="5"/>
  <c r="BU48" i="5" s="1"/>
  <c r="BV48" i="5" s="1"/>
  <c r="BT56" i="5"/>
  <c r="BS56" i="5"/>
  <c r="BU56" i="5" s="1"/>
  <c r="BV56" i="5" s="1"/>
  <c r="BT57" i="5"/>
  <c r="BS57" i="5"/>
  <c r="BU57" i="5" s="1"/>
  <c r="BV57" i="5" s="1"/>
  <c r="BT59" i="5"/>
  <c r="BS59" i="5"/>
  <c r="BU59" i="5" s="1"/>
  <c r="BV59" i="5" s="1"/>
  <c r="BT89" i="5"/>
  <c r="BS89" i="5"/>
  <c r="BU89" i="5" s="1"/>
  <c r="BV89" i="5" s="1"/>
  <c r="BT66" i="5"/>
  <c r="BS66" i="5"/>
  <c r="BU66" i="5" s="1"/>
  <c r="BV66" i="5" s="1"/>
  <c r="BT67" i="5"/>
  <c r="BS67" i="5"/>
  <c r="BU67" i="5" s="1"/>
  <c r="BV67" i="5" s="1"/>
  <c r="BT39" i="5"/>
  <c r="BS39" i="5"/>
  <c r="BU39" i="5" s="1"/>
  <c r="BV39" i="5" s="1"/>
  <c r="BT35" i="5"/>
  <c r="BS35" i="5"/>
  <c r="BU35" i="5" s="1"/>
  <c r="BV35" i="5" s="1"/>
  <c r="BT60" i="5"/>
  <c r="BS60" i="5"/>
  <c r="BU60" i="5" s="1"/>
  <c r="BV60" i="5" s="1"/>
  <c r="BT61" i="5"/>
  <c r="BS61" i="5"/>
  <c r="BU61" i="5" s="1"/>
  <c r="BV61" i="5" s="1"/>
  <c r="BT96" i="5"/>
  <c r="BS96" i="5"/>
  <c r="BU96" i="5" s="1"/>
  <c r="BV96" i="5" s="1"/>
  <c r="GT48" i="5"/>
  <c r="GS48" i="5"/>
  <c r="BT49" i="5"/>
  <c r="BS49" i="5"/>
  <c r="BU49" i="5" s="1"/>
  <c r="BV49" i="5" s="1"/>
  <c r="GT61" i="5"/>
  <c r="GS61" i="5"/>
  <c r="GU61" i="5" s="1"/>
  <c r="GV61" i="5" s="1"/>
  <c r="BT62" i="5"/>
  <c r="BS62" i="5"/>
  <c r="GT76" i="5"/>
  <c r="GS76" i="5"/>
  <c r="GU76" i="5" s="1"/>
  <c r="GV76" i="5" s="1"/>
  <c r="BT90" i="5"/>
  <c r="BS90" i="5"/>
  <c r="BU90" i="5" s="1"/>
  <c r="BV90" i="5" s="1"/>
  <c r="GT90" i="5"/>
  <c r="GS90" i="5"/>
  <c r="GU90" i="5" s="1"/>
  <c r="GV90" i="5" s="1"/>
  <c r="GT96" i="5"/>
  <c r="GS96" i="5"/>
  <c r="GU96" i="5" s="1"/>
  <c r="GV96" i="5" s="1"/>
  <c r="BT10" i="5"/>
  <c r="BS10" i="5"/>
  <c r="BU10" i="5" s="1"/>
  <c r="BV10" i="5" s="1"/>
  <c r="BS37" i="5"/>
  <c r="BT37" i="5"/>
  <c r="BP85" i="5"/>
  <c r="BO85" i="5"/>
  <c r="BQ85" i="5" s="1"/>
  <c r="BR85" i="5" s="1"/>
  <c r="BO22" i="5"/>
  <c r="BP22" i="5"/>
  <c r="BP68" i="5"/>
  <c r="BO68" i="5"/>
  <c r="BQ68" i="5" s="1"/>
  <c r="BR68" i="5" s="1"/>
  <c r="BP53" i="5"/>
  <c r="BO53" i="5"/>
  <c r="BQ53" i="5" s="1"/>
  <c r="BR53" i="5" s="1"/>
  <c r="BP31" i="5"/>
  <c r="BO31" i="5"/>
  <c r="BQ31" i="5" s="1"/>
  <c r="BR31" i="5" s="1"/>
  <c r="BO26" i="5"/>
  <c r="BP26" i="5"/>
  <c r="BL74" i="5"/>
  <c r="BK74" i="5"/>
  <c r="BM74" i="5" s="1"/>
  <c r="BN74" i="5" s="1"/>
  <c r="BL44" i="5"/>
  <c r="BK44" i="5"/>
  <c r="BM44" i="5" s="1"/>
  <c r="BN44" i="5" s="1"/>
  <c r="BL82" i="5"/>
  <c r="BK82" i="5"/>
  <c r="BM82" i="5" s="1"/>
  <c r="BN82" i="5" s="1"/>
  <c r="BL28" i="5"/>
  <c r="BK28" i="5"/>
  <c r="BM28" i="5" s="1"/>
  <c r="BN28" i="5" s="1"/>
  <c r="GL11" i="5"/>
  <c r="GK11" i="5"/>
  <c r="GK37" i="5"/>
  <c r="GL37" i="5"/>
  <c r="GK28" i="5"/>
  <c r="GL28" i="5"/>
  <c r="BH14" i="5"/>
  <c r="BG14" i="5"/>
  <c r="BI14" i="5" s="1"/>
  <c r="BJ14" i="5" s="1"/>
  <c r="BH52" i="5"/>
  <c r="BG52" i="5"/>
  <c r="BI52" i="5" s="1"/>
  <c r="BJ52" i="5" s="1"/>
  <c r="GL21" i="5"/>
  <c r="GK21" i="5"/>
  <c r="GM21" i="5" s="1"/>
  <c r="GN21" i="5" s="1"/>
  <c r="BH38" i="5"/>
  <c r="BG38" i="5"/>
  <c r="BI38" i="5" s="1"/>
  <c r="BJ38" i="5" s="1"/>
  <c r="GK25" i="5"/>
  <c r="GL25" i="5"/>
  <c r="GK88" i="5"/>
  <c r="GL88" i="5"/>
  <c r="BS29" i="5"/>
  <c r="BT29" i="5"/>
  <c r="GK27" i="5"/>
  <c r="GL27" i="5"/>
  <c r="GK66" i="5"/>
  <c r="GL66" i="5"/>
  <c r="GK57" i="5"/>
  <c r="GL57" i="5"/>
  <c r="GK82" i="5"/>
  <c r="GL82" i="5"/>
  <c r="GG10" i="5"/>
  <c r="GH10" i="5"/>
  <c r="GK70" i="5"/>
  <c r="GL70" i="5"/>
  <c r="GG23" i="5"/>
  <c r="GH23" i="5"/>
  <c r="GG17" i="5"/>
  <c r="GH17" i="5"/>
  <c r="GH26" i="5"/>
  <c r="GG26" i="5"/>
  <c r="GI26" i="5" s="1"/>
  <c r="GJ26" i="5" s="1"/>
  <c r="GG50" i="5"/>
  <c r="GH50" i="5"/>
  <c r="BH45" i="5"/>
  <c r="BG45" i="5"/>
  <c r="BI45" i="5" s="1"/>
  <c r="BJ45" i="5" s="1"/>
  <c r="BG20" i="5"/>
  <c r="BH20" i="5"/>
  <c r="BD83" i="5"/>
  <c r="BC83" i="5"/>
  <c r="BE83" i="5" s="1"/>
  <c r="BF83" i="5" s="1"/>
  <c r="BC63" i="5"/>
  <c r="BD63" i="5"/>
  <c r="BO76" i="5"/>
  <c r="BP76" i="5"/>
  <c r="BK30" i="5"/>
  <c r="BL30" i="5"/>
  <c r="GH29" i="5"/>
  <c r="GG29" i="5"/>
  <c r="GI29" i="5" s="1"/>
  <c r="GJ29" i="5" s="1"/>
  <c r="GL49" i="5"/>
  <c r="GK49" i="5"/>
  <c r="GM49" i="5" s="1"/>
  <c r="GN49" i="5" s="1"/>
  <c r="GH24" i="5"/>
  <c r="GG24" i="5"/>
  <c r="GI24" i="5" s="1"/>
  <c r="GJ24" i="5" s="1"/>
  <c r="GH38" i="5"/>
  <c r="GG38" i="5"/>
  <c r="GI38" i="5" s="1"/>
  <c r="GJ38" i="5" s="1"/>
  <c r="GH41" i="5"/>
  <c r="GG41" i="5"/>
  <c r="GI41" i="5" s="1"/>
  <c r="GJ41" i="5" s="1"/>
  <c r="GG42" i="5"/>
  <c r="GH42" i="5"/>
  <c r="GH80" i="5"/>
  <c r="GG80" i="5"/>
  <c r="GI80" i="5" s="1"/>
  <c r="GJ80" i="5" s="1"/>
  <c r="GL14" i="5"/>
  <c r="GK14" i="5"/>
  <c r="GH16" i="5"/>
  <c r="GG16" i="5"/>
  <c r="GI16" i="5" s="1"/>
  <c r="GJ16" i="5" s="1"/>
  <c r="GH77" i="5"/>
  <c r="GG77" i="5"/>
  <c r="GI77" i="5" s="1"/>
  <c r="GJ77" i="5" s="1"/>
  <c r="GG12" i="5"/>
  <c r="GH12" i="5"/>
  <c r="GH95" i="5"/>
  <c r="GG95" i="5"/>
  <c r="GI95" i="5" s="1"/>
  <c r="GJ95" i="5" s="1"/>
  <c r="GH31" i="5"/>
  <c r="GG31" i="5"/>
  <c r="GI31" i="5" s="1"/>
  <c r="GJ31" i="5" s="1"/>
  <c r="GH71" i="5"/>
  <c r="GG71" i="5"/>
  <c r="GI71" i="5" s="1"/>
  <c r="GJ71" i="5" s="1"/>
  <c r="GH63" i="5"/>
  <c r="GG63" i="5"/>
  <c r="GI63" i="5" s="1"/>
  <c r="GJ63" i="5" s="1"/>
  <c r="GH64" i="5"/>
  <c r="GG64" i="5"/>
  <c r="GI64" i="5" s="1"/>
  <c r="GJ64" i="5" s="1"/>
  <c r="GH52" i="5"/>
  <c r="GG52" i="5"/>
  <c r="GH9" i="5"/>
  <c r="GG9" i="5"/>
  <c r="GI9" i="5" s="1"/>
  <c r="GJ9" i="5" s="1"/>
  <c r="GH15" i="5"/>
  <c r="GG15" i="5"/>
  <c r="GI15" i="5" s="1"/>
  <c r="GJ15" i="5" s="1"/>
  <c r="GH72" i="5"/>
  <c r="GG72" i="5"/>
  <c r="GI72" i="5" s="1"/>
  <c r="GJ72" i="5" s="1"/>
  <c r="GH78" i="5"/>
  <c r="GG78" i="5"/>
  <c r="GI78" i="5" s="1"/>
  <c r="GJ78" i="5" s="1"/>
  <c r="GH84" i="5"/>
  <c r="GG84" i="5"/>
  <c r="GI84" i="5" s="1"/>
  <c r="GJ84" i="5" s="1"/>
  <c r="GG65" i="5"/>
  <c r="GH65" i="5"/>
  <c r="GH83" i="5"/>
  <c r="GG83" i="5"/>
  <c r="GI83" i="5" s="1"/>
  <c r="GJ83" i="5" s="1"/>
  <c r="GH92" i="5"/>
  <c r="GG92" i="5"/>
  <c r="GI92" i="5" s="1"/>
  <c r="GJ92" i="5" s="1"/>
  <c r="GH43" i="5"/>
  <c r="GG43" i="5"/>
  <c r="GI43" i="5" s="1"/>
  <c r="GJ43" i="5" s="1"/>
  <c r="GH53" i="5"/>
  <c r="GG53" i="5"/>
  <c r="GI53" i="5" s="1"/>
  <c r="GJ53" i="5" s="1"/>
  <c r="GH68" i="5"/>
  <c r="GG68" i="5"/>
  <c r="GI68" i="5" s="1"/>
  <c r="GJ68" i="5" s="1"/>
  <c r="GH85" i="5"/>
  <c r="GG85" i="5"/>
  <c r="GI85" i="5" s="1"/>
  <c r="GJ85" i="5" s="1"/>
  <c r="GH67" i="5"/>
  <c r="GG67" i="5"/>
  <c r="GI67" i="5" s="1"/>
  <c r="GJ67" i="5" s="1"/>
  <c r="BG19" i="5"/>
  <c r="BH19" i="5"/>
  <c r="BD23" i="5"/>
  <c r="BC23" i="5"/>
  <c r="BE23" i="5" s="1"/>
  <c r="BF23" i="5" s="1"/>
  <c r="BG15" i="5"/>
  <c r="BH15" i="5"/>
  <c r="BC42" i="5"/>
  <c r="BD42" i="5"/>
  <c r="BC73" i="5"/>
  <c r="BD73" i="5"/>
  <c r="BG40" i="5"/>
  <c r="BH40" i="5"/>
  <c r="BG79" i="5"/>
  <c r="BH79" i="5"/>
  <c r="BC81" i="5"/>
  <c r="BD81" i="5"/>
  <c r="BC65" i="5"/>
  <c r="BD65" i="5"/>
  <c r="GC89" i="5"/>
  <c r="GD89" i="5"/>
  <c r="BC58" i="5"/>
  <c r="BD58" i="5"/>
  <c r="BG88" i="5"/>
  <c r="BH88" i="5"/>
  <c r="BG84" i="5"/>
  <c r="BH84" i="5"/>
  <c r="BG86" i="5"/>
  <c r="BH86" i="5"/>
  <c r="BG25" i="5"/>
  <c r="BH25" i="5"/>
  <c r="BC95" i="5"/>
  <c r="BD95" i="5"/>
  <c r="BC43" i="5"/>
  <c r="BD43" i="5"/>
  <c r="BC72" i="5"/>
  <c r="BD72" i="5"/>
  <c r="BG17" i="5"/>
  <c r="BH17" i="5"/>
  <c r="BQ51" i="5"/>
  <c r="BR51" i="5" s="1"/>
  <c r="BM12" i="5"/>
  <c r="BN12" i="5" s="1"/>
  <c r="BI41" i="5"/>
  <c r="BJ41" i="5" s="1"/>
  <c r="BI27" i="5"/>
  <c r="BJ27" i="5" s="1"/>
  <c r="GI39" i="5"/>
  <c r="GJ39" i="5" s="1"/>
  <c r="BI93" i="5"/>
  <c r="BJ93" i="5" s="1"/>
  <c r="GI73" i="5"/>
  <c r="GJ73" i="5" s="1"/>
  <c r="GI86" i="5"/>
  <c r="GJ86" i="5" s="1"/>
  <c r="GI18" i="5"/>
  <c r="GJ18" i="5" s="1"/>
  <c r="GI33" i="5"/>
  <c r="GJ33" i="5" s="1"/>
  <c r="GI47" i="5"/>
  <c r="GJ47" i="5" s="1"/>
  <c r="GE35" i="5"/>
  <c r="GF35" i="5" s="1"/>
  <c r="GI79" i="5"/>
  <c r="GJ79" i="5" s="1"/>
  <c r="GI8" i="5"/>
  <c r="GJ8" i="5" s="1"/>
  <c r="GI36" i="5"/>
  <c r="GJ36" i="5" s="1"/>
  <c r="GI51" i="5"/>
  <c r="GJ51" i="5" s="1"/>
  <c r="GI81" i="5"/>
  <c r="GJ81" i="5" s="1"/>
  <c r="GI13" i="5"/>
  <c r="GJ13" i="5" s="1"/>
  <c r="GI91" i="5"/>
  <c r="GJ91" i="5" s="1"/>
  <c r="GM30" i="5"/>
  <c r="GN30" i="5" s="1"/>
  <c r="GI45" i="5"/>
  <c r="GJ45" i="5" s="1"/>
  <c r="GI94" i="5"/>
  <c r="GJ94" i="5" s="1"/>
  <c r="GI58" i="5"/>
  <c r="GJ58" i="5" s="1"/>
  <c r="GI74" i="5"/>
  <c r="GJ74" i="5" s="1"/>
  <c r="GI19" i="5"/>
  <c r="GJ19" i="5" s="1"/>
  <c r="GI32" i="5"/>
  <c r="GJ32" i="5" s="1"/>
  <c r="GI46" i="5"/>
  <c r="GJ46" i="5" s="1"/>
  <c r="GI55" i="5"/>
  <c r="GJ55" i="5" s="1"/>
  <c r="GI60" i="5"/>
  <c r="GJ60" i="5" s="1"/>
  <c r="BA92" i="5"/>
  <c r="BB92" i="5" s="1"/>
  <c r="GI20" i="5"/>
  <c r="GJ20" i="5" s="1"/>
  <c r="GI54" i="5"/>
  <c r="GJ54" i="5" s="1"/>
  <c r="GI56" i="5"/>
  <c r="GJ56" i="5" s="1"/>
  <c r="GI59" i="5"/>
  <c r="GJ59" i="5" s="1"/>
  <c r="GI75" i="5"/>
  <c r="GJ75" i="5" s="1"/>
  <c r="GI93" i="5"/>
  <c r="GJ93" i="5" s="1"/>
  <c r="GI69" i="5"/>
  <c r="GJ69" i="5" s="1"/>
  <c r="GI40" i="5"/>
  <c r="GJ40" i="5" s="1"/>
  <c r="BM75" i="5"/>
  <c r="BN75" i="5" s="1"/>
  <c r="GE22" i="5"/>
  <c r="GF22" i="5" s="1"/>
  <c r="GI62" i="5"/>
  <c r="GJ62" i="5" s="1"/>
  <c r="BE77" i="5"/>
  <c r="BF77" i="5" s="1"/>
  <c r="GE34" i="5"/>
  <c r="GF34" i="5" s="1"/>
  <c r="BA71" i="5"/>
  <c r="BB71" i="5" s="1"/>
  <c r="BA8" i="5"/>
  <c r="BB8" i="5" s="1"/>
  <c r="BE11" i="5"/>
  <c r="BF11" i="5" s="1"/>
  <c r="BA9" i="5"/>
  <c r="BB9" i="5" s="1"/>
  <c r="GE44" i="5"/>
  <c r="GF44" i="5" s="1"/>
  <c r="BE24" i="5"/>
  <c r="BF24" i="5" s="1"/>
  <c r="BE55" i="5"/>
  <c r="BF55" i="5" s="1"/>
  <c r="BE18" i="5"/>
  <c r="BF18" i="5" s="1"/>
  <c r="BE36" i="5"/>
  <c r="BF36" i="5" s="1"/>
  <c r="BA50" i="5"/>
  <c r="BB50" i="5" s="1"/>
  <c r="BA54" i="5"/>
  <c r="BB54" i="5" s="1"/>
  <c r="BA64" i="5"/>
  <c r="BB64" i="5" s="1"/>
  <c r="BA70" i="5"/>
  <c r="BB70" i="5" s="1"/>
  <c r="BA87" i="5"/>
  <c r="BB87" i="5" s="1"/>
  <c r="BA91" i="5"/>
  <c r="BB91" i="5" s="1"/>
  <c r="BA94" i="5"/>
  <c r="BB94" i="5" s="1"/>
  <c r="BA69" i="5"/>
  <c r="BB69" i="5" s="1"/>
  <c r="BA16" i="5"/>
  <c r="BB16" i="5" s="1"/>
  <c r="BA80" i="5"/>
  <c r="BB80" i="5" s="1"/>
  <c r="BU37" i="5" l="1"/>
  <c r="BV37" i="5" s="1"/>
  <c r="BU62" i="5"/>
  <c r="BV62" i="5" s="1"/>
  <c r="GM11" i="5"/>
  <c r="GN11" i="5" s="1"/>
  <c r="GM25" i="5"/>
  <c r="GN25" i="5" s="1"/>
  <c r="BE73" i="5"/>
  <c r="BF73" i="5" s="1"/>
  <c r="BI86" i="5"/>
  <c r="BJ86" i="5" s="1"/>
  <c r="BT47" i="5"/>
  <c r="BS47" i="5"/>
  <c r="BU47" i="5" s="1"/>
  <c r="BV47" i="5" s="1"/>
  <c r="BD78" i="5"/>
  <c r="BC78" i="5"/>
  <c r="BE78" i="5" s="1"/>
  <c r="BF78" i="5" s="1"/>
  <c r="BD13" i="5"/>
  <c r="BC13" i="5"/>
  <c r="BE13" i="5" s="1"/>
  <c r="BF13" i="5" s="1"/>
  <c r="BX21" i="5"/>
  <c r="BW21" i="5"/>
  <c r="BY21" i="5" s="1"/>
  <c r="BZ21" i="5" s="1"/>
  <c r="BX32" i="5"/>
  <c r="BW32" i="5"/>
  <c r="BY32" i="5" s="1"/>
  <c r="BZ32" i="5" s="1"/>
  <c r="BX33" i="5"/>
  <c r="BW33" i="5"/>
  <c r="BX34" i="5"/>
  <c r="BW34" i="5"/>
  <c r="BY34" i="5" s="1"/>
  <c r="BZ34" i="5" s="1"/>
  <c r="BX46" i="5"/>
  <c r="BW46" i="5"/>
  <c r="BY46" i="5" s="1"/>
  <c r="BZ46" i="5" s="1"/>
  <c r="BX48" i="5"/>
  <c r="BW48" i="5"/>
  <c r="BY48" i="5" s="1"/>
  <c r="BZ48" i="5" s="1"/>
  <c r="BX56" i="5"/>
  <c r="BW56" i="5"/>
  <c r="BY56" i="5" s="1"/>
  <c r="BZ56" i="5" s="1"/>
  <c r="BX57" i="5"/>
  <c r="BW57" i="5"/>
  <c r="BY57" i="5" s="1"/>
  <c r="BZ57" i="5" s="1"/>
  <c r="BX59" i="5"/>
  <c r="BW59" i="5"/>
  <c r="BY59" i="5" s="1"/>
  <c r="BZ59" i="5" s="1"/>
  <c r="BX89" i="5"/>
  <c r="BW89" i="5"/>
  <c r="BY89" i="5" s="1"/>
  <c r="BZ89" i="5" s="1"/>
  <c r="BX66" i="5"/>
  <c r="BW66" i="5"/>
  <c r="BY66" i="5" s="1"/>
  <c r="BZ66" i="5" s="1"/>
  <c r="BX67" i="5"/>
  <c r="BW67" i="5"/>
  <c r="BY67" i="5" s="1"/>
  <c r="BZ67" i="5" s="1"/>
  <c r="BX39" i="5"/>
  <c r="BW39" i="5"/>
  <c r="BY39" i="5" s="1"/>
  <c r="BZ39" i="5" s="1"/>
  <c r="BX35" i="5"/>
  <c r="BW35" i="5"/>
  <c r="BY35" i="5" s="1"/>
  <c r="BZ35" i="5" s="1"/>
  <c r="BX60" i="5"/>
  <c r="BW60" i="5"/>
  <c r="BY60" i="5" s="1"/>
  <c r="BZ60" i="5" s="1"/>
  <c r="BX61" i="5"/>
  <c r="BW61" i="5"/>
  <c r="BY61" i="5" s="1"/>
  <c r="BZ61" i="5" s="1"/>
  <c r="BX96" i="5"/>
  <c r="BW96" i="5"/>
  <c r="BY96" i="5" s="1"/>
  <c r="BZ96" i="5" s="1"/>
  <c r="BX49" i="5"/>
  <c r="BW49" i="5"/>
  <c r="BY49" i="5" s="1"/>
  <c r="BZ49" i="5" s="1"/>
  <c r="GX61" i="5"/>
  <c r="GW61" i="5"/>
  <c r="GY61" i="5" s="1"/>
  <c r="GZ61" i="5" s="1"/>
  <c r="GX76" i="5"/>
  <c r="GW76" i="5"/>
  <c r="GY76" i="5" s="1"/>
  <c r="GZ76" i="5" s="1"/>
  <c r="BX90" i="5"/>
  <c r="BW90" i="5"/>
  <c r="BY90" i="5" s="1"/>
  <c r="BZ90" i="5" s="1"/>
  <c r="GX90" i="5"/>
  <c r="GW90" i="5"/>
  <c r="GY90" i="5" s="1"/>
  <c r="GZ90" i="5" s="1"/>
  <c r="GX96" i="5"/>
  <c r="GW96" i="5"/>
  <c r="GY96" i="5" s="1"/>
  <c r="GZ96" i="5" s="1"/>
  <c r="BX10" i="5"/>
  <c r="BW10" i="5"/>
  <c r="BY10" i="5" s="1"/>
  <c r="BZ10" i="5" s="1"/>
  <c r="BX37" i="5"/>
  <c r="BW37" i="5"/>
  <c r="BY37" i="5" s="1"/>
  <c r="BZ37" i="5" s="1"/>
  <c r="BT85" i="5"/>
  <c r="BS85" i="5"/>
  <c r="BT68" i="5"/>
  <c r="BS68" i="5"/>
  <c r="BU68" i="5" s="1"/>
  <c r="BV68" i="5" s="1"/>
  <c r="BT53" i="5"/>
  <c r="BS53" i="5"/>
  <c r="BU53" i="5" s="1"/>
  <c r="BV53" i="5" s="1"/>
  <c r="BT31" i="5"/>
  <c r="BS31" i="5"/>
  <c r="BU31" i="5" s="1"/>
  <c r="BV31" i="5" s="1"/>
  <c r="BP74" i="5"/>
  <c r="BO74" i="5"/>
  <c r="BQ74" i="5" s="1"/>
  <c r="BR74" i="5" s="1"/>
  <c r="BP44" i="5"/>
  <c r="BO44" i="5"/>
  <c r="BQ44" i="5" s="1"/>
  <c r="BR44" i="5" s="1"/>
  <c r="BP82" i="5"/>
  <c r="BO82" i="5"/>
  <c r="BQ82" i="5" s="1"/>
  <c r="BR82" i="5" s="1"/>
  <c r="BP28" i="5"/>
  <c r="BO28" i="5"/>
  <c r="BQ28" i="5" s="1"/>
  <c r="BR28" i="5" s="1"/>
  <c r="GP11" i="5"/>
  <c r="GO11" i="5"/>
  <c r="GQ11" i="5" s="1"/>
  <c r="GR11" i="5" s="1"/>
  <c r="BL14" i="5"/>
  <c r="BK14" i="5"/>
  <c r="BM14" i="5" s="1"/>
  <c r="BN14" i="5" s="1"/>
  <c r="BL52" i="5"/>
  <c r="BK52" i="5"/>
  <c r="BM52" i="5" s="1"/>
  <c r="BN52" i="5" s="1"/>
  <c r="GP21" i="5"/>
  <c r="GO21" i="5"/>
  <c r="GQ21" i="5" s="1"/>
  <c r="GR21" i="5" s="1"/>
  <c r="BL38" i="5"/>
  <c r="BK38" i="5"/>
  <c r="GK26" i="5"/>
  <c r="GL26" i="5"/>
  <c r="BL45" i="5"/>
  <c r="BK45" i="5"/>
  <c r="BM45" i="5" s="1"/>
  <c r="BN45" i="5" s="1"/>
  <c r="BH83" i="5"/>
  <c r="BG83" i="5"/>
  <c r="BI83" i="5" s="1"/>
  <c r="BJ83" i="5" s="1"/>
  <c r="GK29" i="5"/>
  <c r="GL29" i="5"/>
  <c r="GO49" i="5"/>
  <c r="GP49" i="5"/>
  <c r="GK24" i="5"/>
  <c r="GL24" i="5"/>
  <c r="GK38" i="5"/>
  <c r="GL38" i="5"/>
  <c r="GK41" i="5"/>
  <c r="GL41" i="5"/>
  <c r="GK80" i="5"/>
  <c r="GL80" i="5"/>
  <c r="GK16" i="5"/>
  <c r="GL16" i="5"/>
  <c r="GK77" i="5"/>
  <c r="GL77" i="5"/>
  <c r="GK95" i="5"/>
  <c r="GL95" i="5"/>
  <c r="GK31" i="5"/>
  <c r="GL31" i="5"/>
  <c r="GK71" i="5"/>
  <c r="GL71" i="5"/>
  <c r="GK63" i="5"/>
  <c r="GL63" i="5"/>
  <c r="GK64" i="5"/>
  <c r="GL64" i="5"/>
  <c r="GK9" i="5"/>
  <c r="GL9" i="5"/>
  <c r="GK15" i="5"/>
  <c r="GL15" i="5"/>
  <c r="GK72" i="5"/>
  <c r="GL72" i="5"/>
  <c r="GK78" i="5"/>
  <c r="GL78" i="5"/>
  <c r="GK84" i="5"/>
  <c r="GL84" i="5"/>
  <c r="GK83" i="5"/>
  <c r="GL83" i="5"/>
  <c r="GK92" i="5"/>
  <c r="GL92" i="5"/>
  <c r="GK43" i="5"/>
  <c r="GL43" i="5"/>
  <c r="GK53" i="5"/>
  <c r="GL53" i="5"/>
  <c r="GK68" i="5"/>
  <c r="GL68" i="5"/>
  <c r="GK85" i="5"/>
  <c r="GL85" i="5"/>
  <c r="GK67" i="5"/>
  <c r="GL67" i="5"/>
  <c r="BH23" i="5"/>
  <c r="BG23" i="5"/>
  <c r="BI23" i="5" s="1"/>
  <c r="BJ23" i="5" s="1"/>
  <c r="BS51" i="5"/>
  <c r="BT51" i="5"/>
  <c r="BP12" i="5"/>
  <c r="BO12" i="5"/>
  <c r="BQ12" i="5" s="1"/>
  <c r="BR12" i="5" s="1"/>
  <c r="BL41" i="5"/>
  <c r="BK41" i="5"/>
  <c r="BM41" i="5" s="1"/>
  <c r="BN41" i="5" s="1"/>
  <c r="BL27" i="5"/>
  <c r="BK27" i="5"/>
  <c r="BM27" i="5" s="1"/>
  <c r="BN27" i="5" s="1"/>
  <c r="GL39" i="5"/>
  <c r="GK39" i="5"/>
  <c r="GM39" i="5" s="1"/>
  <c r="GN39" i="5" s="1"/>
  <c r="BK93" i="5"/>
  <c r="BL93" i="5"/>
  <c r="GL87" i="5"/>
  <c r="GK87" i="5"/>
  <c r="GM87" i="5" s="1"/>
  <c r="GN87" i="5" s="1"/>
  <c r="GK73" i="5"/>
  <c r="GL73" i="5"/>
  <c r="GL86" i="5"/>
  <c r="GK86" i="5"/>
  <c r="GM86" i="5" s="1"/>
  <c r="GN86" i="5" s="1"/>
  <c r="GL18" i="5"/>
  <c r="GK18" i="5"/>
  <c r="GM18" i="5" s="1"/>
  <c r="GN18" i="5" s="1"/>
  <c r="GL33" i="5"/>
  <c r="GK33" i="5"/>
  <c r="GM33" i="5" s="1"/>
  <c r="GN33" i="5" s="1"/>
  <c r="GL47" i="5"/>
  <c r="GK47" i="5"/>
  <c r="GM47" i="5" s="1"/>
  <c r="GN47" i="5" s="1"/>
  <c r="GH35" i="5"/>
  <c r="GG35" i="5"/>
  <c r="GI35" i="5" s="1"/>
  <c r="GJ35" i="5" s="1"/>
  <c r="GL79" i="5"/>
  <c r="GK79" i="5"/>
  <c r="GM79" i="5" s="1"/>
  <c r="GN79" i="5" s="1"/>
  <c r="GL8" i="5"/>
  <c r="GK8" i="5"/>
  <c r="GM8" i="5" s="1"/>
  <c r="GN8" i="5" s="1"/>
  <c r="GL36" i="5"/>
  <c r="GK36" i="5"/>
  <c r="GM36" i="5" s="1"/>
  <c r="GN36" i="5" s="1"/>
  <c r="GL51" i="5"/>
  <c r="GK51" i="5"/>
  <c r="GM51" i="5" s="1"/>
  <c r="GN51" i="5" s="1"/>
  <c r="GK81" i="5"/>
  <c r="GL81" i="5"/>
  <c r="GK13" i="5"/>
  <c r="GL13" i="5"/>
  <c r="GL91" i="5"/>
  <c r="GK91" i="5"/>
  <c r="GM91" i="5" s="1"/>
  <c r="GN91" i="5" s="1"/>
  <c r="GP30" i="5"/>
  <c r="GO30" i="5"/>
  <c r="GQ30" i="5" s="1"/>
  <c r="GR30" i="5" s="1"/>
  <c r="GL45" i="5"/>
  <c r="GK45" i="5"/>
  <c r="GM45" i="5" s="1"/>
  <c r="GN45" i="5" s="1"/>
  <c r="GL94" i="5"/>
  <c r="GK94" i="5"/>
  <c r="GM94" i="5" s="1"/>
  <c r="GN94" i="5" s="1"/>
  <c r="GL58" i="5"/>
  <c r="GK58" i="5"/>
  <c r="GM58" i="5" s="1"/>
  <c r="GN58" i="5" s="1"/>
  <c r="GL74" i="5"/>
  <c r="GK74" i="5"/>
  <c r="GL19" i="5"/>
  <c r="GK19" i="5"/>
  <c r="GM19" i="5" s="1"/>
  <c r="GN19" i="5" s="1"/>
  <c r="GL32" i="5"/>
  <c r="GK32" i="5"/>
  <c r="GM32" i="5" s="1"/>
  <c r="GN32" i="5" s="1"/>
  <c r="GL46" i="5"/>
  <c r="GK46" i="5"/>
  <c r="GM46" i="5" s="1"/>
  <c r="GN46" i="5" s="1"/>
  <c r="GL55" i="5"/>
  <c r="GK55" i="5"/>
  <c r="GM55" i="5" s="1"/>
  <c r="GN55" i="5" s="1"/>
  <c r="GL60" i="5"/>
  <c r="GK60" i="5"/>
  <c r="BC92" i="5"/>
  <c r="BD92" i="5"/>
  <c r="GL20" i="5"/>
  <c r="GK20" i="5"/>
  <c r="GM20" i="5" s="1"/>
  <c r="GN20" i="5" s="1"/>
  <c r="GL54" i="5"/>
  <c r="GK54" i="5"/>
  <c r="GM54" i="5" s="1"/>
  <c r="GN54" i="5" s="1"/>
  <c r="GL56" i="5"/>
  <c r="GK56" i="5"/>
  <c r="GM56" i="5" s="1"/>
  <c r="GN56" i="5" s="1"/>
  <c r="GL59" i="5"/>
  <c r="GK59" i="5"/>
  <c r="GL75" i="5"/>
  <c r="GK75" i="5"/>
  <c r="GM75" i="5" s="1"/>
  <c r="GN75" i="5" s="1"/>
  <c r="GK93" i="5"/>
  <c r="GL93" i="5"/>
  <c r="GK69" i="5"/>
  <c r="GL69" i="5"/>
  <c r="GK40" i="5"/>
  <c r="GL40" i="5"/>
  <c r="BO75" i="5"/>
  <c r="BP75" i="5"/>
  <c r="GG22" i="5"/>
  <c r="GH22" i="5"/>
  <c r="GK62" i="5"/>
  <c r="GL62" i="5"/>
  <c r="BG77" i="5"/>
  <c r="BH77" i="5"/>
  <c r="GG34" i="5"/>
  <c r="GH34" i="5"/>
  <c r="BC71" i="5"/>
  <c r="BD71" i="5"/>
  <c r="BC8" i="5"/>
  <c r="BD8" i="5"/>
  <c r="BG11" i="5"/>
  <c r="BH11" i="5"/>
  <c r="BC9" i="5"/>
  <c r="BD9" i="5"/>
  <c r="GH44" i="5"/>
  <c r="GG44" i="5"/>
  <c r="GI44" i="5" s="1"/>
  <c r="GJ44" i="5" s="1"/>
  <c r="BH24" i="5"/>
  <c r="BG24" i="5"/>
  <c r="BI24" i="5" s="1"/>
  <c r="BJ24" i="5" s="1"/>
  <c r="BG55" i="5"/>
  <c r="BH55" i="5"/>
  <c r="BG18" i="5"/>
  <c r="BH18" i="5"/>
  <c r="BG36" i="5"/>
  <c r="BH36" i="5"/>
  <c r="BC50" i="5"/>
  <c r="BD50" i="5"/>
  <c r="BC54" i="5"/>
  <c r="BD54" i="5"/>
  <c r="BC64" i="5"/>
  <c r="BD64" i="5"/>
  <c r="BC70" i="5"/>
  <c r="BD70" i="5"/>
  <c r="BD87" i="5"/>
  <c r="BC87" i="5"/>
  <c r="BE87" i="5" s="1"/>
  <c r="BF87" i="5" s="1"/>
  <c r="BC91" i="5"/>
  <c r="BD91" i="5"/>
  <c r="BC94" i="5"/>
  <c r="BD94" i="5"/>
  <c r="BC69" i="5"/>
  <c r="BD69" i="5"/>
  <c r="BC16" i="5"/>
  <c r="BD16" i="5"/>
  <c r="BC80" i="5"/>
  <c r="BD80" i="5"/>
  <c r="GU48" i="5"/>
  <c r="GV48" i="5" s="1"/>
  <c r="BQ22" i="5"/>
  <c r="BR22" i="5" s="1"/>
  <c r="BQ26" i="5"/>
  <c r="BR26" i="5" s="1"/>
  <c r="GI42" i="5"/>
  <c r="GJ42" i="5" s="1"/>
  <c r="GM37" i="5"/>
  <c r="GN37" i="5" s="1"/>
  <c r="GM28" i="5"/>
  <c r="GN28" i="5" s="1"/>
  <c r="GM88" i="5"/>
  <c r="GN88" i="5" s="1"/>
  <c r="BU29" i="5"/>
  <c r="BV29" i="5" s="1"/>
  <c r="GM27" i="5"/>
  <c r="GN27" i="5" s="1"/>
  <c r="GM66" i="5"/>
  <c r="GN66" i="5" s="1"/>
  <c r="GM57" i="5"/>
  <c r="GN57" i="5" s="1"/>
  <c r="GM82" i="5"/>
  <c r="GN82" i="5" s="1"/>
  <c r="GI10" i="5"/>
  <c r="GJ10" i="5" s="1"/>
  <c r="GM70" i="5"/>
  <c r="GN70" i="5" s="1"/>
  <c r="GI23" i="5"/>
  <c r="GJ23" i="5" s="1"/>
  <c r="GI17" i="5"/>
  <c r="GJ17" i="5" s="1"/>
  <c r="GI50" i="5"/>
  <c r="GJ50" i="5" s="1"/>
  <c r="BI20" i="5"/>
  <c r="BJ20" i="5" s="1"/>
  <c r="BE63" i="5"/>
  <c r="BF63" i="5" s="1"/>
  <c r="BI19" i="5"/>
  <c r="BJ19" i="5" s="1"/>
  <c r="BQ76" i="5"/>
  <c r="BR76" i="5" s="1"/>
  <c r="BM30" i="5"/>
  <c r="BN30" i="5" s="1"/>
  <c r="BI15" i="5"/>
  <c r="BJ15" i="5" s="1"/>
  <c r="BE42" i="5"/>
  <c r="BF42" i="5" s="1"/>
  <c r="GM14" i="5"/>
  <c r="GN14" i="5" s="1"/>
  <c r="GI12" i="5"/>
  <c r="GJ12" i="5" s="1"/>
  <c r="GI52" i="5"/>
  <c r="GJ52" i="5" s="1"/>
  <c r="GI65" i="5"/>
  <c r="GJ65" i="5" s="1"/>
  <c r="BI40" i="5"/>
  <c r="BJ40" i="5" s="1"/>
  <c r="BI79" i="5"/>
  <c r="BJ79" i="5" s="1"/>
  <c r="BE81" i="5"/>
  <c r="BF81" i="5" s="1"/>
  <c r="BE65" i="5"/>
  <c r="BF65" i="5" s="1"/>
  <c r="GE89" i="5"/>
  <c r="GF89" i="5" s="1"/>
  <c r="BE58" i="5"/>
  <c r="BF58" i="5" s="1"/>
  <c r="BI88" i="5"/>
  <c r="BJ88" i="5" s="1"/>
  <c r="BI84" i="5"/>
  <c r="BJ84" i="5" s="1"/>
  <c r="BI25" i="5"/>
  <c r="BJ25" i="5" s="1"/>
  <c r="BE95" i="5"/>
  <c r="BF95" i="5" s="1"/>
  <c r="BE43" i="5"/>
  <c r="BF43" i="5" s="1"/>
  <c r="BE72" i="5"/>
  <c r="BF72" i="5" s="1"/>
  <c r="BI17" i="5"/>
  <c r="BJ17" i="5" s="1"/>
  <c r="BY33" i="5" l="1"/>
  <c r="BZ33" i="5" s="1"/>
  <c r="BU85" i="5"/>
  <c r="BV85" i="5" s="1"/>
  <c r="GM60" i="5"/>
  <c r="GN60" i="5" s="1"/>
  <c r="BE50" i="5"/>
  <c r="BF50" i="5" s="1"/>
  <c r="BX62" i="5"/>
  <c r="BW62" i="5"/>
  <c r="BY62" i="5" s="1"/>
  <c r="BZ62" i="5" s="1"/>
  <c r="GO25" i="5"/>
  <c r="GQ25" i="5" s="1"/>
  <c r="GR25" i="5" s="1"/>
  <c r="GP25" i="5"/>
  <c r="BG73" i="5"/>
  <c r="BI73" i="5" s="1"/>
  <c r="BJ73" i="5" s="1"/>
  <c r="BH73" i="5"/>
  <c r="BL86" i="5"/>
  <c r="BK86" i="5"/>
  <c r="BM86" i="5" s="1"/>
  <c r="BN86" i="5" s="1"/>
  <c r="BX47" i="5"/>
  <c r="BW47" i="5"/>
  <c r="BY47" i="5" s="1"/>
  <c r="BZ47" i="5" s="1"/>
  <c r="BH78" i="5"/>
  <c r="BG78" i="5"/>
  <c r="BI78" i="5" s="1"/>
  <c r="BJ78" i="5" s="1"/>
  <c r="BH13" i="5"/>
  <c r="BG13" i="5"/>
  <c r="BI13" i="5" s="1"/>
  <c r="BJ13" i="5" s="1"/>
  <c r="CB21" i="5"/>
  <c r="CA21" i="5"/>
  <c r="CB32" i="5"/>
  <c r="CA32" i="5"/>
  <c r="CC32" i="5" s="1"/>
  <c r="CD32" i="5" s="1"/>
  <c r="CB34" i="5"/>
  <c r="CA34" i="5"/>
  <c r="CC34" i="5" s="1"/>
  <c r="CD34" i="5" s="1"/>
  <c r="CB46" i="5"/>
  <c r="CA46" i="5"/>
  <c r="CC46" i="5" s="1"/>
  <c r="CD46" i="5" s="1"/>
  <c r="CB48" i="5"/>
  <c r="CA48" i="5"/>
  <c r="CC48" i="5" s="1"/>
  <c r="CD48" i="5" s="1"/>
  <c r="CB56" i="5"/>
  <c r="CA56" i="5"/>
  <c r="CC56" i="5" s="1"/>
  <c r="CD56" i="5" s="1"/>
  <c r="CB57" i="5"/>
  <c r="CA57" i="5"/>
  <c r="CC57" i="5" s="1"/>
  <c r="CD57" i="5" s="1"/>
  <c r="CB59" i="5"/>
  <c r="CA59" i="5"/>
  <c r="CB89" i="5"/>
  <c r="CA89" i="5"/>
  <c r="CC89" i="5" s="1"/>
  <c r="CD89" i="5" s="1"/>
  <c r="CB66" i="5"/>
  <c r="CA66" i="5"/>
  <c r="CC66" i="5" s="1"/>
  <c r="CD66" i="5" s="1"/>
  <c r="CB67" i="5"/>
  <c r="CA67" i="5"/>
  <c r="CC67" i="5" s="1"/>
  <c r="CD67" i="5" s="1"/>
  <c r="CB39" i="5"/>
  <c r="CA39" i="5"/>
  <c r="CC39" i="5" s="1"/>
  <c r="CD39" i="5" s="1"/>
  <c r="CB35" i="5"/>
  <c r="CA35" i="5"/>
  <c r="CC35" i="5" s="1"/>
  <c r="CD35" i="5" s="1"/>
  <c r="CB60" i="5"/>
  <c r="CA60" i="5"/>
  <c r="CC60" i="5" s="1"/>
  <c r="CD60" i="5" s="1"/>
  <c r="CB61" i="5"/>
  <c r="CA61" i="5"/>
  <c r="CC61" i="5" s="1"/>
  <c r="CD61" i="5" s="1"/>
  <c r="CB96" i="5"/>
  <c r="CA96" i="5"/>
  <c r="CB49" i="5"/>
  <c r="CA49" i="5"/>
  <c r="CC49" i="5" s="1"/>
  <c r="CD49" i="5" s="1"/>
  <c r="HB61" i="5"/>
  <c r="HA61" i="5"/>
  <c r="HC61" i="5" s="1"/>
  <c r="HD61" i="5" s="1"/>
  <c r="HB76" i="5"/>
  <c r="HA76" i="5"/>
  <c r="HC76" i="5" s="1"/>
  <c r="HD76" i="5" s="1"/>
  <c r="CB90" i="5"/>
  <c r="CA90" i="5"/>
  <c r="CC90" i="5" s="1"/>
  <c r="CD90" i="5" s="1"/>
  <c r="HB90" i="5"/>
  <c r="HA90" i="5"/>
  <c r="HC90" i="5" s="1"/>
  <c r="HD90" i="5" s="1"/>
  <c r="HB96" i="5"/>
  <c r="HA96" i="5"/>
  <c r="HC96" i="5" s="1"/>
  <c r="HD96" i="5" s="1"/>
  <c r="CB10" i="5"/>
  <c r="CA10" i="5"/>
  <c r="CC10" i="5" s="1"/>
  <c r="CD10" i="5" s="1"/>
  <c r="CB37" i="5"/>
  <c r="CA37" i="5"/>
  <c r="CC37" i="5" s="1"/>
  <c r="CD37" i="5" s="1"/>
  <c r="BX68" i="5"/>
  <c r="BW68" i="5"/>
  <c r="BY68" i="5" s="1"/>
  <c r="BZ68" i="5" s="1"/>
  <c r="BX53" i="5"/>
  <c r="BW53" i="5"/>
  <c r="BY53" i="5" s="1"/>
  <c r="BZ53" i="5" s="1"/>
  <c r="BX31" i="5"/>
  <c r="BW31" i="5"/>
  <c r="BY31" i="5" s="1"/>
  <c r="BZ31" i="5" s="1"/>
  <c r="BT74" i="5"/>
  <c r="BS74" i="5"/>
  <c r="BU74" i="5" s="1"/>
  <c r="BV74" i="5" s="1"/>
  <c r="BT44" i="5"/>
  <c r="BS44" i="5"/>
  <c r="BU44" i="5" s="1"/>
  <c r="BV44" i="5" s="1"/>
  <c r="BT82" i="5"/>
  <c r="BS82" i="5"/>
  <c r="BU82" i="5" s="1"/>
  <c r="BV82" i="5" s="1"/>
  <c r="BT28" i="5"/>
  <c r="BS28" i="5"/>
  <c r="BU28" i="5" s="1"/>
  <c r="BV28" i="5" s="1"/>
  <c r="GS11" i="5"/>
  <c r="GT11" i="5"/>
  <c r="BP14" i="5"/>
  <c r="BO14" i="5"/>
  <c r="BQ14" i="5" s="1"/>
  <c r="BR14" i="5" s="1"/>
  <c r="BP52" i="5"/>
  <c r="BO52" i="5"/>
  <c r="BQ52" i="5" s="1"/>
  <c r="BR52" i="5" s="1"/>
  <c r="GT21" i="5"/>
  <c r="GS21" i="5"/>
  <c r="GU21" i="5" s="1"/>
  <c r="GV21" i="5" s="1"/>
  <c r="BP45" i="5"/>
  <c r="BO45" i="5"/>
  <c r="BQ45" i="5" s="1"/>
  <c r="BR45" i="5" s="1"/>
  <c r="BL83" i="5"/>
  <c r="BK83" i="5"/>
  <c r="BM83" i="5" s="1"/>
  <c r="BN83" i="5" s="1"/>
  <c r="BL23" i="5"/>
  <c r="BK23" i="5"/>
  <c r="BM23" i="5" s="1"/>
  <c r="BN23" i="5" s="1"/>
  <c r="BT12" i="5"/>
  <c r="BS12" i="5"/>
  <c r="BU12" i="5" s="1"/>
  <c r="BV12" i="5" s="1"/>
  <c r="BP41" i="5"/>
  <c r="BO41" i="5"/>
  <c r="BP27" i="5"/>
  <c r="BO27" i="5"/>
  <c r="BQ27" i="5" s="1"/>
  <c r="BR27" i="5" s="1"/>
  <c r="GP39" i="5"/>
  <c r="GO39" i="5"/>
  <c r="GQ39" i="5" s="1"/>
  <c r="GR39" i="5" s="1"/>
  <c r="GO87" i="5"/>
  <c r="GP87" i="5"/>
  <c r="GO86" i="5"/>
  <c r="GP86" i="5"/>
  <c r="GO18" i="5"/>
  <c r="GP18" i="5"/>
  <c r="GO33" i="5"/>
  <c r="GP33" i="5"/>
  <c r="GO47" i="5"/>
  <c r="GP47" i="5"/>
  <c r="GK35" i="5"/>
  <c r="GL35" i="5"/>
  <c r="GO79" i="5"/>
  <c r="GP79" i="5"/>
  <c r="GO8" i="5"/>
  <c r="GP8" i="5"/>
  <c r="GO36" i="5"/>
  <c r="GP36" i="5"/>
  <c r="GO51" i="5"/>
  <c r="GP51" i="5"/>
  <c r="GO91" i="5"/>
  <c r="GP91" i="5"/>
  <c r="GT30" i="5"/>
  <c r="GS30" i="5"/>
  <c r="GU30" i="5" s="1"/>
  <c r="GV30" i="5" s="1"/>
  <c r="GO45" i="5"/>
  <c r="GP45" i="5"/>
  <c r="GO94" i="5"/>
  <c r="GP94" i="5"/>
  <c r="GO58" i="5"/>
  <c r="GP58" i="5"/>
  <c r="GO19" i="5"/>
  <c r="GP19" i="5"/>
  <c r="GO32" i="5"/>
  <c r="GP32" i="5"/>
  <c r="GO46" i="5"/>
  <c r="GP46" i="5"/>
  <c r="GO55" i="5"/>
  <c r="GP55" i="5"/>
  <c r="GO20" i="5"/>
  <c r="GP20" i="5"/>
  <c r="GO54" i="5"/>
  <c r="GP54" i="5"/>
  <c r="GO56" i="5"/>
  <c r="GP56" i="5"/>
  <c r="GO75" i="5"/>
  <c r="GP75" i="5"/>
  <c r="GK44" i="5"/>
  <c r="GL44" i="5"/>
  <c r="BL24" i="5"/>
  <c r="BK24" i="5"/>
  <c r="BM24" i="5" s="1"/>
  <c r="BN24" i="5" s="1"/>
  <c r="BH87" i="5"/>
  <c r="BG87" i="5"/>
  <c r="BI87" i="5" s="1"/>
  <c r="BJ87" i="5" s="1"/>
  <c r="GW48" i="5"/>
  <c r="GX48" i="5"/>
  <c r="BT22" i="5"/>
  <c r="BS22" i="5"/>
  <c r="BU22" i="5" s="1"/>
  <c r="BV22" i="5" s="1"/>
  <c r="BS26" i="5"/>
  <c r="BT26" i="5"/>
  <c r="GK42" i="5"/>
  <c r="GL42" i="5"/>
  <c r="GP37" i="5"/>
  <c r="GO37" i="5"/>
  <c r="GQ37" i="5" s="1"/>
  <c r="GR37" i="5" s="1"/>
  <c r="GP28" i="5"/>
  <c r="GO28" i="5"/>
  <c r="GQ28" i="5" s="1"/>
  <c r="GR28" i="5" s="1"/>
  <c r="GP88" i="5"/>
  <c r="GO88" i="5"/>
  <c r="BW29" i="5"/>
  <c r="BX29" i="5"/>
  <c r="GP27" i="5"/>
  <c r="GO27" i="5"/>
  <c r="GQ27" i="5" s="1"/>
  <c r="GR27" i="5" s="1"/>
  <c r="GP66" i="5"/>
  <c r="GO66" i="5"/>
  <c r="GQ66" i="5" s="1"/>
  <c r="GR66" i="5" s="1"/>
  <c r="GP57" i="5"/>
  <c r="GO57" i="5"/>
  <c r="GQ57" i="5" s="1"/>
  <c r="GR57" i="5" s="1"/>
  <c r="GP82" i="5"/>
  <c r="GO82" i="5"/>
  <c r="GQ82" i="5" s="1"/>
  <c r="GR82" i="5" s="1"/>
  <c r="GK10" i="5"/>
  <c r="GL10" i="5"/>
  <c r="GP70" i="5"/>
  <c r="GO70" i="5"/>
  <c r="GL23" i="5"/>
  <c r="GK23" i="5"/>
  <c r="GM23" i="5" s="1"/>
  <c r="GN23" i="5" s="1"/>
  <c r="GL17" i="5"/>
  <c r="GK17" i="5"/>
  <c r="GM17" i="5" s="1"/>
  <c r="GN17" i="5" s="1"/>
  <c r="GL50" i="5"/>
  <c r="GK50" i="5"/>
  <c r="GM50" i="5" s="1"/>
  <c r="GN50" i="5" s="1"/>
  <c r="BL20" i="5"/>
  <c r="BK20" i="5"/>
  <c r="BM20" i="5" s="1"/>
  <c r="BN20" i="5" s="1"/>
  <c r="BH63" i="5"/>
  <c r="BG63" i="5"/>
  <c r="BI63" i="5" s="1"/>
  <c r="BJ63" i="5" s="1"/>
  <c r="BK19" i="5"/>
  <c r="BL19" i="5"/>
  <c r="BS76" i="5"/>
  <c r="BT76" i="5"/>
  <c r="BO30" i="5"/>
  <c r="BP30" i="5"/>
  <c r="BK15" i="5"/>
  <c r="BL15" i="5"/>
  <c r="BG42" i="5"/>
  <c r="BH42" i="5"/>
  <c r="GO14" i="5"/>
  <c r="GP14" i="5"/>
  <c r="GL12" i="5"/>
  <c r="GK12" i="5"/>
  <c r="GM12" i="5" s="1"/>
  <c r="GN12" i="5" s="1"/>
  <c r="GL52" i="5"/>
  <c r="GK52" i="5"/>
  <c r="GM52" i="5" s="1"/>
  <c r="GN52" i="5" s="1"/>
  <c r="GL65" i="5"/>
  <c r="GK65" i="5"/>
  <c r="GM65" i="5" s="1"/>
  <c r="GN65" i="5" s="1"/>
  <c r="BK40" i="5"/>
  <c r="BL40" i="5"/>
  <c r="BK79" i="5"/>
  <c r="BL79" i="5"/>
  <c r="BG81" i="5"/>
  <c r="BH81" i="5"/>
  <c r="BG65" i="5"/>
  <c r="BH65" i="5"/>
  <c r="GG89" i="5"/>
  <c r="GH89" i="5"/>
  <c r="BG58" i="5"/>
  <c r="BH58" i="5"/>
  <c r="BL88" i="5"/>
  <c r="BK88" i="5"/>
  <c r="BM88" i="5" s="1"/>
  <c r="BN88" i="5" s="1"/>
  <c r="BK84" i="5"/>
  <c r="BL84" i="5"/>
  <c r="BK25" i="5"/>
  <c r="BL25" i="5"/>
  <c r="BH95" i="5"/>
  <c r="BG95" i="5"/>
  <c r="BI95" i="5" s="1"/>
  <c r="BJ95" i="5" s="1"/>
  <c r="BG43" i="5"/>
  <c r="BH43" i="5"/>
  <c r="BG72" i="5"/>
  <c r="BH72" i="5"/>
  <c r="BK17" i="5"/>
  <c r="BL17" i="5"/>
  <c r="BM38" i="5"/>
  <c r="BN38" i="5" s="1"/>
  <c r="GM26" i="5"/>
  <c r="GN26" i="5" s="1"/>
  <c r="GM29" i="5"/>
  <c r="GN29" i="5" s="1"/>
  <c r="GQ49" i="5"/>
  <c r="GR49" i="5" s="1"/>
  <c r="GM24" i="5"/>
  <c r="GN24" i="5" s="1"/>
  <c r="GM38" i="5"/>
  <c r="GN38" i="5" s="1"/>
  <c r="GM41" i="5"/>
  <c r="GN41" i="5" s="1"/>
  <c r="GM80" i="5"/>
  <c r="GN80" i="5" s="1"/>
  <c r="GM16" i="5"/>
  <c r="GN16" i="5" s="1"/>
  <c r="GM77" i="5"/>
  <c r="GN77" i="5" s="1"/>
  <c r="GM95" i="5"/>
  <c r="GN95" i="5" s="1"/>
  <c r="GM31" i="5"/>
  <c r="GN31" i="5" s="1"/>
  <c r="GM71" i="5"/>
  <c r="GN71" i="5" s="1"/>
  <c r="GM63" i="5"/>
  <c r="GN63" i="5" s="1"/>
  <c r="GM64" i="5"/>
  <c r="GN64" i="5" s="1"/>
  <c r="GM9" i="5"/>
  <c r="GN9" i="5" s="1"/>
  <c r="GM15" i="5"/>
  <c r="GN15" i="5" s="1"/>
  <c r="GM72" i="5"/>
  <c r="GN72" i="5" s="1"/>
  <c r="GM78" i="5"/>
  <c r="GN78" i="5" s="1"/>
  <c r="GM84" i="5"/>
  <c r="GN84" i="5" s="1"/>
  <c r="GM83" i="5"/>
  <c r="GN83" i="5" s="1"/>
  <c r="GM92" i="5"/>
  <c r="GN92" i="5" s="1"/>
  <c r="GM43" i="5"/>
  <c r="GN43" i="5" s="1"/>
  <c r="GM53" i="5"/>
  <c r="GN53" i="5" s="1"/>
  <c r="GM68" i="5"/>
  <c r="GN68" i="5" s="1"/>
  <c r="GM85" i="5"/>
  <c r="GN85" i="5" s="1"/>
  <c r="GM67" i="5"/>
  <c r="GN67" i="5" s="1"/>
  <c r="BU51" i="5"/>
  <c r="BV51" i="5" s="1"/>
  <c r="BM93" i="5"/>
  <c r="BN93" i="5" s="1"/>
  <c r="GM73" i="5"/>
  <c r="GN73" i="5" s="1"/>
  <c r="BE92" i="5"/>
  <c r="BF92" i="5" s="1"/>
  <c r="GM81" i="5"/>
  <c r="GN81" i="5" s="1"/>
  <c r="GM13" i="5"/>
  <c r="GN13" i="5" s="1"/>
  <c r="GM74" i="5"/>
  <c r="GN74" i="5" s="1"/>
  <c r="GM59" i="5"/>
  <c r="GN59" i="5" s="1"/>
  <c r="GM93" i="5"/>
  <c r="GN93" i="5" s="1"/>
  <c r="GM69" i="5"/>
  <c r="GN69" i="5" s="1"/>
  <c r="GM40" i="5"/>
  <c r="GN40" i="5" s="1"/>
  <c r="BQ75" i="5"/>
  <c r="BR75" i="5" s="1"/>
  <c r="GI22" i="5"/>
  <c r="GJ22" i="5" s="1"/>
  <c r="GM62" i="5"/>
  <c r="GN62" i="5" s="1"/>
  <c r="BI77" i="5"/>
  <c r="BJ77" i="5" s="1"/>
  <c r="GI34" i="5"/>
  <c r="GJ34" i="5" s="1"/>
  <c r="BE71" i="5"/>
  <c r="BF71" i="5" s="1"/>
  <c r="BE8" i="5"/>
  <c r="BF8" i="5" s="1"/>
  <c r="BI11" i="5"/>
  <c r="BJ11" i="5" s="1"/>
  <c r="BE9" i="5"/>
  <c r="BF9" i="5" s="1"/>
  <c r="BI55" i="5"/>
  <c r="BJ55" i="5" s="1"/>
  <c r="BI18" i="5"/>
  <c r="BJ18" i="5" s="1"/>
  <c r="BI36" i="5"/>
  <c r="BJ36" i="5" s="1"/>
  <c r="BE91" i="5"/>
  <c r="BF91" i="5" s="1"/>
  <c r="BE94" i="5"/>
  <c r="BF94" i="5" s="1"/>
  <c r="BE69" i="5"/>
  <c r="BF69" i="5" s="1"/>
  <c r="BE16" i="5"/>
  <c r="BF16" i="5" s="1"/>
  <c r="BE80" i="5"/>
  <c r="BF80" i="5" s="1"/>
  <c r="BE54" i="5"/>
  <c r="BF54" i="5" s="1"/>
  <c r="BE64" i="5"/>
  <c r="BF64" i="5" s="1"/>
  <c r="BE70" i="5"/>
  <c r="BF70" i="5" s="1"/>
  <c r="CC21" i="5" l="1"/>
  <c r="CD21" i="5" s="1"/>
  <c r="CC96" i="5"/>
  <c r="CD96" i="5" s="1"/>
  <c r="GQ79" i="5"/>
  <c r="GR79" i="5" s="1"/>
  <c r="GQ19" i="5"/>
  <c r="GR19" i="5" s="1"/>
  <c r="GQ70" i="5"/>
  <c r="GR70" i="5" s="1"/>
  <c r="GQ14" i="5"/>
  <c r="GR14" i="5" s="1"/>
  <c r="CB33" i="5"/>
  <c r="CA33" i="5"/>
  <c r="CC33" i="5" s="1"/>
  <c r="CD33" i="5" s="1"/>
  <c r="BX85" i="5"/>
  <c r="BW85" i="5"/>
  <c r="BY85" i="5" s="1"/>
  <c r="BZ85" i="5" s="1"/>
  <c r="GO60" i="5"/>
  <c r="GQ60" i="5" s="1"/>
  <c r="GR60" i="5" s="1"/>
  <c r="GP60" i="5"/>
  <c r="BH50" i="5"/>
  <c r="BG50" i="5"/>
  <c r="BI50" i="5" s="1"/>
  <c r="BJ50" i="5" s="1"/>
  <c r="CB62" i="5"/>
  <c r="CA62" i="5"/>
  <c r="CC62" i="5" s="1"/>
  <c r="CD62" i="5" s="1"/>
  <c r="BP86" i="5"/>
  <c r="BO86" i="5"/>
  <c r="BQ86" i="5" s="1"/>
  <c r="BR86" i="5" s="1"/>
  <c r="CB47" i="5"/>
  <c r="CA47" i="5"/>
  <c r="CC47" i="5" s="1"/>
  <c r="CD47" i="5" s="1"/>
  <c r="BL78" i="5"/>
  <c r="BK78" i="5"/>
  <c r="BM78" i="5" s="1"/>
  <c r="BN78" i="5" s="1"/>
  <c r="BL13" i="5"/>
  <c r="BK13" i="5"/>
  <c r="BM13" i="5" s="1"/>
  <c r="BN13" i="5" s="1"/>
  <c r="CF32" i="5"/>
  <c r="CE32" i="5"/>
  <c r="CG32" i="5" s="1"/>
  <c r="CH32" i="5" s="1"/>
  <c r="CF34" i="5"/>
  <c r="CE34" i="5"/>
  <c r="CG34" i="5" s="1"/>
  <c r="CH34" i="5" s="1"/>
  <c r="CF46" i="5"/>
  <c r="CE46" i="5"/>
  <c r="CG46" i="5" s="1"/>
  <c r="CH46" i="5" s="1"/>
  <c r="CF48" i="5"/>
  <c r="CE48" i="5"/>
  <c r="CG48" i="5" s="1"/>
  <c r="CH48" i="5" s="1"/>
  <c r="CF56" i="5"/>
  <c r="CE56" i="5"/>
  <c r="CG56" i="5" s="1"/>
  <c r="CH56" i="5" s="1"/>
  <c r="CF57" i="5"/>
  <c r="CE57" i="5"/>
  <c r="CG57" i="5" s="1"/>
  <c r="CH57" i="5" s="1"/>
  <c r="CF89" i="5"/>
  <c r="CE89" i="5"/>
  <c r="CG89" i="5" s="1"/>
  <c r="CH89" i="5" s="1"/>
  <c r="CF66" i="5"/>
  <c r="CE66" i="5"/>
  <c r="CG66" i="5" s="1"/>
  <c r="CH66" i="5" s="1"/>
  <c r="CF67" i="5"/>
  <c r="CE67" i="5"/>
  <c r="CG67" i="5" s="1"/>
  <c r="CH67" i="5" s="1"/>
  <c r="CF39" i="5"/>
  <c r="CE39" i="5"/>
  <c r="CG39" i="5" s="1"/>
  <c r="CH39" i="5" s="1"/>
  <c r="CF35" i="5"/>
  <c r="CE35" i="5"/>
  <c r="CG35" i="5" s="1"/>
  <c r="CH35" i="5" s="1"/>
  <c r="CF60" i="5"/>
  <c r="CE60" i="5"/>
  <c r="CG60" i="5" s="1"/>
  <c r="CH60" i="5" s="1"/>
  <c r="CF61" i="5"/>
  <c r="CE61" i="5"/>
  <c r="CG61" i="5" s="1"/>
  <c r="CH61" i="5" s="1"/>
  <c r="CF49" i="5"/>
  <c r="CE49" i="5"/>
  <c r="CG49" i="5" s="1"/>
  <c r="CH49" i="5" s="1"/>
  <c r="HF61" i="5"/>
  <c r="HE61" i="5"/>
  <c r="HG61" i="5" s="1"/>
  <c r="HH61" i="5" s="1"/>
  <c r="HF76" i="5"/>
  <c r="HE76" i="5"/>
  <c r="HG76" i="5" s="1"/>
  <c r="HH76" i="5" s="1"/>
  <c r="CF90" i="5"/>
  <c r="CE90" i="5"/>
  <c r="CG90" i="5" s="1"/>
  <c r="CH90" i="5" s="1"/>
  <c r="HF90" i="5"/>
  <c r="HE90" i="5"/>
  <c r="HG90" i="5" s="1"/>
  <c r="HH90" i="5" s="1"/>
  <c r="HF96" i="5"/>
  <c r="HE96" i="5"/>
  <c r="HG96" i="5" s="1"/>
  <c r="HH96" i="5" s="1"/>
  <c r="CF10" i="5"/>
  <c r="CE10" i="5"/>
  <c r="CG10" i="5" s="1"/>
  <c r="CH10" i="5" s="1"/>
  <c r="CF37" i="5"/>
  <c r="CE37" i="5"/>
  <c r="CB68" i="5"/>
  <c r="CA68" i="5"/>
  <c r="CC68" i="5" s="1"/>
  <c r="CD68" i="5" s="1"/>
  <c r="CB53" i="5"/>
  <c r="CA53" i="5"/>
  <c r="CC53" i="5" s="1"/>
  <c r="CD53" i="5" s="1"/>
  <c r="CB31" i="5"/>
  <c r="CA31" i="5"/>
  <c r="CC31" i="5" s="1"/>
  <c r="CD31" i="5" s="1"/>
  <c r="BX74" i="5"/>
  <c r="BW74" i="5"/>
  <c r="BY74" i="5" s="1"/>
  <c r="BZ74" i="5" s="1"/>
  <c r="BX44" i="5"/>
  <c r="BW44" i="5"/>
  <c r="BY44" i="5" s="1"/>
  <c r="BZ44" i="5" s="1"/>
  <c r="BX82" i="5"/>
  <c r="BW82" i="5"/>
  <c r="BY82" i="5" s="1"/>
  <c r="BZ82" i="5" s="1"/>
  <c r="BX28" i="5"/>
  <c r="BW28" i="5"/>
  <c r="BY28" i="5" s="1"/>
  <c r="BZ28" i="5" s="1"/>
  <c r="BT14" i="5"/>
  <c r="BS14" i="5"/>
  <c r="BT52" i="5"/>
  <c r="BS52" i="5"/>
  <c r="BU52" i="5" s="1"/>
  <c r="BV52" i="5" s="1"/>
  <c r="GX21" i="5"/>
  <c r="GW21" i="5"/>
  <c r="GY21" i="5" s="1"/>
  <c r="GZ21" i="5" s="1"/>
  <c r="BP78" i="5"/>
  <c r="BO78" i="5"/>
  <c r="BQ78" i="5" s="1"/>
  <c r="BR78" i="5" s="1"/>
  <c r="BT45" i="5"/>
  <c r="BS45" i="5"/>
  <c r="BU45" i="5" s="1"/>
  <c r="BV45" i="5" s="1"/>
  <c r="BP13" i="5"/>
  <c r="BO13" i="5"/>
  <c r="BQ13" i="5" s="1"/>
  <c r="BR13" i="5" s="1"/>
  <c r="BP83" i="5"/>
  <c r="BO83" i="5"/>
  <c r="BQ83" i="5" s="1"/>
  <c r="BR83" i="5" s="1"/>
  <c r="BP23" i="5"/>
  <c r="BO23" i="5"/>
  <c r="BQ23" i="5" s="1"/>
  <c r="BR23" i="5" s="1"/>
  <c r="BW12" i="5"/>
  <c r="BX12" i="5"/>
  <c r="BT27" i="5"/>
  <c r="BS27" i="5"/>
  <c r="BU27" i="5" s="1"/>
  <c r="BV27" i="5" s="1"/>
  <c r="GS39" i="5"/>
  <c r="GT39" i="5"/>
  <c r="GX30" i="5"/>
  <c r="GW30" i="5"/>
  <c r="GY30" i="5" s="1"/>
  <c r="GZ30" i="5" s="1"/>
  <c r="BP24" i="5"/>
  <c r="BO24" i="5"/>
  <c r="BQ24" i="5" s="1"/>
  <c r="BR24" i="5" s="1"/>
  <c r="BL87" i="5"/>
  <c r="BK87" i="5"/>
  <c r="BM87" i="5" s="1"/>
  <c r="BN87" i="5" s="1"/>
  <c r="BW22" i="5"/>
  <c r="BX22" i="5"/>
  <c r="GS37" i="5"/>
  <c r="GT37" i="5"/>
  <c r="GS28" i="5"/>
  <c r="GT28" i="5"/>
  <c r="GS27" i="5"/>
  <c r="GT27" i="5"/>
  <c r="GS66" i="5"/>
  <c r="GT66" i="5"/>
  <c r="GS57" i="5"/>
  <c r="GT57" i="5"/>
  <c r="GS82" i="5"/>
  <c r="GT82" i="5"/>
  <c r="GO23" i="5"/>
  <c r="GP23" i="5"/>
  <c r="GP17" i="5"/>
  <c r="GO17" i="5"/>
  <c r="GQ17" i="5" s="1"/>
  <c r="GR17" i="5" s="1"/>
  <c r="GO50" i="5"/>
  <c r="GP50" i="5"/>
  <c r="BO20" i="5"/>
  <c r="BP20" i="5"/>
  <c r="BL63" i="5"/>
  <c r="BK63" i="5"/>
  <c r="BM63" i="5" s="1"/>
  <c r="BN63" i="5" s="1"/>
  <c r="GO12" i="5"/>
  <c r="GP12" i="5"/>
  <c r="GO52" i="5"/>
  <c r="GP52" i="5"/>
  <c r="GO65" i="5"/>
  <c r="GP65" i="5"/>
  <c r="BP88" i="5"/>
  <c r="BO88" i="5"/>
  <c r="BQ88" i="5" s="1"/>
  <c r="BR88" i="5" s="1"/>
  <c r="BL95" i="5"/>
  <c r="BK95" i="5"/>
  <c r="BM95" i="5" s="1"/>
  <c r="BN95" i="5" s="1"/>
  <c r="BO38" i="5"/>
  <c r="BP38" i="5"/>
  <c r="GT25" i="5"/>
  <c r="GS25" i="5"/>
  <c r="GU25" i="5" s="1"/>
  <c r="GV25" i="5" s="1"/>
  <c r="GP26" i="5"/>
  <c r="GO26" i="5"/>
  <c r="GQ26" i="5" s="1"/>
  <c r="GR26" i="5" s="1"/>
  <c r="GP29" i="5"/>
  <c r="GO29" i="5"/>
  <c r="GQ29" i="5" s="1"/>
  <c r="GR29" i="5" s="1"/>
  <c r="GT49" i="5"/>
  <c r="GS49" i="5"/>
  <c r="GU49" i="5" s="1"/>
  <c r="GV49" i="5" s="1"/>
  <c r="GP24" i="5"/>
  <c r="GO24" i="5"/>
  <c r="GQ24" i="5" s="1"/>
  <c r="GR24" i="5" s="1"/>
  <c r="GP38" i="5"/>
  <c r="GO38" i="5"/>
  <c r="GP41" i="5"/>
  <c r="GO41" i="5"/>
  <c r="GQ41" i="5" s="1"/>
  <c r="GR41" i="5" s="1"/>
  <c r="GP80" i="5"/>
  <c r="GO80" i="5"/>
  <c r="GQ80" i="5" s="1"/>
  <c r="GR80" i="5" s="1"/>
  <c r="GP16" i="5"/>
  <c r="GO16" i="5"/>
  <c r="GQ16" i="5" s="1"/>
  <c r="GR16" i="5" s="1"/>
  <c r="GP77" i="5"/>
  <c r="GO77" i="5"/>
  <c r="GQ77" i="5" s="1"/>
  <c r="GR77" i="5" s="1"/>
  <c r="GP95" i="5"/>
  <c r="GO95" i="5"/>
  <c r="GQ95" i="5" s="1"/>
  <c r="GR95" i="5" s="1"/>
  <c r="GP31" i="5"/>
  <c r="GO31" i="5"/>
  <c r="GQ31" i="5" s="1"/>
  <c r="GR31" i="5" s="1"/>
  <c r="GP71" i="5"/>
  <c r="GO71" i="5"/>
  <c r="GQ71" i="5" s="1"/>
  <c r="GR71" i="5" s="1"/>
  <c r="GP63" i="5"/>
  <c r="GO63" i="5"/>
  <c r="GQ63" i="5" s="1"/>
  <c r="GR63" i="5" s="1"/>
  <c r="GP64" i="5"/>
  <c r="GO64" i="5"/>
  <c r="GQ64" i="5" s="1"/>
  <c r="GR64" i="5" s="1"/>
  <c r="GP9" i="5"/>
  <c r="GO9" i="5"/>
  <c r="GQ9" i="5" s="1"/>
  <c r="GR9" i="5" s="1"/>
  <c r="GP15" i="5"/>
  <c r="GO15" i="5"/>
  <c r="GQ15" i="5" s="1"/>
  <c r="GR15" i="5" s="1"/>
  <c r="GO72" i="5"/>
  <c r="GP72" i="5"/>
  <c r="GP78" i="5"/>
  <c r="GO78" i="5"/>
  <c r="GQ78" i="5" s="1"/>
  <c r="GR78" i="5" s="1"/>
  <c r="GP84" i="5"/>
  <c r="GO84" i="5"/>
  <c r="GQ84" i="5" s="1"/>
  <c r="GR84" i="5" s="1"/>
  <c r="GP83" i="5"/>
  <c r="GO83" i="5"/>
  <c r="GQ83" i="5" s="1"/>
  <c r="GR83" i="5" s="1"/>
  <c r="GP92" i="5"/>
  <c r="GO92" i="5"/>
  <c r="GQ92" i="5" s="1"/>
  <c r="GR92" i="5" s="1"/>
  <c r="GP43" i="5"/>
  <c r="GO43" i="5"/>
  <c r="GQ43" i="5" s="1"/>
  <c r="GR43" i="5" s="1"/>
  <c r="GP53" i="5"/>
  <c r="GO53" i="5"/>
  <c r="GQ53" i="5" s="1"/>
  <c r="GR53" i="5" s="1"/>
  <c r="GP68" i="5"/>
  <c r="GO68" i="5"/>
  <c r="GQ68" i="5" s="1"/>
  <c r="GR68" i="5" s="1"/>
  <c r="GP85" i="5"/>
  <c r="GO85" i="5"/>
  <c r="GQ85" i="5" s="1"/>
  <c r="GR85" i="5" s="1"/>
  <c r="GP67" i="5"/>
  <c r="GO67" i="5"/>
  <c r="GQ67" i="5" s="1"/>
  <c r="GR67" i="5" s="1"/>
  <c r="BK73" i="5"/>
  <c r="BL73" i="5"/>
  <c r="BW51" i="5"/>
  <c r="BX51" i="5"/>
  <c r="BO93" i="5"/>
  <c r="BP93" i="5"/>
  <c r="GO73" i="5"/>
  <c r="GP73" i="5"/>
  <c r="BH92" i="5"/>
  <c r="BG92" i="5"/>
  <c r="BI92" i="5" s="1"/>
  <c r="BJ92" i="5" s="1"/>
  <c r="GP81" i="5"/>
  <c r="GO81" i="5"/>
  <c r="GQ81" i="5" s="1"/>
  <c r="GR81" i="5" s="1"/>
  <c r="GP13" i="5"/>
  <c r="GO13" i="5"/>
  <c r="GQ13" i="5" s="1"/>
  <c r="GR13" i="5" s="1"/>
  <c r="GP74" i="5"/>
  <c r="GO74" i="5"/>
  <c r="GQ74" i="5" s="1"/>
  <c r="GR74" i="5" s="1"/>
  <c r="GP59" i="5"/>
  <c r="GO59" i="5"/>
  <c r="GQ59" i="5" s="1"/>
  <c r="GR59" i="5" s="1"/>
  <c r="GP93" i="5"/>
  <c r="GO93" i="5"/>
  <c r="GQ93" i="5" s="1"/>
  <c r="GR93" i="5" s="1"/>
  <c r="GP69" i="5"/>
  <c r="GO69" i="5"/>
  <c r="GO40" i="5"/>
  <c r="GP40" i="5"/>
  <c r="BS75" i="5"/>
  <c r="BT75" i="5"/>
  <c r="GL22" i="5"/>
  <c r="GK22" i="5"/>
  <c r="GM22" i="5" s="1"/>
  <c r="GN22" i="5" s="1"/>
  <c r="GO62" i="5"/>
  <c r="GP62" i="5"/>
  <c r="BK77" i="5"/>
  <c r="BL77" i="5"/>
  <c r="GK34" i="5"/>
  <c r="GL34" i="5"/>
  <c r="BG71" i="5"/>
  <c r="BH71" i="5"/>
  <c r="BG8" i="5"/>
  <c r="BH8" i="5"/>
  <c r="BK11" i="5"/>
  <c r="BL11" i="5"/>
  <c r="BG9" i="5"/>
  <c r="BH9" i="5"/>
  <c r="BK55" i="5"/>
  <c r="BL55" i="5"/>
  <c r="BK18" i="5"/>
  <c r="BL18" i="5"/>
  <c r="BK36" i="5"/>
  <c r="BL36" i="5"/>
  <c r="BG91" i="5"/>
  <c r="BH91" i="5"/>
  <c r="BG94" i="5"/>
  <c r="BH94" i="5"/>
  <c r="BG69" i="5"/>
  <c r="BH69" i="5"/>
  <c r="BH16" i="5"/>
  <c r="BG16" i="5"/>
  <c r="BI16" i="5" s="1"/>
  <c r="BJ16" i="5" s="1"/>
  <c r="BG80" i="5"/>
  <c r="BH80" i="5"/>
  <c r="BG54" i="5"/>
  <c r="BH54" i="5"/>
  <c r="BG64" i="5"/>
  <c r="BH64" i="5"/>
  <c r="BG70" i="5"/>
  <c r="BH70" i="5"/>
  <c r="CC59" i="5"/>
  <c r="CD59" i="5" s="1"/>
  <c r="GU11" i="5"/>
  <c r="GV11" i="5" s="1"/>
  <c r="BQ41" i="5"/>
  <c r="BR41" i="5" s="1"/>
  <c r="GQ87" i="5"/>
  <c r="GR87" i="5" s="1"/>
  <c r="GQ86" i="5"/>
  <c r="GR86" i="5" s="1"/>
  <c r="GQ18" i="5"/>
  <c r="GR18" i="5" s="1"/>
  <c r="GQ33" i="5"/>
  <c r="GR33" i="5" s="1"/>
  <c r="GQ47" i="5"/>
  <c r="GR47" i="5" s="1"/>
  <c r="GM35" i="5"/>
  <c r="GN35" i="5" s="1"/>
  <c r="GQ8" i="5"/>
  <c r="GR8" i="5" s="1"/>
  <c r="GQ36" i="5"/>
  <c r="GR36" i="5" s="1"/>
  <c r="GQ51" i="5"/>
  <c r="GR51" i="5" s="1"/>
  <c r="GQ91" i="5"/>
  <c r="GR91" i="5" s="1"/>
  <c r="GQ45" i="5"/>
  <c r="GR45" i="5" s="1"/>
  <c r="GQ94" i="5"/>
  <c r="GR94" i="5" s="1"/>
  <c r="GQ58" i="5"/>
  <c r="GR58" i="5" s="1"/>
  <c r="GM10" i="5"/>
  <c r="GN10" i="5" s="1"/>
  <c r="GQ32" i="5"/>
  <c r="GR32" i="5" s="1"/>
  <c r="GQ46" i="5"/>
  <c r="GR46" i="5" s="1"/>
  <c r="GQ55" i="5"/>
  <c r="GR55" i="5" s="1"/>
  <c r="GQ20" i="5"/>
  <c r="GR20" i="5" s="1"/>
  <c r="GQ54" i="5"/>
  <c r="GR54" i="5" s="1"/>
  <c r="GQ56" i="5"/>
  <c r="GR56" i="5" s="1"/>
  <c r="GQ75" i="5"/>
  <c r="GR75" i="5" s="1"/>
  <c r="GM44" i="5"/>
  <c r="GN44" i="5" s="1"/>
  <c r="BU26" i="5"/>
  <c r="BV26" i="5" s="1"/>
  <c r="GM42" i="5"/>
  <c r="GN42" i="5" s="1"/>
  <c r="GY48" i="5"/>
  <c r="GZ48" i="5" s="1"/>
  <c r="GQ88" i="5"/>
  <c r="GR88" i="5" s="1"/>
  <c r="BY29" i="5"/>
  <c r="BZ29" i="5" s="1"/>
  <c r="BM19" i="5"/>
  <c r="BN19" i="5" s="1"/>
  <c r="BU76" i="5"/>
  <c r="BV76" i="5" s="1"/>
  <c r="BQ30" i="5"/>
  <c r="BR30" i="5" s="1"/>
  <c r="BM15" i="5"/>
  <c r="BN15" i="5" s="1"/>
  <c r="BI42" i="5"/>
  <c r="BJ42" i="5" s="1"/>
  <c r="BM40" i="5"/>
  <c r="BN40" i="5" s="1"/>
  <c r="BM79" i="5"/>
  <c r="BN79" i="5" s="1"/>
  <c r="BI81" i="5"/>
  <c r="BJ81" i="5" s="1"/>
  <c r="BI65" i="5"/>
  <c r="BJ65" i="5" s="1"/>
  <c r="GI89" i="5"/>
  <c r="GJ89" i="5" s="1"/>
  <c r="BI58" i="5"/>
  <c r="BJ58" i="5" s="1"/>
  <c r="BM84" i="5"/>
  <c r="BN84" i="5" s="1"/>
  <c r="BM25" i="5"/>
  <c r="BN25" i="5" s="1"/>
  <c r="BI43" i="5"/>
  <c r="BJ43" i="5" s="1"/>
  <c r="BI72" i="5"/>
  <c r="BJ72" i="5" s="1"/>
  <c r="BM17" i="5"/>
  <c r="BN17" i="5" s="1"/>
  <c r="CG37" i="5" l="1"/>
  <c r="CH37" i="5" s="1"/>
  <c r="BU14" i="5"/>
  <c r="BV14" i="5" s="1"/>
  <c r="GU57" i="5"/>
  <c r="GV57" i="5" s="1"/>
  <c r="GQ52" i="5"/>
  <c r="GR52" i="5" s="1"/>
  <c r="GQ69" i="5"/>
  <c r="GR69" i="5" s="1"/>
  <c r="GM34" i="5"/>
  <c r="GN34" i="5" s="1"/>
  <c r="CF21" i="5"/>
  <c r="CE21" i="5"/>
  <c r="CG21" i="5" s="1"/>
  <c r="CH21" i="5" s="1"/>
  <c r="CF96" i="5"/>
  <c r="CE96" i="5"/>
  <c r="CG96" i="5" s="1"/>
  <c r="CH96" i="5" s="1"/>
  <c r="GS79" i="5"/>
  <c r="GU79" i="5" s="1"/>
  <c r="GV79" i="5" s="1"/>
  <c r="GT79" i="5"/>
  <c r="GS19" i="5"/>
  <c r="GT19" i="5"/>
  <c r="GS70" i="5"/>
  <c r="GU70" i="5" s="1"/>
  <c r="GV70" i="5" s="1"/>
  <c r="GT70" i="5"/>
  <c r="GS14" i="5"/>
  <c r="GU14" i="5" s="1"/>
  <c r="GV14" i="5" s="1"/>
  <c r="GT14" i="5"/>
  <c r="CF33" i="5"/>
  <c r="CE33" i="5"/>
  <c r="CG33" i="5" s="1"/>
  <c r="CH33" i="5" s="1"/>
  <c r="CB85" i="5"/>
  <c r="CA85" i="5"/>
  <c r="BL50" i="5"/>
  <c r="BK50" i="5"/>
  <c r="BM50" i="5" s="1"/>
  <c r="BN50" i="5" s="1"/>
  <c r="CF62" i="5"/>
  <c r="CE62" i="5"/>
  <c r="BT86" i="5"/>
  <c r="BS86" i="5"/>
  <c r="BU86" i="5" s="1"/>
  <c r="BV86" i="5" s="1"/>
  <c r="CF47" i="5"/>
  <c r="CE47" i="5"/>
  <c r="CG47" i="5" s="1"/>
  <c r="CH47" i="5" s="1"/>
  <c r="CJ32" i="5"/>
  <c r="CI32" i="5"/>
  <c r="CK32" i="5" s="1"/>
  <c r="CL32" i="5" s="1"/>
  <c r="CJ34" i="5"/>
  <c r="CI34" i="5"/>
  <c r="CK34" i="5" s="1"/>
  <c r="CL34" i="5" s="1"/>
  <c r="CJ46" i="5"/>
  <c r="CI46" i="5"/>
  <c r="CK46" i="5" s="1"/>
  <c r="CL46" i="5" s="1"/>
  <c r="CJ48" i="5"/>
  <c r="CI48" i="5"/>
  <c r="CK48" i="5" s="1"/>
  <c r="CL48" i="5" s="1"/>
  <c r="CJ56" i="5"/>
  <c r="CI56" i="5"/>
  <c r="CK56" i="5" s="1"/>
  <c r="CL56" i="5" s="1"/>
  <c r="CJ57" i="5"/>
  <c r="CI57" i="5"/>
  <c r="CK57" i="5" s="1"/>
  <c r="CL57" i="5" s="1"/>
  <c r="CJ89" i="5"/>
  <c r="CI89" i="5"/>
  <c r="CK89" i="5" s="1"/>
  <c r="CL89" i="5" s="1"/>
  <c r="CJ66" i="5"/>
  <c r="CI66" i="5"/>
  <c r="CK66" i="5" s="1"/>
  <c r="CL66" i="5" s="1"/>
  <c r="CJ67" i="5"/>
  <c r="CI67" i="5"/>
  <c r="CK67" i="5" s="1"/>
  <c r="CL67" i="5" s="1"/>
  <c r="CJ39" i="5"/>
  <c r="CI39" i="5"/>
  <c r="CK39" i="5" s="1"/>
  <c r="CL39" i="5" s="1"/>
  <c r="CJ35" i="5"/>
  <c r="CI35" i="5"/>
  <c r="CK35" i="5" s="1"/>
  <c r="CL35" i="5" s="1"/>
  <c r="CJ60" i="5"/>
  <c r="CI60" i="5"/>
  <c r="CK60" i="5" s="1"/>
  <c r="CL60" i="5" s="1"/>
  <c r="CJ61" i="5"/>
  <c r="CI61" i="5"/>
  <c r="CK61" i="5" s="1"/>
  <c r="CL61" i="5" s="1"/>
  <c r="CJ49" i="5"/>
  <c r="CI49" i="5"/>
  <c r="CK49" i="5" s="1"/>
  <c r="CL49" i="5" s="1"/>
  <c r="HJ61" i="5"/>
  <c r="HI61" i="5"/>
  <c r="HK61" i="5" s="1"/>
  <c r="HL61" i="5" s="1"/>
  <c r="HJ76" i="5"/>
  <c r="HI76" i="5"/>
  <c r="HK76" i="5" s="1"/>
  <c r="HL76" i="5" s="1"/>
  <c r="CJ90" i="5"/>
  <c r="CI90" i="5"/>
  <c r="CK90" i="5" s="1"/>
  <c r="CL90" i="5" s="1"/>
  <c r="HJ90" i="5"/>
  <c r="HI90" i="5"/>
  <c r="HK90" i="5" s="1"/>
  <c r="HL90" i="5" s="1"/>
  <c r="HJ96" i="5"/>
  <c r="HI96" i="5"/>
  <c r="HK96" i="5" s="1"/>
  <c r="HL96" i="5" s="1"/>
  <c r="CJ10" i="5"/>
  <c r="CI10" i="5"/>
  <c r="CK10" i="5" s="1"/>
  <c r="CL10" i="5" s="1"/>
  <c r="CF68" i="5"/>
  <c r="CE68" i="5"/>
  <c r="CG68" i="5" s="1"/>
  <c r="CH68" i="5" s="1"/>
  <c r="CF53" i="5"/>
  <c r="CE53" i="5"/>
  <c r="CG53" i="5" s="1"/>
  <c r="CH53" i="5" s="1"/>
  <c r="CF31" i="5"/>
  <c r="CE31" i="5"/>
  <c r="CG31" i="5" s="1"/>
  <c r="CH31" i="5" s="1"/>
  <c r="CB74" i="5"/>
  <c r="CA74" i="5"/>
  <c r="CB44" i="5"/>
  <c r="CA44" i="5"/>
  <c r="CC44" i="5" s="1"/>
  <c r="CD44" i="5" s="1"/>
  <c r="CB82" i="5"/>
  <c r="CA82" i="5"/>
  <c r="CC82" i="5" s="1"/>
  <c r="CD82" i="5" s="1"/>
  <c r="CB28" i="5"/>
  <c r="CA28" i="5"/>
  <c r="CC28" i="5" s="1"/>
  <c r="CD28" i="5" s="1"/>
  <c r="BX52" i="5"/>
  <c r="BW52" i="5"/>
  <c r="BY52" i="5" s="1"/>
  <c r="BZ52" i="5" s="1"/>
  <c r="HA21" i="5"/>
  <c r="HB21" i="5"/>
  <c r="BT78" i="5"/>
  <c r="BS78" i="5"/>
  <c r="BU78" i="5" s="1"/>
  <c r="BV78" i="5" s="1"/>
  <c r="BX45" i="5"/>
  <c r="BW45" i="5"/>
  <c r="BY45" i="5" s="1"/>
  <c r="BZ45" i="5" s="1"/>
  <c r="BT13" i="5"/>
  <c r="BS13" i="5"/>
  <c r="BU13" i="5" s="1"/>
  <c r="BV13" i="5" s="1"/>
  <c r="BT83" i="5"/>
  <c r="BS83" i="5"/>
  <c r="BT23" i="5"/>
  <c r="BS23" i="5"/>
  <c r="BU23" i="5" s="1"/>
  <c r="BV23" i="5" s="1"/>
  <c r="BX86" i="5"/>
  <c r="BW86" i="5"/>
  <c r="BY86" i="5" s="1"/>
  <c r="BZ86" i="5" s="1"/>
  <c r="BW27" i="5"/>
  <c r="BX27" i="5"/>
  <c r="HA30" i="5"/>
  <c r="HB30" i="5"/>
  <c r="BT24" i="5"/>
  <c r="BS24" i="5"/>
  <c r="BU24" i="5" s="1"/>
  <c r="BV24" i="5" s="1"/>
  <c r="BP50" i="5"/>
  <c r="BO50" i="5"/>
  <c r="BQ50" i="5" s="1"/>
  <c r="BR50" i="5" s="1"/>
  <c r="BP87" i="5"/>
  <c r="BO87" i="5"/>
  <c r="BQ87" i="5" s="1"/>
  <c r="BR87" i="5" s="1"/>
  <c r="GS17" i="5"/>
  <c r="GT17" i="5"/>
  <c r="BP63" i="5"/>
  <c r="BO63" i="5"/>
  <c r="BQ63" i="5" s="1"/>
  <c r="BR63" i="5" s="1"/>
  <c r="BT88" i="5"/>
  <c r="BS88" i="5"/>
  <c r="BU88" i="5" s="1"/>
  <c r="BV88" i="5" s="1"/>
  <c r="BP95" i="5"/>
  <c r="BO95" i="5"/>
  <c r="BQ95" i="5" s="1"/>
  <c r="BR95" i="5" s="1"/>
  <c r="GW25" i="5"/>
  <c r="GX25" i="5"/>
  <c r="GS26" i="5"/>
  <c r="GT26" i="5"/>
  <c r="GT29" i="5"/>
  <c r="GS29" i="5"/>
  <c r="GU29" i="5" s="1"/>
  <c r="GV29" i="5" s="1"/>
  <c r="GW49" i="5"/>
  <c r="GX49" i="5"/>
  <c r="GS24" i="5"/>
  <c r="GT24" i="5"/>
  <c r="GS41" i="5"/>
  <c r="GT41" i="5"/>
  <c r="GS80" i="5"/>
  <c r="GT80" i="5"/>
  <c r="GT16" i="5"/>
  <c r="GS16" i="5"/>
  <c r="GU16" i="5" s="1"/>
  <c r="GV16" i="5" s="1"/>
  <c r="GS77" i="5"/>
  <c r="GT77" i="5"/>
  <c r="GS95" i="5"/>
  <c r="GT95" i="5"/>
  <c r="GS31" i="5"/>
  <c r="GT31" i="5"/>
  <c r="GS71" i="5"/>
  <c r="GT71" i="5"/>
  <c r="GS63" i="5"/>
  <c r="GT63" i="5"/>
  <c r="GS64" i="5"/>
  <c r="GT64" i="5"/>
  <c r="GS9" i="5"/>
  <c r="GT9" i="5"/>
  <c r="GS15" i="5"/>
  <c r="GT15" i="5"/>
  <c r="GS78" i="5"/>
  <c r="GT78" i="5"/>
  <c r="GS84" i="5"/>
  <c r="GT84" i="5"/>
  <c r="GS83" i="5"/>
  <c r="GT83" i="5"/>
  <c r="GS92" i="5"/>
  <c r="GT92" i="5"/>
  <c r="GS43" i="5"/>
  <c r="GT43" i="5"/>
  <c r="GS53" i="5"/>
  <c r="GT53" i="5"/>
  <c r="GS68" i="5"/>
  <c r="GT68" i="5"/>
  <c r="GS85" i="5"/>
  <c r="GT85" i="5"/>
  <c r="GS67" i="5"/>
  <c r="GT67" i="5"/>
  <c r="BL92" i="5"/>
  <c r="BK92" i="5"/>
  <c r="BM92" i="5" s="1"/>
  <c r="BN92" i="5" s="1"/>
  <c r="GS81" i="5"/>
  <c r="GT81" i="5"/>
  <c r="GS13" i="5"/>
  <c r="GT13" i="5"/>
  <c r="GS74" i="5"/>
  <c r="GT74" i="5"/>
  <c r="GS59" i="5"/>
  <c r="GT59" i="5"/>
  <c r="GS93" i="5"/>
  <c r="GT93" i="5"/>
  <c r="GP22" i="5"/>
  <c r="GO22" i="5"/>
  <c r="GQ22" i="5" s="1"/>
  <c r="GR22" i="5" s="1"/>
  <c r="BK16" i="5"/>
  <c r="BL16" i="5"/>
  <c r="CE59" i="5"/>
  <c r="CF59" i="5"/>
  <c r="GW11" i="5"/>
  <c r="GX11" i="5"/>
  <c r="BT41" i="5"/>
  <c r="BS41" i="5"/>
  <c r="BU41" i="5" s="1"/>
  <c r="BV41" i="5" s="1"/>
  <c r="GT87" i="5"/>
  <c r="GS87" i="5"/>
  <c r="GU87" i="5" s="1"/>
  <c r="GV87" i="5" s="1"/>
  <c r="GT86" i="5"/>
  <c r="GS86" i="5"/>
  <c r="GU86" i="5" s="1"/>
  <c r="GV86" i="5" s="1"/>
  <c r="GT18" i="5"/>
  <c r="GS18" i="5"/>
  <c r="GU18" i="5" s="1"/>
  <c r="GV18" i="5" s="1"/>
  <c r="GT33" i="5"/>
  <c r="GS33" i="5"/>
  <c r="GU33" i="5" s="1"/>
  <c r="GV33" i="5" s="1"/>
  <c r="GT47" i="5"/>
  <c r="GS47" i="5"/>
  <c r="GU47" i="5" s="1"/>
  <c r="GV47" i="5" s="1"/>
  <c r="GP35" i="5"/>
  <c r="GO35" i="5"/>
  <c r="GQ35" i="5" s="1"/>
  <c r="GR35" i="5" s="1"/>
  <c r="GT8" i="5"/>
  <c r="GS8" i="5"/>
  <c r="GU8" i="5" s="1"/>
  <c r="GV8" i="5" s="1"/>
  <c r="GT36" i="5"/>
  <c r="GS36" i="5"/>
  <c r="GU36" i="5" s="1"/>
  <c r="GV36" i="5" s="1"/>
  <c r="GT51" i="5"/>
  <c r="GS51" i="5"/>
  <c r="GU51" i="5" s="1"/>
  <c r="GV51" i="5" s="1"/>
  <c r="GT91" i="5"/>
  <c r="GS91" i="5"/>
  <c r="GU91" i="5" s="1"/>
  <c r="GV91" i="5" s="1"/>
  <c r="GT45" i="5"/>
  <c r="GS45" i="5"/>
  <c r="GU45" i="5" s="1"/>
  <c r="GV45" i="5" s="1"/>
  <c r="GT94" i="5"/>
  <c r="GS94" i="5"/>
  <c r="GU94" i="5" s="1"/>
  <c r="GV94" i="5" s="1"/>
  <c r="GT58" i="5"/>
  <c r="GS58" i="5"/>
  <c r="GU58" i="5" s="1"/>
  <c r="GV58" i="5" s="1"/>
  <c r="GP10" i="5"/>
  <c r="GO10" i="5"/>
  <c r="GQ10" i="5" s="1"/>
  <c r="GR10" i="5" s="1"/>
  <c r="GT32" i="5"/>
  <c r="GS32" i="5"/>
  <c r="GU32" i="5" s="1"/>
  <c r="GV32" i="5" s="1"/>
  <c r="GT46" i="5"/>
  <c r="GS46" i="5"/>
  <c r="GU46" i="5" s="1"/>
  <c r="GV46" i="5" s="1"/>
  <c r="GT55" i="5"/>
  <c r="GS55" i="5"/>
  <c r="GU55" i="5" s="1"/>
  <c r="GV55" i="5" s="1"/>
  <c r="GT60" i="5"/>
  <c r="GS60" i="5"/>
  <c r="GU60" i="5" s="1"/>
  <c r="GV60" i="5" s="1"/>
  <c r="GT20" i="5"/>
  <c r="GS20" i="5"/>
  <c r="GU20" i="5" s="1"/>
  <c r="GV20" i="5" s="1"/>
  <c r="GT54" i="5"/>
  <c r="GS54" i="5"/>
  <c r="GU54" i="5" s="1"/>
  <c r="GV54" i="5" s="1"/>
  <c r="GT56" i="5"/>
  <c r="GS56" i="5"/>
  <c r="GU56" i="5" s="1"/>
  <c r="GV56" i="5" s="1"/>
  <c r="GT75" i="5"/>
  <c r="GS75" i="5"/>
  <c r="GU75" i="5" s="1"/>
  <c r="GV75" i="5" s="1"/>
  <c r="GP44" i="5"/>
  <c r="GO44" i="5"/>
  <c r="GQ44" i="5" s="1"/>
  <c r="GR44" i="5" s="1"/>
  <c r="BX26" i="5"/>
  <c r="BW26" i="5"/>
  <c r="BY26" i="5" s="1"/>
  <c r="BZ26" i="5" s="1"/>
  <c r="GP42" i="5"/>
  <c r="GO42" i="5"/>
  <c r="GQ42" i="5" s="1"/>
  <c r="GR42" i="5" s="1"/>
  <c r="HA48" i="5"/>
  <c r="HB48" i="5"/>
  <c r="GT88" i="5"/>
  <c r="GS88" i="5"/>
  <c r="GU88" i="5" s="1"/>
  <c r="GV88" i="5" s="1"/>
  <c r="CA29" i="5"/>
  <c r="CB29" i="5"/>
  <c r="BO19" i="5"/>
  <c r="BP19" i="5"/>
  <c r="BW76" i="5"/>
  <c r="BX76" i="5"/>
  <c r="BS30" i="5"/>
  <c r="BT30" i="5"/>
  <c r="BO15" i="5"/>
  <c r="BP15" i="5"/>
  <c r="BK42" i="5"/>
  <c r="BL42" i="5"/>
  <c r="BO40" i="5"/>
  <c r="BP40" i="5"/>
  <c r="BO79" i="5"/>
  <c r="BP79" i="5"/>
  <c r="BL81" i="5"/>
  <c r="BK81" i="5"/>
  <c r="BM81" i="5" s="1"/>
  <c r="BN81" i="5" s="1"/>
  <c r="BK65" i="5"/>
  <c r="BL65" i="5"/>
  <c r="GK89" i="5"/>
  <c r="GL89" i="5"/>
  <c r="BK58" i="5"/>
  <c r="BL58" i="5"/>
  <c r="BO84" i="5"/>
  <c r="BP84" i="5"/>
  <c r="BP25" i="5"/>
  <c r="BO25" i="5"/>
  <c r="BQ25" i="5" s="1"/>
  <c r="BR25" i="5" s="1"/>
  <c r="BK43" i="5"/>
  <c r="BL43" i="5"/>
  <c r="BK72" i="5"/>
  <c r="BL72" i="5"/>
  <c r="BO17" i="5"/>
  <c r="BP17" i="5"/>
  <c r="CG62" i="5"/>
  <c r="CH62" i="5" s="1"/>
  <c r="BY12" i="5"/>
  <c r="BZ12" i="5" s="1"/>
  <c r="GU39" i="5"/>
  <c r="GV39" i="5" s="1"/>
  <c r="BY22" i="5"/>
  <c r="BZ22" i="5" s="1"/>
  <c r="GU37" i="5"/>
  <c r="GV37" i="5" s="1"/>
  <c r="GU28" i="5"/>
  <c r="GV28" i="5" s="1"/>
  <c r="GU27" i="5"/>
  <c r="GV27" i="5" s="1"/>
  <c r="GU66" i="5"/>
  <c r="GV66" i="5" s="1"/>
  <c r="GU82" i="5"/>
  <c r="GV82" i="5" s="1"/>
  <c r="GQ23" i="5"/>
  <c r="GR23" i="5" s="1"/>
  <c r="GQ50" i="5"/>
  <c r="GR50" i="5" s="1"/>
  <c r="BQ20" i="5"/>
  <c r="BR20" i="5" s="1"/>
  <c r="GQ12" i="5"/>
  <c r="GR12" i="5" s="1"/>
  <c r="GQ65" i="5"/>
  <c r="GR65" i="5" s="1"/>
  <c r="BQ38" i="5"/>
  <c r="BR38" i="5" s="1"/>
  <c r="GQ38" i="5"/>
  <c r="GR38" i="5" s="1"/>
  <c r="GQ72" i="5"/>
  <c r="GR72" i="5" s="1"/>
  <c r="BM73" i="5"/>
  <c r="BN73" i="5" s="1"/>
  <c r="BY51" i="5"/>
  <c r="BZ51" i="5" s="1"/>
  <c r="BQ93" i="5"/>
  <c r="BR93" i="5" s="1"/>
  <c r="GQ73" i="5"/>
  <c r="GR73" i="5" s="1"/>
  <c r="GQ40" i="5"/>
  <c r="GR40" i="5" s="1"/>
  <c r="BU75" i="5"/>
  <c r="BV75" i="5" s="1"/>
  <c r="GQ62" i="5"/>
  <c r="GR62" i="5" s="1"/>
  <c r="BM77" i="5"/>
  <c r="BN77" i="5" s="1"/>
  <c r="BI71" i="5"/>
  <c r="BJ71" i="5" s="1"/>
  <c r="BI8" i="5"/>
  <c r="BJ8" i="5" s="1"/>
  <c r="BM11" i="5"/>
  <c r="BN11" i="5" s="1"/>
  <c r="BI9" i="5"/>
  <c r="BJ9" i="5" s="1"/>
  <c r="BM55" i="5"/>
  <c r="BN55" i="5" s="1"/>
  <c r="BM18" i="5"/>
  <c r="BN18" i="5" s="1"/>
  <c r="BM36" i="5"/>
  <c r="BN36" i="5" s="1"/>
  <c r="BI91" i="5"/>
  <c r="BJ91" i="5" s="1"/>
  <c r="BI94" i="5"/>
  <c r="BJ94" i="5" s="1"/>
  <c r="BI69" i="5"/>
  <c r="BJ69" i="5" s="1"/>
  <c r="BI80" i="5"/>
  <c r="BJ80" i="5" s="1"/>
  <c r="BI54" i="5"/>
  <c r="BJ54" i="5" s="1"/>
  <c r="BI64" i="5"/>
  <c r="BJ64" i="5" s="1"/>
  <c r="BI70" i="5"/>
  <c r="BJ70" i="5" s="1"/>
  <c r="GU19" i="5" l="1"/>
  <c r="GV19" i="5" s="1"/>
  <c r="CC85" i="5"/>
  <c r="CD85" i="5" s="1"/>
  <c r="GU24" i="5"/>
  <c r="GV24" i="5" s="1"/>
  <c r="GU9" i="5"/>
  <c r="GV9" i="5" s="1"/>
  <c r="BM16" i="5"/>
  <c r="BN16" i="5" s="1"/>
  <c r="HC48" i="5"/>
  <c r="HD48" i="5" s="1"/>
  <c r="CJ37" i="5"/>
  <c r="CI37" i="5"/>
  <c r="CK37" i="5" s="1"/>
  <c r="CL37" i="5" s="1"/>
  <c r="BW14" i="5"/>
  <c r="BY14" i="5" s="1"/>
  <c r="BZ14" i="5" s="1"/>
  <c r="BX14" i="5"/>
  <c r="GW57" i="5"/>
  <c r="GY57" i="5" s="1"/>
  <c r="GZ57" i="5" s="1"/>
  <c r="GX57" i="5"/>
  <c r="GS52" i="5"/>
  <c r="GU52" i="5" s="1"/>
  <c r="GV52" i="5" s="1"/>
  <c r="GT52" i="5"/>
  <c r="GS69" i="5"/>
  <c r="GU69" i="5" s="1"/>
  <c r="GV69" i="5" s="1"/>
  <c r="GT69" i="5"/>
  <c r="GP34" i="5"/>
  <c r="GO34" i="5"/>
  <c r="GQ34" i="5" s="1"/>
  <c r="GR34" i="5" s="1"/>
  <c r="CJ21" i="5"/>
  <c r="CI21" i="5"/>
  <c r="CK21" i="5" s="1"/>
  <c r="CL21" i="5" s="1"/>
  <c r="CJ96" i="5"/>
  <c r="CI96" i="5"/>
  <c r="CJ33" i="5"/>
  <c r="CI33" i="5"/>
  <c r="CK33" i="5" s="1"/>
  <c r="CL33" i="5" s="1"/>
  <c r="CJ47" i="5"/>
  <c r="CI47" i="5"/>
  <c r="CK47" i="5" s="1"/>
  <c r="CL47" i="5" s="1"/>
  <c r="CN32" i="5"/>
  <c r="CM32" i="5"/>
  <c r="CO32" i="5" s="1"/>
  <c r="CP32" i="5" s="1"/>
  <c r="CN33" i="5"/>
  <c r="CM33" i="5"/>
  <c r="CO33" i="5" s="1"/>
  <c r="CP33" i="5" s="1"/>
  <c r="CN34" i="5"/>
  <c r="CM34" i="5"/>
  <c r="CO34" i="5" s="1"/>
  <c r="CP34" i="5" s="1"/>
  <c r="CN46" i="5"/>
  <c r="CM46" i="5"/>
  <c r="CO46" i="5" s="1"/>
  <c r="CP46" i="5" s="1"/>
  <c r="CN47" i="5"/>
  <c r="CM47" i="5"/>
  <c r="CO47" i="5" s="1"/>
  <c r="CP47" i="5" s="1"/>
  <c r="CN48" i="5"/>
  <c r="CM48" i="5"/>
  <c r="CO48" i="5" s="1"/>
  <c r="CP48" i="5" s="1"/>
  <c r="CN56" i="5"/>
  <c r="CM56" i="5"/>
  <c r="CO56" i="5" s="1"/>
  <c r="CP56" i="5" s="1"/>
  <c r="CN57" i="5"/>
  <c r="CM57" i="5"/>
  <c r="CO57" i="5" s="1"/>
  <c r="CP57" i="5" s="1"/>
  <c r="CN89" i="5"/>
  <c r="CM89" i="5"/>
  <c r="CN66" i="5"/>
  <c r="CM66" i="5"/>
  <c r="CO66" i="5" s="1"/>
  <c r="CP66" i="5" s="1"/>
  <c r="CN67" i="5"/>
  <c r="CM67" i="5"/>
  <c r="CO67" i="5" s="1"/>
  <c r="CP67" i="5" s="1"/>
  <c r="CN39" i="5"/>
  <c r="CM39" i="5"/>
  <c r="CO39" i="5" s="1"/>
  <c r="CP39" i="5" s="1"/>
  <c r="CN35" i="5"/>
  <c r="CM35" i="5"/>
  <c r="CO35" i="5" s="1"/>
  <c r="CP35" i="5" s="1"/>
  <c r="CN60" i="5"/>
  <c r="CM60" i="5"/>
  <c r="CO60" i="5" s="1"/>
  <c r="CP60" i="5" s="1"/>
  <c r="CN61" i="5"/>
  <c r="CM61" i="5"/>
  <c r="CO61" i="5" s="1"/>
  <c r="CP61" i="5" s="1"/>
  <c r="CN49" i="5"/>
  <c r="CM49" i="5"/>
  <c r="CO49" i="5" s="1"/>
  <c r="CP49" i="5" s="1"/>
  <c r="HN61" i="5"/>
  <c r="HM61" i="5"/>
  <c r="HO61" i="5" s="1"/>
  <c r="HP61" i="5" s="1"/>
  <c r="HN76" i="5"/>
  <c r="HM76" i="5"/>
  <c r="HO76" i="5" s="1"/>
  <c r="HP76" i="5" s="1"/>
  <c r="CN90" i="5"/>
  <c r="CM90" i="5"/>
  <c r="CO90" i="5" s="1"/>
  <c r="CP90" i="5" s="1"/>
  <c r="HN90" i="5"/>
  <c r="HM90" i="5"/>
  <c r="HO90" i="5" s="1"/>
  <c r="HP90" i="5" s="1"/>
  <c r="HN96" i="5"/>
  <c r="HM96" i="5"/>
  <c r="HO96" i="5" s="1"/>
  <c r="HP96" i="5" s="1"/>
  <c r="CN10" i="5"/>
  <c r="CM10" i="5"/>
  <c r="CJ68" i="5"/>
  <c r="CI68" i="5"/>
  <c r="CK68" i="5" s="1"/>
  <c r="CL68" i="5" s="1"/>
  <c r="CJ53" i="5"/>
  <c r="CI53" i="5"/>
  <c r="CK53" i="5" s="1"/>
  <c r="CL53" i="5" s="1"/>
  <c r="CJ31" i="5"/>
  <c r="CI31" i="5"/>
  <c r="CF44" i="5"/>
  <c r="CE44" i="5"/>
  <c r="CG44" i="5" s="1"/>
  <c r="CH44" i="5" s="1"/>
  <c r="CF82" i="5"/>
  <c r="CE82" i="5"/>
  <c r="CG82" i="5" s="1"/>
  <c r="CH82" i="5" s="1"/>
  <c r="CE28" i="5"/>
  <c r="CF28" i="5"/>
  <c r="CB52" i="5"/>
  <c r="CA52" i="5"/>
  <c r="CC52" i="5" s="1"/>
  <c r="CD52" i="5" s="1"/>
  <c r="BX78" i="5"/>
  <c r="BW78" i="5"/>
  <c r="BY78" i="5" s="1"/>
  <c r="BZ78" i="5" s="1"/>
  <c r="CB45" i="5"/>
  <c r="CA45" i="5"/>
  <c r="CC45" i="5" s="1"/>
  <c r="CD45" i="5" s="1"/>
  <c r="BX13" i="5"/>
  <c r="BW13" i="5"/>
  <c r="BY13" i="5" s="1"/>
  <c r="BZ13" i="5" s="1"/>
  <c r="BX23" i="5"/>
  <c r="BW23" i="5"/>
  <c r="BY23" i="5" s="1"/>
  <c r="BZ23" i="5" s="1"/>
  <c r="CB86" i="5"/>
  <c r="CA86" i="5"/>
  <c r="CC86" i="5" s="1"/>
  <c r="CD86" i="5" s="1"/>
  <c r="BX24" i="5"/>
  <c r="BW24" i="5"/>
  <c r="BY24" i="5" s="1"/>
  <c r="BZ24" i="5" s="1"/>
  <c r="BT50" i="5"/>
  <c r="BS50" i="5"/>
  <c r="BU50" i="5" s="1"/>
  <c r="BV50" i="5" s="1"/>
  <c r="BT87" i="5"/>
  <c r="BS87" i="5"/>
  <c r="BU87" i="5" s="1"/>
  <c r="BV87" i="5" s="1"/>
  <c r="BT63" i="5"/>
  <c r="BS63" i="5"/>
  <c r="BU63" i="5" s="1"/>
  <c r="BV63" i="5" s="1"/>
  <c r="BX88" i="5"/>
  <c r="BW88" i="5"/>
  <c r="BY88" i="5" s="1"/>
  <c r="BZ88" i="5" s="1"/>
  <c r="BT95" i="5"/>
  <c r="BS95" i="5"/>
  <c r="BU95" i="5" s="1"/>
  <c r="BV95" i="5" s="1"/>
  <c r="GX29" i="5"/>
  <c r="GW29" i="5"/>
  <c r="GY29" i="5" s="1"/>
  <c r="GZ29" i="5" s="1"/>
  <c r="GW16" i="5"/>
  <c r="GX16" i="5"/>
  <c r="BP92" i="5"/>
  <c r="BO92" i="5"/>
  <c r="BQ92" i="5" s="1"/>
  <c r="BR92" i="5" s="1"/>
  <c r="GT22" i="5"/>
  <c r="GS22" i="5"/>
  <c r="GU22" i="5" s="1"/>
  <c r="GV22" i="5" s="1"/>
  <c r="BX41" i="5"/>
  <c r="BW41" i="5"/>
  <c r="BY41" i="5" s="1"/>
  <c r="BZ41" i="5" s="1"/>
  <c r="GW87" i="5"/>
  <c r="GX87" i="5"/>
  <c r="GW86" i="5"/>
  <c r="GX86" i="5"/>
  <c r="GW18" i="5"/>
  <c r="GX18" i="5"/>
  <c r="GW33" i="5"/>
  <c r="GX33" i="5"/>
  <c r="GW47" i="5"/>
  <c r="GX47" i="5"/>
  <c r="GS35" i="5"/>
  <c r="GT35" i="5"/>
  <c r="GW8" i="5"/>
  <c r="GX8" i="5"/>
  <c r="GW36" i="5"/>
  <c r="GX36" i="5"/>
  <c r="GW51" i="5"/>
  <c r="GX51" i="5"/>
  <c r="GW91" i="5"/>
  <c r="GX91" i="5"/>
  <c r="GW45" i="5"/>
  <c r="GX45" i="5"/>
  <c r="GW94" i="5"/>
  <c r="GX94" i="5"/>
  <c r="GW58" i="5"/>
  <c r="GX58" i="5"/>
  <c r="GT10" i="5"/>
  <c r="GS10" i="5"/>
  <c r="GU10" i="5" s="1"/>
  <c r="GV10" i="5" s="1"/>
  <c r="GW32" i="5"/>
  <c r="GX32" i="5"/>
  <c r="GW46" i="5"/>
  <c r="GX46" i="5"/>
  <c r="GW55" i="5"/>
  <c r="GX55" i="5"/>
  <c r="GW60" i="5"/>
  <c r="GX60" i="5"/>
  <c r="GW20" i="5"/>
  <c r="GX20" i="5"/>
  <c r="GW54" i="5"/>
  <c r="GX54" i="5"/>
  <c r="GW56" i="5"/>
  <c r="GX56" i="5"/>
  <c r="GW75" i="5"/>
  <c r="GX75" i="5"/>
  <c r="GS44" i="5"/>
  <c r="GT44" i="5"/>
  <c r="CA26" i="5"/>
  <c r="CB26" i="5"/>
  <c r="GT42" i="5"/>
  <c r="GS42" i="5"/>
  <c r="GU42" i="5" s="1"/>
  <c r="GV42" i="5" s="1"/>
  <c r="GW88" i="5"/>
  <c r="GX88" i="5"/>
  <c r="BO81" i="5"/>
  <c r="BP81" i="5"/>
  <c r="BT25" i="5"/>
  <c r="BS25" i="5"/>
  <c r="BU25" i="5" s="1"/>
  <c r="BV25" i="5" s="1"/>
  <c r="CI62" i="5"/>
  <c r="CJ62" i="5"/>
  <c r="CA12" i="5"/>
  <c r="CB12" i="5"/>
  <c r="GX39" i="5"/>
  <c r="GW39" i="5"/>
  <c r="GY39" i="5" s="1"/>
  <c r="GZ39" i="5" s="1"/>
  <c r="GX79" i="5"/>
  <c r="GW79" i="5"/>
  <c r="GY79" i="5" s="1"/>
  <c r="GZ79" i="5" s="1"/>
  <c r="CA22" i="5"/>
  <c r="CB22" i="5"/>
  <c r="GX37" i="5"/>
  <c r="GW37" i="5"/>
  <c r="GY37" i="5" s="1"/>
  <c r="GZ37" i="5" s="1"/>
  <c r="GX28" i="5"/>
  <c r="GW28" i="5"/>
  <c r="GY28" i="5" s="1"/>
  <c r="GZ28" i="5" s="1"/>
  <c r="GX27" i="5"/>
  <c r="GW27" i="5"/>
  <c r="GY27" i="5" s="1"/>
  <c r="GZ27" i="5" s="1"/>
  <c r="GX66" i="5"/>
  <c r="GW66" i="5"/>
  <c r="GY66" i="5" s="1"/>
  <c r="GZ66" i="5" s="1"/>
  <c r="GX82" i="5"/>
  <c r="GW82" i="5"/>
  <c r="GY82" i="5" s="1"/>
  <c r="GZ82" i="5" s="1"/>
  <c r="GX70" i="5"/>
  <c r="GW70" i="5"/>
  <c r="GY70" i="5" s="1"/>
  <c r="GZ70" i="5" s="1"/>
  <c r="GT23" i="5"/>
  <c r="GS23" i="5"/>
  <c r="GU23" i="5" s="1"/>
  <c r="GV23" i="5" s="1"/>
  <c r="GT50" i="5"/>
  <c r="GS50" i="5"/>
  <c r="BT20" i="5"/>
  <c r="BS20" i="5"/>
  <c r="BU20" i="5" s="1"/>
  <c r="BV20" i="5" s="1"/>
  <c r="GW14" i="5"/>
  <c r="GX14" i="5"/>
  <c r="GT12" i="5"/>
  <c r="GS12" i="5"/>
  <c r="GU12" i="5" s="1"/>
  <c r="GV12" i="5" s="1"/>
  <c r="GT65" i="5"/>
  <c r="GS65" i="5"/>
  <c r="GU65" i="5" s="1"/>
  <c r="GV65" i="5" s="1"/>
  <c r="BS38" i="5"/>
  <c r="BT38" i="5"/>
  <c r="GT38" i="5"/>
  <c r="GS38" i="5"/>
  <c r="GU38" i="5" s="1"/>
  <c r="GV38" i="5" s="1"/>
  <c r="GT72" i="5"/>
  <c r="GS72" i="5"/>
  <c r="GU72" i="5" s="1"/>
  <c r="GV72" i="5" s="1"/>
  <c r="BO73" i="5"/>
  <c r="BP73" i="5"/>
  <c r="CA51" i="5"/>
  <c r="CB51" i="5"/>
  <c r="BS93" i="5"/>
  <c r="BT93" i="5"/>
  <c r="GT73" i="5"/>
  <c r="GS73" i="5"/>
  <c r="GU73" i="5" s="1"/>
  <c r="GV73" i="5" s="1"/>
  <c r="GT40" i="5"/>
  <c r="GS40" i="5"/>
  <c r="GU40" i="5" s="1"/>
  <c r="GV40" i="5" s="1"/>
  <c r="BW75" i="5"/>
  <c r="BX75" i="5"/>
  <c r="GS62" i="5"/>
  <c r="GT62" i="5"/>
  <c r="BO77" i="5"/>
  <c r="BP77" i="5"/>
  <c r="BK71" i="5"/>
  <c r="BL71" i="5"/>
  <c r="BK8" i="5"/>
  <c r="BL8" i="5"/>
  <c r="BO11" i="5"/>
  <c r="BP11" i="5"/>
  <c r="BK9" i="5"/>
  <c r="BL9" i="5"/>
  <c r="BO55" i="5"/>
  <c r="BP55" i="5"/>
  <c r="BO18" i="5"/>
  <c r="BP18" i="5"/>
  <c r="BO36" i="5"/>
  <c r="BP36" i="5"/>
  <c r="BK91" i="5"/>
  <c r="BL91" i="5"/>
  <c r="BK94" i="5"/>
  <c r="BL94" i="5"/>
  <c r="BK69" i="5"/>
  <c r="BL69" i="5"/>
  <c r="BK80" i="5"/>
  <c r="BL80" i="5"/>
  <c r="BK54" i="5"/>
  <c r="BL54" i="5"/>
  <c r="BK64" i="5"/>
  <c r="BL64" i="5"/>
  <c r="BK70" i="5"/>
  <c r="BL70" i="5"/>
  <c r="CC74" i="5"/>
  <c r="CD74" i="5" s="1"/>
  <c r="HC21" i="5"/>
  <c r="HD21" i="5" s="1"/>
  <c r="BU83" i="5"/>
  <c r="BV83" i="5" s="1"/>
  <c r="BY27" i="5"/>
  <c r="BZ27" i="5" s="1"/>
  <c r="HC30" i="5"/>
  <c r="HD30" i="5" s="1"/>
  <c r="GU17" i="5"/>
  <c r="GV17" i="5" s="1"/>
  <c r="GY25" i="5"/>
  <c r="GZ25" i="5" s="1"/>
  <c r="GU26" i="5"/>
  <c r="GV26" i="5" s="1"/>
  <c r="GY49" i="5"/>
  <c r="GZ49" i="5" s="1"/>
  <c r="GU41" i="5"/>
  <c r="GV41" i="5" s="1"/>
  <c r="GU80" i="5"/>
  <c r="GV80" i="5" s="1"/>
  <c r="GU77" i="5"/>
  <c r="GV77" i="5" s="1"/>
  <c r="GU95" i="5"/>
  <c r="GV95" i="5" s="1"/>
  <c r="GU31" i="5"/>
  <c r="GV31" i="5" s="1"/>
  <c r="GU71" i="5"/>
  <c r="GV71" i="5" s="1"/>
  <c r="GU63" i="5"/>
  <c r="GV63" i="5" s="1"/>
  <c r="GU64" i="5"/>
  <c r="GV64" i="5" s="1"/>
  <c r="GU15" i="5"/>
  <c r="GV15" i="5" s="1"/>
  <c r="GU78" i="5"/>
  <c r="GV78" i="5" s="1"/>
  <c r="GU84" i="5"/>
  <c r="GV84" i="5" s="1"/>
  <c r="GU83" i="5"/>
  <c r="GV83" i="5" s="1"/>
  <c r="GU92" i="5"/>
  <c r="GV92" i="5" s="1"/>
  <c r="GU43" i="5"/>
  <c r="GV43" i="5" s="1"/>
  <c r="GU53" i="5"/>
  <c r="GV53" i="5" s="1"/>
  <c r="GU68" i="5"/>
  <c r="GV68" i="5" s="1"/>
  <c r="GU85" i="5"/>
  <c r="GV85" i="5" s="1"/>
  <c r="GU67" i="5"/>
  <c r="GV67" i="5" s="1"/>
  <c r="GU81" i="5"/>
  <c r="GV81" i="5" s="1"/>
  <c r="GU13" i="5"/>
  <c r="GV13" i="5" s="1"/>
  <c r="GU74" i="5"/>
  <c r="GV74" i="5" s="1"/>
  <c r="GU59" i="5"/>
  <c r="GV59" i="5" s="1"/>
  <c r="GU93" i="5"/>
  <c r="GV93" i="5" s="1"/>
  <c r="CG59" i="5"/>
  <c r="CH59" i="5" s="1"/>
  <c r="GY11" i="5"/>
  <c r="GZ11" i="5" s="1"/>
  <c r="CC29" i="5"/>
  <c r="CD29" i="5" s="1"/>
  <c r="BQ19" i="5"/>
  <c r="BR19" i="5" s="1"/>
  <c r="BY76" i="5"/>
  <c r="BZ76" i="5" s="1"/>
  <c r="BU30" i="5"/>
  <c r="BV30" i="5" s="1"/>
  <c r="BQ15" i="5"/>
  <c r="BR15" i="5" s="1"/>
  <c r="BM42" i="5"/>
  <c r="BN42" i="5" s="1"/>
  <c r="BQ40" i="5"/>
  <c r="BR40" i="5" s="1"/>
  <c r="BQ79" i="5"/>
  <c r="BR79" i="5" s="1"/>
  <c r="BM65" i="5"/>
  <c r="BN65" i="5" s="1"/>
  <c r="GM89" i="5"/>
  <c r="GN89" i="5" s="1"/>
  <c r="BM58" i="5"/>
  <c r="BN58" i="5" s="1"/>
  <c r="BQ84" i="5"/>
  <c r="BR84" i="5" s="1"/>
  <c r="BM43" i="5"/>
  <c r="BN43" i="5" s="1"/>
  <c r="BM72" i="5"/>
  <c r="BN72" i="5" s="1"/>
  <c r="BQ17" i="5"/>
  <c r="BR17" i="5" s="1"/>
  <c r="GX19" i="5" l="1"/>
  <c r="GW19" i="5"/>
  <c r="GY19" i="5" s="1"/>
  <c r="GZ19" i="5" s="1"/>
  <c r="CE85" i="5"/>
  <c r="CF85" i="5"/>
  <c r="CK96" i="5"/>
  <c r="CL96" i="5" s="1"/>
  <c r="CO10" i="5"/>
  <c r="CP10" i="5" s="1"/>
  <c r="GY33" i="5"/>
  <c r="GZ33" i="5" s="1"/>
  <c r="CC51" i="5"/>
  <c r="CD51" i="5" s="1"/>
  <c r="BM64" i="5"/>
  <c r="BN64" i="5" s="1"/>
  <c r="GX24" i="5"/>
  <c r="GW24" i="5"/>
  <c r="GY24" i="5" s="1"/>
  <c r="GZ24" i="5" s="1"/>
  <c r="GW9" i="5"/>
  <c r="GY9" i="5" s="1"/>
  <c r="GZ9" i="5" s="1"/>
  <c r="GX9" i="5"/>
  <c r="BP16" i="5"/>
  <c r="BO16" i="5"/>
  <c r="BQ16" i="5" s="1"/>
  <c r="BR16" i="5" s="1"/>
  <c r="HF48" i="5"/>
  <c r="HE48" i="5"/>
  <c r="HG48" i="5" s="1"/>
  <c r="HH48" i="5" s="1"/>
  <c r="CM37" i="5"/>
  <c r="CO37" i="5" s="1"/>
  <c r="CP37" i="5" s="1"/>
  <c r="CN37" i="5"/>
  <c r="GT34" i="5"/>
  <c r="GS34" i="5"/>
  <c r="GU34" i="5" s="1"/>
  <c r="GV34" i="5" s="1"/>
  <c r="CN21" i="5"/>
  <c r="CM21" i="5"/>
  <c r="CO21" i="5" s="1"/>
  <c r="CP21" i="5" s="1"/>
  <c r="CR21" i="5"/>
  <c r="CQ21" i="5"/>
  <c r="CS21" i="5" s="1"/>
  <c r="CT21" i="5" s="1"/>
  <c r="CR32" i="5"/>
  <c r="CQ32" i="5"/>
  <c r="CS32" i="5" s="1"/>
  <c r="CT32" i="5" s="1"/>
  <c r="CR33" i="5"/>
  <c r="CQ33" i="5"/>
  <c r="CS33" i="5" s="1"/>
  <c r="CT33" i="5" s="1"/>
  <c r="CR34" i="5"/>
  <c r="CQ34" i="5"/>
  <c r="CS34" i="5" s="1"/>
  <c r="CT34" i="5" s="1"/>
  <c r="CR46" i="5"/>
  <c r="CQ46" i="5"/>
  <c r="CS46" i="5" s="1"/>
  <c r="CT46" i="5" s="1"/>
  <c r="CR47" i="5"/>
  <c r="CQ47" i="5"/>
  <c r="CS47" i="5" s="1"/>
  <c r="CT47" i="5" s="1"/>
  <c r="CR48" i="5"/>
  <c r="CQ48" i="5"/>
  <c r="CS48" i="5" s="1"/>
  <c r="CT48" i="5" s="1"/>
  <c r="CR56" i="5"/>
  <c r="CQ56" i="5"/>
  <c r="CS56" i="5" s="1"/>
  <c r="CT56" i="5" s="1"/>
  <c r="CR57" i="5"/>
  <c r="CQ57" i="5"/>
  <c r="CS57" i="5" s="1"/>
  <c r="CT57" i="5" s="1"/>
  <c r="CR66" i="5"/>
  <c r="CQ66" i="5"/>
  <c r="CR67" i="5"/>
  <c r="CQ67" i="5"/>
  <c r="CS67" i="5" s="1"/>
  <c r="CT67" i="5" s="1"/>
  <c r="CR39" i="5"/>
  <c r="CQ39" i="5"/>
  <c r="CS39" i="5" s="1"/>
  <c r="CT39" i="5" s="1"/>
  <c r="CR35" i="5"/>
  <c r="CQ35" i="5"/>
  <c r="CS35" i="5" s="1"/>
  <c r="CT35" i="5" s="1"/>
  <c r="CR60" i="5"/>
  <c r="CQ60" i="5"/>
  <c r="CS60" i="5" s="1"/>
  <c r="CT60" i="5" s="1"/>
  <c r="CR61" i="5"/>
  <c r="CQ61" i="5"/>
  <c r="CS61" i="5" s="1"/>
  <c r="CT61" i="5" s="1"/>
  <c r="CR49" i="5"/>
  <c r="CQ49" i="5"/>
  <c r="CS49" i="5" s="1"/>
  <c r="CT49" i="5" s="1"/>
  <c r="HR61" i="5"/>
  <c r="HQ61" i="5"/>
  <c r="HS61" i="5" s="1"/>
  <c r="HT61" i="5" s="1"/>
  <c r="HR76" i="5"/>
  <c r="HQ76" i="5"/>
  <c r="HS76" i="5" s="1"/>
  <c r="HT76" i="5" s="1"/>
  <c r="CR90" i="5"/>
  <c r="CQ90" i="5"/>
  <c r="CS90" i="5" s="1"/>
  <c r="CT90" i="5" s="1"/>
  <c r="HR90" i="5"/>
  <c r="HQ90" i="5"/>
  <c r="HS90" i="5" s="1"/>
  <c r="HT90" i="5" s="1"/>
  <c r="HR96" i="5"/>
  <c r="HQ96" i="5"/>
  <c r="HS96" i="5" s="1"/>
  <c r="HT96" i="5" s="1"/>
  <c r="CQ10" i="5"/>
  <c r="CR10" i="5"/>
  <c r="CN68" i="5"/>
  <c r="CM68" i="5"/>
  <c r="CO68" i="5" s="1"/>
  <c r="CP68" i="5" s="1"/>
  <c r="CM53" i="5"/>
  <c r="CN53" i="5"/>
  <c r="CJ44" i="5"/>
  <c r="CI44" i="5"/>
  <c r="CK44" i="5" s="1"/>
  <c r="CL44" i="5" s="1"/>
  <c r="CJ82" i="5"/>
  <c r="CI82" i="5"/>
  <c r="CK82" i="5" s="1"/>
  <c r="CL82" i="5" s="1"/>
  <c r="CF52" i="5"/>
  <c r="CE52" i="5"/>
  <c r="CB78" i="5"/>
  <c r="CA78" i="5"/>
  <c r="CC78" i="5" s="1"/>
  <c r="CD78" i="5" s="1"/>
  <c r="CF45" i="5"/>
  <c r="CE45" i="5"/>
  <c r="CG45" i="5" s="1"/>
  <c r="CH45" i="5" s="1"/>
  <c r="CB13" i="5"/>
  <c r="CA13" i="5"/>
  <c r="CC13" i="5" s="1"/>
  <c r="CD13" i="5" s="1"/>
  <c r="CB23" i="5"/>
  <c r="CA23" i="5"/>
  <c r="CC23" i="5" s="1"/>
  <c r="CD23" i="5" s="1"/>
  <c r="CF86" i="5"/>
  <c r="CE86" i="5"/>
  <c r="CG86" i="5" s="1"/>
  <c r="CH86" i="5" s="1"/>
  <c r="CB24" i="5"/>
  <c r="CA24" i="5"/>
  <c r="CC24" i="5" s="1"/>
  <c r="CD24" i="5" s="1"/>
  <c r="BX50" i="5"/>
  <c r="BW50" i="5"/>
  <c r="BY50" i="5" s="1"/>
  <c r="BZ50" i="5" s="1"/>
  <c r="BX87" i="5"/>
  <c r="BW87" i="5"/>
  <c r="BY87" i="5" s="1"/>
  <c r="BZ87" i="5" s="1"/>
  <c r="BX63" i="5"/>
  <c r="BW63" i="5"/>
  <c r="BY63" i="5" s="1"/>
  <c r="BZ63" i="5" s="1"/>
  <c r="CA88" i="5"/>
  <c r="CB88" i="5"/>
  <c r="BW95" i="5"/>
  <c r="BX95" i="5"/>
  <c r="HB29" i="5"/>
  <c r="HA29" i="5"/>
  <c r="HC29" i="5" s="1"/>
  <c r="HD29" i="5" s="1"/>
  <c r="BT92" i="5"/>
  <c r="BS92" i="5"/>
  <c r="BU92" i="5" s="1"/>
  <c r="BV92" i="5" s="1"/>
  <c r="GW22" i="5"/>
  <c r="GX22" i="5"/>
  <c r="GX34" i="5"/>
  <c r="GW34" i="5"/>
  <c r="GY34" i="5" s="1"/>
  <c r="GZ34" i="5" s="1"/>
  <c r="CB41" i="5"/>
  <c r="CA41" i="5"/>
  <c r="CC41" i="5" s="1"/>
  <c r="CD41" i="5" s="1"/>
  <c r="GW10" i="5"/>
  <c r="GX10" i="5"/>
  <c r="GW42" i="5"/>
  <c r="GX42" i="5"/>
  <c r="BX25" i="5"/>
  <c r="BW25" i="5"/>
  <c r="BY25" i="5" s="1"/>
  <c r="BZ25" i="5" s="1"/>
  <c r="HA39" i="5"/>
  <c r="HB39" i="5"/>
  <c r="HA79" i="5"/>
  <c r="HB79" i="5"/>
  <c r="HA37" i="5"/>
  <c r="HB37" i="5"/>
  <c r="HA28" i="5"/>
  <c r="HB28" i="5"/>
  <c r="HA27" i="5"/>
  <c r="HB27" i="5"/>
  <c r="HA66" i="5"/>
  <c r="HB66" i="5"/>
  <c r="HA82" i="5"/>
  <c r="HB82" i="5"/>
  <c r="HA70" i="5"/>
  <c r="HB70" i="5"/>
  <c r="GW23" i="5"/>
  <c r="GX23" i="5"/>
  <c r="BW20" i="5"/>
  <c r="BX20" i="5"/>
  <c r="GW12" i="5"/>
  <c r="GX12" i="5"/>
  <c r="GW65" i="5"/>
  <c r="GX65" i="5"/>
  <c r="GX38" i="5"/>
  <c r="GW38" i="5"/>
  <c r="GY38" i="5" s="1"/>
  <c r="GZ38" i="5" s="1"/>
  <c r="GX72" i="5"/>
  <c r="GW72" i="5"/>
  <c r="GY72" i="5" s="1"/>
  <c r="GZ72" i="5" s="1"/>
  <c r="GW73" i="5"/>
  <c r="GX73" i="5"/>
  <c r="GW40" i="5"/>
  <c r="GX40" i="5"/>
  <c r="CE74" i="5"/>
  <c r="CF74" i="5"/>
  <c r="CA14" i="5"/>
  <c r="CB14" i="5"/>
  <c r="HE21" i="5"/>
  <c r="HF21" i="5"/>
  <c r="HB57" i="5"/>
  <c r="HA57" i="5"/>
  <c r="HC57" i="5" s="1"/>
  <c r="HD57" i="5" s="1"/>
  <c r="BW83" i="5"/>
  <c r="BX83" i="5"/>
  <c r="CB27" i="5"/>
  <c r="CA27" i="5"/>
  <c r="CC27" i="5" s="1"/>
  <c r="CD27" i="5" s="1"/>
  <c r="HF30" i="5"/>
  <c r="HE30" i="5"/>
  <c r="HG30" i="5" s="1"/>
  <c r="HH30" i="5" s="1"/>
  <c r="GW17" i="5"/>
  <c r="GX17" i="5"/>
  <c r="GX52" i="5"/>
  <c r="GW52" i="5"/>
  <c r="GY52" i="5" s="1"/>
  <c r="GZ52" i="5" s="1"/>
  <c r="HB25" i="5"/>
  <c r="HA25" i="5"/>
  <c r="HC25" i="5" s="1"/>
  <c r="HD25" i="5" s="1"/>
  <c r="GX26" i="5"/>
  <c r="GW26" i="5"/>
  <c r="GY26" i="5" s="1"/>
  <c r="GZ26" i="5" s="1"/>
  <c r="HB49" i="5"/>
  <c r="HA49" i="5"/>
  <c r="HC49" i="5" s="1"/>
  <c r="HD49" i="5" s="1"/>
  <c r="GX41" i="5"/>
  <c r="GW41" i="5"/>
  <c r="GY41" i="5" s="1"/>
  <c r="GZ41" i="5" s="1"/>
  <c r="GX80" i="5"/>
  <c r="GW80" i="5"/>
  <c r="GY80" i="5" s="1"/>
  <c r="GZ80" i="5" s="1"/>
  <c r="GX77" i="5"/>
  <c r="GW77" i="5"/>
  <c r="GY77" i="5" s="1"/>
  <c r="GZ77" i="5" s="1"/>
  <c r="GX95" i="5"/>
  <c r="GW95" i="5"/>
  <c r="GY95" i="5" s="1"/>
  <c r="GZ95" i="5" s="1"/>
  <c r="GX31" i="5"/>
  <c r="GW31" i="5"/>
  <c r="GY31" i="5" s="1"/>
  <c r="GZ31" i="5" s="1"/>
  <c r="GX71" i="5"/>
  <c r="GW71" i="5"/>
  <c r="GY71" i="5" s="1"/>
  <c r="GZ71" i="5" s="1"/>
  <c r="GX63" i="5"/>
  <c r="GW63" i="5"/>
  <c r="GY63" i="5" s="1"/>
  <c r="GZ63" i="5" s="1"/>
  <c r="GX64" i="5"/>
  <c r="GW64" i="5"/>
  <c r="GY64" i="5" s="1"/>
  <c r="GZ64" i="5" s="1"/>
  <c r="GX15" i="5"/>
  <c r="GW15" i="5"/>
  <c r="GY15" i="5" s="1"/>
  <c r="GZ15" i="5" s="1"/>
  <c r="GX78" i="5"/>
  <c r="GW78" i="5"/>
  <c r="GY78" i="5" s="1"/>
  <c r="GZ78" i="5" s="1"/>
  <c r="GX84" i="5"/>
  <c r="GW84" i="5"/>
  <c r="GY84" i="5" s="1"/>
  <c r="GZ84" i="5" s="1"/>
  <c r="GW83" i="5"/>
  <c r="GX83" i="5"/>
  <c r="GX92" i="5"/>
  <c r="GW92" i="5"/>
  <c r="GY92" i="5" s="1"/>
  <c r="GZ92" i="5" s="1"/>
  <c r="GW43" i="5"/>
  <c r="GX43" i="5"/>
  <c r="GX53" i="5"/>
  <c r="GW53" i="5"/>
  <c r="GY53" i="5" s="1"/>
  <c r="GZ53" i="5" s="1"/>
  <c r="GX68" i="5"/>
  <c r="GW68" i="5"/>
  <c r="GY68" i="5" s="1"/>
  <c r="GZ68" i="5" s="1"/>
  <c r="GX85" i="5"/>
  <c r="GW85" i="5"/>
  <c r="GY85" i="5" s="1"/>
  <c r="GZ85" i="5" s="1"/>
  <c r="GX67" i="5"/>
  <c r="GW67" i="5"/>
  <c r="GY67" i="5" s="1"/>
  <c r="GZ67" i="5" s="1"/>
  <c r="GX81" i="5"/>
  <c r="GW81" i="5"/>
  <c r="GY81" i="5" s="1"/>
  <c r="GZ81" i="5" s="1"/>
  <c r="GW13" i="5"/>
  <c r="GX13" i="5"/>
  <c r="GX74" i="5"/>
  <c r="GW74" i="5"/>
  <c r="GY74" i="5" s="1"/>
  <c r="GZ74" i="5" s="1"/>
  <c r="GX59" i="5"/>
  <c r="GW59" i="5"/>
  <c r="GY59" i="5" s="1"/>
  <c r="GZ59" i="5" s="1"/>
  <c r="GX93" i="5"/>
  <c r="GW93" i="5"/>
  <c r="GY93" i="5" s="1"/>
  <c r="GZ93" i="5" s="1"/>
  <c r="GX69" i="5"/>
  <c r="GW69" i="5"/>
  <c r="GY69" i="5" s="1"/>
  <c r="GZ69" i="5" s="1"/>
  <c r="CI59" i="5"/>
  <c r="CJ59" i="5"/>
  <c r="HB11" i="5"/>
  <c r="HA11" i="5"/>
  <c r="HC11" i="5" s="1"/>
  <c r="HD11" i="5" s="1"/>
  <c r="CE29" i="5"/>
  <c r="CF29" i="5"/>
  <c r="BS19" i="5"/>
  <c r="BT19" i="5"/>
  <c r="CA76" i="5"/>
  <c r="CB76" i="5"/>
  <c r="BW30" i="5"/>
  <c r="BX30" i="5"/>
  <c r="BT15" i="5"/>
  <c r="BS15" i="5"/>
  <c r="BO42" i="5"/>
  <c r="BP42" i="5"/>
  <c r="BS40" i="5"/>
  <c r="BT40" i="5"/>
  <c r="BS79" i="5"/>
  <c r="BT79" i="5"/>
  <c r="BO65" i="5"/>
  <c r="BP65" i="5"/>
  <c r="GO89" i="5"/>
  <c r="GP89" i="5"/>
  <c r="BO58" i="5"/>
  <c r="BP58" i="5"/>
  <c r="BS84" i="5"/>
  <c r="BT84" i="5"/>
  <c r="BO43" i="5"/>
  <c r="BP43" i="5"/>
  <c r="BO72" i="5"/>
  <c r="BP72" i="5"/>
  <c r="BT17" i="5"/>
  <c r="BS17" i="5"/>
  <c r="BU17" i="5" s="1"/>
  <c r="BV17" i="5" s="1"/>
  <c r="CO89" i="5"/>
  <c r="CP89" i="5" s="1"/>
  <c r="CK31" i="5"/>
  <c r="CL31" i="5" s="1"/>
  <c r="CG28" i="5"/>
  <c r="CH28" i="5" s="1"/>
  <c r="GY16" i="5"/>
  <c r="GZ16" i="5" s="1"/>
  <c r="GY87" i="5"/>
  <c r="GZ87" i="5" s="1"/>
  <c r="GY86" i="5"/>
  <c r="GZ86" i="5" s="1"/>
  <c r="GY18" i="5"/>
  <c r="GZ18" i="5" s="1"/>
  <c r="GY47" i="5"/>
  <c r="GZ47" i="5" s="1"/>
  <c r="GU35" i="5"/>
  <c r="GV35" i="5" s="1"/>
  <c r="GY8" i="5"/>
  <c r="GZ8" i="5" s="1"/>
  <c r="GY36" i="5"/>
  <c r="GZ36" i="5" s="1"/>
  <c r="GY51" i="5"/>
  <c r="GZ51" i="5" s="1"/>
  <c r="GY91" i="5"/>
  <c r="GZ91" i="5" s="1"/>
  <c r="GY45" i="5"/>
  <c r="GZ45" i="5" s="1"/>
  <c r="GY94" i="5"/>
  <c r="GZ94" i="5" s="1"/>
  <c r="GY58" i="5"/>
  <c r="GZ58" i="5" s="1"/>
  <c r="GY32" i="5"/>
  <c r="GZ32" i="5" s="1"/>
  <c r="GY46" i="5"/>
  <c r="GZ46" i="5" s="1"/>
  <c r="GY55" i="5"/>
  <c r="GZ55" i="5" s="1"/>
  <c r="GY60" i="5"/>
  <c r="GZ60" i="5" s="1"/>
  <c r="GY20" i="5"/>
  <c r="GZ20" i="5" s="1"/>
  <c r="GY54" i="5"/>
  <c r="GZ54" i="5" s="1"/>
  <c r="GY56" i="5"/>
  <c r="GZ56" i="5" s="1"/>
  <c r="GY75" i="5"/>
  <c r="GZ75" i="5" s="1"/>
  <c r="GU44" i="5"/>
  <c r="GV44" i="5" s="1"/>
  <c r="CC26" i="5"/>
  <c r="CD26" i="5" s="1"/>
  <c r="CK62" i="5"/>
  <c r="CL62" i="5" s="1"/>
  <c r="CC12" i="5"/>
  <c r="CD12" i="5" s="1"/>
  <c r="GY88" i="5"/>
  <c r="GZ88" i="5" s="1"/>
  <c r="BQ81" i="5"/>
  <c r="BR81" i="5" s="1"/>
  <c r="BQ73" i="5"/>
  <c r="BR73" i="5" s="1"/>
  <c r="CC22" i="5"/>
  <c r="CD22" i="5" s="1"/>
  <c r="GU50" i="5"/>
  <c r="GV50" i="5" s="1"/>
  <c r="GY14" i="5"/>
  <c r="GZ14" i="5" s="1"/>
  <c r="BU38" i="5"/>
  <c r="BV38" i="5" s="1"/>
  <c r="BU93" i="5"/>
  <c r="BV93" i="5" s="1"/>
  <c r="BY75" i="5"/>
  <c r="BZ75" i="5" s="1"/>
  <c r="GU62" i="5"/>
  <c r="GV62" i="5" s="1"/>
  <c r="BQ77" i="5"/>
  <c r="BR77" i="5" s="1"/>
  <c r="BM71" i="5"/>
  <c r="BN71" i="5" s="1"/>
  <c r="BM8" i="5"/>
  <c r="BN8" i="5" s="1"/>
  <c r="BQ11" i="5"/>
  <c r="BR11" i="5" s="1"/>
  <c r="BM9" i="5"/>
  <c r="BN9" i="5" s="1"/>
  <c r="BQ55" i="5"/>
  <c r="BR55" i="5" s="1"/>
  <c r="BQ18" i="5"/>
  <c r="BR18" i="5" s="1"/>
  <c r="BQ36" i="5"/>
  <c r="BR36" i="5" s="1"/>
  <c r="BM91" i="5"/>
  <c r="BN91" i="5" s="1"/>
  <c r="BM94" i="5"/>
  <c r="BN94" i="5" s="1"/>
  <c r="BM69" i="5"/>
  <c r="BN69" i="5" s="1"/>
  <c r="BM80" i="5"/>
  <c r="BN80" i="5" s="1"/>
  <c r="BM54" i="5"/>
  <c r="BN54" i="5" s="1"/>
  <c r="BM70" i="5"/>
  <c r="BN70" i="5" s="1"/>
  <c r="CM96" i="5" l="1"/>
  <c r="CN96" i="5"/>
  <c r="CG85" i="5"/>
  <c r="CH85" i="5" s="1"/>
  <c r="GY83" i="5"/>
  <c r="GZ83" i="5" s="1"/>
  <c r="HB19" i="5"/>
  <c r="HA19" i="5"/>
  <c r="HC19" i="5" s="1"/>
  <c r="HD19" i="5" s="1"/>
  <c r="HA33" i="5"/>
  <c r="HB33" i="5"/>
  <c r="CF51" i="5"/>
  <c r="CE51" i="5"/>
  <c r="CG51" i="5" s="1"/>
  <c r="CH51" i="5" s="1"/>
  <c r="BP64" i="5"/>
  <c r="BO64" i="5"/>
  <c r="BQ64" i="5" s="1"/>
  <c r="BR64" i="5" s="1"/>
  <c r="HB24" i="5"/>
  <c r="HA24" i="5"/>
  <c r="HC24" i="5" s="1"/>
  <c r="HD24" i="5" s="1"/>
  <c r="BT16" i="5"/>
  <c r="BS16" i="5"/>
  <c r="BU16" i="5" s="1"/>
  <c r="BV16" i="5" s="1"/>
  <c r="HJ48" i="5"/>
  <c r="HI48" i="5"/>
  <c r="HK48" i="5" s="1"/>
  <c r="HL48" i="5" s="1"/>
  <c r="CV21" i="5"/>
  <c r="CU21" i="5"/>
  <c r="CW21" i="5" s="1"/>
  <c r="CX21" i="5" s="1"/>
  <c r="CV32" i="5"/>
  <c r="CU32" i="5"/>
  <c r="CW32" i="5" s="1"/>
  <c r="CX32" i="5" s="1"/>
  <c r="CV33" i="5"/>
  <c r="CU33" i="5"/>
  <c r="CW33" i="5" s="1"/>
  <c r="CX33" i="5" s="1"/>
  <c r="CV34" i="5"/>
  <c r="CU34" i="5"/>
  <c r="CW34" i="5" s="1"/>
  <c r="CX34" i="5" s="1"/>
  <c r="CV46" i="5"/>
  <c r="CU46" i="5"/>
  <c r="CW46" i="5" s="1"/>
  <c r="CX46" i="5" s="1"/>
  <c r="CV47" i="5"/>
  <c r="CU47" i="5"/>
  <c r="CW47" i="5" s="1"/>
  <c r="CX47" i="5" s="1"/>
  <c r="CV48" i="5"/>
  <c r="CU48" i="5"/>
  <c r="CW48" i="5" s="1"/>
  <c r="CX48" i="5" s="1"/>
  <c r="CV56" i="5"/>
  <c r="CU56" i="5"/>
  <c r="CW56" i="5" s="1"/>
  <c r="CX56" i="5" s="1"/>
  <c r="CU57" i="5"/>
  <c r="CV57" i="5"/>
  <c r="CV67" i="5"/>
  <c r="CU67" i="5"/>
  <c r="CW67" i="5" s="1"/>
  <c r="CX67" i="5" s="1"/>
  <c r="CV39" i="5"/>
  <c r="CU39" i="5"/>
  <c r="CW39" i="5" s="1"/>
  <c r="CX39" i="5" s="1"/>
  <c r="CV35" i="5"/>
  <c r="CU35" i="5"/>
  <c r="CW35" i="5" s="1"/>
  <c r="CX35" i="5" s="1"/>
  <c r="CV60" i="5"/>
  <c r="CU60" i="5"/>
  <c r="CW60" i="5" s="1"/>
  <c r="CX60" i="5" s="1"/>
  <c r="CV61" i="5"/>
  <c r="CU61" i="5"/>
  <c r="CW61" i="5" s="1"/>
  <c r="CX61" i="5" s="1"/>
  <c r="CV49" i="5"/>
  <c r="CU49" i="5"/>
  <c r="CW49" i="5" s="1"/>
  <c r="CX49" i="5" s="1"/>
  <c r="HV61" i="5"/>
  <c r="HU61" i="5"/>
  <c r="HW61" i="5" s="1"/>
  <c r="HX61" i="5" s="1"/>
  <c r="HV76" i="5"/>
  <c r="HU76" i="5"/>
  <c r="HW76" i="5" s="1"/>
  <c r="HX76" i="5" s="1"/>
  <c r="CV90" i="5"/>
  <c r="CU90" i="5"/>
  <c r="CW90" i="5" s="1"/>
  <c r="CX90" i="5" s="1"/>
  <c r="HV90" i="5"/>
  <c r="HU90" i="5"/>
  <c r="HV96" i="5"/>
  <c r="HU96" i="5"/>
  <c r="HW96" i="5" s="1"/>
  <c r="HX96" i="5" s="1"/>
  <c r="CR68" i="5"/>
  <c r="CQ68" i="5"/>
  <c r="CS68" i="5" s="1"/>
  <c r="CT68" i="5" s="1"/>
  <c r="CN44" i="5"/>
  <c r="CM44" i="5"/>
  <c r="CO44" i="5" s="1"/>
  <c r="CP44" i="5" s="1"/>
  <c r="CN82" i="5"/>
  <c r="CM82" i="5"/>
  <c r="CO82" i="5" s="1"/>
  <c r="CP82" i="5" s="1"/>
  <c r="CF78" i="5"/>
  <c r="CE78" i="5"/>
  <c r="CG78" i="5" s="1"/>
  <c r="CH78" i="5" s="1"/>
  <c r="CJ45" i="5"/>
  <c r="CI45" i="5"/>
  <c r="CK45" i="5" s="1"/>
  <c r="CL45" i="5" s="1"/>
  <c r="CF13" i="5"/>
  <c r="CE13" i="5"/>
  <c r="CG13" i="5" s="1"/>
  <c r="CH13" i="5" s="1"/>
  <c r="CF23" i="5"/>
  <c r="CE23" i="5"/>
  <c r="CG23" i="5" s="1"/>
  <c r="CH23" i="5" s="1"/>
  <c r="CJ86" i="5"/>
  <c r="CI86" i="5"/>
  <c r="CK86" i="5" s="1"/>
  <c r="CL86" i="5" s="1"/>
  <c r="CF24" i="5"/>
  <c r="CE24" i="5"/>
  <c r="CG24" i="5" s="1"/>
  <c r="CH24" i="5" s="1"/>
  <c r="CB50" i="5"/>
  <c r="CA50" i="5"/>
  <c r="CC50" i="5" s="1"/>
  <c r="CD50" i="5" s="1"/>
  <c r="CB87" i="5"/>
  <c r="CA87" i="5"/>
  <c r="CC87" i="5" s="1"/>
  <c r="CD87" i="5" s="1"/>
  <c r="CB63" i="5"/>
  <c r="CA63" i="5"/>
  <c r="CC63" i="5" s="1"/>
  <c r="CD63" i="5" s="1"/>
  <c r="HF29" i="5"/>
  <c r="HE29" i="5"/>
  <c r="HG29" i="5" s="1"/>
  <c r="HH29" i="5" s="1"/>
  <c r="HF24" i="5"/>
  <c r="HE24" i="5"/>
  <c r="BX92" i="5"/>
  <c r="BW92" i="5"/>
  <c r="BY92" i="5" s="1"/>
  <c r="BZ92" i="5" s="1"/>
  <c r="HB34" i="5"/>
  <c r="HA34" i="5"/>
  <c r="HC34" i="5" s="1"/>
  <c r="HD34" i="5" s="1"/>
  <c r="CF41" i="5"/>
  <c r="CE41" i="5"/>
  <c r="CG41" i="5" s="1"/>
  <c r="CH41" i="5" s="1"/>
  <c r="CB25" i="5"/>
  <c r="CA25" i="5"/>
  <c r="CC25" i="5" s="1"/>
  <c r="CD25" i="5" s="1"/>
  <c r="HB38" i="5"/>
  <c r="HA38" i="5"/>
  <c r="HC38" i="5" s="1"/>
  <c r="HD38" i="5" s="1"/>
  <c r="HA72" i="5"/>
  <c r="HB72" i="5"/>
  <c r="CJ51" i="5"/>
  <c r="CI51" i="5"/>
  <c r="BT64" i="5"/>
  <c r="BS64" i="5"/>
  <c r="BU64" i="5" s="1"/>
  <c r="BV64" i="5" s="1"/>
  <c r="HE57" i="5"/>
  <c r="HF57" i="5"/>
  <c r="CF27" i="5"/>
  <c r="CE27" i="5"/>
  <c r="CG27" i="5" s="1"/>
  <c r="CH27" i="5" s="1"/>
  <c r="HJ30" i="5"/>
  <c r="HI30" i="5"/>
  <c r="HE19" i="5"/>
  <c r="HF19" i="5"/>
  <c r="HA52" i="5"/>
  <c r="HB52" i="5"/>
  <c r="HF25" i="5"/>
  <c r="HE25" i="5"/>
  <c r="HG25" i="5" s="1"/>
  <c r="HH25" i="5" s="1"/>
  <c r="HB26" i="5"/>
  <c r="HA26" i="5"/>
  <c r="HC26" i="5" s="1"/>
  <c r="HD26" i="5" s="1"/>
  <c r="HE49" i="5"/>
  <c r="HF49" i="5"/>
  <c r="HA41" i="5"/>
  <c r="HB41" i="5"/>
  <c r="HA80" i="5"/>
  <c r="HB80" i="5"/>
  <c r="HA77" i="5"/>
  <c r="HB77" i="5"/>
  <c r="HA95" i="5"/>
  <c r="HB95" i="5"/>
  <c r="HA31" i="5"/>
  <c r="HB31" i="5"/>
  <c r="HA71" i="5"/>
  <c r="HB71" i="5"/>
  <c r="HA63" i="5"/>
  <c r="HB63" i="5"/>
  <c r="HA64" i="5"/>
  <c r="HB64" i="5"/>
  <c r="HA15" i="5"/>
  <c r="HB15" i="5"/>
  <c r="HA78" i="5"/>
  <c r="HB78" i="5"/>
  <c r="HA84" i="5"/>
  <c r="HB84" i="5"/>
  <c r="HA92" i="5"/>
  <c r="HB92" i="5"/>
  <c r="HA53" i="5"/>
  <c r="HB53" i="5"/>
  <c r="HA68" i="5"/>
  <c r="HB68" i="5"/>
  <c r="HA85" i="5"/>
  <c r="HB85" i="5"/>
  <c r="HA67" i="5"/>
  <c r="HB67" i="5"/>
  <c r="HA81" i="5"/>
  <c r="HB81" i="5"/>
  <c r="HA74" i="5"/>
  <c r="HB74" i="5"/>
  <c r="HA59" i="5"/>
  <c r="HB59" i="5"/>
  <c r="HA93" i="5"/>
  <c r="HB93" i="5"/>
  <c r="HB69" i="5"/>
  <c r="HA69" i="5"/>
  <c r="HC69" i="5" s="1"/>
  <c r="HD69" i="5" s="1"/>
  <c r="HE11" i="5"/>
  <c r="HF11" i="5"/>
  <c r="BW17" i="5"/>
  <c r="BX17" i="5"/>
  <c r="CQ89" i="5"/>
  <c r="CR89" i="5"/>
  <c r="CQ37" i="5"/>
  <c r="CR37" i="5"/>
  <c r="CM31" i="5"/>
  <c r="CN31" i="5"/>
  <c r="CI28" i="5"/>
  <c r="CJ28" i="5"/>
  <c r="HB16" i="5"/>
  <c r="HA16" i="5"/>
  <c r="HC16" i="5" s="1"/>
  <c r="HD16" i="5" s="1"/>
  <c r="HB9" i="5"/>
  <c r="HA9" i="5"/>
  <c r="HC9" i="5" s="1"/>
  <c r="HD9" i="5" s="1"/>
  <c r="HB87" i="5"/>
  <c r="HA87" i="5"/>
  <c r="HC87" i="5" s="1"/>
  <c r="HD87" i="5" s="1"/>
  <c r="HB86" i="5"/>
  <c r="HA86" i="5"/>
  <c r="HC86" i="5" s="1"/>
  <c r="HD86" i="5" s="1"/>
  <c r="HB18" i="5"/>
  <c r="HA18" i="5"/>
  <c r="HC18" i="5" s="1"/>
  <c r="HD18" i="5" s="1"/>
  <c r="HB47" i="5"/>
  <c r="HA47" i="5"/>
  <c r="HC47" i="5" s="1"/>
  <c r="HD47" i="5" s="1"/>
  <c r="GX35" i="5"/>
  <c r="GW35" i="5"/>
  <c r="GY35" i="5" s="1"/>
  <c r="GZ35" i="5" s="1"/>
  <c r="HB8" i="5"/>
  <c r="HA8" i="5"/>
  <c r="HC8" i="5" s="1"/>
  <c r="HD8" i="5" s="1"/>
  <c r="HB36" i="5"/>
  <c r="HA36" i="5"/>
  <c r="HC36" i="5" s="1"/>
  <c r="HD36" i="5" s="1"/>
  <c r="HB51" i="5"/>
  <c r="HA51" i="5"/>
  <c r="HC51" i="5" s="1"/>
  <c r="HD51" i="5" s="1"/>
  <c r="HB91" i="5"/>
  <c r="HA91" i="5"/>
  <c r="HC91" i="5" s="1"/>
  <c r="HD91" i="5" s="1"/>
  <c r="HB45" i="5"/>
  <c r="HA45" i="5"/>
  <c r="HC45" i="5" s="1"/>
  <c r="HD45" i="5" s="1"/>
  <c r="HB94" i="5"/>
  <c r="HA94" i="5"/>
  <c r="HC94" i="5" s="1"/>
  <c r="HD94" i="5" s="1"/>
  <c r="HB58" i="5"/>
  <c r="HA58" i="5"/>
  <c r="HC58" i="5" s="1"/>
  <c r="HD58" i="5" s="1"/>
  <c r="HB32" i="5"/>
  <c r="HA32" i="5"/>
  <c r="HC32" i="5" s="1"/>
  <c r="HD32" i="5" s="1"/>
  <c r="HB46" i="5"/>
  <c r="HA46" i="5"/>
  <c r="HC46" i="5" s="1"/>
  <c r="HD46" i="5" s="1"/>
  <c r="HB55" i="5"/>
  <c r="HA55" i="5"/>
  <c r="HC55" i="5" s="1"/>
  <c r="HD55" i="5" s="1"/>
  <c r="HB60" i="5"/>
  <c r="HA60" i="5"/>
  <c r="HC60" i="5" s="1"/>
  <c r="HD60" i="5" s="1"/>
  <c r="HB20" i="5"/>
  <c r="HA20" i="5"/>
  <c r="HC20" i="5" s="1"/>
  <c r="HD20" i="5" s="1"/>
  <c r="HB54" i="5"/>
  <c r="HA54" i="5"/>
  <c r="HC54" i="5" s="1"/>
  <c r="HD54" i="5" s="1"/>
  <c r="HB56" i="5"/>
  <c r="HA56" i="5"/>
  <c r="HC56" i="5" s="1"/>
  <c r="HD56" i="5" s="1"/>
  <c r="HB75" i="5"/>
  <c r="HA75" i="5"/>
  <c r="HC75" i="5" s="1"/>
  <c r="HD75" i="5" s="1"/>
  <c r="GX44" i="5"/>
  <c r="GW44" i="5"/>
  <c r="GY44" i="5" s="1"/>
  <c r="GZ44" i="5" s="1"/>
  <c r="CF26" i="5"/>
  <c r="CE26" i="5"/>
  <c r="CG26" i="5" s="1"/>
  <c r="CH26" i="5" s="1"/>
  <c r="CM62" i="5"/>
  <c r="CN62" i="5"/>
  <c r="CE12" i="5"/>
  <c r="CF12" i="5"/>
  <c r="HB88" i="5"/>
  <c r="HA88" i="5"/>
  <c r="HC88" i="5" s="1"/>
  <c r="HD88" i="5" s="1"/>
  <c r="BS81" i="5"/>
  <c r="BT81" i="5"/>
  <c r="BS73" i="5"/>
  <c r="BT73" i="5"/>
  <c r="CE22" i="5"/>
  <c r="CF22" i="5"/>
  <c r="GX50" i="5"/>
  <c r="GW50" i="5"/>
  <c r="GY50" i="5" s="1"/>
  <c r="GZ50" i="5" s="1"/>
  <c r="HA14" i="5"/>
  <c r="HB14" i="5"/>
  <c r="BW38" i="5"/>
  <c r="BX38" i="5"/>
  <c r="BW93" i="5"/>
  <c r="BX93" i="5"/>
  <c r="CA75" i="5"/>
  <c r="CB75" i="5"/>
  <c r="GW62" i="5"/>
  <c r="GX62" i="5"/>
  <c r="BS77" i="5"/>
  <c r="BT77" i="5"/>
  <c r="BO71" i="5"/>
  <c r="BP71" i="5"/>
  <c r="BO8" i="5"/>
  <c r="BP8" i="5"/>
  <c r="BS11" i="5"/>
  <c r="BT11" i="5"/>
  <c r="BO9" i="5"/>
  <c r="BP9" i="5"/>
  <c r="BS55" i="5"/>
  <c r="BT55" i="5"/>
  <c r="BS18" i="5"/>
  <c r="BT18" i="5"/>
  <c r="BS36" i="5"/>
  <c r="BT36" i="5"/>
  <c r="BO91" i="5"/>
  <c r="BP91" i="5"/>
  <c r="BO94" i="5"/>
  <c r="BP94" i="5"/>
  <c r="BO69" i="5"/>
  <c r="BP69" i="5"/>
  <c r="BO80" i="5"/>
  <c r="BP80" i="5"/>
  <c r="BO54" i="5"/>
  <c r="BP54" i="5"/>
  <c r="BO70" i="5"/>
  <c r="BP70" i="5"/>
  <c r="CS66" i="5"/>
  <c r="CT66" i="5" s="1"/>
  <c r="CS10" i="5"/>
  <c r="CT10" i="5" s="1"/>
  <c r="CO53" i="5"/>
  <c r="CP53" i="5" s="1"/>
  <c r="CG52" i="5"/>
  <c r="CH52" i="5" s="1"/>
  <c r="CC88" i="5"/>
  <c r="CD88" i="5" s="1"/>
  <c r="BY95" i="5"/>
  <c r="BZ95" i="5" s="1"/>
  <c r="GY22" i="5"/>
  <c r="GZ22" i="5" s="1"/>
  <c r="CK59" i="5"/>
  <c r="CL59" i="5" s="1"/>
  <c r="HC33" i="5"/>
  <c r="HD33" i="5" s="1"/>
  <c r="GY10" i="5"/>
  <c r="GZ10" i="5" s="1"/>
  <c r="GY42" i="5"/>
  <c r="GZ42" i="5" s="1"/>
  <c r="HC39" i="5"/>
  <c r="HD39" i="5" s="1"/>
  <c r="HC79" i="5"/>
  <c r="HD79" i="5" s="1"/>
  <c r="HC37" i="5"/>
  <c r="HD37" i="5" s="1"/>
  <c r="HC28" i="5"/>
  <c r="HD28" i="5" s="1"/>
  <c r="HC27" i="5"/>
  <c r="HD27" i="5" s="1"/>
  <c r="HC66" i="5"/>
  <c r="HD66" i="5" s="1"/>
  <c r="HC82" i="5"/>
  <c r="HD82" i="5" s="1"/>
  <c r="HC70" i="5"/>
  <c r="HD70" i="5" s="1"/>
  <c r="GY23" i="5"/>
  <c r="GZ23" i="5" s="1"/>
  <c r="BY20" i="5"/>
  <c r="BZ20" i="5" s="1"/>
  <c r="GY12" i="5"/>
  <c r="GZ12" i="5" s="1"/>
  <c r="GY65" i="5"/>
  <c r="GZ65" i="5" s="1"/>
  <c r="BY83" i="5"/>
  <c r="BZ83" i="5" s="1"/>
  <c r="GY13" i="5"/>
  <c r="GZ13" i="5" s="1"/>
  <c r="GY73" i="5"/>
  <c r="GZ73" i="5" s="1"/>
  <c r="GY40" i="5"/>
  <c r="GZ40" i="5" s="1"/>
  <c r="CG74" i="5"/>
  <c r="CH74" i="5" s="1"/>
  <c r="CC14" i="5"/>
  <c r="CD14" i="5" s="1"/>
  <c r="HG21" i="5"/>
  <c r="HH21" i="5" s="1"/>
  <c r="GY17" i="5"/>
  <c r="GZ17" i="5" s="1"/>
  <c r="GY43" i="5"/>
  <c r="GZ43" i="5" s="1"/>
  <c r="CG29" i="5"/>
  <c r="CH29" i="5" s="1"/>
  <c r="BU19" i="5"/>
  <c r="BV19" i="5" s="1"/>
  <c r="CC76" i="5"/>
  <c r="CD76" i="5" s="1"/>
  <c r="BY30" i="5"/>
  <c r="BZ30" i="5" s="1"/>
  <c r="BU15" i="5"/>
  <c r="BV15" i="5" s="1"/>
  <c r="BQ42" i="5"/>
  <c r="BR42" i="5" s="1"/>
  <c r="BU40" i="5"/>
  <c r="BV40" i="5" s="1"/>
  <c r="BU79" i="5"/>
  <c r="BV79" i="5" s="1"/>
  <c r="BQ65" i="5"/>
  <c r="BR65" i="5" s="1"/>
  <c r="GQ89" i="5"/>
  <c r="GR89" i="5" s="1"/>
  <c r="BQ58" i="5"/>
  <c r="BR58" i="5" s="1"/>
  <c r="BU84" i="5"/>
  <c r="BV84" i="5" s="1"/>
  <c r="BQ43" i="5"/>
  <c r="BR43" i="5" s="1"/>
  <c r="BQ72" i="5"/>
  <c r="BR72" i="5" s="1"/>
  <c r="CJ85" i="5" l="1"/>
  <c r="CI85" i="5"/>
  <c r="CK85" i="5" s="1"/>
  <c r="CL85" i="5" s="1"/>
  <c r="CO96" i="5"/>
  <c r="CP96" i="5" s="1"/>
  <c r="HG24" i="5"/>
  <c r="HH24" i="5" s="1"/>
  <c r="CK51" i="5"/>
  <c r="CL51" i="5" s="1"/>
  <c r="HC53" i="5"/>
  <c r="HD53" i="5" s="1"/>
  <c r="CO62" i="5"/>
  <c r="CP62" i="5" s="1"/>
  <c r="CC75" i="5"/>
  <c r="CD75" i="5" s="1"/>
  <c r="BU36" i="5"/>
  <c r="BV36" i="5" s="1"/>
  <c r="HA83" i="5"/>
  <c r="HC83" i="5" s="1"/>
  <c r="HD83" i="5" s="1"/>
  <c r="HB83" i="5"/>
  <c r="BX16" i="5"/>
  <c r="BW16" i="5"/>
  <c r="BY16" i="5" s="1"/>
  <c r="BZ16" i="5" s="1"/>
  <c r="HN48" i="5"/>
  <c r="HM48" i="5"/>
  <c r="HO48" i="5" s="1"/>
  <c r="HP48" i="5" s="1"/>
  <c r="CZ21" i="5"/>
  <c r="CY21" i="5"/>
  <c r="DA21" i="5" s="1"/>
  <c r="DB21" i="5" s="1"/>
  <c r="CZ32" i="5"/>
  <c r="CY32" i="5"/>
  <c r="DA32" i="5" s="1"/>
  <c r="DB32" i="5" s="1"/>
  <c r="CZ33" i="5"/>
  <c r="CY33" i="5"/>
  <c r="DA33" i="5" s="1"/>
  <c r="DB33" i="5" s="1"/>
  <c r="CZ34" i="5"/>
  <c r="CY34" i="5"/>
  <c r="DA34" i="5" s="1"/>
  <c r="DB34" i="5" s="1"/>
  <c r="CZ46" i="5"/>
  <c r="CY46" i="5"/>
  <c r="DA46" i="5" s="1"/>
  <c r="DB46" i="5" s="1"/>
  <c r="CZ47" i="5"/>
  <c r="CY47" i="5"/>
  <c r="DA47" i="5" s="1"/>
  <c r="DB47" i="5" s="1"/>
  <c r="CZ48" i="5"/>
  <c r="CY48" i="5"/>
  <c r="DA48" i="5" s="1"/>
  <c r="DB48" i="5" s="1"/>
  <c r="CZ56" i="5"/>
  <c r="CY56" i="5"/>
  <c r="DA56" i="5" s="1"/>
  <c r="DB56" i="5" s="1"/>
  <c r="CZ67" i="5"/>
  <c r="CY67" i="5"/>
  <c r="DA67" i="5" s="1"/>
  <c r="DB67" i="5" s="1"/>
  <c r="CZ39" i="5"/>
  <c r="CY39" i="5"/>
  <c r="CZ35" i="5"/>
  <c r="CY35" i="5"/>
  <c r="DA35" i="5" s="1"/>
  <c r="DB35" i="5" s="1"/>
  <c r="CZ60" i="5"/>
  <c r="CY60" i="5"/>
  <c r="DA60" i="5" s="1"/>
  <c r="DB60" i="5" s="1"/>
  <c r="CZ61" i="5"/>
  <c r="CY61" i="5"/>
  <c r="DA61" i="5" s="1"/>
  <c r="DB61" i="5" s="1"/>
  <c r="CY49" i="5"/>
  <c r="CZ49" i="5"/>
  <c r="HZ61" i="5"/>
  <c r="HY61" i="5"/>
  <c r="IA61" i="5" s="1"/>
  <c r="IB61" i="5" s="1"/>
  <c r="HZ76" i="5"/>
  <c r="HY76" i="5"/>
  <c r="IA76" i="5" s="1"/>
  <c r="IB76" i="5" s="1"/>
  <c r="CZ90" i="5"/>
  <c r="CY90" i="5"/>
  <c r="DA90" i="5" s="1"/>
  <c r="DB90" i="5" s="1"/>
  <c r="HZ96" i="5"/>
  <c r="HY96" i="5"/>
  <c r="IA96" i="5" s="1"/>
  <c r="IB96" i="5" s="1"/>
  <c r="CV68" i="5"/>
  <c r="CU68" i="5"/>
  <c r="CW68" i="5" s="1"/>
  <c r="CX68" i="5" s="1"/>
  <c r="CR44" i="5"/>
  <c r="CQ44" i="5"/>
  <c r="CS44" i="5" s="1"/>
  <c r="CT44" i="5" s="1"/>
  <c r="CR82" i="5"/>
  <c r="CQ82" i="5"/>
  <c r="CS82" i="5" s="1"/>
  <c r="CT82" i="5" s="1"/>
  <c r="CJ78" i="5"/>
  <c r="CI78" i="5"/>
  <c r="CK78" i="5" s="1"/>
  <c r="CL78" i="5" s="1"/>
  <c r="CN45" i="5"/>
  <c r="CM45" i="5"/>
  <c r="CO45" i="5" s="1"/>
  <c r="CP45" i="5" s="1"/>
  <c r="CI13" i="5"/>
  <c r="CJ13" i="5"/>
  <c r="CI23" i="5"/>
  <c r="CJ23" i="5"/>
  <c r="CN86" i="5"/>
  <c r="CM86" i="5"/>
  <c r="CO86" i="5" s="1"/>
  <c r="CP86" i="5" s="1"/>
  <c r="CJ24" i="5"/>
  <c r="CI24" i="5"/>
  <c r="CK24" i="5" s="1"/>
  <c r="CL24" i="5" s="1"/>
  <c r="CF50" i="5"/>
  <c r="CE50" i="5"/>
  <c r="CG50" i="5" s="1"/>
  <c r="CH50" i="5" s="1"/>
  <c r="CF87" i="5"/>
  <c r="CE87" i="5"/>
  <c r="CG87" i="5" s="1"/>
  <c r="CH87" i="5" s="1"/>
  <c r="CF63" i="5"/>
  <c r="CE63" i="5"/>
  <c r="CG63" i="5" s="1"/>
  <c r="CH63" i="5" s="1"/>
  <c r="HI29" i="5"/>
  <c r="HJ29" i="5"/>
  <c r="HI24" i="5"/>
  <c r="HJ24" i="5"/>
  <c r="CB92" i="5"/>
  <c r="CA92" i="5"/>
  <c r="CC92" i="5" s="1"/>
  <c r="CD92" i="5" s="1"/>
  <c r="HF34" i="5"/>
  <c r="HE34" i="5"/>
  <c r="HG34" i="5" s="1"/>
  <c r="HH34" i="5" s="1"/>
  <c r="CB16" i="5"/>
  <c r="CA16" i="5"/>
  <c r="CC16" i="5" s="1"/>
  <c r="CD16" i="5" s="1"/>
  <c r="CJ41" i="5"/>
  <c r="CI41" i="5"/>
  <c r="CK41" i="5" s="1"/>
  <c r="CL41" i="5" s="1"/>
  <c r="CF25" i="5"/>
  <c r="CE25" i="5"/>
  <c r="CG25" i="5" s="1"/>
  <c r="CH25" i="5" s="1"/>
  <c r="HE38" i="5"/>
  <c r="HF38" i="5"/>
  <c r="CN51" i="5"/>
  <c r="CM51" i="5"/>
  <c r="CO51" i="5" s="1"/>
  <c r="CP51" i="5" s="1"/>
  <c r="BX64" i="5"/>
  <c r="BW64" i="5"/>
  <c r="BY64" i="5" s="1"/>
  <c r="BZ64" i="5" s="1"/>
  <c r="CJ27" i="5"/>
  <c r="CI27" i="5"/>
  <c r="CK27" i="5" s="1"/>
  <c r="CL27" i="5" s="1"/>
  <c r="HI25" i="5"/>
  <c r="HJ25" i="5"/>
  <c r="HF26" i="5"/>
  <c r="HE26" i="5"/>
  <c r="HE69" i="5"/>
  <c r="HF69" i="5"/>
  <c r="HE16" i="5"/>
  <c r="HF16" i="5"/>
  <c r="HE9" i="5"/>
  <c r="HF9" i="5"/>
  <c r="HE87" i="5"/>
  <c r="HF87" i="5"/>
  <c r="HE86" i="5"/>
  <c r="HF86" i="5"/>
  <c r="HE18" i="5"/>
  <c r="HF18" i="5"/>
  <c r="HE47" i="5"/>
  <c r="HF47" i="5"/>
  <c r="HA35" i="5"/>
  <c r="HB35" i="5"/>
  <c r="HE8" i="5"/>
  <c r="HF8" i="5"/>
  <c r="HE36" i="5"/>
  <c r="HF36" i="5"/>
  <c r="HE51" i="5"/>
  <c r="HF51" i="5"/>
  <c r="HE91" i="5"/>
  <c r="HF91" i="5"/>
  <c r="HE45" i="5"/>
  <c r="HF45" i="5"/>
  <c r="HE94" i="5"/>
  <c r="HF94" i="5"/>
  <c r="HE58" i="5"/>
  <c r="HF58" i="5"/>
  <c r="HE32" i="5"/>
  <c r="HF32" i="5"/>
  <c r="HE46" i="5"/>
  <c r="HF46" i="5"/>
  <c r="HE55" i="5"/>
  <c r="HF55" i="5"/>
  <c r="HE60" i="5"/>
  <c r="HF60" i="5"/>
  <c r="HE20" i="5"/>
  <c r="HF20" i="5"/>
  <c r="HE54" i="5"/>
  <c r="HF54" i="5"/>
  <c r="HE56" i="5"/>
  <c r="HF56" i="5"/>
  <c r="HE75" i="5"/>
  <c r="HF75" i="5"/>
  <c r="HA44" i="5"/>
  <c r="HB44" i="5"/>
  <c r="CJ26" i="5"/>
  <c r="CI26" i="5"/>
  <c r="CK26" i="5" s="1"/>
  <c r="CL26" i="5" s="1"/>
  <c r="HE88" i="5"/>
  <c r="HF88" i="5"/>
  <c r="HA50" i="5"/>
  <c r="HB50" i="5"/>
  <c r="CU66" i="5"/>
  <c r="CV66" i="5"/>
  <c r="CU10" i="5"/>
  <c r="CV10" i="5"/>
  <c r="CQ53" i="5"/>
  <c r="CR53" i="5"/>
  <c r="CI52" i="5"/>
  <c r="CJ52" i="5"/>
  <c r="CE88" i="5"/>
  <c r="CF88" i="5"/>
  <c r="CA95" i="5"/>
  <c r="CB95" i="5"/>
  <c r="HB22" i="5"/>
  <c r="HA22" i="5"/>
  <c r="HC22" i="5" s="1"/>
  <c r="HD22" i="5" s="1"/>
  <c r="CM59" i="5"/>
  <c r="CN59" i="5"/>
  <c r="HF33" i="5"/>
  <c r="HE33" i="5"/>
  <c r="HB10" i="5"/>
  <c r="HA10" i="5"/>
  <c r="HC10" i="5" s="1"/>
  <c r="HD10" i="5" s="1"/>
  <c r="HB42" i="5"/>
  <c r="HA42" i="5"/>
  <c r="HC42" i="5" s="1"/>
  <c r="HD42" i="5" s="1"/>
  <c r="HF39" i="5"/>
  <c r="HE39" i="5"/>
  <c r="HG39" i="5" s="1"/>
  <c r="HH39" i="5" s="1"/>
  <c r="HF79" i="5"/>
  <c r="HE79" i="5"/>
  <c r="HG79" i="5" s="1"/>
  <c r="HH79" i="5" s="1"/>
  <c r="HF37" i="5"/>
  <c r="HE37" i="5"/>
  <c r="HG37" i="5" s="1"/>
  <c r="HH37" i="5" s="1"/>
  <c r="HF28" i="5"/>
  <c r="HE28" i="5"/>
  <c r="HG28" i="5" s="1"/>
  <c r="HH28" i="5" s="1"/>
  <c r="HF27" i="5"/>
  <c r="HE27" i="5"/>
  <c r="HG27" i="5" s="1"/>
  <c r="HH27" i="5" s="1"/>
  <c r="HF66" i="5"/>
  <c r="HE66" i="5"/>
  <c r="HG66" i="5" s="1"/>
  <c r="HH66" i="5" s="1"/>
  <c r="HF82" i="5"/>
  <c r="HE82" i="5"/>
  <c r="HG82" i="5" s="1"/>
  <c r="HH82" i="5" s="1"/>
  <c r="HF70" i="5"/>
  <c r="HE70" i="5"/>
  <c r="HG70" i="5" s="1"/>
  <c r="HH70" i="5" s="1"/>
  <c r="HA23" i="5"/>
  <c r="HB23" i="5"/>
  <c r="CA20" i="5"/>
  <c r="CB20" i="5"/>
  <c r="HB12" i="5"/>
  <c r="HA12" i="5"/>
  <c r="HC12" i="5" s="1"/>
  <c r="HD12" i="5" s="1"/>
  <c r="HB65" i="5"/>
  <c r="HA65" i="5"/>
  <c r="HC65" i="5" s="1"/>
  <c r="HD65" i="5" s="1"/>
  <c r="CA83" i="5"/>
  <c r="CB83" i="5"/>
  <c r="HB13" i="5"/>
  <c r="HA13" i="5"/>
  <c r="HC13" i="5" s="1"/>
  <c r="HD13" i="5" s="1"/>
  <c r="HB73" i="5"/>
  <c r="HA73" i="5"/>
  <c r="HC73" i="5" s="1"/>
  <c r="HD73" i="5" s="1"/>
  <c r="HB40" i="5"/>
  <c r="HA40" i="5"/>
  <c r="CI74" i="5"/>
  <c r="CJ74" i="5"/>
  <c r="CE14" i="5"/>
  <c r="CF14" i="5"/>
  <c r="HI21" i="5"/>
  <c r="HJ21" i="5"/>
  <c r="HA17" i="5"/>
  <c r="HB17" i="5"/>
  <c r="HA43" i="5"/>
  <c r="HB43" i="5"/>
  <c r="CI29" i="5"/>
  <c r="CJ29" i="5"/>
  <c r="BW19" i="5"/>
  <c r="BX19" i="5"/>
  <c r="CE76" i="5"/>
  <c r="CF76" i="5"/>
  <c r="CA30" i="5"/>
  <c r="CB30" i="5"/>
  <c r="BW15" i="5"/>
  <c r="BX15" i="5"/>
  <c r="BS42" i="5"/>
  <c r="BT42" i="5"/>
  <c r="BW40" i="5"/>
  <c r="BX40" i="5"/>
  <c r="BX79" i="5"/>
  <c r="BW79" i="5"/>
  <c r="BY79" i="5" s="1"/>
  <c r="BZ79" i="5" s="1"/>
  <c r="BS65" i="5"/>
  <c r="BT65" i="5"/>
  <c r="GS89" i="5"/>
  <c r="GT89" i="5"/>
  <c r="BS58" i="5"/>
  <c r="BT58" i="5"/>
  <c r="BW84" i="5"/>
  <c r="BX84" i="5"/>
  <c r="BS43" i="5"/>
  <c r="BT43" i="5"/>
  <c r="BS72" i="5"/>
  <c r="BT72" i="5"/>
  <c r="HW90" i="5"/>
  <c r="HX90" i="5" s="1"/>
  <c r="HC72" i="5"/>
  <c r="HD72" i="5" s="1"/>
  <c r="HG57" i="5"/>
  <c r="HH57" i="5" s="1"/>
  <c r="HK30" i="5"/>
  <c r="HL30" i="5" s="1"/>
  <c r="HG19" i="5"/>
  <c r="HH19" i="5" s="1"/>
  <c r="HC52" i="5"/>
  <c r="HD52" i="5" s="1"/>
  <c r="HG49" i="5"/>
  <c r="HH49" i="5" s="1"/>
  <c r="HC41" i="5"/>
  <c r="HD41" i="5" s="1"/>
  <c r="HC80" i="5"/>
  <c r="HD80" i="5" s="1"/>
  <c r="HC77" i="5"/>
  <c r="HD77" i="5" s="1"/>
  <c r="HC95" i="5"/>
  <c r="HD95" i="5" s="1"/>
  <c r="HC31" i="5"/>
  <c r="HD31" i="5" s="1"/>
  <c r="HC71" i="5"/>
  <c r="HD71" i="5" s="1"/>
  <c r="HC63" i="5"/>
  <c r="HD63" i="5" s="1"/>
  <c r="HC64" i="5"/>
  <c r="HD64" i="5" s="1"/>
  <c r="HC15" i="5"/>
  <c r="HD15" i="5" s="1"/>
  <c r="HC78" i="5"/>
  <c r="HD78" i="5" s="1"/>
  <c r="HC84" i="5"/>
  <c r="HD84" i="5" s="1"/>
  <c r="HC92" i="5"/>
  <c r="HD92" i="5" s="1"/>
  <c r="HC68" i="5"/>
  <c r="HD68" i="5" s="1"/>
  <c r="HC85" i="5"/>
  <c r="HD85" i="5" s="1"/>
  <c r="HC67" i="5"/>
  <c r="HD67" i="5" s="1"/>
  <c r="HC81" i="5"/>
  <c r="HD81" i="5" s="1"/>
  <c r="HC74" i="5"/>
  <c r="HD74" i="5" s="1"/>
  <c r="HC59" i="5"/>
  <c r="HD59" i="5" s="1"/>
  <c r="HC93" i="5"/>
  <c r="HD93" i="5" s="1"/>
  <c r="HG11" i="5"/>
  <c r="HH11" i="5" s="1"/>
  <c r="BY17" i="5"/>
  <c r="BZ17" i="5" s="1"/>
  <c r="CS89" i="5"/>
  <c r="CT89" i="5" s="1"/>
  <c r="CS37" i="5"/>
  <c r="CT37" i="5" s="1"/>
  <c r="CO31" i="5"/>
  <c r="CP31" i="5" s="1"/>
  <c r="CK28" i="5"/>
  <c r="CL28" i="5" s="1"/>
  <c r="CG12" i="5"/>
  <c r="CH12" i="5" s="1"/>
  <c r="BU81" i="5"/>
  <c r="BV81" i="5" s="1"/>
  <c r="BU73" i="5"/>
  <c r="BV73" i="5" s="1"/>
  <c r="CG22" i="5"/>
  <c r="CH22" i="5" s="1"/>
  <c r="HC14" i="5"/>
  <c r="HD14" i="5" s="1"/>
  <c r="BY38" i="5"/>
  <c r="BZ38" i="5" s="1"/>
  <c r="BY93" i="5"/>
  <c r="BZ93" i="5" s="1"/>
  <c r="GY62" i="5"/>
  <c r="GZ62" i="5" s="1"/>
  <c r="BU77" i="5"/>
  <c r="BV77" i="5" s="1"/>
  <c r="BQ71" i="5"/>
  <c r="BR71" i="5" s="1"/>
  <c r="BQ8" i="5"/>
  <c r="BR8" i="5" s="1"/>
  <c r="BU11" i="5"/>
  <c r="BV11" i="5" s="1"/>
  <c r="BQ9" i="5"/>
  <c r="BR9" i="5" s="1"/>
  <c r="BU55" i="5"/>
  <c r="BV55" i="5" s="1"/>
  <c r="BU18" i="5"/>
  <c r="BV18" i="5" s="1"/>
  <c r="BQ91" i="5"/>
  <c r="BR91" i="5" s="1"/>
  <c r="BQ94" i="5"/>
  <c r="BR94" i="5" s="1"/>
  <c r="BQ69" i="5"/>
  <c r="BR69" i="5" s="1"/>
  <c r="BQ80" i="5"/>
  <c r="BR80" i="5" s="1"/>
  <c r="BQ54" i="5"/>
  <c r="BR54" i="5" s="1"/>
  <c r="BQ70" i="5"/>
  <c r="BR70" i="5" s="1"/>
  <c r="CW57" i="5"/>
  <c r="CX57" i="5" s="1"/>
  <c r="CM85" i="5" l="1"/>
  <c r="CN85" i="5"/>
  <c r="CR96" i="5"/>
  <c r="CQ96" i="5"/>
  <c r="CS96" i="5" s="1"/>
  <c r="CT96" i="5" s="1"/>
  <c r="HG26" i="5"/>
  <c r="HH26" i="5" s="1"/>
  <c r="HG69" i="5"/>
  <c r="HH69" i="5" s="1"/>
  <c r="HC40" i="5"/>
  <c r="HD40" i="5" s="1"/>
  <c r="BY15" i="5"/>
  <c r="BZ15" i="5" s="1"/>
  <c r="BU72" i="5"/>
  <c r="BV72" i="5" s="1"/>
  <c r="HE53" i="5"/>
  <c r="HF53" i="5"/>
  <c r="CR62" i="5"/>
  <c r="CQ62" i="5"/>
  <c r="CS62" i="5" s="1"/>
  <c r="CT62" i="5" s="1"/>
  <c r="CF75" i="5"/>
  <c r="CE75" i="5"/>
  <c r="CG75" i="5" s="1"/>
  <c r="CH75" i="5" s="1"/>
  <c r="BX36" i="5"/>
  <c r="BW36" i="5"/>
  <c r="BY36" i="5" s="1"/>
  <c r="BZ36" i="5" s="1"/>
  <c r="HR48" i="5"/>
  <c r="HQ48" i="5"/>
  <c r="DD21" i="5"/>
  <c r="DC21" i="5"/>
  <c r="DE21" i="5" s="1"/>
  <c r="DF21" i="5" s="1"/>
  <c r="DD32" i="5"/>
  <c r="DC32" i="5"/>
  <c r="DE32" i="5" s="1"/>
  <c r="DF32" i="5" s="1"/>
  <c r="DD33" i="5"/>
  <c r="DC33" i="5"/>
  <c r="DE33" i="5" s="1"/>
  <c r="DF33" i="5" s="1"/>
  <c r="DD34" i="5"/>
  <c r="DC34" i="5"/>
  <c r="DE34" i="5" s="1"/>
  <c r="DF34" i="5" s="1"/>
  <c r="DD46" i="5"/>
  <c r="DC46" i="5"/>
  <c r="DE46" i="5" s="1"/>
  <c r="DF46" i="5" s="1"/>
  <c r="DD47" i="5"/>
  <c r="DC47" i="5"/>
  <c r="DE47" i="5" s="1"/>
  <c r="DF47" i="5" s="1"/>
  <c r="DD48" i="5"/>
  <c r="DC48" i="5"/>
  <c r="DE48" i="5" s="1"/>
  <c r="DF48" i="5" s="1"/>
  <c r="DD56" i="5"/>
  <c r="DC56" i="5"/>
  <c r="DE56" i="5" s="1"/>
  <c r="DF56" i="5" s="1"/>
  <c r="DD67" i="5"/>
  <c r="DC67" i="5"/>
  <c r="DE67" i="5" s="1"/>
  <c r="DF67" i="5" s="1"/>
  <c r="DD35" i="5"/>
  <c r="DC35" i="5"/>
  <c r="DE35" i="5" s="1"/>
  <c r="DF35" i="5" s="1"/>
  <c r="DD60" i="5"/>
  <c r="DC60" i="5"/>
  <c r="DE60" i="5" s="1"/>
  <c r="DF60" i="5" s="1"/>
  <c r="DD61" i="5"/>
  <c r="DC61" i="5"/>
  <c r="DE61" i="5" s="1"/>
  <c r="DF61" i="5" s="1"/>
  <c r="ID61" i="5"/>
  <c r="IC61" i="5"/>
  <c r="IE61" i="5" s="1"/>
  <c r="IF61" i="5" s="1"/>
  <c r="ID76" i="5"/>
  <c r="IC76" i="5"/>
  <c r="IE76" i="5" s="1"/>
  <c r="IF76" i="5" s="1"/>
  <c r="DD90" i="5"/>
  <c r="DC90" i="5"/>
  <c r="DE90" i="5" s="1"/>
  <c r="DF90" i="5" s="1"/>
  <c r="ID96" i="5"/>
  <c r="IC96" i="5"/>
  <c r="IE96" i="5" s="1"/>
  <c r="IF96" i="5" s="1"/>
  <c r="CZ68" i="5"/>
  <c r="CY68" i="5"/>
  <c r="DA68" i="5" s="1"/>
  <c r="DB68" i="5" s="1"/>
  <c r="CV44" i="5"/>
  <c r="CU44" i="5"/>
  <c r="CV82" i="5"/>
  <c r="CU82" i="5"/>
  <c r="CW82" i="5" s="1"/>
  <c r="CX82" i="5" s="1"/>
  <c r="CN78" i="5"/>
  <c r="CM78" i="5"/>
  <c r="CO78" i="5" s="1"/>
  <c r="CP78" i="5" s="1"/>
  <c r="CR45" i="5"/>
  <c r="CQ45" i="5"/>
  <c r="CS45" i="5" s="1"/>
  <c r="CT45" i="5" s="1"/>
  <c r="CR86" i="5"/>
  <c r="CQ86" i="5"/>
  <c r="CS86" i="5" s="1"/>
  <c r="CT86" i="5" s="1"/>
  <c r="CN24" i="5"/>
  <c r="CM24" i="5"/>
  <c r="CO24" i="5" s="1"/>
  <c r="CP24" i="5" s="1"/>
  <c r="CJ50" i="5"/>
  <c r="CI50" i="5"/>
  <c r="CK50" i="5" s="1"/>
  <c r="CL50" i="5" s="1"/>
  <c r="CJ87" i="5"/>
  <c r="CI87" i="5"/>
  <c r="CJ63" i="5"/>
  <c r="CI63" i="5"/>
  <c r="CK63" i="5" s="1"/>
  <c r="CL63" i="5" s="1"/>
  <c r="CF92" i="5"/>
  <c r="CE92" i="5"/>
  <c r="CG92" i="5" s="1"/>
  <c r="CH92" i="5" s="1"/>
  <c r="HJ34" i="5"/>
  <c r="HI34" i="5"/>
  <c r="HK34" i="5" s="1"/>
  <c r="HL34" i="5" s="1"/>
  <c r="CF16" i="5"/>
  <c r="CE16" i="5"/>
  <c r="CG16" i="5" s="1"/>
  <c r="CH16" i="5" s="1"/>
  <c r="CN41" i="5"/>
  <c r="CM41" i="5"/>
  <c r="CO41" i="5" s="1"/>
  <c r="CP41" i="5" s="1"/>
  <c r="CJ25" i="5"/>
  <c r="CI25" i="5"/>
  <c r="CK25" i="5" s="1"/>
  <c r="CL25" i="5" s="1"/>
  <c r="CR51" i="5"/>
  <c r="CQ51" i="5"/>
  <c r="CS51" i="5" s="1"/>
  <c r="CT51" i="5" s="1"/>
  <c r="CB64" i="5"/>
  <c r="CA64" i="5"/>
  <c r="CC64" i="5" s="1"/>
  <c r="CD64" i="5" s="1"/>
  <c r="CN27" i="5"/>
  <c r="CM27" i="5"/>
  <c r="CO27" i="5" s="1"/>
  <c r="CP27" i="5" s="1"/>
  <c r="HI26" i="5"/>
  <c r="HJ26" i="5"/>
  <c r="HI69" i="5"/>
  <c r="HJ69" i="5"/>
  <c r="CN26" i="5"/>
  <c r="CM26" i="5"/>
  <c r="CO26" i="5" s="1"/>
  <c r="CP26" i="5" s="1"/>
  <c r="HF22" i="5"/>
  <c r="HE22" i="5"/>
  <c r="HG22" i="5" s="1"/>
  <c r="HH22" i="5" s="1"/>
  <c r="HE10" i="5"/>
  <c r="HF10" i="5"/>
  <c r="HE42" i="5"/>
  <c r="HF42" i="5"/>
  <c r="HJ39" i="5"/>
  <c r="HI39" i="5"/>
  <c r="HK39" i="5" s="1"/>
  <c r="HL39" i="5" s="1"/>
  <c r="HI79" i="5"/>
  <c r="HJ79" i="5"/>
  <c r="HI37" i="5"/>
  <c r="HJ37" i="5"/>
  <c r="HI28" i="5"/>
  <c r="HJ28" i="5"/>
  <c r="HI27" i="5"/>
  <c r="HJ27" i="5"/>
  <c r="HI66" i="5"/>
  <c r="HJ66" i="5"/>
  <c r="HI82" i="5"/>
  <c r="HJ82" i="5"/>
  <c r="HI70" i="5"/>
  <c r="HJ70" i="5"/>
  <c r="HE12" i="5"/>
  <c r="HF12" i="5"/>
  <c r="HF65" i="5"/>
  <c r="HE65" i="5"/>
  <c r="HG65" i="5" s="1"/>
  <c r="HH65" i="5" s="1"/>
  <c r="HE13" i="5"/>
  <c r="HF13" i="5"/>
  <c r="HE73" i="5"/>
  <c r="HF73" i="5"/>
  <c r="CB79" i="5"/>
  <c r="CA79" i="5"/>
  <c r="CC79" i="5" s="1"/>
  <c r="CD79" i="5" s="1"/>
  <c r="HZ90" i="5"/>
  <c r="HY90" i="5"/>
  <c r="IA90" i="5" s="1"/>
  <c r="IB90" i="5" s="1"/>
  <c r="HE72" i="5"/>
  <c r="HF72" i="5"/>
  <c r="HJ57" i="5"/>
  <c r="HI57" i="5"/>
  <c r="HK57" i="5" s="1"/>
  <c r="HL57" i="5" s="1"/>
  <c r="HM30" i="5"/>
  <c r="HN30" i="5"/>
  <c r="HJ19" i="5"/>
  <c r="HI19" i="5"/>
  <c r="HK19" i="5" s="1"/>
  <c r="HL19" i="5" s="1"/>
  <c r="HF52" i="5"/>
  <c r="HE52" i="5"/>
  <c r="HJ49" i="5"/>
  <c r="HI49" i="5"/>
  <c r="HK49" i="5" s="1"/>
  <c r="HL49" i="5" s="1"/>
  <c r="HF41" i="5"/>
  <c r="HE41" i="5"/>
  <c r="HG41" i="5" s="1"/>
  <c r="HH41" i="5" s="1"/>
  <c r="HF80" i="5"/>
  <c r="HE80" i="5"/>
  <c r="HG80" i="5" s="1"/>
  <c r="HH80" i="5" s="1"/>
  <c r="HF77" i="5"/>
  <c r="HE77" i="5"/>
  <c r="HG77" i="5" s="1"/>
  <c r="HH77" i="5" s="1"/>
  <c r="HF95" i="5"/>
  <c r="HE95" i="5"/>
  <c r="HG95" i="5" s="1"/>
  <c r="HH95" i="5" s="1"/>
  <c r="HF31" i="5"/>
  <c r="HE31" i="5"/>
  <c r="HG31" i="5" s="1"/>
  <c r="HH31" i="5" s="1"/>
  <c r="HF71" i="5"/>
  <c r="HE71" i="5"/>
  <c r="HG71" i="5" s="1"/>
  <c r="HH71" i="5" s="1"/>
  <c r="HF63" i="5"/>
  <c r="HE63" i="5"/>
  <c r="HG63" i="5" s="1"/>
  <c r="HH63" i="5" s="1"/>
  <c r="HF64" i="5"/>
  <c r="HE64" i="5"/>
  <c r="HG64" i="5" s="1"/>
  <c r="HH64" i="5" s="1"/>
  <c r="HE15" i="5"/>
  <c r="HF15" i="5"/>
  <c r="HF78" i="5"/>
  <c r="HE78" i="5"/>
  <c r="HG78" i="5" s="1"/>
  <c r="HH78" i="5" s="1"/>
  <c r="HF84" i="5"/>
  <c r="HE84" i="5"/>
  <c r="HG84" i="5" s="1"/>
  <c r="HH84" i="5" s="1"/>
  <c r="HF83" i="5"/>
  <c r="HE83" i="5"/>
  <c r="HG83" i="5" s="1"/>
  <c r="HH83" i="5" s="1"/>
  <c r="HF92" i="5"/>
  <c r="HE92" i="5"/>
  <c r="HG92" i="5" s="1"/>
  <c r="HH92" i="5" s="1"/>
  <c r="HF68" i="5"/>
  <c r="HE68" i="5"/>
  <c r="HG68" i="5" s="1"/>
  <c r="HH68" i="5" s="1"/>
  <c r="HF85" i="5"/>
  <c r="HE85" i="5"/>
  <c r="HG85" i="5" s="1"/>
  <c r="HH85" i="5" s="1"/>
  <c r="HF67" i="5"/>
  <c r="HE67" i="5"/>
  <c r="HG67" i="5" s="1"/>
  <c r="HH67" i="5" s="1"/>
  <c r="HF81" i="5"/>
  <c r="HE81" i="5"/>
  <c r="HG81" i="5" s="1"/>
  <c r="HH81" i="5" s="1"/>
  <c r="HF74" i="5"/>
  <c r="HE74" i="5"/>
  <c r="HG74" i="5" s="1"/>
  <c r="HH74" i="5" s="1"/>
  <c r="HF59" i="5"/>
  <c r="HE59" i="5"/>
  <c r="HG59" i="5" s="1"/>
  <c r="HH59" i="5" s="1"/>
  <c r="HF93" i="5"/>
  <c r="HE93" i="5"/>
  <c r="HG93" i="5" s="1"/>
  <c r="HH93" i="5" s="1"/>
  <c r="HJ11" i="5"/>
  <c r="HI11" i="5"/>
  <c r="HK11" i="5" s="1"/>
  <c r="HL11" i="5" s="1"/>
  <c r="CA17" i="5"/>
  <c r="CB17" i="5"/>
  <c r="CU89" i="5"/>
  <c r="CV89" i="5"/>
  <c r="CU37" i="5"/>
  <c r="CV37" i="5"/>
  <c r="CQ31" i="5"/>
  <c r="CR31" i="5"/>
  <c r="CM28" i="5"/>
  <c r="CN28" i="5"/>
  <c r="CI12" i="5"/>
  <c r="CJ12" i="5"/>
  <c r="BW81" i="5"/>
  <c r="BX81" i="5"/>
  <c r="BW73" i="5"/>
  <c r="BX73" i="5"/>
  <c r="CI22" i="5"/>
  <c r="CJ22" i="5"/>
  <c r="HF14" i="5"/>
  <c r="HE14" i="5"/>
  <c r="HG14" i="5" s="1"/>
  <c r="HH14" i="5" s="1"/>
  <c r="CA38" i="5"/>
  <c r="CB38" i="5"/>
  <c r="CA93" i="5"/>
  <c r="CB93" i="5"/>
  <c r="HA62" i="5"/>
  <c r="HB62" i="5"/>
  <c r="BW77" i="5"/>
  <c r="BX77" i="5"/>
  <c r="BS71" i="5"/>
  <c r="BT71" i="5"/>
  <c r="BS8" i="5"/>
  <c r="BT8" i="5"/>
  <c r="BW11" i="5"/>
  <c r="BX11" i="5"/>
  <c r="BS9" i="5"/>
  <c r="BT9" i="5"/>
  <c r="BW55" i="5"/>
  <c r="BX55" i="5"/>
  <c r="BW18" i="5"/>
  <c r="BX18" i="5"/>
  <c r="BS91" i="5"/>
  <c r="BT91" i="5"/>
  <c r="BS94" i="5"/>
  <c r="BT94" i="5"/>
  <c r="BS69" i="5"/>
  <c r="BT69" i="5"/>
  <c r="BS80" i="5"/>
  <c r="BT80" i="5"/>
  <c r="BS54" i="5"/>
  <c r="BT54" i="5"/>
  <c r="BS70" i="5"/>
  <c r="BT70" i="5"/>
  <c r="CZ57" i="5"/>
  <c r="CY57" i="5"/>
  <c r="DA57" i="5" s="1"/>
  <c r="DB57" i="5" s="1"/>
  <c r="DA39" i="5"/>
  <c r="DB39" i="5" s="1"/>
  <c r="DA49" i="5"/>
  <c r="DB49" i="5" s="1"/>
  <c r="CK13" i="5"/>
  <c r="CL13" i="5" s="1"/>
  <c r="CK23" i="5"/>
  <c r="CL23" i="5" s="1"/>
  <c r="HK29" i="5"/>
  <c r="HL29" i="5" s="1"/>
  <c r="HK24" i="5"/>
  <c r="HL24" i="5" s="1"/>
  <c r="HG38" i="5"/>
  <c r="HH38" i="5" s="1"/>
  <c r="HK25" i="5"/>
  <c r="HL25" i="5" s="1"/>
  <c r="HG53" i="5"/>
  <c r="HH53" i="5" s="1"/>
  <c r="HG16" i="5"/>
  <c r="HH16" i="5" s="1"/>
  <c r="HG9" i="5"/>
  <c r="HH9" i="5" s="1"/>
  <c r="HG87" i="5"/>
  <c r="HH87" i="5" s="1"/>
  <c r="HG86" i="5"/>
  <c r="HH86" i="5" s="1"/>
  <c r="HG18" i="5"/>
  <c r="HH18" i="5" s="1"/>
  <c r="HG47" i="5"/>
  <c r="HH47" i="5" s="1"/>
  <c r="HC35" i="5"/>
  <c r="HD35" i="5" s="1"/>
  <c r="HG8" i="5"/>
  <c r="HH8" i="5" s="1"/>
  <c r="HG36" i="5"/>
  <c r="HH36" i="5" s="1"/>
  <c r="HG51" i="5"/>
  <c r="HH51" i="5" s="1"/>
  <c r="HG91" i="5"/>
  <c r="HH91" i="5" s="1"/>
  <c r="HG45" i="5"/>
  <c r="HH45" i="5" s="1"/>
  <c r="HG94" i="5"/>
  <c r="HH94" i="5" s="1"/>
  <c r="HG58" i="5"/>
  <c r="HH58" i="5" s="1"/>
  <c r="HG32" i="5"/>
  <c r="HH32" i="5" s="1"/>
  <c r="HG46" i="5"/>
  <c r="HH46" i="5" s="1"/>
  <c r="HG55" i="5"/>
  <c r="HH55" i="5" s="1"/>
  <c r="HG60" i="5"/>
  <c r="HH60" i="5" s="1"/>
  <c r="HG20" i="5"/>
  <c r="HH20" i="5" s="1"/>
  <c r="HG54" i="5"/>
  <c r="HH54" i="5" s="1"/>
  <c r="HG56" i="5"/>
  <c r="HH56" i="5" s="1"/>
  <c r="HG75" i="5"/>
  <c r="HH75" i="5" s="1"/>
  <c r="HC44" i="5"/>
  <c r="HD44" i="5" s="1"/>
  <c r="CO59" i="5"/>
  <c r="CP59" i="5" s="1"/>
  <c r="HG88" i="5"/>
  <c r="HH88" i="5" s="1"/>
  <c r="HC50" i="5"/>
  <c r="HD50" i="5" s="1"/>
  <c r="CW66" i="5"/>
  <c r="CX66" i="5" s="1"/>
  <c r="CW10" i="5"/>
  <c r="CX10" i="5" s="1"/>
  <c r="CS53" i="5"/>
  <c r="CT53" i="5" s="1"/>
  <c r="CK52" i="5"/>
  <c r="CL52" i="5" s="1"/>
  <c r="CG88" i="5"/>
  <c r="CH88" i="5" s="1"/>
  <c r="CC95" i="5"/>
  <c r="CD95" i="5" s="1"/>
  <c r="HG33" i="5"/>
  <c r="HH33" i="5" s="1"/>
  <c r="CC83" i="5"/>
  <c r="CD83" i="5" s="1"/>
  <c r="HC23" i="5"/>
  <c r="HD23" i="5" s="1"/>
  <c r="CC20" i="5"/>
  <c r="CD20" i="5" s="1"/>
  <c r="CK74" i="5"/>
  <c r="CL74" i="5" s="1"/>
  <c r="CG14" i="5"/>
  <c r="CH14" i="5" s="1"/>
  <c r="HK21" i="5"/>
  <c r="HL21" i="5" s="1"/>
  <c r="HC17" i="5"/>
  <c r="HD17" i="5" s="1"/>
  <c r="HC43" i="5"/>
  <c r="HD43" i="5" s="1"/>
  <c r="CK29" i="5"/>
  <c r="CL29" i="5" s="1"/>
  <c r="BY19" i="5"/>
  <c r="BZ19" i="5" s="1"/>
  <c r="CG76" i="5"/>
  <c r="CH76" i="5" s="1"/>
  <c r="CC30" i="5"/>
  <c r="CD30" i="5" s="1"/>
  <c r="BU42" i="5"/>
  <c r="BV42" i="5" s="1"/>
  <c r="BY40" i="5"/>
  <c r="BZ40" i="5" s="1"/>
  <c r="BU65" i="5"/>
  <c r="BV65" i="5" s="1"/>
  <c r="GU89" i="5"/>
  <c r="GV89" i="5" s="1"/>
  <c r="BU58" i="5"/>
  <c r="BV58" i="5" s="1"/>
  <c r="BY84" i="5"/>
  <c r="BZ84" i="5" s="1"/>
  <c r="BU43" i="5"/>
  <c r="BV43" i="5" s="1"/>
  <c r="CV96" i="5" l="1"/>
  <c r="CU96" i="5"/>
  <c r="CW96" i="5" s="1"/>
  <c r="CX96" i="5" s="1"/>
  <c r="CO85" i="5"/>
  <c r="CP85" i="5" s="1"/>
  <c r="HS48" i="5"/>
  <c r="HT48" i="5" s="1"/>
  <c r="CK87" i="5"/>
  <c r="CL87" i="5" s="1"/>
  <c r="HK26" i="5"/>
  <c r="HL26" i="5" s="1"/>
  <c r="HG13" i="5"/>
  <c r="HH13" i="5" s="1"/>
  <c r="HG52" i="5"/>
  <c r="HH52" i="5" s="1"/>
  <c r="CC93" i="5"/>
  <c r="CD93" i="5" s="1"/>
  <c r="HE40" i="5"/>
  <c r="HG40" i="5" s="1"/>
  <c r="HH40" i="5" s="1"/>
  <c r="HF40" i="5"/>
  <c r="CB15" i="5"/>
  <c r="CA15" i="5"/>
  <c r="CC15" i="5" s="1"/>
  <c r="CD15" i="5" s="1"/>
  <c r="BX72" i="5"/>
  <c r="BW72" i="5"/>
  <c r="BY72" i="5" s="1"/>
  <c r="BZ72" i="5" s="1"/>
  <c r="CV62" i="5"/>
  <c r="CU62" i="5"/>
  <c r="CW62" i="5" s="1"/>
  <c r="CX62" i="5" s="1"/>
  <c r="CJ75" i="5"/>
  <c r="CI75" i="5"/>
  <c r="CK75" i="5" s="1"/>
  <c r="CL75" i="5" s="1"/>
  <c r="CB36" i="5"/>
  <c r="CA36" i="5"/>
  <c r="CC36" i="5" s="1"/>
  <c r="CD36" i="5" s="1"/>
  <c r="DH21" i="5"/>
  <c r="DG21" i="5"/>
  <c r="DI21" i="5" s="1"/>
  <c r="DJ21" i="5" s="1"/>
  <c r="DH32" i="5"/>
  <c r="DG32" i="5"/>
  <c r="DI32" i="5" s="1"/>
  <c r="DJ32" i="5" s="1"/>
  <c r="DH33" i="5"/>
  <c r="DG33" i="5"/>
  <c r="DI33" i="5" s="1"/>
  <c r="DJ33" i="5" s="1"/>
  <c r="DH34" i="5"/>
  <c r="DG34" i="5"/>
  <c r="DI34" i="5" s="1"/>
  <c r="DJ34" i="5" s="1"/>
  <c r="DH46" i="5"/>
  <c r="DG46" i="5"/>
  <c r="DI46" i="5" s="1"/>
  <c r="DJ46" i="5" s="1"/>
  <c r="DH47" i="5"/>
  <c r="DG47" i="5"/>
  <c r="DI47" i="5" s="1"/>
  <c r="DJ47" i="5" s="1"/>
  <c r="DH48" i="5"/>
  <c r="DG48" i="5"/>
  <c r="DI48" i="5" s="1"/>
  <c r="DJ48" i="5" s="1"/>
  <c r="DG56" i="5"/>
  <c r="DH56" i="5"/>
  <c r="DH67" i="5"/>
  <c r="DG67" i="5"/>
  <c r="DI67" i="5" s="1"/>
  <c r="DJ67" i="5" s="1"/>
  <c r="DH35" i="5"/>
  <c r="DG35" i="5"/>
  <c r="DI35" i="5" s="1"/>
  <c r="DJ35" i="5" s="1"/>
  <c r="DH60" i="5"/>
  <c r="DG60" i="5"/>
  <c r="DI60" i="5" s="1"/>
  <c r="DJ60" i="5" s="1"/>
  <c r="DH61" i="5"/>
  <c r="DG61" i="5"/>
  <c r="DI61" i="5" s="1"/>
  <c r="DJ61" i="5" s="1"/>
  <c r="IH61" i="5"/>
  <c r="IG61" i="5"/>
  <c r="II61" i="5" s="1"/>
  <c r="IJ61" i="5" s="1"/>
  <c r="IH76" i="5"/>
  <c r="IG76" i="5"/>
  <c r="II76" i="5" s="1"/>
  <c r="IJ76" i="5" s="1"/>
  <c r="DH90" i="5"/>
  <c r="DG90" i="5"/>
  <c r="DI90" i="5" s="1"/>
  <c r="DJ90" i="5" s="1"/>
  <c r="IH96" i="5"/>
  <c r="IG96" i="5"/>
  <c r="II96" i="5" s="1"/>
  <c r="IJ96" i="5" s="1"/>
  <c r="DD68" i="5"/>
  <c r="DC68" i="5"/>
  <c r="DE68" i="5" s="1"/>
  <c r="DF68" i="5" s="1"/>
  <c r="CZ82" i="5"/>
  <c r="CY82" i="5"/>
  <c r="DA82" i="5" s="1"/>
  <c r="DB82" i="5" s="1"/>
  <c r="CR78" i="5"/>
  <c r="CQ78" i="5"/>
  <c r="CS78" i="5" s="1"/>
  <c r="CT78" i="5" s="1"/>
  <c r="CV45" i="5"/>
  <c r="CU45" i="5"/>
  <c r="CW45" i="5" s="1"/>
  <c r="CX45" i="5" s="1"/>
  <c r="CV86" i="5"/>
  <c r="CU86" i="5"/>
  <c r="CW86" i="5" s="1"/>
  <c r="CX86" i="5" s="1"/>
  <c r="CR24" i="5"/>
  <c r="CQ24" i="5"/>
  <c r="CS24" i="5" s="1"/>
  <c r="CT24" i="5" s="1"/>
  <c r="CN50" i="5"/>
  <c r="CM50" i="5"/>
  <c r="CO50" i="5" s="1"/>
  <c r="CP50" i="5" s="1"/>
  <c r="CN63" i="5"/>
  <c r="CM63" i="5"/>
  <c r="CO63" i="5" s="1"/>
  <c r="CP63" i="5" s="1"/>
  <c r="CJ92" i="5"/>
  <c r="CI92" i="5"/>
  <c r="CK92" i="5" s="1"/>
  <c r="CL92" i="5" s="1"/>
  <c r="HN34" i="5"/>
  <c r="HM34" i="5"/>
  <c r="HO34" i="5" s="1"/>
  <c r="HP34" i="5" s="1"/>
  <c r="CJ16" i="5"/>
  <c r="CI16" i="5"/>
  <c r="CK16" i="5" s="1"/>
  <c r="CL16" i="5" s="1"/>
  <c r="CR41" i="5"/>
  <c r="CQ41" i="5"/>
  <c r="CN25" i="5"/>
  <c r="CM25" i="5"/>
  <c r="CO25" i="5" s="1"/>
  <c r="CP25" i="5" s="1"/>
  <c r="CV51" i="5"/>
  <c r="CU51" i="5"/>
  <c r="CW51" i="5" s="1"/>
  <c r="CX51" i="5" s="1"/>
  <c r="CF64" i="5"/>
  <c r="CE64" i="5"/>
  <c r="CG64" i="5" s="1"/>
  <c r="CH64" i="5" s="1"/>
  <c r="CR27" i="5"/>
  <c r="CQ27" i="5"/>
  <c r="CS27" i="5" s="1"/>
  <c r="CT27" i="5" s="1"/>
  <c r="CR26" i="5"/>
  <c r="CQ26" i="5"/>
  <c r="CS26" i="5" s="1"/>
  <c r="CT26" i="5" s="1"/>
  <c r="CF36" i="5"/>
  <c r="CE36" i="5"/>
  <c r="HI22" i="5"/>
  <c r="HJ22" i="5"/>
  <c r="HN39" i="5"/>
  <c r="HM39" i="5"/>
  <c r="HO39" i="5" s="1"/>
  <c r="HP39" i="5" s="1"/>
  <c r="HI65" i="5"/>
  <c r="HJ65" i="5"/>
  <c r="CE79" i="5"/>
  <c r="CF79" i="5"/>
  <c r="IC90" i="5"/>
  <c r="ID90" i="5"/>
  <c r="HM57" i="5"/>
  <c r="HN57" i="5"/>
  <c r="HM19" i="5"/>
  <c r="HN19" i="5"/>
  <c r="HM49" i="5"/>
  <c r="HN49" i="5"/>
  <c r="HJ41" i="5"/>
  <c r="HI41" i="5"/>
  <c r="HK41" i="5" s="1"/>
  <c r="HL41" i="5" s="1"/>
  <c r="HI80" i="5"/>
  <c r="HJ80" i="5"/>
  <c r="HI77" i="5"/>
  <c r="HJ77" i="5"/>
  <c r="HI95" i="5"/>
  <c r="HJ95" i="5"/>
  <c r="HI31" i="5"/>
  <c r="HJ31" i="5"/>
  <c r="HI71" i="5"/>
  <c r="HJ71" i="5"/>
  <c r="HI63" i="5"/>
  <c r="HJ63" i="5"/>
  <c r="HI64" i="5"/>
  <c r="HJ64" i="5"/>
  <c r="HJ78" i="5"/>
  <c r="HI78" i="5"/>
  <c r="HK78" i="5" s="1"/>
  <c r="HL78" i="5" s="1"/>
  <c r="HI84" i="5"/>
  <c r="HJ84" i="5"/>
  <c r="HJ83" i="5"/>
  <c r="HI83" i="5"/>
  <c r="HK83" i="5" s="1"/>
  <c r="HL83" i="5" s="1"/>
  <c r="HI92" i="5"/>
  <c r="HJ92" i="5"/>
  <c r="HI68" i="5"/>
  <c r="HJ68" i="5"/>
  <c r="HI85" i="5"/>
  <c r="HJ85" i="5"/>
  <c r="HI67" i="5"/>
  <c r="HJ67" i="5"/>
  <c r="HJ81" i="5"/>
  <c r="HI81" i="5"/>
  <c r="HK81" i="5" s="1"/>
  <c r="HL81" i="5" s="1"/>
  <c r="HI74" i="5"/>
  <c r="HJ74" i="5"/>
  <c r="HI59" i="5"/>
  <c r="HJ59" i="5"/>
  <c r="HI93" i="5"/>
  <c r="HJ93" i="5"/>
  <c r="HM11" i="5"/>
  <c r="HN11" i="5"/>
  <c r="HJ14" i="5"/>
  <c r="HI14" i="5"/>
  <c r="HK14" i="5" s="1"/>
  <c r="HL14" i="5" s="1"/>
  <c r="DD57" i="5"/>
  <c r="DC57" i="5"/>
  <c r="DE57" i="5" s="1"/>
  <c r="DF57" i="5" s="1"/>
  <c r="DC39" i="5"/>
  <c r="DD39" i="5"/>
  <c r="DC49" i="5"/>
  <c r="DD49" i="5"/>
  <c r="CM13" i="5"/>
  <c r="CN13" i="5"/>
  <c r="CM23" i="5"/>
  <c r="CN23" i="5"/>
  <c r="HM29" i="5"/>
  <c r="HN29" i="5"/>
  <c r="HN24" i="5"/>
  <c r="HM24" i="5"/>
  <c r="HO24" i="5" s="1"/>
  <c r="HP24" i="5" s="1"/>
  <c r="HJ38" i="5"/>
  <c r="HI38" i="5"/>
  <c r="HK38" i="5" s="1"/>
  <c r="HL38" i="5" s="1"/>
  <c r="HN25" i="5"/>
  <c r="HM25" i="5"/>
  <c r="HO25" i="5" s="1"/>
  <c r="HP25" i="5" s="1"/>
  <c r="HJ53" i="5"/>
  <c r="HI53" i="5"/>
  <c r="HK53" i="5" s="1"/>
  <c r="HL53" i="5" s="1"/>
  <c r="HJ16" i="5"/>
  <c r="HI16" i="5"/>
  <c r="HK16" i="5" s="1"/>
  <c r="HL16" i="5" s="1"/>
  <c r="HJ9" i="5"/>
  <c r="HI9" i="5"/>
  <c r="HK9" i="5" s="1"/>
  <c r="HL9" i="5" s="1"/>
  <c r="HJ87" i="5"/>
  <c r="HI87" i="5"/>
  <c r="HK87" i="5" s="1"/>
  <c r="HL87" i="5" s="1"/>
  <c r="HJ86" i="5"/>
  <c r="HI86" i="5"/>
  <c r="HK86" i="5" s="1"/>
  <c r="HL86" i="5" s="1"/>
  <c r="HJ18" i="5"/>
  <c r="HI18" i="5"/>
  <c r="HJ47" i="5"/>
  <c r="HI47" i="5"/>
  <c r="HK47" i="5" s="1"/>
  <c r="HL47" i="5" s="1"/>
  <c r="HF35" i="5"/>
  <c r="HE35" i="5"/>
  <c r="HG35" i="5" s="1"/>
  <c r="HH35" i="5" s="1"/>
  <c r="HJ8" i="5"/>
  <c r="HI8" i="5"/>
  <c r="HK8" i="5" s="1"/>
  <c r="HL8" i="5" s="1"/>
  <c r="HJ36" i="5"/>
  <c r="HI36" i="5"/>
  <c r="HK36" i="5" s="1"/>
  <c r="HL36" i="5" s="1"/>
  <c r="HJ51" i="5"/>
  <c r="HI51" i="5"/>
  <c r="HK51" i="5" s="1"/>
  <c r="HL51" i="5" s="1"/>
  <c r="HJ91" i="5"/>
  <c r="HI91" i="5"/>
  <c r="HK91" i="5" s="1"/>
  <c r="HL91" i="5" s="1"/>
  <c r="HJ45" i="5"/>
  <c r="HI45" i="5"/>
  <c r="HK45" i="5" s="1"/>
  <c r="HL45" i="5" s="1"/>
  <c r="HJ94" i="5"/>
  <c r="HI94" i="5"/>
  <c r="HK94" i="5" s="1"/>
  <c r="HL94" i="5" s="1"/>
  <c r="HJ58" i="5"/>
  <c r="HI58" i="5"/>
  <c r="HK58" i="5" s="1"/>
  <c r="HL58" i="5" s="1"/>
  <c r="HJ32" i="5"/>
  <c r="HI32" i="5"/>
  <c r="HK32" i="5" s="1"/>
  <c r="HL32" i="5" s="1"/>
  <c r="HJ46" i="5"/>
  <c r="HI46" i="5"/>
  <c r="HK46" i="5" s="1"/>
  <c r="HL46" i="5" s="1"/>
  <c r="HJ55" i="5"/>
  <c r="HI55" i="5"/>
  <c r="HK55" i="5" s="1"/>
  <c r="HL55" i="5" s="1"/>
  <c r="HJ60" i="5"/>
  <c r="HI60" i="5"/>
  <c r="HK60" i="5" s="1"/>
  <c r="HL60" i="5" s="1"/>
  <c r="HJ20" i="5"/>
  <c r="HI20" i="5"/>
  <c r="HK20" i="5" s="1"/>
  <c r="HL20" i="5" s="1"/>
  <c r="HJ54" i="5"/>
  <c r="HI54" i="5"/>
  <c r="HK54" i="5" s="1"/>
  <c r="HL54" i="5" s="1"/>
  <c r="HJ56" i="5"/>
  <c r="HI56" i="5"/>
  <c r="HK56" i="5" s="1"/>
  <c r="HL56" i="5" s="1"/>
  <c r="HJ75" i="5"/>
  <c r="HI75" i="5"/>
  <c r="HK75" i="5" s="1"/>
  <c r="HL75" i="5" s="1"/>
  <c r="HF44" i="5"/>
  <c r="HE44" i="5"/>
  <c r="HG44" i="5" s="1"/>
  <c r="HH44" i="5" s="1"/>
  <c r="CQ59" i="5"/>
  <c r="CR59" i="5"/>
  <c r="HJ88" i="5"/>
  <c r="HI88" i="5"/>
  <c r="HK88" i="5" s="1"/>
  <c r="HL88" i="5" s="1"/>
  <c r="HF50" i="5"/>
  <c r="HE50" i="5"/>
  <c r="HG50" i="5" s="1"/>
  <c r="HH50" i="5" s="1"/>
  <c r="CY66" i="5"/>
  <c r="CZ66" i="5"/>
  <c r="CY10" i="5"/>
  <c r="CZ10" i="5"/>
  <c r="CU53" i="5"/>
  <c r="CV53" i="5"/>
  <c r="CM52" i="5"/>
  <c r="CN52" i="5"/>
  <c r="CI88" i="5"/>
  <c r="CJ88" i="5"/>
  <c r="CE95" i="5"/>
  <c r="CF95" i="5"/>
  <c r="HJ33" i="5"/>
  <c r="HI33" i="5"/>
  <c r="HK33" i="5" s="1"/>
  <c r="HL33" i="5" s="1"/>
  <c r="CE83" i="5"/>
  <c r="CF83" i="5"/>
  <c r="HE23" i="5"/>
  <c r="HF23" i="5"/>
  <c r="CE20" i="5"/>
  <c r="CF20" i="5"/>
  <c r="CM74" i="5"/>
  <c r="CN74" i="5"/>
  <c r="CI14" i="5"/>
  <c r="CJ14" i="5"/>
  <c r="HN21" i="5"/>
  <c r="HM21" i="5"/>
  <c r="HO21" i="5" s="1"/>
  <c r="HP21" i="5" s="1"/>
  <c r="HE17" i="5"/>
  <c r="HF17" i="5"/>
  <c r="HF43" i="5"/>
  <c r="HE43" i="5"/>
  <c r="HG43" i="5" s="1"/>
  <c r="HH43" i="5" s="1"/>
  <c r="CM29" i="5"/>
  <c r="CN29" i="5"/>
  <c r="CA19" i="5"/>
  <c r="CB19" i="5"/>
  <c r="CI76" i="5"/>
  <c r="CJ76" i="5"/>
  <c r="CE30" i="5"/>
  <c r="CF30" i="5"/>
  <c r="BW42" i="5"/>
  <c r="BX42" i="5"/>
  <c r="CA40" i="5"/>
  <c r="CB40" i="5"/>
  <c r="BW65" i="5"/>
  <c r="BX65" i="5"/>
  <c r="GW89" i="5"/>
  <c r="GX89" i="5"/>
  <c r="BW58" i="5"/>
  <c r="BX58" i="5"/>
  <c r="CA84" i="5"/>
  <c r="CB84" i="5"/>
  <c r="BX43" i="5"/>
  <c r="BW43" i="5"/>
  <c r="BY43" i="5" s="1"/>
  <c r="BZ43" i="5" s="1"/>
  <c r="CW44" i="5"/>
  <c r="CX44" i="5" s="1"/>
  <c r="HK69" i="5"/>
  <c r="HL69" i="5" s="1"/>
  <c r="HG10" i="5"/>
  <c r="HH10" i="5" s="1"/>
  <c r="HG42" i="5"/>
  <c r="HH42" i="5" s="1"/>
  <c r="HK79" i="5"/>
  <c r="HL79" i="5" s="1"/>
  <c r="HK37" i="5"/>
  <c r="HL37" i="5" s="1"/>
  <c r="HK28" i="5"/>
  <c r="HL28" i="5" s="1"/>
  <c r="HK27" i="5"/>
  <c r="HL27" i="5" s="1"/>
  <c r="HK66" i="5"/>
  <c r="HL66" i="5" s="1"/>
  <c r="HK82" i="5"/>
  <c r="HL82" i="5" s="1"/>
  <c r="HK70" i="5"/>
  <c r="HL70" i="5" s="1"/>
  <c r="HG12" i="5"/>
  <c r="HH12" i="5" s="1"/>
  <c r="HG73" i="5"/>
  <c r="HH73" i="5" s="1"/>
  <c r="HG72" i="5"/>
  <c r="HH72" i="5" s="1"/>
  <c r="HO30" i="5"/>
  <c r="HP30" i="5" s="1"/>
  <c r="HG15" i="5"/>
  <c r="HH15" i="5" s="1"/>
  <c r="CC17" i="5"/>
  <c r="CD17" i="5" s="1"/>
  <c r="CW89" i="5"/>
  <c r="CX89" i="5" s="1"/>
  <c r="CW37" i="5"/>
  <c r="CX37" i="5" s="1"/>
  <c r="CS31" i="5"/>
  <c r="CT31" i="5" s="1"/>
  <c r="CO28" i="5"/>
  <c r="CP28" i="5" s="1"/>
  <c r="CK12" i="5"/>
  <c r="CL12" i="5" s="1"/>
  <c r="BY81" i="5"/>
  <c r="BZ81" i="5" s="1"/>
  <c r="BY73" i="5"/>
  <c r="BZ73" i="5" s="1"/>
  <c r="CK22" i="5"/>
  <c r="CL22" i="5" s="1"/>
  <c r="CC38" i="5"/>
  <c r="CD38" i="5" s="1"/>
  <c r="HC62" i="5"/>
  <c r="HD62" i="5" s="1"/>
  <c r="BY77" i="5"/>
  <c r="BZ77" i="5" s="1"/>
  <c r="BU71" i="5"/>
  <c r="BV71" i="5" s="1"/>
  <c r="BU8" i="5"/>
  <c r="BV8" i="5" s="1"/>
  <c r="BY11" i="5"/>
  <c r="BZ11" i="5" s="1"/>
  <c r="BU9" i="5"/>
  <c r="BV9" i="5" s="1"/>
  <c r="BY55" i="5"/>
  <c r="BZ55" i="5" s="1"/>
  <c r="BY18" i="5"/>
  <c r="BZ18" i="5" s="1"/>
  <c r="BU91" i="5"/>
  <c r="BV91" i="5" s="1"/>
  <c r="BU94" i="5"/>
  <c r="BV94" i="5" s="1"/>
  <c r="BU69" i="5"/>
  <c r="BV69" i="5" s="1"/>
  <c r="BU80" i="5"/>
  <c r="BV80" i="5" s="1"/>
  <c r="BU54" i="5"/>
  <c r="BV54" i="5" s="1"/>
  <c r="BU70" i="5"/>
  <c r="BV70" i="5" s="1"/>
  <c r="CZ96" i="5" l="1"/>
  <c r="CY96" i="5"/>
  <c r="DA96" i="5" s="1"/>
  <c r="DB96" i="5" s="1"/>
  <c r="CR85" i="5"/>
  <c r="CQ85" i="5"/>
  <c r="CS85" i="5" s="1"/>
  <c r="CT85" i="5" s="1"/>
  <c r="HU48" i="5"/>
  <c r="HV48" i="5"/>
  <c r="HK63" i="5"/>
  <c r="HL63" i="5" s="1"/>
  <c r="CS59" i="5"/>
  <c r="CT59" i="5" s="1"/>
  <c r="HK74" i="5"/>
  <c r="HL74" i="5" s="1"/>
  <c r="CO23" i="5"/>
  <c r="CP23" i="5" s="1"/>
  <c r="CG83" i="5"/>
  <c r="CH83" i="5" s="1"/>
  <c r="CK76" i="5"/>
  <c r="CL76" i="5" s="1"/>
  <c r="CN87" i="5"/>
  <c r="CM87" i="5"/>
  <c r="CO87" i="5" s="1"/>
  <c r="CP87" i="5" s="1"/>
  <c r="HM26" i="5"/>
  <c r="HO26" i="5" s="1"/>
  <c r="HP26" i="5" s="1"/>
  <c r="HN26" i="5"/>
  <c r="HJ13" i="5"/>
  <c r="HI13" i="5"/>
  <c r="HK13" i="5" s="1"/>
  <c r="HL13" i="5" s="1"/>
  <c r="HI52" i="5"/>
  <c r="HK52" i="5" s="1"/>
  <c r="HL52" i="5" s="1"/>
  <c r="HJ52" i="5"/>
  <c r="CF93" i="5"/>
  <c r="CE93" i="5"/>
  <c r="CG93" i="5" s="1"/>
  <c r="CH93" i="5" s="1"/>
  <c r="CF15" i="5"/>
  <c r="CE15" i="5"/>
  <c r="CG15" i="5" s="1"/>
  <c r="CH15" i="5" s="1"/>
  <c r="CB72" i="5"/>
  <c r="CA72" i="5"/>
  <c r="CC72" i="5" s="1"/>
  <c r="CD72" i="5" s="1"/>
  <c r="CZ62" i="5"/>
  <c r="CY62" i="5"/>
  <c r="DA62" i="5" s="1"/>
  <c r="DB62" i="5" s="1"/>
  <c r="CN75" i="5"/>
  <c r="CM75" i="5"/>
  <c r="CO75" i="5" s="1"/>
  <c r="CP75" i="5" s="1"/>
  <c r="DL21" i="5"/>
  <c r="DK21" i="5"/>
  <c r="DM21" i="5" s="1"/>
  <c r="DN21" i="5" s="1"/>
  <c r="DL32" i="5"/>
  <c r="DK32" i="5"/>
  <c r="DM32" i="5" s="1"/>
  <c r="DN32" i="5" s="1"/>
  <c r="DL33" i="5"/>
  <c r="DK33" i="5"/>
  <c r="DL34" i="5"/>
  <c r="DK34" i="5"/>
  <c r="DM34" i="5" s="1"/>
  <c r="DN34" i="5" s="1"/>
  <c r="DL46" i="5"/>
  <c r="DK46" i="5"/>
  <c r="DM46" i="5" s="1"/>
  <c r="DN46" i="5" s="1"/>
  <c r="DL47" i="5"/>
  <c r="DK47" i="5"/>
  <c r="DM47" i="5" s="1"/>
  <c r="DN47" i="5" s="1"/>
  <c r="DL48" i="5"/>
  <c r="DK48" i="5"/>
  <c r="DM48" i="5" s="1"/>
  <c r="DN48" i="5" s="1"/>
  <c r="DL67" i="5"/>
  <c r="DK67" i="5"/>
  <c r="DM67" i="5" s="1"/>
  <c r="DN67" i="5" s="1"/>
  <c r="DL35" i="5"/>
  <c r="DK35" i="5"/>
  <c r="DL60" i="5"/>
  <c r="DK60" i="5"/>
  <c r="DM60" i="5" s="1"/>
  <c r="DN60" i="5" s="1"/>
  <c r="DL61" i="5"/>
  <c r="DK61" i="5"/>
  <c r="DM61" i="5" s="1"/>
  <c r="DN61" i="5" s="1"/>
  <c r="IL61" i="5"/>
  <c r="IK61" i="5"/>
  <c r="IM61" i="5" s="1"/>
  <c r="IN61" i="5" s="1"/>
  <c r="IL76" i="5"/>
  <c r="IK76" i="5"/>
  <c r="IM76" i="5" s="1"/>
  <c r="IN76" i="5" s="1"/>
  <c r="DL90" i="5"/>
  <c r="DK90" i="5"/>
  <c r="DM90" i="5" s="1"/>
  <c r="DN90" i="5" s="1"/>
  <c r="IL96" i="5"/>
  <c r="IK96" i="5"/>
  <c r="IM96" i="5" s="1"/>
  <c r="IN96" i="5" s="1"/>
  <c r="DH68" i="5"/>
  <c r="DG68" i="5"/>
  <c r="DI68" i="5" s="1"/>
  <c r="DJ68" i="5" s="1"/>
  <c r="DD82" i="5"/>
  <c r="DC82" i="5"/>
  <c r="DE82" i="5" s="1"/>
  <c r="DF82" i="5" s="1"/>
  <c r="CV78" i="5"/>
  <c r="CU78" i="5"/>
  <c r="CW78" i="5" s="1"/>
  <c r="CX78" i="5" s="1"/>
  <c r="CZ45" i="5"/>
  <c r="CY45" i="5"/>
  <c r="CY86" i="5"/>
  <c r="CZ86" i="5"/>
  <c r="CV24" i="5"/>
  <c r="CU24" i="5"/>
  <c r="CW24" i="5" s="1"/>
  <c r="CX24" i="5" s="1"/>
  <c r="CR50" i="5"/>
  <c r="CQ50" i="5"/>
  <c r="CS50" i="5" s="1"/>
  <c r="CT50" i="5" s="1"/>
  <c r="CR63" i="5"/>
  <c r="CQ63" i="5"/>
  <c r="CS63" i="5" s="1"/>
  <c r="CT63" i="5" s="1"/>
  <c r="CM92" i="5"/>
  <c r="CN92" i="5"/>
  <c r="HR34" i="5"/>
  <c r="HQ34" i="5"/>
  <c r="HS34" i="5" s="1"/>
  <c r="HT34" i="5" s="1"/>
  <c r="CN16" i="5"/>
  <c r="CM16" i="5"/>
  <c r="CO16" i="5" s="1"/>
  <c r="CP16" i="5" s="1"/>
  <c r="CR25" i="5"/>
  <c r="CQ25" i="5"/>
  <c r="CS25" i="5" s="1"/>
  <c r="CT25" i="5" s="1"/>
  <c r="CZ51" i="5"/>
  <c r="CY51" i="5"/>
  <c r="DA51" i="5" s="1"/>
  <c r="DB51" i="5" s="1"/>
  <c r="CJ64" i="5"/>
  <c r="CI64" i="5"/>
  <c r="CK64" i="5" s="1"/>
  <c r="CL64" i="5" s="1"/>
  <c r="CV27" i="5"/>
  <c r="CU27" i="5"/>
  <c r="CW27" i="5" s="1"/>
  <c r="CX27" i="5" s="1"/>
  <c r="CU26" i="5"/>
  <c r="CV26" i="5"/>
  <c r="HQ39" i="5"/>
  <c r="HR39" i="5"/>
  <c r="HM41" i="5"/>
  <c r="HN41" i="5"/>
  <c r="HM78" i="5"/>
  <c r="HN78" i="5"/>
  <c r="HN83" i="5"/>
  <c r="HM83" i="5"/>
  <c r="HO83" i="5" s="1"/>
  <c r="HP83" i="5" s="1"/>
  <c r="HM81" i="5"/>
  <c r="HN81" i="5"/>
  <c r="HM14" i="5"/>
  <c r="HN14" i="5"/>
  <c r="DH57" i="5"/>
  <c r="DG57" i="5"/>
  <c r="DI57" i="5" s="1"/>
  <c r="DJ57" i="5" s="1"/>
  <c r="HQ24" i="5"/>
  <c r="HR24" i="5"/>
  <c r="HM38" i="5"/>
  <c r="HN38" i="5"/>
  <c r="HQ25" i="5"/>
  <c r="HR25" i="5"/>
  <c r="HM53" i="5"/>
  <c r="HN53" i="5"/>
  <c r="HM16" i="5"/>
  <c r="HN16" i="5"/>
  <c r="HM9" i="5"/>
  <c r="HN9" i="5"/>
  <c r="HM87" i="5"/>
  <c r="HN87" i="5"/>
  <c r="HM86" i="5"/>
  <c r="HN86" i="5"/>
  <c r="HM47" i="5"/>
  <c r="HN47" i="5"/>
  <c r="HJ35" i="5"/>
  <c r="HI35" i="5"/>
  <c r="HK35" i="5" s="1"/>
  <c r="HL35" i="5" s="1"/>
  <c r="HM8" i="5"/>
  <c r="HN8" i="5"/>
  <c r="HM36" i="5"/>
  <c r="HN36" i="5"/>
  <c r="HM51" i="5"/>
  <c r="HN51" i="5"/>
  <c r="HM91" i="5"/>
  <c r="HN91" i="5"/>
  <c r="HM45" i="5"/>
  <c r="HN45" i="5"/>
  <c r="HM94" i="5"/>
  <c r="HN94" i="5"/>
  <c r="HM58" i="5"/>
  <c r="HN58" i="5"/>
  <c r="HM32" i="5"/>
  <c r="HN32" i="5"/>
  <c r="HM46" i="5"/>
  <c r="HN46" i="5"/>
  <c r="HM55" i="5"/>
  <c r="HN55" i="5"/>
  <c r="HM60" i="5"/>
  <c r="HN60" i="5"/>
  <c r="HM20" i="5"/>
  <c r="HN20" i="5"/>
  <c r="HM54" i="5"/>
  <c r="HN54" i="5"/>
  <c r="HM56" i="5"/>
  <c r="HN56" i="5"/>
  <c r="HM75" i="5"/>
  <c r="HN75" i="5"/>
  <c r="HI44" i="5"/>
  <c r="HJ44" i="5"/>
  <c r="HM88" i="5"/>
  <c r="HN88" i="5"/>
  <c r="HI50" i="5"/>
  <c r="HJ50" i="5"/>
  <c r="HM33" i="5"/>
  <c r="HN33" i="5"/>
  <c r="HQ21" i="5"/>
  <c r="HR21" i="5"/>
  <c r="HI43" i="5"/>
  <c r="HJ43" i="5"/>
  <c r="CB43" i="5"/>
  <c r="CA43" i="5"/>
  <c r="CC43" i="5" s="1"/>
  <c r="CD43" i="5" s="1"/>
  <c r="CY44" i="5"/>
  <c r="CZ44" i="5"/>
  <c r="HN69" i="5"/>
  <c r="HM69" i="5"/>
  <c r="HO69" i="5" s="1"/>
  <c r="HP69" i="5" s="1"/>
  <c r="HJ10" i="5"/>
  <c r="HI10" i="5"/>
  <c r="HK10" i="5" s="1"/>
  <c r="HL10" i="5" s="1"/>
  <c r="HI42" i="5"/>
  <c r="HJ42" i="5"/>
  <c r="HN79" i="5"/>
  <c r="HM79" i="5"/>
  <c r="HM37" i="5"/>
  <c r="HN37" i="5"/>
  <c r="HN28" i="5"/>
  <c r="HM28" i="5"/>
  <c r="HO28" i="5" s="1"/>
  <c r="HP28" i="5" s="1"/>
  <c r="HN27" i="5"/>
  <c r="HM27" i="5"/>
  <c r="HO27" i="5" s="1"/>
  <c r="HP27" i="5" s="1"/>
  <c r="HN66" i="5"/>
  <c r="HM66" i="5"/>
  <c r="HO66" i="5" s="1"/>
  <c r="HP66" i="5" s="1"/>
  <c r="HM82" i="5"/>
  <c r="HN82" i="5"/>
  <c r="HN70" i="5"/>
  <c r="HM70" i="5"/>
  <c r="HJ12" i="5"/>
  <c r="HI12" i="5"/>
  <c r="HK12" i="5" s="1"/>
  <c r="HL12" i="5" s="1"/>
  <c r="DC96" i="5"/>
  <c r="DD96" i="5"/>
  <c r="HI73" i="5"/>
  <c r="HJ73" i="5"/>
  <c r="HJ40" i="5"/>
  <c r="HI40" i="5"/>
  <c r="HK40" i="5" s="1"/>
  <c r="HL40" i="5" s="1"/>
  <c r="HI72" i="5"/>
  <c r="HJ72" i="5"/>
  <c r="HR30" i="5"/>
  <c r="HQ30" i="5"/>
  <c r="HS30" i="5" s="1"/>
  <c r="HT30" i="5" s="1"/>
  <c r="HI15" i="5"/>
  <c r="HJ15" i="5"/>
  <c r="CE17" i="5"/>
  <c r="CF17" i="5"/>
  <c r="CY89" i="5"/>
  <c r="CZ89" i="5"/>
  <c r="CY37" i="5"/>
  <c r="CZ37" i="5"/>
  <c r="CU31" i="5"/>
  <c r="CV31" i="5"/>
  <c r="CQ28" i="5"/>
  <c r="CR28" i="5"/>
  <c r="CM12" i="5"/>
  <c r="CN12" i="5"/>
  <c r="CA81" i="5"/>
  <c r="CB81" i="5"/>
  <c r="CA73" i="5"/>
  <c r="CB73" i="5"/>
  <c r="CM22" i="5"/>
  <c r="CN22" i="5"/>
  <c r="CE38" i="5"/>
  <c r="CF38" i="5"/>
  <c r="HE62" i="5"/>
  <c r="HF62" i="5"/>
  <c r="CA77" i="5"/>
  <c r="CB77" i="5"/>
  <c r="BW71" i="5"/>
  <c r="BX71" i="5"/>
  <c r="BW8" i="5"/>
  <c r="BX8" i="5"/>
  <c r="CB11" i="5"/>
  <c r="CA11" i="5"/>
  <c r="CC11" i="5" s="1"/>
  <c r="CD11" i="5" s="1"/>
  <c r="BW9" i="5"/>
  <c r="BX9" i="5"/>
  <c r="CA55" i="5"/>
  <c r="CB55" i="5"/>
  <c r="CA18" i="5"/>
  <c r="CB18" i="5"/>
  <c r="BW91" i="5"/>
  <c r="BX91" i="5"/>
  <c r="BW94" i="5"/>
  <c r="BX94" i="5"/>
  <c r="BW69" i="5"/>
  <c r="BX69" i="5"/>
  <c r="BW80" i="5"/>
  <c r="BX80" i="5"/>
  <c r="BW54" i="5"/>
  <c r="BX54" i="5"/>
  <c r="BW70" i="5"/>
  <c r="BX70" i="5"/>
  <c r="DI56" i="5"/>
  <c r="DJ56" i="5" s="1"/>
  <c r="CS41" i="5"/>
  <c r="CT41" i="5" s="1"/>
  <c r="CG36" i="5"/>
  <c r="CH36" i="5" s="1"/>
  <c r="HK22" i="5"/>
  <c r="HL22" i="5" s="1"/>
  <c r="HK65" i="5"/>
  <c r="HL65" i="5" s="1"/>
  <c r="CG79" i="5"/>
  <c r="CH79" i="5" s="1"/>
  <c r="IE90" i="5"/>
  <c r="IF90" i="5" s="1"/>
  <c r="HO57" i="5"/>
  <c r="HP57" i="5" s="1"/>
  <c r="HK80" i="5"/>
  <c r="HL80" i="5" s="1"/>
  <c r="HK77" i="5"/>
  <c r="HL77" i="5" s="1"/>
  <c r="HK95" i="5"/>
  <c r="HL95" i="5" s="1"/>
  <c r="HK31" i="5"/>
  <c r="HL31" i="5" s="1"/>
  <c r="HK71" i="5"/>
  <c r="HL71" i="5" s="1"/>
  <c r="HO19" i="5"/>
  <c r="HP19" i="5" s="1"/>
  <c r="HO49" i="5"/>
  <c r="HP49" i="5" s="1"/>
  <c r="HK64" i="5"/>
  <c r="HL64" i="5" s="1"/>
  <c r="HK84" i="5"/>
  <c r="HL84" i="5" s="1"/>
  <c r="HK92" i="5"/>
  <c r="HL92" i="5" s="1"/>
  <c r="HK68" i="5"/>
  <c r="HL68" i="5" s="1"/>
  <c r="HK85" i="5"/>
  <c r="HL85" i="5" s="1"/>
  <c r="HK67" i="5"/>
  <c r="HL67" i="5" s="1"/>
  <c r="HK59" i="5"/>
  <c r="HL59" i="5" s="1"/>
  <c r="HK93" i="5"/>
  <c r="HL93" i="5" s="1"/>
  <c r="HO11" i="5"/>
  <c r="HP11" i="5" s="1"/>
  <c r="DE39" i="5"/>
  <c r="DF39" i="5" s="1"/>
  <c r="DE49" i="5"/>
  <c r="DF49" i="5" s="1"/>
  <c r="CO13" i="5"/>
  <c r="CP13" i="5" s="1"/>
  <c r="HO29" i="5"/>
  <c r="HP29" i="5" s="1"/>
  <c r="HK18" i="5"/>
  <c r="HL18" i="5" s="1"/>
  <c r="DA66" i="5"/>
  <c r="DB66" i="5" s="1"/>
  <c r="DA10" i="5"/>
  <c r="DB10" i="5" s="1"/>
  <c r="CW53" i="5"/>
  <c r="CX53" i="5" s="1"/>
  <c r="CO52" i="5"/>
  <c r="CP52" i="5" s="1"/>
  <c r="CK88" i="5"/>
  <c r="CL88" i="5" s="1"/>
  <c r="CG95" i="5"/>
  <c r="CH95" i="5" s="1"/>
  <c r="HG23" i="5"/>
  <c r="HH23" i="5" s="1"/>
  <c r="CG20" i="5"/>
  <c r="CH20" i="5" s="1"/>
  <c r="CO74" i="5"/>
  <c r="CP74" i="5" s="1"/>
  <c r="CK14" i="5"/>
  <c r="CL14" i="5" s="1"/>
  <c r="HG17" i="5"/>
  <c r="HH17" i="5" s="1"/>
  <c r="CO29" i="5"/>
  <c r="CP29" i="5" s="1"/>
  <c r="CC19" i="5"/>
  <c r="CD19" i="5" s="1"/>
  <c r="CG30" i="5"/>
  <c r="CH30" i="5" s="1"/>
  <c r="BY42" i="5"/>
  <c r="BZ42" i="5" s="1"/>
  <c r="CC40" i="5"/>
  <c r="CD40" i="5" s="1"/>
  <c r="BY65" i="5"/>
  <c r="BZ65" i="5" s="1"/>
  <c r="GY89" i="5"/>
  <c r="GZ89" i="5" s="1"/>
  <c r="BY58" i="5"/>
  <c r="BZ58" i="5" s="1"/>
  <c r="CC84" i="5"/>
  <c r="CD84" i="5" s="1"/>
  <c r="CU85" i="5" l="1"/>
  <c r="CV85" i="5"/>
  <c r="HW48" i="5"/>
  <c r="HX48" i="5" s="1"/>
  <c r="DM33" i="5"/>
  <c r="DN33" i="5" s="1"/>
  <c r="DA45" i="5"/>
  <c r="DB45" i="5" s="1"/>
  <c r="HO58" i="5"/>
  <c r="HP58" i="5" s="1"/>
  <c r="DA44" i="5"/>
  <c r="DB44" i="5" s="1"/>
  <c r="HO79" i="5"/>
  <c r="HP79" i="5" s="1"/>
  <c r="DA89" i="5"/>
  <c r="DB89" i="5" s="1"/>
  <c r="BY69" i="5"/>
  <c r="BZ69" i="5" s="1"/>
  <c r="HM63" i="5"/>
  <c r="HO63" i="5" s="1"/>
  <c r="HP63" i="5" s="1"/>
  <c r="HN63" i="5"/>
  <c r="CV59" i="5"/>
  <c r="CU59" i="5"/>
  <c r="CW59" i="5" s="1"/>
  <c r="CX59" i="5" s="1"/>
  <c r="HM74" i="5"/>
  <c r="HO74" i="5" s="1"/>
  <c r="HP74" i="5" s="1"/>
  <c r="HN74" i="5"/>
  <c r="CR23" i="5"/>
  <c r="CQ23" i="5"/>
  <c r="CS23" i="5" s="1"/>
  <c r="CT23" i="5" s="1"/>
  <c r="CJ83" i="5"/>
  <c r="CI83" i="5"/>
  <c r="CK83" i="5" s="1"/>
  <c r="CL83" i="5" s="1"/>
  <c r="CN76" i="5"/>
  <c r="CM76" i="5"/>
  <c r="CO76" i="5" s="1"/>
  <c r="CP76" i="5" s="1"/>
  <c r="CR87" i="5"/>
  <c r="CQ87" i="5"/>
  <c r="CS87" i="5" s="1"/>
  <c r="CT87" i="5" s="1"/>
  <c r="HM13" i="5"/>
  <c r="HN13" i="5"/>
  <c r="CJ93" i="5"/>
  <c r="CI93" i="5"/>
  <c r="CK93" i="5" s="1"/>
  <c r="CL93" i="5" s="1"/>
  <c r="CJ15" i="5"/>
  <c r="CI15" i="5"/>
  <c r="CK15" i="5" s="1"/>
  <c r="CL15" i="5" s="1"/>
  <c r="CF72" i="5"/>
  <c r="CE72" i="5"/>
  <c r="CG72" i="5" s="1"/>
  <c r="CH72" i="5" s="1"/>
  <c r="DD62" i="5"/>
  <c r="DC62" i="5"/>
  <c r="DE62" i="5" s="1"/>
  <c r="DF62" i="5" s="1"/>
  <c r="CR75" i="5"/>
  <c r="CQ75" i="5"/>
  <c r="CS75" i="5" s="1"/>
  <c r="CT75" i="5" s="1"/>
  <c r="DP21" i="5"/>
  <c r="DO21" i="5"/>
  <c r="DQ21" i="5" s="1"/>
  <c r="DR21" i="5" s="1"/>
  <c r="DP32" i="5"/>
  <c r="DO32" i="5"/>
  <c r="DP34" i="5"/>
  <c r="DO34" i="5"/>
  <c r="DQ34" i="5" s="1"/>
  <c r="DR34" i="5" s="1"/>
  <c r="DP46" i="5"/>
  <c r="DO46" i="5"/>
  <c r="DQ46" i="5" s="1"/>
  <c r="DR46" i="5" s="1"/>
  <c r="DP47" i="5"/>
  <c r="DO47" i="5"/>
  <c r="DQ47" i="5" s="1"/>
  <c r="DR47" i="5" s="1"/>
  <c r="DP48" i="5"/>
  <c r="DO48" i="5"/>
  <c r="DQ48" i="5" s="1"/>
  <c r="DR48" i="5" s="1"/>
  <c r="DP67" i="5"/>
  <c r="DO67" i="5"/>
  <c r="DQ67" i="5" s="1"/>
  <c r="DR67" i="5" s="1"/>
  <c r="DP60" i="5"/>
  <c r="DO60" i="5"/>
  <c r="DQ60" i="5" s="1"/>
  <c r="DR60" i="5" s="1"/>
  <c r="DP61" i="5"/>
  <c r="DO61" i="5"/>
  <c r="DQ61" i="5" s="1"/>
  <c r="DR61" i="5" s="1"/>
  <c r="IP61" i="5"/>
  <c r="IO61" i="5"/>
  <c r="IQ61" i="5" s="1"/>
  <c r="IR61" i="5" s="1"/>
  <c r="IP76" i="5"/>
  <c r="IO76" i="5"/>
  <c r="IQ76" i="5" s="1"/>
  <c r="IR76" i="5" s="1"/>
  <c r="DP90" i="5"/>
  <c r="DO90" i="5"/>
  <c r="DQ90" i="5" s="1"/>
  <c r="DR90" i="5" s="1"/>
  <c r="IP96" i="5"/>
  <c r="IO96" i="5"/>
  <c r="IQ96" i="5" s="1"/>
  <c r="IR96" i="5" s="1"/>
  <c r="DL68" i="5"/>
  <c r="DK68" i="5"/>
  <c r="DM68" i="5" s="1"/>
  <c r="DN68" i="5" s="1"/>
  <c r="DH82" i="5"/>
  <c r="DG82" i="5"/>
  <c r="DI82" i="5" s="1"/>
  <c r="DJ82" i="5" s="1"/>
  <c r="CZ78" i="5"/>
  <c r="CY78" i="5"/>
  <c r="DA78" i="5" s="1"/>
  <c r="DB78" i="5" s="1"/>
  <c r="DD45" i="5"/>
  <c r="DC45" i="5"/>
  <c r="DE45" i="5" s="1"/>
  <c r="DF45" i="5" s="1"/>
  <c r="CY24" i="5"/>
  <c r="CZ24" i="5"/>
  <c r="CV50" i="5"/>
  <c r="CU50" i="5"/>
  <c r="CW50" i="5" s="1"/>
  <c r="CX50" i="5" s="1"/>
  <c r="CV63" i="5"/>
  <c r="CU63" i="5"/>
  <c r="CW63" i="5" s="1"/>
  <c r="CX63" i="5" s="1"/>
  <c r="HV34" i="5"/>
  <c r="HU34" i="5"/>
  <c r="HW34" i="5" s="1"/>
  <c r="HX34" i="5" s="1"/>
  <c r="CR16" i="5"/>
  <c r="CQ16" i="5"/>
  <c r="CS16" i="5" s="1"/>
  <c r="CT16" i="5" s="1"/>
  <c r="CV25" i="5"/>
  <c r="CU25" i="5"/>
  <c r="CW25" i="5" s="1"/>
  <c r="CX25" i="5" s="1"/>
  <c r="DD51" i="5"/>
  <c r="DC51" i="5"/>
  <c r="DE51" i="5" s="1"/>
  <c r="DF51" i="5" s="1"/>
  <c r="CM64" i="5"/>
  <c r="CN64" i="5"/>
  <c r="CZ27" i="5"/>
  <c r="CY27" i="5"/>
  <c r="DA27" i="5" s="1"/>
  <c r="DB27" i="5" s="1"/>
  <c r="HQ83" i="5"/>
  <c r="HR83" i="5"/>
  <c r="DL57" i="5"/>
  <c r="DK57" i="5"/>
  <c r="DM57" i="5" s="1"/>
  <c r="DN57" i="5" s="1"/>
  <c r="HM35" i="5"/>
  <c r="HN35" i="5"/>
  <c r="CF43" i="5"/>
  <c r="CE43" i="5"/>
  <c r="CG43" i="5" s="1"/>
  <c r="CH43" i="5" s="1"/>
  <c r="HQ69" i="5"/>
  <c r="HR69" i="5"/>
  <c r="HM10" i="5"/>
  <c r="HN10" i="5"/>
  <c r="HQ28" i="5"/>
  <c r="HR28" i="5"/>
  <c r="HR27" i="5"/>
  <c r="HQ27" i="5"/>
  <c r="HS27" i="5" s="1"/>
  <c r="HT27" i="5" s="1"/>
  <c r="HQ66" i="5"/>
  <c r="HR66" i="5"/>
  <c r="HM12" i="5"/>
  <c r="HN12" i="5"/>
  <c r="HM40" i="5"/>
  <c r="HN40" i="5"/>
  <c r="HU30" i="5"/>
  <c r="HV30" i="5"/>
  <c r="CF11" i="5"/>
  <c r="CE11" i="5"/>
  <c r="CG11" i="5" s="1"/>
  <c r="CH11" i="5" s="1"/>
  <c r="DK56" i="5"/>
  <c r="DL56" i="5"/>
  <c r="CV41" i="5"/>
  <c r="CU41" i="5"/>
  <c r="CW41" i="5" s="1"/>
  <c r="CX41" i="5" s="1"/>
  <c r="HR26" i="5"/>
  <c r="HQ26" i="5"/>
  <c r="HS26" i="5" s="1"/>
  <c r="HT26" i="5" s="1"/>
  <c r="CI36" i="5"/>
  <c r="CJ36" i="5"/>
  <c r="HN22" i="5"/>
  <c r="HM22" i="5"/>
  <c r="HO22" i="5" s="1"/>
  <c r="HP22" i="5" s="1"/>
  <c r="HN65" i="5"/>
  <c r="HM65" i="5"/>
  <c r="HO65" i="5" s="1"/>
  <c r="HP65" i="5" s="1"/>
  <c r="CI79" i="5"/>
  <c r="CJ79" i="5"/>
  <c r="IH90" i="5"/>
  <c r="IG90" i="5"/>
  <c r="II90" i="5" s="1"/>
  <c r="IJ90" i="5" s="1"/>
  <c r="HR57" i="5"/>
  <c r="HQ57" i="5"/>
  <c r="HS57" i="5" s="1"/>
  <c r="HT57" i="5" s="1"/>
  <c r="HN80" i="5"/>
  <c r="HM80" i="5"/>
  <c r="HO80" i="5" s="1"/>
  <c r="HP80" i="5" s="1"/>
  <c r="HN77" i="5"/>
  <c r="HM77" i="5"/>
  <c r="HO77" i="5" s="1"/>
  <c r="HP77" i="5" s="1"/>
  <c r="HN95" i="5"/>
  <c r="HM95" i="5"/>
  <c r="HO95" i="5" s="1"/>
  <c r="HP95" i="5" s="1"/>
  <c r="HN31" i="5"/>
  <c r="HM31" i="5"/>
  <c r="HO31" i="5" s="1"/>
  <c r="HP31" i="5" s="1"/>
  <c r="HN71" i="5"/>
  <c r="HM71" i="5"/>
  <c r="HO71" i="5" s="1"/>
  <c r="HP71" i="5" s="1"/>
  <c r="HR19" i="5"/>
  <c r="HQ19" i="5"/>
  <c r="HS19" i="5" s="1"/>
  <c r="HT19" i="5" s="1"/>
  <c r="HN52" i="5"/>
  <c r="HM52" i="5"/>
  <c r="HQ49" i="5"/>
  <c r="HR49" i="5"/>
  <c r="HN64" i="5"/>
  <c r="HM64" i="5"/>
  <c r="HO64" i="5" s="1"/>
  <c r="HP64" i="5" s="1"/>
  <c r="HN84" i="5"/>
  <c r="HM84" i="5"/>
  <c r="HO84" i="5" s="1"/>
  <c r="HP84" i="5" s="1"/>
  <c r="HN92" i="5"/>
  <c r="HM92" i="5"/>
  <c r="HO92" i="5" s="1"/>
  <c r="HP92" i="5" s="1"/>
  <c r="HN68" i="5"/>
  <c r="HM68" i="5"/>
  <c r="HO68" i="5" s="1"/>
  <c r="HP68" i="5" s="1"/>
  <c r="HN85" i="5"/>
  <c r="HM85" i="5"/>
  <c r="HO85" i="5" s="1"/>
  <c r="HP85" i="5" s="1"/>
  <c r="HM67" i="5"/>
  <c r="HN67" i="5"/>
  <c r="HN59" i="5"/>
  <c r="HM59" i="5"/>
  <c r="HO59" i="5" s="1"/>
  <c r="HP59" i="5" s="1"/>
  <c r="HN93" i="5"/>
  <c r="HM93" i="5"/>
  <c r="HO93" i="5" s="1"/>
  <c r="HP93" i="5" s="1"/>
  <c r="HQ11" i="5"/>
  <c r="HR11" i="5"/>
  <c r="DG39" i="5"/>
  <c r="DH39" i="5"/>
  <c r="DG49" i="5"/>
  <c r="DH49" i="5"/>
  <c r="CQ13" i="5"/>
  <c r="CR13" i="5"/>
  <c r="HR29" i="5"/>
  <c r="HQ29" i="5"/>
  <c r="HS29" i="5" s="1"/>
  <c r="HT29" i="5" s="1"/>
  <c r="HN18" i="5"/>
  <c r="HM18" i="5"/>
  <c r="HO18" i="5" s="1"/>
  <c r="HP18" i="5" s="1"/>
  <c r="DC66" i="5"/>
  <c r="DD66" i="5"/>
  <c r="DC10" i="5"/>
  <c r="DD10" i="5"/>
  <c r="CY53" i="5"/>
  <c r="CZ53" i="5"/>
  <c r="CQ52" i="5"/>
  <c r="CR52" i="5"/>
  <c r="CM88" i="5"/>
  <c r="CN88" i="5"/>
  <c r="CI95" i="5"/>
  <c r="CJ95" i="5"/>
  <c r="HJ23" i="5"/>
  <c r="HI23" i="5"/>
  <c r="HK23" i="5" s="1"/>
  <c r="HL23" i="5" s="1"/>
  <c r="CI20" i="5"/>
  <c r="CJ20" i="5"/>
  <c r="CQ74" i="5"/>
  <c r="CR74" i="5"/>
  <c r="CM14" i="5"/>
  <c r="CN14" i="5"/>
  <c r="HI17" i="5"/>
  <c r="HJ17" i="5"/>
  <c r="CQ29" i="5"/>
  <c r="CR29" i="5"/>
  <c r="CE19" i="5"/>
  <c r="CF19" i="5"/>
  <c r="CI30" i="5"/>
  <c r="CJ30" i="5"/>
  <c r="CA42" i="5"/>
  <c r="CB42" i="5"/>
  <c r="CE40" i="5"/>
  <c r="CF40" i="5"/>
  <c r="CA65" i="5"/>
  <c r="CB65" i="5"/>
  <c r="HA89" i="5"/>
  <c r="HB89" i="5"/>
  <c r="CA58" i="5"/>
  <c r="CB58" i="5"/>
  <c r="CE84" i="5"/>
  <c r="CF84" i="5"/>
  <c r="DA86" i="5"/>
  <c r="DB86" i="5" s="1"/>
  <c r="CO92" i="5"/>
  <c r="CP92" i="5" s="1"/>
  <c r="CW26" i="5"/>
  <c r="CX26" i="5" s="1"/>
  <c r="HS39" i="5"/>
  <c r="HT39" i="5" s="1"/>
  <c r="HO13" i="5"/>
  <c r="HP13" i="5" s="1"/>
  <c r="HO41" i="5"/>
  <c r="HP41" i="5" s="1"/>
  <c r="HO78" i="5"/>
  <c r="HP78" i="5" s="1"/>
  <c r="HO81" i="5"/>
  <c r="HP81" i="5" s="1"/>
  <c r="HO14" i="5"/>
  <c r="HP14" i="5" s="1"/>
  <c r="HS24" i="5"/>
  <c r="HT24" i="5" s="1"/>
  <c r="HO38" i="5"/>
  <c r="HP38" i="5" s="1"/>
  <c r="HS25" i="5"/>
  <c r="HT25" i="5" s="1"/>
  <c r="HO53" i="5"/>
  <c r="HP53" i="5" s="1"/>
  <c r="HO16" i="5"/>
  <c r="HP16" i="5" s="1"/>
  <c r="HO9" i="5"/>
  <c r="HP9" i="5" s="1"/>
  <c r="HO87" i="5"/>
  <c r="HP87" i="5" s="1"/>
  <c r="HO8" i="5"/>
  <c r="HP8" i="5" s="1"/>
  <c r="HO36" i="5"/>
  <c r="HP36" i="5" s="1"/>
  <c r="HO51" i="5"/>
  <c r="HP51" i="5" s="1"/>
  <c r="HO91" i="5"/>
  <c r="HP91" i="5" s="1"/>
  <c r="HO45" i="5"/>
  <c r="HP45" i="5" s="1"/>
  <c r="HO94" i="5"/>
  <c r="HP94" i="5" s="1"/>
  <c r="HO86" i="5"/>
  <c r="HP86" i="5" s="1"/>
  <c r="HO47" i="5"/>
  <c r="HP47" i="5" s="1"/>
  <c r="HO32" i="5"/>
  <c r="HP32" i="5" s="1"/>
  <c r="HO46" i="5"/>
  <c r="HP46" i="5" s="1"/>
  <c r="HO55" i="5"/>
  <c r="HP55" i="5" s="1"/>
  <c r="HO60" i="5"/>
  <c r="HP60" i="5" s="1"/>
  <c r="HO20" i="5"/>
  <c r="HP20" i="5" s="1"/>
  <c r="HO54" i="5"/>
  <c r="HP54" i="5" s="1"/>
  <c r="HO56" i="5"/>
  <c r="HP56" i="5" s="1"/>
  <c r="HO75" i="5"/>
  <c r="HP75" i="5" s="1"/>
  <c r="HK44" i="5"/>
  <c r="HL44" i="5" s="1"/>
  <c r="HS21" i="5"/>
  <c r="HT21" i="5" s="1"/>
  <c r="HK43" i="5"/>
  <c r="HL43" i="5" s="1"/>
  <c r="HO37" i="5"/>
  <c r="HP37" i="5" s="1"/>
  <c r="HO88" i="5"/>
  <c r="HP88" i="5" s="1"/>
  <c r="HK50" i="5"/>
  <c r="HL50" i="5" s="1"/>
  <c r="HO33" i="5"/>
  <c r="HP33" i="5" s="1"/>
  <c r="HK42" i="5"/>
  <c r="HL42" i="5" s="1"/>
  <c r="HO82" i="5"/>
  <c r="HP82" i="5" s="1"/>
  <c r="HK15" i="5"/>
  <c r="HL15" i="5" s="1"/>
  <c r="CG17" i="5"/>
  <c r="CH17" i="5" s="1"/>
  <c r="DM35" i="5"/>
  <c r="DN35" i="5" s="1"/>
  <c r="HO70" i="5"/>
  <c r="HP70" i="5" s="1"/>
  <c r="DE96" i="5"/>
  <c r="DF96" i="5" s="1"/>
  <c r="HK73" i="5"/>
  <c r="HL73" i="5" s="1"/>
  <c r="HK72" i="5"/>
  <c r="HL72" i="5" s="1"/>
  <c r="DA37" i="5"/>
  <c r="DB37" i="5" s="1"/>
  <c r="CW31" i="5"/>
  <c r="CX31" i="5" s="1"/>
  <c r="CS28" i="5"/>
  <c r="CT28" i="5" s="1"/>
  <c r="CO12" i="5"/>
  <c r="CP12" i="5" s="1"/>
  <c r="CC81" i="5"/>
  <c r="CD81" i="5" s="1"/>
  <c r="CC73" i="5"/>
  <c r="CD73" i="5" s="1"/>
  <c r="CO22" i="5"/>
  <c r="CP22" i="5" s="1"/>
  <c r="CG38" i="5"/>
  <c r="CH38" i="5" s="1"/>
  <c r="HG62" i="5"/>
  <c r="HH62" i="5" s="1"/>
  <c r="CC77" i="5"/>
  <c r="CD77" i="5" s="1"/>
  <c r="BY71" i="5"/>
  <c r="BZ71" i="5" s="1"/>
  <c r="BY8" i="5"/>
  <c r="BZ8" i="5" s="1"/>
  <c r="BY9" i="5"/>
  <c r="BZ9" i="5" s="1"/>
  <c r="CC55" i="5"/>
  <c r="CD55" i="5" s="1"/>
  <c r="CC18" i="5"/>
  <c r="CD18" i="5" s="1"/>
  <c r="BY91" i="5"/>
  <c r="BZ91" i="5" s="1"/>
  <c r="BY94" i="5"/>
  <c r="BZ94" i="5" s="1"/>
  <c r="BY80" i="5"/>
  <c r="BZ80" i="5" s="1"/>
  <c r="BY54" i="5"/>
  <c r="BZ54" i="5" s="1"/>
  <c r="BY70" i="5"/>
  <c r="BZ70" i="5" s="1"/>
  <c r="HZ48" i="5" l="1"/>
  <c r="HY48" i="5"/>
  <c r="IA48" i="5" s="1"/>
  <c r="IB48" i="5" s="1"/>
  <c r="CW85" i="5"/>
  <c r="CX85" i="5" s="1"/>
  <c r="DQ32" i="5"/>
  <c r="DR32" i="5" s="1"/>
  <c r="HS69" i="5"/>
  <c r="HT69" i="5" s="1"/>
  <c r="HK17" i="5"/>
  <c r="HL17" i="5" s="1"/>
  <c r="CG84" i="5"/>
  <c r="CH84" i="5" s="1"/>
  <c r="DP33" i="5"/>
  <c r="DO33" i="5"/>
  <c r="DQ33" i="5" s="1"/>
  <c r="DR33" i="5" s="1"/>
  <c r="HQ58" i="5"/>
  <c r="HS58" i="5" s="1"/>
  <c r="HT58" i="5" s="1"/>
  <c r="HR58" i="5"/>
  <c r="DD44" i="5"/>
  <c r="DC44" i="5"/>
  <c r="DE44" i="5" s="1"/>
  <c r="DF44" i="5" s="1"/>
  <c r="HR79" i="5"/>
  <c r="HQ79" i="5"/>
  <c r="HS79" i="5" s="1"/>
  <c r="HT79" i="5" s="1"/>
  <c r="DD89" i="5"/>
  <c r="DC89" i="5"/>
  <c r="DE89" i="5" s="1"/>
  <c r="DF89" i="5" s="1"/>
  <c r="CB69" i="5"/>
  <c r="CA69" i="5"/>
  <c r="CC69" i="5" s="1"/>
  <c r="CD69" i="5" s="1"/>
  <c r="CV23" i="5"/>
  <c r="CU23" i="5"/>
  <c r="CW23" i="5" s="1"/>
  <c r="CX23" i="5" s="1"/>
  <c r="CN83" i="5"/>
  <c r="CM83" i="5"/>
  <c r="CO83" i="5" s="1"/>
  <c r="CP83" i="5" s="1"/>
  <c r="CR76" i="5"/>
  <c r="CQ76" i="5"/>
  <c r="CS76" i="5" s="1"/>
  <c r="CT76" i="5" s="1"/>
  <c r="CV87" i="5"/>
  <c r="CU87" i="5"/>
  <c r="CW87" i="5" s="1"/>
  <c r="CX87" i="5" s="1"/>
  <c r="CN93" i="5"/>
  <c r="CM93" i="5"/>
  <c r="CO93" i="5" s="1"/>
  <c r="CP93" i="5" s="1"/>
  <c r="CN15" i="5"/>
  <c r="CM15" i="5"/>
  <c r="CO15" i="5" s="1"/>
  <c r="CP15" i="5" s="1"/>
  <c r="CJ72" i="5"/>
  <c r="CI72" i="5"/>
  <c r="CK72" i="5" s="1"/>
  <c r="CL72" i="5" s="1"/>
  <c r="DH62" i="5"/>
  <c r="DG62" i="5"/>
  <c r="DI62" i="5" s="1"/>
  <c r="DJ62" i="5" s="1"/>
  <c r="CV75" i="5"/>
  <c r="CU75" i="5"/>
  <c r="CW75" i="5" s="1"/>
  <c r="CX75" i="5" s="1"/>
  <c r="DT21" i="5"/>
  <c r="DS21" i="5"/>
  <c r="DU21" i="5" s="1"/>
  <c r="DV21" i="5" s="1"/>
  <c r="DT32" i="5"/>
  <c r="DS32" i="5"/>
  <c r="DU32" i="5" s="1"/>
  <c r="DV32" i="5" s="1"/>
  <c r="DT34" i="5"/>
  <c r="DS34" i="5"/>
  <c r="DU34" i="5" s="1"/>
  <c r="DV34" i="5" s="1"/>
  <c r="DT46" i="5"/>
  <c r="DS46" i="5"/>
  <c r="DU46" i="5" s="1"/>
  <c r="DV46" i="5" s="1"/>
  <c r="DT47" i="5"/>
  <c r="DS47" i="5"/>
  <c r="DU47" i="5" s="1"/>
  <c r="DV47" i="5" s="1"/>
  <c r="DT48" i="5"/>
  <c r="DS48" i="5"/>
  <c r="DU48" i="5" s="1"/>
  <c r="DV48" i="5" s="1"/>
  <c r="DT67" i="5"/>
  <c r="DS67" i="5"/>
  <c r="DU67" i="5" s="1"/>
  <c r="DV67" i="5" s="1"/>
  <c r="DT60" i="5"/>
  <c r="DS60" i="5"/>
  <c r="DU60" i="5" s="1"/>
  <c r="DV60" i="5" s="1"/>
  <c r="DT61" i="5"/>
  <c r="DS61" i="5"/>
  <c r="DU61" i="5" s="1"/>
  <c r="DV61" i="5" s="1"/>
  <c r="IT61" i="5"/>
  <c r="IS61" i="5"/>
  <c r="IU61" i="5" s="1"/>
  <c r="IV61" i="5" s="1"/>
  <c r="IT76" i="5"/>
  <c r="IS76" i="5"/>
  <c r="IU76" i="5" s="1"/>
  <c r="IV76" i="5" s="1"/>
  <c r="DT90" i="5"/>
  <c r="DS90" i="5"/>
  <c r="DU90" i="5" s="1"/>
  <c r="DV90" i="5" s="1"/>
  <c r="IT96" i="5"/>
  <c r="IS96" i="5"/>
  <c r="IU96" i="5" s="1"/>
  <c r="IV96" i="5" s="1"/>
  <c r="DP68" i="5"/>
  <c r="DO68" i="5"/>
  <c r="DQ68" i="5" s="1"/>
  <c r="DR68" i="5" s="1"/>
  <c r="DL82" i="5"/>
  <c r="DK82" i="5"/>
  <c r="DM82" i="5" s="1"/>
  <c r="DN82" i="5" s="1"/>
  <c r="DD78" i="5"/>
  <c r="DC78" i="5"/>
  <c r="DE78" i="5" s="1"/>
  <c r="DF78" i="5" s="1"/>
  <c r="DH45" i="5"/>
  <c r="DG45" i="5"/>
  <c r="DI45" i="5" s="1"/>
  <c r="DJ45" i="5" s="1"/>
  <c r="CZ50" i="5"/>
  <c r="CY50" i="5"/>
  <c r="DA50" i="5" s="1"/>
  <c r="DB50" i="5" s="1"/>
  <c r="CZ87" i="5"/>
  <c r="CY87" i="5"/>
  <c r="DA87" i="5" s="1"/>
  <c r="DB87" i="5" s="1"/>
  <c r="CZ63" i="5"/>
  <c r="CY63" i="5"/>
  <c r="DA63" i="5" s="1"/>
  <c r="DB63" i="5" s="1"/>
  <c r="HZ34" i="5"/>
  <c r="HY34" i="5"/>
  <c r="IA34" i="5" s="1"/>
  <c r="IB34" i="5" s="1"/>
  <c r="CV16" i="5"/>
  <c r="CU16" i="5"/>
  <c r="CW16" i="5" s="1"/>
  <c r="CX16" i="5" s="1"/>
  <c r="CZ25" i="5"/>
  <c r="CY25" i="5"/>
  <c r="DA25" i="5" s="1"/>
  <c r="DB25" i="5" s="1"/>
  <c r="DH51" i="5"/>
  <c r="DG51" i="5"/>
  <c r="DI51" i="5" s="1"/>
  <c r="DJ51" i="5" s="1"/>
  <c r="DD27" i="5"/>
  <c r="DC27" i="5"/>
  <c r="DE27" i="5" s="1"/>
  <c r="DF27" i="5" s="1"/>
  <c r="DP57" i="5"/>
  <c r="DO57" i="5"/>
  <c r="DQ57" i="5" s="1"/>
  <c r="DR57" i="5" s="1"/>
  <c r="CR83" i="5"/>
  <c r="CQ83" i="5"/>
  <c r="CS83" i="5" s="1"/>
  <c r="CT83" i="5" s="1"/>
  <c r="CJ43" i="5"/>
  <c r="CI43" i="5"/>
  <c r="CK43" i="5" s="1"/>
  <c r="CL43" i="5" s="1"/>
  <c r="HU27" i="5"/>
  <c r="HV27" i="5"/>
  <c r="CJ11" i="5"/>
  <c r="CI11" i="5"/>
  <c r="CK11" i="5" s="1"/>
  <c r="CL11" i="5" s="1"/>
  <c r="CZ41" i="5"/>
  <c r="CY41" i="5"/>
  <c r="DA41" i="5" s="1"/>
  <c r="DB41" i="5" s="1"/>
  <c r="HU26" i="5"/>
  <c r="HV26" i="5"/>
  <c r="HR22" i="5"/>
  <c r="HQ22" i="5"/>
  <c r="HS22" i="5" s="1"/>
  <c r="HT22" i="5" s="1"/>
  <c r="HQ65" i="5"/>
  <c r="HR65" i="5"/>
  <c r="IK90" i="5"/>
  <c r="IL90" i="5"/>
  <c r="HU57" i="5"/>
  <c r="HV57" i="5"/>
  <c r="HQ80" i="5"/>
  <c r="HR80" i="5"/>
  <c r="HQ77" i="5"/>
  <c r="HR77" i="5"/>
  <c r="HQ95" i="5"/>
  <c r="HR95" i="5"/>
  <c r="HQ31" i="5"/>
  <c r="HR31" i="5"/>
  <c r="HQ71" i="5"/>
  <c r="HR71" i="5"/>
  <c r="HU19" i="5"/>
  <c r="HV19" i="5"/>
  <c r="HQ64" i="5"/>
  <c r="HR64" i="5"/>
  <c r="HQ84" i="5"/>
  <c r="HR84" i="5"/>
  <c r="HR92" i="5"/>
  <c r="HQ92" i="5"/>
  <c r="HS92" i="5" s="1"/>
  <c r="HT92" i="5" s="1"/>
  <c r="HQ68" i="5"/>
  <c r="HR68" i="5"/>
  <c r="HQ85" i="5"/>
  <c r="HR85" i="5"/>
  <c r="HQ59" i="5"/>
  <c r="HR59" i="5"/>
  <c r="HQ93" i="5"/>
  <c r="HR93" i="5"/>
  <c r="HU29" i="5"/>
  <c r="HV29" i="5"/>
  <c r="HQ18" i="5"/>
  <c r="HR18" i="5"/>
  <c r="HM23" i="5"/>
  <c r="HN23" i="5"/>
  <c r="DC86" i="5"/>
  <c r="DD86" i="5"/>
  <c r="CQ92" i="5"/>
  <c r="CR92" i="5"/>
  <c r="CZ26" i="5"/>
  <c r="CY26" i="5"/>
  <c r="DA26" i="5" s="1"/>
  <c r="DB26" i="5" s="1"/>
  <c r="HV39" i="5"/>
  <c r="HU39" i="5"/>
  <c r="HW39" i="5" s="1"/>
  <c r="HX39" i="5" s="1"/>
  <c r="HR13" i="5"/>
  <c r="HQ13" i="5"/>
  <c r="HS13" i="5" s="1"/>
  <c r="HT13" i="5" s="1"/>
  <c r="HR41" i="5"/>
  <c r="HQ41" i="5"/>
  <c r="HS41" i="5" s="1"/>
  <c r="HT41" i="5" s="1"/>
  <c r="HR63" i="5"/>
  <c r="HQ63" i="5"/>
  <c r="HS63" i="5" s="1"/>
  <c r="HT63" i="5" s="1"/>
  <c r="HR78" i="5"/>
  <c r="HQ78" i="5"/>
  <c r="HS78" i="5" s="1"/>
  <c r="HT78" i="5" s="1"/>
  <c r="HR81" i="5"/>
  <c r="HQ81" i="5"/>
  <c r="HS81" i="5" s="1"/>
  <c r="HT81" i="5" s="1"/>
  <c r="HR74" i="5"/>
  <c r="HQ74" i="5"/>
  <c r="HS74" i="5" s="1"/>
  <c r="HT74" i="5" s="1"/>
  <c r="HR14" i="5"/>
  <c r="HQ14" i="5"/>
  <c r="HS14" i="5" s="1"/>
  <c r="HT14" i="5" s="1"/>
  <c r="HV24" i="5"/>
  <c r="HU24" i="5"/>
  <c r="HR38" i="5"/>
  <c r="HQ38" i="5"/>
  <c r="HS38" i="5" s="1"/>
  <c r="HT38" i="5" s="1"/>
  <c r="HV25" i="5"/>
  <c r="HU25" i="5"/>
  <c r="HW25" i="5" s="1"/>
  <c r="HX25" i="5" s="1"/>
  <c r="HR53" i="5"/>
  <c r="HQ53" i="5"/>
  <c r="HS53" i="5" s="1"/>
  <c r="HT53" i="5" s="1"/>
  <c r="HQ16" i="5"/>
  <c r="HR16" i="5"/>
  <c r="HQ9" i="5"/>
  <c r="HR9" i="5"/>
  <c r="HR87" i="5"/>
  <c r="HQ87" i="5"/>
  <c r="HS87" i="5" s="1"/>
  <c r="HT87" i="5" s="1"/>
  <c r="HR8" i="5"/>
  <c r="HQ8" i="5"/>
  <c r="HS8" i="5" s="1"/>
  <c r="HT8" i="5" s="1"/>
  <c r="HR36" i="5"/>
  <c r="HQ36" i="5"/>
  <c r="HS36" i="5" s="1"/>
  <c r="HT36" i="5" s="1"/>
  <c r="HR51" i="5"/>
  <c r="HQ51" i="5"/>
  <c r="HS51" i="5" s="1"/>
  <c r="HT51" i="5" s="1"/>
  <c r="HQ91" i="5"/>
  <c r="HR91" i="5"/>
  <c r="HR45" i="5"/>
  <c r="HQ45" i="5"/>
  <c r="HS45" i="5" s="1"/>
  <c r="HT45" i="5" s="1"/>
  <c r="HR94" i="5"/>
  <c r="HQ94" i="5"/>
  <c r="HS94" i="5" s="1"/>
  <c r="HT94" i="5" s="1"/>
  <c r="HQ86" i="5"/>
  <c r="HR86" i="5"/>
  <c r="HR47" i="5"/>
  <c r="HQ47" i="5"/>
  <c r="HS47" i="5" s="1"/>
  <c r="HT47" i="5" s="1"/>
  <c r="HR32" i="5"/>
  <c r="HQ32" i="5"/>
  <c r="HS32" i="5" s="1"/>
  <c r="HT32" i="5" s="1"/>
  <c r="HR46" i="5"/>
  <c r="HQ46" i="5"/>
  <c r="HS46" i="5" s="1"/>
  <c r="HT46" i="5" s="1"/>
  <c r="HR55" i="5"/>
  <c r="HQ55" i="5"/>
  <c r="HS55" i="5" s="1"/>
  <c r="HT55" i="5" s="1"/>
  <c r="HR60" i="5"/>
  <c r="HQ60" i="5"/>
  <c r="HS60" i="5" s="1"/>
  <c r="HT60" i="5" s="1"/>
  <c r="HR20" i="5"/>
  <c r="HQ20" i="5"/>
  <c r="HS20" i="5" s="1"/>
  <c r="HT20" i="5" s="1"/>
  <c r="HR54" i="5"/>
  <c r="HQ54" i="5"/>
  <c r="HR56" i="5"/>
  <c r="HQ56" i="5"/>
  <c r="HS56" i="5" s="1"/>
  <c r="HT56" i="5" s="1"/>
  <c r="HR75" i="5"/>
  <c r="HQ75" i="5"/>
  <c r="HS75" i="5" s="1"/>
  <c r="HT75" i="5" s="1"/>
  <c r="HN44" i="5"/>
  <c r="HM44" i="5"/>
  <c r="HO44" i="5" s="1"/>
  <c r="HP44" i="5" s="1"/>
  <c r="HV21" i="5"/>
  <c r="HU21" i="5"/>
  <c r="HW21" i="5" s="1"/>
  <c r="HX21" i="5" s="1"/>
  <c r="HN43" i="5"/>
  <c r="HM43" i="5"/>
  <c r="HO43" i="5" s="1"/>
  <c r="HP43" i="5" s="1"/>
  <c r="HR37" i="5"/>
  <c r="HQ37" i="5"/>
  <c r="HS37" i="5" s="1"/>
  <c r="HT37" i="5" s="1"/>
  <c r="CY59" i="5"/>
  <c r="CZ59" i="5"/>
  <c r="HR88" i="5"/>
  <c r="HQ88" i="5"/>
  <c r="HS88" i="5" s="1"/>
  <c r="HT88" i="5" s="1"/>
  <c r="HN50" i="5"/>
  <c r="HM50" i="5"/>
  <c r="HO50" i="5" s="1"/>
  <c r="HP50" i="5" s="1"/>
  <c r="HR33" i="5"/>
  <c r="HQ33" i="5"/>
  <c r="HN42" i="5"/>
  <c r="HM42" i="5"/>
  <c r="HO42" i="5" s="1"/>
  <c r="HP42" i="5" s="1"/>
  <c r="HR82" i="5"/>
  <c r="HQ82" i="5"/>
  <c r="HS82" i="5" s="1"/>
  <c r="HT82" i="5" s="1"/>
  <c r="HN15" i="5"/>
  <c r="HM15" i="5"/>
  <c r="HO15" i="5" s="1"/>
  <c r="HP15" i="5" s="1"/>
  <c r="CI17" i="5"/>
  <c r="CJ17" i="5"/>
  <c r="DO35" i="5"/>
  <c r="DP35" i="5"/>
  <c r="HR70" i="5"/>
  <c r="HQ70" i="5"/>
  <c r="HS70" i="5" s="1"/>
  <c r="HT70" i="5" s="1"/>
  <c r="DG96" i="5"/>
  <c r="DH96" i="5"/>
  <c r="HN73" i="5"/>
  <c r="HM73" i="5"/>
  <c r="HO73" i="5" s="1"/>
  <c r="HP73" i="5" s="1"/>
  <c r="HN72" i="5"/>
  <c r="HM72" i="5"/>
  <c r="HO72" i="5" s="1"/>
  <c r="HP72" i="5" s="1"/>
  <c r="DC37" i="5"/>
  <c r="DD37" i="5"/>
  <c r="CY31" i="5"/>
  <c r="CZ31" i="5"/>
  <c r="CU28" i="5"/>
  <c r="CV28" i="5"/>
  <c r="CQ12" i="5"/>
  <c r="CR12" i="5"/>
  <c r="CE81" i="5"/>
  <c r="CF81" i="5"/>
  <c r="CE73" i="5"/>
  <c r="CF73" i="5"/>
  <c r="CQ22" i="5"/>
  <c r="CR22" i="5"/>
  <c r="CI38" i="5"/>
  <c r="CJ38" i="5"/>
  <c r="HI62" i="5"/>
  <c r="HJ62" i="5"/>
  <c r="CE77" i="5"/>
  <c r="CF77" i="5"/>
  <c r="CA71" i="5"/>
  <c r="CB71" i="5"/>
  <c r="CA8" i="5"/>
  <c r="CB8" i="5"/>
  <c r="CB9" i="5"/>
  <c r="CA9" i="5"/>
  <c r="CC9" i="5" s="1"/>
  <c r="CD9" i="5" s="1"/>
  <c r="CE55" i="5"/>
  <c r="CF55" i="5"/>
  <c r="CE18" i="5"/>
  <c r="CF18" i="5"/>
  <c r="CA91" i="5"/>
  <c r="CB91" i="5"/>
  <c r="CA94" i="5"/>
  <c r="CB94" i="5"/>
  <c r="CA80" i="5"/>
  <c r="CB80" i="5"/>
  <c r="CA54" i="5"/>
  <c r="CB54" i="5"/>
  <c r="CA70" i="5"/>
  <c r="CB70" i="5"/>
  <c r="DA24" i="5"/>
  <c r="DB24" i="5" s="1"/>
  <c r="HS83" i="5"/>
  <c r="HT83" i="5" s="1"/>
  <c r="CO64" i="5"/>
  <c r="CP64" i="5" s="1"/>
  <c r="HO35" i="5"/>
  <c r="HP35" i="5" s="1"/>
  <c r="HO67" i="5"/>
  <c r="HP67" i="5" s="1"/>
  <c r="HO10" i="5"/>
  <c r="HP10" i="5" s="1"/>
  <c r="HS28" i="5"/>
  <c r="HT28" i="5" s="1"/>
  <c r="HS66" i="5"/>
  <c r="HT66" i="5" s="1"/>
  <c r="HO12" i="5"/>
  <c r="HP12" i="5" s="1"/>
  <c r="HO40" i="5"/>
  <c r="HP40" i="5" s="1"/>
  <c r="HW30" i="5"/>
  <c r="HX30" i="5" s="1"/>
  <c r="DM56" i="5"/>
  <c r="DN56" i="5" s="1"/>
  <c r="CK36" i="5"/>
  <c r="CL36" i="5" s="1"/>
  <c r="CK79" i="5"/>
  <c r="CL79" i="5" s="1"/>
  <c r="HO52" i="5"/>
  <c r="HP52" i="5" s="1"/>
  <c r="HS49" i="5"/>
  <c r="HT49" i="5" s="1"/>
  <c r="HS11" i="5"/>
  <c r="HT11" i="5" s="1"/>
  <c r="DI39" i="5"/>
  <c r="DJ39" i="5" s="1"/>
  <c r="DI49" i="5"/>
  <c r="DJ49" i="5" s="1"/>
  <c r="CS13" i="5"/>
  <c r="CT13" i="5" s="1"/>
  <c r="DE66" i="5"/>
  <c r="DF66" i="5" s="1"/>
  <c r="DE10" i="5"/>
  <c r="DF10" i="5" s="1"/>
  <c r="DA53" i="5"/>
  <c r="DB53" i="5" s="1"/>
  <c r="CS52" i="5"/>
  <c r="CT52" i="5" s="1"/>
  <c r="CO88" i="5"/>
  <c r="CP88" i="5" s="1"/>
  <c r="CK95" i="5"/>
  <c r="CL95" i="5" s="1"/>
  <c r="CK20" i="5"/>
  <c r="CL20" i="5" s="1"/>
  <c r="CS74" i="5"/>
  <c r="CT74" i="5" s="1"/>
  <c r="CO14" i="5"/>
  <c r="CP14" i="5" s="1"/>
  <c r="CS29" i="5"/>
  <c r="CT29" i="5" s="1"/>
  <c r="CG19" i="5"/>
  <c r="CH19" i="5" s="1"/>
  <c r="CK30" i="5"/>
  <c r="CL30" i="5" s="1"/>
  <c r="CC42" i="5"/>
  <c r="CD42" i="5" s="1"/>
  <c r="CG40" i="5"/>
  <c r="CH40" i="5" s="1"/>
  <c r="CC65" i="5"/>
  <c r="CD65" i="5" s="1"/>
  <c r="HC89" i="5"/>
  <c r="HD89" i="5" s="1"/>
  <c r="CC58" i="5"/>
  <c r="CD58" i="5" s="1"/>
  <c r="IC48" i="5" l="1"/>
  <c r="ID48" i="5"/>
  <c r="CZ85" i="5"/>
  <c r="CY85" i="5"/>
  <c r="DA85" i="5" s="1"/>
  <c r="DB85" i="5" s="1"/>
  <c r="HW57" i="5"/>
  <c r="HX57" i="5" s="1"/>
  <c r="HS68" i="5"/>
  <c r="HT68" i="5" s="1"/>
  <c r="CS92" i="5"/>
  <c r="CT92" i="5" s="1"/>
  <c r="HS54" i="5"/>
  <c r="HT54" i="5" s="1"/>
  <c r="HS33" i="5"/>
  <c r="HT33" i="5" s="1"/>
  <c r="HV69" i="5"/>
  <c r="HU69" i="5"/>
  <c r="HW69" i="5" s="1"/>
  <c r="HX69" i="5" s="1"/>
  <c r="HN17" i="5"/>
  <c r="HM17" i="5"/>
  <c r="HO17" i="5" s="1"/>
  <c r="HP17" i="5" s="1"/>
  <c r="CJ84" i="5"/>
  <c r="CI84" i="5"/>
  <c r="CK84" i="5" s="1"/>
  <c r="CL84" i="5" s="1"/>
  <c r="DT33" i="5"/>
  <c r="DS33" i="5"/>
  <c r="DU33" i="5" s="1"/>
  <c r="DV33" i="5" s="1"/>
  <c r="DH44" i="5"/>
  <c r="DG44" i="5"/>
  <c r="HV79" i="5"/>
  <c r="HU79" i="5"/>
  <c r="HW79" i="5" s="1"/>
  <c r="HX79" i="5" s="1"/>
  <c r="CF69" i="5"/>
  <c r="CE69" i="5"/>
  <c r="CG69" i="5" s="1"/>
  <c r="CH69" i="5" s="1"/>
  <c r="CZ23" i="5"/>
  <c r="CY23" i="5"/>
  <c r="DA23" i="5" s="1"/>
  <c r="DB23" i="5" s="1"/>
  <c r="CV76" i="5"/>
  <c r="CU76" i="5"/>
  <c r="CW76" i="5" s="1"/>
  <c r="CX76" i="5" s="1"/>
  <c r="CR93" i="5"/>
  <c r="CQ93" i="5"/>
  <c r="CS93" i="5" s="1"/>
  <c r="CT93" i="5" s="1"/>
  <c r="CR15" i="5"/>
  <c r="CQ15" i="5"/>
  <c r="CS15" i="5" s="1"/>
  <c r="CT15" i="5" s="1"/>
  <c r="CN72" i="5"/>
  <c r="CM72" i="5"/>
  <c r="CO72" i="5" s="1"/>
  <c r="CP72" i="5" s="1"/>
  <c r="DL62" i="5"/>
  <c r="DK62" i="5"/>
  <c r="DM62" i="5" s="1"/>
  <c r="DN62" i="5" s="1"/>
  <c r="CZ75" i="5"/>
  <c r="CY75" i="5"/>
  <c r="DA75" i="5" s="1"/>
  <c r="DB75" i="5" s="1"/>
  <c r="DX21" i="5"/>
  <c r="DW21" i="5"/>
  <c r="DY21" i="5" s="1"/>
  <c r="DZ21" i="5" s="1"/>
  <c r="DX32" i="5"/>
  <c r="DW32" i="5"/>
  <c r="DY32" i="5" s="1"/>
  <c r="DZ32" i="5" s="1"/>
  <c r="DX34" i="5"/>
  <c r="DW34" i="5"/>
  <c r="DY34" i="5" s="1"/>
  <c r="DZ34" i="5" s="1"/>
  <c r="DX46" i="5"/>
  <c r="DW46" i="5"/>
  <c r="DY46" i="5" s="1"/>
  <c r="DZ46" i="5" s="1"/>
  <c r="DX47" i="5"/>
  <c r="DW47" i="5"/>
  <c r="DY47" i="5" s="1"/>
  <c r="DZ47" i="5" s="1"/>
  <c r="DX48" i="5"/>
  <c r="DW48" i="5"/>
  <c r="DY48" i="5" s="1"/>
  <c r="DZ48" i="5" s="1"/>
  <c r="DW67" i="5"/>
  <c r="DX67" i="5"/>
  <c r="DX60" i="5"/>
  <c r="DW60" i="5"/>
  <c r="DX61" i="5"/>
  <c r="DW61" i="5"/>
  <c r="DY61" i="5" s="1"/>
  <c r="DZ61" i="5" s="1"/>
  <c r="IX61" i="5"/>
  <c r="IW61" i="5"/>
  <c r="IY61" i="5" s="1"/>
  <c r="IZ61" i="5" s="1"/>
  <c r="IX76" i="5"/>
  <c r="IW76" i="5"/>
  <c r="IY76" i="5" s="1"/>
  <c r="IZ76" i="5" s="1"/>
  <c r="DX90" i="5"/>
  <c r="DW90" i="5"/>
  <c r="DY90" i="5" s="1"/>
  <c r="DZ90" i="5" s="1"/>
  <c r="IX96" i="5"/>
  <c r="IW96" i="5"/>
  <c r="IY96" i="5" s="1"/>
  <c r="IZ96" i="5" s="1"/>
  <c r="DT68" i="5"/>
  <c r="DS68" i="5"/>
  <c r="DU68" i="5" s="1"/>
  <c r="DV68" i="5" s="1"/>
  <c r="DP82" i="5"/>
  <c r="DO82" i="5"/>
  <c r="DQ82" i="5" s="1"/>
  <c r="DR82" i="5" s="1"/>
  <c r="DH78" i="5"/>
  <c r="DG78" i="5"/>
  <c r="DL45" i="5"/>
  <c r="DK45" i="5"/>
  <c r="DM45" i="5" s="1"/>
  <c r="DN45" i="5" s="1"/>
  <c r="DC50" i="5"/>
  <c r="DD50" i="5"/>
  <c r="DD87" i="5"/>
  <c r="DC87" i="5"/>
  <c r="DE87" i="5" s="1"/>
  <c r="DF87" i="5" s="1"/>
  <c r="DD63" i="5"/>
  <c r="DC63" i="5"/>
  <c r="DE63" i="5" s="1"/>
  <c r="DF63" i="5" s="1"/>
  <c r="ID34" i="5"/>
  <c r="IC34" i="5"/>
  <c r="IE34" i="5" s="1"/>
  <c r="IF34" i="5" s="1"/>
  <c r="CZ16" i="5"/>
  <c r="CY16" i="5"/>
  <c r="DA16" i="5" s="1"/>
  <c r="DB16" i="5" s="1"/>
  <c r="DC25" i="5"/>
  <c r="DD25" i="5"/>
  <c r="DL51" i="5"/>
  <c r="DK51" i="5"/>
  <c r="DM51" i="5" s="1"/>
  <c r="DN51" i="5" s="1"/>
  <c r="DH27" i="5"/>
  <c r="DG27" i="5"/>
  <c r="DI27" i="5" s="1"/>
  <c r="DJ27" i="5" s="1"/>
  <c r="DD75" i="5"/>
  <c r="DC75" i="5"/>
  <c r="DE75" i="5" s="1"/>
  <c r="DF75" i="5" s="1"/>
  <c r="DT57" i="5"/>
  <c r="DS57" i="5"/>
  <c r="DU57" i="5" s="1"/>
  <c r="DV57" i="5" s="1"/>
  <c r="CV83" i="5"/>
  <c r="CU83" i="5"/>
  <c r="CW83" i="5" s="1"/>
  <c r="CX83" i="5" s="1"/>
  <c r="CN43" i="5"/>
  <c r="CM43" i="5"/>
  <c r="CO43" i="5" s="1"/>
  <c r="CP43" i="5" s="1"/>
  <c r="CN11" i="5"/>
  <c r="CM11" i="5"/>
  <c r="CO11" i="5" s="1"/>
  <c r="CP11" i="5" s="1"/>
  <c r="DD41" i="5"/>
  <c r="DC41" i="5"/>
  <c r="DE41" i="5" s="1"/>
  <c r="DF41" i="5" s="1"/>
  <c r="HU22" i="5"/>
  <c r="HV22" i="5"/>
  <c r="HU92" i="5"/>
  <c r="HV92" i="5"/>
  <c r="DD26" i="5"/>
  <c r="DC26" i="5"/>
  <c r="DE26" i="5" s="1"/>
  <c r="DF26" i="5" s="1"/>
  <c r="HY39" i="5"/>
  <c r="HZ39" i="5"/>
  <c r="HU13" i="5"/>
  <c r="HV13" i="5"/>
  <c r="HV41" i="5"/>
  <c r="HU41" i="5"/>
  <c r="HW41" i="5" s="1"/>
  <c r="HX41" i="5" s="1"/>
  <c r="HV63" i="5"/>
  <c r="HU63" i="5"/>
  <c r="HW63" i="5" s="1"/>
  <c r="HX63" i="5" s="1"/>
  <c r="HU78" i="5"/>
  <c r="HV78" i="5"/>
  <c r="HU81" i="5"/>
  <c r="HV81" i="5"/>
  <c r="HU74" i="5"/>
  <c r="HV74" i="5"/>
  <c r="HU14" i="5"/>
  <c r="HV14" i="5"/>
  <c r="HU38" i="5"/>
  <c r="HV38" i="5"/>
  <c r="HY25" i="5"/>
  <c r="HZ25" i="5"/>
  <c r="HU53" i="5"/>
  <c r="HV53" i="5"/>
  <c r="HU87" i="5"/>
  <c r="HV87" i="5"/>
  <c r="HU8" i="5"/>
  <c r="HV8" i="5"/>
  <c r="HU36" i="5"/>
  <c r="HV36" i="5"/>
  <c r="HU51" i="5"/>
  <c r="HV51" i="5"/>
  <c r="HU45" i="5"/>
  <c r="HV45" i="5"/>
  <c r="HU94" i="5"/>
  <c r="HV94" i="5"/>
  <c r="HU47" i="5"/>
  <c r="HV47" i="5"/>
  <c r="HU32" i="5"/>
  <c r="HV32" i="5"/>
  <c r="HU46" i="5"/>
  <c r="HV46" i="5"/>
  <c r="HU55" i="5"/>
  <c r="HV55" i="5"/>
  <c r="HU60" i="5"/>
  <c r="HV60" i="5"/>
  <c r="HU20" i="5"/>
  <c r="HV20" i="5"/>
  <c r="HU56" i="5"/>
  <c r="HV56" i="5"/>
  <c r="HU75" i="5"/>
  <c r="HV75" i="5"/>
  <c r="HQ44" i="5"/>
  <c r="HR44" i="5"/>
  <c r="HY21" i="5"/>
  <c r="HZ21" i="5"/>
  <c r="HQ43" i="5"/>
  <c r="HR43" i="5"/>
  <c r="HU37" i="5"/>
  <c r="HV37" i="5"/>
  <c r="HU88" i="5"/>
  <c r="HV88" i="5"/>
  <c r="HQ50" i="5"/>
  <c r="HR50" i="5"/>
  <c r="HR42" i="5"/>
  <c r="HQ42" i="5"/>
  <c r="HS42" i="5" s="1"/>
  <c r="HT42" i="5" s="1"/>
  <c r="HU82" i="5"/>
  <c r="HV82" i="5"/>
  <c r="HQ15" i="5"/>
  <c r="HR15" i="5"/>
  <c r="HU70" i="5"/>
  <c r="HV70" i="5"/>
  <c r="HQ73" i="5"/>
  <c r="HR73" i="5"/>
  <c r="HQ72" i="5"/>
  <c r="HR72" i="5"/>
  <c r="CF9" i="5"/>
  <c r="CE9" i="5"/>
  <c r="CG9" i="5" s="1"/>
  <c r="CH9" i="5" s="1"/>
  <c r="DC24" i="5"/>
  <c r="DD24" i="5"/>
  <c r="HV83" i="5"/>
  <c r="HU83" i="5"/>
  <c r="HW83" i="5" s="1"/>
  <c r="HX83" i="5" s="1"/>
  <c r="CQ64" i="5"/>
  <c r="CR64" i="5"/>
  <c r="HR35" i="5"/>
  <c r="HQ35" i="5"/>
  <c r="HS35" i="5" s="1"/>
  <c r="HT35" i="5" s="1"/>
  <c r="HV58" i="5"/>
  <c r="HU58" i="5"/>
  <c r="HW58" i="5" s="1"/>
  <c r="HX58" i="5" s="1"/>
  <c r="HR67" i="5"/>
  <c r="HQ67" i="5"/>
  <c r="HS67" i="5" s="1"/>
  <c r="HT67" i="5" s="1"/>
  <c r="HQ10" i="5"/>
  <c r="HR10" i="5"/>
  <c r="HV28" i="5"/>
  <c r="HU28" i="5"/>
  <c r="HW28" i="5" s="1"/>
  <c r="HX28" i="5" s="1"/>
  <c r="HV66" i="5"/>
  <c r="HU66" i="5"/>
  <c r="HR12" i="5"/>
  <c r="HQ12" i="5"/>
  <c r="HS12" i="5" s="1"/>
  <c r="HT12" i="5" s="1"/>
  <c r="HQ40" i="5"/>
  <c r="HR40" i="5"/>
  <c r="HZ30" i="5"/>
  <c r="HY30" i="5"/>
  <c r="IA30" i="5" s="1"/>
  <c r="IB30" i="5" s="1"/>
  <c r="DG89" i="5"/>
  <c r="DH89" i="5"/>
  <c r="DO56" i="5"/>
  <c r="DP56" i="5"/>
  <c r="CM36" i="5"/>
  <c r="CN36" i="5"/>
  <c r="CM79" i="5"/>
  <c r="CN79" i="5"/>
  <c r="HR52" i="5"/>
  <c r="HQ52" i="5"/>
  <c r="HS52" i="5" s="1"/>
  <c r="HT52" i="5" s="1"/>
  <c r="HV49" i="5"/>
  <c r="HU49" i="5"/>
  <c r="HW49" i="5" s="1"/>
  <c r="HX49" i="5" s="1"/>
  <c r="HV11" i="5"/>
  <c r="HU11" i="5"/>
  <c r="HW11" i="5" s="1"/>
  <c r="HX11" i="5" s="1"/>
  <c r="DK39" i="5"/>
  <c r="DL39" i="5"/>
  <c r="DK49" i="5"/>
  <c r="DL49" i="5"/>
  <c r="CU13" i="5"/>
  <c r="CV13" i="5"/>
  <c r="DG66" i="5"/>
  <c r="DH66" i="5"/>
  <c r="DG10" i="5"/>
  <c r="DH10" i="5"/>
  <c r="DC53" i="5"/>
  <c r="DD53" i="5"/>
  <c r="CU52" i="5"/>
  <c r="CV52" i="5"/>
  <c r="CQ88" i="5"/>
  <c r="CR88" i="5"/>
  <c r="CM95" i="5"/>
  <c r="CN95" i="5"/>
  <c r="CM20" i="5"/>
  <c r="CN20" i="5"/>
  <c r="CU74" i="5"/>
  <c r="CV74" i="5"/>
  <c r="CQ14" i="5"/>
  <c r="CR14" i="5"/>
  <c r="CU29" i="5"/>
  <c r="CV29" i="5"/>
  <c r="CI19" i="5"/>
  <c r="CJ19" i="5"/>
  <c r="CM30" i="5"/>
  <c r="CN30" i="5"/>
  <c r="CF42" i="5"/>
  <c r="CE42" i="5"/>
  <c r="CG42" i="5" s="1"/>
  <c r="CH42" i="5" s="1"/>
  <c r="CJ40" i="5"/>
  <c r="CI40" i="5"/>
  <c r="CK40" i="5" s="1"/>
  <c r="CL40" i="5" s="1"/>
  <c r="CE65" i="5"/>
  <c r="CF65" i="5"/>
  <c r="HE89" i="5"/>
  <c r="HF89" i="5"/>
  <c r="CE58" i="5"/>
  <c r="CF58" i="5"/>
  <c r="HW27" i="5"/>
  <c r="HX27" i="5" s="1"/>
  <c r="HW26" i="5"/>
  <c r="HX26" i="5" s="1"/>
  <c r="HS65" i="5"/>
  <c r="HT65" i="5" s="1"/>
  <c r="IM90" i="5"/>
  <c r="IN90" i="5" s="1"/>
  <c r="HS80" i="5"/>
  <c r="HT80" i="5" s="1"/>
  <c r="HS77" i="5"/>
  <c r="HT77" i="5" s="1"/>
  <c r="HS95" i="5"/>
  <c r="HT95" i="5" s="1"/>
  <c r="HS31" i="5"/>
  <c r="HT31" i="5" s="1"/>
  <c r="HS71" i="5"/>
  <c r="HT71" i="5" s="1"/>
  <c r="HW19" i="5"/>
  <c r="HX19" i="5" s="1"/>
  <c r="HS64" i="5"/>
  <c r="HT64" i="5" s="1"/>
  <c r="HS84" i="5"/>
  <c r="HT84" i="5" s="1"/>
  <c r="DA59" i="5"/>
  <c r="DB59" i="5" s="1"/>
  <c r="HS85" i="5"/>
  <c r="HT85" i="5" s="1"/>
  <c r="HS59" i="5"/>
  <c r="HT59" i="5" s="1"/>
  <c r="HS93" i="5"/>
  <c r="HT93" i="5" s="1"/>
  <c r="HW29" i="5"/>
  <c r="HX29" i="5" s="1"/>
  <c r="HS18" i="5"/>
  <c r="HT18" i="5" s="1"/>
  <c r="HO23" i="5"/>
  <c r="HP23" i="5" s="1"/>
  <c r="DE86" i="5"/>
  <c r="DF86" i="5" s="1"/>
  <c r="HW24" i="5"/>
  <c r="HX24" i="5" s="1"/>
  <c r="HS16" i="5"/>
  <c r="HT16" i="5" s="1"/>
  <c r="HS9" i="5"/>
  <c r="HT9" i="5" s="1"/>
  <c r="HS91" i="5"/>
  <c r="HT91" i="5" s="1"/>
  <c r="HS86" i="5"/>
  <c r="HT86" i="5" s="1"/>
  <c r="CK17" i="5"/>
  <c r="CL17" i="5" s="1"/>
  <c r="DQ35" i="5"/>
  <c r="DR35" i="5" s="1"/>
  <c r="DI96" i="5"/>
  <c r="DJ96" i="5" s="1"/>
  <c r="DE37" i="5"/>
  <c r="DF37" i="5" s="1"/>
  <c r="DA31" i="5"/>
  <c r="DB31" i="5" s="1"/>
  <c r="CW28" i="5"/>
  <c r="CX28" i="5" s="1"/>
  <c r="CS12" i="5"/>
  <c r="CT12" i="5" s="1"/>
  <c r="CG81" i="5"/>
  <c r="CH81" i="5" s="1"/>
  <c r="CG73" i="5"/>
  <c r="CH73" i="5" s="1"/>
  <c r="CS22" i="5"/>
  <c r="CT22" i="5" s="1"/>
  <c r="CK38" i="5"/>
  <c r="CL38" i="5" s="1"/>
  <c r="HK62" i="5"/>
  <c r="HL62" i="5" s="1"/>
  <c r="CG77" i="5"/>
  <c r="CH77" i="5" s="1"/>
  <c r="CC71" i="5"/>
  <c r="CD71" i="5" s="1"/>
  <c r="CC8" i="5"/>
  <c r="CD8" i="5" s="1"/>
  <c r="CG55" i="5"/>
  <c r="CH55" i="5" s="1"/>
  <c r="CG18" i="5"/>
  <c r="CH18" i="5" s="1"/>
  <c r="CC91" i="5"/>
  <c r="CD91" i="5" s="1"/>
  <c r="CC94" i="5"/>
  <c r="CD94" i="5" s="1"/>
  <c r="CC80" i="5"/>
  <c r="CD80" i="5" s="1"/>
  <c r="CC54" i="5"/>
  <c r="CD54" i="5" s="1"/>
  <c r="CC70" i="5"/>
  <c r="CD70" i="5" s="1"/>
  <c r="DC85" i="5" l="1"/>
  <c r="DD85" i="5"/>
  <c r="IE48" i="5"/>
  <c r="IF48" i="5" s="1"/>
  <c r="DI44" i="5"/>
  <c r="DJ44" i="5" s="1"/>
  <c r="DY60" i="5"/>
  <c r="DZ60" i="5" s="1"/>
  <c r="DI78" i="5"/>
  <c r="DJ78" i="5" s="1"/>
  <c r="DE50" i="5"/>
  <c r="DF50" i="5" s="1"/>
  <c r="HW81" i="5"/>
  <c r="HX81" i="5" s="1"/>
  <c r="HS43" i="5"/>
  <c r="HT43" i="5" s="1"/>
  <c r="HW66" i="5"/>
  <c r="HX66" i="5" s="1"/>
  <c r="DI89" i="5"/>
  <c r="DJ89" i="5" s="1"/>
  <c r="DI10" i="5"/>
  <c r="DJ10" i="5" s="1"/>
  <c r="CO30" i="5"/>
  <c r="CP30" i="5" s="1"/>
  <c r="HY57" i="5"/>
  <c r="IA57" i="5" s="1"/>
  <c r="IB57" i="5" s="1"/>
  <c r="HZ57" i="5"/>
  <c r="HV68" i="5"/>
  <c r="HU68" i="5"/>
  <c r="HW68" i="5" s="1"/>
  <c r="HX68" i="5" s="1"/>
  <c r="CU92" i="5"/>
  <c r="CV92" i="5"/>
  <c r="HV54" i="5"/>
  <c r="HU54" i="5"/>
  <c r="HW54" i="5" s="1"/>
  <c r="HX54" i="5" s="1"/>
  <c r="HV33" i="5"/>
  <c r="HU33" i="5"/>
  <c r="HZ69" i="5"/>
  <c r="HY69" i="5"/>
  <c r="IA69" i="5" s="1"/>
  <c r="IB69" i="5" s="1"/>
  <c r="HR17" i="5"/>
  <c r="HQ17" i="5"/>
  <c r="HS17" i="5" s="1"/>
  <c r="HT17" i="5" s="1"/>
  <c r="CM84" i="5"/>
  <c r="CN84" i="5"/>
  <c r="DW33" i="5"/>
  <c r="DX33" i="5"/>
  <c r="HY79" i="5"/>
  <c r="HZ79" i="5"/>
  <c r="CJ69" i="5"/>
  <c r="CI69" i="5"/>
  <c r="CK69" i="5" s="1"/>
  <c r="CL69" i="5" s="1"/>
  <c r="DC23" i="5"/>
  <c r="DD23" i="5"/>
  <c r="CY76" i="5"/>
  <c r="CZ76" i="5"/>
  <c r="CU93" i="5"/>
  <c r="CV93" i="5"/>
  <c r="CU15" i="5"/>
  <c r="CV15" i="5"/>
  <c r="CQ72" i="5"/>
  <c r="CR72" i="5"/>
  <c r="DO62" i="5"/>
  <c r="DP62" i="5"/>
  <c r="EB21" i="5"/>
  <c r="EA21" i="5"/>
  <c r="EC21" i="5" s="1"/>
  <c r="ED21" i="5" s="1"/>
  <c r="EB32" i="5"/>
  <c r="EA32" i="5"/>
  <c r="EC32" i="5" s="1"/>
  <c r="ED32" i="5" s="1"/>
  <c r="EB34" i="5"/>
  <c r="EA34" i="5"/>
  <c r="EC34" i="5" s="1"/>
  <c r="ED34" i="5" s="1"/>
  <c r="EB46" i="5"/>
  <c r="EA46" i="5"/>
  <c r="EC46" i="5" s="1"/>
  <c r="ED46" i="5" s="1"/>
  <c r="EB47" i="5"/>
  <c r="EA47" i="5"/>
  <c r="EC47" i="5" s="1"/>
  <c r="ED47" i="5" s="1"/>
  <c r="EB48" i="5"/>
  <c r="EA48" i="5"/>
  <c r="EC48" i="5" s="1"/>
  <c r="ED48" i="5" s="1"/>
  <c r="EB60" i="5"/>
  <c r="EA60" i="5"/>
  <c r="EC60" i="5" s="1"/>
  <c r="ED60" i="5" s="1"/>
  <c r="EB61" i="5"/>
  <c r="EA61" i="5"/>
  <c r="EC61" i="5" s="1"/>
  <c r="ED61" i="5" s="1"/>
  <c r="JB61" i="5"/>
  <c r="JA61" i="5"/>
  <c r="JC61" i="5" s="1"/>
  <c r="JD61" i="5" s="1"/>
  <c r="JB76" i="5"/>
  <c r="JA76" i="5"/>
  <c r="JC76" i="5" s="1"/>
  <c r="JD76" i="5" s="1"/>
  <c r="EB90" i="5"/>
  <c r="EA90" i="5"/>
  <c r="EC90" i="5" s="1"/>
  <c r="ED90" i="5" s="1"/>
  <c r="JB96" i="5"/>
  <c r="JA96" i="5"/>
  <c r="JC96" i="5" s="1"/>
  <c r="JD96" i="5" s="1"/>
  <c r="DX68" i="5"/>
  <c r="DW68" i="5"/>
  <c r="DY68" i="5" s="1"/>
  <c r="DZ68" i="5" s="1"/>
  <c r="DT82" i="5"/>
  <c r="DS82" i="5"/>
  <c r="DU82" i="5" s="1"/>
  <c r="DV82" i="5" s="1"/>
  <c r="DP45" i="5"/>
  <c r="DO45" i="5"/>
  <c r="DQ45" i="5" s="1"/>
  <c r="DR45" i="5" s="1"/>
  <c r="DH87" i="5"/>
  <c r="DG87" i="5"/>
  <c r="DI87" i="5" s="1"/>
  <c r="DJ87" i="5" s="1"/>
  <c r="DH63" i="5"/>
  <c r="DG63" i="5"/>
  <c r="DI63" i="5" s="1"/>
  <c r="DJ63" i="5" s="1"/>
  <c r="IH34" i="5"/>
  <c r="IG34" i="5"/>
  <c r="II34" i="5" s="1"/>
  <c r="IJ34" i="5" s="1"/>
  <c r="DD16" i="5"/>
  <c r="DC16" i="5"/>
  <c r="DE16" i="5" s="1"/>
  <c r="DF16" i="5" s="1"/>
  <c r="DP51" i="5"/>
  <c r="DO51" i="5"/>
  <c r="DQ51" i="5" s="1"/>
  <c r="DR51" i="5" s="1"/>
  <c r="DK27" i="5"/>
  <c r="DL27" i="5"/>
  <c r="DH75" i="5"/>
  <c r="DG75" i="5"/>
  <c r="DX57" i="5"/>
  <c r="DW57" i="5"/>
  <c r="DY57" i="5" s="1"/>
  <c r="DZ57" i="5" s="1"/>
  <c r="CZ83" i="5"/>
  <c r="CY83" i="5"/>
  <c r="DA83" i="5" s="1"/>
  <c r="DB83" i="5" s="1"/>
  <c r="CR43" i="5"/>
  <c r="CQ43" i="5"/>
  <c r="CS43" i="5" s="1"/>
  <c r="CT43" i="5" s="1"/>
  <c r="IC69" i="5"/>
  <c r="ID69" i="5"/>
  <c r="CR11" i="5"/>
  <c r="CQ11" i="5"/>
  <c r="CS11" i="5" s="1"/>
  <c r="CT11" i="5" s="1"/>
  <c r="DH41" i="5"/>
  <c r="DG41" i="5"/>
  <c r="DI41" i="5" s="1"/>
  <c r="DJ41" i="5" s="1"/>
  <c r="HU17" i="5"/>
  <c r="HV17" i="5"/>
  <c r="DG26" i="5"/>
  <c r="DH26" i="5"/>
  <c r="HZ41" i="5"/>
  <c r="HY41" i="5"/>
  <c r="IA41" i="5" s="1"/>
  <c r="IB41" i="5" s="1"/>
  <c r="HY63" i="5"/>
  <c r="HZ63" i="5"/>
  <c r="HV42" i="5"/>
  <c r="HU42" i="5"/>
  <c r="HW42" i="5" s="1"/>
  <c r="HX42" i="5" s="1"/>
  <c r="CJ9" i="5"/>
  <c r="CI9" i="5"/>
  <c r="CK9" i="5" s="1"/>
  <c r="CL9" i="5" s="1"/>
  <c r="HZ83" i="5"/>
  <c r="HY83" i="5"/>
  <c r="IA83" i="5" s="1"/>
  <c r="IB83" i="5" s="1"/>
  <c r="HV35" i="5"/>
  <c r="HU35" i="5"/>
  <c r="HW35" i="5" s="1"/>
  <c r="HX35" i="5" s="1"/>
  <c r="HY58" i="5"/>
  <c r="HZ58" i="5"/>
  <c r="HU67" i="5"/>
  <c r="HV67" i="5"/>
  <c r="HY28" i="5"/>
  <c r="HZ28" i="5"/>
  <c r="HV12" i="5"/>
  <c r="HU12" i="5"/>
  <c r="HW12" i="5" s="1"/>
  <c r="HX12" i="5" s="1"/>
  <c r="IC30" i="5"/>
  <c r="ID30" i="5"/>
  <c r="HV52" i="5"/>
  <c r="HU52" i="5"/>
  <c r="HW52" i="5" s="1"/>
  <c r="HX52" i="5" s="1"/>
  <c r="HY49" i="5"/>
  <c r="HZ49" i="5"/>
  <c r="HZ11" i="5"/>
  <c r="HY11" i="5"/>
  <c r="IA11" i="5" s="1"/>
  <c r="IB11" i="5" s="1"/>
  <c r="CJ42" i="5"/>
  <c r="CI42" i="5"/>
  <c r="CK42" i="5" s="1"/>
  <c r="CL42" i="5" s="1"/>
  <c r="CN40" i="5"/>
  <c r="CM40" i="5"/>
  <c r="CO40" i="5" s="1"/>
  <c r="CP40" i="5" s="1"/>
  <c r="HZ27" i="5"/>
  <c r="HY27" i="5"/>
  <c r="IA27" i="5" s="1"/>
  <c r="IB27" i="5" s="1"/>
  <c r="HZ26" i="5"/>
  <c r="HY26" i="5"/>
  <c r="IA26" i="5" s="1"/>
  <c r="IB26" i="5" s="1"/>
  <c r="HV65" i="5"/>
  <c r="HU65" i="5"/>
  <c r="HW65" i="5" s="1"/>
  <c r="HX65" i="5" s="1"/>
  <c r="IP90" i="5"/>
  <c r="IO90" i="5"/>
  <c r="IQ90" i="5" s="1"/>
  <c r="IR90" i="5" s="1"/>
  <c r="HV80" i="5"/>
  <c r="HU80" i="5"/>
  <c r="HW80" i="5" s="1"/>
  <c r="HX80" i="5" s="1"/>
  <c r="HV77" i="5"/>
  <c r="HU77" i="5"/>
  <c r="HW77" i="5" s="1"/>
  <c r="HX77" i="5" s="1"/>
  <c r="HV95" i="5"/>
  <c r="HU95" i="5"/>
  <c r="HW95" i="5" s="1"/>
  <c r="HX95" i="5" s="1"/>
  <c r="HV31" i="5"/>
  <c r="HU31" i="5"/>
  <c r="HW31" i="5" s="1"/>
  <c r="HX31" i="5" s="1"/>
  <c r="HV71" i="5"/>
  <c r="HU71" i="5"/>
  <c r="HW71" i="5" s="1"/>
  <c r="HX71" i="5" s="1"/>
  <c r="HZ19" i="5"/>
  <c r="HY19" i="5"/>
  <c r="IA19" i="5" s="1"/>
  <c r="IB19" i="5" s="1"/>
  <c r="HV64" i="5"/>
  <c r="HU64" i="5"/>
  <c r="HV84" i="5"/>
  <c r="HU84" i="5"/>
  <c r="HW84" i="5" s="1"/>
  <c r="HX84" i="5" s="1"/>
  <c r="DC59" i="5"/>
  <c r="DD59" i="5"/>
  <c r="HV85" i="5"/>
  <c r="HU85" i="5"/>
  <c r="HW85" i="5" s="1"/>
  <c r="HX85" i="5" s="1"/>
  <c r="HV59" i="5"/>
  <c r="HU59" i="5"/>
  <c r="HW59" i="5" s="1"/>
  <c r="HX59" i="5" s="1"/>
  <c r="HV93" i="5"/>
  <c r="HU93" i="5"/>
  <c r="HW93" i="5" s="1"/>
  <c r="HX93" i="5" s="1"/>
  <c r="HY29" i="5"/>
  <c r="HZ29" i="5"/>
  <c r="HV18" i="5"/>
  <c r="HU18" i="5"/>
  <c r="HW18" i="5" s="1"/>
  <c r="HX18" i="5" s="1"/>
  <c r="HR23" i="5"/>
  <c r="HQ23" i="5"/>
  <c r="HS23" i="5" s="1"/>
  <c r="HT23" i="5" s="1"/>
  <c r="DG86" i="5"/>
  <c r="DH86" i="5"/>
  <c r="HZ24" i="5"/>
  <c r="HY24" i="5"/>
  <c r="IA24" i="5" s="1"/>
  <c r="IB24" i="5" s="1"/>
  <c r="HU16" i="5"/>
  <c r="HV16" i="5"/>
  <c r="HV9" i="5"/>
  <c r="HU9" i="5"/>
  <c r="HW9" i="5" s="1"/>
  <c r="HX9" i="5" s="1"/>
  <c r="HV91" i="5"/>
  <c r="HU91" i="5"/>
  <c r="HW91" i="5" s="1"/>
  <c r="HX91" i="5" s="1"/>
  <c r="HV86" i="5"/>
  <c r="HU86" i="5"/>
  <c r="CM17" i="5"/>
  <c r="CN17" i="5"/>
  <c r="DS35" i="5"/>
  <c r="DT35" i="5"/>
  <c r="DK96" i="5"/>
  <c r="DL96" i="5"/>
  <c r="DG37" i="5"/>
  <c r="DH37" i="5"/>
  <c r="DC31" i="5"/>
  <c r="DD31" i="5"/>
  <c r="CY28" i="5"/>
  <c r="CZ28" i="5"/>
  <c r="CU12" i="5"/>
  <c r="CV12" i="5"/>
  <c r="CI81" i="5"/>
  <c r="CJ81" i="5"/>
  <c r="CJ73" i="5"/>
  <c r="CI73" i="5"/>
  <c r="CU22" i="5"/>
  <c r="CV22" i="5"/>
  <c r="CM38" i="5"/>
  <c r="CN38" i="5"/>
  <c r="HM62" i="5"/>
  <c r="HN62" i="5"/>
  <c r="CI77" i="5"/>
  <c r="CJ77" i="5"/>
  <c r="CE71" i="5"/>
  <c r="CF71" i="5"/>
  <c r="CE8" i="5"/>
  <c r="CF8" i="5"/>
  <c r="CI55" i="5"/>
  <c r="CJ55" i="5"/>
  <c r="CI18" i="5"/>
  <c r="CJ18" i="5"/>
  <c r="CE91" i="5"/>
  <c r="CF91" i="5"/>
  <c r="CE94" i="5"/>
  <c r="CF94" i="5"/>
  <c r="CE80" i="5"/>
  <c r="CF80" i="5"/>
  <c r="CE54" i="5"/>
  <c r="CF54" i="5"/>
  <c r="CE70" i="5"/>
  <c r="CF70" i="5"/>
  <c r="IA79" i="5"/>
  <c r="IB79" i="5" s="1"/>
  <c r="HW22" i="5"/>
  <c r="HX22" i="5" s="1"/>
  <c r="HW92" i="5"/>
  <c r="HX92" i="5" s="1"/>
  <c r="IA39" i="5"/>
  <c r="IB39" i="5" s="1"/>
  <c r="HW13" i="5"/>
  <c r="HX13" i="5" s="1"/>
  <c r="HW78" i="5"/>
  <c r="HX78" i="5" s="1"/>
  <c r="HW74" i="5"/>
  <c r="HX74" i="5" s="1"/>
  <c r="HW14" i="5"/>
  <c r="HX14" i="5" s="1"/>
  <c r="HW38" i="5"/>
  <c r="HX38" i="5" s="1"/>
  <c r="IA25" i="5"/>
  <c r="IB25" i="5" s="1"/>
  <c r="HW53" i="5"/>
  <c r="HX53" i="5" s="1"/>
  <c r="HW87" i="5"/>
  <c r="HX87" i="5" s="1"/>
  <c r="HW8" i="5"/>
  <c r="HX8" i="5" s="1"/>
  <c r="HW36" i="5"/>
  <c r="HX36" i="5" s="1"/>
  <c r="HW51" i="5"/>
  <c r="HX51" i="5" s="1"/>
  <c r="HW45" i="5"/>
  <c r="HX45" i="5" s="1"/>
  <c r="HW94" i="5"/>
  <c r="HX94" i="5" s="1"/>
  <c r="HW47" i="5"/>
  <c r="HX47" i="5" s="1"/>
  <c r="HW32" i="5"/>
  <c r="HX32" i="5" s="1"/>
  <c r="HW46" i="5"/>
  <c r="HX46" i="5" s="1"/>
  <c r="HW55" i="5"/>
  <c r="HX55" i="5" s="1"/>
  <c r="HW60" i="5"/>
  <c r="HX60" i="5" s="1"/>
  <c r="HW20" i="5"/>
  <c r="HX20" i="5" s="1"/>
  <c r="HW56" i="5"/>
  <c r="HX56" i="5" s="1"/>
  <c r="HW75" i="5"/>
  <c r="HX75" i="5" s="1"/>
  <c r="HS44" i="5"/>
  <c r="HT44" i="5" s="1"/>
  <c r="IA21" i="5"/>
  <c r="IB21" i="5" s="1"/>
  <c r="HW37" i="5"/>
  <c r="HX37" i="5" s="1"/>
  <c r="HW88" i="5"/>
  <c r="HX88" i="5" s="1"/>
  <c r="HS50" i="5"/>
  <c r="HT50" i="5" s="1"/>
  <c r="HW33" i="5"/>
  <c r="HX33" i="5" s="1"/>
  <c r="DM39" i="5"/>
  <c r="DN39" i="5" s="1"/>
  <c r="DM49" i="5"/>
  <c r="DN49" i="5" s="1"/>
  <c r="CW13" i="5"/>
  <c r="CX13" i="5" s="1"/>
  <c r="DI66" i="5"/>
  <c r="DJ66" i="5" s="1"/>
  <c r="DQ56" i="5"/>
  <c r="DR56" i="5" s="1"/>
  <c r="CO36" i="5"/>
  <c r="CP36" i="5" s="1"/>
  <c r="CO79" i="5"/>
  <c r="CP79" i="5" s="1"/>
  <c r="HW82" i="5"/>
  <c r="HX82" i="5" s="1"/>
  <c r="HS15" i="5"/>
  <c r="HT15" i="5" s="1"/>
  <c r="HW70" i="5"/>
  <c r="HX70" i="5" s="1"/>
  <c r="HS73" i="5"/>
  <c r="HT73" i="5" s="1"/>
  <c r="HS72" i="5"/>
  <c r="HT72" i="5" s="1"/>
  <c r="DE24" i="5"/>
  <c r="DF24" i="5" s="1"/>
  <c r="DE25" i="5"/>
  <c r="DF25" i="5" s="1"/>
  <c r="CS64" i="5"/>
  <c r="CT64" i="5" s="1"/>
  <c r="HS40" i="5"/>
  <c r="HT40" i="5" s="1"/>
  <c r="DY67" i="5"/>
  <c r="DZ67" i="5" s="1"/>
  <c r="HS10" i="5"/>
  <c r="HT10" i="5" s="1"/>
  <c r="DE53" i="5"/>
  <c r="DF53" i="5" s="1"/>
  <c r="CW52" i="5"/>
  <c r="CX52" i="5" s="1"/>
  <c r="CS88" i="5"/>
  <c r="CT88" i="5" s="1"/>
  <c r="CO95" i="5"/>
  <c r="CP95" i="5" s="1"/>
  <c r="CO20" i="5"/>
  <c r="CP20" i="5" s="1"/>
  <c r="CW74" i="5"/>
  <c r="CX74" i="5" s="1"/>
  <c r="CS14" i="5"/>
  <c r="CT14" i="5" s="1"/>
  <c r="CW29" i="5"/>
  <c r="CX29" i="5" s="1"/>
  <c r="CK19" i="5"/>
  <c r="CL19" i="5" s="1"/>
  <c r="CG65" i="5"/>
  <c r="CH65" i="5" s="1"/>
  <c r="HG89" i="5"/>
  <c r="HH89" i="5" s="1"/>
  <c r="CG58" i="5"/>
  <c r="CH58" i="5" s="1"/>
  <c r="IH48" i="5" l="1"/>
  <c r="IG48" i="5"/>
  <c r="II48" i="5" s="1"/>
  <c r="IJ48" i="5" s="1"/>
  <c r="DK44" i="5"/>
  <c r="DL44" i="5"/>
  <c r="DE85" i="5"/>
  <c r="DF85" i="5" s="1"/>
  <c r="CO84" i="5"/>
  <c r="CP84" i="5" s="1"/>
  <c r="DY33" i="5"/>
  <c r="DZ33" i="5" s="1"/>
  <c r="DE23" i="5"/>
  <c r="DF23" i="5" s="1"/>
  <c r="DA76" i="5"/>
  <c r="DB76" i="5" s="1"/>
  <c r="CW93" i="5"/>
  <c r="CX93" i="5" s="1"/>
  <c r="CW15" i="5"/>
  <c r="CX15" i="5" s="1"/>
  <c r="CS72" i="5"/>
  <c r="CT72" i="5" s="1"/>
  <c r="DQ62" i="5"/>
  <c r="DR62" i="5" s="1"/>
  <c r="HW67" i="5"/>
  <c r="HX67" i="5" s="1"/>
  <c r="HW64" i="5"/>
  <c r="HX64" i="5" s="1"/>
  <c r="CW92" i="5"/>
  <c r="CX92" i="5" s="1"/>
  <c r="DL78" i="5"/>
  <c r="DK78" i="5"/>
  <c r="DM78" i="5" s="1"/>
  <c r="DN78" i="5" s="1"/>
  <c r="DG50" i="5"/>
  <c r="DH50" i="5"/>
  <c r="HY81" i="5"/>
  <c r="HZ81" i="5"/>
  <c r="HU43" i="5"/>
  <c r="HV43" i="5"/>
  <c r="HY66" i="5"/>
  <c r="HZ66" i="5"/>
  <c r="DL89" i="5"/>
  <c r="DK89" i="5"/>
  <c r="DM89" i="5" s="1"/>
  <c r="DN89" i="5" s="1"/>
  <c r="DL10" i="5"/>
  <c r="DK10" i="5"/>
  <c r="DM10" i="5" s="1"/>
  <c r="DN10" i="5" s="1"/>
  <c r="CR30" i="5"/>
  <c r="CQ30" i="5"/>
  <c r="CS30" i="5" s="1"/>
  <c r="CT30" i="5" s="1"/>
  <c r="CN69" i="5"/>
  <c r="CM69" i="5"/>
  <c r="CO69" i="5" s="1"/>
  <c r="CP69" i="5" s="1"/>
  <c r="EF21" i="5"/>
  <c r="EE21" i="5"/>
  <c r="EG21" i="5" s="1"/>
  <c r="EH21" i="5" s="1"/>
  <c r="EF32" i="5"/>
  <c r="EE32" i="5"/>
  <c r="EG32" i="5" s="1"/>
  <c r="EH32" i="5" s="1"/>
  <c r="EF34" i="5"/>
  <c r="EE34" i="5"/>
  <c r="EG34" i="5" s="1"/>
  <c r="EH34" i="5" s="1"/>
  <c r="EF46" i="5"/>
  <c r="EE46" i="5"/>
  <c r="EG46" i="5" s="1"/>
  <c r="EH46" i="5" s="1"/>
  <c r="EF47" i="5"/>
  <c r="EE47" i="5"/>
  <c r="EG47" i="5" s="1"/>
  <c r="EH47" i="5" s="1"/>
  <c r="EF48" i="5"/>
  <c r="EE48" i="5"/>
  <c r="EG48" i="5" s="1"/>
  <c r="EH48" i="5" s="1"/>
  <c r="EF60" i="5"/>
  <c r="EE60" i="5"/>
  <c r="EG60" i="5" s="1"/>
  <c r="EH60" i="5" s="1"/>
  <c r="EF61" i="5"/>
  <c r="EE61" i="5"/>
  <c r="EG61" i="5" s="1"/>
  <c r="EH61" i="5" s="1"/>
  <c r="JF61" i="5"/>
  <c r="JE61" i="5"/>
  <c r="JG61" i="5" s="1"/>
  <c r="JH61" i="5" s="1"/>
  <c r="JF76" i="5"/>
  <c r="JE76" i="5"/>
  <c r="JG76" i="5" s="1"/>
  <c r="JH76" i="5" s="1"/>
  <c r="EF90" i="5"/>
  <c r="EE90" i="5"/>
  <c r="EG90" i="5" s="1"/>
  <c r="EH90" i="5" s="1"/>
  <c r="JF96" i="5"/>
  <c r="JE96" i="5"/>
  <c r="JG96" i="5" s="1"/>
  <c r="JH96" i="5" s="1"/>
  <c r="EB68" i="5"/>
  <c r="EA68" i="5"/>
  <c r="EC68" i="5" s="1"/>
  <c r="ED68" i="5" s="1"/>
  <c r="DX82" i="5"/>
  <c r="DW82" i="5"/>
  <c r="DY82" i="5" s="1"/>
  <c r="DZ82" i="5" s="1"/>
  <c r="DT45" i="5"/>
  <c r="DS45" i="5"/>
  <c r="DU45" i="5" s="1"/>
  <c r="DV45" i="5" s="1"/>
  <c r="DL87" i="5"/>
  <c r="DK87" i="5"/>
  <c r="DM87" i="5" s="1"/>
  <c r="DN87" i="5" s="1"/>
  <c r="DL63" i="5"/>
  <c r="DK63" i="5"/>
  <c r="DM63" i="5" s="1"/>
  <c r="DN63" i="5" s="1"/>
  <c r="IL34" i="5"/>
  <c r="IK34" i="5"/>
  <c r="IM34" i="5" s="1"/>
  <c r="IN34" i="5" s="1"/>
  <c r="DH16" i="5"/>
  <c r="DG16" i="5"/>
  <c r="DI16" i="5" s="1"/>
  <c r="DJ16" i="5" s="1"/>
  <c r="DT51" i="5"/>
  <c r="DS51" i="5"/>
  <c r="DU51" i="5" s="1"/>
  <c r="DV51" i="5" s="1"/>
  <c r="EB57" i="5"/>
  <c r="EA57" i="5"/>
  <c r="EC57" i="5" s="1"/>
  <c r="ED57" i="5" s="1"/>
  <c r="DD83" i="5"/>
  <c r="DC83" i="5"/>
  <c r="DE83" i="5" s="1"/>
  <c r="DF83" i="5" s="1"/>
  <c r="CV43" i="5"/>
  <c r="CU43" i="5"/>
  <c r="CW43" i="5" s="1"/>
  <c r="CX43" i="5" s="1"/>
  <c r="CV11" i="5"/>
  <c r="CU11" i="5"/>
  <c r="CW11" i="5" s="1"/>
  <c r="CX11" i="5" s="1"/>
  <c r="DK41" i="5"/>
  <c r="DL41" i="5"/>
  <c r="IC41" i="5"/>
  <c r="ID41" i="5"/>
  <c r="HY42" i="5"/>
  <c r="HZ42" i="5"/>
  <c r="CN9" i="5"/>
  <c r="CM9" i="5"/>
  <c r="CO9" i="5" s="1"/>
  <c r="CP9" i="5" s="1"/>
  <c r="IC83" i="5"/>
  <c r="ID83" i="5"/>
  <c r="HY35" i="5"/>
  <c r="HZ35" i="5"/>
  <c r="HY12" i="5"/>
  <c r="HZ12" i="5"/>
  <c r="HY52" i="5"/>
  <c r="HZ52" i="5"/>
  <c r="IC11" i="5"/>
  <c r="ID11" i="5"/>
  <c r="CN42" i="5"/>
  <c r="CM42" i="5"/>
  <c r="CO42" i="5" s="1"/>
  <c r="CP42" i="5" s="1"/>
  <c r="CR40" i="5"/>
  <c r="CQ40" i="5"/>
  <c r="IC27" i="5"/>
  <c r="ID27" i="5"/>
  <c r="IC26" i="5"/>
  <c r="ID26" i="5"/>
  <c r="HY65" i="5"/>
  <c r="HZ65" i="5"/>
  <c r="IS90" i="5"/>
  <c r="IT90" i="5"/>
  <c r="HZ80" i="5"/>
  <c r="HY80" i="5"/>
  <c r="IA80" i="5" s="1"/>
  <c r="IB80" i="5" s="1"/>
  <c r="HY77" i="5"/>
  <c r="HZ77" i="5"/>
  <c r="HY95" i="5"/>
  <c r="HZ95" i="5"/>
  <c r="HY31" i="5"/>
  <c r="HZ31" i="5"/>
  <c r="HY71" i="5"/>
  <c r="HZ71" i="5"/>
  <c r="IC19" i="5"/>
  <c r="ID19" i="5"/>
  <c r="HY84" i="5"/>
  <c r="HZ84" i="5"/>
  <c r="HY85" i="5"/>
  <c r="HZ85" i="5"/>
  <c r="HY59" i="5"/>
  <c r="HZ59" i="5"/>
  <c r="HY93" i="5"/>
  <c r="HZ93" i="5"/>
  <c r="HY18" i="5"/>
  <c r="HZ18" i="5"/>
  <c r="HU23" i="5"/>
  <c r="HV23" i="5"/>
  <c r="IC24" i="5"/>
  <c r="ID24" i="5"/>
  <c r="HY9" i="5"/>
  <c r="HZ9" i="5"/>
  <c r="HY91" i="5"/>
  <c r="HZ91" i="5"/>
  <c r="ID79" i="5"/>
  <c r="IC79" i="5"/>
  <c r="IE79" i="5" s="1"/>
  <c r="IF79" i="5" s="1"/>
  <c r="HZ22" i="5"/>
  <c r="HY22" i="5"/>
  <c r="IA22" i="5" s="1"/>
  <c r="IB22" i="5" s="1"/>
  <c r="ID57" i="5"/>
  <c r="IC57" i="5"/>
  <c r="IE57" i="5" s="1"/>
  <c r="IF57" i="5" s="1"/>
  <c r="HZ92" i="5"/>
  <c r="HY92" i="5"/>
  <c r="IA92" i="5" s="1"/>
  <c r="IB92" i="5" s="1"/>
  <c r="HZ68" i="5"/>
  <c r="HY68" i="5"/>
  <c r="IA68" i="5" s="1"/>
  <c r="IB68" i="5" s="1"/>
  <c r="IC39" i="5"/>
  <c r="ID39" i="5"/>
  <c r="HY13" i="5"/>
  <c r="HZ13" i="5"/>
  <c r="HZ78" i="5"/>
  <c r="HY78" i="5"/>
  <c r="IA78" i="5" s="1"/>
  <c r="IB78" i="5" s="1"/>
  <c r="HZ74" i="5"/>
  <c r="HY74" i="5"/>
  <c r="IA74" i="5" s="1"/>
  <c r="IB74" i="5" s="1"/>
  <c r="HY14" i="5"/>
  <c r="HZ14" i="5"/>
  <c r="HY38" i="5"/>
  <c r="HZ38" i="5"/>
  <c r="ID25" i="5"/>
  <c r="IC25" i="5"/>
  <c r="IE25" i="5" s="1"/>
  <c r="IF25" i="5" s="1"/>
  <c r="HZ53" i="5"/>
  <c r="HY53" i="5"/>
  <c r="IA53" i="5" s="1"/>
  <c r="IB53" i="5" s="1"/>
  <c r="HZ87" i="5"/>
  <c r="HY87" i="5"/>
  <c r="IA87" i="5" s="1"/>
  <c r="IB87" i="5" s="1"/>
  <c r="HZ8" i="5"/>
  <c r="HY8" i="5"/>
  <c r="IA8" i="5" s="1"/>
  <c r="IB8" i="5" s="1"/>
  <c r="HZ36" i="5"/>
  <c r="HY36" i="5"/>
  <c r="IA36" i="5" s="1"/>
  <c r="IB36" i="5" s="1"/>
  <c r="HZ51" i="5"/>
  <c r="HY51" i="5"/>
  <c r="IA51" i="5" s="1"/>
  <c r="IB51" i="5" s="1"/>
  <c r="HZ45" i="5"/>
  <c r="HY45" i="5"/>
  <c r="IA45" i="5" s="1"/>
  <c r="IB45" i="5" s="1"/>
  <c r="HZ94" i="5"/>
  <c r="HY94" i="5"/>
  <c r="IA94" i="5" s="1"/>
  <c r="IB94" i="5" s="1"/>
  <c r="HZ47" i="5"/>
  <c r="HY47" i="5"/>
  <c r="IA47" i="5" s="1"/>
  <c r="IB47" i="5" s="1"/>
  <c r="HZ32" i="5"/>
  <c r="HY32" i="5"/>
  <c r="IA32" i="5" s="1"/>
  <c r="IB32" i="5" s="1"/>
  <c r="HZ46" i="5"/>
  <c r="HY46" i="5"/>
  <c r="IA46" i="5" s="1"/>
  <c r="IB46" i="5" s="1"/>
  <c r="HZ55" i="5"/>
  <c r="HY55" i="5"/>
  <c r="IA55" i="5" s="1"/>
  <c r="IB55" i="5" s="1"/>
  <c r="HZ60" i="5"/>
  <c r="HY60" i="5"/>
  <c r="IA60" i="5" s="1"/>
  <c r="IB60" i="5" s="1"/>
  <c r="HZ20" i="5"/>
  <c r="HY20" i="5"/>
  <c r="IA20" i="5" s="1"/>
  <c r="IB20" i="5" s="1"/>
  <c r="HZ54" i="5"/>
  <c r="HY54" i="5"/>
  <c r="IA54" i="5" s="1"/>
  <c r="IB54" i="5" s="1"/>
  <c r="HZ56" i="5"/>
  <c r="HY56" i="5"/>
  <c r="IA56" i="5" s="1"/>
  <c r="IB56" i="5" s="1"/>
  <c r="HZ75" i="5"/>
  <c r="HY75" i="5"/>
  <c r="IA75" i="5" s="1"/>
  <c r="IB75" i="5" s="1"/>
  <c r="HV44" i="5"/>
  <c r="HU44" i="5"/>
  <c r="HW44" i="5" s="1"/>
  <c r="HX44" i="5" s="1"/>
  <c r="ID21" i="5"/>
  <c r="IC21" i="5"/>
  <c r="IE21" i="5" s="1"/>
  <c r="IF21" i="5" s="1"/>
  <c r="HZ37" i="5"/>
  <c r="HY37" i="5"/>
  <c r="IA37" i="5" s="1"/>
  <c r="IB37" i="5" s="1"/>
  <c r="HZ88" i="5"/>
  <c r="HY88" i="5"/>
  <c r="IA88" i="5" s="1"/>
  <c r="IB88" i="5" s="1"/>
  <c r="HU50" i="5"/>
  <c r="HV50" i="5"/>
  <c r="HZ33" i="5"/>
  <c r="HY33" i="5"/>
  <c r="IA33" i="5" s="1"/>
  <c r="IB33" i="5" s="1"/>
  <c r="DO39" i="5"/>
  <c r="DP39" i="5"/>
  <c r="DO49" i="5"/>
  <c r="DP49" i="5"/>
  <c r="CY13" i="5"/>
  <c r="CZ13" i="5"/>
  <c r="DK66" i="5"/>
  <c r="DL66" i="5"/>
  <c r="DS56" i="5"/>
  <c r="DT56" i="5"/>
  <c r="CQ36" i="5"/>
  <c r="CR36" i="5"/>
  <c r="CQ79" i="5"/>
  <c r="CR79" i="5"/>
  <c r="HZ82" i="5"/>
  <c r="HY82" i="5"/>
  <c r="IA82" i="5" s="1"/>
  <c r="IB82" i="5" s="1"/>
  <c r="HV15" i="5"/>
  <c r="HU15" i="5"/>
  <c r="HW15" i="5" s="1"/>
  <c r="HX15" i="5" s="1"/>
  <c r="HZ70" i="5"/>
  <c r="HY70" i="5"/>
  <c r="IA70" i="5" s="1"/>
  <c r="IB70" i="5" s="1"/>
  <c r="HV73" i="5"/>
  <c r="HU73" i="5"/>
  <c r="HW73" i="5" s="1"/>
  <c r="HX73" i="5" s="1"/>
  <c r="HV72" i="5"/>
  <c r="HU72" i="5"/>
  <c r="HW72" i="5" s="1"/>
  <c r="HX72" i="5" s="1"/>
  <c r="DG24" i="5"/>
  <c r="DH24" i="5"/>
  <c r="DG25" i="5"/>
  <c r="DH25" i="5"/>
  <c r="CU64" i="5"/>
  <c r="CV64" i="5"/>
  <c r="HU40" i="5"/>
  <c r="HV40" i="5"/>
  <c r="EA67" i="5"/>
  <c r="EB67" i="5"/>
  <c r="HV10" i="5"/>
  <c r="HU10" i="5"/>
  <c r="HW10" i="5" s="1"/>
  <c r="HX10" i="5" s="1"/>
  <c r="DG53" i="5"/>
  <c r="DH53" i="5"/>
  <c r="CY52" i="5"/>
  <c r="CZ52" i="5"/>
  <c r="CU88" i="5"/>
  <c r="CV88" i="5"/>
  <c r="CQ95" i="5"/>
  <c r="CR95" i="5"/>
  <c r="CQ20" i="5"/>
  <c r="CR20" i="5"/>
  <c r="CY74" i="5"/>
  <c r="CZ74" i="5"/>
  <c r="CU14" i="5"/>
  <c r="CV14" i="5"/>
  <c r="CY29" i="5"/>
  <c r="CZ29" i="5"/>
  <c r="CM19" i="5"/>
  <c r="CN19" i="5"/>
  <c r="CI65" i="5"/>
  <c r="CJ65" i="5"/>
  <c r="HI89" i="5"/>
  <c r="HJ89" i="5"/>
  <c r="CI58" i="5"/>
  <c r="CJ58" i="5"/>
  <c r="DM27" i="5"/>
  <c r="DN27" i="5" s="1"/>
  <c r="DI75" i="5"/>
  <c r="DJ75" i="5" s="1"/>
  <c r="IE69" i="5"/>
  <c r="IF69" i="5" s="1"/>
  <c r="HW17" i="5"/>
  <c r="HX17" i="5" s="1"/>
  <c r="DI26" i="5"/>
  <c r="DJ26" i="5" s="1"/>
  <c r="IE30" i="5"/>
  <c r="IF30" i="5" s="1"/>
  <c r="IA63" i="5"/>
  <c r="IB63" i="5" s="1"/>
  <c r="IA81" i="5"/>
  <c r="IB81" i="5" s="1"/>
  <c r="HW43" i="5"/>
  <c r="HX43" i="5" s="1"/>
  <c r="IA58" i="5"/>
  <c r="IB58" i="5" s="1"/>
  <c r="IA49" i="5"/>
  <c r="IB49" i="5" s="1"/>
  <c r="IA28" i="5"/>
  <c r="IB28" i="5" s="1"/>
  <c r="IA66" i="5"/>
  <c r="IB66" i="5" s="1"/>
  <c r="DE59" i="5"/>
  <c r="DF59" i="5" s="1"/>
  <c r="IA29" i="5"/>
  <c r="IB29" i="5" s="1"/>
  <c r="DI86" i="5"/>
  <c r="DJ86" i="5" s="1"/>
  <c r="HW16" i="5"/>
  <c r="HX16" i="5" s="1"/>
  <c r="HW86" i="5"/>
  <c r="HX86" i="5" s="1"/>
  <c r="CO17" i="5"/>
  <c r="CP17" i="5" s="1"/>
  <c r="DU35" i="5"/>
  <c r="DV35" i="5" s="1"/>
  <c r="DM96" i="5"/>
  <c r="DN96" i="5" s="1"/>
  <c r="DI37" i="5"/>
  <c r="DJ37" i="5" s="1"/>
  <c r="DE31" i="5"/>
  <c r="DF31" i="5" s="1"/>
  <c r="DA28" i="5"/>
  <c r="DB28" i="5" s="1"/>
  <c r="CW12" i="5"/>
  <c r="CX12" i="5" s="1"/>
  <c r="CK81" i="5"/>
  <c r="CL81" i="5" s="1"/>
  <c r="CK73" i="5"/>
  <c r="CL73" i="5" s="1"/>
  <c r="CW22" i="5"/>
  <c r="CX22" i="5" s="1"/>
  <c r="CO38" i="5"/>
  <c r="CP38" i="5" s="1"/>
  <c r="HO62" i="5"/>
  <c r="HP62" i="5" s="1"/>
  <c r="CK77" i="5"/>
  <c r="CL77" i="5" s="1"/>
  <c r="CG71" i="5"/>
  <c r="CH71" i="5" s="1"/>
  <c r="CG8" i="5"/>
  <c r="CH8" i="5" s="1"/>
  <c r="CK55" i="5"/>
  <c r="CL55" i="5" s="1"/>
  <c r="CK18" i="5"/>
  <c r="CL18" i="5" s="1"/>
  <c r="CG91" i="5"/>
  <c r="CH91" i="5" s="1"/>
  <c r="CG94" i="5"/>
  <c r="CH94" i="5" s="1"/>
  <c r="CG80" i="5"/>
  <c r="CH80" i="5" s="1"/>
  <c r="CG54" i="5"/>
  <c r="CH54" i="5" s="1"/>
  <c r="CG70" i="5"/>
  <c r="CH70" i="5" s="1"/>
  <c r="IK48" i="5" l="1"/>
  <c r="IL48" i="5"/>
  <c r="DH85" i="5"/>
  <c r="DG85" i="5"/>
  <c r="DI85" i="5" s="1"/>
  <c r="DJ85" i="5" s="1"/>
  <c r="CQ84" i="5"/>
  <c r="CR84" i="5"/>
  <c r="EA33" i="5"/>
  <c r="EB33" i="5"/>
  <c r="DG23" i="5"/>
  <c r="DH23" i="5"/>
  <c r="DC76" i="5"/>
  <c r="DD76" i="5"/>
  <c r="CY93" i="5"/>
  <c r="CZ93" i="5"/>
  <c r="CY15" i="5"/>
  <c r="CZ15" i="5"/>
  <c r="CU72" i="5"/>
  <c r="CW72" i="5" s="1"/>
  <c r="CX72" i="5" s="1"/>
  <c r="CV72" i="5"/>
  <c r="DS62" i="5"/>
  <c r="DT62" i="5"/>
  <c r="CY92" i="5"/>
  <c r="CZ92" i="5"/>
  <c r="DM44" i="5"/>
  <c r="DN44" i="5" s="1"/>
  <c r="DI50" i="5"/>
  <c r="DJ50" i="5" s="1"/>
  <c r="IE11" i="5"/>
  <c r="IF11" i="5" s="1"/>
  <c r="CS40" i="5"/>
  <c r="CT40" i="5" s="1"/>
  <c r="CU40" i="5" s="1"/>
  <c r="CW40" i="5" s="1"/>
  <c r="CX40" i="5" s="1"/>
  <c r="IA77" i="5"/>
  <c r="IB77" i="5" s="1"/>
  <c r="DQ39" i="5"/>
  <c r="DR39" i="5" s="1"/>
  <c r="CW88" i="5"/>
  <c r="CX88" i="5" s="1"/>
  <c r="HY67" i="5"/>
  <c r="IA67" i="5" s="1"/>
  <c r="IB67" i="5" s="1"/>
  <c r="HZ67" i="5"/>
  <c r="HY64" i="5"/>
  <c r="HZ64" i="5"/>
  <c r="DP78" i="5"/>
  <c r="DO78" i="5"/>
  <c r="DQ78" i="5" s="1"/>
  <c r="DR78" i="5" s="1"/>
  <c r="DP89" i="5"/>
  <c r="DO89" i="5"/>
  <c r="DQ89" i="5" s="1"/>
  <c r="DR89" i="5" s="1"/>
  <c r="DO10" i="5"/>
  <c r="DP10" i="5"/>
  <c r="CU30" i="5"/>
  <c r="CV30" i="5"/>
  <c r="CR69" i="5"/>
  <c r="CQ69" i="5"/>
  <c r="CS69" i="5" s="1"/>
  <c r="CT69" i="5" s="1"/>
  <c r="EJ21" i="5"/>
  <c r="EI21" i="5"/>
  <c r="EK21" i="5" s="1"/>
  <c r="EL21" i="5" s="1"/>
  <c r="EJ32" i="5"/>
  <c r="EI32" i="5"/>
  <c r="EK32" i="5" s="1"/>
  <c r="EL32" i="5" s="1"/>
  <c r="EJ34" i="5"/>
  <c r="EI34" i="5"/>
  <c r="EK34" i="5" s="1"/>
  <c r="EL34" i="5" s="1"/>
  <c r="EJ46" i="5"/>
  <c r="EI46" i="5"/>
  <c r="EK46" i="5" s="1"/>
  <c r="EL46" i="5" s="1"/>
  <c r="EJ47" i="5"/>
  <c r="EI47" i="5"/>
  <c r="EK47" i="5" s="1"/>
  <c r="EL47" i="5" s="1"/>
  <c r="EJ48" i="5"/>
  <c r="EI48" i="5"/>
  <c r="EK48" i="5" s="1"/>
  <c r="EL48" i="5" s="1"/>
  <c r="EJ60" i="5"/>
  <c r="EI60" i="5"/>
  <c r="EK60" i="5" s="1"/>
  <c r="EL60" i="5" s="1"/>
  <c r="EJ61" i="5"/>
  <c r="EI61" i="5"/>
  <c r="EK61" i="5" s="1"/>
  <c r="EL61" i="5" s="1"/>
  <c r="JJ61" i="5"/>
  <c r="JI61" i="5"/>
  <c r="JJ76" i="5"/>
  <c r="JI76" i="5"/>
  <c r="JK76" i="5" s="1"/>
  <c r="JL76" i="5" s="1"/>
  <c r="EJ90" i="5"/>
  <c r="EI90" i="5"/>
  <c r="EK90" i="5" s="1"/>
  <c r="EL90" i="5" s="1"/>
  <c r="JJ96" i="5"/>
  <c r="JI96" i="5"/>
  <c r="JK96" i="5" s="1"/>
  <c r="JL96" i="5" s="1"/>
  <c r="EF68" i="5"/>
  <c r="EE68" i="5"/>
  <c r="EG68" i="5" s="1"/>
  <c r="EH68" i="5" s="1"/>
  <c r="EB82" i="5"/>
  <c r="EA82" i="5"/>
  <c r="EC82" i="5" s="1"/>
  <c r="ED82" i="5" s="1"/>
  <c r="DX45" i="5"/>
  <c r="DW45" i="5"/>
  <c r="DY45" i="5" s="1"/>
  <c r="DZ45" i="5" s="1"/>
  <c r="DP87" i="5"/>
  <c r="DO87" i="5"/>
  <c r="DQ87" i="5" s="1"/>
  <c r="DR87" i="5" s="1"/>
  <c r="DP63" i="5"/>
  <c r="DO63" i="5"/>
  <c r="DQ63" i="5" s="1"/>
  <c r="DR63" i="5" s="1"/>
  <c r="IP34" i="5"/>
  <c r="IO34" i="5"/>
  <c r="IQ34" i="5" s="1"/>
  <c r="IR34" i="5" s="1"/>
  <c r="DL16" i="5"/>
  <c r="DK16" i="5"/>
  <c r="DM16" i="5" s="1"/>
  <c r="DN16" i="5" s="1"/>
  <c r="DX51" i="5"/>
  <c r="DW51" i="5"/>
  <c r="DY51" i="5" s="1"/>
  <c r="DZ51" i="5" s="1"/>
  <c r="EF57" i="5"/>
  <c r="EE57" i="5"/>
  <c r="EG57" i="5" s="1"/>
  <c r="EH57" i="5" s="1"/>
  <c r="DH83" i="5"/>
  <c r="DG83" i="5"/>
  <c r="DI83" i="5" s="1"/>
  <c r="DJ83" i="5" s="1"/>
  <c r="CZ43" i="5"/>
  <c r="CY43" i="5"/>
  <c r="DA43" i="5" s="1"/>
  <c r="DB43" i="5" s="1"/>
  <c r="CY11" i="5"/>
  <c r="CZ11" i="5"/>
  <c r="CV69" i="5"/>
  <c r="CU69" i="5"/>
  <c r="CW69" i="5" s="1"/>
  <c r="CX69" i="5" s="1"/>
  <c r="CR9" i="5"/>
  <c r="CQ9" i="5"/>
  <c r="CS9" i="5" s="1"/>
  <c r="CT9" i="5" s="1"/>
  <c r="DT89" i="5"/>
  <c r="DS89" i="5"/>
  <c r="DU89" i="5" s="1"/>
  <c r="DV89" i="5" s="1"/>
  <c r="IG11" i="5"/>
  <c r="IH11" i="5"/>
  <c r="CR42" i="5"/>
  <c r="CQ42" i="5"/>
  <c r="CS42" i="5" s="1"/>
  <c r="CT42" i="5" s="1"/>
  <c r="CV40" i="5"/>
  <c r="IC80" i="5"/>
  <c r="ID80" i="5"/>
  <c r="IG79" i="5"/>
  <c r="IH79" i="5"/>
  <c r="ID22" i="5"/>
  <c r="IC22" i="5"/>
  <c r="IE22" i="5" s="1"/>
  <c r="IF22" i="5" s="1"/>
  <c r="IG57" i="5"/>
  <c r="IH57" i="5"/>
  <c r="IC92" i="5"/>
  <c r="ID92" i="5"/>
  <c r="IC68" i="5"/>
  <c r="ID68" i="5"/>
  <c r="IC78" i="5"/>
  <c r="ID78" i="5"/>
  <c r="IC74" i="5"/>
  <c r="ID74" i="5"/>
  <c r="IG25" i="5"/>
  <c r="IH25" i="5"/>
  <c r="IC53" i="5"/>
  <c r="ID53" i="5"/>
  <c r="IC87" i="5"/>
  <c r="ID87" i="5"/>
  <c r="ID8" i="5"/>
  <c r="IC8" i="5"/>
  <c r="IE8" i="5" s="1"/>
  <c r="IF8" i="5" s="1"/>
  <c r="IC36" i="5"/>
  <c r="ID36" i="5"/>
  <c r="IC51" i="5"/>
  <c r="ID51" i="5"/>
  <c r="IC45" i="5"/>
  <c r="ID45" i="5"/>
  <c r="IC94" i="5"/>
  <c r="ID94" i="5"/>
  <c r="IC47" i="5"/>
  <c r="ID47" i="5"/>
  <c r="IC32" i="5"/>
  <c r="ID32" i="5"/>
  <c r="IC46" i="5"/>
  <c r="ID46" i="5"/>
  <c r="IC55" i="5"/>
  <c r="ID55" i="5"/>
  <c r="IC60" i="5"/>
  <c r="ID60" i="5"/>
  <c r="IC20" i="5"/>
  <c r="ID20" i="5"/>
  <c r="IC54" i="5"/>
  <c r="ID54" i="5"/>
  <c r="IC56" i="5"/>
  <c r="ID56" i="5"/>
  <c r="IC75" i="5"/>
  <c r="ID75" i="5"/>
  <c r="HY44" i="5"/>
  <c r="HZ44" i="5"/>
  <c r="IG21" i="5"/>
  <c r="IH21" i="5"/>
  <c r="IC37" i="5"/>
  <c r="ID37" i="5"/>
  <c r="IC88" i="5"/>
  <c r="ID88" i="5"/>
  <c r="IC33" i="5"/>
  <c r="ID33" i="5"/>
  <c r="IC82" i="5"/>
  <c r="ID82" i="5"/>
  <c r="HY15" i="5"/>
  <c r="HZ15" i="5"/>
  <c r="IC70" i="5"/>
  <c r="ID70" i="5"/>
  <c r="HY73" i="5"/>
  <c r="HZ73" i="5"/>
  <c r="HZ72" i="5"/>
  <c r="HY72" i="5"/>
  <c r="IA72" i="5" s="1"/>
  <c r="IB72" i="5" s="1"/>
  <c r="HY10" i="5"/>
  <c r="HZ10" i="5"/>
  <c r="DO27" i="5"/>
  <c r="DP27" i="5"/>
  <c r="DK75" i="5"/>
  <c r="DL75" i="5"/>
  <c r="IH69" i="5"/>
  <c r="IG69" i="5"/>
  <c r="II69" i="5" s="1"/>
  <c r="IJ69" i="5" s="1"/>
  <c r="HZ17" i="5"/>
  <c r="HY17" i="5"/>
  <c r="IA17" i="5" s="1"/>
  <c r="IB17" i="5" s="1"/>
  <c r="DK26" i="5"/>
  <c r="DL26" i="5"/>
  <c r="IG30" i="5"/>
  <c r="IH30" i="5"/>
  <c r="ID63" i="5"/>
  <c r="IC63" i="5"/>
  <c r="IE63" i="5" s="1"/>
  <c r="IF63" i="5" s="1"/>
  <c r="ID81" i="5"/>
  <c r="IC81" i="5"/>
  <c r="IE81" i="5" s="1"/>
  <c r="IF81" i="5" s="1"/>
  <c r="HZ43" i="5"/>
  <c r="HY43" i="5"/>
  <c r="IA43" i="5" s="1"/>
  <c r="IB43" i="5" s="1"/>
  <c r="ID58" i="5"/>
  <c r="IC58" i="5"/>
  <c r="IE58" i="5" s="1"/>
  <c r="IF58" i="5" s="1"/>
  <c r="ID49" i="5"/>
  <c r="IC49" i="5"/>
  <c r="IE49" i="5" s="1"/>
  <c r="IF49" i="5" s="1"/>
  <c r="ID28" i="5"/>
  <c r="IC28" i="5"/>
  <c r="IE28" i="5" s="1"/>
  <c r="IF28" i="5" s="1"/>
  <c r="ID66" i="5"/>
  <c r="IC66" i="5"/>
  <c r="IE66" i="5" s="1"/>
  <c r="IF66" i="5" s="1"/>
  <c r="DG59" i="5"/>
  <c r="DH59" i="5"/>
  <c r="IC29" i="5"/>
  <c r="ID29" i="5"/>
  <c r="DK86" i="5"/>
  <c r="DL86" i="5"/>
  <c r="HY16" i="5"/>
  <c r="HZ16" i="5"/>
  <c r="HZ86" i="5"/>
  <c r="HY86" i="5"/>
  <c r="IA86" i="5" s="1"/>
  <c r="IB86" i="5" s="1"/>
  <c r="CQ17" i="5"/>
  <c r="CR17" i="5"/>
  <c r="DW35" i="5"/>
  <c r="DX35" i="5"/>
  <c r="DO96" i="5"/>
  <c r="DP96" i="5"/>
  <c r="DL37" i="5"/>
  <c r="DK37" i="5"/>
  <c r="DM37" i="5" s="1"/>
  <c r="DN37" i="5" s="1"/>
  <c r="DG31" i="5"/>
  <c r="DH31" i="5"/>
  <c r="DC28" i="5"/>
  <c r="DD28" i="5"/>
  <c r="CY12" i="5"/>
  <c r="CZ12" i="5"/>
  <c r="CM81" i="5"/>
  <c r="CN81" i="5"/>
  <c r="CM73" i="5"/>
  <c r="CN73" i="5"/>
  <c r="CZ22" i="5"/>
  <c r="CY22" i="5"/>
  <c r="DA22" i="5" s="1"/>
  <c r="DB22" i="5" s="1"/>
  <c r="CR38" i="5"/>
  <c r="CQ38" i="5"/>
  <c r="CS38" i="5" s="1"/>
  <c r="CT38" i="5" s="1"/>
  <c r="HQ62" i="5"/>
  <c r="HR62" i="5"/>
  <c r="CM77" i="5"/>
  <c r="CN77" i="5"/>
  <c r="CI71" i="5"/>
  <c r="CJ71" i="5"/>
  <c r="CI8" i="5"/>
  <c r="CJ8" i="5"/>
  <c r="CM55" i="5"/>
  <c r="CN55" i="5"/>
  <c r="CM18" i="5"/>
  <c r="CN18" i="5"/>
  <c r="CI91" i="5"/>
  <c r="CJ91" i="5"/>
  <c r="CI94" i="5"/>
  <c r="CJ94" i="5"/>
  <c r="CI80" i="5"/>
  <c r="CJ80" i="5"/>
  <c r="CI54" i="5"/>
  <c r="CJ54" i="5"/>
  <c r="CI70" i="5"/>
  <c r="CJ70" i="5"/>
  <c r="DM41" i="5"/>
  <c r="DN41" i="5" s="1"/>
  <c r="IE41" i="5"/>
  <c r="IF41" i="5" s="1"/>
  <c r="IA42" i="5"/>
  <c r="IB42" i="5" s="1"/>
  <c r="IE83" i="5"/>
  <c r="IF83" i="5" s="1"/>
  <c r="IA35" i="5"/>
  <c r="IB35" i="5" s="1"/>
  <c r="IA12" i="5"/>
  <c r="IB12" i="5" s="1"/>
  <c r="IA52" i="5"/>
  <c r="IB52" i="5" s="1"/>
  <c r="HW50" i="5"/>
  <c r="HX50" i="5" s="1"/>
  <c r="DQ10" i="5"/>
  <c r="DR10" i="5" s="1"/>
  <c r="CW30" i="5"/>
  <c r="CX30" i="5" s="1"/>
  <c r="IE27" i="5"/>
  <c r="IF27" i="5" s="1"/>
  <c r="IE26" i="5"/>
  <c r="IF26" i="5" s="1"/>
  <c r="IA65" i="5"/>
  <c r="IB65" i="5" s="1"/>
  <c r="IU90" i="5"/>
  <c r="IV90" i="5" s="1"/>
  <c r="IA95" i="5"/>
  <c r="IB95" i="5" s="1"/>
  <c r="IA31" i="5"/>
  <c r="IB31" i="5" s="1"/>
  <c r="IA71" i="5"/>
  <c r="IB71" i="5" s="1"/>
  <c r="IE19" i="5"/>
  <c r="IF19" i="5" s="1"/>
  <c r="IA64" i="5"/>
  <c r="IB64" i="5" s="1"/>
  <c r="IA84" i="5"/>
  <c r="IB84" i="5" s="1"/>
  <c r="IA85" i="5"/>
  <c r="IB85" i="5" s="1"/>
  <c r="IA59" i="5"/>
  <c r="IB59" i="5" s="1"/>
  <c r="IA93" i="5"/>
  <c r="IB93" i="5" s="1"/>
  <c r="IA14" i="5"/>
  <c r="IB14" i="5" s="1"/>
  <c r="IA38" i="5"/>
  <c r="IB38" i="5" s="1"/>
  <c r="IA18" i="5"/>
  <c r="IB18" i="5" s="1"/>
  <c r="HW23" i="5"/>
  <c r="HX23" i="5" s="1"/>
  <c r="IE24" i="5"/>
  <c r="IF24" i="5" s="1"/>
  <c r="IA9" i="5"/>
  <c r="IB9" i="5" s="1"/>
  <c r="IA91" i="5"/>
  <c r="IB91" i="5" s="1"/>
  <c r="IE39" i="5"/>
  <c r="IF39" i="5" s="1"/>
  <c r="IA13" i="5"/>
  <c r="IB13" i="5" s="1"/>
  <c r="DQ49" i="5"/>
  <c r="DR49" i="5" s="1"/>
  <c r="DA13" i="5"/>
  <c r="DB13" i="5" s="1"/>
  <c r="DM66" i="5"/>
  <c r="DN66" i="5" s="1"/>
  <c r="DU56" i="5"/>
  <c r="DV56" i="5" s="1"/>
  <c r="CS36" i="5"/>
  <c r="CT36" i="5" s="1"/>
  <c r="CS79" i="5"/>
  <c r="CT79" i="5" s="1"/>
  <c r="DI53" i="5"/>
  <c r="DJ53" i="5" s="1"/>
  <c r="DA52" i="5"/>
  <c r="DB52" i="5" s="1"/>
  <c r="DI24" i="5"/>
  <c r="DJ24" i="5" s="1"/>
  <c r="DI25" i="5"/>
  <c r="DJ25" i="5" s="1"/>
  <c r="CW64" i="5"/>
  <c r="CX64" i="5" s="1"/>
  <c r="HW40" i="5"/>
  <c r="HX40" i="5" s="1"/>
  <c r="EC67" i="5"/>
  <c r="ED67" i="5" s="1"/>
  <c r="CS95" i="5"/>
  <c r="CT95" i="5" s="1"/>
  <c r="CS20" i="5"/>
  <c r="CT20" i="5" s="1"/>
  <c r="DA74" i="5"/>
  <c r="DB74" i="5" s="1"/>
  <c r="CW14" i="5"/>
  <c r="CX14" i="5" s="1"/>
  <c r="DA29" i="5"/>
  <c r="DB29" i="5" s="1"/>
  <c r="CO19" i="5"/>
  <c r="CP19" i="5" s="1"/>
  <c r="CK65" i="5"/>
  <c r="CL65" i="5" s="1"/>
  <c r="HK89" i="5"/>
  <c r="HL89" i="5" s="1"/>
  <c r="CK58" i="5"/>
  <c r="CL58" i="5" s="1"/>
  <c r="DK85" i="5" l="1"/>
  <c r="DL85" i="5"/>
  <c r="CY72" i="5"/>
  <c r="CZ72" i="5"/>
  <c r="DP44" i="5"/>
  <c r="DO44" i="5"/>
  <c r="DQ44" i="5" s="1"/>
  <c r="DR44" i="5" s="1"/>
  <c r="DK50" i="5"/>
  <c r="DL50" i="5"/>
  <c r="IM48" i="5"/>
  <c r="IN48" i="5" s="1"/>
  <c r="CS84" i="5"/>
  <c r="CT84" i="5" s="1"/>
  <c r="EC33" i="5"/>
  <c r="ED33" i="5" s="1"/>
  <c r="DI23" i="5"/>
  <c r="DJ23" i="5" s="1"/>
  <c r="DE76" i="5"/>
  <c r="DF76" i="5" s="1"/>
  <c r="DA93" i="5"/>
  <c r="DB93" i="5" s="1"/>
  <c r="DA15" i="5"/>
  <c r="DB15" i="5" s="1"/>
  <c r="DU62" i="5"/>
  <c r="DV62" i="5" s="1"/>
  <c r="DA92" i="5"/>
  <c r="DB92" i="5" s="1"/>
  <c r="IE60" i="5"/>
  <c r="IF60" i="5" s="1"/>
  <c r="DM75" i="5"/>
  <c r="DN75" i="5" s="1"/>
  <c r="DQ96" i="5"/>
  <c r="DR96" i="5" s="1"/>
  <c r="HS62" i="5"/>
  <c r="HT62" i="5" s="1"/>
  <c r="IC77" i="5"/>
  <c r="ID77" i="5"/>
  <c r="DT39" i="5"/>
  <c r="DS39" i="5"/>
  <c r="DU39" i="5" s="1"/>
  <c r="DV39" i="5" s="1"/>
  <c r="CZ88" i="5"/>
  <c r="CY88" i="5"/>
  <c r="DA88" i="5" s="1"/>
  <c r="DB88" i="5" s="1"/>
  <c r="DT78" i="5"/>
  <c r="DS78" i="5"/>
  <c r="DU78" i="5" s="1"/>
  <c r="DV78" i="5" s="1"/>
  <c r="EN21" i="5"/>
  <c r="EM21" i="5"/>
  <c r="EO21" i="5" s="1"/>
  <c r="EP21" i="5" s="1"/>
  <c r="EN32" i="5"/>
  <c r="EM32" i="5"/>
  <c r="EO32" i="5" s="1"/>
  <c r="EP32" i="5" s="1"/>
  <c r="EN34" i="5"/>
  <c r="EM34" i="5"/>
  <c r="EO34" i="5" s="1"/>
  <c r="EP34" i="5" s="1"/>
  <c r="EN46" i="5"/>
  <c r="EM46" i="5"/>
  <c r="EO46" i="5" s="1"/>
  <c r="EP46" i="5" s="1"/>
  <c r="EN47" i="5"/>
  <c r="EM47" i="5"/>
  <c r="EO47" i="5" s="1"/>
  <c r="EP47" i="5" s="1"/>
  <c r="EN48" i="5"/>
  <c r="EM48" i="5"/>
  <c r="EO48" i="5" s="1"/>
  <c r="EP48" i="5" s="1"/>
  <c r="EN60" i="5"/>
  <c r="EM60" i="5"/>
  <c r="EO60" i="5" s="1"/>
  <c r="EP60" i="5" s="1"/>
  <c r="EN61" i="5"/>
  <c r="EM61" i="5"/>
  <c r="EO61" i="5" s="1"/>
  <c r="EP61" i="5" s="1"/>
  <c r="JN76" i="5"/>
  <c r="JM76" i="5"/>
  <c r="EN90" i="5"/>
  <c r="EM90" i="5"/>
  <c r="EO90" i="5" s="1"/>
  <c r="EP90" i="5" s="1"/>
  <c r="JN96" i="5"/>
  <c r="JM96" i="5"/>
  <c r="JO96" i="5" s="1"/>
  <c r="JP96" i="5" s="1"/>
  <c r="EJ68" i="5"/>
  <c r="EI68" i="5"/>
  <c r="EK68" i="5" s="1"/>
  <c r="EL68" i="5" s="1"/>
  <c r="EF82" i="5"/>
  <c r="EE82" i="5"/>
  <c r="EG82" i="5" s="1"/>
  <c r="EH82" i="5" s="1"/>
  <c r="EB45" i="5"/>
  <c r="EA45" i="5"/>
  <c r="EC45" i="5" s="1"/>
  <c r="ED45" i="5" s="1"/>
  <c r="DT87" i="5"/>
  <c r="DS87" i="5"/>
  <c r="DU87" i="5" s="1"/>
  <c r="DV87" i="5" s="1"/>
  <c r="DT63" i="5"/>
  <c r="DS63" i="5"/>
  <c r="DU63" i="5" s="1"/>
  <c r="DV63" i="5" s="1"/>
  <c r="IT34" i="5"/>
  <c r="IS34" i="5"/>
  <c r="IU34" i="5" s="1"/>
  <c r="IV34" i="5" s="1"/>
  <c r="DP16" i="5"/>
  <c r="DO16" i="5"/>
  <c r="DQ16" i="5" s="1"/>
  <c r="DR16" i="5" s="1"/>
  <c r="EB51" i="5"/>
  <c r="EA51" i="5"/>
  <c r="EC51" i="5" s="1"/>
  <c r="ED51" i="5" s="1"/>
  <c r="EJ57" i="5"/>
  <c r="EI57" i="5"/>
  <c r="EK57" i="5" s="1"/>
  <c r="EL57" i="5" s="1"/>
  <c r="DL83" i="5"/>
  <c r="DK83" i="5"/>
  <c r="DM83" i="5" s="1"/>
  <c r="DN83" i="5" s="1"/>
  <c r="DD43" i="5"/>
  <c r="DC43" i="5"/>
  <c r="DE43" i="5" s="1"/>
  <c r="DF43" i="5" s="1"/>
  <c r="CZ69" i="5"/>
  <c r="CY69" i="5"/>
  <c r="DA69" i="5" s="1"/>
  <c r="DB69" i="5" s="1"/>
  <c r="CV9" i="5"/>
  <c r="CU9" i="5"/>
  <c r="CW9" i="5" s="1"/>
  <c r="CX9" i="5" s="1"/>
  <c r="DX89" i="5"/>
  <c r="DW89" i="5"/>
  <c r="DY89" i="5" s="1"/>
  <c r="DZ89" i="5" s="1"/>
  <c r="CV42" i="5"/>
  <c r="CU42" i="5"/>
  <c r="CW42" i="5" s="1"/>
  <c r="CX42" i="5" s="1"/>
  <c r="CZ40" i="5"/>
  <c r="CY40" i="5"/>
  <c r="DA40" i="5" s="1"/>
  <c r="DB40" i="5" s="1"/>
  <c r="IG22" i="5"/>
  <c r="IH22" i="5"/>
  <c r="IG8" i="5"/>
  <c r="IH8" i="5"/>
  <c r="ID72" i="5"/>
  <c r="IC72" i="5"/>
  <c r="IE72" i="5" s="1"/>
  <c r="IF72" i="5" s="1"/>
  <c r="DP75" i="5"/>
  <c r="DO75" i="5"/>
  <c r="DQ75" i="5" s="1"/>
  <c r="DR75" i="5" s="1"/>
  <c r="IK69" i="5"/>
  <c r="IL69" i="5"/>
  <c r="IC17" i="5"/>
  <c r="ID17" i="5"/>
  <c r="IH63" i="5"/>
  <c r="IG63" i="5"/>
  <c r="II63" i="5" s="1"/>
  <c r="IJ63" i="5" s="1"/>
  <c r="IG81" i="5"/>
  <c r="IH81" i="5"/>
  <c r="IC43" i="5"/>
  <c r="ID43" i="5"/>
  <c r="IG58" i="5"/>
  <c r="IH58" i="5"/>
  <c r="IG49" i="5"/>
  <c r="IH49" i="5"/>
  <c r="IG28" i="5"/>
  <c r="IH28" i="5"/>
  <c r="IG66" i="5"/>
  <c r="IH66" i="5"/>
  <c r="IC86" i="5"/>
  <c r="ID86" i="5"/>
  <c r="DP37" i="5"/>
  <c r="DO37" i="5"/>
  <c r="DQ37" i="5" s="1"/>
  <c r="DR37" i="5" s="1"/>
  <c r="DC22" i="5"/>
  <c r="DD22" i="5"/>
  <c r="CV38" i="5"/>
  <c r="CU38" i="5"/>
  <c r="CW38" i="5" s="1"/>
  <c r="CX38" i="5" s="1"/>
  <c r="HV62" i="5"/>
  <c r="HU62" i="5"/>
  <c r="HW62" i="5" s="1"/>
  <c r="HX62" i="5" s="1"/>
  <c r="DO41" i="5"/>
  <c r="DP41" i="5"/>
  <c r="IH41" i="5"/>
  <c r="IG41" i="5"/>
  <c r="IC42" i="5"/>
  <c r="ID42" i="5"/>
  <c r="IH83" i="5"/>
  <c r="IG83" i="5"/>
  <c r="II83" i="5" s="1"/>
  <c r="IJ83" i="5" s="1"/>
  <c r="ID35" i="5"/>
  <c r="IC35" i="5"/>
  <c r="IE35" i="5" s="1"/>
  <c r="IF35" i="5" s="1"/>
  <c r="ID67" i="5"/>
  <c r="IC67" i="5"/>
  <c r="IE67" i="5" s="1"/>
  <c r="IF67" i="5" s="1"/>
  <c r="ID12" i="5"/>
  <c r="IC12" i="5"/>
  <c r="IE12" i="5" s="1"/>
  <c r="IF12" i="5" s="1"/>
  <c r="ID52" i="5"/>
  <c r="IC52" i="5"/>
  <c r="IE52" i="5" s="1"/>
  <c r="IF52" i="5" s="1"/>
  <c r="HY50" i="5"/>
  <c r="HZ50" i="5"/>
  <c r="DS10" i="5"/>
  <c r="DT10" i="5"/>
  <c r="CY30" i="5"/>
  <c r="CZ30" i="5"/>
  <c r="IH27" i="5"/>
  <c r="IG27" i="5"/>
  <c r="II27" i="5" s="1"/>
  <c r="IJ27" i="5" s="1"/>
  <c r="IH26" i="5"/>
  <c r="IG26" i="5"/>
  <c r="II26" i="5" s="1"/>
  <c r="IJ26" i="5" s="1"/>
  <c r="ID65" i="5"/>
  <c r="IC65" i="5"/>
  <c r="IE65" i="5" s="1"/>
  <c r="IF65" i="5" s="1"/>
  <c r="IX90" i="5"/>
  <c r="IW90" i="5"/>
  <c r="IY90" i="5" s="1"/>
  <c r="IZ90" i="5" s="1"/>
  <c r="ID95" i="5"/>
  <c r="IC95" i="5"/>
  <c r="IE95" i="5" s="1"/>
  <c r="IF95" i="5" s="1"/>
  <c r="ID31" i="5"/>
  <c r="IC31" i="5"/>
  <c r="IE31" i="5" s="1"/>
  <c r="IF31" i="5" s="1"/>
  <c r="ID71" i="5"/>
  <c r="IC71" i="5"/>
  <c r="IE71" i="5" s="1"/>
  <c r="IF71" i="5" s="1"/>
  <c r="IH19" i="5"/>
  <c r="IG19" i="5"/>
  <c r="II19" i="5" s="1"/>
  <c r="IJ19" i="5" s="1"/>
  <c r="ID64" i="5"/>
  <c r="IC64" i="5"/>
  <c r="IE64" i="5" s="1"/>
  <c r="IF64" i="5" s="1"/>
  <c r="ID84" i="5"/>
  <c r="IC84" i="5"/>
  <c r="ID85" i="5"/>
  <c r="IC85" i="5"/>
  <c r="ID59" i="5"/>
  <c r="IC59" i="5"/>
  <c r="IE59" i="5" s="1"/>
  <c r="IF59" i="5" s="1"/>
  <c r="ID93" i="5"/>
  <c r="IC93" i="5"/>
  <c r="IE93" i="5" s="1"/>
  <c r="IF93" i="5" s="1"/>
  <c r="ID14" i="5"/>
  <c r="IC14" i="5"/>
  <c r="IE14" i="5" s="1"/>
  <c r="IF14" i="5" s="1"/>
  <c r="IC38" i="5"/>
  <c r="ID38" i="5"/>
  <c r="ID18" i="5"/>
  <c r="IC18" i="5"/>
  <c r="IE18" i="5" s="1"/>
  <c r="IF18" i="5" s="1"/>
  <c r="HZ23" i="5"/>
  <c r="HY23" i="5"/>
  <c r="IA23" i="5" s="1"/>
  <c r="IB23" i="5" s="1"/>
  <c r="IH24" i="5"/>
  <c r="IG24" i="5"/>
  <c r="II24" i="5" s="1"/>
  <c r="IJ24" i="5" s="1"/>
  <c r="ID9" i="5"/>
  <c r="IC9" i="5"/>
  <c r="IE9" i="5" s="1"/>
  <c r="IF9" i="5" s="1"/>
  <c r="ID91" i="5"/>
  <c r="IC91" i="5"/>
  <c r="IE91" i="5" s="1"/>
  <c r="IF91" i="5" s="1"/>
  <c r="IH39" i="5"/>
  <c r="IG39" i="5"/>
  <c r="II39" i="5" s="1"/>
  <c r="IJ39" i="5" s="1"/>
  <c r="ID13" i="5"/>
  <c r="IC13" i="5"/>
  <c r="IE13" i="5" s="1"/>
  <c r="IF13" i="5" s="1"/>
  <c r="DS49" i="5"/>
  <c r="DT49" i="5"/>
  <c r="DC13" i="5"/>
  <c r="DD13" i="5"/>
  <c r="DO66" i="5"/>
  <c r="DP66" i="5"/>
  <c r="DW56" i="5"/>
  <c r="DX56" i="5"/>
  <c r="CU36" i="5"/>
  <c r="CV36" i="5"/>
  <c r="CU79" i="5"/>
  <c r="CV79" i="5"/>
  <c r="DK53" i="5"/>
  <c r="DL53" i="5"/>
  <c r="DC52" i="5"/>
  <c r="DD52" i="5"/>
  <c r="DK24" i="5"/>
  <c r="DL24" i="5"/>
  <c r="DK25" i="5"/>
  <c r="DL25" i="5"/>
  <c r="CY64" i="5"/>
  <c r="CZ64" i="5"/>
  <c r="HY40" i="5"/>
  <c r="HZ40" i="5"/>
  <c r="EE67" i="5"/>
  <c r="EF67" i="5"/>
  <c r="CU95" i="5"/>
  <c r="CV95" i="5"/>
  <c r="CU20" i="5"/>
  <c r="CV20" i="5"/>
  <c r="DC74" i="5"/>
  <c r="DD74" i="5"/>
  <c r="CY14" i="5"/>
  <c r="CZ14" i="5"/>
  <c r="DD29" i="5"/>
  <c r="DC29" i="5"/>
  <c r="DE29" i="5" s="1"/>
  <c r="DF29" i="5" s="1"/>
  <c r="CQ19" i="5"/>
  <c r="CR19" i="5"/>
  <c r="CM65" i="5"/>
  <c r="CN65" i="5"/>
  <c r="HM89" i="5"/>
  <c r="HN89" i="5"/>
  <c r="CM58" i="5"/>
  <c r="CN58" i="5"/>
  <c r="JK61" i="5"/>
  <c r="JL61" i="5" s="1"/>
  <c r="DA11" i="5"/>
  <c r="DB11" i="5" s="1"/>
  <c r="II11" i="5"/>
  <c r="IJ11" i="5" s="1"/>
  <c r="IE80" i="5"/>
  <c r="IF80" i="5" s="1"/>
  <c r="IE77" i="5"/>
  <c r="IF77" i="5" s="1"/>
  <c r="II79" i="5"/>
  <c r="IJ79" i="5" s="1"/>
  <c r="II57" i="5"/>
  <c r="IJ57" i="5" s="1"/>
  <c r="IE92" i="5"/>
  <c r="IF92" i="5" s="1"/>
  <c r="IE68" i="5"/>
  <c r="IF68" i="5" s="1"/>
  <c r="IE78" i="5"/>
  <c r="IF78" i="5" s="1"/>
  <c r="IE74" i="5"/>
  <c r="IF74" i="5" s="1"/>
  <c r="II25" i="5"/>
  <c r="IJ25" i="5" s="1"/>
  <c r="IE53" i="5"/>
  <c r="IF53" i="5" s="1"/>
  <c r="IE87" i="5"/>
  <c r="IF87" i="5" s="1"/>
  <c r="IE36" i="5"/>
  <c r="IF36" i="5" s="1"/>
  <c r="IE51" i="5"/>
  <c r="IF51" i="5" s="1"/>
  <c r="IE45" i="5"/>
  <c r="IF45" i="5" s="1"/>
  <c r="IE94" i="5"/>
  <c r="IF94" i="5" s="1"/>
  <c r="IE47" i="5"/>
  <c r="IF47" i="5" s="1"/>
  <c r="IE32" i="5"/>
  <c r="IF32" i="5" s="1"/>
  <c r="IE46" i="5"/>
  <c r="IF46" i="5" s="1"/>
  <c r="IE55" i="5"/>
  <c r="IF55" i="5" s="1"/>
  <c r="IE20" i="5"/>
  <c r="IF20" i="5" s="1"/>
  <c r="IE54" i="5"/>
  <c r="IF54" i="5" s="1"/>
  <c r="IE56" i="5"/>
  <c r="IF56" i="5" s="1"/>
  <c r="IE75" i="5"/>
  <c r="IF75" i="5" s="1"/>
  <c r="IA44" i="5"/>
  <c r="IB44" i="5" s="1"/>
  <c r="II21" i="5"/>
  <c r="IJ21" i="5" s="1"/>
  <c r="IE37" i="5"/>
  <c r="IF37" i="5" s="1"/>
  <c r="IE88" i="5"/>
  <c r="IF88" i="5" s="1"/>
  <c r="IE33" i="5"/>
  <c r="IF33" i="5" s="1"/>
  <c r="IE82" i="5"/>
  <c r="IF82" i="5" s="1"/>
  <c r="IA15" i="5"/>
  <c r="IB15" i="5" s="1"/>
  <c r="IE70" i="5"/>
  <c r="IF70" i="5" s="1"/>
  <c r="IA73" i="5"/>
  <c r="IB73" i="5" s="1"/>
  <c r="IA10" i="5"/>
  <c r="IB10" i="5" s="1"/>
  <c r="DQ27" i="5"/>
  <c r="DR27" i="5" s="1"/>
  <c r="DM26" i="5"/>
  <c r="DN26" i="5" s="1"/>
  <c r="II30" i="5"/>
  <c r="IJ30" i="5" s="1"/>
  <c r="DI59" i="5"/>
  <c r="DJ59" i="5" s="1"/>
  <c r="IE29" i="5"/>
  <c r="IF29" i="5" s="1"/>
  <c r="DM86" i="5"/>
  <c r="DN86" i="5" s="1"/>
  <c r="IA16" i="5"/>
  <c r="IB16" i="5" s="1"/>
  <c r="CS17" i="5"/>
  <c r="CT17" i="5" s="1"/>
  <c r="DY35" i="5"/>
  <c r="DZ35" i="5" s="1"/>
  <c r="DI31" i="5"/>
  <c r="DJ31" i="5" s="1"/>
  <c r="DE28" i="5"/>
  <c r="DF28" i="5" s="1"/>
  <c r="DA12" i="5"/>
  <c r="DB12" i="5" s="1"/>
  <c r="CO81" i="5"/>
  <c r="CP81" i="5" s="1"/>
  <c r="CO73" i="5"/>
  <c r="CP73" i="5" s="1"/>
  <c r="CO77" i="5"/>
  <c r="CP77" i="5" s="1"/>
  <c r="CK71" i="5"/>
  <c r="CL71" i="5" s="1"/>
  <c r="CK8" i="5"/>
  <c r="CL8" i="5" s="1"/>
  <c r="CO55" i="5"/>
  <c r="CP55" i="5" s="1"/>
  <c r="CO18" i="5"/>
  <c r="CP18" i="5" s="1"/>
  <c r="CK91" i="5"/>
  <c r="CL91" i="5" s="1"/>
  <c r="CK94" i="5"/>
  <c r="CL94" i="5" s="1"/>
  <c r="CK80" i="5"/>
  <c r="CL80" i="5" s="1"/>
  <c r="CK54" i="5"/>
  <c r="CL54" i="5" s="1"/>
  <c r="CK70" i="5"/>
  <c r="CL70" i="5" s="1"/>
  <c r="DS44" i="5" l="1"/>
  <c r="DT44" i="5"/>
  <c r="IP48" i="5"/>
  <c r="IO48" i="5"/>
  <c r="IQ48" i="5" s="1"/>
  <c r="IR48" i="5" s="1"/>
  <c r="CV84" i="5"/>
  <c r="CU84" i="5"/>
  <c r="CW84" i="5" s="1"/>
  <c r="CX84" i="5" s="1"/>
  <c r="EF33" i="5"/>
  <c r="EE33" i="5"/>
  <c r="EG33" i="5" s="1"/>
  <c r="EH33" i="5" s="1"/>
  <c r="DL23" i="5"/>
  <c r="DK23" i="5"/>
  <c r="DM23" i="5" s="1"/>
  <c r="DN23" i="5" s="1"/>
  <c r="DH76" i="5"/>
  <c r="DG76" i="5"/>
  <c r="DI76" i="5" s="1"/>
  <c r="DJ76" i="5" s="1"/>
  <c r="DD93" i="5"/>
  <c r="DC93" i="5"/>
  <c r="DE93" i="5" s="1"/>
  <c r="DF93" i="5" s="1"/>
  <c r="DD15" i="5"/>
  <c r="DC15" i="5"/>
  <c r="DE15" i="5" s="1"/>
  <c r="DF15" i="5" s="1"/>
  <c r="DX62" i="5"/>
  <c r="DW62" i="5"/>
  <c r="DY62" i="5" s="1"/>
  <c r="DZ62" i="5" s="1"/>
  <c r="DD92" i="5"/>
  <c r="DC92" i="5"/>
  <c r="DM85" i="5"/>
  <c r="DN85" i="5" s="1"/>
  <c r="DA72" i="5"/>
  <c r="DB72" i="5" s="1"/>
  <c r="DM50" i="5"/>
  <c r="DN50" i="5" s="1"/>
  <c r="II28" i="5"/>
  <c r="IJ28" i="5" s="1"/>
  <c r="II41" i="5"/>
  <c r="IJ41" i="5" s="1"/>
  <c r="CW79" i="5"/>
  <c r="CX79" i="5" s="1"/>
  <c r="IE85" i="5"/>
  <c r="IF85" i="5" s="1"/>
  <c r="IG60" i="5"/>
  <c r="II60" i="5" s="1"/>
  <c r="IJ60" i="5" s="1"/>
  <c r="IH60" i="5"/>
  <c r="DT96" i="5"/>
  <c r="DS96" i="5"/>
  <c r="DU96" i="5" s="1"/>
  <c r="DV96" i="5" s="1"/>
  <c r="DX39" i="5"/>
  <c r="DW39" i="5"/>
  <c r="DY39" i="5" s="1"/>
  <c r="DZ39" i="5" s="1"/>
  <c r="DD88" i="5"/>
  <c r="DC88" i="5"/>
  <c r="DE88" i="5" s="1"/>
  <c r="DF88" i="5" s="1"/>
  <c r="DX78" i="5"/>
  <c r="DW78" i="5"/>
  <c r="DY78" i="5" s="1"/>
  <c r="DZ78" i="5" s="1"/>
  <c r="ER21" i="5"/>
  <c r="EQ21" i="5"/>
  <c r="ES21" i="5" s="1"/>
  <c r="ET21" i="5" s="1"/>
  <c r="ER32" i="5"/>
  <c r="EQ32" i="5"/>
  <c r="ES32" i="5" s="1"/>
  <c r="ET32" i="5" s="1"/>
  <c r="ER34" i="5"/>
  <c r="EQ34" i="5"/>
  <c r="ES34" i="5" s="1"/>
  <c r="ET34" i="5" s="1"/>
  <c r="ER46" i="5"/>
  <c r="EQ46" i="5"/>
  <c r="ES46" i="5" s="1"/>
  <c r="ET46" i="5" s="1"/>
  <c r="ER47" i="5"/>
  <c r="EQ47" i="5"/>
  <c r="ES47" i="5" s="1"/>
  <c r="ET47" i="5" s="1"/>
  <c r="ER48" i="5"/>
  <c r="EQ48" i="5"/>
  <c r="ES48" i="5" s="1"/>
  <c r="ET48" i="5" s="1"/>
  <c r="ER60" i="5"/>
  <c r="EQ60" i="5"/>
  <c r="ES60" i="5" s="1"/>
  <c r="ET60" i="5" s="1"/>
  <c r="ER61" i="5"/>
  <c r="EQ61" i="5"/>
  <c r="ES61" i="5" s="1"/>
  <c r="ET61" i="5" s="1"/>
  <c r="ER90" i="5"/>
  <c r="EQ90" i="5"/>
  <c r="ES90" i="5" s="1"/>
  <c r="ET90" i="5" s="1"/>
  <c r="JR96" i="5"/>
  <c r="JQ96" i="5"/>
  <c r="EN68" i="5"/>
  <c r="EM68" i="5"/>
  <c r="EO68" i="5" s="1"/>
  <c r="EP68" i="5" s="1"/>
  <c r="EJ82" i="5"/>
  <c r="EI82" i="5"/>
  <c r="EK82" i="5" s="1"/>
  <c r="EL82" i="5" s="1"/>
  <c r="EF45" i="5"/>
  <c r="EE45" i="5"/>
  <c r="EG45" i="5" s="1"/>
  <c r="EH45" i="5" s="1"/>
  <c r="DX87" i="5"/>
  <c r="DW87" i="5"/>
  <c r="DY87" i="5" s="1"/>
  <c r="DZ87" i="5" s="1"/>
  <c r="DX63" i="5"/>
  <c r="DW63" i="5"/>
  <c r="DY63" i="5" s="1"/>
  <c r="DZ63" i="5" s="1"/>
  <c r="IX34" i="5"/>
  <c r="IW34" i="5"/>
  <c r="IY34" i="5" s="1"/>
  <c r="IZ34" i="5" s="1"/>
  <c r="DT16" i="5"/>
  <c r="DS16" i="5"/>
  <c r="DU16" i="5" s="1"/>
  <c r="DV16" i="5" s="1"/>
  <c r="EF51" i="5"/>
  <c r="EE51" i="5"/>
  <c r="EG51" i="5" s="1"/>
  <c r="EH51" i="5" s="1"/>
  <c r="EN57" i="5"/>
  <c r="EM57" i="5"/>
  <c r="EO57" i="5" s="1"/>
  <c r="EP57" i="5" s="1"/>
  <c r="DP83" i="5"/>
  <c r="DO83" i="5"/>
  <c r="DQ83" i="5" s="1"/>
  <c r="DR83" i="5" s="1"/>
  <c r="DH43" i="5"/>
  <c r="DG43" i="5"/>
  <c r="DI43" i="5" s="1"/>
  <c r="DJ43" i="5" s="1"/>
  <c r="DC69" i="5"/>
  <c r="DD69" i="5"/>
  <c r="CZ9" i="5"/>
  <c r="CY9" i="5"/>
  <c r="DA9" i="5" s="1"/>
  <c r="DB9" i="5" s="1"/>
  <c r="EB89" i="5"/>
  <c r="EA89" i="5"/>
  <c r="EC89" i="5" s="1"/>
  <c r="ED89" i="5" s="1"/>
  <c r="CZ42" i="5"/>
  <c r="CY42" i="5"/>
  <c r="DA42" i="5" s="1"/>
  <c r="DB42" i="5" s="1"/>
  <c r="DD40" i="5"/>
  <c r="DC40" i="5"/>
  <c r="IG72" i="5"/>
  <c r="IH72" i="5"/>
  <c r="DT75" i="5"/>
  <c r="DS75" i="5"/>
  <c r="DU75" i="5" s="1"/>
  <c r="DV75" i="5" s="1"/>
  <c r="IK63" i="5"/>
  <c r="IL63" i="5"/>
  <c r="DT37" i="5"/>
  <c r="DS37" i="5"/>
  <c r="DU37" i="5" s="1"/>
  <c r="DV37" i="5" s="1"/>
  <c r="CZ38" i="5"/>
  <c r="CY38" i="5"/>
  <c r="DA38" i="5" s="1"/>
  <c r="DB38" i="5" s="1"/>
  <c r="HZ62" i="5"/>
  <c r="HY62" i="5"/>
  <c r="IA62" i="5" s="1"/>
  <c r="IB62" i="5" s="1"/>
  <c r="IL83" i="5"/>
  <c r="IK83" i="5"/>
  <c r="IM83" i="5" s="1"/>
  <c r="IN83" i="5" s="1"/>
  <c r="IH35" i="5"/>
  <c r="IG35" i="5"/>
  <c r="II35" i="5" s="1"/>
  <c r="IJ35" i="5" s="1"/>
  <c r="IG67" i="5"/>
  <c r="IH67" i="5"/>
  <c r="IH12" i="5"/>
  <c r="IG12" i="5"/>
  <c r="II12" i="5" s="1"/>
  <c r="IJ12" i="5" s="1"/>
  <c r="IH52" i="5"/>
  <c r="IG52" i="5"/>
  <c r="II52" i="5" s="1"/>
  <c r="IJ52" i="5" s="1"/>
  <c r="IL27" i="5"/>
  <c r="IK27" i="5"/>
  <c r="IM27" i="5" s="1"/>
  <c r="IN27" i="5" s="1"/>
  <c r="IK26" i="5"/>
  <c r="IL26" i="5"/>
  <c r="IG65" i="5"/>
  <c r="IH65" i="5"/>
  <c r="JA90" i="5"/>
  <c r="JB90" i="5"/>
  <c r="IG95" i="5"/>
  <c r="IH95" i="5"/>
  <c r="IG31" i="5"/>
  <c r="IH31" i="5"/>
  <c r="IG71" i="5"/>
  <c r="IH71" i="5"/>
  <c r="IK19" i="5"/>
  <c r="IL19" i="5"/>
  <c r="IG64" i="5"/>
  <c r="IH64" i="5"/>
  <c r="IG59" i="5"/>
  <c r="IH59" i="5"/>
  <c r="IG93" i="5"/>
  <c r="IH93" i="5"/>
  <c r="IH14" i="5"/>
  <c r="IG14" i="5"/>
  <c r="II14" i="5" s="1"/>
  <c r="IJ14" i="5" s="1"/>
  <c r="IG18" i="5"/>
  <c r="IH18" i="5"/>
  <c r="IC23" i="5"/>
  <c r="ID23" i="5"/>
  <c r="IL24" i="5"/>
  <c r="IK24" i="5"/>
  <c r="IM24" i="5" s="1"/>
  <c r="IN24" i="5" s="1"/>
  <c r="IG9" i="5"/>
  <c r="IH9" i="5"/>
  <c r="IG91" i="5"/>
  <c r="IH91" i="5"/>
  <c r="IK39" i="5"/>
  <c r="IL39" i="5"/>
  <c r="IG13" i="5"/>
  <c r="IH13" i="5"/>
  <c r="DG29" i="5"/>
  <c r="DH29" i="5"/>
  <c r="JM61" i="5"/>
  <c r="JN61" i="5"/>
  <c r="DD11" i="5"/>
  <c r="DC11" i="5"/>
  <c r="DE11" i="5" s="1"/>
  <c r="DF11" i="5" s="1"/>
  <c r="IK11" i="5"/>
  <c r="IL11" i="5"/>
  <c r="IH80" i="5"/>
  <c r="IG80" i="5"/>
  <c r="II80" i="5" s="1"/>
  <c r="IJ80" i="5" s="1"/>
  <c r="IH77" i="5"/>
  <c r="IG77" i="5"/>
  <c r="II77" i="5" s="1"/>
  <c r="IJ77" i="5" s="1"/>
  <c r="IL79" i="5"/>
  <c r="IK79" i="5"/>
  <c r="IM79" i="5" s="1"/>
  <c r="IN79" i="5" s="1"/>
  <c r="IL57" i="5"/>
  <c r="IK57" i="5"/>
  <c r="IM57" i="5" s="1"/>
  <c r="IN57" i="5" s="1"/>
  <c r="IG92" i="5"/>
  <c r="IH92" i="5"/>
  <c r="IH68" i="5"/>
  <c r="IG68" i="5"/>
  <c r="II68" i="5" s="1"/>
  <c r="IJ68" i="5" s="1"/>
  <c r="IG78" i="5"/>
  <c r="IH78" i="5"/>
  <c r="IH74" i="5"/>
  <c r="IG74" i="5"/>
  <c r="II74" i="5" s="1"/>
  <c r="IJ74" i="5" s="1"/>
  <c r="IL25" i="5"/>
  <c r="IK25" i="5"/>
  <c r="IM25" i="5" s="1"/>
  <c r="IN25" i="5" s="1"/>
  <c r="IH53" i="5"/>
  <c r="IG53" i="5"/>
  <c r="II53" i="5" s="1"/>
  <c r="IJ53" i="5" s="1"/>
  <c r="IH87" i="5"/>
  <c r="IG87" i="5"/>
  <c r="II87" i="5" s="1"/>
  <c r="IJ87" i="5" s="1"/>
  <c r="IG36" i="5"/>
  <c r="IH36" i="5"/>
  <c r="IH51" i="5"/>
  <c r="IG51" i="5"/>
  <c r="II51" i="5" s="1"/>
  <c r="IJ51" i="5" s="1"/>
  <c r="IH45" i="5"/>
  <c r="IG45" i="5"/>
  <c r="II45" i="5" s="1"/>
  <c r="IJ45" i="5" s="1"/>
  <c r="IH94" i="5"/>
  <c r="IG94" i="5"/>
  <c r="II94" i="5" s="1"/>
  <c r="IJ94" i="5" s="1"/>
  <c r="IH47" i="5"/>
  <c r="IG47" i="5"/>
  <c r="II47" i="5" s="1"/>
  <c r="IJ47" i="5" s="1"/>
  <c r="IH32" i="5"/>
  <c r="IG32" i="5"/>
  <c r="II32" i="5" s="1"/>
  <c r="IJ32" i="5" s="1"/>
  <c r="IH46" i="5"/>
  <c r="IG46" i="5"/>
  <c r="II46" i="5" s="1"/>
  <c r="IJ46" i="5" s="1"/>
  <c r="IH55" i="5"/>
  <c r="IG55" i="5"/>
  <c r="IH20" i="5"/>
  <c r="IG20" i="5"/>
  <c r="II20" i="5" s="1"/>
  <c r="IJ20" i="5" s="1"/>
  <c r="IH54" i="5"/>
  <c r="IG54" i="5"/>
  <c r="II54" i="5" s="1"/>
  <c r="IJ54" i="5" s="1"/>
  <c r="IH56" i="5"/>
  <c r="IG56" i="5"/>
  <c r="II56" i="5" s="1"/>
  <c r="IJ56" i="5" s="1"/>
  <c r="IH75" i="5"/>
  <c r="IG75" i="5"/>
  <c r="II75" i="5" s="1"/>
  <c r="IJ75" i="5" s="1"/>
  <c r="ID44" i="5"/>
  <c r="IC44" i="5"/>
  <c r="IE44" i="5" s="1"/>
  <c r="IF44" i="5" s="1"/>
  <c r="IL21" i="5"/>
  <c r="IK21" i="5"/>
  <c r="IM21" i="5" s="1"/>
  <c r="IN21" i="5" s="1"/>
  <c r="IH37" i="5"/>
  <c r="IG37" i="5"/>
  <c r="II37" i="5" s="1"/>
  <c r="IJ37" i="5" s="1"/>
  <c r="IH88" i="5"/>
  <c r="IG88" i="5"/>
  <c r="II88" i="5" s="1"/>
  <c r="IJ88" i="5" s="1"/>
  <c r="IH33" i="5"/>
  <c r="IG33" i="5"/>
  <c r="II33" i="5" s="1"/>
  <c r="IJ33" i="5" s="1"/>
  <c r="IH82" i="5"/>
  <c r="IG82" i="5"/>
  <c r="ID15" i="5"/>
  <c r="IC15" i="5"/>
  <c r="IE15" i="5" s="1"/>
  <c r="IF15" i="5" s="1"/>
  <c r="IH70" i="5"/>
  <c r="IG70" i="5"/>
  <c r="II70" i="5" s="1"/>
  <c r="IJ70" i="5" s="1"/>
  <c r="ID73" i="5"/>
  <c r="IC73" i="5"/>
  <c r="IE73" i="5" s="1"/>
  <c r="IF73" i="5" s="1"/>
  <c r="ID10" i="5"/>
  <c r="IC10" i="5"/>
  <c r="IE10" i="5" s="1"/>
  <c r="IF10" i="5" s="1"/>
  <c r="DS27" i="5"/>
  <c r="DT27" i="5"/>
  <c r="DO26" i="5"/>
  <c r="DP26" i="5"/>
  <c r="IK30" i="5"/>
  <c r="IL30" i="5"/>
  <c r="DK59" i="5"/>
  <c r="DL59" i="5"/>
  <c r="IG29" i="5"/>
  <c r="IH29" i="5"/>
  <c r="DO86" i="5"/>
  <c r="DP86" i="5"/>
  <c r="ID16" i="5"/>
  <c r="IC16" i="5"/>
  <c r="IE16" i="5" s="1"/>
  <c r="IF16" i="5" s="1"/>
  <c r="CV17" i="5"/>
  <c r="CU17" i="5"/>
  <c r="CW17" i="5" s="1"/>
  <c r="CX17" i="5" s="1"/>
  <c r="EA35" i="5"/>
  <c r="EB35" i="5"/>
  <c r="DK31" i="5"/>
  <c r="DL31" i="5"/>
  <c r="DG28" i="5"/>
  <c r="DH28" i="5"/>
  <c r="DC12" i="5"/>
  <c r="DD12" i="5"/>
  <c r="CQ81" i="5"/>
  <c r="CR81" i="5"/>
  <c r="CQ73" i="5"/>
  <c r="CR73" i="5"/>
  <c r="CQ77" i="5"/>
  <c r="CR77" i="5"/>
  <c r="CM71" i="5"/>
  <c r="CN71" i="5"/>
  <c r="CM8" i="5"/>
  <c r="CN8" i="5"/>
  <c r="CQ55" i="5"/>
  <c r="CR55" i="5"/>
  <c r="CQ18" i="5"/>
  <c r="CR18" i="5"/>
  <c r="CM91" i="5"/>
  <c r="CN91" i="5"/>
  <c r="CM94" i="5"/>
  <c r="CN94" i="5"/>
  <c r="CM80" i="5"/>
  <c r="CN80" i="5"/>
  <c r="CM54" i="5"/>
  <c r="CN54" i="5"/>
  <c r="CM70" i="5"/>
  <c r="CN70" i="5"/>
  <c r="JO76" i="5"/>
  <c r="JP76" i="5" s="1"/>
  <c r="II22" i="5"/>
  <c r="IJ22" i="5" s="1"/>
  <c r="II8" i="5"/>
  <c r="IJ8" i="5" s="1"/>
  <c r="IM69" i="5"/>
  <c r="IN69" i="5" s="1"/>
  <c r="IE17" i="5"/>
  <c r="IF17" i="5" s="1"/>
  <c r="II81" i="5"/>
  <c r="IJ81" i="5" s="1"/>
  <c r="IE43" i="5"/>
  <c r="IF43" i="5" s="1"/>
  <c r="II58" i="5"/>
  <c r="IJ58" i="5" s="1"/>
  <c r="II49" i="5"/>
  <c r="IJ49" i="5" s="1"/>
  <c r="DQ41" i="5"/>
  <c r="DR41" i="5" s="1"/>
  <c r="IA50" i="5"/>
  <c r="IB50" i="5" s="1"/>
  <c r="DU10" i="5"/>
  <c r="DV10" i="5" s="1"/>
  <c r="DA30" i="5"/>
  <c r="DB30" i="5" s="1"/>
  <c r="II66" i="5"/>
  <c r="IJ66" i="5" s="1"/>
  <c r="IE86" i="5"/>
  <c r="IF86" i="5" s="1"/>
  <c r="DE22" i="5"/>
  <c r="DF22" i="5" s="1"/>
  <c r="IE42" i="5"/>
  <c r="IF42" i="5" s="1"/>
  <c r="IE84" i="5"/>
  <c r="IF84" i="5" s="1"/>
  <c r="IE38" i="5"/>
  <c r="IF38" i="5" s="1"/>
  <c r="DU49" i="5"/>
  <c r="DV49" i="5" s="1"/>
  <c r="DE13" i="5"/>
  <c r="DF13" i="5" s="1"/>
  <c r="DQ66" i="5"/>
  <c r="DR66" i="5" s="1"/>
  <c r="DY56" i="5"/>
  <c r="DZ56" i="5" s="1"/>
  <c r="CW36" i="5"/>
  <c r="CX36" i="5" s="1"/>
  <c r="DM53" i="5"/>
  <c r="DN53" i="5" s="1"/>
  <c r="DE52" i="5"/>
  <c r="DF52" i="5" s="1"/>
  <c r="DM24" i="5"/>
  <c r="DN24" i="5" s="1"/>
  <c r="DM25" i="5"/>
  <c r="DN25" i="5" s="1"/>
  <c r="DA64" i="5"/>
  <c r="DB64" i="5" s="1"/>
  <c r="IA40" i="5"/>
  <c r="IB40" i="5" s="1"/>
  <c r="EG67" i="5"/>
  <c r="EH67" i="5" s="1"/>
  <c r="CW95" i="5"/>
  <c r="CX95" i="5" s="1"/>
  <c r="CW20" i="5"/>
  <c r="CX20" i="5" s="1"/>
  <c r="CS19" i="5"/>
  <c r="CT19" i="5" s="1"/>
  <c r="CO65" i="5"/>
  <c r="CP65" i="5" s="1"/>
  <c r="HO89" i="5"/>
  <c r="HP89" i="5" s="1"/>
  <c r="CO58" i="5"/>
  <c r="CP58" i="5" s="1"/>
  <c r="DE74" i="5"/>
  <c r="DF74" i="5" s="1"/>
  <c r="DA14" i="5"/>
  <c r="DB14" i="5" s="1"/>
  <c r="IS48" i="5" l="1"/>
  <c r="IT48" i="5"/>
  <c r="CY84" i="5"/>
  <c r="CZ84" i="5"/>
  <c r="EI33" i="5"/>
  <c r="EJ33" i="5"/>
  <c r="DO23" i="5"/>
  <c r="DP23" i="5"/>
  <c r="DK76" i="5"/>
  <c r="DL76" i="5"/>
  <c r="DG93" i="5"/>
  <c r="DH93" i="5"/>
  <c r="DG15" i="5"/>
  <c r="DH15" i="5"/>
  <c r="EA62" i="5"/>
  <c r="EB62" i="5"/>
  <c r="DP85" i="5"/>
  <c r="DO85" i="5"/>
  <c r="DQ85" i="5" s="1"/>
  <c r="DR85" i="5" s="1"/>
  <c r="DD72" i="5"/>
  <c r="DC72" i="5"/>
  <c r="DE72" i="5" s="1"/>
  <c r="DF72" i="5" s="1"/>
  <c r="DP50" i="5"/>
  <c r="DO50" i="5"/>
  <c r="DQ50" i="5" s="1"/>
  <c r="DR50" i="5" s="1"/>
  <c r="DU44" i="5"/>
  <c r="DV44" i="5" s="1"/>
  <c r="DE92" i="5"/>
  <c r="DF92" i="5" s="1"/>
  <c r="JS96" i="5"/>
  <c r="JT96" i="5" s="1"/>
  <c r="II18" i="5"/>
  <c r="IJ18" i="5" s="1"/>
  <c r="CS77" i="5"/>
  <c r="CT77" i="5" s="1"/>
  <c r="IK28" i="5"/>
  <c r="IM28" i="5" s="1"/>
  <c r="IN28" i="5" s="1"/>
  <c r="IL28" i="5"/>
  <c r="IK41" i="5"/>
  <c r="IM41" i="5" s="1"/>
  <c r="IN41" i="5" s="1"/>
  <c r="IL41" i="5"/>
  <c r="CY79" i="5"/>
  <c r="CZ79" i="5"/>
  <c r="IH85" i="5"/>
  <c r="IG85" i="5"/>
  <c r="II85" i="5" s="1"/>
  <c r="IJ85" i="5" s="1"/>
  <c r="DX96" i="5"/>
  <c r="DW96" i="5"/>
  <c r="DY96" i="5" s="1"/>
  <c r="DZ96" i="5" s="1"/>
  <c r="EB39" i="5"/>
  <c r="EA39" i="5"/>
  <c r="EC39" i="5" s="1"/>
  <c r="ED39" i="5" s="1"/>
  <c r="EB78" i="5"/>
  <c r="EA78" i="5"/>
  <c r="EC78" i="5" s="1"/>
  <c r="ED78" i="5" s="1"/>
  <c r="EV21" i="5"/>
  <c r="EU21" i="5"/>
  <c r="EW21" i="5" s="1"/>
  <c r="EX21" i="5" s="1"/>
  <c r="EV32" i="5"/>
  <c r="EU32" i="5"/>
  <c r="EW32" i="5" s="1"/>
  <c r="EX32" i="5" s="1"/>
  <c r="EV34" i="5"/>
  <c r="EU34" i="5"/>
  <c r="EW34" i="5" s="1"/>
  <c r="EX34" i="5" s="1"/>
  <c r="EV46" i="5"/>
  <c r="EU46" i="5"/>
  <c r="EW46" i="5" s="1"/>
  <c r="EX46" i="5" s="1"/>
  <c r="EV47" i="5"/>
  <c r="EU47" i="5"/>
  <c r="EW47" i="5" s="1"/>
  <c r="EX47" i="5" s="1"/>
  <c r="EV48" i="5"/>
  <c r="EU48" i="5"/>
  <c r="EW48" i="5" s="1"/>
  <c r="EX48" i="5" s="1"/>
  <c r="EV60" i="5"/>
  <c r="EU60" i="5"/>
  <c r="EW60" i="5" s="1"/>
  <c r="EX60" i="5" s="1"/>
  <c r="EV61" i="5"/>
  <c r="EU61" i="5"/>
  <c r="EW61" i="5" s="1"/>
  <c r="EX61" i="5" s="1"/>
  <c r="EV90" i="5"/>
  <c r="EU90" i="5"/>
  <c r="EW90" i="5" s="1"/>
  <c r="EX90" i="5" s="1"/>
  <c r="ER68" i="5"/>
  <c r="EQ68" i="5"/>
  <c r="ES68" i="5" s="1"/>
  <c r="ET68" i="5" s="1"/>
  <c r="EN82" i="5"/>
  <c r="EM82" i="5"/>
  <c r="EO82" i="5" s="1"/>
  <c r="EP82" i="5" s="1"/>
  <c r="EF78" i="5"/>
  <c r="EE78" i="5"/>
  <c r="EG78" i="5" s="1"/>
  <c r="EH78" i="5" s="1"/>
  <c r="EI45" i="5"/>
  <c r="EJ45" i="5"/>
  <c r="EB87" i="5"/>
  <c r="EA87" i="5"/>
  <c r="EC87" i="5" s="1"/>
  <c r="ED87" i="5" s="1"/>
  <c r="EB63" i="5"/>
  <c r="EA63" i="5"/>
  <c r="EC63" i="5" s="1"/>
  <c r="ED63" i="5" s="1"/>
  <c r="JB34" i="5"/>
  <c r="JA34" i="5"/>
  <c r="JC34" i="5" s="1"/>
  <c r="JD34" i="5" s="1"/>
  <c r="DX16" i="5"/>
  <c r="DW16" i="5"/>
  <c r="DY16" i="5" s="1"/>
  <c r="DZ16" i="5" s="1"/>
  <c r="EJ51" i="5"/>
  <c r="EI51" i="5"/>
  <c r="EK51" i="5" s="1"/>
  <c r="EL51" i="5" s="1"/>
  <c r="EQ57" i="5"/>
  <c r="ER57" i="5"/>
  <c r="DT83" i="5"/>
  <c r="DS83" i="5"/>
  <c r="DU83" i="5" s="1"/>
  <c r="DV83" i="5" s="1"/>
  <c r="DL43" i="5"/>
  <c r="DK43" i="5"/>
  <c r="DM43" i="5" s="1"/>
  <c r="DN43" i="5" s="1"/>
  <c r="DD9" i="5"/>
  <c r="DC9" i="5"/>
  <c r="DE9" i="5" s="1"/>
  <c r="DF9" i="5" s="1"/>
  <c r="EF89" i="5"/>
  <c r="EE89" i="5"/>
  <c r="EG89" i="5" s="1"/>
  <c r="EH89" i="5" s="1"/>
  <c r="DD42" i="5"/>
  <c r="DC42" i="5"/>
  <c r="DE42" i="5" s="1"/>
  <c r="DF42" i="5" s="1"/>
  <c r="DX75" i="5"/>
  <c r="DW75" i="5"/>
  <c r="DY75" i="5" s="1"/>
  <c r="DZ75" i="5" s="1"/>
  <c r="DX37" i="5"/>
  <c r="DW37" i="5"/>
  <c r="DY37" i="5" s="1"/>
  <c r="DZ37" i="5" s="1"/>
  <c r="DD38" i="5"/>
  <c r="DC38" i="5"/>
  <c r="DE38" i="5" s="1"/>
  <c r="DF38" i="5" s="1"/>
  <c r="ID62" i="5"/>
  <c r="IC62" i="5"/>
  <c r="IE62" i="5" s="1"/>
  <c r="IF62" i="5" s="1"/>
  <c r="IP83" i="5"/>
  <c r="IO83" i="5"/>
  <c r="IQ83" i="5" s="1"/>
  <c r="IR83" i="5" s="1"/>
  <c r="IK35" i="5"/>
  <c r="IL35" i="5"/>
  <c r="IK12" i="5"/>
  <c r="IL12" i="5"/>
  <c r="IL52" i="5"/>
  <c r="IK52" i="5"/>
  <c r="IM52" i="5" s="1"/>
  <c r="IN52" i="5" s="1"/>
  <c r="IO27" i="5"/>
  <c r="IP27" i="5"/>
  <c r="IK14" i="5"/>
  <c r="IL14" i="5"/>
  <c r="IO24" i="5"/>
  <c r="IP24" i="5"/>
  <c r="DG11" i="5"/>
  <c r="DH11" i="5"/>
  <c r="IK80" i="5"/>
  <c r="IL80" i="5"/>
  <c r="IK77" i="5"/>
  <c r="IL77" i="5"/>
  <c r="IO79" i="5"/>
  <c r="IP79" i="5"/>
  <c r="IO57" i="5"/>
  <c r="IP57" i="5"/>
  <c r="IL68" i="5"/>
  <c r="IK68" i="5"/>
  <c r="IM68" i="5" s="1"/>
  <c r="IN68" i="5" s="1"/>
  <c r="IK74" i="5"/>
  <c r="IL74" i="5"/>
  <c r="IO25" i="5"/>
  <c r="IP25" i="5"/>
  <c r="IL53" i="5"/>
  <c r="IK53" i="5"/>
  <c r="IM53" i="5" s="1"/>
  <c r="IN53" i="5" s="1"/>
  <c r="IK87" i="5"/>
  <c r="IL87" i="5"/>
  <c r="IK51" i="5"/>
  <c r="IL51" i="5"/>
  <c r="IK45" i="5"/>
  <c r="IL45" i="5"/>
  <c r="IK94" i="5"/>
  <c r="IL94" i="5"/>
  <c r="IK47" i="5"/>
  <c r="IL47" i="5"/>
  <c r="IK32" i="5"/>
  <c r="IL32" i="5"/>
  <c r="IK46" i="5"/>
  <c r="IL46" i="5"/>
  <c r="IK20" i="5"/>
  <c r="IL20" i="5"/>
  <c r="IK54" i="5"/>
  <c r="IL54" i="5"/>
  <c r="IK56" i="5"/>
  <c r="IL56" i="5"/>
  <c r="IK75" i="5"/>
  <c r="IL75" i="5"/>
  <c r="IG44" i="5"/>
  <c r="IH44" i="5"/>
  <c r="IO21" i="5"/>
  <c r="IP21" i="5"/>
  <c r="IL37" i="5"/>
  <c r="IK37" i="5"/>
  <c r="IM37" i="5" s="1"/>
  <c r="IN37" i="5" s="1"/>
  <c r="IK88" i="5"/>
  <c r="IL88" i="5"/>
  <c r="IK33" i="5"/>
  <c r="IL33" i="5"/>
  <c r="IG15" i="5"/>
  <c r="IH15" i="5"/>
  <c r="IK70" i="5"/>
  <c r="IL70" i="5"/>
  <c r="IH73" i="5"/>
  <c r="IG73" i="5"/>
  <c r="II73" i="5" s="1"/>
  <c r="IJ73" i="5" s="1"/>
  <c r="IG10" i="5"/>
  <c r="IH10" i="5"/>
  <c r="IG16" i="5"/>
  <c r="IH16" i="5"/>
  <c r="CZ17" i="5"/>
  <c r="CY17" i="5"/>
  <c r="DA17" i="5" s="1"/>
  <c r="DB17" i="5" s="1"/>
  <c r="JQ76" i="5"/>
  <c r="JR76" i="5"/>
  <c r="IL22" i="5"/>
  <c r="IK22" i="5"/>
  <c r="IM22" i="5" s="1"/>
  <c r="IN22" i="5" s="1"/>
  <c r="IL8" i="5"/>
  <c r="IK8" i="5"/>
  <c r="IM8" i="5" s="1"/>
  <c r="IN8" i="5" s="1"/>
  <c r="IL60" i="5"/>
  <c r="IK60" i="5"/>
  <c r="IM60" i="5" s="1"/>
  <c r="IN60" i="5" s="1"/>
  <c r="DG88" i="5"/>
  <c r="DH88" i="5"/>
  <c r="IP69" i="5"/>
  <c r="IO69" i="5"/>
  <c r="IQ69" i="5" s="1"/>
  <c r="IR69" i="5" s="1"/>
  <c r="IH17" i="5"/>
  <c r="IG17" i="5"/>
  <c r="II17" i="5" s="1"/>
  <c r="IJ17" i="5" s="1"/>
  <c r="IL81" i="5"/>
  <c r="IK81" i="5"/>
  <c r="IM81" i="5" s="1"/>
  <c r="IN81" i="5" s="1"/>
  <c r="IG43" i="5"/>
  <c r="IH43" i="5"/>
  <c r="IL58" i="5"/>
  <c r="IK58" i="5"/>
  <c r="IM58" i="5" s="1"/>
  <c r="IN58" i="5" s="1"/>
  <c r="IL49" i="5"/>
  <c r="IK49" i="5"/>
  <c r="IM49" i="5" s="1"/>
  <c r="IN49" i="5" s="1"/>
  <c r="DS41" i="5"/>
  <c r="DT41" i="5"/>
  <c r="IC50" i="5"/>
  <c r="ID50" i="5"/>
  <c r="DX10" i="5"/>
  <c r="DW10" i="5"/>
  <c r="DC30" i="5"/>
  <c r="DD30" i="5"/>
  <c r="IL66" i="5"/>
  <c r="IK66" i="5"/>
  <c r="IM66" i="5" s="1"/>
  <c r="IN66" i="5" s="1"/>
  <c r="IH86" i="5"/>
  <c r="IG86" i="5"/>
  <c r="II86" i="5" s="1"/>
  <c r="IJ86" i="5" s="1"/>
  <c r="DH22" i="5"/>
  <c r="DG22" i="5"/>
  <c r="DI22" i="5" s="1"/>
  <c r="DJ22" i="5" s="1"/>
  <c r="IH42" i="5"/>
  <c r="IG42" i="5"/>
  <c r="II42" i="5" s="1"/>
  <c r="IJ42" i="5" s="1"/>
  <c r="IH84" i="5"/>
  <c r="IG84" i="5"/>
  <c r="II84" i="5" s="1"/>
  <c r="IJ84" i="5" s="1"/>
  <c r="IH38" i="5"/>
  <c r="IG38" i="5"/>
  <c r="II38" i="5" s="1"/>
  <c r="IJ38" i="5" s="1"/>
  <c r="DW49" i="5"/>
  <c r="DX49" i="5"/>
  <c r="DG13" i="5"/>
  <c r="DH13" i="5"/>
  <c r="DS66" i="5"/>
  <c r="DT66" i="5"/>
  <c r="EB56" i="5"/>
  <c r="EA56" i="5"/>
  <c r="CY36" i="5"/>
  <c r="CZ36" i="5"/>
  <c r="DO53" i="5"/>
  <c r="DP53" i="5"/>
  <c r="DG52" i="5"/>
  <c r="DH52" i="5"/>
  <c r="DO24" i="5"/>
  <c r="DP24" i="5"/>
  <c r="DO25" i="5"/>
  <c r="DP25" i="5"/>
  <c r="DC64" i="5"/>
  <c r="DD64" i="5"/>
  <c r="ID40" i="5"/>
  <c r="IC40" i="5"/>
  <c r="IE40" i="5" s="1"/>
  <c r="IF40" i="5" s="1"/>
  <c r="EI67" i="5"/>
  <c r="EJ67" i="5"/>
  <c r="CY95" i="5"/>
  <c r="CZ95" i="5"/>
  <c r="CY20" i="5"/>
  <c r="CZ20" i="5"/>
  <c r="CU19" i="5"/>
  <c r="CV19" i="5"/>
  <c r="CQ65" i="5"/>
  <c r="CR65" i="5"/>
  <c r="HQ89" i="5"/>
  <c r="HR89" i="5"/>
  <c r="CQ58" i="5"/>
  <c r="CR58" i="5"/>
  <c r="DG74" i="5"/>
  <c r="DH74" i="5"/>
  <c r="DC14" i="5"/>
  <c r="DD14" i="5"/>
  <c r="DE69" i="5"/>
  <c r="DF69" i="5" s="1"/>
  <c r="DE40" i="5"/>
  <c r="DF40" i="5" s="1"/>
  <c r="II72" i="5"/>
  <c r="IJ72" i="5" s="1"/>
  <c r="IM63" i="5"/>
  <c r="IN63" i="5" s="1"/>
  <c r="II67" i="5"/>
  <c r="IJ67" i="5" s="1"/>
  <c r="IM26" i="5"/>
  <c r="IN26" i="5" s="1"/>
  <c r="II65" i="5"/>
  <c r="IJ65" i="5" s="1"/>
  <c r="JC90" i="5"/>
  <c r="JD90" i="5" s="1"/>
  <c r="II95" i="5"/>
  <c r="IJ95" i="5" s="1"/>
  <c r="II31" i="5"/>
  <c r="IJ31" i="5" s="1"/>
  <c r="II71" i="5"/>
  <c r="IJ71" i="5" s="1"/>
  <c r="IM19" i="5"/>
  <c r="IN19" i="5" s="1"/>
  <c r="II64" i="5"/>
  <c r="IJ64" i="5" s="1"/>
  <c r="II59" i="5"/>
  <c r="IJ59" i="5" s="1"/>
  <c r="II93" i="5"/>
  <c r="IJ93" i="5" s="1"/>
  <c r="II92" i="5"/>
  <c r="IJ92" i="5" s="1"/>
  <c r="IE23" i="5"/>
  <c r="IF23" i="5" s="1"/>
  <c r="II9" i="5"/>
  <c r="IJ9" i="5" s="1"/>
  <c r="II91" i="5"/>
  <c r="IJ91" i="5" s="1"/>
  <c r="IM39" i="5"/>
  <c r="IN39" i="5" s="1"/>
  <c r="II13" i="5"/>
  <c r="IJ13" i="5" s="1"/>
  <c r="DA79" i="5"/>
  <c r="DB79" i="5" s="1"/>
  <c r="DI29" i="5"/>
  <c r="DJ29" i="5" s="1"/>
  <c r="JO61" i="5"/>
  <c r="JP61" i="5" s="1"/>
  <c r="IM11" i="5"/>
  <c r="IN11" i="5" s="1"/>
  <c r="II78" i="5"/>
  <c r="IJ78" i="5" s="1"/>
  <c r="II36" i="5"/>
  <c r="IJ36" i="5" s="1"/>
  <c r="II55" i="5"/>
  <c r="IJ55" i="5" s="1"/>
  <c r="DU27" i="5"/>
  <c r="DV27" i="5" s="1"/>
  <c r="DQ26" i="5"/>
  <c r="DR26" i="5" s="1"/>
  <c r="IM30" i="5"/>
  <c r="IN30" i="5" s="1"/>
  <c r="DM59" i="5"/>
  <c r="DN59" i="5" s="1"/>
  <c r="II29" i="5"/>
  <c r="IJ29" i="5" s="1"/>
  <c r="II82" i="5"/>
  <c r="IJ82" i="5" s="1"/>
  <c r="DQ86" i="5"/>
  <c r="DR86" i="5" s="1"/>
  <c r="EC35" i="5"/>
  <c r="ED35" i="5" s="1"/>
  <c r="DM31" i="5"/>
  <c r="DN31" i="5" s="1"/>
  <c r="DI28" i="5"/>
  <c r="DJ28" i="5" s="1"/>
  <c r="DE12" i="5"/>
  <c r="DF12" i="5" s="1"/>
  <c r="CS81" i="5"/>
  <c r="CT81" i="5" s="1"/>
  <c r="CS73" i="5"/>
  <c r="CT73" i="5" s="1"/>
  <c r="CO71" i="5"/>
  <c r="CP71" i="5" s="1"/>
  <c r="CO8" i="5"/>
  <c r="CP8" i="5" s="1"/>
  <c r="CS55" i="5"/>
  <c r="CT55" i="5" s="1"/>
  <c r="CS18" i="5"/>
  <c r="CT18" i="5" s="1"/>
  <c r="CO91" i="5"/>
  <c r="CP91" i="5" s="1"/>
  <c r="CO94" i="5"/>
  <c r="CP94" i="5" s="1"/>
  <c r="CO80" i="5"/>
  <c r="CP80" i="5" s="1"/>
  <c r="CO54" i="5"/>
  <c r="CP54" i="5" s="1"/>
  <c r="CO70" i="5"/>
  <c r="CP70" i="5" s="1"/>
  <c r="DS85" i="5" l="1"/>
  <c r="DT85" i="5"/>
  <c r="DG72" i="5"/>
  <c r="DH72" i="5"/>
  <c r="DS50" i="5"/>
  <c r="DT50" i="5"/>
  <c r="DX44" i="5"/>
  <c r="DW44" i="5"/>
  <c r="DY44" i="5" s="1"/>
  <c r="DZ44" i="5" s="1"/>
  <c r="DH92" i="5"/>
  <c r="DG92" i="5"/>
  <c r="DI92" i="5" s="1"/>
  <c r="DJ92" i="5" s="1"/>
  <c r="IU48" i="5"/>
  <c r="IV48" i="5" s="1"/>
  <c r="DA84" i="5"/>
  <c r="DB84" i="5" s="1"/>
  <c r="EK33" i="5"/>
  <c r="EL33" i="5" s="1"/>
  <c r="DQ23" i="5"/>
  <c r="DR23" i="5" s="1"/>
  <c r="DM76" i="5"/>
  <c r="DN76" i="5" s="1"/>
  <c r="DI93" i="5"/>
  <c r="DJ93" i="5" s="1"/>
  <c r="DI15" i="5"/>
  <c r="DJ15" i="5" s="1"/>
  <c r="EC62" i="5"/>
  <c r="ED62" i="5" s="1"/>
  <c r="IM47" i="5"/>
  <c r="IN47" i="5" s="1"/>
  <c r="JS76" i="5"/>
  <c r="JT76" i="5" s="1"/>
  <c r="DY10" i="5"/>
  <c r="DZ10" i="5" s="1"/>
  <c r="EC56" i="5"/>
  <c r="ED56" i="5" s="1"/>
  <c r="CS58" i="5"/>
  <c r="CT58" i="5" s="1"/>
  <c r="JV96" i="5"/>
  <c r="JU96" i="5"/>
  <c r="JW96" i="5" s="1"/>
  <c r="JX96" i="5" s="1"/>
  <c r="IK18" i="5"/>
  <c r="IM18" i="5" s="1"/>
  <c r="IN18" i="5" s="1"/>
  <c r="IL18" i="5"/>
  <c r="CV77" i="5"/>
  <c r="CU77" i="5"/>
  <c r="CW77" i="5" s="1"/>
  <c r="CX77" i="5" s="1"/>
  <c r="IK85" i="5"/>
  <c r="IM85" i="5" s="1"/>
  <c r="IN85" i="5" s="1"/>
  <c r="IL85" i="5"/>
  <c r="EB96" i="5"/>
  <c r="EA96" i="5"/>
  <c r="EC96" i="5" s="1"/>
  <c r="ED96" i="5" s="1"/>
  <c r="EF39" i="5"/>
  <c r="EE39" i="5"/>
  <c r="EG39" i="5" s="1"/>
  <c r="EH39" i="5" s="1"/>
  <c r="EZ21" i="5"/>
  <c r="EY21" i="5"/>
  <c r="KA21" i="5" s="1"/>
  <c r="EZ32" i="5"/>
  <c r="EY32" i="5"/>
  <c r="EZ34" i="5"/>
  <c r="EY34" i="5"/>
  <c r="KA34" i="5" s="1"/>
  <c r="EZ46" i="5"/>
  <c r="EY46" i="5"/>
  <c r="KA46" i="5" s="1"/>
  <c r="EZ47" i="5"/>
  <c r="EY47" i="5"/>
  <c r="KA47" i="5" s="1"/>
  <c r="EZ48" i="5"/>
  <c r="EY48" i="5"/>
  <c r="KA48" i="5" s="1"/>
  <c r="EZ60" i="5"/>
  <c r="EY60" i="5"/>
  <c r="KA60" i="5" s="1"/>
  <c r="EZ61" i="5"/>
  <c r="EY61" i="5"/>
  <c r="KA61" i="5" s="1"/>
  <c r="EZ90" i="5"/>
  <c r="EY90" i="5"/>
  <c r="KA90" i="5" s="1"/>
  <c r="EV68" i="5"/>
  <c r="EU68" i="5"/>
  <c r="EW68" i="5" s="1"/>
  <c r="EX68" i="5" s="1"/>
  <c r="ER82" i="5"/>
  <c r="EQ82" i="5"/>
  <c r="ES82" i="5" s="1"/>
  <c r="ET82" i="5" s="1"/>
  <c r="EJ78" i="5"/>
  <c r="EI78" i="5"/>
  <c r="EK78" i="5" s="1"/>
  <c r="EL78" i="5" s="1"/>
  <c r="EF87" i="5"/>
  <c r="EE87" i="5"/>
  <c r="EG87" i="5" s="1"/>
  <c r="EH87" i="5" s="1"/>
  <c r="EF63" i="5"/>
  <c r="EE63" i="5"/>
  <c r="EG63" i="5" s="1"/>
  <c r="EH63" i="5" s="1"/>
  <c r="JF34" i="5"/>
  <c r="JE34" i="5"/>
  <c r="JG34" i="5" s="1"/>
  <c r="JH34" i="5" s="1"/>
  <c r="EB16" i="5"/>
  <c r="EA16" i="5"/>
  <c r="EC16" i="5" s="1"/>
  <c r="ED16" i="5" s="1"/>
  <c r="EN51" i="5"/>
  <c r="EM51" i="5"/>
  <c r="EO51" i="5" s="1"/>
  <c r="EP51" i="5" s="1"/>
  <c r="DX83" i="5"/>
  <c r="DW83" i="5"/>
  <c r="DY83" i="5" s="1"/>
  <c r="DZ83" i="5" s="1"/>
  <c r="DP43" i="5"/>
  <c r="DO43" i="5"/>
  <c r="DQ43" i="5" s="1"/>
  <c r="DR43" i="5" s="1"/>
  <c r="DH9" i="5"/>
  <c r="DG9" i="5"/>
  <c r="DI9" i="5" s="1"/>
  <c r="DJ9" i="5" s="1"/>
  <c r="EJ89" i="5"/>
  <c r="EI89" i="5"/>
  <c r="EK89" i="5" s="1"/>
  <c r="EL89" i="5" s="1"/>
  <c r="DG42" i="5"/>
  <c r="DH42" i="5"/>
  <c r="EB75" i="5"/>
  <c r="EA75" i="5"/>
  <c r="EC75" i="5" s="1"/>
  <c r="ED75" i="5" s="1"/>
  <c r="EB37" i="5"/>
  <c r="EA37" i="5"/>
  <c r="EC37" i="5" s="1"/>
  <c r="ED37" i="5" s="1"/>
  <c r="DH38" i="5"/>
  <c r="DG38" i="5"/>
  <c r="IH62" i="5"/>
  <c r="IG62" i="5"/>
  <c r="II62" i="5" s="1"/>
  <c r="IJ62" i="5" s="1"/>
  <c r="IT83" i="5"/>
  <c r="IS83" i="5"/>
  <c r="IO52" i="5"/>
  <c r="IP52" i="5"/>
  <c r="IP68" i="5"/>
  <c r="IO68" i="5"/>
  <c r="IQ68" i="5" s="1"/>
  <c r="IR68" i="5" s="1"/>
  <c r="IO53" i="5"/>
  <c r="IP53" i="5"/>
  <c r="IP37" i="5"/>
  <c r="IO37" i="5"/>
  <c r="IQ37" i="5" s="1"/>
  <c r="IR37" i="5" s="1"/>
  <c r="IK73" i="5"/>
  <c r="IL73" i="5"/>
  <c r="DD17" i="5"/>
  <c r="DC17" i="5"/>
  <c r="DE17" i="5" s="1"/>
  <c r="DF17" i="5" s="1"/>
  <c r="IP22" i="5"/>
  <c r="IO22" i="5"/>
  <c r="IQ22" i="5" s="1"/>
  <c r="IR22" i="5" s="1"/>
  <c r="IP8" i="5"/>
  <c r="IO8" i="5"/>
  <c r="IQ8" i="5" s="1"/>
  <c r="IR8" i="5" s="1"/>
  <c r="IO60" i="5"/>
  <c r="IP60" i="5"/>
  <c r="IT69" i="5"/>
  <c r="IS69" i="5"/>
  <c r="IU69" i="5" s="1"/>
  <c r="IV69" i="5" s="1"/>
  <c r="IL17" i="5"/>
  <c r="IK17" i="5"/>
  <c r="IM17" i="5" s="1"/>
  <c r="IN17" i="5" s="1"/>
  <c r="IO81" i="5"/>
  <c r="IP81" i="5"/>
  <c r="IO58" i="5"/>
  <c r="IP58" i="5"/>
  <c r="IO49" i="5"/>
  <c r="IP49" i="5"/>
  <c r="IO66" i="5"/>
  <c r="IP66" i="5"/>
  <c r="IK86" i="5"/>
  <c r="IL86" i="5"/>
  <c r="DL22" i="5"/>
  <c r="DK22" i="5"/>
  <c r="DM22" i="5" s="1"/>
  <c r="DN22" i="5" s="1"/>
  <c r="IK42" i="5"/>
  <c r="IL42" i="5"/>
  <c r="IK84" i="5"/>
  <c r="IL84" i="5"/>
  <c r="IK38" i="5"/>
  <c r="IL38" i="5"/>
  <c r="IG40" i="5"/>
  <c r="IH40" i="5"/>
  <c r="DG69" i="5"/>
  <c r="DH69" i="5"/>
  <c r="DG40" i="5"/>
  <c r="DH40" i="5"/>
  <c r="IL72" i="5"/>
  <c r="IK72" i="5"/>
  <c r="IM72" i="5" s="1"/>
  <c r="IN72" i="5" s="1"/>
  <c r="IO63" i="5"/>
  <c r="IP63" i="5"/>
  <c r="IP28" i="5"/>
  <c r="IO28" i="5"/>
  <c r="IQ28" i="5" s="1"/>
  <c r="IR28" i="5" s="1"/>
  <c r="IP41" i="5"/>
  <c r="IO41" i="5"/>
  <c r="IQ41" i="5" s="1"/>
  <c r="IR41" i="5" s="1"/>
  <c r="IL67" i="5"/>
  <c r="IK67" i="5"/>
  <c r="IM67" i="5" s="1"/>
  <c r="IN67" i="5" s="1"/>
  <c r="IO26" i="5"/>
  <c r="IP26" i="5"/>
  <c r="IL65" i="5"/>
  <c r="IK65" i="5"/>
  <c r="IM65" i="5" s="1"/>
  <c r="IN65" i="5" s="1"/>
  <c r="JF90" i="5"/>
  <c r="JE90" i="5"/>
  <c r="JG90" i="5" s="1"/>
  <c r="JH90" i="5" s="1"/>
  <c r="IL95" i="5"/>
  <c r="IK95" i="5"/>
  <c r="IM95" i="5" s="1"/>
  <c r="IN95" i="5" s="1"/>
  <c r="IL31" i="5"/>
  <c r="IK31" i="5"/>
  <c r="IM31" i="5" s="1"/>
  <c r="IN31" i="5" s="1"/>
  <c r="IL71" i="5"/>
  <c r="IK71" i="5"/>
  <c r="IM71" i="5" s="1"/>
  <c r="IN71" i="5" s="1"/>
  <c r="IP19" i="5"/>
  <c r="IO19" i="5"/>
  <c r="IQ19" i="5" s="1"/>
  <c r="IR19" i="5" s="1"/>
  <c r="IL64" i="5"/>
  <c r="IK64" i="5"/>
  <c r="IM64" i="5" s="1"/>
  <c r="IN64" i="5" s="1"/>
  <c r="IL59" i="5"/>
  <c r="IK59" i="5"/>
  <c r="IM59" i="5" s="1"/>
  <c r="IN59" i="5" s="1"/>
  <c r="IL93" i="5"/>
  <c r="IK93" i="5"/>
  <c r="IL92" i="5"/>
  <c r="IK92" i="5"/>
  <c r="IM92" i="5" s="1"/>
  <c r="IN92" i="5" s="1"/>
  <c r="IH23" i="5"/>
  <c r="IG23" i="5"/>
  <c r="II23" i="5" s="1"/>
  <c r="IJ23" i="5" s="1"/>
  <c r="IL9" i="5"/>
  <c r="IK9" i="5"/>
  <c r="IM9" i="5" s="1"/>
  <c r="IN9" i="5" s="1"/>
  <c r="IL91" i="5"/>
  <c r="IK91" i="5"/>
  <c r="IM91" i="5" s="1"/>
  <c r="IN91" i="5" s="1"/>
  <c r="IO39" i="5"/>
  <c r="IP39" i="5"/>
  <c r="IL13" i="5"/>
  <c r="IK13" i="5"/>
  <c r="IM13" i="5" s="1"/>
  <c r="IN13" i="5" s="1"/>
  <c r="DC79" i="5"/>
  <c r="DD79" i="5"/>
  <c r="DK29" i="5"/>
  <c r="DL29" i="5"/>
  <c r="JQ61" i="5"/>
  <c r="JR61" i="5"/>
  <c r="IP11" i="5"/>
  <c r="IO11" i="5"/>
  <c r="IQ11" i="5" s="1"/>
  <c r="IR11" i="5" s="1"/>
  <c r="IL78" i="5"/>
  <c r="IK78" i="5"/>
  <c r="IM78" i="5" s="1"/>
  <c r="IN78" i="5" s="1"/>
  <c r="IL36" i="5"/>
  <c r="IK36" i="5"/>
  <c r="IM36" i="5" s="1"/>
  <c r="IN36" i="5" s="1"/>
  <c r="IL55" i="5"/>
  <c r="IK55" i="5"/>
  <c r="IM55" i="5" s="1"/>
  <c r="IN55" i="5" s="1"/>
  <c r="DW27" i="5"/>
  <c r="DX27" i="5"/>
  <c r="DS26" i="5"/>
  <c r="DT26" i="5"/>
  <c r="IO30" i="5"/>
  <c r="IP30" i="5"/>
  <c r="DO59" i="5"/>
  <c r="DP59" i="5"/>
  <c r="IL29" i="5"/>
  <c r="IK29" i="5"/>
  <c r="IM29" i="5" s="1"/>
  <c r="IN29" i="5" s="1"/>
  <c r="IL82" i="5"/>
  <c r="IK82" i="5"/>
  <c r="IM82" i="5" s="1"/>
  <c r="IN82" i="5" s="1"/>
  <c r="DS86" i="5"/>
  <c r="DT86" i="5"/>
  <c r="EE35" i="5"/>
  <c r="EF35" i="5"/>
  <c r="DO31" i="5"/>
  <c r="DP31" i="5"/>
  <c r="DK28" i="5"/>
  <c r="DL28" i="5"/>
  <c r="DG12" i="5"/>
  <c r="DH12" i="5"/>
  <c r="CU81" i="5"/>
  <c r="CV81" i="5"/>
  <c r="CU73" i="5"/>
  <c r="CV73" i="5"/>
  <c r="CQ71" i="5"/>
  <c r="CR71" i="5"/>
  <c r="CR8" i="5"/>
  <c r="CQ8" i="5"/>
  <c r="CS8" i="5" s="1"/>
  <c r="CT8" i="5" s="1"/>
  <c r="CU55" i="5"/>
  <c r="CV55" i="5"/>
  <c r="CU18" i="5"/>
  <c r="CV18" i="5"/>
  <c r="CQ91" i="5"/>
  <c r="CR91" i="5"/>
  <c r="CQ94" i="5"/>
  <c r="CR94" i="5"/>
  <c r="CQ80" i="5"/>
  <c r="CR80" i="5"/>
  <c r="CQ54" i="5"/>
  <c r="CR54" i="5"/>
  <c r="CQ70" i="5"/>
  <c r="CR70" i="5"/>
  <c r="EK45" i="5"/>
  <c r="EL45" i="5" s="1"/>
  <c r="ES57" i="5"/>
  <c r="ET57" i="5" s="1"/>
  <c r="IM35" i="5"/>
  <c r="IN35" i="5" s="1"/>
  <c r="IM12" i="5"/>
  <c r="IN12" i="5" s="1"/>
  <c r="IQ27" i="5"/>
  <c r="IR27" i="5" s="1"/>
  <c r="IM14" i="5"/>
  <c r="IN14" i="5" s="1"/>
  <c r="IQ24" i="5"/>
  <c r="IR24" i="5" s="1"/>
  <c r="DI11" i="5"/>
  <c r="DJ11" i="5" s="1"/>
  <c r="IM80" i="5"/>
  <c r="IN80" i="5" s="1"/>
  <c r="IM77" i="5"/>
  <c r="IN77" i="5" s="1"/>
  <c r="IQ79" i="5"/>
  <c r="IR79" i="5" s="1"/>
  <c r="IQ57" i="5"/>
  <c r="IR57" i="5" s="1"/>
  <c r="IM87" i="5"/>
  <c r="IN87" i="5" s="1"/>
  <c r="IM51" i="5"/>
  <c r="IN51" i="5" s="1"/>
  <c r="IM45" i="5"/>
  <c r="IN45" i="5" s="1"/>
  <c r="IM94" i="5"/>
  <c r="IN94" i="5" s="1"/>
  <c r="DI88" i="5"/>
  <c r="DJ88" i="5" s="1"/>
  <c r="DU41" i="5"/>
  <c r="DV41" i="5" s="1"/>
  <c r="IE50" i="5"/>
  <c r="IF50" i="5" s="1"/>
  <c r="IM74" i="5"/>
  <c r="IN74" i="5" s="1"/>
  <c r="IQ25" i="5"/>
  <c r="IR25" i="5" s="1"/>
  <c r="IM32" i="5"/>
  <c r="IN32" i="5" s="1"/>
  <c r="IM46" i="5"/>
  <c r="IN46" i="5" s="1"/>
  <c r="IM20" i="5"/>
  <c r="IN20" i="5" s="1"/>
  <c r="IM54" i="5"/>
  <c r="IN54" i="5" s="1"/>
  <c r="IM56" i="5"/>
  <c r="IN56" i="5" s="1"/>
  <c r="IM75" i="5"/>
  <c r="IN75" i="5" s="1"/>
  <c r="II44" i="5"/>
  <c r="IJ44" i="5" s="1"/>
  <c r="IQ21" i="5"/>
  <c r="IR21" i="5" s="1"/>
  <c r="II10" i="5"/>
  <c r="IJ10" i="5" s="1"/>
  <c r="II16" i="5"/>
  <c r="IJ16" i="5" s="1"/>
  <c r="IM88" i="5"/>
  <c r="IN88" i="5" s="1"/>
  <c r="IM33" i="5"/>
  <c r="IN33" i="5" s="1"/>
  <c r="II15" i="5"/>
  <c r="IJ15" i="5" s="1"/>
  <c r="IM70" i="5"/>
  <c r="IN70" i="5" s="1"/>
  <c r="DE30" i="5"/>
  <c r="DF30" i="5" s="1"/>
  <c r="DA36" i="5"/>
  <c r="DB36" i="5" s="1"/>
  <c r="DQ53" i="5"/>
  <c r="DR53" i="5" s="1"/>
  <c r="DI52" i="5"/>
  <c r="DJ52" i="5" s="1"/>
  <c r="DQ24" i="5"/>
  <c r="DR24" i="5" s="1"/>
  <c r="II43" i="5"/>
  <c r="IJ43" i="5" s="1"/>
  <c r="DY49" i="5"/>
  <c r="DZ49" i="5" s="1"/>
  <c r="DI13" i="5"/>
  <c r="DJ13" i="5" s="1"/>
  <c r="DU66" i="5"/>
  <c r="DV66" i="5" s="1"/>
  <c r="DQ25" i="5"/>
  <c r="DR25" i="5" s="1"/>
  <c r="DE64" i="5"/>
  <c r="DF64" i="5" s="1"/>
  <c r="EK67" i="5"/>
  <c r="EL67" i="5" s="1"/>
  <c r="DA95" i="5"/>
  <c r="DB95" i="5" s="1"/>
  <c r="DA20" i="5"/>
  <c r="DB20" i="5" s="1"/>
  <c r="CW19" i="5"/>
  <c r="CX19" i="5" s="1"/>
  <c r="CS65" i="5"/>
  <c r="CT65" i="5" s="1"/>
  <c r="HS89" i="5"/>
  <c r="HT89" i="5" s="1"/>
  <c r="DI74" i="5"/>
  <c r="DJ74" i="5" s="1"/>
  <c r="DE14" i="5"/>
  <c r="DF14" i="5" s="1"/>
  <c r="EA44" i="5" l="1"/>
  <c r="EB44" i="5"/>
  <c r="DK92" i="5"/>
  <c r="DL92" i="5"/>
  <c r="IX48" i="5"/>
  <c r="IW48" i="5"/>
  <c r="IY48" i="5" s="1"/>
  <c r="IZ48" i="5" s="1"/>
  <c r="DD84" i="5"/>
  <c r="DC84" i="5"/>
  <c r="DE84" i="5" s="1"/>
  <c r="DF84" i="5" s="1"/>
  <c r="EN33" i="5"/>
  <c r="EM33" i="5"/>
  <c r="EO33" i="5" s="1"/>
  <c r="EP33" i="5" s="1"/>
  <c r="DT23" i="5"/>
  <c r="DS23" i="5"/>
  <c r="DU23" i="5" s="1"/>
  <c r="DV23" i="5" s="1"/>
  <c r="DP76" i="5"/>
  <c r="DO76" i="5"/>
  <c r="DQ76" i="5" s="1"/>
  <c r="DR76" i="5" s="1"/>
  <c r="DL93" i="5"/>
  <c r="DK93" i="5"/>
  <c r="DM93" i="5" s="1"/>
  <c r="DN93" i="5" s="1"/>
  <c r="DL15" i="5"/>
  <c r="DK15" i="5"/>
  <c r="DM15" i="5" s="1"/>
  <c r="DN15" i="5" s="1"/>
  <c r="EF62" i="5"/>
  <c r="EE62" i="5"/>
  <c r="EG62" i="5" s="1"/>
  <c r="EH62" i="5" s="1"/>
  <c r="DU85" i="5"/>
  <c r="DV85" i="5" s="1"/>
  <c r="DI72" i="5"/>
  <c r="DJ72" i="5" s="1"/>
  <c r="DU50" i="5"/>
  <c r="DV50" i="5" s="1"/>
  <c r="KA32" i="5"/>
  <c r="IQ58" i="5"/>
  <c r="IR58" i="5" s="1"/>
  <c r="IU83" i="5"/>
  <c r="IV83" i="5" s="1"/>
  <c r="JS61" i="5"/>
  <c r="JT61" i="5" s="1"/>
  <c r="CS71" i="5"/>
  <c r="CT71" i="5" s="1"/>
  <c r="IO47" i="5"/>
  <c r="IP47" i="5"/>
  <c r="JV76" i="5"/>
  <c r="JU76" i="5"/>
  <c r="JW76" i="5" s="1"/>
  <c r="JX76" i="5" s="1"/>
  <c r="EB10" i="5"/>
  <c r="EA10" i="5"/>
  <c r="EC10" i="5" s="1"/>
  <c r="ED10" i="5" s="1"/>
  <c r="EF56" i="5"/>
  <c r="EE56" i="5"/>
  <c r="EG56" i="5" s="1"/>
  <c r="EH56" i="5" s="1"/>
  <c r="CV58" i="5"/>
  <c r="CU58" i="5"/>
  <c r="CW58" i="5" s="1"/>
  <c r="CX58" i="5" s="1"/>
  <c r="JZ96" i="5"/>
  <c r="JY96" i="5"/>
  <c r="KB96" i="5" s="1"/>
  <c r="CZ77" i="5"/>
  <c r="CY77" i="5"/>
  <c r="DA77" i="5" s="1"/>
  <c r="DB77" i="5" s="1"/>
  <c r="EF96" i="5"/>
  <c r="EE96" i="5"/>
  <c r="EG96" i="5" s="1"/>
  <c r="EH96" i="5" s="1"/>
  <c r="EJ39" i="5"/>
  <c r="EI39" i="5"/>
  <c r="EK39" i="5" s="1"/>
  <c r="EL39" i="5" s="1"/>
  <c r="R133" i="5"/>
  <c r="O133" i="5" s="1"/>
  <c r="R132" i="5"/>
  <c r="O132" i="5" s="1"/>
  <c r="R155" i="5"/>
  <c r="O155" i="5" s="1"/>
  <c r="R154" i="5"/>
  <c r="O154" i="5" s="1"/>
  <c r="R159" i="5"/>
  <c r="O159" i="5" s="1"/>
  <c r="R158" i="5"/>
  <c r="O158" i="5" s="1"/>
  <c r="R183" i="5"/>
  <c r="O183" i="5" s="1"/>
  <c r="R182" i="5"/>
  <c r="O182" i="5" s="1"/>
  <c r="R185" i="5"/>
  <c r="O185" i="5" s="1"/>
  <c r="R184" i="5"/>
  <c r="O184" i="5" s="1"/>
  <c r="R186" i="5"/>
  <c r="O186" i="5" s="1"/>
  <c r="R187" i="5"/>
  <c r="O187" i="5" s="1"/>
  <c r="R211" i="5"/>
  <c r="O211" i="5" s="1"/>
  <c r="R210" i="5"/>
  <c r="O210" i="5" s="1"/>
  <c r="R212" i="5"/>
  <c r="O212" i="5" s="1"/>
  <c r="R213" i="5"/>
  <c r="O213" i="5" s="1"/>
  <c r="R498" i="5"/>
  <c r="O498" i="5" s="1"/>
  <c r="R496" i="5"/>
  <c r="O496" i="5" s="1"/>
  <c r="R491" i="5"/>
  <c r="O491" i="5" s="1"/>
  <c r="R481" i="5"/>
  <c r="O481" i="5" s="1"/>
  <c r="R495" i="5"/>
  <c r="O495" i="5" s="1"/>
  <c r="R493" i="5"/>
  <c r="O493" i="5" s="1"/>
  <c r="R490" i="5"/>
  <c r="O490" i="5" s="1"/>
  <c r="R488" i="5"/>
  <c r="O488" i="5" s="1"/>
  <c r="R484" i="5"/>
  <c r="O484" i="5" s="1"/>
  <c r="R519" i="5"/>
  <c r="O519" i="5" s="1"/>
  <c r="R518" i="5"/>
  <c r="O518" i="5" s="1"/>
  <c r="R517" i="5"/>
  <c r="O517" i="5" s="1"/>
  <c r="R516" i="5"/>
  <c r="O516" i="5" s="1"/>
  <c r="R515" i="5"/>
  <c r="O515" i="5" s="1"/>
  <c r="R514" i="5"/>
  <c r="O514" i="5" s="1"/>
  <c r="R513" i="5"/>
  <c r="O513" i="5" s="1"/>
  <c r="R512" i="5"/>
  <c r="O512" i="5" s="1"/>
  <c r="R511" i="5"/>
  <c r="O511" i="5" s="1"/>
  <c r="R510" i="5"/>
  <c r="O510" i="5" s="1"/>
  <c r="R509" i="5"/>
  <c r="O509" i="5" s="1"/>
  <c r="R508" i="5"/>
  <c r="O508" i="5" s="1"/>
  <c r="R507" i="5"/>
  <c r="O507" i="5" s="1"/>
  <c r="R506" i="5"/>
  <c r="O506" i="5" s="1"/>
  <c r="R505" i="5"/>
  <c r="O505" i="5" s="1"/>
  <c r="R504" i="5"/>
  <c r="O504" i="5" s="1"/>
  <c r="R503" i="5"/>
  <c r="O503" i="5" s="1"/>
  <c r="R502" i="5"/>
  <c r="O502" i="5" s="1"/>
  <c r="R501" i="5"/>
  <c r="O501" i="5" s="1"/>
  <c r="R500" i="5"/>
  <c r="O500" i="5" s="1"/>
  <c r="R499" i="5"/>
  <c r="O499" i="5" s="1"/>
  <c r="R497" i="5"/>
  <c r="O497" i="5" s="1"/>
  <c r="R494" i="5"/>
  <c r="O494" i="5" s="1"/>
  <c r="R487" i="5"/>
  <c r="O487" i="5" s="1"/>
  <c r="R485" i="5"/>
  <c r="O485" i="5" s="1"/>
  <c r="R492" i="5"/>
  <c r="O492" i="5" s="1"/>
  <c r="R489" i="5"/>
  <c r="O489" i="5" s="1"/>
  <c r="R486" i="5"/>
  <c r="O486" i="5" s="1"/>
  <c r="R483" i="5"/>
  <c r="O483" i="5" s="1"/>
  <c r="R482" i="5"/>
  <c r="O482" i="5" s="1"/>
  <c r="R480" i="5"/>
  <c r="O480" i="5" s="1"/>
  <c r="EZ68" i="5"/>
  <c r="EY68" i="5"/>
  <c r="KA68" i="5" s="1"/>
  <c r="EV82" i="5"/>
  <c r="EU82" i="5"/>
  <c r="EW82" i="5" s="1"/>
  <c r="EX82" i="5" s="1"/>
  <c r="EN78" i="5"/>
  <c r="EM78" i="5"/>
  <c r="EO78" i="5" s="1"/>
  <c r="EP78" i="5" s="1"/>
  <c r="EJ87" i="5"/>
  <c r="EI87" i="5"/>
  <c r="EK87" i="5" s="1"/>
  <c r="EL87" i="5" s="1"/>
  <c r="EJ63" i="5"/>
  <c r="EI63" i="5"/>
  <c r="EK63" i="5" s="1"/>
  <c r="EL63" i="5" s="1"/>
  <c r="JJ34" i="5"/>
  <c r="JI34" i="5"/>
  <c r="JK34" i="5" s="1"/>
  <c r="JL34" i="5" s="1"/>
  <c r="EF16" i="5"/>
  <c r="EE16" i="5"/>
  <c r="EG16" i="5" s="1"/>
  <c r="EH16" i="5" s="1"/>
  <c r="ER51" i="5"/>
  <c r="EQ51" i="5"/>
  <c r="ES51" i="5" s="1"/>
  <c r="ET51" i="5" s="1"/>
  <c r="EB83" i="5"/>
  <c r="EA83" i="5"/>
  <c r="DT43" i="5"/>
  <c r="DS43" i="5"/>
  <c r="DU43" i="5" s="1"/>
  <c r="DV43" i="5" s="1"/>
  <c r="DK9" i="5"/>
  <c r="DL9" i="5"/>
  <c r="EN89" i="5"/>
  <c r="EM89" i="5"/>
  <c r="EO89" i="5" s="1"/>
  <c r="EP89" i="5" s="1"/>
  <c r="EF75" i="5"/>
  <c r="EE75" i="5"/>
  <c r="EG75" i="5" s="1"/>
  <c r="EH75" i="5" s="1"/>
  <c r="EF37" i="5"/>
  <c r="EE37" i="5"/>
  <c r="EG37" i="5" s="1"/>
  <c r="EH37" i="5" s="1"/>
  <c r="IL62" i="5"/>
  <c r="IK62" i="5"/>
  <c r="IM62" i="5" s="1"/>
  <c r="IN62" i="5" s="1"/>
  <c r="IS68" i="5"/>
  <c r="IT68" i="5"/>
  <c r="IS37" i="5"/>
  <c r="IT37" i="5"/>
  <c r="DG17" i="5"/>
  <c r="DH17" i="5"/>
  <c r="IT22" i="5"/>
  <c r="IS22" i="5"/>
  <c r="IU22" i="5" s="1"/>
  <c r="IV22" i="5" s="1"/>
  <c r="IS8" i="5"/>
  <c r="IT8" i="5"/>
  <c r="IW69" i="5"/>
  <c r="IX69" i="5"/>
  <c r="IO17" i="5"/>
  <c r="IP17" i="5"/>
  <c r="DO22" i="5"/>
  <c r="DP22" i="5"/>
  <c r="IO72" i="5"/>
  <c r="IP72" i="5"/>
  <c r="IS28" i="5"/>
  <c r="IT28" i="5"/>
  <c r="IS41" i="5"/>
  <c r="IT41" i="5"/>
  <c r="IO67" i="5"/>
  <c r="IP67" i="5"/>
  <c r="IO65" i="5"/>
  <c r="IP65" i="5"/>
  <c r="JJ90" i="5"/>
  <c r="JI90" i="5"/>
  <c r="JK90" i="5" s="1"/>
  <c r="JL90" i="5" s="1"/>
  <c r="IO95" i="5"/>
  <c r="IP95" i="5"/>
  <c r="IO31" i="5"/>
  <c r="IP31" i="5"/>
  <c r="IP71" i="5"/>
  <c r="IO71" i="5"/>
  <c r="IQ71" i="5" s="1"/>
  <c r="IR71" i="5" s="1"/>
  <c r="IS19" i="5"/>
  <c r="IT19" i="5"/>
  <c r="IP64" i="5"/>
  <c r="IO64" i="5"/>
  <c r="IO59" i="5"/>
  <c r="IP59" i="5"/>
  <c r="IO92" i="5"/>
  <c r="IP92" i="5"/>
  <c r="IL23" i="5"/>
  <c r="IK23" i="5"/>
  <c r="IM23" i="5" s="1"/>
  <c r="IN23" i="5" s="1"/>
  <c r="IP9" i="5"/>
  <c r="IO9" i="5"/>
  <c r="IQ9" i="5" s="1"/>
  <c r="IR9" i="5" s="1"/>
  <c r="IO91" i="5"/>
  <c r="IP91" i="5"/>
  <c r="IO13" i="5"/>
  <c r="IP13" i="5"/>
  <c r="IT11" i="5"/>
  <c r="IS11" i="5"/>
  <c r="IU11" i="5" s="1"/>
  <c r="IV11" i="5" s="1"/>
  <c r="IP78" i="5"/>
  <c r="IO78" i="5"/>
  <c r="IQ78" i="5" s="1"/>
  <c r="IR78" i="5" s="1"/>
  <c r="IP36" i="5"/>
  <c r="IO36" i="5"/>
  <c r="IQ36" i="5" s="1"/>
  <c r="IR36" i="5" s="1"/>
  <c r="IO55" i="5"/>
  <c r="IP55" i="5"/>
  <c r="IP29" i="5"/>
  <c r="IO29" i="5"/>
  <c r="IQ29" i="5" s="1"/>
  <c r="IR29" i="5" s="1"/>
  <c r="IO82" i="5"/>
  <c r="IP82" i="5"/>
  <c r="CV71" i="5"/>
  <c r="CU71" i="5"/>
  <c r="CW71" i="5" s="1"/>
  <c r="CX71" i="5" s="1"/>
  <c r="CV8" i="5"/>
  <c r="CU8" i="5"/>
  <c r="CW8" i="5" s="1"/>
  <c r="CX8" i="5" s="1"/>
  <c r="EM45" i="5"/>
  <c r="EN45" i="5"/>
  <c r="EU57" i="5"/>
  <c r="EV57" i="5"/>
  <c r="IP35" i="5"/>
  <c r="IO35" i="5"/>
  <c r="IQ35" i="5" s="1"/>
  <c r="IR35" i="5" s="1"/>
  <c r="IP12" i="5"/>
  <c r="IO12" i="5"/>
  <c r="IQ12" i="5" s="1"/>
  <c r="IR12" i="5" s="1"/>
  <c r="IT27" i="5"/>
  <c r="IS27" i="5"/>
  <c r="IU27" i="5" s="1"/>
  <c r="IV27" i="5" s="1"/>
  <c r="IP85" i="5"/>
  <c r="IO85" i="5"/>
  <c r="IQ85" i="5" s="1"/>
  <c r="IR85" i="5" s="1"/>
  <c r="IO14" i="5"/>
  <c r="IP14" i="5"/>
  <c r="IP18" i="5"/>
  <c r="IO18" i="5"/>
  <c r="IQ18" i="5" s="1"/>
  <c r="IR18" i="5" s="1"/>
  <c r="IT24" i="5"/>
  <c r="IS24" i="5"/>
  <c r="IU24" i="5" s="1"/>
  <c r="IV24" i="5" s="1"/>
  <c r="DK11" i="5"/>
  <c r="DL11" i="5"/>
  <c r="IP80" i="5"/>
  <c r="IO80" i="5"/>
  <c r="IQ80" i="5" s="1"/>
  <c r="IR80" i="5" s="1"/>
  <c r="IP77" i="5"/>
  <c r="IO77" i="5"/>
  <c r="IQ77" i="5" s="1"/>
  <c r="IR77" i="5" s="1"/>
  <c r="IS79" i="5"/>
  <c r="IT79" i="5"/>
  <c r="IT57" i="5"/>
  <c r="IS57" i="5"/>
  <c r="IU57" i="5" s="1"/>
  <c r="IV57" i="5" s="1"/>
  <c r="IP87" i="5"/>
  <c r="IO87" i="5"/>
  <c r="IO51" i="5"/>
  <c r="IP51" i="5"/>
  <c r="IP45" i="5"/>
  <c r="IO45" i="5"/>
  <c r="IQ45" i="5" s="1"/>
  <c r="IR45" i="5" s="1"/>
  <c r="IP94" i="5"/>
  <c r="IO94" i="5"/>
  <c r="IQ94" i="5" s="1"/>
  <c r="IR94" i="5" s="1"/>
  <c r="DK88" i="5"/>
  <c r="DL88" i="5"/>
  <c r="DW41" i="5"/>
  <c r="DX41" i="5"/>
  <c r="IH50" i="5"/>
  <c r="IG50" i="5"/>
  <c r="II50" i="5" s="1"/>
  <c r="IJ50" i="5" s="1"/>
  <c r="IP74" i="5"/>
  <c r="IO74" i="5"/>
  <c r="IQ74" i="5" s="1"/>
  <c r="IR74" i="5" s="1"/>
  <c r="IT25" i="5"/>
  <c r="IS25" i="5"/>
  <c r="IU25" i="5" s="1"/>
  <c r="IV25" i="5" s="1"/>
  <c r="IP32" i="5"/>
  <c r="IO32" i="5"/>
  <c r="IQ32" i="5" s="1"/>
  <c r="IR32" i="5" s="1"/>
  <c r="IP46" i="5"/>
  <c r="IO46" i="5"/>
  <c r="IQ46" i="5" s="1"/>
  <c r="IR46" i="5" s="1"/>
  <c r="IP20" i="5"/>
  <c r="IO20" i="5"/>
  <c r="IQ20" i="5" s="1"/>
  <c r="IR20" i="5" s="1"/>
  <c r="IP54" i="5"/>
  <c r="IO54" i="5"/>
  <c r="IQ54" i="5" s="1"/>
  <c r="IR54" i="5" s="1"/>
  <c r="IP56" i="5"/>
  <c r="IO56" i="5"/>
  <c r="IQ56" i="5" s="1"/>
  <c r="IR56" i="5" s="1"/>
  <c r="IP75" i="5"/>
  <c r="IO75" i="5"/>
  <c r="IQ75" i="5" s="1"/>
  <c r="IR75" i="5" s="1"/>
  <c r="IL44" i="5"/>
  <c r="IK44" i="5"/>
  <c r="IM44" i="5" s="1"/>
  <c r="IN44" i="5" s="1"/>
  <c r="IS21" i="5"/>
  <c r="IT21" i="5"/>
  <c r="IK10" i="5"/>
  <c r="IL10" i="5"/>
  <c r="IL16" i="5"/>
  <c r="IK16" i="5"/>
  <c r="IM16" i="5" s="1"/>
  <c r="IN16" i="5" s="1"/>
  <c r="IP88" i="5"/>
  <c r="IO88" i="5"/>
  <c r="IQ88" i="5" s="1"/>
  <c r="IR88" i="5" s="1"/>
  <c r="IP33" i="5"/>
  <c r="IO33" i="5"/>
  <c r="IQ33" i="5" s="1"/>
  <c r="IR33" i="5" s="1"/>
  <c r="IL15" i="5"/>
  <c r="IK15" i="5"/>
  <c r="IM15" i="5" s="1"/>
  <c r="IN15" i="5" s="1"/>
  <c r="IP70" i="5"/>
  <c r="IO70" i="5"/>
  <c r="IQ70" i="5" s="1"/>
  <c r="IR70" i="5" s="1"/>
  <c r="DH30" i="5"/>
  <c r="DG30" i="5"/>
  <c r="DI30" i="5" s="1"/>
  <c r="DJ30" i="5" s="1"/>
  <c r="DC36" i="5"/>
  <c r="DD36" i="5"/>
  <c r="DS53" i="5"/>
  <c r="DT53" i="5"/>
  <c r="DL52" i="5"/>
  <c r="DK52" i="5"/>
  <c r="DM52" i="5" s="1"/>
  <c r="DN52" i="5" s="1"/>
  <c r="DS24" i="5"/>
  <c r="DT24" i="5"/>
  <c r="IK43" i="5"/>
  <c r="IL43" i="5"/>
  <c r="EA49" i="5"/>
  <c r="EB49" i="5"/>
  <c r="DK13" i="5"/>
  <c r="DL13" i="5"/>
  <c r="DW66" i="5"/>
  <c r="DX66" i="5"/>
  <c r="DS25" i="5"/>
  <c r="DT25" i="5"/>
  <c r="DG64" i="5"/>
  <c r="DH64" i="5"/>
  <c r="EM67" i="5"/>
  <c r="EN67" i="5"/>
  <c r="DD95" i="5"/>
  <c r="DC95" i="5"/>
  <c r="DE95" i="5" s="1"/>
  <c r="DF95" i="5" s="1"/>
  <c r="DC20" i="5"/>
  <c r="DD20" i="5"/>
  <c r="CY19" i="5"/>
  <c r="CZ19" i="5"/>
  <c r="CU65" i="5"/>
  <c r="CV65" i="5"/>
  <c r="HU89" i="5"/>
  <c r="HV89" i="5"/>
  <c r="DK74" i="5"/>
  <c r="DL74" i="5"/>
  <c r="DG14" i="5"/>
  <c r="DH14" i="5"/>
  <c r="IM73" i="5"/>
  <c r="IN73" i="5" s="1"/>
  <c r="DI42" i="5"/>
  <c r="DJ42" i="5" s="1"/>
  <c r="DI38" i="5"/>
  <c r="DJ38" i="5" s="1"/>
  <c r="IQ52" i="5"/>
  <c r="IR52" i="5" s="1"/>
  <c r="IQ53" i="5"/>
  <c r="IR53" i="5" s="1"/>
  <c r="IQ47" i="5"/>
  <c r="IR47" i="5" s="1"/>
  <c r="IQ60" i="5"/>
  <c r="IR60" i="5" s="1"/>
  <c r="IQ81" i="5"/>
  <c r="IR81" i="5" s="1"/>
  <c r="IQ49" i="5"/>
  <c r="IR49" i="5" s="1"/>
  <c r="IQ66" i="5"/>
  <c r="IR66" i="5" s="1"/>
  <c r="IM86" i="5"/>
  <c r="IN86" i="5" s="1"/>
  <c r="IM42" i="5"/>
  <c r="IN42" i="5" s="1"/>
  <c r="IM84" i="5"/>
  <c r="IN84" i="5" s="1"/>
  <c r="IM38" i="5"/>
  <c r="IN38" i="5" s="1"/>
  <c r="II40" i="5"/>
  <c r="IJ40" i="5" s="1"/>
  <c r="DI69" i="5"/>
  <c r="DJ69" i="5" s="1"/>
  <c r="DI40" i="5"/>
  <c r="DJ40" i="5" s="1"/>
  <c r="IQ63" i="5"/>
  <c r="IR63" i="5" s="1"/>
  <c r="IQ26" i="5"/>
  <c r="IR26" i="5" s="1"/>
  <c r="IM93" i="5"/>
  <c r="IN93" i="5" s="1"/>
  <c r="IQ39" i="5"/>
  <c r="IR39" i="5" s="1"/>
  <c r="DE79" i="5"/>
  <c r="DF79" i="5" s="1"/>
  <c r="DM29" i="5"/>
  <c r="DN29" i="5" s="1"/>
  <c r="DY27" i="5"/>
  <c r="DZ27" i="5" s="1"/>
  <c r="DU26" i="5"/>
  <c r="DV26" i="5" s="1"/>
  <c r="IQ30" i="5"/>
  <c r="IR30" i="5" s="1"/>
  <c r="DQ59" i="5"/>
  <c r="DR59" i="5" s="1"/>
  <c r="DU86" i="5"/>
  <c r="DV86" i="5" s="1"/>
  <c r="EG35" i="5"/>
  <c r="EH35" i="5" s="1"/>
  <c r="DQ31" i="5"/>
  <c r="DR31" i="5" s="1"/>
  <c r="DM28" i="5"/>
  <c r="DN28" i="5" s="1"/>
  <c r="DI12" i="5"/>
  <c r="DJ12" i="5" s="1"/>
  <c r="CW81" i="5"/>
  <c r="CX81" i="5" s="1"/>
  <c r="CW73" i="5"/>
  <c r="CX73" i="5" s="1"/>
  <c r="CW55" i="5"/>
  <c r="CX55" i="5" s="1"/>
  <c r="CW18" i="5"/>
  <c r="CX18" i="5" s="1"/>
  <c r="CS91" i="5"/>
  <c r="CT91" i="5" s="1"/>
  <c r="CS94" i="5"/>
  <c r="CT94" i="5" s="1"/>
  <c r="CS80" i="5"/>
  <c r="CT80" i="5" s="1"/>
  <c r="CS54" i="5"/>
  <c r="CT54" i="5" s="1"/>
  <c r="CS70" i="5"/>
  <c r="CT70" i="5" s="1"/>
  <c r="JA48" i="5" l="1"/>
  <c r="JB48" i="5"/>
  <c r="DG84" i="5"/>
  <c r="DH84" i="5"/>
  <c r="EQ33" i="5"/>
  <c r="ER33" i="5"/>
  <c r="DW23" i="5"/>
  <c r="DX23" i="5"/>
  <c r="DS76" i="5"/>
  <c r="DT76" i="5"/>
  <c r="DO93" i="5"/>
  <c r="DP93" i="5"/>
  <c r="DO15" i="5"/>
  <c r="DP15" i="5"/>
  <c r="EI62" i="5"/>
  <c r="EJ62" i="5"/>
  <c r="DX85" i="5"/>
  <c r="DW85" i="5"/>
  <c r="DY85" i="5" s="1"/>
  <c r="DZ85" i="5" s="1"/>
  <c r="DL72" i="5"/>
  <c r="DK72" i="5"/>
  <c r="DM72" i="5" s="1"/>
  <c r="DN72" i="5" s="1"/>
  <c r="DX50" i="5"/>
  <c r="DW50" i="5"/>
  <c r="DY50" i="5" s="1"/>
  <c r="DZ50" i="5" s="1"/>
  <c r="EC44" i="5"/>
  <c r="ED44" i="5" s="1"/>
  <c r="DM92" i="5"/>
  <c r="DN92" i="5" s="1"/>
  <c r="IQ82" i="5"/>
  <c r="IR82" i="5" s="1"/>
  <c r="DE20" i="5"/>
  <c r="DF20" i="5" s="1"/>
  <c r="EC83" i="5"/>
  <c r="ED83" i="5" s="1"/>
  <c r="IQ87" i="5"/>
  <c r="IR87" i="5" s="1"/>
  <c r="IT58" i="5"/>
  <c r="IS58" i="5"/>
  <c r="IU58" i="5" s="1"/>
  <c r="IV58" i="5" s="1"/>
  <c r="IW83" i="5"/>
  <c r="IY83" i="5" s="1"/>
  <c r="IZ83" i="5" s="1"/>
  <c r="IX83" i="5"/>
  <c r="JU61" i="5"/>
  <c r="JV61" i="5"/>
  <c r="JY76" i="5"/>
  <c r="KB76" i="5" s="1"/>
  <c r="JZ76" i="5"/>
  <c r="EF10" i="5"/>
  <c r="EE10" i="5"/>
  <c r="EG10" i="5" s="1"/>
  <c r="EH10" i="5" s="1"/>
  <c r="EJ56" i="5"/>
  <c r="EI56" i="5"/>
  <c r="EK56" i="5" s="1"/>
  <c r="EL56" i="5" s="1"/>
  <c r="CZ58" i="5"/>
  <c r="CY58" i="5"/>
  <c r="DA58" i="5" s="1"/>
  <c r="DB58" i="5" s="1"/>
  <c r="S666" i="5"/>
  <c r="P666" i="5" s="1"/>
  <c r="Q666" i="5" s="1"/>
  <c r="I566" i="11" s="1"/>
  <c r="K566" i="11" s="1"/>
  <c r="S662" i="5"/>
  <c r="P662" i="5" s="1"/>
  <c r="Q662" i="5" s="1"/>
  <c r="I562" i="11" s="1"/>
  <c r="K562" i="11" s="1"/>
  <c r="S690" i="5"/>
  <c r="P690" i="5" s="1"/>
  <c r="Q690" i="5" s="1"/>
  <c r="I590" i="11" s="1"/>
  <c r="K590" i="11" s="1"/>
  <c r="S685" i="5"/>
  <c r="P685" i="5" s="1"/>
  <c r="Q685" i="5" s="1"/>
  <c r="I585" i="11" s="1"/>
  <c r="K585" i="11" s="1"/>
  <c r="S680" i="5"/>
  <c r="P680" i="5" s="1"/>
  <c r="Q680" i="5" s="1"/>
  <c r="I580" i="11" s="1"/>
  <c r="K580" i="11" s="1"/>
  <c r="S675" i="5"/>
  <c r="P675" i="5" s="1"/>
  <c r="Q675" i="5" s="1"/>
  <c r="I575" i="11" s="1"/>
  <c r="K575" i="11" s="1"/>
  <c r="S665" i="5"/>
  <c r="P665" i="5" s="1"/>
  <c r="Q665" i="5" s="1"/>
  <c r="I565" i="11" s="1"/>
  <c r="K565" i="11" s="1"/>
  <c r="S667" i="5"/>
  <c r="P667" i="5" s="1"/>
  <c r="Q667" i="5" s="1"/>
  <c r="I567" i="11" s="1"/>
  <c r="K567" i="11" s="1"/>
  <c r="S694" i="5"/>
  <c r="P694" i="5" s="1"/>
  <c r="Q694" i="5" s="1"/>
  <c r="I594" i="11" s="1"/>
  <c r="K594" i="11" s="1"/>
  <c r="S689" i="5"/>
  <c r="P689" i="5" s="1"/>
  <c r="Q689" i="5" s="1"/>
  <c r="I589" i="11" s="1"/>
  <c r="K589" i="11" s="1"/>
  <c r="S672" i="5"/>
  <c r="P672" i="5" s="1"/>
  <c r="Q672" i="5" s="1"/>
  <c r="I572" i="11" s="1"/>
  <c r="K572" i="11" s="1"/>
  <c r="S668" i="5"/>
  <c r="P668" i="5" s="1"/>
  <c r="Q668" i="5" s="1"/>
  <c r="I568" i="11" s="1"/>
  <c r="K568" i="11" s="1"/>
  <c r="S687" i="5"/>
  <c r="P687" i="5" s="1"/>
  <c r="Q687" i="5" s="1"/>
  <c r="I587" i="11" s="1"/>
  <c r="K587" i="11" s="1"/>
  <c r="S693" i="5"/>
  <c r="P693" i="5" s="1"/>
  <c r="Q693" i="5" s="1"/>
  <c r="I593" i="11" s="1"/>
  <c r="K593" i="11" s="1"/>
  <c r="S692" i="5"/>
  <c r="P692" i="5" s="1"/>
  <c r="Q692" i="5" s="1"/>
  <c r="I592" i="11" s="1"/>
  <c r="K592" i="11" s="1"/>
  <c r="S688" i="5"/>
  <c r="P688" i="5" s="1"/>
  <c r="Q688" i="5" s="1"/>
  <c r="I588" i="11" s="1"/>
  <c r="K588" i="11" s="1"/>
  <c r="S683" i="5"/>
  <c r="P683" i="5" s="1"/>
  <c r="Q683" i="5" s="1"/>
  <c r="I583" i="11" s="1"/>
  <c r="K583" i="11" s="1"/>
  <c r="S679" i="5"/>
  <c r="P679" i="5" s="1"/>
  <c r="Q679" i="5" s="1"/>
  <c r="I579" i="11" s="1"/>
  <c r="K579" i="11" s="1"/>
  <c r="S677" i="5"/>
  <c r="P677" i="5" s="1"/>
  <c r="Q677" i="5" s="1"/>
  <c r="I577" i="11" s="1"/>
  <c r="K577" i="11" s="1"/>
  <c r="S673" i="5"/>
  <c r="P673" i="5" s="1"/>
  <c r="Q673" i="5" s="1"/>
  <c r="I573" i="11" s="1"/>
  <c r="K573" i="11" s="1"/>
  <c r="S671" i="5"/>
  <c r="P671" i="5" s="1"/>
  <c r="Q671" i="5" s="1"/>
  <c r="I571" i="11" s="1"/>
  <c r="K571" i="11" s="1"/>
  <c r="S669" i="5"/>
  <c r="P669" i="5" s="1"/>
  <c r="Q669" i="5" s="1"/>
  <c r="I569" i="11" s="1"/>
  <c r="K569" i="11" s="1"/>
  <c r="S663" i="5"/>
  <c r="P663" i="5" s="1"/>
  <c r="Q663" i="5" s="1"/>
  <c r="I563" i="11" s="1"/>
  <c r="K563" i="11" s="1"/>
  <c r="S691" i="5"/>
  <c r="P691" i="5" s="1"/>
  <c r="Q691" i="5" s="1"/>
  <c r="I591" i="11" s="1"/>
  <c r="K591" i="11" s="1"/>
  <c r="S670" i="5"/>
  <c r="P670" i="5" s="1"/>
  <c r="Q670" i="5" s="1"/>
  <c r="I570" i="11" s="1"/>
  <c r="K570" i="11" s="1"/>
  <c r="S664" i="5"/>
  <c r="P664" i="5" s="1"/>
  <c r="Q664" i="5" s="1"/>
  <c r="I564" i="11" s="1"/>
  <c r="K564" i="11" s="1"/>
  <c r="S681" i="5"/>
  <c r="P681" i="5" s="1"/>
  <c r="Q681" i="5" s="1"/>
  <c r="I581" i="11" s="1"/>
  <c r="K581" i="11" s="1"/>
  <c r="S686" i="5"/>
  <c r="P686" i="5" s="1"/>
  <c r="Q686" i="5" s="1"/>
  <c r="I586" i="11" s="1"/>
  <c r="K586" i="11" s="1"/>
  <c r="S684" i="5"/>
  <c r="P684" i="5" s="1"/>
  <c r="Q684" i="5" s="1"/>
  <c r="I584" i="11" s="1"/>
  <c r="K584" i="11" s="1"/>
  <c r="S682" i="5"/>
  <c r="P682" i="5" s="1"/>
  <c r="Q682" i="5" s="1"/>
  <c r="I582" i="11" s="1"/>
  <c r="K582" i="11" s="1"/>
  <c r="S678" i="5"/>
  <c r="P678" i="5" s="1"/>
  <c r="Q678" i="5" s="1"/>
  <c r="I578" i="11" s="1"/>
  <c r="K578" i="11" s="1"/>
  <c r="S674" i="5"/>
  <c r="P674" i="5" s="1"/>
  <c r="Q674" i="5" s="1"/>
  <c r="I574" i="11" s="1"/>
  <c r="K574" i="11" s="1"/>
  <c r="S676" i="5"/>
  <c r="P676" i="5" s="1"/>
  <c r="Q676" i="5" s="1"/>
  <c r="I576" i="11" s="1"/>
  <c r="K576" i="11" s="1"/>
  <c r="DC77" i="5"/>
  <c r="DD77" i="5"/>
  <c r="EJ96" i="5"/>
  <c r="EI96" i="5"/>
  <c r="EK96" i="5" s="1"/>
  <c r="EL96" i="5" s="1"/>
  <c r="EN39" i="5"/>
  <c r="EM39" i="5"/>
  <c r="EO39" i="5" s="1"/>
  <c r="EP39" i="5" s="1"/>
  <c r="R226" i="5"/>
  <c r="O226" i="5" s="1"/>
  <c r="R227" i="5"/>
  <c r="O227" i="5" s="1"/>
  <c r="EZ82" i="5"/>
  <c r="EY82" i="5"/>
  <c r="KA82" i="5" s="1"/>
  <c r="EQ78" i="5"/>
  <c r="ER78" i="5"/>
  <c r="EN87" i="5"/>
  <c r="EM87" i="5"/>
  <c r="EO87" i="5" s="1"/>
  <c r="EP87" i="5" s="1"/>
  <c r="EN63" i="5"/>
  <c r="EM63" i="5"/>
  <c r="EO63" i="5" s="1"/>
  <c r="EP63" i="5" s="1"/>
  <c r="JN34" i="5"/>
  <c r="JM34" i="5"/>
  <c r="JO34" i="5" s="1"/>
  <c r="JP34" i="5" s="1"/>
  <c r="EJ16" i="5"/>
  <c r="EI16" i="5"/>
  <c r="EK16" i="5" s="1"/>
  <c r="EL16" i="5" s="1"/>
  <c r="EV51" i="5"/>
  <c r="EU51" i="5"/>
  <c r="EW51" i="5" s="1"/>
  <c r="EX51" i="5" s="1"/>
  <c r="DX43" i="5"/>
  <c r="DW43" i="5"/>
  <c r="DY43" i="5" s="1"/>
  <c r="DZ43" i="5" s="1"/>
  <c r="ER89" i="5"/>
  <c r="EQ89" i="5"/>
  <c r="ES89" i="5" s="1"/>
  <c r="ET89" i="5" s="1"/>
  <c r="ER39" i="5"/>
  <c r="EQ39" i="5"/>
  <c r="ES39" i="5" s="1"/>
  <c r="ET39" i="5" s="1"/>
  <c r="EJ75" i="5"/>
  <c r="EI75" i="5"/>
  <c r="EK75" i="5" s="1"/>
  <c r="EL75" i="5" s="1"/>
  <c r="EN96" i="5"/>
  <c r="EM96" i="5"/>
  <c r="EO96" i="5" s="1"/>
  <c r="EP96" i="5" s="1"/>
  <c r="EJ37" i="5"/>
  <c r="EI37" i="5"/>
  <c r="EK37" i="5" s="1"/>
  <c r="EL37" i="5" s="1"/>
  <c r="IP62" i="5"/>
  <c r="IO62" i="5"/>
  <c r="IQ62" i="5" s="1"/>
  <c r="IR62" i="5" s="1"/>
  <c r="IX22" i="5"/>
  <c r="IW22" i="5"/>
  <c r="IY22" i="5" s="1"/>
  <c r="IZ22" i="5" s="1"/>
  <c r="JM90" i="5"/>
  <c r="JN90" i="5"/>
  <c r="IS71" i="5"/>
  <c r="IT71" i="5"/>
  <c r="IO23" i="5"/>
  <c r="IP23" i="5"/>
  <c r="IT9" i="5"/>
  <c r="IS9" i="5"/>
  <c r="IU9" i="5" s="1"/>
  <c r="IV9" i="5" s="1"/>
  <c r="IW11" i="5"/>
  <c r="IX11" i="5"/>
  <c r="IS78" i="5"/>
  <c r="IT78" i="5"/>
  <c r="IS36" i="5"/>
  <c r="IT36" i="5"/>
  <c r="IS29" i="5"/>
  <c r="IT29" i="5"/>
  <c r="CZ71" i="5"/>
  <c r="CY71" i="5"/>
  <c r="DA71" i="5" s="1"/>
  <c r="DB71" i="5" s="1"/>
  <c r="CZ8" i="5"/>
  <c r="CY8" i="5"/>
  <c r="DA8" i="5" s="1"/>
  <c r="DB8" i="5" s="1"/>
  <c r="IS35" i="5"/>
  <c r="IT35" i="5"/>
  <c r="IT12" i="5"/>
  <c r="IS12" i="5"/>
  <c r="IU12" i="5" s="1"/>
  <c r="IV12" i="5" s="1"/>
  <c r="IW27" i="5"/>
  <c r="IX27" i="5"/>
  <c r="IS85" i="5"/>
  <c r="IT85" i="5"/>
  <c r="IS18" i="5"/>
  <c r="IT18" i="5"/>
  <c r="IW24" i="5"/>
  <c r="IX24" i="5"/>
  <c r="IS80" i="5"/>
  <c r="IT80" i="5"/>
  <c r="IS77" i="5"/>
  <c r="IT77" i="5"/>
  <c r="IW57" i="5"/>
  <c r="IX57" i="5"/>
  <c r="IS45" i="5"/>
  <c r="IT45" i="5"/>
  <c r="IS94" i="5"/>
  <c r="IT94" i="5"/>
  <c r="IK50" i="5"/>
  <c r="IL50" i="5"/>
  <c r="IS74" i="5"/>
  <c r="IT74" i="5"/>
  <c r="IW25" i="5"/>
  <c r="IX25" i="5"/>
  <c r="IS32" i="5"/>
  <c r="IT32" i="5"/>
  <c r="IS46" i="5"/>
  <c r="IT46" i="5"/>
  <c r="IS20" i="5"/>
  <c r="IT20" i="5"/>
  <c r="IS54" i="5"/>
  <c r="IT54" i="5"/>
  <c r="IS56" i="5"/>
  <c r="IT56" i="5"/>
  <c r="IS75" i="5"/>
  <c r="IT75" i="5"/>
  <c r="IO44" i="5"/>
  <c r="IP44" i="5"/>
  <c r="IO16" i="5"/>
  <c r="IP16" i="5"/>
  <c r="IS88" i="5"/>
  <c r="IT88" i="5"/>
  <c r="IS33" i="5"/>
  <c r="IT33" i="5"/>
  <c r="IP15" i="5"/>
  <c r="IO15" i="5"/>
  <c r="IQ15" i="5" s="1"/>
  <c r="IR15" i="5" s="1"/>
  <c r="IS70" i="5"/>
  <c r="IT70" i="5"/>
  <c r="DL30" i="5"/>
  <c r="DK30" i="5"/>
  <c r="DM30" i="5" s="1"/>
  <c r="DN30" i="5" s="1"/>
  <c r="DP52" i="5"/>
  <c r="DO52" i="5"/>
  <c r="DH95" i="5"/>
  <c r="DG95" i="5"/>
  <c r="DI95" i="5" s="1"/>
  <c r="DJ95" i="5" s="1"/>
  <c r="IP73" i="5"/>
  <c r="IO73" i="5"/>
  <c r="IQ73" i="5" s="1"/>
  <c r="IR73" i="5" s="1"/>
  <c r="DK42" i="5"/>
  <c r="DL42" i="5"/>
  <c r="DK38" i="5"/>
  <c r="DL38" i="5"/>
  <c r="IT52" i="5"/>
  <c r="IS52" i="5"/>
  <c r="IU52" i="5" s="1"/>
  <c r="IV52" i="5" s="1"/>
  <c r="IT53" i="5"/>
  <c r="IS53" i="5"/>
  <c r="IT47" i="5"/>
  <c r="IS47" i="5"/>
  <c r="IU47" i="5" s="1"/>
  <c r="IV47" i="5" s="1"/>
  <c r="IT60" i="5"/>
  <c r="IS60" i="5"/>
  <c r="IU60" i="5" s="1"/>
  <c r="IV60" i="5" s="1"/>
  <c r="IT81" i="5"/>
  <c r="IS81" i="5"/>
  <c r="IU81" i="5" s="1"/>
  <c r="IV81" i="5" s="1"/>
  <c r="IS49" i="5"/>
  <c r="IT49" i="5"/>
  <c r="IT66" i="5"/>
  <c r="IS66" i="5"/>
  <c r="IU66" i="5" s="1"/>
  <c r="IV66" i="5" s="1"/>
  <c r="IP86" i="5"/>
  <c r="IO86" i="5"/>
  <c r="IQ86" i="5" s="1"/>
  <c r="IR86" i="5" s="1"/>
  <c r="IP42" i="5"/>
  <c r="IO42" i="5"/>
  <c r="IQ42" i="5" s="1"/>
  <c r="IR42" i="5" s="1"/>
  <c r="IP84" i="5"/>
  <c r="IO84" i="5"/>
  <c r="IQ84" i="5" s="1"/>
  <c r="IR84" i="5" s="1"/>
  <c r="IP38" i="5"/>
  <c r="IO38" i="5"/>
  <c r="IQ38" i="5" s="1"/>
  <c r="IR38" i="5" s="1"/>
  <c r="IL40" i="5"/>
  <c r="IK40" i="5"/>
  <c r="IM40" i="5" s="1"/>
  <c r="IN40" i="5" s="1"/>
  <c r="DK69" i="5"/>
  <c r="DL69" i="5"/>
  <c r="DK40" i="5"/>
  <c r="DL40" i="5"/>
  <c r="IT63" i="5"/>
  <c r="IS63" i="5"/>
  <c r="IU63" i="5" s="1"/>
  <c r="IV63" i="5" s="1"/>
  <c r="IT26" i="5"/>
  <c r="IS26" i="5"/>
  <c r="IU26" i="5" s="1"/>
  <c r="IV26" i="5" s="1"/>
  <c r="IP93" i="5"/>
  <c r="IO93" i="5"/>
  <c r="IQ93" i="5" s="1"/>
  <c r="IR93" i="5" s="1"/>
  <c r="IT39" i="5"/>
  <c r="IS39" i="5"/>
  <c r="IU39" i="5" s="1"/>
  <c r="IV39" i="5" s="1"/>
  <c r="DH79" i="5"/>
  <c r="DG79" i="5"/>
  <c r="DI79" i="5" s="1"/>
  <c r="DJ79" i="5" s="1"/>
  <c r="DO29" i="5"/>
  <c r="DP29" i="5"/>
  <c r="EA27" i="5"/>
  <c r="EB27" i="5"/>
  <c r="DW26" i="5"/>
  <c r="DX26" i="5"/>
  <c r="IT30" i="5"/>
  <c r="IS30" i="5"/>
  <c r="IU30" i="5" s="1"/>
  <c r="IV30" i="5" s="1"/>
  <c r="DS59" i="5"/>
  <c r="DT59" i="5"/>
  <c r="DW86" i="5"/>
  <c r="DX86" i="5"/>
  <c r="EI35" i="5"/>
  <c r="EJ35" i="5"/>
  <c r="DS31" i="5"/>
  <c r="DT31" i="5"/>
  <c r="DP28" i="5"/>
  <c r="DO28" i="5"/>
  <c r="DQ28" i="5" s="1"/>
  <c r="DR28" i="5" s="1"/>
  <c r="DK12" i="5"/>
  <c r="DL12" i="5"/>
  <c r="CY81" i="5"/>
  <c r="CZ81" i="5"/>
  <c r="CY73" i="5"/>
  <c r="CZ73" i="5"/>
  <c r="CY55" i="5"/>
  <c r="CZ55" i="5"/>
  <c r="CY18" i="5"/>
  <c r="CZ18" i="5"/>
  <c r="CU91" i="5"/>
  <c r="CV91" i="5"/>
  <c r="CU94" i="5"/>
  <c r="CV94" i="5"/>
  <c r="CU80" i="5"/>
  <c r="CV80" i="5"/>
  <c r="CU54" i="5"/>
  <c r="CV54" i="5"/>
  <c r="CU70" i="5"/>
  <c r="CV70" i="5"/>
  <c r="DM11" i="5"/>
  <c r="DN11" i="5" s="1"/>
  <c r="IU19" i="5"/>
  <c r="IV19" i="5" s="1"/>
  <c r="IQ14" i="5"/>
  <c r="IR14" i="5" s="1"/>
  <c r="DM9" i="5"/>
  <c r="DN9" i="5" s="1"/>
  <c r="IU68" i="5"/>
  <c r="IV68" i="5" s="1"/>
  <c r="IU37" i="5"/>
  <c r="IV37" i="5" s="1"/>
  <c r="DI17" i="5"/>
  <c r="DJ17" i="5" s="1"/>
  <c r="IU8" i="5"/>
  <c r="IV8" i="5" s="1"/>
  <c r="IY69" i="5"/>
  <c r="IZ69" i="5" s="1"/>
  <c r="IQ17" i="5"/>
  <c r="IR17" i="5" s="1"/>
  <c r="DM88" i="5"/>
  <c r="DN88" i="5" s="1"/>
  <c r="DY41" i="5"/>
  <c r="DZ41" i="5" s="1"/>
  <c r="DQ22" i="5"/>
  <c r="DR22" i="5" s="1"/>
  <c r="IQ72" i="5"/>
  <c r="IR72" i="5" s="1"/>
  <c r="IU28" i="5"/>
  <c r="IV28" i="5" s="1"/>
  <c r="IU41" i="5"/>
  <c r="IV41" i="5" s="1"/>
  <c r="IQ67" i="5"/>
  <c r="IR67" i="5" s="1"/>
  <c r="IQ65" i="5"/>
  <c r="IR65" i="5" s="1"/>
  <c r="IQ95" i="5"/>
  <c r="IR95" i="5" s="1"/>
  <c r="IQ31" i="5"/>
  <c r="IR31" i="5" s="1"/>
  <c r="IQ55" i="5"/>
  <c r="IR55" i="5" s="1"/>
  <c r="IQ64" i="5"/>
  <c r="IR64" i="5" s="1"/>
  <c r="IQ59" i="5"/>
  <c r="IR59" i="5" s="1"/>
  <c r="IQ92" i="5"/>
  <c r="IR92" i="5" s="1"/>
  <c r="IQ91" i="5"/>
  <c r="IR91" i="5" s="1"/>
  <c r="IQ13" i="5"/>
  <c r="IR13" i="5" s="1"/>
  <c r="EO45" i="5"/>
  <c r="EP45" i="5" s="1"/>
  <c r="EW57" i="5"/>
  <c r="EX57" i="5" s="1"/>
  <c r="IU79" i="5"/>
  <c r="IV79" i="5" s="1"/>
  <c r="IQ51" i="5"/>
  <c r="IR51" i="5" s="1"/>
  <c r="IU21" i="5"/>
  <c r="IV21" i="5" s="1"/>
  <c r="IM10" i="5"/>
  <c r="IN10" i="5" s="1"/>
  <c r="DE36" i="5"/>
  <c r="DF36" i="5" s="1"/>
  <c r="DU53" i="5"/>
  <c r="DV53" i="5" s="1"/>
  <c r="DU24" i="5"/>
  <c r="DV24" i="5" s="1"/>
  <c r="IM43" i="5"/>
  <c r="IN43" i="5" s="1"/>
  <c r="EC49" i="5"/>
  <c r="ED49" i="5" s="1"/>
  <c r="DM13" i="5"/>
  <c r="DN13" i="5" s="1"/>
  <c r="DY66" i="5"/>
  <c r="DZ66" i="5" s="1"/>
  <c r="DU25" i="5"/>
  <c r="DV25" i="5" s="1"/>
  <c r="DI64" i="5"/>
  <c r="DJ64" i="5" s="1"/>
  <c r="EO67" i="5"/>
  <c r="EP67" i="5" s="1"/>
  <c r="DA19" i="5"/>
  <c r="DB19" i="5" s="1"/>
  <c r="CW65" i="5"/>
  <c r="CX65" i="5" s="1"/>
  <c r="HW89" i="5"/>
  <c r="HX89" i="5" s="1"/>
  <c r="DM74" i="5"/>
  <c r="DN74" i="5" s="1"/>
  <c r="DI14" i="5"/>
  <c r="DJ14" i="5" s="1"/>
  <c r="EA85" i="5" l="1"/>
  <c r="EB85" i="5"/>
  <c r="DO72" i="5"/>
  <c r="DP72" i="5"/>
  <c r="EB50" i="5"/>
  <c r="EA50" i="5"/>
  <c r="EC50" i="5" s="1"/>
  <c r="ED50" i="5" s="1"/>
  <c r="EF44" i="5"/>
  <c r="EE44" i="5"/>
  <c r="EG44" i="5" s="1"/>
  <c r="EH44" i="5" s="1"/>
  <c r="DP92" i="5"/>
  <c r="DO92" i="5"/>
  <c r="DQ92" i="5" s="1"/>
  <c r="DR92" i="5" s="1"/>
  <c r="JC48" i="5"/>
  <c r="JD48" i="5" s="1"/>
  <c r="DI84" i="5"/>
  <c r="DJ84" i="5" s="1"/>
  <c r="ES33" i="5"/>
  <c r="ET33" i="5" s="1"/>
  <c r="DY23" i="5"/>
  <c r="DZ23" i="5" s="1"/>
  <c r="DU76" i="5"/>
  <c r="DV76" i="5" s="1"/>
  <c r="DQ93" i="5"/>
  <c r="DR93" i="5" s="1"/>
  <c r="DQ15" i="5"/>
  <c r="DR15" i="5" s="1"/>
  <c r="EK62" i="5"/>
  <c r="EL62" i="5" s="1"/>
  <c r="JW61" i="5"/>
  <c r="JX61" i="5" s="1"/>
  <c r="DE77" i="5"/>
  <c r="DF77" i="5" s="1"/>
  <c r="IU45" i="5"/>
  <c r="IV45" i="5" s="1"/>
  <c r="IU56" i="5"/>
  <c r="IV56" i="5" s="1"/>
  <c r="CW54" i="5"/>
  <c r="CX54" i="5" s="1"/>
  <c r="IS82" i="5"/>
  <c r="IT82" i="5"/>
  <c r="DH20" i="5"/>
  <c r="DG20" i="5"/>
  <c r="DI20" i="5" s="1"/>
  <c r="DJ20" i="5" s="1"/>
  <c r="EF83" i="5"/>
  <c r="EE83" i="5"/>
  <c r="EG83" i="5" s="1"/>
  <c r="EH83" i="5" s="1"/>
  <c r="IS87" i="5"/>
  <c r="IU87" i="5" s="1"/>
  <c r="IV87" i="5" s="1"/>
  <c r="IT87" i="5"/>
  <c r="EJ10" i="5"/>
  <c r="EI10" i="5"/>
  <c r="EK10" i="5" s="1"/>
  <c r="EL10" i="5" s="1"/>
  <c r="EN56" i="5"/>
  <c r="EM56" i="5"/>
  <c r="EO56" i="5" s="1"/>
  <c r="EP56" i="5" s="1"/>
  <c r="DD58" i="5"/>
  <c r="DC58" i="5"/>
  <c r="DE58" i="5" s="1"/>
  <c r="DF58" i="5" s="1"/>
  <c r="R300" i="5"/>
  <c r="O300" i="5" s="1"/>
  <c r="R297" i="5"/>
  <c r="O297" i="5" s="1"/>
  <c r="R298" i="5"/>
  <c r="O298" i="5" s="1"/>
  <c r="R301" i="5"/>
  <c r="O301" i="5" s="1"/>
  <c r="R299" i="5"/>
  <c r="O299" i="5" s="1"/>
  <c r="ER87" i="5"/>
  <c r="EQ87" i="5"/>
  <c r="ES87" i="5" s="1"/>
  <c r="ET87" i="5" s="1"/>
  <c r="ER63" i="5"/>
  <c r="EQ63" i="5"/>
  <c r="ES63" i="5" s="1"/>
  <c r="ET63" i="5" s="1"/>
  <c r="JR34" i="5"/>
  <c r="JQ34" i="5"/>
  <c r="JS34" i="5" s="1"/>
  <c r="JT34" i="5" s="1"/>
  <c r="EN16" i="5"/>
  <c r="EM16" i="5"/>
  <c r="EO16" i="5" s="1"/>
  <c r="EP16" i="5" s="1"/>
  <c r="EZ51" i="5"/>
  <c r="EY51" i="5"/>
  <c r="KA51" i="5" s="1"/>
  <c r="EJ83" i="5"/>
  <c r="EI83" i="5"/>
  <c r="EK83" i="5" s="1"/>
  <c r="EL83" i="5" s="1"/>
  <c r="EB43" i="5"/>
  <c r="EA43" i="5"/>
  <c r="EC43" i="5" s="1"/>
  <c r="ED43" i="5" s="1"/>
  <c r="EV89" i="5"/>
  <c r="EU89" i="5"/>
  <c r="EW89" i="5" s="1"/>
  <c r="EX89" i="5" s="1"/>
  <c r="EV39" i="5"/>
  <c r="EU39" i="5"/>
  <c r="EW39" i="5" s="1"/>
  <c r="EX39" i="5" s="1"/>
  <c r="EN75" i="5"/>
  <c r="EM75" i="5"/>
  <c r="EO75" i="5" s="1"/>
  <c r="EP75" i="5" s="1"/>
  <c r="ER96" i="5"/>
  <c r="EQ96" i="5"/>
  <c r="ES96" i="5" s="1"/>
  <c r="ET96" i="5" s="1"/>
  <c r="EN37" i="5"/>
  <c r="EM37" i="5"/>
  <c r="EO37" i="5" s="1"/>
  <c r="EP37" i="5" s="1"/>
  <c r="IT62" i="5"/>
  <c r="IS62" i="5"/>
  <c r="IU62" i="5" s="1"/>
  <c r="IV62" i="5" s="1"/>
  <c r="JA22" i="5"/>
  <c r="JB22" i="5"/>
  <c r="IW9" i="5"/>
  <c r="IX9" i="5"/>
  <c r="DD71" i="5"/>
  <c r="DC71" i="5"/>
  <c r="DE71" i="5" s="1"/>
  <c r="DF71" i="5" s="1"/>
  <c r="DD8" i="5"/>
  <c r="DC8" i="5"/>
  <c r="DE8" i="5" s="1"/>
  <c r="DF8" i="5" s="1"/>
  <c r="IW12" i="5"/>
  <c r="IX12" i="5"/>
  <c r="IW56" i="5"/>
  <c r="IX56" i="5"/>
  <c r="IT15" i="5"/>
  <c r="IS15" i="5"/>
  <c r="IU15" i="5" s="1"/>
  <c r="IV15" i="5" s="1"/>
  <c r="DP30" i="5"/>
  <c r="DO30" i="5"/>
  <c r="DQ30" i="5" s="1"/>
  <c r="DR30" i="5" s="1"/>
  <c r="DL95" i="5"/>
  <c r="DK95" i="5"/>
  <c r="DM95" i="5" s="1"/>
  <c r="DN95" i="5" s="1"/>
  <c r="DL20" i="5"/>
  <c r="DK20" i="5"/>
  <c r="DM20" i="5" s="1"/>
  <c r="DN20" i="5" s="1"/>
  <c r="IS73" i="5"/>
  <c r="IT73" i="5"/>
  <c r="IW52" i="5"/>
  <c r="IX52" i="5"/>
  <c r="IW47" i="5"/>
  <c r="IX47" i="5"/>
  <c r="IW60" i="5"/>
  <c r="IX60" i="5"/>
  <c r="IW81" i="5"/>
  <c r="IX81" i="5"/>
  <c r="IW66" i="5"/>
  <c r="IX66" i="5"/>
  <c r="IS86" i="5"/>
  <c r="IT86" i="5"/>
  <c r="IS42" i="5"/>
  <c r="IT42" i="5"/>
  <c r="IT84" i="5"/>
  <c r="IS84" i="5"/>
  <c r="IU84" i="5" s="1"/>
  <c r="IV84" i="5" s="1"/>
  <c r="IS38" i="5"/>
  <c r="IT38" i="5"/>
  <c r="IO40" i="5"/>
  <c r="IP40" i="5"/>
  <c r="IW63" i="5"/>
  <c r="IY63" i="5" s="1"/>
  <c r="IZ63" i="5" s="1"/>
  <c r="IX63" i="5"/>
  <c r="IW26" i="5"/>
  <c r="IX26" i="5"/>
  <c r="IS93" i="5"/>
  <c r="IT93" i="5"/>
  <c r="IX39" i="5"/>
  <c r="IW39" i="5"/>
  <c r="IY39" i="5" s="1"/>
  <c r="IZ39" i="5" s="1"/>
  <c r="DL79" i="5"/>
  <c r="DK79" i="5"/>
  <c r="DM79" i="5" s="1"/>
  <c r="DN79" i="5" s="1"/>
  <c r="IX30" i="5"/>
  <c r="IW30" i="5"/>
  <c r="IY30" i="5" s="1"/>
  <c r="IZ30" i="5" s="1"/>
  <c r="DS28" i="5"/>
  <c r="DT28" i="5"/>
  <c r="CZ54" i="5"/>
  <c r="CY54" i="5"/>
  <c r="DA54" i="5" s="1"/>
  <c r="DB54" i="5" s="1"/>
  <c r="DO11" i="5"/>
  <c r="DP11" i="5"/>
  <c r="IX19" i="5"/>
  <c r="IW19" i="5"/>
  <c r="IY19" i="5" s="1"/>
  <c r="IZ19" i="5" s="1"/>
  <c r="IS14" i="5"/>
  <c r="IT14" i="5"/>
  <c r="DP9" i="5"/>
  <c r="DO9" i="5"/>
  <c r="DQ9" i="5" s="1"/>
  <c r="DR9" i="5" s="1"/>
  <c r="JB83" i="5"/>
  <c r="JA83" i="5"/>
  <c r="JC83" i="5" s="1"/>
  <c r="JD83" i="5" s="1"/>
  <c r="IX68" i="5"/>
  <c r="IW68" i="5"/>
  <c r="IY68" i="5" s="1"/>
  <c r="IZ68" i="5" s="1"/>
  <c r="IX37" i="5"/>
  <c r="IW37" i="5"/>
  <c r="IY37" i="5" s="1"/>
  <c r="IZ37" i="5" s="1"/>
  <c r="DL17" i="5"/>
  <c r="DK17" i="5"/>
  <c r="DM17" i="5" s="1"/>
  <c r="DN17" i="5" s="1"/>
  <c r="S271" i="5"/>
  <c r="P271" i="5" s="1"/>
  <c r="Q271" i="5" s="1"/>
  <c r="I146" i="11" s="1"/>
  <c r="S270" i="5"/>
  <c r="P270" i="5" s="1"/>
  <c r="Q270" i="5" s="1"/>
  <c r="I145" i="11" s="1"/>
  <c r="S269" i="5"/>
  <c r="P269" i="5" s="1"/>
  <c r="Q269" i="5" s="1"/>
  <c r="I144" i="11" s="1"/>
  <c r="S268" i="5"/>
  <c r="P268" i="5" s="1"/>
  <c r="Q268" i="5" s="1"/>
  <c r="I143" i="11" s="1"/>
  <c r="S267" i="5"/>
  <c r="P267" i="5" s="1"/>
  <c r="Q267" i="5" s="1"/>
  <c r="I142" i="11" s="1"/>
  <c r="S266" i="5"/>
  <c r="P266" i="5" s="1"/>
  <c r="Q266" i="5" s="1"/>
  <c r="I141" i="11" s="1"/>
  <c r="S265" i="5"/>
  <c r="P265" i="5" s="1"/>
  <c r="Q265" i="5" s="1"/>
  <c r="I140" i="11" s="1"/>
  <c r="S264" i="5"/>
  <c r="P264" i="5" s="1"/>
  <c r="Q264" i="5" s="1"/>
  <c r="I139" i="11" s="1"/>
  <c r="S263" i="5"/>
  <c r="P263" i="5" s="1"/>
  <c r="Q263" i="5" s="1"/>
  <c r="I138" i="11" s="1"/>
  <c r="S262" i="5"/>
  <c r="P262" i="5" s="1"/>
  <c r="Q262" i="5" s="1"/>
  <c r="I137" i="11" s="1"/>
  <c r="S261" i="5"/>
  <c r="P261" i="5" s="1"/>
  <c r="Q261" i="5" s="1"/>
  <c r="I136" i="11" s="1"/>
  <c r="S260" i="5"/>
  <c r="P260" i="5" s="1"/>
  <c r="Q260" i="5" s="1"/>
  <c r="I135" i="11" s="1"/>
  <c r="S259" i="5"/>
  <c r="P259" i="5" s="1"/>
  <c r="Q259" i="5" s="1"/>
  <c r="I134" i="11" s="1"/>
  <c r="S258" i="5"/>
  <c r="P258" i="5" s="1"/>
  <c r="Q258" i="5" s="1"/>
  <c r="I133" i="11" s="1"/>
  <c r="S257" i="5"/>
  <c r="P257" i="5" s="1"/>
  <c r="Q257" i="5" s="1"/>
  <c r="I132" i="11" s="1"/>
  <c r="S256" i="5"/>
  <c r="P256" i="5" s="1"/>
  <c r="Q256" i="5" s="1"/>
  <c r="I131" i="11" s="1"/>
  <c r="S255" i="5"/>
  <c r="P255" i="5" s="1"/>
  <c r="Q255" i="5" s="1"/>
  <c r="I130" i="11" s="1"/>
  <c r="S254" i="5"/>
  <c r="P254" i="5" s="1"/>
  <c r="Q254" i="5" s="1"/>
  <c r="I129" i="11" s="1"/>
  <c r="S253" i="5"/>
  <c r="P253" i="5" s="1"/>
  <c r="Q253" i="5" s="1"/>
  <c r="I128" i="11" s="1"/>
  <c r="S252" i="5"/>
  <c r="P252" i="5" s="1"/>
  <c r="Q252" i="5" s="1"/>
  <c r="I127" i="11" s="1"/>
  <c r="S251" i="5"/>
  <c r="P251" i="5" s="1"/>
  <c r="Q251" i="5" s="1"/>
  <c r="I126" i="11" s="1"/>
  <c r="S250" i="5"/>
  <c r="P250" i="5" s="1"/>
  <c r="Q250" i="5" s="1"/>
  <c r="I125" i="11" s="1"/>
  <c r="S249" i="5"/>
  <c r="P249" i="5" s="1"/>
  <c r="Q249" i="5" s="1"/>
  <c r="I124" i="11" s="1"/>
  <c r="S248" i="5"/>
  <c r="P248" i="5" s="1"/>
  <c r="Q248" i="5" s="1"/>
  <c r="I123" i="11" s="1"/>
  <c r="S247" i="5"/>
  <c r="P247" i="5" s="1"/>
  <c r="Q247" i="5" s="1"/>
  <c r="I122" i="11" s="1"/>
  <c r="S246" i="5"/>
  <c r="P246" i="5" s="1"/>
  <c r="Q246" i="5" s="1"/>
  <c r="I121" i="11" s="1"/>
  <c r="S245" i="5"/>
  <c r="P245" i="5" s="1"/>
  <c r="Q245" i="5" s="1"/>
  <c r="I120" i="11" s="1"/>
  <c r="S244" i="5"/>
  <c r="P244" i="5" s="1"/>
  <c r="Q244" i="5" s="1"/>
  <c r="I119" i="11" s="1"/>
  <c r="S243" i="5"/>
  <c r="P243" i="5" s="1"/>
  <c r="Q243" i="5" s="1"/>
  <c r="I118" i="11" s="1"/>
  <c r="S242" i="5"/>
  <c r="P242" i="5" s="1"/>
  <c r="Q242" i="5" s="1"/>
  <c r="I117" i="11" s="1"/>
  <c r="IX8" i="5"/>
  <c r="IW8" i="5"/>
  <c r="JA69" i="5"/>
  <c r="JB69" i="5"/>
  <c r="IS17" i="5"/>
  <c r="IT17" i="5"/>
  <c r="IX58" i="5"/>
  <c r="IW58" i="5"/>
  <c r="IY58" i="5" s="1"/>
  <c r="IZ58" i="5" s="1"/>
  <c r="DO88" i="5"/>
  <c r="DP88" i="5"/>
  <c r="EA41" i="5"/>
  <c r="EB41" i="5"/>
  <c r="DS22" i="5"/>
  <c r="DT22" i="5"/>
  <c r="IT72" i="5"/>
  <c r="IS72" i="5"/>
  <c r="IU72" i="5" s="1"/>
  <c r="IV72" i="5" s="1"/>
  <c r="IX28" i="5"/>
  <c r="IW28" i="5"/>
  <c r="IY28" i="5" s="1"/>
  <c r="IZ28" i="5" s="1"/>
  <c r="IX41" i="5"/>
  <c r="IW41" i="5"/>
  <c r="IY41" i="5" s="1"/>
  <c r="IZ41" i="5" s="1"/>
  <c r="IT67" i="5"/>
  <c r="IS67" i="5"/>
  <c r="IU67" i="5" s="1"/>
  <c r="IV67" i="5" s="1"/>
  <c r="IT65" i="5"/>
  <c r="IS65" i="5"/>
  <c r="IU65" i="5" s="1"/>
  <c r="IV65" i="5" s="1"/>
  <c r="IT95" i="5"/>
  <c r="IS95" i="5"/>
  <c r="IU95" i="5" s="1"/>
  <c r="IV95" i="5" s="1"/>
  <c r="IT31" i="5"/>
  <c r="IS31" i="5"/>
  <c r="IU31" i="5" s="1"/>
  <c r="IV31" i="5" s="1"/>
  <c r="IT55" i="5"/>
  <c r="IS55" i="5"/>
  <c r="IU55" i="5" s="1"/>
  <c r="IV55" i="5" s="1"/>
  <c r="IT64" i="5"/>
  <c r="IS64" i="5"/>
  <c r="IU64" i="5" s="1"/>
  <c r="IV64" i="5" s="1"/>
  <c r="IT59" i="5"/>
  <c r="IS59" i="5"/>
  <c r="IU59" i="5" s="1"/>
  <c r="IV59" i="5" s="1"/>
  <c r="IS92" i="5"/>
  <c r="IT92" i="5"/>
  <c r="IT91" i="5"/>
  <c r="IS91" i="5"/>
  <c r="IU91" i="5" s="1"/>
  <c r="IV91" i="5" s="1"/>
  <c r="IS13" i="5"/>
  <c r="IT13" i="5"/>
  <c r="EQ45" i="5"/>
  <c r="ER45" i="5"/>
  <c r="EY57" i="5"/>
  <c r="EZ57" i="5"/>
  <c r="IX79" i="5"/>
  <c r="IW79" i="5"/>
  <c r="IY79" i="5" s="1"/>
  <c r="IZ79" i="5" s="1"/>
  <c r="IT51" i="5"/>
  <c r="IS51" i="5"/>
  <c r="IU51" i="5" s="1"/>
  <c r="IV51" i="5" s="1"/>
  <c r="IW21" i="5"/>
  <c r="IX21" i="5"/>
  <c r="IP10" i="5"/>
  <c r="IO10" i="5"/>
  <c r="IQ10" i="5" s="1"/>
  <c r="IR10" i="5" s="1"/>
  <c r="DH36" i="5"/>
  <c r="DG36" i="5"/>
  <c r="DI36" i="5" s="1"/>
  <c r="DJ36" i="5" s="1"/>
  <c r="DW53" i="5"/>
  <c r="DX53" i="5"/>
  <c r="DX24" i="5"/>
  <c r="DW24" i="5"/>
  <c r="DY24" i="5" s="1"/>
  <c r="DZ24" i="5" s="1"/>
  <c r="IO43" i="5"/>
  <c r="IP43" i="5"/>
  <c r="EE49" i="5"/>
  <c r="EF49" i="5"/>
  <c r="DO13" i="5"/>
  <c r="DP13" i="5"/>
  <c r="EA66" i="5"/>
  <c r="EB66" i="5"/>
  <c r="DW25" i="5"/>
  <c r="DX25" i="5"/>
  <c r="DL64" i="5"/>
  <c r="DK64" i="5"/>
  <c r="DM64" i="5" s="1"/>
  <c r="DN64" i="5" s="1"/>
  <c r="EQ67" i="5"/>
  <c r="ER67" i="5"/>
  <c r="DC19" i="5"/>
  <c r="DD19" i="5"/>
  <c r="CY65" i="5"/>
  <c r="CZ65" i="5"/>
  <c r="HY89" i="5"/>
  <c r="HZ89" i="5"/>
  <c r="DO74" i="5"/>
  <c r="DP74" i="5"/>
  <c r="DK14" i="5"/>
  <c r="DL14" i="5"/>
  <c r="ES78" i="5"/>
  <c r="ET78" i="5" s="1"/>
  <c r="JO90" i="5"/>
  <c r="JP90" i="5" s="1"/>
  <c r="IU71" i="5"/>
  <c r="IV71" i="5" s="1"/>
  <c r="IQ23" i="5"/>
  <c r="IR23" i="5" s="1"/>
  <c r="IY11" i="5"/>
  <c r="IZ11" i="5" s="1"/>
  <c r="IU78" i="5"/>
  <c r="IV78" i="5" s="1"/>
  <c r="IU36" i="5"/>
  <c r="IV36" i="5" s="1"/>
  <c r="IU29" i="5"/>
  <c r="IV29" i="5" s="1"/>
  <c r="IU82" i="5"/>
  <c r="IV82" i="5" s="1"/>
  <c r="IU35" i="5"/>
  <c r="IV35" i="5" s="1"/>
  <c r="IY27" i="5"/>
  <c r="IZ27" i="5" s="1"/>
  <c r="IU85" i="5"/>
  <c r="IV85" i="5" s="1"/>
  <c r="IU18" i="5"/>
  <c r="IV18" i="5" s="1"/>
  <c r="IY24" i="5"/>
  <c r="IZ24" i="5" s="1"/>
  <c r="IU80" i="5"/>
  <c r="IV80" i="5" s="1"/>
  <c r="IU77" i="5"/>
  <c r="IV77" i="5" s="1"/>
  <c r="IY57" i="5"/>
  <c r="IZ57" i="5" s="1"/>
  <c r="DM42" i="5"/>
  <c r="DN42" i="5" s="1"/>
  <c r="DM38" i="5"/>
  <c r="DN38" i="5" s="1"/>
  <c r="IU94" i="5"/>
  <c r="IV94" i="5" s="1"/>
  <c r="IM50" i="5"/>
  <c r="IN50" i="5" s="1"/>
  <c r="IU74" i="5"/>
  <c r="IV74" i="5" s="1"/>
  <c r="IY25" i="5"/>
  <c r="IZ25" i="5" s="1"/>
  <c r="IU32" i="5"/>
  <c r="IV32" i="5" s="1"/>
  <c r="IU46" i="5"/>
  <c r="IV46" i="5" s="1"/>
  <c r="IU20" i="5"/>
  <c r="IV20" i="5" s="1"/>
  <c r="IU54" i="5"/>
  <c r="IV54" i="5" s="1"/>
  <c r="IU75" i="5"/>
  <c r="IV75" i="5" s="1"/>
  <c r="IQ44" i="5"/>
  <c r="IR44" i="5" s="1"/>
  <c r="IQ16" i="5"/>
  <c r="IR16" i="5" s="1"/>
  <c r="IU88" i="5"/>
  <c r="IV88" i="5" s="1"/>
  <c r="IU33" i="5"/>
  <c r="IV33" i="5" s="1"/>
  <c r="IU70" i="5"/>
  <c r="IV70" i="5" s="1"/>
  <c r="IU49" i="5"/>
  <c r="IV49" i="5" s="1"/>
  <c r="DQ52" i="5"/>
  <c r="DR52" i="5" s="1"/>
  <c r="IU53" i="5"/>
  <c r="IV53" i="5" s="1"/>
  <c r="DM69" i="5"/>
  <c r="DN69" i="5" s="1"/>
  <c r="DM40" i="5"/>
  <c r="DN40" i="5" s="1"/>
  <c r="DQ29" i="5"/>
  <c r="DR29" i="5" s="1"/>
  <c r="EC27" i="5"/>
  <c r="ED27" i="5" s="1"/>
  <c r="DY26" i="5"/>
  <c r="DZ26" i="5" s="1"/>
  <c r="DU59" i="5"/>
  <c r="DV59" i="5" s="1"/>
  <c r="DY86" i="5"/>
  <c r="DZ86" i="5" s="1"/>
  <c r="EK35" i="5"/>
  <c r="EL35" i="5" s="1"/>
  <c r="DU31" i="5"/>
  <c r="DV31" i="5" s="1"/>
  <c r="DM12" i="5"/>
  <c r="DN12" i="5" s="1"/>
  <c r="DA81" i="5"/>
  <c r="DB81" i="5" s="1"/>
  <c r="DA73" i="5"/>
  <c r="DB73" i="5" s="1"/>
  <c r="DA55" i="5"/>
  <c r="DB55" i="5" s="1"/>
  <c r="DA18" i="5"/>
  <c r="DB18" i="5" s="1"/>
  <c r="CW91" i="5"/>
  <c r="CX91" i="5" s="1"/>
  <c r="CW94" i="5"/>
  <c r="CX94" i="5" s="1"/>
  <c r="CW80" i="5"/>
  <c r="CX80" i="5" s="1"/>
  <c r="CW70" i="5"/>
  <c r="CX70" i="5" s="1"/>
  <c r="EE50" i="5" l="1"/>
  <c r="EF50" i="5"/>
  <c r="EI44" i="5"/>
  <c r="EJ44" i="5"/>
  <c r="DS92" i="5"/>
  <c r="DT92" i="5"/>
  <c r="JF48" i="5"/>
  <c r="JE48" i="5"/>
  <c r="JG48" i="5" s="1"/>
  <c r="JH48" i="5" s="1"/>
  <c r="DL84" i="5"/>
  <c r="DK84" i="5"/>
  <c r="DM84" i="5" s="1"/>
  <c r="DN84" i="5" s="1"/>
  <c r="EV33" i="5"/>
  <c r="EU33" i="5"/>
  <c r="EW33" i="5" s="1"/>
  <c r="EX33" i="5" s="1"/>
  <c r="EA23" i="5"/>
  <c r="EB23" i="5"/>
  <c r="DX76" i="5"/>
  <c r="DW76" i="5"/>
  <c r="DY76" i="5" s="1"/>
  <c r="DZ76" i="5" s="1"/>
  <c r="DT93" i="5"/>
  <c r="DS93" i="5"/>
  <c r="DU93" i="5" s="1"/>
  <c r="DV93" i="5" s="1"/>
  <c r="DT15" i="5"/>
  <c r="DS15" i="5"/>
  <c r="DU15" i="5" s="1"/>
  <c r="DV15" i="5" s="1"/>
  <c r="EN62" i="5"/>
  <c r="EM62" i="5"/>
  <c r="EO62" i="5" s="1"/>
  <c r="EP62" i="5" s="1"/>
  <c r="JY61" i="5"/>
  <c r="JZ61" i="5"/>
  <c r="DG77" i="5"/>
  <c r="DH77" i="5"/>
  <c r="EC85" i="5"/>
  <c r="ED85" i="5" s="1"/>
  <c r="DQ72" i="5"/>
  <c r="DR72" i="5" s="1"/>
  <c r="IU92" i="5"/>
  <c r="IV92" i="5" s="1"/>
  <c r="IA89" i="5"/>
  <c r="IB89" i="5" s="1"/>
  <c r="IW45" i="5"/>
  <c r="IY45" i="5" s="1"/>
  <c r="IZ45" i="5" s="1"/>
  <c r="IX45" i="5"/>
  <c r="EN10" i="5"/>
  <c r="EM10" i="5"/>
  <c r="EO10" i="5" s="1"/>
  <c r="EP10" i="5" s="1"/>
  <c r="ER56" i="5"/>
  <c r="EQ56" i="5"/>
  <c r="ES56" i="5" s="1"/>
  <c r="ET56" i="5" s="1"/>
  <c r="DH58" i="5"/>
  <c r="DG58" i="5"/>
  <c r="DI58" i="5" s="1"/>
  <c r="DJ58" i="5" s="1"/>
  <c r="EV87" i="5"/>
  <c r="EU87" i="5"/>
  <c r="EW87" i="5" s="1"/>
  <c r="EX87" i="5" s="1"/>
  <c r="EU63" i="5"/>
  <c r="EV63" i="5"/>
  <c r="JV34" i="5"/>
  <c r="JU34" i="5"/>
  <c r="JW34" i="5" s="1"/>
  <c r="JX34" i="5" s="1"/>
  <c r="ER16" i="5"/>
  <c r="EQ16" i="5"/>
  <c r="ES16" i="5" s="1"/>
  <c r="ET16" i="5" s="1"/>
  <c r="R192" i="5"/>
  <c r="O192" i="5" s="1"/>
  <c r="R193" i="5"/>
  <c r="O193" i="5" s="1"/>
  <c r="EN83" i="5"/>
  <c r="EM83" i="5"/>
  <c r="EO83" i="5" s="1"/>
  <c r="EP83" i="5" s="1"/>
  <c r="EF43" i="5"/>
  <c r="EE43" i="5"/>
  <c r="EG43" i="5" s="1"/>
  <c r="EH43" i="5" s="1"/>
  <c r="EZ89" i="5"/>
  <c r="EY89" i="5"/>
  <c r="KA89" i="5" s="1"/>
  <c r="EZ39" i="5"/>
  <c r="EY39" i="5"/>
  <c r="KA39" i="5" s="1"/>
  <c r="ER75" i="5"/>
  <c r="EQ75" i="5"/>
  <c r="ES75" i="5" s="1"/>
  <c r="ET75" i="5" s="1"/>
  <c r="EV96" i="5"/>
  <c r="EU96" i="5"/>
  <c r="EW96" i="5" s="1"/>
  <c r="EX96" i="5" s="1"/>
  <c r="ER37" i="5"/>
  <c r="EQ37" i="5"/>
  <c r="ES37" i="5" s="1"/>
  <c r="ET37" i="5" s="1"/>
  <c r="IX62" i="5"/>
  <c r="IW62" i="5"/>
  <c r="IY62" i="5" s="1"/>
  <c r="IZ62" i="5" s="1"/>
  <c r="ER10" i="5"/>
  <c r="EQ10" i="5"/>
  <c r="ES10" i="5" s="1"/>
  <c r="ET10" i="5" s="1"/>
  <c r="EV56" i="5"/>
  <c r="EU56" i="5"/>
  <c r="EW56" i="5" s="1"/>
  <c r="EX56" i="5" s="1"/>
  <c r="DH71" i="5"/>
  <c r="DG71" i="5"/>
  <c r="DI71" i="5" s="1"/>
  <c r="DJ71" i="5" s="1"/>
  <c r="DH8" i="5"/>
  <c r="DG8" i="5"/>
  <c r="IW15" i="5"/>
  <c r="IX15" i="5"/>
  <c r="DT30" i="5"/>
  <c r="DS30" i="5"/>
  <c r="DU30" i="5" s="1"/>
  <c r="DV30" i="5" s="1"/>
  <c r="DP95" i="5"/>
  <c r="DO95" i="5"/>
  <c r="DQ95" i="5" s="1"/>
  <c r="DR95" i="5" s="1"/>
  <c r="DP20" i="5"/>
  <c r="DO20" i="5"/>
  <c r="DQ20" i="5" s="1"/>
  <c r="DR20" i="5" s="1"/>
  <c r="IW84" i="5"/>
  <c r="IX84" i="5"/>
  <c r="JA63" i="5"/>
  <c r="JB63" i="5"/>
  <c r="JA39" i="5"/>
  <c r="JB39" i="5"/>
  <c r="DP79" i="5"/>
  <c r="DO79" i="5"/>
  <c r="DQ79" i="5" s="1"/>
  <c r="DR79" i="5" s="1"/>
  <c r="JA30" i="5"/>
  <c r="JB30" i="5"/>
  <c r="DD54" i="5"/>
  <c r="DC54" i="5"/>
  <c r="DE54" i="5" s="1"/>
  <c r="DF54" i="5" s="1"/>
  <c r="JA19" i="5"/>
  <c r="JB19" i="5"/>
  <c r="DT9" i="5"/>
  <c r="DS9" i="5"/>
  <c r="DU9" i="5" s="1"/>
  <c r="DV9" i="5" s="1"/>
  <c r="JF83" i="5"/>
  <c r="JE83" i="5"/>
  <c r="JG83" i="5" s="1"/>
  <c r="JH83" i="5" s="1"/>
  <c r="JB68" i="5"/>
  <c r="JA68" i="5"/>
  <c r="JC68" i="5" s="1"/>
  <c r="JD68" i="5" s="1"/>
  <c r="JB37" i="5"/>
  <c r="JA37" i="5"/>
  <c r="JC37" i="5" s="1"/>
  <c r="JD37" i="5" s="1"/>
  <c r="DP17" i="5"/>
  <c r="DO17" i="5"/>
  <c r="DQ17" i="5" s="1"/>
  <c r="DR17" i="5" s="1"/>
  <c r="Q146" i="11"/>
  <c r="AF146" i="11" s="1"/>
  <c r="M146" i="11"/>
  <c r="AG146" i="11"/>
  <c r="Q145" i="11"/>
  <c r="AF145" i="11" s="1"/>
  <c r="M145" i="11"/>
  <c r="AG145" i="11"/>
  <c r="Q144" i="11"/>
  <c r="AF144" i="11" s="1"/>
  <c r="M144" i="11"/>
  <c r="AG144" i="11"/>
  <c r="Q143" i="11"/>
  <c r="AF143" i="11" s="1"/>
  <c r="M143" i="11"/>
  <c r="AG143" i="11"/>
  <c r="Q142" i="11"/>
  <c r="AF142" i="11" s="1"/>
  <c r="M142" i="11"/>
  <c r="AG142" i="11"/>
  <c r="Q141" i="11"/>
  <c r="AF141" i="11" s="1"/>
  <c r="M141" i="11"/>
  <c r="AG141" i="11"/>
  <c r="Q140" i="11"/>
  <c r="AF140" i="11" s="1"/>
  <c r="M140" i="11"/>
  <c r="AG140" i="11"/>
  <c r="Q139" i="11"/>
  <c r="AF139" i="11" s="1"/>
  <c r="M139" i="11"/>
  <c r="AG139" i="11"/>
  <c r="Q138" i="11"/>
  <c r="AF138" i="11" s="1"/>
  <c r="M138" i="11"/>
  <c r="AG138" i="11"/>
  <c r="Q137" i="11"/>
  <c r="AF137" i="11" s="1"/>
  <c r="M137" i="11"/>
  <c r="AG137" i="11"/>
  <c r="Q136" i="11"/>
  <c r="AF136" i="11" s="1"/>
  <c r="M136" i="11"/>
  <c r="AG136" i="11"/>
  <c r="Q135" i="11"/>
  <c r="AF135" i="11" s="1"/>
  <c r="M135" i="11"/>
  <c r="AG135" i="11"/>
  <c r="Q134" i="11"/>
  <c r="AF134" i="11" s="1"/>
  <c r="M134" i="11"/>
  <c r="AG134" i="11"/>
  <c r="M133" i="11"/>
  <c r="Q133" i="11"/>
  <c r="AF133" i="11" s="1"/>
  <c r="AG133" i="11"/>
  <c r="Q132" i="11"/>
  <c r="AF132" i="11" s="1"/>
  <c r="M132" i="11"/>
  <c r="AG132" i="11"/>
  <c r="Q131" i="11"/>
  <c r="AF131" i="11" s="1"/>
  <c r="M131" i="11"/>
  <c r="AG131" i="11"/>
  <c r="Q130" i="11"/>
  <c r="AF130" i="11" s="1"/>
  <c r="M130" i="11"/>
  <c r="AG130" i="11"/>
  <c r="Q129" i="11"/>
  <c r="AF129" i="11" s="1"/>
  <c r="M129" i="11"/>
  <c r="AG129" i="11"/>
  <c r="Q128" i="11"/>
  <c r="AF128" i="11" s="1"/>
  <c r="M128" i="11"/>
  <c r="AG128" i="11"/>
  <c r="Q127" i="11"/>
  <c r="AF127" i="11" s="1"/>
  <c r="M127" i="11"/>
  <c r="AG127" i="11"/>
  <c r="M126" i="11"/>
  <c r="Q126" i="11"/>
  <c r="AF126" i="11" s="1"/>
  <c r="AG126" i="11"/>
  <c r="Q125" i="11"/>
  <c r="AF125" i="11" s="1"/>
  <c r="M125" i="11"/>
  <c r="AG125" i="11"/>
  <c r="M124" i="11"/>
  <c r="Q124" i="11"/>
  <c r="AF124" i="11" s="1"/>
  <c r="AG124" i="11"/>
  <c r="M123" i="11"/>
  <c r="Q123" i="11"/>
  <c r="AF123" i="11" s="1"/>
  <c r="AG123" i="11"/>
  <c r="M122" i="11"/>
  <c r="Q122" i="11"/>
  <c r="AF122" i="11" s="1"/>
  <c r="AG122" i="11"/>
  <c r="Q121" i="11"/>
  <c r="AF121" i="11" s="1"/>
  <c r="M121" i="11"/>
  <c r="AG121" i="11"/>
  <c r="Q120" i="11"/>
  <c r="AF120" i="11" s="1"/>
  <c r="M120" i="11"/>
  <c r="AG120" i="11"/>
  <c r="Q119" i="11"/>
  <c r="AF119" i="11" s="1"/>
  <c r="M119" i="11"/>
  <c r="AG119" i="11"/>
  <c r="Q118" i="11"/>
  <c r="AF118" i="11" s="1"/>
  <c r="M118" i="11"/>
  <c r="AG118" i="11"/>
  <c r="M117" i="11"/>
  <c r="Q117" i="11"/>
  <c r="AF117" i="11" s="1"/>
  <c r="AG117" i="11"/>
  <c r="JA58" i="5"/>
  <c r="JB58" i="5"/>
  <c r="IX72" i="5"/>
  <c r="IW72" i="5"/>
  <c r="IY72" i="5" s="1"/>
  <c r="IZ72" i="5" s="1"/>
  <c r="JA28" i="5"/>
  <c r="JB28" i="5"/>
  <c r="JA41" i="5"/>
  <c r="JB41" i="5"/>
  <c r="IW67" i="5"/>
  <c r="IX67" i="5"/>
  <c r="IW65" i="5"/>
  <c r="IX65" i="5"/>
  <c r="IW95" i="5"/>
  <c r="IX95" i="5"/>
  <c r="IW31" i="5"/>
  <c r="IX31" i="5"/>
  <c r="IW55" i="5"/>
  <c r="IX55" i="5"/>
  <c r="IW64" i="5"/>
  <c r="IX64" i="5"/>
  <c r="IW59" i="5"/>
  <c r="IX59" i="5"/>
  <c r="IW91" i="5"/>
  <c r="IX91" i="5"/>
  <c r="JA79" i="5"/>
  <c r="JB79" i="5"/>
  <c r="IW51" i="5"/>
  <c r="IX51" i="5"/>
  <c r="IT10" i="5"/>
  <c r="IS10" i="5"/>
  <c r="IU10" i="5" s="1"/>
  <c r="IV10" i="5" s="1"/>
  <c r="DL36" i="5"/>
  <c r="DK36" i="5"/>
  <c r="EB24" i="5"/>
  <c r="EA24" i="5"/>
  <c r="EC24" i="5" s="1"/>
  <c r="ED24" i="5" s="1"/>
  <c r="DP64" i="5"/>
  <c r="DO64" i="5"/>
  <c r="DQ64" i="5" s="1"/>
  <c r="DR64" i="5" s="1"/>
  <c r="EV78" i="5"/>
  <c r="EU78" i="5"/>
  <c r="EW78" i="5" s="1"/>
  <c r="EX78" i="5" s="1"/>
  <c r="JR90" i="5"/>
  <c r="JQ90" i="5"/>
  <c r="JS90" i="5" s="1"/>
  <c r="JT90" i="5" s="1"/>
  <c r="IX71" i="5"/>
  <c r="IW71" i="5"/>
  <c r="IY71" i="5" s="1"/>
  <c r="IZ71" i="5" s="1"/>
  <c r="IT23" i="5"/>
  <c r="IS23" i="5"/>
  <c r="IU23" i="5" s="1"/>
  <c r="IV23" i="5" s="1"/>
  <c r="JB11" i="5"/>
  <c r="JA11" i="5"/>
  <c r="JC11" i="5" s="1"/>
  <c r="JD11" i="5" s="1"/>
  <c r="IX78" i="5"/>
  <c r="IW78" i="5"/>
  <c r="IY78" i="5" s="1"/>
  <c r="IZ78" i="5" s="1"/>
  <c r="IW36" i="5"/>
  <c r="IX36" i="5"/>
  <c r="IX29" i="5"/>
  <c r="IW29" i="5"/>
  <c r="IY29" i="5" s="1"/>
  <c r="IZ29" i="5" s="1"/>
  <c r="IX82" i="5"/>
  <c r="IW82" i="5"/>
  <c r="IY82" i="5" s="1"/>
  <c r="IZ82" i="5" s="1"/>
  <c r="IX35" i="5"/>
  <c r="IW35" i="5"/>
  <c r="IY35" i="5" s="1"/>
  <c r="IZ35" i="5" s="1"/>
  <c r="JB27" i="5"/>
  <c r="JA27" i="5"/>
  <c r="JC27" i="5" s="1"/>
  <c r="JD27" i="5" s="1"/>
  <c r="IX85" i="5"/>
  <c r="IW85" i="5"/>
  <c r="IY85" i="5" s="1"/>
  <c r="IZ85" i="5" s="1"/>
  <c r="IX18" i="5"/>
  <c r="IW18" i="5"/>
  <c r="IY18" i="5" s="1"/>
  <c r="IZ18" i="5" s="1"/>
  <c r="JB24" i="5"/>
  <c r="JA24" i="5"/>
  <c r="JC24" i="5" s="1"/>
  <c r="JD24" i="5" s="1"/>
  <c r="IX80" i="5"/>
  <c r="IW80" i="5"/>
  <c r="IY80" i="5" s="1"/>
  <c r="IZ80" i="5" s="1"/>
  <c r="IX77" i="5"/>
  <c r="IW77" i="5"/>
  <c r="IY77" i="5" s="1"/>
  <c r="IZ77" i="5" s="1"/>
  <c r="JB57" i="5"/>
  <c r="JA57" i="5"/>
  <c r="JC57" i="5" s="1"/>
  <c r="JD57" i="5" s="1"/>
  <c r="IX87" i="5"/>
  <c r="IW87" i="5"/>
  <c r="IY87" i="5" s="1"/>
  <c r="IZ87" i="5" s="1"/>
  <c r="DO42" i="5"/>
  <c r="DP42" i="5"/>
  <c r="DO38" i="5"/>
  <c r="DP38" i="5"/>
  <c r="IX94" i="5"/>
  <c r="IW94" i="5"/>
  <c r="IY94" i="5" s="1"/>
  <c r="IZ94" i="5" s="1"/>
  <c r="IP50" i="5"/>
  <c r="IO50" i="5"/>
  <c r="IQ50" i="5" s="1"/>
  <c r="IR50" i="5" s="1"/>
  <c r="IX74" i="5"/>
  <c r="IW74" i="5"/>
  <c r="IY74" i="5" s="1"/>
  <c r="IZ74" i="5" s="1"/>
  <c r="JB25" i="5"/>
  <c r="JA25" i="5"/>
  <c r="JC25" i="5" s="1"/>
  <c r="JD25" i="5" s="1"/>
  <c r="IX32" i="5"/>
  <c r="IW32" i="5"/>
  <c r="IY32" i="5" s="1"/>
  <c r="IZ32" i="5" s="1"/>
  <c r="IX46" i="5"/>
  <c r="IW46" i="5"/>
  <c r="IY46" i="5" s="1"/>
  <c r="IZ46" i="5" s="1"/>
  <c r="IX20" i="5"/>
  <c r="IW20" i="5"/>
  <c r="IY20" i="5" s="1"/>
  <c r="IZ20" i="5" s="1"/>
  <c r="IX54" i="5"/>
  <c r="IW54" i="5"/>
  <c r="IY54" i="5" s="1"/>
  <c r="IZ54" i="5" s="1"/>
  <c r="IX75" i="5"/>
  <c r="IW75" i="5"/>
  <c r="IY75" i="5" s="1"/>
  <c r="IZ75" i="5" s="1"/>
  <c r="IT44" i="5"/>
  <c r="IS44" i="5"/>
  <c r="IU44" i="5" s="1"/>
  <c r="IV44" i="5" s="1"/>
  <c r="IS16" i="5"/>
  <c r="IT16" i="5"/>
  <c r="IX88" i="5"/>
  <c r="IW88" i="5"/>
  <c r="IY88" i="5" s="1"/>
  <c r="IZ88" i="5" s="1"/>
  <c r="IX33" i="5"/>
  <c r="IW33" i="5"/>
  <c r="IX70" i="5"/>
  <c r="IW70" i="5"/>
  <c r="IY70" i="5" s="1"/>
  <c r="IZ70" i="5" s="1"/>
  <c r="IW49" i="5"/>
  <c r="IX49" i="5"/>
  <c r="DS52" i="5"/>
  <c r="DT52" i="5"/>
  <c r="IX53" i="5"/>
  <c r="IW53" i="5"/>
  <c r="IY53" i="5" s="1"/>
  <c r="IZ53" i="5" s="1"/>
  <c r="DO69" i="5"/>
  <c r="DP69" i="5"/>
  <c r="DO40" i="5"/>
  <c r="DP40" i="5"/>
  <c r="DS29" i="5"/>
  <c r="DT29" i="5"/>
  <c r="EE27" i="5"/>
  <c r="EF27" i="5"/>
  <c r="EA26" i="5"/>
  <c r="EB26" i="5"/>
  <c r="DW59" i="5"/>
  <c r="DX59" i="5"/>
  <c r="EA86" i="5"/>
  <c r="EB86" i="5"/>
  <c r="EM35" i="5"/>
  <c r="EN35" i="5"/>
  <c r="DW31" i="5"/>
  <c r="DX31" i="5"/>
  <c r="DO12" i="5"/>
  <c r="DP12" i="5"/>
  <c r="DC81" i="5"/>
  <c r="DD81" i="5"/>
  <c r="DC73" i="5"/>
  <c r="DD73" i="5"/>
  <c r="DC55" i="5"/>
  <c r="DD55" i="5"/>
  <c r="DC18" i="5"/>
  <c r="DD18" i="5"/>
  <c r="CY91" i="5"/>
  <c r="CZ91" i="5"/>
  <c r="CY94" i="5"/>
  <c r="CZ94" i="5"/>
  <c r="CY80" i="5"/>
  <c r="CZ80" i="5"/>
  <c r="CY70" i="5"/>
  <c r="CZ70" i="5"/>
  <c r="JC22" i="5"/>
  <c r="JD22" i="5" s="1"/>
  <c r="IY9" i="5"/>
  <c r="IZ9" i="5" s="1"/>
  <c r="IY12" i="5"/>
  <c r="IZ12" i="5" s="1"/>
  <c r="IY56" i="5"/>
  <c r="IZ56" i="5" s="1"/>
  <c r="IU73" i="5"/>
  <c r="IV73" i="5" s="1"/>
  <c r="IY52" i="5"/>
  <c r="IZ52" i="5" s="1"/>
  <c r="IY47" i="5"/>
  <c r="IZ47" i="5" s="1"/>
  <c r="IY60" i="5"/>
  <c r="IZ60" i="5" s="1"/>
  <c r="IY81" i="5"/>
  <c r="IZ81" i="5" s="1"/>
  <c r="IY66" i="5"/>
  <c r="IZ66" i="5" s="1"/>
  <c r="IU86" i="5"/>
  <c r="IV86" i="5" s="1"/>
  <c r="IU42" i="5"/>
  <c r="IV42" i="5" s="1"/>
  <c r="IU38" i="5"/>
  <c r="IV38" i="5" s="1"/>
  <c r="IQ40" i="5"/>
  <c r="IR40" i="5" s="1"/>
  <c r="DU28" i="5"/>
  <c r="DV28" i="5" s="1"/>
  <c r="IU14" i="5"/>
  <c r="IV14" i="5" s="1"/>
  <c r="IY26" i="5"/>
  <c r="IZ26" i="5" s="1"/>
  <c r="IU93" i="5"/>
  <c r="IV93" i="5" s="1"/>
  <c r="DQ11" i="5"/>
  <c r="DR11" i="5" s="1"/>
  <c r="IY8" i="5"/>
  <c r="IZ8" i="5" s="1"/>
  <c r="JC69" i="5"/>
  <c r="JD69" i="5" s="1"/>
  <c r="IU17" i="5"/>
  <c r="IV17" i="5" s="1"/>
  <c r="DQ88" i="5"/>
  <c r="DR88" i="5" s="1"/>
  <c r="EC41" i="5"/>
  <c r="ED41" i="5" s="1"/>
  <c r="DU22" i="5"/>
  <c r="DV22" i="5" s="1"/>
  <c r="DY53" i="5"/>
  <c r="DZ53" i="5" s="1"/>
  <c r="IU13" i="5"/>
  <c r="IV13" i="5" s="1"/>
  <c r="ES45" i="5"/>
  <c r="ET45" i="5" s="1"/>
  <c r="KA57" i="5"/>
  <c r="IY21" i="5"/>
  <c r="IZ21" i="5" s="1"/>
  <c r="IQ43" i="5"/>
  <c r="IR43" i="5" s="1"/>
  <c r="EG49" i="5"/>
  <c r="EH49" i="5" s="1"/>
  <c r="DQ13" i="5"/>
  <c r="DR13" i="5" s="1"/>
  <c r="EC66" i="5"/>
  <c r="ED66" i="5" s="1"/>
  <c r="DY25" i="5"/>
  <c r="DZ25" i="5" s="1"/>
  <c r="ES67" i="5"/>
  <c r="ET67" i="5" s="1"/>
  <c r="DE19" i="5"/>
  <c r="DF19" i="5" s="1"/>
  <c r="DA65" i="5"/>
  <c r="DB65" i="5" s="1"/>
  <c r="DQ74" i="5"/>
  <c r="DR74" i="5" s="1"/>
  <c r="DM14" i="5"/>
  <c r="DN14" i="5" s="1"/>
  <c r="JI48" i="5" l="1"/>
  <c r="JJ48" i="5"/>
  <c r="DO84" i="5"/>
  <c r="DP84" i="5"/>
  <c r="EY33" i="5"/>
  <c r="EZ33" i="5"/>
  <c r="EA76" i="5"/>
  <c r="EB76" i="5"/>
  <c r="DW93" i="5"/>
  <c r="DX93" i="5"/>
  <c r="DW15" i="5"/>
  <c r="DX15" i="5"/>
  <c r="EQ62" i="5"/>
  <c r="ER62" i="5"/>
  <c r="EF85" i="5"/>
  <c r="EE85" i="5"/>
  <c r="EG85" i="5" s="1"/>
  <c r="EH85" i="5" s="1"/>
  <c r="DT72" i="5"/>
  <c r="DS72" i="5"/>
  <c r="DU72" i="5" s="1"/>
  <c r="DV72" i="5" s="1"/>
  <c r="EG50" i="5"/>
  <c r="EH50" i="5" s="1"/>
  <c r="EK44" i="5"/>
  <c r="EL44" i="5" s="1"/>
  <c r="DU92" i="5"/>
  <c r="DV92" i="5" s="1"/>
  <c r="EC23" i="5"/>
  <c r="ED23" i="5" s="1"/>
  <c r="KB61" i="5"/>
  <c r="DI77" i="5"/>
  <c r="DJ77" i="5" s="1"/>
  <c r="DI8" i="5"/>
  <c r="DJ8" i="5" s="1"/>
  <c r="JC30" i="5"/>
  <c r="JD30" i="5" s="1"/>
  <c r="W136" i="11"/>
  <c r="W124" i="11"/>
  <c r="W122" i="11"/>
  <c r="DM36" i="5"/>
  <c r="DN36" i="5" s="1"/>
  <c r="DQ38" i="5"/>
  <c r="DR38" i="5" s="1"/>
  <c r="IY33" i="5"/>
  <c r="IZ33" i="5" s="1"/>
  <c r="IW92" i="5"/>
  <c r="IY92" i="5" s="1"/>
  <c r="IZ92" i="5" s="1"/>
  <c r="IX92" i="5"/>
  <c r="ID89" i="5"/>
  <c r="IC89" i="5"/>
  <c r="IE89" i="5" s="1"/>
  <c r="IF89" i="5" s="1"/>
  <c r="DL58" i="5"/>
  <c r="DK58" i="5"/>
  <c r="DM58" i="5" s="1"/>
  <c r="DN58" i="5" s="1"/>
  <c r="EZ87" i="5"/>
  <c r="EY87" i="5"/>
  <c r="KA87" i="5" s="1"/>
  <c r="JZ34" i="5"/>
  <c r="JY34" i="5"/>
  <c r="KB34" i="5" s="1"/>
  <c r="EV16" i="5"/>
  <c r="EU16" i="5"/>
  <c r="EW16" i="5" s="1"/>
  <c r="EX16" i="5" s="1"/>
  <c r="ER83" i="5"/>
  <c r="EQ83" i="5"/>
  <c r="ES83" i="5" s="1"/>
  <c r="ET83" i="5" s="1"/>
  <c r="EJ43" i="5"/>
  <c r="EI43" i="5"/>
  <c r="EK43" i="5" s="1"/>
  <c r="EL43" i="5" s="1"/>
  <c r="R479" i="5"/>
  <c r="O479" i="5" s="1"/>
  <c r="R477" i="5"/>
  <c r="O477" i="5" s="1"/>
  <c r="R473" i="5"/>
  <c r="O473" i="5" s="1"/>
  <c r="R469" i="5"/>
  <c r="O469" i="5" s="1"/>
  <c r="R466" i="5"/>
  <c r="O466" i="5" s="1"/>
  <c r="R462" i="5"/>
  <c r="O462" i="5" s="1"/>
  <c r="R478" i="5"/>
  <c r="O478" i="5" s="1"/>
  <c r="R475" i="5"/>
  <c r="O475" i="5" s="1"/>
  <c r="R472" i="5"/>
  <c r="O472" i="5" s="1"/>
  <c r="R470" i="5"/>
  <c r="O470" i="5" s="1"/>
  <c r="R467" i="5"/>
  <c r="O467" i="5" s="1"/>
  <c r="R464" i="5"/>
  <c r="O464" i="5" s="1"/>
  <c r="R461" i="5"/>
  <c r="O461" i="5" s="1"/>
  <c r="R476" i="5"/>
  <c r="O476" i="5" s="1"/>
  <c r="R474" i="5"/>
  <c r="O474" i="5" s="1"/>
  <c r="R471" i="5"/>
  <c r="O471" i="5" s="1"/>
  <c r="R468" i="5"/>
  <c r="O468" i="5" s="1"/>
  <c r="R465" i="5"/>
  <c r="O465" i="5" s="1"/>
  <c r="R463" i="5"/>
  <c r="O463" i="5" s="1"/>
  <c r="R460" i="5"/>
  <c r="O460" i="5" s="1"/>
  <c r="R168" i="5"/>
  <c r="O168" i="5" s="1"/>
  <c r="R169" i="5"/>
  <c r="O169" i="5" s="1"/>
  <c r="EV75" i="5"/>
  <c r="EU75" i="5"/>
  <c r="EW75" i="5" s="1"/>
  <c r="EX75" i="5" s="1"/>
  <c r="EZ96" i="5"/>
  <c r="EY96" i="5"/>
  <c r="KA96" i="5" s="1"/>
  <c r="EU37" i="5"/>
  <c r="EV37" i="5"/>
  <c r="JB62" i="5"/>
  <c r="JA62" i="5"/>
  <c r="JC62" i="5" s="1"/>
  <c r="JD62" i="5" s="1"/>
  <c r="EV10" i="5"/>
  <c r="EU10" i="5"/>
  <c r="EW10" i="5" s="1"/>
  <c r="EX10" i="5" s="1"/>
  <c r="EZ56" i="5"/>
  <c r="EY56" i="5"/>
  <c r="KA56" i="5" s="1"/>
  <c r="DL71" i="5"/>
  <c r="DK71" i="5"/>
  <c r="DX30" i="5"/>
  <c r="DW30" i="5"/>
  <c r="DY30" i="5" s="1"/>
  <c r="DZ30" i="5" s="1"/>
  <c r="DS95" i="5"/>
  <c r="DT95" i="5"/>
  <c r="DT20" i="5"/>
  <c r="DS20" i="5"/>
  <c r="DU20" i="5" s="1"/>
  <c r="DV20" i="5" s="1"/>
  <c r="DS79" i="5"/>
  <c r="DT79" i="5"/>
  <c r="DH54" i="5"/>
  <c r="DG54" i="5"/>
  <c r="DI54" i="5" s="1"/>
  <c r="DJ54" i="5" s="1"/>
  <c r="DX9" i="5"/>
  <c r="DW9" i="5"/>
  <c r="DY9" i="5" s="1"/>
  <c r="DZ9" i="5" s="1"/>
  <c r="JI83" i="5"/>
  <c r="JJ83" i="5"/>
  <c r="JF68" i="5"/>
  <c r="JE68" i="5"/>
  <c r="JG68" i="5" s="1"/>
  <c r="JH68" i="5" s="1"/>
  <c r="JF37" i="5"/>
  <c r="JE37" i="5"/>
  <c r="JG37" i="5" s="1"/>
  <c r="JH37" i="5" s="1"/>
  <c r="DT17" i="5"/>
  <c r="DS17" i="5"/>
  <c r="DU17" i="5" s="1"/>
  <c r="DV17" i="5" s="1"/>
  <c r="JA72" i="5"/>
  <c r="JB72" i="5"/>
  <c r="IX10" i="5"/>
  <c r="IW10" i="5"/>
  <c r="IY10" i="5" s="1"/>
  <c r="IZ10" i="5" s="1"/>
  <c r="EF24" i="5"/>
  <c r="EE24" i="5"/>
  <c r="EG24" i="5" s="1"/>
  <c r="EH24" i="5" s="1"/>
  <c r="DT64" i="5"/>
  <c r="DS64" i="5"/>
  <c r="DU64" i="5" s="1"/>
  <c r="DV64" i="5" s="1"/>
  <c r="EZ78" i="5"/>
  <c r="EY78" i="5"/>
  <c r="KA78" i="5" s="1"/>
  <c r="JU90" i="5"/>
  <c r="JV90" i="5"/>
  <c r="JA71" i="5"/>
  <c r="JB71" i="5"/>
  <c r="IW23" i="5"/>
  <c r="IX23" i="5"/>
  <c r="JF11" i="5"/>
  <c r="JE11" i="5"/>
  <c r="JG11" i="5" s="1"/>
  <c r="JH11" i="5" s="1"/>
  <c r="JA78" i="5"/>
  <c r="JB78" i="5"/>
  <c r="JA29" i="5"/>
  <c r="JB29" i="5"/>
  <c r="JA82" i="5"/>
  <c r="JB82" i="5"/>
  <c r="JB35" i="5"/>
  <c r="JA35" i="5"/>
  <c r="JC35" i="5" s="1"/>
  <c r="JD35" i="5" s="1"/>
  <c r="JE27" i="5"/>
  <c r="JF27" i="5"/>
  <c r="JA85" i="5"/>
  <c r="JB85" i="5"/>
  <c r="JA18" i="5"/>
  <c r="JB18" i="5"/>
  <c r="JE24" i="5"/>
  <c r="JF24" i="5"/>
  <c r="JA80" i="5"/>
  <c r="JB80" i="5"/>
  <c r="JA77" i="5"/>
  <c r="JB77" i="5"/>
  <c r="JE57" i="5"/>
  <c r="JF57" i="5"/>
  <c r="JB87" i="5"/>
  <c r="JA87" i="5"/>
  <c r="JC87" i="5" s="1"/>
  <c r="JD87" i="5" s="1"/>
  <c r="JA94" i="5"/>
  <c r="JB94" i="5"/>
  <c r="IT50" i="5"/>
  <c r="IS50" i="5"/>
  <c r="IU50" i="5" s="1"/>
  <c r="IV50" i="5" s="1"/>
  <c r="JA74" i="5"/>
  <c r="JB74" i="5"/>
  <c r="JE25" i="5"/>
  <c r="JF25" i="5"/>
  <c r="JA32" i="5"/>
  <c r="JB32" i="5"/>
  <c r="JA46" i="5"/>
  <c r="JB46" i="5"/>
  <c r="JA20" i="5"/>
  <c r="JB20" i="5"/>
  <c r="JA54" i="5"/>
  <c r="JB54" i="5"/>
  <c r="JA75" i="5"/>
  <c r="JB75" i="5"/>
  <c r="IX44" i="5"/>
  <c r="IW44" i="5"/>
  <c r="IY44" i="5" s="1"/>
  <c r="IZ44" i="5" s="1"/>
  <c r="JA88" i="5"/>
  <c r="JB88" i="5"/>
  <c r="JA70" i="5"/>
  <c r="JB70" i="5"/>
  <c r="JA53" i="5"/>
  <c r="JB53" i="5"/>
  <c r="JE22" i="5"/>
  <c r="JF22" i="5"/>
  <c r="JA9" i="5"/>
  <c r="JB9" i="5"/>
  <c r="JB12" i="5"/>
  <c r="JA12" i="5"/>
  <c r="JC12" i="5" s="1"/>
  <c r="JD12" i="5" s="1"/>
  <c r="JB45" i="5"/>
  <c r="JA45" i="5"/>
  <c r="JC45" i="5" s="1"/>
  <c r="JD45" i="5" s="1"/>
  <c r="JB56" i="5"/>
  <c r="JA56" i="5"/>
  <c r="JC56" i="5" s="1"/>
  <c r="JD56" i="5" s="1"/>
  <c r="IX73" i="5"/>
  <c r="IW73" i="5"/>
  <c r="IY73" i="5" s="1"/>
  <c r="IZ73" i="5" s="1"/>
  <c r="JB52" i="5"/>
  <c r="JA52" i="5"/>
  <c r="JC52" i="5" s="1"/>
  <c r="JD52" i="5" s="1"/>
  <c r="JB47" i="5"/>
  <c r="JA47" i="5"/>
  <c r="JC47" i="5" s="1"/>
  <c r="JD47" i="5" s="1"/>
  <c r="JB60" i="5"/>
  <c r="JA60" i="5"/>
  <c r="JC60" i="5" s="1"/>
  <c r="JD60" i="5" s="1"/>
  <c r="JB81" i="5"/>
  <c r="JA81" i="5"/>
  <c r="JC81" i="5" s="1"/>
  <c r="JD81" i="5" s="1"/>
  <c r="JB66" i="5"/>
  <c r="JA66" i="5"/>
  <c r="JC66" i="5" s="1"/>
  <c r="JD66" i="5" s="1"/>
  <c r="IX86" i="5"/>
  <c r="IW86" i="5"/>
  <c r="IY86" i="5" s="1"/>
  <c r="IZ86" i="5" s="1"/>
  <c r="IX42" i="5"/>
  <c r="IW42" i="5"/>
  <c r="IY42" i="5" s="1"/>
  <c r="IZ42" i="5" s="1"/>
  <c r="IW38" i="5"/>
  <c r="IX38" i="5"/>
  <c r="IT40" i="5"/>
  <c r="IS40" i="5"/>
  <c r="IU40" i="5" s="1"/>
  <c r="IV40" i="5" s="1"/>
  <c r="DW28" i="5"/>
  <c r="DX28" i="5"/>
  <c r="IX14" i="5"/>
  <c r="IW14" i="5"/>
  <c r="IY14" i="5" s="1"/>
  <c r="IZ14" i="5" s="1"/>
  <c r="JA26" i="5"/>
  <c r="JB26" i="5"/>
  <c r="IX93" i="5"/>
  <c r="IW93" i="5"/>
  <c r="IY93" i="5" s="1"/>
  <c r="IZ93" i="5" s="1"/>
  <c r="DS11" i="5"/>
  <c r="DT11" i="5"/>
  <c r="JB8" i="5"/>
  <c r="JA8" i="5"/>
  <c r="JC8" i="5" s="1"/>
  <c r="JD8" i="5" s="1"/>
  <c r="JF69" i="5"/>
  <c r="JE69" i="5"/>
  <c r="JG69" i="5" s="1"/>
  <c r="JH69" i="5" s="1"/>
  <c r="IW17" i="5"/>
  <c r="IX17" i="5"/>
  <c r="DS88" i="5"/>
  <c r="DT88" i="5"/>
  <c r="EE41" i="5"/>
  <c r="EF41" i="5"/>
  <c r="DW22" i="5"/>
  <c r="DX22" i="5"/>
  <c r="EA53" i="5"/>
  <c r="EB53" i="5"/>
  <c r="IX13" i="5"/>
  <c r="IW13" i="5"/>
  <c r="IY13" i="5" s="1"/>
  <c r="IZ13" i="5" s="1"/>
  <c r="EU45" i="5"/>
  <c r="EV45" i="5"/>
  <c r="R204" i="5"/>
  <c r="O204" i="5" s="1"/>
  <c r="R205" i="5"/>
  <c r="O205" i="5" s="1"/>
  <c r="JA21" i="5"/>
  <c r="JB21" i="5"/>
  <c r="IT43" i="5"/>
  <c r="IS43" i="5"/>
  <c r="IU43" i="5" s="1"/>
  <c r="IV43" i="5" s="1"/>
  <c r="EJ49" i="5"/>
  <c r="EI49" i="5"/>
  <c r="EK49" i="5" s="1"/>
  <c r="EL49" i="5" s="1"/>
  <c r="DS13" i="5"/>
  <c r="DT13" i="5"/>
  <c r="EE66" i="5"/>
  <c r="EF66" i="5"/>
  <c r="EA25" i="5"/>
  <c r="EB25" i="5"/>
  <c r="EU67" i="5"/>
  <c r="EV67" i="5"/>
  <c r="DG19" i="5"/>
  <c r="DH19" i="5"/>
  <c r="DC65" i="5"/>
  <c r="DD65" i="5"/>
  <c r="DS74" i="5"/>
  <c r="DT74" i="5"/>
  <c r="DP14" i="5"/>
  <c r="DO14" i="5"/>
  <c r="DQ14" i="5" s="1"/>
  <c r="DR14" i="5" s="1"/>
  <c r="EW63" i="5"/>
  <c r="EX63" i="5" s="1"/>
  <c r="IY15" i="5"/>
  <c r="IZ15" i="5" s="1"/>
  <c r="IY84" i="5"/>
  <c r="IZ84" i="5" s="1"/>
  <c r="JC63" i="5"/>
  <c r="JD63" i="5" s="1"/>
  <c r="JC39" i="5"/>
  <c r="JD39" i="5" s="1"/>
  <c r="JC19" i="5"/>
  <c r="JD19" i="5" s="1"/>
  <c r="W146" i="11"/>
  <c r="W145" i="11"/>
  <c r="W144" i="11"/>
  <c r="W143" i="11"/>
  <c r="W142" i="11"/>
  <c r="W141" i="11"/>
  <c r="W140" i="11"/>
  <c r="W139" i="11"/>
  <c r="W138" i="11"/>
  <c r="W137" i="11"/>
  <c r="W135" i="11"/>
  <c r="W134" i="11"/>
  <c r="W133" i="11"/>
  <c r="W132" i="11"/>
  <c r="W131" i="11"/>
  <c r="W130" i="11"/>
  <c r="W129" i="11"/>
  <c r="W128" i="11"/>
  <c r="W127" i="11"/>
  <c r="W126" i="11"/>
  <c r="W125" i="11"/>
  <c r="JC28" i="5"/>
  <c r="JD28" i="5" s="1"/>
  <c r="JC41" i="5"/>
  <c r="JD41" i="5" s="1"/>
  <c r="W123" i="11"/>
  <c r="W121" i="11"/>
  <c r="W120" i="11"/>
  <c r="W119" i="11"/>
  <c r="W118" i="11"/>
  <c r="W117" i="11"/>
  <c r="JC58" i="5"/>
  <c r="JD58" i="5" s="1"/>
  <c r="IY67" i="5"/>
  <c r="IZ67" i="5" s="1"/>
  <c r="IY65" i="5"/>
  <c r="IZ65" i="5" s="1"/>
  <c r="IY95" i="5"/>
  <c r="IZ95" i="5" s="1"/>
  <c r="IY31" i="5"/>
  <c r="IZ31" i="5" s="1"/>
  <c r="IY55" i="5"/>
  <c r="IZ55" i="5" s="1"/>
  <c r="IY64" i="5"/>
  <c r="IZ64" i="5" s="1"/>
  <c r="IY59" i="5"/>
  <c r="IZ59" i="5" s="1"/>
  <c r="IY91" i="5"/>
  <c r="IZ91" i="5" s="1"/>
  <c r="JC79" i="5"/>
  <c r="JD79" i="5" s="1"/>
  <c r="IY51" i="5"/>
  <c r="IZ51" i="5" s="1"/>
  <c r="DQ42" i="5"/>
  <c r="DR42" i="5" s="1"/>
  <c r="IY36" i="5"/>
  <c r="IZ36" i="5" s="1"/>
  <c r="IY49" i="5"/>
  <c r="IZ49" i="5" s="1"/>
  <c r="DU52" i="5"/>
  <c r="DV52" i="5" s="1"/>
  <c r="IU16" i="5"/>
  <c r="IV16" i="5" s="1"/>
  <c r="DQ69" i="5"/>
  <c r="DR69" i="5" s="1"/>
  <c r="DQ40" i="5"/>
  <c r="DR40" i="5" s="1"/>
  <c r="DU29" i="5"/>
  <c r="DV29" i="5" s="1"/>
  <c r="EG27" i="5"/>
  <c r="EH27" i="5" s="1"/>
  <c r="EC26" i="5"/>
  <c r="ED26" i="5" s="1"/>
  <c r="DY59" i="5"/>
  <c r="DZ59" i="5" s="1"/>
  <c r="EC86" i="5"/>
  <c r="ED86" i="5" s="1"/>
  <c r="EO35" i="5"/>
  <c r="EP35" i="5" s="1"/>
  <c r="DY31" i="5"/>
  <c r="DZ31" i="5" s="1"/>
  <c r="DQ12" i="5"/>
  <c r="DR12" i="5" s="1"/>
  <c r="DE81" i="5"/>
  <c r="DF81" i="5" s="1"/>
  <c r="DE73" i="5"/>
  <c r="DF73" i="5" s="1"/>
  <c r="DE55" i="5"/>
  <c r="DF55" i="5" s="1"/>
  <c r="DE18" i="5"/>
  <c r="DF18" i="5" s="1"/>
  <c r="DA91" i="5"/>
  <c r="DB91" i="5" s="1"/>
  <c r="DA94" i="5"/>
  <c r="DB94" i="5" s="1"/>
  <c r="DA80" i="5"/>
  <c r="DB80" i="5" s="1"/>
  <c r="DA70" i="5"/>
  <c r="DB70" i="5" s="1"/>
  <c r="AM136" i="11"/>
  <c r="AH136" i="11"/>
  <c r="AM122" i="11"/>
  <c r="AH122" i="11"/>
  <c r="EI85" i="5" l="1"/>
  <c r="EJ85" i="5"/>
  <c r="DW72" i="5"/>
  <c r="DX72" i="5"/>
  <c r="EJ50" i="5"/>
  <c r="EI50" i="5"/>
  <c r="EK50" i="5" s="1"/>
  <c r="EL50" i="5" s="1"/>
  <c r="EN44" i="5"/>
  <c r="EM44" i="5"/>
  <c r="EO44" i="5" s="1"/>
  <c r="EP44" i="5" s="1"/>
  <c r="DX92" i="5"/>
  <c r="DW92" i="5"/>
  <c r="DY92" i="5" s="1"/>
  <c r="DZ92" i="5" s="1"/>
  <c r="EF23" i="5"/>
  <c r="EE23" i="5"/>
  <c r="EG23" i="5" s="1"/>
  <c r="EH23" i="5" s="1"/>
  <c r="S213" i="5"/>
  <c r="P213" i="5" s="1"/>
  <c r="Q213" i="5" s="1"/>
  <c r="I250" i="11" s="1"/>
  <c r="S212" i="5"/>
  <c r="P212" i="5" s="1"/>
  <c r="Q212" i="5" s="1"/>
  <c r="I249" i="11" s="1"/>
  <c r="DL77" i="5"/>
  <c r="DK77" i="5"/>
  <c r="DM77" i="5" s="1"/>
  <c r="DN77" i="5" s="1"/>
  <c r="JK48" i="5"/>
  <c r="JL48" i="5" s="1"/>
  <c r="DQ84" i="5"/>
  <c r="DR84" i="5" s="1"/>
  <c r="KA33" i="5"/>
  <c r="EC76" i="5"/>
  <c r="ED76" i="5" s="1"/>
  <c r="DY93" i="5"/>
  <c r="DZ93" i="5" s="1"/>
  <c r="DY15" i="5"/>
  <c r="DZ15" i="5" s="1"/>
  <c r="ES62" i="5"/>
  <c r="ET62" i="5" s="1"/>
  <c r="DU13" i="5"/>
  <c r="DV13" i="5" s="1"/>
  <c r="JC94" i="5"/>
  <c r="JD94" i="5" s="1"/>
  <c r="JC88" i="5"/>
  <c r="JD88" i="5" s="1"/>
  <c r="DL8" i="5"/>
  <c r="DK8" i="5"/>
  <c r="DM8" i="5" s="1"/>
  <c r="DN8" i="5" s="1"/>
  <c r="JE30" i="5"/>
  <c r="JG30" i="5" s="1"/>
  <c r="JH30" i="5" s="1"/>
  <c r="JF30" i="5"/>
  <c r="AH124" i="11"/>
  <c r="AM124" i="11"/>
  <c r="DP36" i="5"/>
  <c r="DO36" i="5"/>
  <c r="DQ36" i="5" s="1"/>
  <c r="DR36" i="5" s="1"/>
  <c r="DT38" i="5"/>
  <c r="DS38" i="5"/>
  <c r="DU38" i="5" s="1"/>
  <c r="DV38" i="5" s="1"/>
  <c r="JA33" i="5"/>
  <c r="JC33" i="5" s="1"/>
  <c r="JD33" i="5" s="1"/>
  <c r="JB33" i="5"/>
  <c r="IH89" i="5"/>
  <c r="IG89" i="5"/>
  <c r="II89" i="5" s="1"/>
  <c r="IJ89" i="5" s="1"/>
  <c r="DP58" i="5"/>
  <c r="DO58" i="5"/>
  <c r="DQ58" i="5" s="1"/>
  <c r="DR58" i="5" s="1"/>
  <c r="R410" i="5"/>
  <c r="O410" i="5" s="1"/>
  <c r="R414" i="5"/>
  <c r="O414" i="5" s="1"/>
  <c r="R417" i="5"/>
  <c r="O417" i="5" s="1"/>
  <c r="R421" i="5"/>
  <c r="O421" i="5" s="1"/>
  <c r="R423" i="5"/>
  <c r="O423" i="5" s="1"/>
  <c r="R426" i="5"/>
  <c r="O426" i="5" s="1"/>
  <c r="R428" i="5"/>
  <c r="O428" i="5" s="1"/>
  <c r="R412" i="5"/>
  <c r="O412" i="5" s="1"/>
  <c r="R415" i="5"/>
  <c r="O415" i="5" s="1"/>
  <c r="R419" i="5"/>
  <c r="O419" i="5" s="1"/>
  <c r="R424" i="5"/>
  <c r="O424" i="5" s="1"/>
  <c r="R427" i="5"/>
  <c r="O427" i="5" s="1"/>
  <c r="R429" i="5"/>
  <c r="O429" i="5" s="1"/>
  <c r="R390" i="5"/>
  <c r="O390" i="5" s="1"/>
  <c r="R391" i="5"/>
  <c r="O391" i="5" s="1"/>
  <c r="R392" i="5"/>
  <c r="O392" i="5" s="1"/>
  <c r="R393" i="5"/>
  <c r="O393" i="5" s="1"/>
  <c r="R394" i="5"/>
  <c r="O394" i="5" s="1"/>
  <c r="R395" i="5"/>
  <c r="O395" i="5" s="1"/>
  <c r="R396" i="5"/>
  <c r="O396" i="5" s="1"/>
  <c r="R397" i="5"/>
  <c r="O397" i="5" s="1"/>
  <c r="R398" i="5"/>
  <c r="O398" i="5" s="1"/>
  <c r="R399" i="5"/>
  <c r="O399" i="5" s="1"/>
  <c r="R400" i="5"/>
  <c r="O400" i="5" s="1"/>
  <c r="R401" i="5"/>
  <c r="O401" i="5" s="1"/>
  <c r="R402" i="5"/>
  <c r="O402" i="5" s="1"/>
  <c r="R403" i="5"/>
  <c r="O403" i="5" s="1"/>
  <c r="R404" i="5"/>
  <c r="O404" i="5" s="1"/>
  <c r="R405" i="5"/>
  <c r="O405" i="5" s="1"/>
  <c r="R406" i="5"/>
  <c r="O406" i="5" s="1"/>
  <c r="R407" i="5"/>
  <c r="O407" i="5" s="1"/>
  <c r="R408" i="5"/>
  <c r="O408" i="5" s="1"/>
  <c r="R409" i="5"/>
  <c r="O409" i="5" s="1"/>
  <c r="R413" i="5"/>
  <c r="O413" i="5" s="1"/>
  <c r="R416" i="5"/>
  <c r="O416" i="5" s="1"/>
  <c r="R418" i="5"/>
  <c r="O418" i="5" s="1"/>
  <c r="R420" i="5"/>
  <c r="O420" i="5" s="1"/>
  <c r="R422" i="5"/>
  <c r="O422" i="5" s="1"/>
  <c r="R425" i="5"/>
  <c r="O425" i="5" s="1"/>
  <c r="R411" i="5"/>
  <c r="O411" i="5" s="1"/>
  <c r="S158" i="5"/>
  <c r="P158" i="5" s="1"/>
  <c r="Q158" i="5" s="1"/>
  <c r="S159" i="5"/>
  <c r="P159" i="5" s="1"/>
  <c r="Q159" i="5" s="1"/>
  <c r="I312" i="11" s="1"/>
  <c r="EZ16" i="5"/>
  <c r="EY16" i="5"/>
  <c r="KA16" i="5" s="1"/>
  <c r="EV83" i="5"/>
  <c r="EU83" i="5"/>
  <c r="EW83" i="5" s="1"/>
  <c r="EX83" i="5" s="1"/>
  <c r="EN43" i="5"/>
  <c r="EM43" i="5"/>
  <c r="EO43" i="5" s="1"/>
  <c r="EP43" i="5" s="1"/>
  <c r="EZ75" i="5"/>
  <c r="EY75" i="5"/>
  <c r="KA75" i="5" s="1"/>
  <c r="R663" i="5"/>
  <c r="O663" i="5" s="1"/>
  <c r="R667" i="5"/>
  <c r="O667" i="5" s="1"/>
  <c r="R675" i="5"/>
  <c r="O675" i="5" s="1"/>
  <c r="R679" i="5"/>
  <c r="O679" i="5" s="1"/>
  <c r="R681" i="5"/>
  <c r="O681" i="5" s="1"/>
  <c r="R683" i="5"/>
  <c r="O683" i="5" s="1"/>
  <c r="R685" i="5"/>
  <c r="O685" i="5" s="1"/>
  <c r="R687" i="5"/>
  <c r="O687" i="5" s="1"/>
  <c r="R691" i="5"/>
  <c r="O691" i="5" s="1"/>
  <c r="R694" i="5"/>
  <c r="O694" i="5" s="1"/>
  <c r="R666" i="5"/>
  <c r="O666" i="5" s="1"/>
  <c r="R676" i="5"/>
  <c r="O676" i="5" s="1"/>
  <c r="R688" i="5"/>
  <c r="O688" i="5" s="1"/>
  <c r="R690" i="5"/>
  <c r="O690" i="5" s="1"/>
  <c r="R692" i="5"/>
  <c r="O692" i="5" s="1"/>
  <c r="R693" i="5"/>
  <c r="O693" i="5" s="1"/>
  <c r="R662" i="5"/>
  <c r="O662" i="5" s="1"/>
  <c r="R664" i="5"/>
  <c r="O664" i="5" s="1"/>
  <c r="R668" i="5"/>
  <c r="O668" i="5" s="1"/>
  <c r="R670" i="5"/>
  <c r="O670" i="5" s="1"/>
  <c r="R672" i="5"/>
  <c r="O672" i="5" s="1"/>
  <c r="R674" i="5"/>
  <c r="O674" i="5" s="1"/>
  <c r="R680" i="5"/>
  <c r="O680" i="5" s="1"/>
  <c r="R682" i="5"/>
  <c r="O682" i="5" s="1"/>
  <c r="R684" i="5"/>
  <c r="O684" i="5" s="1"/>
  <c r="R665" i="5"/>
  <c r="O665" i="5" s="1"/>
  <c r="R669" i="5"/>
  <c r="O669" i="5" s="1"/>
  <c r="R671" i="5"/>
  <c r="O671" i="5" s="1"/>
  <c r="R673" i="5"/>
  <c r="O673" i="5" s="1"/>
  <c r="R677" i="5"/>
  <c r="O677" i="5" s="1"/>
  <c r="R678" i="5"/>
  <c r="O678" i="5" s="1"/>
  <c r="R686" i="5"/>
  <c r="O686" i="5" s="1"/>
  <c r="R689" i="5"/>
  <c r="O689" i="5" s="1"/>
  <c r="JF62" i="5"/>
  <c r="JE62" i="5"/>
  <c r="JG62" i="5" s="1"/>
  <c r="JH62" i="5" s="1"/>
  <c r="EZ10" i="5"/>
  <c r="EY10" i="5"/>
  <c r="KA10" i="5" s="1"/>
  <c r="R203" i="5"/>
  <c r="O203" i="5" s="1"/>
  <c r="R202" i="5"/>
  <c r="O202" i="5" s="1"/>
  <c r="EA30" i="5"/>
  <c r="EB30" i="5"/>
  <c r="DX20" i="5"/>
  <c r="DW20" i="5"/>
  <c r="DY20" i="5" s="1"/>
  <c r="DZ20" i="5" s="1"/>
  <c r="DL54" i="5"/>
  <c r="DK54" i="5"/>
  <c r="DM54" i="5" s="1"/>
  <c r="DN54" i="5" s="1"/>
  <c r="EB9" i="5"/>
  <c r="EA9" i="5"/>
  <c r="EC9" i="5" s="1"/>
  <c r="ED9" i="5" s="1"/>
  <c r="JJ68" i="5"/>
  <c r="JI68" i="5"/>
  <c r="JK68" i="5" s="1"/>
  <c r="JL68" i="5" s="1"/>
  <c r="JI37" i="5"/>
  <c r="JJ37" i="5"/>
  <c r="DX17" i="5"/>
  <c r="DW17" i="5"/>
  <c r="DY17" i="5" s="1"/>
  <c r="DZ17" i="5" s="1"/>
  <c r="JA10" i="5"/>
  <c r="JB10" i="5"/>
  <c r="EJ24" i="5"/>
  <c r="EI24" i="5"/>
  <c r="EK24" i="5" s="1"/>
  <c r="EL24" i="5" s="1"/>
  <c r="DX64" i="5"/>
  <c r="DW64" i="5"/>
  <c r="DY64" i="5" s="1"/>
  <c r="DZ64" i="5" s="1"/>
  <c r="R277" i="5"/>
  <c r="O277" i="5" s="1"/>
  <c r="R278" i="5"/>
  <c r="O278" i="5" s="1"/>
  <c r="R279" i="5"/>
  <c r="O279" i="5" s="1"/>
  <c r="R280" i="5"/>
  <c r="O280" i="5" s="1"/>
  <c r="R281" i="5"/>
  <c r="O281" i="5" s="1"/>
  <c r="JI11" i="5"/>
  <c r="JJ11" i="5"/>
  <c r="JE35" i="5"/>
  <c r="JF35" i="5"/>
  <c r="JE87" i="5"/>
  <c r="JF87" i="5"/>
  <c r="IW50" i="5"/>
  <c r="IX50" i="5"/>
  <c r="JA44" i="5"/>
  <c r="JB44" i="5"/>
  <c r="JE12" i="5"/>
  <c r="JF12" i="5"/>
  <c r="JE45" i="5"/>
  <c r="JF45" i="5"/>
  <c r="JE56" i="5"/>
  <c r="JF56" i="5"/>
  <c r="JA73" i="5"/>
  <c r="JB73" i="5"/>
  <c r="JF52" i="5"/>
  <c r="JE52" i="5"/>
  <c r="JG52" i="5" s="1"/>
  <c r="JH52" i="5" s="1"/>
  <c r="JE47" i="5"/>
  <c r="JF47" i="5"/>
  <c r="JE60" i="5"/>
  <c r="JF60" i="5"/>
  <c r="JE81" i="5"/>
  <c r="JF81" i="5"/>
  <c r="JF66" i="5"/>
  <c r="JE66" i="5"/>
  <c r="JG66" i="5" s="1"/>
  <c r="JH66" i="5" s="1"/>
  <c r="JA86" i="5"/>
  <c r="JB86" i="5"/>
  <c r="JA42" i="5"/>
  <c r="JB42" i="5"/>
  <c r="IX40" i="5"/>
  <c r="IW40" i="5"/>
  <c r="IY40" i="5" s="1"/>
  <c r="IZ40" i="5" s="1"/>
  <c r="JA14" i="5"/>
  <c r="JB14" i="5"/>
  <c r="JA93" i="5"/>
  <c r="JB93" i="5"/>
  <c r="JE8" i="5"/>
  <c r="JF8" i="5"/>
  <c r="JI69" i="5"/>
  <c r="JJ69" i="5"/>
  <c r="JA13" i="5"/>
  <c r="JC13" i="5" s="1"/>
  <c r="JD13" i="5" s="1"/>
  <c r="JB13" i="5"/>
  <c r="IW43" i="5"/>
  <c r="IX43" i="5"/>
  <c r="EN49" i="5"/>
  <c r="EM49" i="5"/>
  <c r="EO49" i="5" s="1"/>
  <c r="EP49" i="5" s="1"/>
  <c r="DT14" i="5"/>
  <c r="DS14" i="5"/>
  <c r="DU14" i="5" s="1"/>
  <c r="DV14" i="5" s="1"/>
  <c r="EZ63" i="5"/>
  <c r="EY63" i="5"/>
  <c r="KA63" i="5" s="1"/>
  <c r="JB15" i="5"/>
  <c r="JA15" i="5"/>
  <c r="JC15" i="5" s="1"/>
  <c r="JD15" i="5" s="1"/>
  <c r="JB84" i="5"/>
  <c r="JA84" i="5"/>
  <c r="JC84" i="5" s="1"/>
  <c r="JD84" i="5" s="1"/>
  <c r="JF63" i="5"/>
  <c r="JE63" i="5"/>
  <c r="JG63" i="5" s="1"/>
  <c r="JH63" i="5" s="1"/>
  <c r="JF39" i="5"/>
  <c r="JE39" i="5"/>
  <c r="JG39" i="5" s="1"/>
  <c r="JH39" i="5" s="1"/>
  <c r="JF19" i="5"/>
  <c r="JE19" i="5"/>
  <c r="JG19" i="5" s="1"/>
  <c r="JH19" i="5" s="1"/>
  <c r="AH146" i="11"/>
  <c r="AM146" i="11"/>
  <c r="AH145" i="11"/>
  <c r="AM145" i="11"/>
  <c r="AH144" i="11"/>
  <c r="AM144" i="11"/>
  <c r="AH143" i="11"/>
  <c r="AM143" i="11"/>
  <c r="AH142" i="11"/>
  <c r="AM142" i="11"/>
  <c r="AH141" i="11"/>
  <c r="AM141" i="11"/>
  <c r="AH140" i="11"/>
  <c r="AM140" i="11"/>
  <c r="AH139" i="11"/>
  <c r="AM139" i="11"/>
  <c r="AH138" i="11"/>
  <c r="AM138" i="11"/>
  <c r="AH137" i="11"/>
  <c r="AM137" i="11"/>
  <c r="AH135" i="11"/>
  <c r="AM135" i="11"/>
  <c r="AH134" i="11"/>
  <c r="AM134" i="11"/>
  <c r="AH133" i="11"/>
  <c r="AM133" i="11"/>
  <c r="AH132" i="11"/>
  <c r="AM132" i="11"/>
  <c r="AH131" i="11"/>
  <c r="AM131" i="11"/>
  <c r="AH130" i="11"/>
  <c r="AM130" i="11"/>
  <c r="AH129" i="11"/>
  <c r="AM129" i="11"/>
  <c r="AH128" i="11"/>
  <c r="AM128" i="11"/>
  <c r="AH127" i="11"/>
  <c r="AM127" i="11"/>
  <c r="AH126" i="11"/>
  <c r="AM126" i="11"/>
  <c r="AH125" i="11"/>
  <c r="AM125" i="11"/>
  <c r="JE28" i="5"/>
  <c r="JF28" i="5"/>
  <c r="JE41" i="5"/>
  <c r="JF41" i="5"/>
  <c r="AH123" i="11"/>
  <c r="AM123" i="11"/>
  <c r="AH121" i="11"/>
  <c r="AM121" i="11"/>
  <c r="AH120" i="11"/>
  <c r="AM120" i="11"/>
  <c r="AH119" i="11"/>
  <c r="AM119" i="11"/>
  <c r="AH118" i="11"/>
  <c r="AM118" i="11"/>
  <c r="AH117" i="11"/>
  <c r="AM117" i="11"/>
  <c r="JF58" i="5"/>
  <c r="JE58" i="5"/>
  <c r="JG58" i="5" s="1"/>
  <c r="JH58" i="5" s="1"/>
  <c r="JA67" i="5"/>
  <c r="JB67" i="5"/>
  <c r="JA65" i="5"/>
  <c r="JB65" i="5"/>
  <c r="JB95" i="5"/>
  <c r="JA95" i="5"/>
  <c r="JC95" i="5" s="1"/>
  <c r="JD95" i="5" s="1"/>
  <c r="JB31" i="5"/>
  <c r="JA31" i="5"/>
  <c r="JC31" i="5" s="1"/>
  <c r="JD31" i="5" s="1"/>
  <c r="JB55" i="5"/>
  <c r="JA55" i="5"/>
  <c r="JC55" i="5" s="1"/>
  <c r="JD55" i="5" s="1"/>
  <c r="JB64" i="5"/>
  <c r="JA64" i="5"/>
  <c r="JC64" i="5" s="1"/>
  <c r="JD64" i="5" s="1"/>
  <c r="JB59" i="5"/>
  <c r="JA59" i="5"/>
  <c r="JC59" i="5" s="1"/>
  <c r="JD59" i="5" s="1"/>
  <c r="JB92" i="5"/>
  <c r="JA92" i="5"/>
  <c r="JC92" i="5" s="1"/>
  <c r="JD92" i="5" s="1"/>
  <c r="JA91" i="5"/>
  <c r="JB91" i="5"/>
  <c r="JF79" i="5"/>
  <c r="JE79" i="5"/>
  <c r="JG79" i="5" s="1"/>
  <c r="JH79" i="5" s="1"/>
  <c r="JB51" i="5"/>
  <c r="JA51" i="5"/>
  <c r="JC51" i="5" s="1"/>
  <c r="JD51" i="5" s="1"/>
  <c r="DS42" i="5"/>
  <c r="DT42" i="5"/>
  <c r="JB36" i="5"/>
  <c r="JA36" i="5"/>
  <c r="JC36" i="5" s="1"/>
  <c r="JD36" i="5" s="1"/>
  <c r="JB49" i="5"/>
  <c r="JA49" i="5"/>
  <c r="JC49" i="5" s="1"/>
  <c r="JD49" i="5" s="1"/>
  <c r="DW52" i="5"/>
  <c r="DX52" i="5"/>
  <c r="IX16" i="5"/>
  <c r="IW16" i="5"/>
  <c r="IY16" i="5" s="1"/>
  <c r="IZ16" i="5" s="1"/>
  <c r="DS69" i="5"/>
  <c r="DT69" i="5"/>
  <c r="DS40" i="5"/>
  <c r="DT40" i="5"/>
  <c r="DW29" i="5"/>
  <c r="DX29" i="5"/>
  <c r="EI27" i="5"/>
  <c r="EJ27" i="5"/>
  <c r="EE26" i="5"/>
  <c r="EF26" i="5"/>
  <c r="EA59" i="5"/>
  <c r="EB59" i="5"/>
  <c r="EE86" i="5"/>
  <c r="EF86" i="5"/>
  <c r="EQ35" i="5"/>
  <c r="ER35" i="5"/>
  <c r="EA31" i="5"/>
  <c r="EB31" i="5"/>
  <c r="DS12" i="5"/>
  <c r="DT12" i="5"/>
  <c r="DG81" i="5"/>
  <c r="DH81" i="5"/>
  <c r="DG73" i="5"/>
  <c r="DH73" i="5"/>
  <c r="DG55" i="5"/>
  <c r="DH55" i="5"/>
  <c r="DG18" i="5"/>
  <c r="DH18" i="5"/>
  <c r="DC91" i="5"/>
  <c r="DD91" i="5"/>
  <c r="DC94" i="5"/>
  <c r="DD94" i="5"/>
  <c r="DC80" i="5"/>
  <c r="DD80" i="5"/>
  <c r="DC70" i="5"/>
  <c r="DD70" i="5"/>
  <c r="AK136" i="11"/>
  <c r="AJ136" i="11"/>
  <c r="AI136" i="11"/>
  <c r="AK122" i="11"/>
  <c r="AJ122" i="11"/>
  <c r="AI122" i="11"/>
  <c r="EW37" i="5"/>
  <c r="EX37" i="5" s="1"/>
  <c r="DU95" i="5"/>
  <c r="DV95" i="5" s="1"/>
  <c r="IY17" i="5"/>
  <c r="IZ17" i="5" s="1"/>
  <c r="DU88" i="5"/>
  <c r="DV88" i="5" s="1"/>
  <c r="DM71" i="5"/>
  <c r="DN71" i="5" s="1"/>
  <c r="DU79" i="5"/>
  <c r="DV79" i="5" s="1"/>
  <c r="JK83" i="5"/>
  <c r="JL83" i="5" s="1"/>
  <c r="JC72" i="5"/>
  <c r="JD72" i="5" s="1"/>
  <c r="JW90" i="5"/>
  <c r="JX90" i="5" s="1"/>
  <c r="JC71" i="5"/>
  <c r="JD71" i="5" s="1"/>
  <c r="IY23" i="5"/>
  <c r="IZ23" i="5" s="1"/>
  <c r="JC78" i="5"/>
  <c r="JD78" i="5" s="1"/>
  <c r="JC29" i="5"/>
  <c r="JD29" i="5" s="1"/>
  <c r="JC82" i="5"/>
  <c r="JD82" i="5" s="1"/>
  <c r="JG27" i="5"/>
  <c r="JH27" i="5" s="1"/>
  <c r="JC85" i="5"/>
  <c r="JD85" i="5" s="1"/>
  <c r="JC18" i="5"/>
  <c r="JD18" i="5" s="1"/>
  <c r="JG24" i="5"/>
  <c r="JH24" i="5" s="1"/>
  <c r="JC80" i="5"/>
  <c r="JD80" i="5" s="1"/>
  <c r="JC77" i="5"/>
  <c r="JD77" i="5" s="1"/>
  <c r="JG57" i="5"/>
  <c r="JH57" i="5" s="1"/>
  <c r="IY38" i="5"/>
  <c r="IZ38" i="5" s="1"/>
  <c r="JC74" i="5"/>
  <c r="JD74" i="5" s="1"/>
  <c r="JG25" i="5"/>
  <c r="JH25" i="5" s="1"/>
  <c r="JC32" i="5"/>
  <c r="JD32" i="5" s="1"/>
  <c r="JC46" i="5"/>
  <c r="JD46" i="5" s="1"/>
  <c r="JC20" i="5"/>
  <c r="JD20" i="5" s="1"/>
  <c r="JC54" i="5"/>
  <c r="JD54" i="5" s="1"/>
  <c r="JC75" i="5"/>
  <c r="JD75" i="5" s="1"/>
  <c r="JC70" i="5"/>
  <c r="JD70" i="5" s="1"/>
  <c r="JC53" i="5"/>
  <c r="JD53" i="5" s="1"/>
  <c r="JG22" i="5"/>
  <c r="JH22" i="5" s="1"/>
  <c r="JC9" i="5"/>
  <c r="JD9" i="5" s="1"/>
  <c r="DY28" i="5"/>
  <c r="DZ28" i="5" s="1"/>
  <c r="JC26" i="5"/>
  <c r="JD26" i="5" s="1"/>
  <c r="DU11" i="5"/>
  <c r="DV11" i="5" s="1"/>
  <c r="EG41" i="5"/>
  <c r="EH41" i="5" s="1"/>
  <c r="DY22" i="5"/>
  <c r="DZ22" i="5" s="1"/>
  <c r="EC53" i="5"/>
  <c r="ED53" i="5" s="1"/>
  <c r="EW45" i="5"/>
  <c r="EX45" i="5" s="1"/>
  <c r="JC21" i="5"/>
  <c r="JD21" i="5" s="1"/>
  <c r="EG66" i="5"/>
  <c r="EH66" i="5" s="1"/>
  <c r="EC25" i="5"/>
  <c r="ED25" i="5" s="1"/>
  <c r="EW67" i="5"/>
  <c r="EX67" i="5" s="1"/>
  <c r="DI19" i="5"/>
  <c r="DJ19" i="5" s="1"/>
  <c r="DE65" i="5"/>
  <c r="DF65" i="5" s="1"/>
  <c r="DU74" i="5"/>
  <c r="DV74" i="5" s="1"/>
  <c r="EM50" i="5" l="1"/>
  <c r="EN50" i="5"/>
  <c r="EQ44" i="5"/>
  <c r="ER44" i="5"/>
  <c r="EA92" i="5"/>
  <c r="EB92" i="5"/>
  <c r="EI23" i="5"/>
  <c r="EJ23" i="5"/>
  <c r="AG250" i="11"/>
  <c r="M250" i="11"/>
  <c r="Q250" i="11"/>
  <c r="AF250" i="11" s="1"/>
  <c r="W250" i="11" s="1"/>
  <c r="AG249" i="11"/>
  <c r="Q249" i="11"/>
  <c r="AF249" i="11" s="1"/>
  <c r="W249" i="11" s="1"/>
  <c r="M249" i="11"/>
  <c r="DO77" i="5"/>
  <c r="DP77" i="5"/>
  <c r="JN48" i="5"/>
  <c r="JM48" i="5"/>
  <c r="JO48" i="5" s="1"/>
  <c r="JP48" i="5" s="1"/>
  <c r="DS84" i="5"/>
  <c r="DT84" i="5"/>
  <c r="R157" i="5"/>
  <c r="O157" i="5" s="1"/>
  <c r="R156" i="5"/>
  <c r="O156" i="5" s="1"/>
  <c r="EF76" i="5"/>
  <c r="EE76" i="5"/>
  <c r="EB93" i="5"/>
  <c r="EA93" i="5"/>
  <c r="EC93" i="5" s="1"/>
  <c r="ED93" i="5" s="1"/>
  <c r="EB15" i="5"/>
  <c r="EA15" i="5"/>
  <c r="EC15" i="5" s="1"/>
  <c r="ED15" i="5" s="1"/>
  <c r="EV62" i="5"/>
  <c r="EU62" i="5"/>
  <c r="EW62" i="5" s="1"/>
  <c r="EX62" i="5" s="1"/>
  <c r="AK124" i="11"/>
  <c r="AJ124" i="11"/>
  <c r="AI124" i="11"/>
  <c r="EK85" i="5"/>
  <c r="EL85" i="5" s="1"/>
  <c r="DY72" i="5"/>
  <c r="DZ72" i="5" s="1"/>
  <c r="JG35" i="5"/>
  <c r="JH35" i="5" s="1"/>
  <c r="DI73" i="5"/>
  <c r="DJ73" i="5" s="1"/>
  <c r="DX13" i="5"/>
  <c r="DW13" i="5"/>
  <c r="DY13" i="5" s="1"/>
  <c r="DZ13" i="5" s="1"/>
  <c r="JE94" i="5"/>
  <c r="JG94" i="5" s="1"/>
  <c r="JH94" i="5" s="1"/>
  <c r="JF94" i="5"/>
  <c r="JE88" i="5"/>
  <c r="JG88" i="5" s="1"/>
  <c r="JH88" i="5" s="1"/>
  <c r="JF88" i="5"/>
  <c r="DP8" i="5"/>
  <c r="DO8" i="5"/>
  <c r="DQ8" i="5" s="1"/>
  <c r="DR8" i="5" s="1"/>
  <c r="DT36" i="5"/>
  <c r="DS36" i="5"/>
  <c r="DU36" i="5" s="1"/>
  <c r="DV36" i="5" s="1"/>
  <c r="DX38" i="5"/>
  <c r="DW38" i="5"/>
  <c r="IL89" i="5"/>
  <c r="IK89" i="5"/>
  <c r="IM89" i="5" s="1"/>
  <c r="IN89" i="5" s="1"/>
  <c r="DT58" i="5"/>
  <c r="DS58" i="5"/>
  <c r="DU58" i="5" s="1"/>
  <c r="DV58" i="5" s="1"/>
  <c r="N23" i="7"/>
  <c r="I311" i="11"/>
  <c r="AG312" i="11"/>
  <c r="M312" i="11"/>
  <c r="Q312" i="11"/>
  <c r="AF312" i="11" s="1"/>
  <c r="W312" i="11" s="1"/>
  <c r="R93" i="5"/>
  <c r="O93" i="5" s="1"/>
  <c r="R94" i="5"/>
  <c r="O94" i="5" s="1"/>
  <c r="R95" i="5"/>
  <c r="O95" i="5" s="1"/>
  <c r="R96" i="5"/>
  <c r="O96" i="5" s="1"/>
  <c r="R97" i="5"/>
  <c r="O97" i="5" s="1"/>
  <c r="EY83" i="5"/>
  <c r="EZ83" i="5"/>
  <c r="ER43" i="5"/>
  <c r="EQ43" i="5"/>
  <c r="ES43" i="5" s="1"/>
  <c r="ET43" i="5" s="1"/>
  <c r="R241" i="5"/>
  <c r="O241" i="5" s="1"/>
  <c r="R240" i="5"/>
  <c r="O240" i="5" s="1"/>
  <c r="JJ62" i="5"/>
  <c r="JI62" i="5"/>
  <c r="JK62" i="5" s="1"/>
  <c r="JL62" i="5" s="1"/>
  <c r="R53" i="5"/>
  <c r="O53" i="5" s="1"/>
  <c r="R54" i="5"/>
  <c r="O54" i="5" s="1"/>
  <c r="R55" i="5"/>
  <c r="O55" i="5" s="1"/>
  <c r="R56" i="5"/>
  <c r="O56" i="5" s="1"/>
  <c r="R57" i="5"/>
  <c r="O57" i="5" s="1"/>
  <c r="R58" i="5"/>
  <c r="O58" i="5" s="1"/>
  <c r="R59" i="5"/>
  <c r="O59" i="5" s="1"/>
  <c r="R60" i="5"/>
  <c r="O60" i="5" s="1"/>
  <c r="R61" i="5"/>
  <c r="O61" i="5" s="1"/>
  <c r="R62" i="5"/>
  <c r="O62" i="5" s="1"/>
  <c r="R63" i="5"/>
  <c r="O63" i="5" s="1"/>
  <c r="R64" i="5"/>
  <c r="O64" i="5" s="1"/>
  <c r="R65" i="5"/>
  <c r="O65" i="5" s="1"/>
  <c r="R66" i="5"/>
  <c r="O66" i="5" s="1"/>
  <c r="R67" i="5"/>
  <c r="O67" i="5" s="1"/>
  <c r="EB20" i="5"/>
  <c r="EA20" i="5"/>
  <c r="EC20" i="5" s="1"/>
  <c r="ED20" i="5" s="1"/>
  <c r="DP54" i="5"/>
  <c r="DO54" i="5"/>
  <c r="DQ54" i="5" s="1"/>
  <c r="DR54" i="5" s="1"/>
  <c r="EF9" i="5"/>
  <c r="EE9" i="5"/>
  <c r="EG9" i="5" s="1"/>
  <c r="EH9" i="5" s="1"/>
  <c r="JN68" i="5"/>
  <c r="JM68" i="5"/>
  <c r="JO68" i="5" s="1"/>
  <c r="JP68" i="5" s="1"/>
  <c r="EA17" i="5"/>
  <c r="EB17" i="5"/>
  <c r="EN24" i="5"/>
  <c r="EM24" i="5"/>
  <c r="EO24" i="5" s="1"/>
  <c r="EP24" i="5" s="1"/>
  <c r="EB64" i="5"/>
  <c r="EA64" i="5"/>
  <c r="EC64" i="5" s="1"/>
  <c r="ED64" i="5" s="1"/>
  <c r="IP89" i="5"/>
  <c r="IO89" i="5"/>
  <c r="IQ89" i="5" s="1"/>
  <c r="IR89" i="5" s="1"/>
  <c r="JI52" i="5"/>
  <c r="JJ52" i="5"/>
  <c r="JI66" i="5"/>
  <c r="JJ66" i="5"/>
  <c r="JB40" i="5"/>
  <c r="JA40" i="5"/>
  <c r="JC40" i="5" s="1"/>
  <c r="JD40" i="5" s="1"/>
  <c r="JE13" i="5"/>
  <c r="JF13" i="5"/>
  <c r="ER49" i="5"/>
  <c r="EQ49" i="5"/>
  <c r="ES49" i="5" s="1"/>
  <c r="ET49" i="5" s="1"/>
  <c r="DX14" i="5"/>
  <c r="DW14" i="5"/>
  <c r="DY14" i="5" s="1"/>
  <c r="DZ14" i="5" s="1"/>
  <c r="R216" i="5"/>
  <c r="O216" i="5" s="1"/>
  <c r="R217" i="5"/>
  <c r="O217" i="5" s="1"/>
  <c r="JE15" i="5"/>
  <c r="JF15" i="5"/>
  <c r="JE84" i="5"/>
  <c r="JF84" i="5"/>
  <c r="JI63" i="5"/>
  <c r="JJ63" i="5"/>
  <c r="JJ39" i="5"/>
  <c r="JI39" i="5"/>
  <c r="JK39" i="5" s="1"/>
  <c r="JL39" i="5" s="1"/>
  <c r="JI19" i="5"/>
  <c r="JJ19" i="5"/>
  <c r="AK146" i="11"/>
  <c r="AJ146" i="11"/>
  <c r="AI146" i="11"/>
  <c r="AK145" i="11"/>
  <c r="AJ145" i="11"/>
  <c r="AI145" i="11"/>
  <c r="AK144" i="11"/>
  <c r="AJ144" i="11"/>
  <c r="AI144" i="11"/>
  <c r="AK143" i="11"/>
  <c r="AJ143" i="11"/>
  <c r="AI143" i="11"/>
  <c r="AK142" i="11"/>
  <c r="AJ142" i="11"/>
  <c r="AI142" i="11"/>
  <c r="AK141" i="11"/>
  <c r="AJ141" i="11"/>
  <c r="AI141" i="11"/>
  <c r="AK140" i="11"/>
  <c r="AJ140" i="11"/>
  <c r="AI140" i="11"/>
  <c r="AK139" i="11"/>
  <c r="AJ139" i="11"/>
  <c r="AI139" i="11"/>
  <c r="AK138" i="11"/>
  <c r="AJ138" i="11"/>
  <c r="AI138" i="11"/>
  <c r="AK137" i="11"/>
  <c r="AJ137" i="11"/>
  <c r="AI137" i="11"/>
  <c r="AK135" i="11"/>
  <c r="AJ135" i="11"/>
  <c r="AI135" i="11"/>
  <c r="AK134" i="11"/>
  <c r="AJ134" i="11"/>
  <c r="AI134" i="11"/>
  <c r="AK133" i="11"/>
  <c r="AJ133" i="11"/>
  <c r="AI133" i="11"/>
  <c r="AK132" i="11"/>
  <c r="AJ132" i="11"/>
  <c r="AI132" i="11"/>
  <c r="AK131" i="11"/>
  <c r="AJ131" i="11"/>
  <c r="AI131" i="11"/>
  <c r="AK130" i="11"/>
  <c r="AJ130" i="11"/>
  <c r="AI130" i="11"/>
  <c r="AK129" i="11"/>
  <c r="AJ129" i="11"/>
  <c r="AI129" i="11"/>
  <c r="AK128" i="11"/>
  <c r="AJ128" i="11"/>
  <c r="AI128" i="11"/>
  <c r="AK127" i="11"/>
  <c r="AJ127" i="11"/>
  <c r="AI127" i="11"/>
  <c r="AK126" i="11"/>
  <c r="AJ126" i="11"/>
  <c r="AI126" i="11"/>
  <c r="AK125" i="11"/>
  <c r="AJ125" i="11"/>
  <c r="AI125" i="11"/>
  <c r="AK123" i="11"/>
  <c r="AJ123" i="11"/>
  <c r="AI123" i="11"/>
  <c r="AK121" i="11"/>
  <c r="AJ121" i="11"/>
  <c r="AI121" i="11"/>
  <c r="AK120" i="11"/>
  <c r="AJ120" i="11"/>
  <c r="AI120" i="11"/>
  <c r="AK119" i="11"/>
  <c r="AJ119" i="11"/>
  <c r="AI119" i="11"/>
  <c r="AK118" i="11"/>
  <c r="AJ118" i="11"/>
  <c r="AI118" i="11"/>
  <c r="AK117" i="11"/>
  <c r="AJ117" i="11"/>
  <c r="AI117" i="11"/>
  <c r="JI58" i="5"/>
  <c r="JJ58" i="5"/>
  <c r="JE95" i="5"/>
  <c r="JF95" i="5"/>
  <c r="JE31" i="5"/>
  <c r="JF31" i="5"/>
  <c r="JE55" i="5"/>
  <c r="JF55" i="5"/>
  <c r="JE64" i="5"/>
  <c r="JF64" i="5"/>
  <c r="JE59" i="5"/>
  <c r="JF59" i="5"/>
  <c r="JE92" i="5"/>
  <c r="JF92" i="5"/>
  <c r="JI79" i="5"/>
  <c r="JJ79" i="5"/>
  <c r="JE51" i="5"/>
  <c r="JF51" i="5"/>
  <c r="JE36" i="5"/>
  <c r="JF36" i="5"/>
  <c r="JE49" i="5"/>
  <c r="JF49" i="5"/>
  <c r="JA16" i="5"/>
  <c r="JB16" i="5"/>
  <c r="EY37" i="5"/>
  <c r="EZ37" i="5"/>
  <c r="DW95" i="5"/>
  <c r="DX95" i="5"/>
  <c r="JB17" i="5"/>
  <c r="JA17" i="5"/>
  <c r="JC17" i="5" s="1"/>
  <c r="JD17" i="5" s="1"/>
  <c r="DW88" i="5"/>
  <c r="DX88" i="5"/>
  <c r="DO71" i="5"/>
  <c r="DP71" i="5"/>
  <c r="DX79" i="5"/>
  <c r="DW79" i="5"/>
  <c r="DY79" i="5" s="1"/>
  <c r="DZ79" i="5" s="1"/>
  <c r="JJ30" i="5"/>
  <c r="JI30" i="5"/>
  <c r="JK30" i="5" s="1"/>
  <c r="JL30" i="5" s="1"/>
  <c r="JN83" i="5"/>
  <c r="JM83" i="5"/>
  <c r="JO83" i="5" s="1"/>
  <c r="JP83" i="5" s="1"/>
  <c r="JF72" i="5"/>
  <c r="JE72" i="5"/>
  <c r="JG72" i="5" s="1"/>
  <c r="JH72" i="5" s="1"/>
  <c r="JZ90" i="5"/>
  <c r="JY90" i="5"/>
  <c r="KB90" i="5" s="1"/>
  <c r="JF71" i="5"/>
  <c r="JE71" i="5"/>
  <c r="JG71" i="5" s="1"/>
  <c r="JH71" i="5" s="1"/>
  <c r="JB23" i="5"/>
  <c r="JA23" i="5"/>
  <c r="JC23" i="5" s="1"/>
  <c r="JD23" i="5" s="1"/>
  <c r="JF78" i="5"/>
  <c r="JE78" i="5"/>
  <c r="JG78" i="5" s="1"/>
  <c r="JH78" i="5" s="1"/>
  <c r="JF29" i="5"/>
  <c r="JE29" i="5"/>
  <c r="JG29" i="5" s="1"/>
  <c r="JH29" i="5" s="1"/>
  <c r="JF82" i="5"/>
  <c r="JE82" i="5"/>
  <c r="JG82" i="5" s="1"/>
  <c r="JH82" i="5" s="1"/>
  <c r="JJ27" i="5"/>
  <c r="JI27" i="5"/>
  <c r="JK27" i="5" s="1"/>
  <c r="JL27" i="5" s="1"/>
  <c r="JF85" i="5"/>
  <c r="JE85" i="5"/>
  <c r="JG85" i="5" s="1"/>
  <c r="JH85" i="5" s="1"/>
  <c r="JF18" i="5"/>
  <c r="JE18" i="5"/>
  <c r="JG18" i="5" s="1"/>
  <c r="JH18" i="5" s="1"/>
  <c r="JJ24" i="5"/>
  <c r="JI24" i="5"/>
  <c r="JK24" i="5" s="1"/>
  <c r="JL24" i="5" s="1"/>
  <c r="JF80" i="5"/>
  <c r="JE80" i="5"/>
  <c r="JG80" i="5" s="1"/>
  <c r="JH80" i="5" s="1"/>
  <c r="JF77" i="5"/>
  <c r="JE77" i="5"/>
  <c r="JG77" i="5" s="1"/>
  <c r="JH77" i="5" s="1"/>
  <c r="JJ57" i="5"/>
  <c r="JI57" i="5"/>
  <c r="JK57" i="5" s="1"/>
  <c r="JL57" i="5" s="1"/>
  <c r="JA38" i="5"/>
  <c r="JB38" i="5"/>
  <c r="JF74" i="5"/>
  <c r="JE74" i="5"/>
  <c r="JG74" i="5" s="1"/>
  <c r="JH74" i="5" s="1"/>
  <c r="JJ25" i="5"/>
  <c r="JI25" i="5"/>
  <c r="JF32" i="5"/>
  <c r="JE32" i="5"/>
  <c r="JG32" i="5" s="1"/>
  <c r="JH32" i="5" s="1"/>
  <c r="JF46" i="5"/>
  <c r="JE46" i="5"/>
  <c r="JG46" i="5" s="1"/>
  <c r="JH46" i="5" s="1"/>
  <c r="JF20" i="5"/>
  <c r="JE20" i="5"/>
  <c r="JG20" i="5" s="1"/>
  <c r="JH20" i="5" s="1"/>
  <c r="JF54" i="5"/>
  <c r="JE54" i="5"/>
  <c r="JG54" i="5" s="1"/>
  <c r="JH54" i="5" s="1"/>
  <c r="JF75" i="5"/>
  <c r="JE75" i="5"/>
  <c r="JG75" i="5" s="1"/>
  <c r="JH75" i="5" s="1"/>
  <c r="JF33" i="5"/>
  <c r="JE33" i="5"/>
  <c r="JG33" i="5" s="1"/>
  <c r="JH33" i="5" s="1"/>
  <c r="JF70" i="5"/>
  <c r="JE70" i="5"/>
  <c r="JG70" i="5" s="1"/>
  <c r="JH70" i="5" s="1"/>
  <c r="JF53" i="5"/>
  <c r="JE53" i="5"/>
  <c r="JJ22" i="5"/>
  <c r="JI22" i="5"/>
  <c r="JK22" i="5" s="1"/>
  <c r="JL22" i="5" s="1"/>
  <c r="JF9" i="5"/>
  <c r="JE9" i="5"/>
  <c r="JG9" i="5" s="1"/>
  <c r="JH9" i="5" s="1"/>
  <c r="EA28" i="5"/>
  <c r="EB28" i="5"/>
  <c r="JE26" i="5"/>
  <c r="JF26" i="5"/>
  <c r="DW11" i="5"/>
  <c r="DX11" i="5"/>
  <c r="EI41" i="5"/>
  <c r="EJ41" i="5"/>
  <c r="EA22" i="5"/>
  <c r="EB22" i="5"/>
  <c r="EE53" i="5"/>
  <c r="EF53" i="5"/>
  <c r="EY45" i="5"/>
  <c r="EZ45" i="5"/>
  <c r="JF21" i="5"/>
  <c r="JE21" i="5"/>
  <c r="JG21" i="5" s="1"/>
  <c r="JH21" i="5" s="1"/>
  <c r="EI66" i="5"/>
  <c r="EJ66" i="5"/>
  <c r="EE25" i="5"/>
  <c r="EF25" i="5"/>
  <c r="EY67" i="5"/>
  <c r="EZ67" i="5"/>
  <c r="DK19" i="5"/>
  <c r="DL19" i="5"/>
  <c r="DG65" i="5"/>
  <c r="DH65" i="5"/>
  <c r="DW74" i="5"/>
  <c r="DX74" i="5"/>
  <c r="JK11" i="5"/>
  <c r="JL11" i="5" s="1"/>
  <c r="EC30" i="5"/>
  <c r="ED30" i="5" s="1"/>
  <c r="DU42" i="5"/>
  <c r="DV42" i="5" s="1"/>
  <c r="JK37" i="5"/>
  <c r="JL37" i="5" s="1"/>
  <c r="JC10" i="5"/>
  <c r="JD10" i="5" s="1"/>
  <c r="JG87" i="5"/>
  <c r="JH87" i="5" s="1"/>
  <c r="IY50" i="5"/>
  <c r="IZ50" i="5" s="1"/>
  <c r="JC44" i="5"/>
  <c r="JD44" i="5" s="1"/>
  <c r="JG12" i="5"/>
  <c r="JH12" i="5" s="1"/>
  <c r="JG45" i="5"/>
  <c r="JH45" i="5" s="1"/>
  <c r="JG56" i="5"/>
  <c r="JH56" i="5" s="1"/>
  <c r="JC73" i="5"/>
  <c r="JD73" i="5" s="1"/>
  <c r="JG47" i="5"/>
  <c r="JH47" i="5" s="1"/>
  <c r="JG60" i="5"/>
  <c r="JH60" i="5" s="1"/>
  <c r="JG81" i="5"/>
  <c r="JH81" i="5" s="1"/>
  <c r="JC86" i="5"/>
  <c r="JD86" i="5" s="1"/>
  <c r="JC42" i="5"/>
  <c r="JD42" i="5" s="1"/>
  <c r="JC14" i="5"/>
  <c r="JD14" i="5" s="1"/>
  <c r="JC93" i="5"/>
  <c r="JD93" i="5" s="1"/>
  <c r="JG8" i="5"/>
  <c r="JH8" i="5" s="1"/>
  <c r="JK69" i="5"/>
  <c r="JL69" i="5" s="1"/>
  <c r="DY52" i="5"/>
  <c r="DZ52" i="5" s="1"/>
  <c r="IY43" i="5"/>
  <c r="IZ43" i="5" s="1"/>
  <c r="JG28" i="5"/>
  <c r="JH28" i="5" s="1"/>
  <c r="JG41" i="5"/>
  <c r="JH41" i="5" s="1"/>
  <c r="JC67" i="5"/>
  <c r="JD67" i="5" s="1"/>
  <c r="JC65" i="5"/>
  <c r="JD65" i="5" s="1"/>
  <c r="JC91" i="5"/>
  <c r="JD91" i="5" s="1"/>
  <c r="DU69" i="5"/>
  <c r="DV69" i="5" s="1"/>
  <c r="DU40" i="5"/>
  <c r="DV40" i="5" s="1"/>
  <c r="DY29" i="5"/>
  <c r="DZ29" i="5" s="1"/>
  <c r="EK27" i="5"/>
  <c r="EL27" i="5" s="1"/>
  <c r="EG26" i="5"/>
  <c r="EH26" i="5" s="1"/>
  <c r="EC59" i="5"/>
  <c r="ED59" i="5" s="1"/>
  <c r="EG86" i="5"/>
  <c r="EH86" i="5" s="1"/>
  <c r="ES35" i="5"/>
  <c r="ET35" i="5" s="1"/>
  <c r="EC31" i="5"/>
  <c r="ED31" i="5" s="1"/>
  <c r="DU12" i="5"/>
  <c r="DV12" i="5" s="1"/>
  <c r="DI81" i="5"/>
  <c r="DJ81" i="5" s="1"/>
  <c r="DI55" i="5"/>
  <c r="DJ55" i="5" s="1"/>
  <c r="DI18" i="5"/>
  <c r="DJ18" i="5" s="1"/>
  <c r="DE91" i="5"/>
  <c r="DF91" i="5" s="1"/>
  <c r="DE94" i="5"/>
  <c r="DF94" i="5" s="1"/>
  <c r="DE80" i="5"/>
  <c r="DF80" i="5" s="1"/>
  <c r="DE70" i="5"/>
  <c r="DF70" i="5" s="1"/>
  <c r="AH250" i="11" l="1"/>
  <c r="AM250" i="11"/>
  <c r="AH249" i="11"/>
  <c r="AM249" i="11"/>
  <c r="JQ48" i="5"/>
  <c r="JR48" i="5"/>
  <c r="EE93" i="5"/>
  <c r="EF93" i="5"/>
  <c r="EE15" i="5"/>
  <c r="EF15" i="5"/>
  <c r="EY62" i="5"/>
  <c r="EZ62" i="5"/>
  <c r="EN85" i="5"/>
  <c r="EM85" i="5"/>
  <c r="EO85" i="5" s="1"/>
  <c r="EP85" i="5" s="1"/>
  <c r="EB72" i="5"/>
  <c r="EA72" i="5"/>
  <c r="EC72" i="5" s="1"/>
  <c r="ED72" i="5" s="1"/>
  <c r="EO50" i="5"/>
  <c r="EP50" i="5" s="1"/>
  <c r="ES44" i="5"/>
  <c r="ET44" i="5" s="1"/>
  <c r="EC92" i="5"/>
  <c r="ED92" i="5" s="1"/>
  <c r="EK23" i="5"/>
  <c r="EL23" i="5" s="1"/>
  <c r="DQ77" i="5"/>
  <c r="DR77" i="5" s="1"/>
  <c r="DU84" i="5"/>
  <c r="DV84" i="5" s="1"/>
  <c r="EG76" i="5"/>
  <c r="EH76" i="5" s="1"/>
  <c r="DY38" i="5"/>
  <c r="DZ38" i="5" s="1"/>
  <c r="JK25" i="5"/>
  <c r="JL25" i="5" s="1"/>
  <c r="JI35" i="5"/>
  <c r="JK35" i="5" s="1"/>
  <c r="JL35" i="5" s="1"/>
  <c r="JJ35" i="5"/>
  <c r="DL73" i="5"/>
  <c r="DK73" i="5"/>
  <c r="DM73" i="5" s="1"/>
  <c r="DN73" i="5" s="1"/>
  <c r="EB13" i="5"/>
  <c r="EA13" i="5"/>
  <c r="EC13" i="5" s="1"/>
  <c r="ED13" i="5" s="1"/>
  <c r="DT8" i="5"/>
  <c r="DS8" i="5"/>
  <c r="DU8" i="5" s="1"/>
  <c r="DV8" i="5" s="1"/>
  <c r="DX36" i="5"/>
  <c r="DW36" i="5"/>
  <c r="DY36" i="5" s="1"/>
  <c r="DZ36" i="5" s="1"/>
  <c r="DX58" i="5"/>
  <c r="DW58" i="5"/>
  <c r="DY58" i="5" s="1"/>
  <c r="DZ58" i="5" s="1"/>
  <c r="Q311" i="11"/>
  <c r="AF311" i="11" s="1"/>
  <c r="M311" i="11"/>
  <c r="AG311" i="11"/>
  <c r="EV43" i="5"/>
  <c r="EU43" i="5"/>
  <c r="EW43" i="5" s="1"/>
  <c r="EX43" i="5" s="1"/>
  <c r="JN62" i="5"/>
  <c r="JM62" i="5"/>
  <c r="JO62" i="5" s="1"/>
  <c r="JP62" i="5" s="1"/>
  <c r="EF20" i="5"/>
  <c r="EE20" i="5"/>
  <c r="EG20" i="5" s="1"/>
  <c r="EH20" i="5" s="1"/>
  <c r="DT54" i="5"/>
  <c r="DS54" i="5"/>
  <c r="DU54" i="5" s="1"/>
  <c r="DV54" i="5" s="1"/>
  <c r="EJ9" i="5"/>
  <c r="EI9" i="5"/>
  <c r="EK9" i="5" s="1"/>
  <c r="EL9" i="5" s="1"/>
  <c r="JQ68" i="5"/>
  <c r="JR68" i="5"/>
  <c r="ER24" i="5"/>
  <c r="EQ24" i="5"/>
  <c r="ES24" i="5" s="1"/>
  <c r="ET24" i="5" s="1"/>
  <c r="EF64" i="5"/>
  <c r="EE64" i="5"/>
  <c r="EG64" i="5" s="1"/>
  <c r="EH64" i="5" s="1"/>
  <c r="IT89" i="5"/>
  <c r="IS89" i="5"/>
  <c r="IU89" i="5" s="1"/>
  <c r="IV89" i="5" s="1"/>
  <c r="JF40" i="5"/>
  <c r="JE40" i="5"/>
  <c r="JG40" i="5" s="1"/>
  <c r="JH40" i="5" s="1"/>
  <c r="EV49" i="5"/>
  <c r="EU49" i="5"/>
  <c r="EW49" i="5" s="1"/>
  <c r="EX49" i="5" s="1"/>
  <c r="EF13" i="5"/>
  <c r="EE13" i="5"/>
  <c r="EG13" i="5" s="1"/>
  <c r="EH13" i="5" s="1"/>
  <c r="EB14" i="5"/>
  <c r="EA14" i="5"/>
  <c r="EC14" i="5" s="1"/>
  <c r="ED14" i="5" s="1"/>
  <c r="JM39" i="5"/>
  <c r="JN39" i="5"/>
  <c r="DP73" i="5"/>
  <c r="DO73" i="5"/>
  <c r="DQ73" i="5" s="1"/>
  <c r="DR73" i="5" s="1"/>
  <c r="JE17" i="5"/>
  <c r="JF17" i="5"/>
  <c r="EB79" i="5"/>
  <c r="EA79" i="5"/>
  <c r="EC79" i="5" s="1"/>
  <c r="ED79" i="5" s="1"/>
  <c r="JM30" i="5"/>
  <c r="JN30" i="5"/>
  <c r="JQ83" i="5"/>
  <c r="JR83" i="5"/>
  <c r="JI72" i="5"/>
  <c r="JJ72" i="5"/>
  <c r="S480" i="5"/>
  <c r="P480" i="5" s="1"/>
  <c r="Q480" i="5" s="1"/>
  <c r="I722" i="11" s="1"/>
  <c r="K722" i="11" s="1"/>
  <c r="S481" i="5"/>
  <c r="P481" i="5" s="1"/>
  <c r="Q481" i="5" s="1"/>
  <c r="I723" i="11" s="1"/>
  <c r="K723" i="11" s="1"/>
  <c r="S482" i="5"/>
  <c r="P482" i="5" s="1"/>
  <c r="Q482" i="5" s="1"/>
  <c r="I724" i="11" s="1"/>
  <c r="K724" i="11" s="1"/>
  <c r="S483" i="5"/>
  <c r="P483" i="5" s="1"/>
  <c r="Q483" i="5" s="1"/>
  <c r="I725" i="11" s="1"/>
  <c r="K725" i="11" s="1"/>
  <c r="S490" i="5"/>
  <c r="P490" i="5" s="1"/>
  <c r="Q490" i="5" s="1"/>
  <c r="I732" i="11" s="1"/>
  <c r="K732" i="11" s="1"/>
  <c r="S493" i="5"/>
  <c r="P493" i="5" s="1"/>
  <c r="Q493" i="5" s="1"/>
  <c r="I735" i="11" s="1"/>
  <c r="K735" i="11" s="1"/>
  <c r="S495" i="5"/>
  <c r="P495" i="5" s="1"/>
  <c r="Q495" i="5" s="1"/>
  <c r="I737" i="11" s="1"/>
  <c r="K737" i="11" s="1"/>
  <c r="S496" i="5"/>
  <c r="P496" i="5" s="1"/>
  <c r="Q496" i="5" s="1"/>
  <c r="I738" i="11" s="1"/>
  <c r="K738" i="11" s="1"/>
  <c r="S485" i="5"/>
  <c r="P485" i="5" s="1"/>
  <c r="Q485" i="5" s="1"/>
  <c r="I727" i="11" s="1"/>
  <c r="K727" i="11" s="1"/>
  <c r="S487" i="5"/>
  <c r="P487" i="5" s="1"/>
  <c r="Q487" i="5" s="1"/>
  <c r="I729" i="11" s="1"/>
  <c r="K729" i="11" s="1"/>
  <c r="S489" i="5"/>
  <c r="P489" i="5" s="1"/>
  <c r="Q489" i="5" s="1"/>
  <c r="I731" i="11" s="1"/>
  <c r="K731" i="11" s="1"/>
  <c r="S491" i="5"/>
  <c r="P491" i="5" s="1"/>
  <c r="Q491" i="5" s="1"/>
  <c r="I733" i="11" s="1"/>
  <c r="K733" i="11" s="1"/>
  <c r="S499" i="5"/>
  <c r="P499" i="5" s="1"/>
  <c r="Q499" i="5" s="1"/>
  <c r="I741" i="11" s="1"/>
  <c r="K741" i="11" s="1"/>
  <c r="S500" i="5"/>
  <c r="P500" i="5" s="1"/>
  <c r="Q500" i="5" s="1"/>
  <c r="I742" i="11" s="1"/>
  <c r="K742" i="11" s="1"/>
  <c r="S501" i="5"/>
  <c r="P501" i="5" s="1"/>
  <c r="Q501" i="5" s="1"/>
  <c r="I743" i="11" s="1"/>
  <c r="K743" i="11" s="1"/>
  <c r="S502" i="5"/>
  <c r="P502" i="5" s="1"/>
  <c r="Q502" i="5" s="1"/>
  <c r="I744" i="11" s="1"/>
  <c r="K744" i="11" s="1"/>
  <c r="S503" i="5"/>
  <c r="P503" i="5" s="1"/>
  <c r="Q503" i="5" s="1"/>
  <c r="I745" i="11" s="1"/>
  <c r="K745" i="11" s="1"/>
  <c r="S504" i="5"/>
  <c r="P504" i="5" s="1"/>
  <c r="Q504" i="5" s="1"/>
  <c r="I746" i="11" s="1"/>
  <c r="K746" i="11" s="1"/>
  <c r="S505" i="5"/>
  <c r="P505" i="5" s="1"/>
  <c r="Q505" i="5" s="1"/>
  <c r="I747" i="11" s="1"/>
  <c r="K747" i="11" s="1"/>
  <c r="S506" i="5"/>
  <c r="P506" i="5" s="1"/>
  <c r="Q506" i="5" s="1"/>
  <c r="I748" i="11" s="1"/>
  <c r="K748" i="11" s="1"/>
  <c r="S507" i="5"/>
  <c r="P507" i="5" s="1"/>
  <c r="Q507" i="5" s="1"/>
  <c r="I749" i="11" s="1"/>
  <c r="K749" i="11" s="1"/>
  <c r="S508" i="5"/>
  <c r="P508" i="5" s="1"/>
  <c r="Q508" i="5" s="1"/>
  <c r="I750" i="11" s="1"/>
  <c r="K750" i="11" s="1"/>
  <c r="S509" i="5"/>
  <c r="P509" i="5" s="1"/>
  <c r="Q509" i="5" s="1"/>
  <c r="I751" i="11" s="1"/>
  <c r="K751" i="11" s="1"/>
  <c r="S510" i="5"/>
  <c r="P510" i="5" s="1"/>
  <c r="Q510" i="5" s="1"/>
  <c r="I752" i="11" s="1"/>
  <c r="K752" i="11" s="1"/>
  <c r="S511" i="5"/>
  <c r="P511" i="5" s="1"/>
  <c r="Q511" i="5" s="1"/>
  <c r="I753" i="11" s="1"/>
  <c r="K753" i="11" s="1"/>
  <c r="S512" i="5"/>
  <c r="P512" i="5" s="1"/>
  <c r="Q512" i="5" s="1"/>
  <c r="I754" i="11" s="1"/>
  <c r="K754" i="11" s="1"/>
  <c r="S513" i="5"/>
  <c r="P513" i="5" s="1"/>
  <c r="Q513" i="5" s="1"/>
  <c r="I755" i="11" s="1"/>
  <c r="K755" i="11" s="1"/>
  <c r="S514" i="5"/>
  <c r="P514" i="5" s="1"/>
  <c r="Q514" i="5" s="1"/>
  <c r="I756" i="11" s="1"/>
  <c r="K756" i="11" s="1"/>
  <c r="S515" i="5"/>
  <c r="P515" i="5" s="1"/>
  <c r="Q515" i="5" s="1"/>
  <c r="I757" i="11" s="1"/>
  <c r="K757" i="11" s="1"/>
  <c r="S516" i="5"/>
  <c r="P516" i="5" s="1"/>
  <c r="Q516" i="5" s="1"/>
  <c r="I758" i="11" s="1"/>
  <c r="K758" i="11" s="1"/>
  <c r="S517" i="5"/>
  <c r="P517" i="5" s="1"/>
  <c r="Q517" i="5" s="1"/>
  <c r="I759" i="11" s="1"/>
  <c r="K759" i="11" s="1"/>
  <c r="S518" i="5"/>
  <c r="P518" i="5" s="1"/>
  <c r="Q518" i="5" s="1"/>
  <c r="I760" i="11" s="1"/>
  <c r="K760" i="11" s="1"/>
  <c r="S519" i="5"/>
  <c r="P519" i="5" s="1"/>
  <c r="Q519" i="5" s="1"/>
  <c r="I761" i="11" s="1"/>
  <c r="K761" i="11" s="1"/>
  <c r="S484" i="5"/>
  <c r="P484" i="5" s="1"/>
  <c r="Q484" i="5" s="1"/>
  <c r="I726" i="11" s="1"/>
  <c r="K726" i="11" s="1"/>
  <c r="S486" i="5"/>
  <c r="P486" i="5" s="1"/>
  <c r="Q486" i="5" s="1"/>
  <c r="I728" i="11" s="1"/>
  <c r="K728" i="11" s="1"/>
  <c r="S497" i="5"/>
  <c r="P497" i="5" s="1"/>
  <c r="Q497" i="5" s="1"/>
  <c r="I739" i="11" s="1"/>
  <c r="K739" i="11" s="1"/>
  <c r="S498" i="5"/>
  <c r="P498" i="5" s="1"/>
  <c r="Q498" i="5" s="1"/>
  <c r="I740" i="11" s="1"/>
  <c r="K740" i="11" s="1"/>
  <c r="S488" i="5"/>
  <c r="P488" i="5" s="1"/>
  <c r="Q488" i="5" s="1"/>
  <c r="I730" i="11" s="1"/>
  <c r="K730" i="11" s="1"/>
  <c r="S492" i="5"/>
  <c r="P492" i="5" s="1"/>
  <c r="Q492" i="5" s="1"/>
  <c r="I734" i="11" s="1"/>
  <c r="K734" i="11" s="1"/>
  <c r="S494" i="5"/>
  <c r="P494" i="5" s="1"/>
  <c r="Q494" i="5" s="1"/>
  <c r="I736" i="11" s="1"/>
  <c r="K736" i="11" s="1"/>
  <c r="JI71" i="5"/>
  <c r="JJ71" i="5"/>
  <c r="JE23" i="5"/>
  <c r="JF23" i="5"/>
  <c r="JJ78" i="5"/>
  <c r="JI78" i="5"/>
  <c r="JI29" i="5"/>
  <c r="JJ29" i="5"/>
  <c r="JI82" i="5"/>
  <c r="JJ82" i="5"/>
  <c r="JM27" i="5"/>
  <c r="JN27" i="5"/>
  <c r="JI85" i="5"/>
  <c r="JJ85" i="5"/>
  <c r="JI18" i="5"/>
  <c r="JJ18" i="5"/>
  <c r="JM24" i="5"/>
  <c r="JN24" i="5"/>
  <c r="JI80" i="5"/>
  <c r="JJ80" i="5"/>
  <c r="JI77" i="5"/>
  <c r="JJ77" i="5"/>
  <c r="JM57" i="5"/>
  <c r="JN57" i="5"/>
  <c r="JI74" i="5"/>
  <c r="JJ74" i="5"/>
  <c r="JI32" i="5"/>
  <c r="JJ32" i="5"/>
  <c r="JI46" i="5"/>
  <c r="JJ46" i="5"/>
  <c r="JI20" i="5"/>
  <c r="JJ20" i="5"/>
  <c r="JI54" i="5"/>
  <c r="JJ54" i="5"/>
  <c r="JI75" i="5"/>
  <c r="JJ75" i="5"/>
  <c r="JI33" i="5"/>
  <c r="JJ33" i="5"/>
  <c r="JI70" i="5"/>
  <c r="JJ70" i="5"/>
  <c r="JM22" i="5"/>
  <c r="JN22" i="5"/>
  <c r="JI9" i="5"/>
  <c r="JJ9" i="5"/>
  <c r="JI21" i="5"/>
  <c r="JJ21" i="5"/>
  <c r="JM11" i="5"/>
  <c r="JN11" i="5"/>
  <c r="EF30" i="5"/>
  <c r="EE30" i="5"/>
  <c r="EG30" i="5" s="1"/>
  <c r="EH30" i="5" s="1"/>
  <c r="DW42" i="5"/>
  <c r="DX42" i="5"/>
  <c r="JN37" i="5"/>
  <c r="JM37" i="5"/>
  <c r="JO37" i="5" s="1"/>
  <c r="JP37" i="5" s="1"/>
  <c r="JF10" i="5"/>
  <c r="JE10" i="5"/>
  <c r="JJ87" i="5"/>
  <c r="JI87" i="5"/>
  <c r="JK87" i="5" s="1"/>
  <c r="JL87" i="5" s="1"/>
  <c r="JJ94" i="5"/>
  <c r="JI94" i="5"/>
  <c r="JK94" i="5" s="1"/>
  <c r="JL94" i="5" s="1"/>
  <c r="JB50" i="5"/>
  <c r="JA50" i="5"/>
  <c r="JC50" i="5" s="1"/>
  <c r="JD50" i="5" s="1"/>
  <c r="JE44" i="5"/>
  <c r="JF44" i="5"/>
  <c r="JJ88" i="5"/>
  <c r="JI88" i="5"/>
  <c r="JK88" i="5" s="1"/>
  <c r="JL88" i="5" s="1"/>
  <c r="JJ12" i="5"/>
  <c r="JI12" i="5"/>
  <c r="JK12" i="5" s="1"/>
  <c r="JL12" i="5" s="1"/>
  <c r="JJ45" i="5"/>
  <c r="JI45" i="5"/>
  <c r="JK45" i="5" s="1"/>
  <c r="JL45" i="5" s="1"/>
  <c r="JJ56" i="5"/>
  <c r="JI56" i="5"/>
  <c r="JK56" i="5" s="1"/>
  <c r="JL56" i="5" s="1"/>
  <c r="JF73" i="5"/>
  <c r="JE73" i="5"/>
  <c r="JG73" i="5" s="1"/>
  <c r="JH73" i="5" s="1"/>
  <c r="JJ47" i="5"/>
  <c r="JI47" i="5"/>
  <c r="JK47" i="5" s="1"/>
  <c r="JL47" i="5" s="1"/>
  <c r="JJ60" i="5"/>
  <c r="JI60" i="5"/>
  <c r="JK60" i="5" s="1"/>
  <c r="JL60" i="5" s="1"/>
  <c r="JJ81" i="5"/>
  <c r="JI81" i="5"/>
  <c r="JK81" i="5" s="1"/>
  <c r="JL81" i="5" s="1"/>
  <c r="JE86" i="5"/>
  <c r="JF86" i="5"/>
  <c r="JF42" i="5"/>
  <c r="JE42" i="5"/>
  <c r="JG42" i="5" s="1"/>
  <c r="JH42" i="5" s="1"/>
  <c r="JF14" i="5"/>
  <c r="JE14" i="5"/>
  <c r="JG14" i="5" s="1"/>
  <c r="JH14" i="5" s="1"/>
  <c r="JF93" i="5"/>
  <c r="JE93" i="5"/>
  <c r="JG93" i="5" s="1"/>
  <c r="JH93" i="5" s="1"/>
  <c r="JJ8" i="5"/>
  <c r="JI8" i="5"/>
  <c r="JK8" i="5" s="1"/>
  <c r="JL8" i="5" s="1"/>
  <c r="JN69" i="5"/>
  <c r="JM69" i="5"/>
  <c r="JO69" i="5" s="1"/>
  <c r="JP69" i="5" s="1"/>
  <c r="EA52" i="5"/>
  <c r="EB52" i="5"/>
  <c r="JB43" i="5"/>
  <c r="JA43" i="5"/>
  <c r="JC43" i="5" s="1"/>
  <c r="JD43" i="5" s="1"/>
  <c r="JJ28" i="5"/>
  <c r="JI28" i="5"/>
  <c r="JK28" i="5" s="1"/>
  <c r="JL28" i="5" s="1"/>
  <c r="JI41" i="5"/>
  <c r="JJ41" i="5"/>
  <c r="JE67" i="5"/>
  <c r="JF67" i="5"/>
  <c r="JF65" i="5"/>
  <c r="JE65" i="5"/>
  <c r="JG65" i="5" s="1"/>
  <c r="JH65" i="5" s="1"/>
  <c r="JF91" i="5"/>
  <c r="JE91" i="5"/>
  <c r="JG91" i="5" s="1"/>
  <c r="JH91" i="5" s="1"/>
  <c r="DW69" i="5"/>
  <c r="DX69" i="5"/>
  <c r="DW40" i="5"/>
  <c r="DX40" i="5"/>
  <c r="EA29" i="5"/>
  <c r="EB29" i="5"/>
  <c r="EM27" i="5"/>
  <c r="EN27" i="5"/>
  <c r="EI26" i="5"/>
  <c r="EJ26" i="5"/>
  <c r="EE59" i="5"/>
  <c r="EF59" i="5"/>
  <c r="EI86" i="5"/>
  <c r="EJ86" i="5"/>
  <c r="EU35" i="5"/>
  <c r="EV35" i="5"/>
  <c r="EE31" i="5"/>
  <c r="EF31" i="5"/>
  <c r="DW12" i="5"/>
  <c r="DX12" i="5"/>
  <c r="DK81" i="5"/>
  <c r="DL81" i="5"/>
  <c r="DK55" i="5"/>
  <c r="DL55" i="5"/>
  <c r="DK18" i="5"/>
  <c r="DL18" i="5"/>
  <c r="DG91" i="5"/>
  <c r="DH91" i="5"/>
  <c r="DG94" i="5"/>
  <c r="DH94" i="5"/>
  <c r="DG80" i="5"/>
  <c r="DH80" i="5"/>
  <c r="DG70" i="5"/>
  <c r="DH70" i="5"/>
  <c r="KA83" i="5"/>
  <c r="JK52" i="5"/>
  <c r="JL52" i="5" s="1"/>
  <c r="JK66" i="5"/>
  <c r="JL66" i="5" s="1"/>
  <c r="EC17" i="5"/>
  <c r="ED17" i="5" s="1"/>
  <c r="JG13" i="5"/>
  <c r="JH13" i="5" s="1"/>
  <c r="JG15" i="5"/>
  <c r="JH15" i="5" s="1"/>
  <c r="JG84" i="5"/>
  <c r="JH84" i="5" s="1"/>
  <c r="JK63" i="5"/>
  <c r="JL63" i="5" s="1"/>
  <c r="JK19" i="5"/>
  <c r="JL19" i="5" s="1"/>
  <c r="JK58" i="5"/>
  <c r="JL58" i="5" s="1"/>
  <c r="JG95" i="5"/>
  <c r="JH95" i="5" s="1"/>
  <c r="JG31" i="5"/>
  <c r="JH31" i="5" s="1"/>
  <c r="JG55" i="5"/>
  <c r="JH55" i="5" s="1"/>
  <c r="JG64" i="5"/>
  <c r="JH64" i="5" s="1"/>
  <c r="JG59" i="5"/>
  <c r="JH59" i="5" s="1"/>
  <c r="JG92" i="5"/>
  <c r="JH92" i="5" s="1"/>
  <c r="JK79" i="5"/>
  <c r="JL79" i="5" s="1"/>
  <c r="JG51" i="5"/>
  <c r="JH51" i="5" s="1"/>
  <c r="JG36" i="5"/>
  <c r="JH36" i="5" s="1"/>
  <c r="JG49" i="5"/>
  <c r="JH49" i="5" s="1"/>
  <c r="JC16" i="5"/>
  <c r="JD16" i="5" s="1"/>
  <c r="DY88" i="5"/>
  <c r="DZ88" i="5" s="1"/>
  <c r="DQ71" i="5"/>
  <c r="DR71" i="5" s="1"/>
  <c r="KA37" i="5"/>
  <c r="DY95" i="5"/>
  <c r="DZ95" i="5" s="1"/>
  <c r="JC38" i="5"/>
  <c r="JD38" i="5" s="1"/>
  <c r="JG53" i="5"/>
  <c r="JH53" i="5" s="1"/>
  <c r="EC28" i="5"/>
  <c r="ED28" i="5" s="1"/>
  <c r="JG26" i="5"/>
  <c r="JH26" i="5" s="1"/>
  <c r="DY11" i="5"/>
  <c r="DZ11" i="5" s="1"/>
  <c r="EK41" i="5"/>
  <c r="EL41" i="5" s="1"/>
  <c r="EC22" i="5"/>
  <c r="ED22" i="5" s="1"/>
  <c r="EG53" i="5"/>
  <c r="EH53" i="5" s="1"/>
  <c r="KA45" i="5"/>
  <c r="EK66" i="5"/>
  <c r="EL66" i="5" s="1"/>
  <c r="EG25" i="5"/>
  <c r="EH25" i="5" s="1"/>
  <c r="KA67" i="5"/>
  <c r="DM19" i="5"/>
  <c r="DN19" i="5" s="1"/>
  <c r="DI65" i="5"/>
  <c r="DJ65" i="5" s="1"/>
  <c r="DY74" i="5"/>
  <c r="DZ74" i="5" s="1"/>
  <c r="AM312" i="11"/>
  <c r="AH312" i="11"/>
  <c r="AI250" i="11" l="1"/>
  <c r="AJ250" i="11"/>
  <c r="AK250" i="11"/>
  <c r="AI249" i="11"/>
  <c r="AJ249" i="11"/>
  <c r="AK249" i="11"/>
  <c r="EQ85" i="5"/>
  <c r="ER85" i="5"/>
  <c r="EE72" i="5"/>
  <c r="EF72" i="5"/>
  <c r="ER50" i="5"/>
  <c r="EQ50" i="5"/>
  <c r="ES50" i="5" s="1"/>
  <c r="ET50" i="5" s="1"/>
  <c r="EV44" i="5"/>
  <c r="EU44" i="5"/>
  <c r="EW44" i="5" s="1"/>
  <c r="EX44" i="5" s="1"/>
  <c r="EF92" i="5"/>
  <c r="EE92" i="5"/>
  <c r="EG92" i="5" s="1"/>
  <c r="EH92" i="5" s="1"/>
  <c r="EN23" i="5"/>
  <c r="EM23" i="5"/>
  <c r="EO23" i="5" s="1"/>
  <c r="EP23" i="5" s="1"/>
  <c r="DT77" i="5"/>
  <c r="DS77" i="5"/>
  <c r="DU77" i="5" s="1"/>
  <c r="DV77" i="5" s="1"/>
  <c r="DW84" i="5"/>
  <c r="DY84" i="5" s="1"/>
  <c r="DZ84" i="5" s="1"/>
  <c r="DX84" i="5"/>
  <c r="EJ76" i="5"/>
  <c r="EI76" i="5"/>
  <c r="EK76" i="5" s="1"/>
  <c r="EL76" i="5" s="1"/>
  <c r="EA38" i="5"/>
  <c r="EB38" i="5"/>
  <c r="JS48" i="5"/>
  <c r="JT48" i="5" s="1"/>
  <c r="EG93" i="5"/>
  <c r="EH93" i="5" s="1"/>
  <c r="EG15" i="5"/>
  <c r="EH15" i="5" s="1"/>
  <c r="KA62" i="5"/>
  <c r="JK78" i="5"/>
  <c r="JL78" i="5" s="1"/>
  <c r="JO27" i="5"/>
  <c r="JP27" i="5" s="1"/>
  <c r="JO24" i="5"/>
  <c r="JP24" i="5" s="1"/>
  <c r="JK75" i="5"/>
  <c r="JL75" i="5" s="1"/>
  <c r="JK33" i="5"/>
  <c r="JL33" i="5" s="1"/>
  <c r="EC29" i="5"/>
  <c r="ED29" i="5" s="1"/>
  <c r="EG59" i="5"/>
  <c r="EH59" i="5" s="1"/>
  <c r="DI70" i="5"/>
  <c r="DJ70" i="5" s="1"/>
  <c r="JM25" i="5"/>
  <c r="JO25" i="5" s="1"/>
  <c r="JP25" i="5" s="1"/>
  <c r="JN25" i="5"/>
  <c r="DX8" i="5"/>
  <c r="DW8" i="5"/>
  <c r="DY8" i="5" s="1"/>
  <c r="DZ8" i="5" s="1"/>
  <c r="EB36" i="5"/>
  <c r="EA36" i="5"/>
  <c r="EC36" i="5" s="1"/>
  <c r="ED36" i="5" s="1"/>
  <c r="EB58" i="5"/>
  <c r="EA58" i="5"/>
  <c r="EC58" i="5" s="1"/>
  <c r="ED58" i="5" s="1"/>
  <c r="EZ43" i="5"/>
  <c r="EY43" i="5"/>
  <c r="KA43" i="5" s="1"/>
  <c r="JR62" i="5"/>
  <c r="JQ62" i="5"/>
  <c r="JS62" i="5" s="1"/>
  <c r="JT62" i="5" s="1"/>
  <c r="EF58" i="5"/>
  <c r="EE58" i="5"/>
  <c r="EG58" i="5" s="1"/>
  <c r="EH58" i="5" s="1"/>
  <c r="EA8" i="5"/>
  <c r="EB8" i="5"/>
  <c r="EJ20" i="5"/>
  <c r="EI20" i="5"/>
  <c r="EK20" i="5" s="1"/>
  <c r="EL20" i="5" s="1"/>
  <c r="DX54" i="5"/>
  <c r="DW54" i="5"/>
  <c r="EN9" i="5"/>
  <c r="EM9" i="5"/>
  <c r="EO9" i="5" s="1"/>
  <c r="EP9" i="5" s="1"/>
  <c r="EV24" i="5"/>
  <c r="EU24" i="5"/>
  <c r="EW24" i="5" s="1"/>
  <c r="EX24" i="5" s="1"/>
  <c r="EJ64" i="5"/>
  <c r="EI64" i="5"/>
  <c r="EK64" i="5" s="1"/>
  <c r="EL64" i="5" s="1"/>
  <c r="IX89" i="5"/>
  <c r="IW89" i="5"/>
  <c r="IY89" i="5" s="1"/>
  <c r="IZ89" i="5" s="1"/>
  <c r="JJ40" i="5"/>
  <c r="JI40" i="5"/>
  <c r="JK40" i="5" s="1"/>
  <c r="JL40" i="5" s="1"/>
  <c r="EY49" i="5"/>
  <c r="EZ49" i="5"/>
  <c r="EJ13" i="5"/>
  <c r="EI13" i="5"/>
  <c r="EK13" i="5" s="1"/>
  <c r="EL13" i="5" s="1"/>
  <c r="EF14" i="5"/>
  <c r="EE14" i="5"/>
  <c r="EG14" i="5" s="1"/>
  <c r="EH14" i="5" s="1"/>
  <c r="DS73" i="5"/>
  <c r="DT73" i="5"/>
  <c r="EF79" i="5"/>
  <c r="EE79" i="5"/>
  <c r="EG79" i="5" s="1"/>
  <c r="EH79" i="5" s="1"/>
  <c r="EJ30" i="5"/>
  <c r="EI30" i="5"/>
  <c r="JR37" i="5"/>
  <c r="JQ37" i="5"/>
  <c r="JM87" i="5"/>
  <c r="JN87" i="5"/>
  <c r="JM94" i="5"/>
  <c r="JN94" i="5"/>
  <c r="JE50" i="5"/>
  <c r="JF50" i="5"/>
  <c r="JM88" i="5"/>
  <c r="JN88" i="5"/>
  <c r="JM12" i="5"/>
  <c r="JN12" i="5"/>
  <c r="JM45" i="5"/>
  <c r="JN45" i="5"/>
  <c r="JM56" i="5"/>
  <c r="JN56" i="5"/>
  <c r="JJ73" i="5"/>
  <c r="JI73" i="5"/>
  <c r="JK73" i="5" s="1"/>
  <c r="JL73" i="5" s="1"/>
  <c r="JM47" i="5"/>
  <c r="JN47" i="5"/>
  <c r="JM60" i="5"/>
  <c r="JN60" i="5"/>
  <c r="JM81" i="5"/>
  <c r="JN81" i="5"/>
  <c r="JI42" i="5"/>
  <c r="JJ42" i="5"/>
  <c r="JJ14" i="5"/>
  <c r="JI14" i="5"/>
  <c r="JK14" i="5" s="1"/>
  <c r="JL14" i="5" s="1"/>
  <c r="JI93" i="5"/>
  <c r="JJ93" i="5"/>
  <c r="JM8" i="5"/>
  <c r="JN8" i="5"/>
  <c r="JR69" i="5"/>
  <c r="JQ69" i="5"/>
  <c r="JS69" i="5" s="1"/>
  <c r="JT69" i="5" s="1"/>
  <c r="JE43" i="5"/>
  <c r="JF43" i="5"/>
  <c r="JM28" i="5"/>
  <c r="JN28" i="5"/>
  <c r="JI65" i="5"/>
  <c r="JJ65" i="5"/>
  <c r="JI91" i="5"/>
  <c r="JJ91" i="5"/>
  <c r="R320" i="5"/>
  <c r="O320" i="5" s="1"/>
  <c r="R318" i="5"/>
  <c r="O318" i="5" s="1"/>
  <c r="R316" i="5"/>
  <c r="O316" i="5" s="1"/>
  <c r="R317" i="5"/>
  <c r="O317" i="5" s="1"/>
  <c r="R312" i="5"/>
  <c r="O312" i="5" s="1"/>
  <c r="R309" i="5"/>
  <c r="O309" i="5" s="1"/>
  <c r="R307" i="5"/>
  <c r="O307" i="5" s="1"/>
  <c r="R306" i="5"/>
  <c r="O306" i="5" s="1"/>
  <c r="R305" i="5"/>
  <c r="O305" i="5" s="1"/>
  <c r="R329" i="5"/>
  <c r="O329" i="5" s="1"/>
  <c r="R328" i="5"/>
  <c r="O328" i="5" s="1"/>
  <c r="R327" i="5"/>
  <c r="O327" i="5" s="1"/>
  <c r="R325" i="5"/>
  <c r="O325" i="5" s="1"/>
  <c r="R324" i="5"/>
  <c r="O324" i="5" s="1"/>
  <c r="R323" i="5"/>
  <c r="O323" i="5" s="1"/>
  <c r="R322" i="5"/>
  <c r="O322" i="5" s="1"/>
  <c r="R319" i="5"/>
  <c r="O319" i="5" s="1"/>
  <c r="R314" i="5"/>
  <c r="O314" i="5" s="1"/>
  <c r="R313" i="5"/>
  <c r="O313" i="5" s="1"/>
  <c r="R311" i="5"/>
  <c r="O311" i="5" s="1"/>
  <c r="R310" i="5"/>
  <c r="O310" i="5" s="1"/>
  <c r="R308" i="5"/>
  <c r="O308" i="5" s="1"/>
  <c r="R304" i="5"/>
  <c r="O304" i="5" s="1"/>
  <c r="R303" i="5"/>
  <c r="O303" i="5" s="1"/>
  <c r="R302" i="5"/>
  <c r="O302" i="5" s="1"/>
  <c r="R326" i="5"/>
  <c r="O326" i="5" s="1"/>
  <c r="R321" i="5"/>
  <c r="O321" i="5" s="1"/>
  <c r="R315" i="5"/>
  <c r="O315" i="5" s="1"/>
  <c r="JN52" i="5"/>
  <c r="JM52" i="5"/>
  <c r="JO52" i="5" s="1"/>
  <c r="JP52" i="5" s="1"/>
  <c r="JN66" i="5"/>
  <c r="JM66" i="5"/>
  <c r="JO66" i="5" s="1"/>
  <c r="JP66" i="5" s="1"/>
  <c r="EE17" i="5"/>
  <c r="EF17" i="5"/>
  <c r="JN35" i="5"/>
  <c r="JM35" i="5"/>
  <c r="JO35" i="5" s="1"/>
  <c r="JP35" i="5" s="1"/>
  <c r="JJ13" i="5"/>
  <c r="JI13" i="5"/>
  <c r="JK13" i="5" s="1"/>
  <c r="JL13" i="5" s="1"/>
  <c r="JJ15" i="5"/>
  <c r="JI15" i="5"/>
  <c r="JK15" i="5" s="1"/>
  <c r="JL15" i="5" s="1"/>
  <c r="JJ84" i="5"/>
  <c r="JI84" i="5"/>
  <c r="JK84" i="5" s="1"/>
  <c r="JL84" i="5" s="1"/>
  <c r="JN63" i="5"/>
  <c r="JM63" i="5"/>
  <c r="JO63" i="5" s="1"/>
  <c r="JP63" i="5" s="1"/>
  <c r="JN19" i="5"/>
  <c r="JM19" i="5"/>
  <c r="JO19" i="5" s="1"/>
  <c r="JP19" i="5" s="1"/>
  <c r="JN58" i="5"/>
  <c r="JM58" i="5"/>
  <c r="JO58" i="5" s="1"/>
  <c r="JP58" i="5" s="1"/>
  <c r="JJ95" i="5"/>
  <c r="JI95" i="5"/>
  <c r="JK95" i="5" s="1"/>
  <c r="JL95" i="5" s="1"/>
  <c r="JJ31" i="5"/>
  <c r="JI31" i="5"/>
  <c r="JK31" i="5" s="1"/>
  <c r="JL31" i="5" s="1"/>
  <c r="JJ55" i="5"/>
  <c r="JI55" i="5"/>
  <c r="JK55" i="5" s="1"/>
  <c r="JL55" i="5" s="1"/>
  <c r="JJ64" i="5"/>
  <c r="JI64" i="5"/>
  <c r="JK64" i="5" s="1"/>
  <c r="JL64" i="5" s="1"/>
  <c r="JJ59" i="5"/>
  <c r="JI59" i="5"/>
  <c r="JK59" i="5" s="1"/>
  <c r="JL59" i="5" s="1"/>
  <c r="JI92" i="5"/>
  <c r="JJ92" i="5"/>
  <c r="JN79" i="5"/>
  <c r="JM79" i="5"/>
  <c r="JO79" i="5" s="1"/>
  <c r="JP79" i="5" s="1"/>
  <c r="JJ51" i="5"/>
  <c r="JI51" i="5"/>
  <c r="JK51" i="5" s="1"/>
  <c r="JL51" i="5" s="1"/>
  <c r="JJ36" i="5"/>
  <c r="JI36" i="5"/>
  <c r="JK36" i="5" s="1"/>
  <c r="JL36" i="5" s="1"/>
  <c r="JJ49" i="5"/>
  <c r="JI49" i="5"/>
  <c r="JK49" i="5" s="1"/>
  <c r="JL49" i="5" s="1"/>
  <c r="JF16" i="5"/>
  <c r="JE16" i="5"/>
  <c r="JG16" i="5" s="1"/>
  <c r="JH16" i="5" s="1"/>
  <c r="EA88" i="5"/>
  <c r="EB88" i="5"/>
  <c r="DS71" i="5"/>
  <c r="DT71" i="5"/>
  <c r="R165" i="5"/>
  <c r="O165" i="5" s="1"/>
  <c r="R164" i="5"/>
  <c r="O164" i="5" s="1"/>
  <c r="EA95" i="5"/>
  <c r="EB95" i="5"/>
  <c r="JE38" i="5"/>
  <c r="JF38" i="5"/>
  <c r="JJ53" i="5"/>
  <c r="JI53" i="5"/>
  <c r="JK53" i="5" s="1"/>
  <c r="JL53" i="5" s="1"/>
  <c r="EE28" i="5"/>
  <c r="EF28" i="5"/>
  <c r="JJ26" i="5"/>
  <c r="JI26" i="5"/>
  <c r="JK26" i="5" s="1"/>
  <c r="JL26" i="5" s="1"/>
  <c r="EA11" i="5"/>
  <c r="EB11" i="5"/>
  <c r="EN41" i="5"/>
  <c r="EM41" i="5"/>
  <c r="EE22" i="5"/>
  <c r="EF22" i="5"/>
  <c r="EI53" i="5"/>
  <c r="EJ53" i="5"/>
  <c r="R181" i="5"/>
  <c r="O181" i="5" s="1"/>
  <c r="R180" i="5"/>
  <c r="O180" i="5" s="1"/>
  <c r="EM66" i="5"/>
  <c r="EN66" i="5"/>
  <c r="EI25" i="5"/>
  <c r="EJ25" i="5"/>
  <c r="R225" i="5"/>
  <c r="O225" i="5" s="1"/>
  <c r="R224" i="5"/>
  <c r="O224" i="5" s="1"/>
  <c r="DO19" i="5"/>
  <c r="DP19" i="5"/>
  <c r="DK65" i="5"/>
  <c r="DL65" i="5"/>
  <c r="EA74" i="5"/>
  <c r="EB74" i="5"/>
  <c r="AK312" i="11"/>
  <c r="AJ312" i="11"/>
  <c r="AI312" i="11"/>
  <c r="W311" i="11"/>
  <c r="JG17" i="5"/>
  <c r="JH17" i="5" s="1"/>
  <c r="JO30" i="5"/>
  <c r="JP30" i="5" s="1"/>
  <c r="JS83" i="5"/>
  <c r="JT83" i="5" s="1"/>
  <c r="JK72" i="5"/>
  <c r="JL72" i="5" s="1"/>
  <c r="DY42" i="5"/>
  <c r="DZ42" i="5" s="1"/>
  <c r="DY40" i="5"/>
  <c r="DZ40" i="5" s="1"/>
  <c r="JO39" i="5"/>
  <c r="JP39" i="5" s="1"/>
  <c r="JK29" i="5"/>
  <c r="JL29" i="5" s="1"/>
  <c r="JK82" i="5"/>
  <c r="JL82" i="5" s="1"/>
  <c r="JK85" i="5"/>
  <c r="JL85" i="5" s="1"/>
  <c r="JK18" i="5"/>
  <c r="JL18" i="5" s="1"/>
  <c r="JG44" i="5"/>
  <c r="JH44" i="5" s="1"/>
  <c r="EC52" i="5"/>
  <c r="ED52" i="5" s="1"/>
  <c r="JK71" i="5"/>
  <c r="JL71" i="5" s="1"/>
  <c r="JG23" i="5"/>
  <c r="JH23" i="5" s="1"/>
  <c r="JK80" i="5"/>
  <c r="JL80" i="5" s="1"/>
  <c r="JK77" i="5"/>
  <c r="JL77" i="5" s="1"/>
  <c r="JO57" i="5"/>
  <c r="JP57" i="5" s="1"/>
  <c r="JK74" i="5"/>
  <c r="JL74" i="5" s="1"/>
  <c r="JK32" i="5"/>
  <c r="JL32" i="5" s="1"/>
  <c r="JK46" i="5"/>
  <c r="JL46" i="5" s="1"/>
  <c r="JK20" i="5"/>
  <c r="JL20" i="5" s="1"/>
  <c r="JK54" i="5"/>
  <c r="JL54" i="5" s="1"/>
  <c r="DY69" i="5"/>
  <c r="DZ69" i="5" s="1"/>
  <c r="EO27" i="5"/>
  <c r="EP27" i="5" s="1"/>
  <c r="EK26" i="5"/>
  <c r="EL26" i="5" s="1"/>
  <c r="JK70" i="5"/>
  <c r="JL70" i="5" s="1"/>
  <c r="JO22" i="5"/>
  <c r="JP22" i="5" s="1"/>
  <c r="JK9" i="5"/>
  <c r="JL9" i="5" s="1"/>
  <c r="JK21" i="5"/>
  <c r="JL21" i="5" s="1"/>
  <c r="JO11" i="5"/>
  <c r="JP11" i="5" s="1"/>
  <c r="JG10" i="5"/>
  <c r="JH10" i="5" s="1"/>
  <c r="JG86" i="5"/>
  <c r="JH86" i="5" s="1"/>
  <c r="JK41" i="5"/>
  <c r="JL41" i="5" s="1"/>
  <c r="JG67" i="5"/>
  <c r="JH67" i="5" s="1"/>
  <c r="EK86" i="5"/>
  <c r="EL86" i="5" s="1"/>
  <c r="EW35" i="5"/>
  <c r="EX35" i="5" s="1"/>
  <c r="EG31" i="5"/>
  <c r="EH31" i="5" s="1"/>
  <c r="DY12" i="5"/>
  <c r="DZ12" i="5" s="1"/>
  <c r="DM81" i="5"/>
  <c r="DN81" i="5" s="1"/>
  <c r="DM55" i="5"/>
  <c r="DN55" i="5" s="1"/>
  <c r="DM18" i="5"/>
  <c r="DN18" i="5" s="1"/>
  <c r="DI91" i="5"/>
  <c r="DJ91" i="5" s="1"/>
  <c r="DI94" i="5"/>
  <c r="DJ94" i="5" s="1"/>
  <c r="DI80" i="5"/>
  <c r="DJ80" i="5" s="1"/>
  <c r="JS68" i="5"/>
  <c r="JT68" i="5" s="1"/>
  <c r="EU50" i="5" l="1"/>
  <c r="EV50" i="5"/>
  <c r="EY44" i="5"/>
  <c r="EZ44" i="5"/>
  <c r="EJ92" i="5"/>
  <c r="EI92" i="5"/>
  <c r="EK92" i="5" s="1"/>
  <c r="EL92" i="5" s="1"/>
  <c r="EQ23" i="5"/>
  <c r="ER23" i="5"/>
  <c r="DW77" i="5"/>
  <c r="DX77" i="5"/>
  <c r="EB84" i="5"/>
  <c r="EA84" i="5"/>
  <c r="EC84" i="5" s="1"/>
  <c r="ED84" i="5" s="1"/>
  <c r="EM76" i="5"/>
  <c r="EN76" i="5"/>
  <c r="JV48" i="5"/>
  <c r="JU48" i="5"/>
  <c r="JW48" i="5" s="1"/>
  <c r="JX48" i="5" s="1"/>
  <c r="EJ93" i="5"/>
  <c r="EI93" i="5"/>
  <c r="EK93" i="5" s="1"/>
  <c r="EL93" i="5" s="1"/>
  <c r="EJ15" i="5"/>
  <c r="EI15" i="5"/>
  <c r="EK15" i="5" s="1"/>
  <c r="EL15" i="5" s="1"/>
  <c r="R214" i="5"/>
  <c r="O214" i="5" s="1"/>
  <c r="R215" i="5"/>
  <c r="O215" i="5" s="1"/>
  <c r="ES85" i="5"/>
  <c r="ET85" i="5" s="1"/>
  <c r="EG72" i="5"/>
  <c r="EH72" i="5" s="1"/>
  <c r="EC38" i="5"/>
  <c r="ED38" i="5" s="1"/>
  <c r="DY54" i="5"/>
  <c r="DZ54" i="5" s="1"/>
  <c r="JS37" i="5"/>
  <c r="JT37" i="5" s="1"/>
  <c r="DU71" i="5"/>
  <c r="DV71" i="5" s="1"/>
  <c r="JM78" i="5"/>
  <c r="JO78" i="5" s="1"/>
  <c r="JP78" i="5" s="1"/>
  <c r="JN78" i="5"/>
  <c r="JQ27" i="5"/>
  <c r="JR27" i="5"/>
  <c r="JQ24" i="5"/>
  <c r="JR24" i="5"/>
  <c r="JM75" i="5"/>
  <c r="JN75" i="5"/>
  <c r="JM33" i="5"/>
  <c r="JN33" i="5"/>
  <c r="EE29" i="5"/>
  <c r="EF29" i="5"/>
  <c r="EJ59" i="5"/>
  <c r="EI59" i="5"/>
  <c r="EK59" i="5" s="1"/>
  <c r="EL59" i="5" s="1"/>
  <c r="DL70" i="5"/>
  <c r="DK70" i="5"/>
  <c r="DM70" i="5" s="1"/>
  <c r="DN70" i="5" s="1"/>
  <c r="EF36" i="5"/>
  <c r="EE36" i="5"/>
  <c r="EG36" i="5" s="1"/>
  <c r="EH36" i="5" s="1"/>
  <c r="R177" i="5"/>
  <c r="O177" i="5" s="1"/>
  <c r="R176" i="5"/>
  <c r="O176" i="5" s="1"/>
  <c r="JV62" i="5"/>
  <c r="JU62" i="5"/>
  <c r="JW62" i="5" s="1"/>
  <c r="JX62" i="5" s="1"/>
  <c r="EJ58" i="5"/>
  <c r="EI58" i="5"/>
  <c r="EK58" i="5" s="1"/>
  <c r="EL58" i="5" s="1"/>
  <c r="EN20" i="5"/>
  <c r="EM20" i="5"/>
  <c r="EO20" i="5" s="1"/>
  <c r="EP20" i="5" s="1"/>
  <c r="ER9" i="5"/>
  <c r="EQ9" i="5"/>
  <c r="ES9" i="5" s="1"/>
  <c r="ET9" i="5" s="1"/>
  <c r="EZ24" i="5"/>
  <c r="EY24" i="5"/>
  <c r="KA24" i="5" s="1"/>
  <c r="EN64" i="5"/>
  <c r="EM64" i="5"/>
  <c r="JB89" i="5"/>
  <c r="JA89" i="5"/>
  <c r="JC89" i="5" s="1"/>
  <c r="JD89" i="5" s="1"/>
  <c r="JM40" i="5"/>
  <c r="JN40" i="5"/>
  <c r="EN13" i="5"/>
  <c r="EM13" i="5"/>
  <c r="EO13" i="5" s="1"/>
  <c r="EP13" i="5" s="1"/>
  <c r="EJ14" i="5"/>
  <c r="EI14" i="5"/>
  <c r="EK14" i="5" s="1"/>
  <c r="EL14" i="5" s="1"/>
  <c r="EJ79" i="5"/>
  <c r="EI79" i="5"/>
  <c r="EK79" i="5" s="1"/>
  <c r="EL79" i="5" s="1"/>
  <c r="JM73" i="5"/>
  <c r="JN73" i="5"/>
  <c r="JM14" i="5"/>
  <c r="JN14" i="5"/>
  <c r="JV69" i="5"/>
  <c r="JU69" i="5"/>
  <c r="JW69" i="5" s="1"/>
  <c r="JX69" i="5" s="1"/>
  <c r="EN59" i="5"/>
  <c r="EM59" i="5"/>
  <c r="EO59" i="5" s="1"/>
  <c r="EP59" i="5" s="1"/>
  <c r="DP70" i="5"/>
  <c r="DO70" i="5"/>
  <c r="DQ70" i="5" s="1"/>
  <c r="DR70" i="5" s="1"/>
  <c r="JQ52" i="5"/>
  <c r="JR52" i="5"/>
  <c r="JQ66" i="5"/>
  <c r="JR66" i="5"/>
  <c r="JR35" i="5"/>
  <c r="JQ35" i="5"/>
  <c r="JS35" i="5" s="1"/>
  <c r="JT35" i="5" s="1"/>
  <c r="JM13" i="5"/>
  <c r="JN13" i="5"/>
  <c r="JM15" i="5"/>
  <c r="JN15" i="5"/>
  <c r="JN84" i="5"/>
  <c r="JM84" i="5"/>
  <c r="JQ63" i="5"/>
  <c r="JR63" i="5"/>
  <c r="JQ19" i="5"/>
  <c r="JR19" i="5"/>
  <c r="JQ58" i="5"/>
  <c r="JR58" i="5"/>
  <c r="JM95" i="5"/>
  <c r="JN95" i="5"/>
  <c r="JM31" i="5"/>
  <c r="JN31" i="5"/>
  <c r="JM55" i="5"/>
  <c r="JN55" i="5"/>
  <c r="JM64" i="5"/>
  <c r="JN64" i="5"/>
  <c r="JM59" i="5"/>
  <c r="JN59" i="5"/>
  <c r="JQ79" i="5"/>
  <c r="JR79" i="5"/>
  <c r="JM51" i="5"/>
  <c r="JN51" i="5"/>
  <c r="JM36" i="5"/>
  <c r="JN36" i="5"/>
  <c r="JM49" i="5"/>
  <c r="JN49" i="5"/>
  <c r="JJ16" i="5"/>
  <c r="JI16" i="5"/>
  <c r="JK16" i="5" s="1"/>
  <c r="JL16" i="5" s="1"/>
  <c r="JM53" i="5"/>
  <c r="JN53" i="5"/>
  <c r="JM26" i="5"/>
  <c r="JN26" i="5"/>
  <c r="AH311" i="11"/>
  <c r="AM311" i="11"/>
  <c r="JJ17" i="5"/>
  <c r="JI17" i="5"/>
  <c r="JK17" i="5" s="1"/>
  <c r="JL17" i="5" s="1"/>
  <c r="JQ30" i="5"/>
  <c r="JR30" i="5"/>
  <c r="JV83" i="5"/>
  <c r="JU83" i="5"/>
  <c r="JW83" i="5" s="1"/>
  <c r="JX83" i="5" s="1"/>
  <c r="JN72" i="5"/>
  <c r="JM72" i="5"/>
  <c r="JO72" i="5" s="1"/>
  <c r="JP72" i="5" s="1"/>
  <c r="EA42" i="5"/>
  <c r="EB42" i="5"/>
  <c r="EA40" i="5"/>
  <c r="EB40" i="5"/>
  <c r="JR39" i="5"/>
  <c r="JQ39" i="5"/>
  <c r="JS39" i="5" s="1"/>
  <c r="JT39" i="5" s="1"/>
  <c r="JN29" i="5"/>
  <c r="JM29" i="5"/>
  <c r="JO29" i="5" s="1"/>
  <c r="JP29" i="5" s="1"/>
  <c r="JN82" i="5"/>
  <c r="JM82" i="5"/>
  <c r="JO82" i="5" s="1"/>
  <c r="JP82" i="5" s="1"/>
  <c r="JN85" i="5"/>
  <c r="JM85" i="5"/>
  <c r="JO85" i="5" s="1"/>
  <c r="JP85" i="5" s="1"/>
  <c r="JN18" i="5"/>
  <c r="JM18" i="5"/>
  <c r="JO18" i="5" s="1"/>
  <c r="JP18" i="5" s="1"/>
  <c r="JJ44" i="5"/>
  <c r="JI44" i="5"/>
  <c r="JK44" i="5" s="1"/>
  <c r="JL44" i="5" s="1"/>
  <c r="EE52" i="5"/>
  <c r="EF52" i="5"/>
  <c r="JN71" i="5"/>
  <c r="JM71" i="5"/>
  <c r="JO71" i="5" s="1"/>
  <c r="JP71" i="5" s="1"/>
  <c r="JI23" i="5"/>
  <c r="JJ23" i="5"/>
  <c r="JN80" i="5"/>
  <c r="JM80" i="5"/>
  <c r="JO80" i="5" s="1"/>
  <c r="JP80" i="5" s="1"/>
  <c r="JN77" i="5"/>
  <c r="JM77" i="5"/>
  <c r="JO77" i="5" s="1"/>
  <c r="JP77" i="5" s="1"/>
  <c r="JR57" i="5"/>
  <c r="JQ57" i="5"/>
  <c r="JS57" i="5" s="1"/>
  <c r="JT57" i="5" s="1"/>
  <c r="JN74" i="5"/>
  <c r="JM74" i="5"/>
  <c r="JO74" i="5" s="1"/>
  <c r="JP74" i="5" s="1"/>
  <c r="JR25" i="5"/>
  <c r="JQ25" i="5"/>
  <c r="JS25" i="5" s="1"/>
  <c r="JT25" i="5" s="1"/>
  <c r="JN32" i="5"/>
  <c r="JM32" i="5"/>
  <c r="JO32" i="5" s="1"/>
  <c r="JP32" i="5" s="1"/>
  <c r="JN46" i="5"/>
  <c r="JM46" i="5"/>
  <c r="JO46" i="5" s="1"/>
  <c r="JP46" i="5" s="1"/>
  <c r="JN20" i="5"/>
  <c r="JM20" i="5"/>
  <c r="JO20" i="5" s="1"/>
  <c r="JP20" i="5" s="1"/>
  <c r="JN54" i="5"/>
  <c r="JM54" i="5"/>
  <c r="JO54" i="5" s="1"/>
  <c r="JP54" i="5" s="1"/>
  <c r="EB69" i="5"/>
  <c r="EA69" i="5"/>
  <c r="EC69" i="5" s="1"/>
  <c r="ED69" i="5" s="1"/>
  <c r="EQ27" i="5"/>
  <c r="ER27" i="5"/>
  <c r="EM26" i="5"/>
  <c r="EN26" i="5"/>
  <c r="JN70" i="5"/>
  <c r="JM70" i="5"/>
  <c r="JR22" i="5"/>
  <c r="JQ22" i="5"/>
  <c r="JS22" i="5" s="1"/>
  <c r="JT22" i="5" s="1"/>
  <c r="JN9" i="5"/>
  <c r="JM9" i="5"/>
  <c r="JO9" i="5" s="1"/>
  <c r="JP9" i="5" s="1"/>
  <c r="JN21" i="5"/>
  <c r="JM21" i="5"/>
  <c r="JO21" i="5" s="1"/>
  <c r="JP21" i="5" s="1"/>
  <c r="JR11" i="5"/>
  <c r="JQ11" i="5"/>
  <c r="JS11" i="5" s="1"/>
  <c r="JT11" i="5" s="1"/>
  <c r="JI10" i="5"/>
  <c r="JJ10" i="5"/>
  <c r="JJ86" i="5"/>
  <c r="JI86" i="5"/>
  <c r="JN41" i="5"/>
  <c r="JM41" i="5"/>
  <c r="JO41" i="5" s="1"/>
  <c r="JP41" i="5" s="1"/>
  <c r="JJ67" i="5"/>
  <c r="JI67" i="5"/>
  <c r="JK67" i="5" s="1"/>
  <c r="JL67" i="5" s="1"/>
  <c r="EM86" i="5"/>
  <c r="EN86" i="5"/>
  <c r="EZ35" i="5"/>
  <c r="EY35" i="5"/>
  <c r="KA35" i="5" s="1"/>
  <c r="EI31" i="5"/>
  <c r="EJ31" i="5"/>
  <c r="EA12" i="5"/>
  <c r="EB12" i="5"/>
  <c r="DO81" i="5"/>
  <c r="DP81" i="5"/>
  <c r="DO55" i="5"/>
  <c r="DP55" i="5"/>
  <c r="DO18" i="5"/>
  <c r="DP18" i="5"/>
  <c r="DK91" i="5"/>
  <c r="DL91" i="5"/>
  <c r="DK94" i="5"/>
  <c r="DL94" i="5"/>
  <c r="DK80" i="5"/>
  <c r="DL80" i="5"/>
  <c r="JV68" i="5"/>
  <c r="JU68" i="5"/>
  <c r="JW68" i="5" s="1"/>
  <c r="JX68" i="5" s="1"/>
  <c r="EC8" i="5"/>
  <c r="ED8" i="5" s="1"/>
  <c r="KA49" i="5"/>
  <c r="JS27" i="5"/>
  <c r="JT27" i="5" s="1"/>
  <c r="JS24" i="5"/>
  <c r="JT24" i="5" s="1"/>
  <c r="JO75" i="5"/>
  <c r="JP75" i="5" s="1"/>
  <c r="JO33" i="5"/>
  <c r="JP33" i="5" s="1"/>
  <c r="JK93" i="5"/>
  <c r="JL93" i="5" s="1"/>
  <c r="JO8" i="5"/>
  <c r="JP8" i="5" s="1"/>
  <c r="EK30" i="5"/>
  <c r="EL30" i="5" s="1"/>
  <c r="JO87" i="5"/>
  <c r="JP87" i="5" s="1"/>
  <c r="JO94" i="5"/>
  <c r="JP94" i="5" s="1"/>
  <c r="JG50" i="5"/>
  <c r="JH50" i="5" s="1"/>
  <c r="JO88" i="5"/>
  <c r="JP88" i="5" s="1"/>
  <c r="JO12" i="5"/>
  <c r="JP12" i="5" s="1"/>
  <c r="JO45" i="5"/>
  <c r="JP45" i="5" s="1"/>
  <c r="JO56" i="5"/>
  <c r="JP56" i="5" s="1"/>
  <c r="JO47" i="5"/>
  <c r="JP47" i="5" s="1"/>
  <c r="JO60" i="5"/>
  <c r="JP60" i="5" s="1"/>
  <c r="JO81" i="5"/>
  <c r="JP81" i="5" s="1"/>
  <c r="JK42" i="5"/>
  <c r="JL42" i="5" s="1"/>
  <c r="JG43" i="5"/>
  <c r="JH43" i="5" s="1"/>
  <c r="JO28" i="5"/>
  <c r="JP28" i="5" s="1"/>
  <c r="JK65" i="5"/>
  <c r="JL65" i="5" s="1"/>
  <c r="JK91" i="5"/>
  <c r="JL91" i="5" s="1"/>
  <c r="EG29" i="5"/>
  <c r="EH29" i="5" s="1"/>
  <c r="EC88" i="5"/>
  <c r="ED88" i="5" s="1"/>
  <c r="DU73" i="5"/>
  <c r="DV73" i="5" s="1"/>
  <c r="EG17" i="5"/>
  <c r="EH17" i="5" s="1"/>
  <c r="JK92" i="5"/>
  <c r="JL92" i="5" s="1"/>
  <c r="EC95" i="5"/>
  <c r="ED95" i="5" s="1"/>
  <c r="JG38" i="5"/>
  <c r="JH38" i="5" s="1"/>
  <c r="EG28" i="5"/>
  <c r="EH28" i="5" s="1"/>
  <c r="EC11" i="5"/>
  <c r="ED11" i="5" s="1"/>
  <c r="EO41" i="5"/>
  <c r="EP41" i="5" s="1"/>
  <c r="EG22" i="5"/>
  <c r="EH22" i="5" s="1"/>
  <c r="EK53" i="5"/>
  <c r="EL53" i="5" s="1"/>
  <c r="EO66" i="5"/>
  <c r="EP66" i="5" s="1"/>
  <c r="EK25" i="5"/>
  <c r="EL25" i="5" s="1"/>
  <c r="DQ19" i="5"/>
  <c r="DR19" i="5" s="1"/>
  <c r="DM65" i="5"/>
  <c r="DN65" i="5" s="1"/>
  <c r="EC74" i="5"/>
  <c r="ED74" i="5" s="1"/>
  <c r="EN92" i="5" l="1"/>
  <c r="EM92" i="5"/>
  <c r="EO92" i="5" s="1"/>
  <c r="EP92" i="5" s="1"/>
  <c r="EF84" i="5"/>
  <c r="EE84" i="5"/>
  <c r="EG84" i="5" s="1"/>
  <c r="EH84" i="5" s="1"/>
  <c r="JY48" i="5"/>
  <c r="JZ48" i="5"/>
  <c r="EM93" i="5"/>
  <c r="EN93" i="5"/>
  <c r="EM15" i="5"/>
  <c r="EN15" i="5"/>
  <c r="EU85" i="5"/>
  <c r="EV85" i="5"/>
  <c r="EI72" i="5"/>
  <c r="EJ72" i="5"/>
  <c r="EE38" i="5"/>
  <c r="EF38" i="5"/>
  <c r="EW50" i="5"/>
  <c r="EX50" i="5" s="1"/>
  <c r="KA44" i="5"/>
  <c r="ES23" i="5"/>
  <c r="ET23" i="5" s="1"/>
  <c r="DY77" i="5"/>
  <c r="DZ77" i="5" s="1"/>
  <c r="EO76" i="5"/>
  <c r="EP76" i="5" s="1"/>
  <c r="EO64" i="5"/>
  <c r="EP64" i="5" s="1"/>
  <c r="JO84" i="5"/>
  <c r="JP84" i="5" s="1"/>
  <c r="JS63" i="5"/>
  <c r="JT63" i="5" s="1"/>
  <c r="JO59" i="5"/>
  <c r="JP59" i="5" s="1"/>
  <c r="EC42" i="5"/>
  <c r="ED42" i="5" s="1"/>
  <c r="JO70" i="5"/>
  <c r="JP70" i="5" s="1"/>
  <c r="EC12" i="5"/>
  <c r="ED12" i="5" s="1"/>
  <c r="EB54" i="5"/>
  <c r="EA54" i="5"/>
  <c r="JV37" i="5"/>
  <c r="JU37" i="5"/>
  <c r="JW37" i="5" s="1"/>
  <c r="JX37" i="5" s="1"/>
  <c r="DX71" i="5"/>
  <c r="DW71" i="5"/>
  <c r="DY71" i="5" s="1"/>
  <c r="DZ71" i="5" s="1"/>
  <c r="EJ36" i="5"/>
  <c r="EI36" i="5"/>
  <c r="EK36" i="5" s="1"/>
  <c r="EL36" i="5" s="1"/>
  <c r="JZ62" i="5"/>
  <c r="JY62" i="5"/>
  <c r="KB62" i="5" s="1"/>
  <c r="EN58" i="5"/>
  <c r="EM58" i="5"/>
  <c r="EO58" i="5" s="1"/>
  <c r="EP58" i="5" s="1"/>
  <c r="ER20" i="5"/>
  <c r="EQ20" i="5"/>
  <c r="ES20" i="5" s="1"/>
  <c r="ET20" i="5" s="1"/>
  <c r="EV9" i="5"/>
  <c r="EU9" i="5"/>
  <c r="EW9" i="5" s="1"/>
  <c r="EX9" i="5" s="1"/>
  <c r="EM36" i="5"/>
  <c r="EN36" i="5"/>
  <c r="R138" i="5"/>
  <c r="O138" i="5" s="1"/>
  <c r="R139" i="5"/>
  <c r="O139" i="5" s="1"/>
  <c r="ER64" i="5"/>
  <c r="EQ64" i="5"/>
  <c r="ES64" i="5" s="1"/>
  <c r="ET64" i="5" s="1"/>
  <c r="JF89" i="5"/>
  <c r="JE89" i="5"/>
  <c r="JG89" i="5" s="1"/>
  <c r="JH89" i="5" s="1"/>
  <c r="ER13" i="5"/>
  <c r="EQ13" i="5"/>
  <c r="ES13" i="5" s="1"/>
  <c r="ET13" i="5" s="1"/>
  <c r="EN14" i="5"/>
  <c r="EM14" i="5"/>
  <c r="EO14" i="5" s="1"/>
  <c r="EP14" i="5" s="1"/>
  <c r="EN79" i="5"/>
  <c r="EM79" i="5"/>
  <c r="EO79" i="5" s="1"/>
  <c r="EP79" i="5" s="1"/>
  <c r="JY37" i="5"/>
  <c r="JZ37" i="5"/>
  <c r="JZ69" i="5"/>
  <c r="JY69" i="5"/>
  <c r="KB69" i="5" s="1"/>
  <c r="ER59" i="5"/>
  <c r="EQ59" i="5"/>
  <c r="ES59" i="5" s="1"/>
  <c r="ET59" i="5" s="1"/>
  <c r="DT70" i="5"/>
  <c r="DS70" i="5"/>
  <c r="DU70" i="5" s="1"/>
  <c r="DV70" i="5" s="1"/>
  <c r="JV35" i="5"/>
  <c r="JU35" i="5"/>
  <c r="JW35" i="5" s="1"/>
  <c r="JX35" i="5" s="1"/>
  <c r="JN16" i="5"/>
  <c r="JM16" i="5"/>
  <c r="JO16" i="5" s="1"/>
  <c r="JP16" i="5" s="1"/>
  <c r="AK311" i="11"/>
  <c r="AJ311" i="11"/>
  <c r="AI311" i="11"/>
  <c r="JN17" i="5"/>
  <c r="JM17" i="5"/>
  <c r="JO17" i="5" s="1"/>
  <c r="JP17" i="5" s="1"/>
  <c r="JY83" i="5"/>
  <c r="JZ83" i="5"/>
  <c r="JQ72" i="5"/>
  <c r="JR72" i="5"/>
  <c r="JV39" i="5"/>
  <c r="JU39" i="5"/>
  <c r="JW39" i="5" s="1"/>
  <c r="JX39" i="5" s="1"/>
  <c r="JQ29" i="5"/>
  <c r="JR29" i="5"/>
  <c r="JQ82" i="5"/>
  <c r="JR82" i="5"/>
  <c r="JQ85" i="5"/>
  <c r="JR85" i="5"/>
  <c r="JQ18" i="5"/>
  <c r="JR18" i="5"/>
  <c r="JM44" i="5"/>
  <c r="JN44" i="5"/>
  <c r="JQ71" i="5"/>
  <c r="JR71" i="5"/>
  <c r="JQ80" i="5"/>
  <c r="JR80" i="5"/>
  <c r="JQ77" i="5"/>
  <c r="JR77" i="5"/>
  <c r="JU57" i="5"/>
  <c r="JV57" i="5"/>
  <c r="JQ74" i="5"/>
  <c r="JR74" i="5"/>
  <c r="JU25" i="5"/>
  <c r="JV25" i="5"/>
  <c r="JQ32" i="5"/>
  <c r="JR32" i="5"/>
  <c r="JQ46" i="5"/>
  <c r="JR46" i="5"/>
  <c r="JQ20" i="5"/>
  <c r="JR20" i="5"/>
  <c r="JQ54" i="5"/>
  <c r="JR54" i="5"/>
  <c r="EF69" i="5"/>
  <c r="EE69" i="5"/>
  <c r="EG69" i="5" s="1"/>
  <c r="EH69" i="5" s="1"/>
  <c r="JV22" i="5"/>
  <c r="JU22" i="5"/>
  <c r="JW22" i="5" s="1"/>
  <c r="JX22" i="5" s="1"/>
  <c r="JQ9" i="5"/>
  <c r="JR9" i="5"/>
  <c r="JQ21" i="5"/>
  <c r="JR21" i="5"/>
  <c r="JV11" i="5"/>
  <c r="JU11" i="5"/>
  <c r="JW11" i="5" s="1"/>
  <c r="JX11" i="5" s="1"/>
  <c r="JQ41" i="5"/>
  <c r="JR41" i="5"/>
  <c r="JM67" i="5"/>
  <c r="JN67" i="5"/>
  <c r="R160" i="5"/>
  <c r="O160" i="5" s="1"/>
  <c r="R161" i="5"/>
  <c r="O161" i="5" s="1"/>
  <c r="JZ68" i="5"/>
  <c r="JY68" i="5"/>
  <c r="KB68" i="5" s="1"/>
  <c r="EE8" i="5"/>
  <c r="EF8" i="5"/>
  <c r="R188" i="5"/>
  <c r="O188" i="5" s="1"/>
  <c r="R189" i="5"/>
  <c r="O189" i="5" s="1"/>
  <c r="JQ78" i="5"/>
  <c r="JR78" i="5"/>
  <c r="JV27" i="5"/>
  <c r="JU27" i="5"/>
  <c r="JW27" i="5" s="1"/>
  <c r="JX27" i="5" s="1"/>
  <c r="JU24" i="5"/>
  <c r="JV24" i="5"/>
  <c r="JR75" i="5"/>
  <c r="JQ75" i="5"/>
  <c r="JS75" i="5" s="1"/>
  <c r="JT75" i="5" s="1"/>
  <c r="JR33" i="5"/>
  <c r="JQ33" i="5"/>
  <c r="JS33" i="5" s="1"/>
  <c r="JT33" i="5" s="1"/>
  <c r="JN93" i="5"/>
  <c r="JM93" i="5"/>
  <c r="JO93" i="5" s="1"/>
  <c r="JP93" i="5" s="1"/>
  <c r="JR8" i="5"/>
  <c r="JQ8" i="5"/>
  <c r="JS8" i="5" s="1"/>
  <c r="JT8" i="5" s="1"/>
  <c r="EM30" i="5"/>
  <c r="EN30" i="5"/>
  <c r="JQ87" i="5"/>
  <c r="JR87" i="5"/>
  <c r="JR94" i="5"/>
  <c r="JQ94" i="5"/>
  <c r="JS94" i="5" s="1"/>
  <c r="JT94" i="5" s="1"/>
  <c r="JJ50" i="5"/>
  <c r="JI50" i="5"/>
  <c r="JK50" i="5" s="1"/>
  <c r="JL50" i="5" s="1"/>
  <c r="JR88" i="5"/>
  <c r="JQ88" i="5"/>
  <c r="JS88" i="5" s="1"/>
  <c r="JT88" i="5" s="1"/>
  <c r="JR12" i="5"/>
  <c r="JQ12" i="5"/>
  <c r="JS12" i="5" s="1"/>
  <c r="JT12" i="5" s="1"/>
  <c r="JR45" i="5"/>
  <c r="JQ45" i="5"/>
  <c r="JS45" i="5" s="1"/>
  <c r="JT45" i="5" s="1"/>
  <c r="JR56" i="5"/>
  <c r="JQ56" i="5"/>
  <c r="JS56" i="5" s="1"/>
  <c r="JT56" i="5" s="1"/>
  <c r="JR47" i="5"/>
  <c r="JQ47" i="5"/>
  <c r="JS47" i="5" s="1"/>
  <c r="JT47" i="5" s="1"/>
  <c r="JR60" i="5"/>
  <c r="JQ60" i="5"/>
  <c r="JS60" i="5" s="1"/>
  <c r="JT60" i="5" s="1"/>
  <c r="JR81" i="5"/>
  <c r="JQ81" i="5"/>
  <c r="JS81" i="5" s="1"/>
  <c r="JT81" i="5" s="1"/>
  <c r="JM42" i="5"/>
  <c r="JN42" i="5"/>
  <c r="JJ43" i="5"/>
  <c r="JI43" i="5"/>
  <c r="JK43" i="5" s="1"/>
  <c r="JL43" i="5" s="1"/>
  <c r="JR28" i="5"/>
  <c r="JQ28" i="5"/>
  <c r="JS28" i="5" s="1"/>
  <c r="JT28" i="5" s="1"/>
  <c r="JN65" i="5"/>
  <c r="JM65" i="5"/>
  <c r="JO65" i="5" s="1"/>
  <c r="JP65" i="5" s="1"/>
  <c r="JN91" i="5"/>
  <c r="JM91" i="5"/>
  <c r="JO91" i="5" s="1"/>
  <c r="JP91" i="5" s="1"/>
  <c r="EJ29" i="5"/>
  <c r="EI29" i="5"/>
  <c r="EE88" i="5"/>
  <c r="EF88" i="5"/>
  <c r="DW73" i="5"/>
  <c r="DX73" i="5"/>
  <c r="EI17" i="5"/>
  <c r="EJ17" i="5"/>
  <c r="JM92" i="5"/>
  <c r="JN92" i="5"/>
  <c r="EE95" i="5"/>
  <c r="EF95" i="5"/>
  <c r="JJ38" i="5"/>
  <c r="JI38" i="5"/>
  <c r="JK38" i="5" s="1"/>
  <c r="JL38" i="5" s="1"/>
  <c r="EI28" i="5"/>
  <c r="EJ28" i="5"/>
  <c r="EE11" i="5"/>
  <c r="EF11" i="5"/>
  <c r="EQ41" i="5"/>
  <c r="ER41" i="5"/>
  <c r="EI22" i="5"/>
  <c r="EJ22" i="5"/>
  <c r="EM53" i="5"/>
  <c r="EN53" i="5"/>
  <c r="EQ66" i="5"/>
  <c r="ER66" i="5"/>
  <c r="EM25" i="5"/>
  <c r="EN25" i="5"/>
  <c r="DS19" i="5"/>
  <c r="DT19" i="5"/>
  <c r="DO65" i="5"/>
  <c r="DP65" i="5"/>
  <c r="EE74" i="5"/>
  <c r="EF74" i="5"/>
  <c r="JO40" i="5"/>
  <c r="JP40" i="5" s="1"/>
  <c r="JO73" i="5"/>
  <c r="JP73" i="5" s="1"/>
  <c r="JO14" i="5"/>
  <c r="JP14" i="5" s="1"/>
  <c r="JS52" i="5"/>
  <c r="JT52" i="5" s="1"/>
  <c r="JS66" i="5"/>
  <c r="JT66" i="5" s="1"/>
  <c r="JO13" i="5"/>
  <c r="JP13" i="5" s="1"/>
  <c r="JO15" i="5"/>
  <c r="JP15" i="5" s="1"/>
  <c r="JS19" i="5"/>
  <c r="JT19" i="5" s="1"/>
  <c r="JS58" i="5"/>
  <c r="JT58" i="5" s="1"/>
  <c r="JO95" i="5"/>
  <c r="JP95" i="5" s="1"/>
  <c r="JO31" i="5"/>
  <c r="JP31" i="5" s="1"/>
  <c r="JO55" i="5"/>
  <c r="JP55" i="5" s="1"/>
  <c r="JO64" i="5"/>
  <c r="JP64" i="5" s="1"/>
  <c r="JO53" i="5"/>
  <c r="JP53" i="5" s="1"/>
  <c r="JS30" i="5"/>
  <c r="JT30" i="5" s="1"/>
  <c r="JS79" i="5"/>
  <c r="JT79" i="5" s="1"/>
  <c r="JO51" i="5"/>
  <c r="JP51" i="5" s="1"/>
  <c r="JO36" i="5"/>
  <c r="JP36" i="5" s="1"/>
  <c r="JO49" i="5"/>
  <c r="JP49" i="5" s="1"/>
  <c r="JK10" i="5"/>
  <c r="JL10" i="5" s="1"/>
  <c r="JO26" i="5"/>
  <c r="JP26" i="5" s="1"/>
  <c r="ES27" i="5"/>
  <c r="ET27" i="5" s="1"/>
  <c r="EC40" i="5"/>
  <c r="ED40" i="5" s="1"/>
  <c r="EG52" i="5"/>
  <c r="EH52" i="5" s="1"/>
  <c r="JK23" i="5"/>
  <c r="JL23" i="5" s="1"/>
  <c r="EO26" i="5"/>
  <c r="EP26" i="5" s="1"/>
  <c r="JK86" i="5"/>
  <c r="JL86" i="5" s="1"/>
  <c r="EO86" i="5"/>
  <c r="EP86" i="5" s="1"/>
  <c r="EK31" i="5"/>
  <c r="EL31" i="5" s="1"/>
  <c r="DQ81" i="5"/>
  <c r="DR81" i="5" s="1"/>
  <c r="DQ55" i="5"/>
  <c r="DR55" i="5" s="1"/>
  <c r="DQ18" i="5"/>
  <c r="DR18" i="5" s="1"/>
  <c r="DM91" i="5"/>
  <c r="DN91" i="5" s="1"/>
  <c r="DM94" i="5"/>
  <c r="DN94" i="5" s="1"/>
  <c r="DM80" i="5"/>
  <c r="DN80" i="5" s="1"/>
  <c r="ER92" i="5" l="1"/>
  <c r="EQ92" i="5"/>
  <c r="ES92" i="5" s="1"/>
  <c r="ET92" i="5" s="1"/>
  <c r="EJ84" i="5"/>
  <c r="EI84" i="5"/>
  <c r="EK84" i="5" s="1"/>
  <c r="EL84" i="5" s="1"/>
  <c r="EZ50" i="5"/>
  <c r="EY50" i="5"/>
  <c r="KA50" i="5" s="1"/>
  <c r="R178" i="5"/>
  <c r="O178" i="5" s="1"/>
  <c r="R179" i="5"/>
  <c r="O179" i="5" s="1"/>
  <c r="EV23" i="5"/>
  <c r="EU23" i="5"/>
  <c r="EW23" i="5" s="1"/>
  <c r="EX23" i="5" s="1"/>
  <c r="EB77" i="5"/>
  <c r="EA77" i="5"/>
  <c r="EC77" i="5" s="1"/>
  <c r="ED77" i="5" s="1"/>
  <c r="ER76" i="5"/>
  <c r="EQ76" i="5"/>
  <c r="ES76" i="5" s="1"/>
  <c r="ET76" i="5" s="1"/>
  <c r="KB48" i="5"/>
  <c r="EO93" i="5"/>
  <c r="EP93" i="5" s="1"/>
  <c r="EO15" i="5"/>
  <c r="EP15" i="5" s="1"/>
  <c r="EW85" i="5"/>
  <c r="EX85" i="5" s="1"/>
  <c r="EK72" i="5"/>
  <c r="EL72" i="5" s="1"/>
  <c r="EG38" i="5"/>
  <c r="EH38" i="5" s="1"/>
  <c r="EC54" i="5"/>
  <c r="ED54" i="5" s="1"/>
  <c r="JS29" i="5"/>
  <c r="JT29" i="5" s="1"/>
  <c r="JS77" i="5"/>
  <c r="JT77" i="5" s="1"/>
  <c r="JS87" i="5"/>
  <c r="JT87" i="5" s="1"/>
  <c r="EO25" i="5"/>
  <c r="EP25" i="5" s="1"/>
  <c r="JQ84" i="5"/>
  <c r="JS84" i="5" s="1"/>
  <c r="JT84" i="5" s="1"/>
  <c r="JR84" i="5"/>
  <c r="JU63" i="5"/>
  <c r="JW63" i="5" s="1"/>
  <c r="JX63" i="5" s="1"/>
  <c r="JV63" i="5"/>
  <c r="JQ59" i="5"/>
  <c r="JS59" i="5" s="1"/>
  <c r="JT59" i="5" s="1"/>
  <c r="JR59" i="5"/>
  <c r="EF42" i="5"/>
  <c r="EE42" i="5"/>
  <c r="EG42" i="5" s="1"/>
  <c r="EH42" i="5" s="1"/>
  <c r="JQ70" i="5"/>
  <c r="JR70" i="5"/>
  <c r="EF12" i="5"/>
  <c r="EE12" i="5"/>
  <c r="EG12" i="5" s="1"/>
  <c r="EH12" i="5" s="1"/>
  <c r="EB71" i="5"/>
  <c r="EA71" i="5"/>
  <c r="EC71" i="5" s="1"/>
  <c r="ED71" i="5" s="1"/>
  <c r="S215" i="5"/>
  <c r="P215" i="5" s="1"/>
  <c r="Q215" i="5" s="1"/>
  <c r="I252" i="11" s="1"/>
  <c r="S214" i="5"/>
  <c r="P214" i="5" s="1"/>
  <c r="Q214" i="5" s="1"/>
  <c r="I251" i="11" s="1"/>
  <c r="ER58" i="5"/>
  <c r="EQ58" i="5"/>
  <c r="ES58" i="5" s="1"/>
  <c r="ET58" i="5" s="1"/>
  <c r="EV20" i="5"/>
  <c r="EU20" i="5"/>
  <c r="EW20" i="5" s="1"/>
  <c r="EX20" i="5" s="1"/>
  <c r="EZ9" i="5"/>
  <c r="EY9" i="5"/>
  <c r="KA9" i="5" s="1"/>
  <c r="EV64" i="5"/>
  <c r="EU64" i="5"/>
  <c r="EW64" i="5" s="1"/>
  <c r="EX64" i="5" s="1"/>
  <c r="JJ89" i="5"/>
  <c r="JI89" i="5"/>
  <c r="JK89" i="5" s="1"/>
  <c r="JL89" i="5" s="1"/>
  <c r="EU13" i="5"/>
  <c r="EV13" i="5"/>
  <c r="ER14" i="5"/>
  <c r="EQ14" i="5"/>
  <c r="ES14" i="5" s="1"/>
  <c r="ET14" i="5" s="1"/>
  <c r="EQ79" i="5"/>
  <c r="ER79" i="5"/>
  <c r="S228" i="5"/>
  <c r="P228" i="5" s="1"/>
  <c r="Q228" i="5" s="1"/>
  <c r="I265" i="11" s="1"/>
  <c r="S229" i="5"/>
  <c r="P229" i="5" s="1"/>
  <c r="Q229" i="5" s="1"/>
  <c r="I266" i="11" s="1"/>
  <c r="EV59" i="5"/>
  <c r="EU59" i="5"/>
  <c r="EW59" i="5" s="1"/>
  <c r="EX59" i="5" s="1"/>
  <c r="DX70" i="5"/>
  <c r="DW70" i="5"/>
  <c r="DY70" i="5" s="1"/>
  <c r="DZ70" i="5" s="1"/>
  <c r="JZ35" i="5"/>
  <c r="JY35" i="5"/>
  <c r="KB35" i="5" s="1"/>
  <c r="JQ16" i="5"/>
  <c r="JR16" i="5"/>
  <c r="JR17" i="5"/>
  <c r="JQ17" i="5"/>
  <c r="JS17" i="5" s="1"/>
  <c r="JT17" i="5" s="1"/>
  <c r="JZ39" i="5"/>
  <c r="JY39" i="5"/>
  <c r="KB39" i="5" s="1"/>
  <c r="EJ69" i="5"/>
  <c r="EI69" i="5"/>
  <c r="EK69" i="5" s="1"/>
  <c r="EL69" i="5" s="1"/>
  <c r="JZ22" i="5"/>
  <c r="JY22" i="5"/>
  <c r="KB22" i="5" s="1"/>
  <c r="JZ11" i="5"/>
  <c r="JY11" i="5"/>
  <c r="KB11" i="5" s="1"/>
  <c r="S226" i="5"/>
  <c r="P226" i="5" s="1"/>
  <c r="Q226" i="5" s="1"/>
  <c r="I263" i="11" s="1"/>
  <c r="S227" i="5"/>
  <c r="P227" i="5" s="1"/>
  <c r="Q227" i="5" s="1"/>
  <c r="I264" i="11" s="1"/>
  <c r="JZ27" i="5"/>
  <c r="JY27" i="5"/>
  <c r="KB27" i="5" s="1"/>
  <c r="JU75" i="5"/>
  <c r="JV75" i="5"/>
  <c r="JU33" i="5"/>
  <c r="JV33" i="5"/>
  <c r="JQ93" i="5"/>
  <c r="JR93" i="5"/>
  <c r="JU8" i="5"/>
  <c r="JV8" i="5"/>
  <c r="JU94" i="5"/>
  <c r="JV94" i="5"/>
  <c r="JM50" i="5"/>
  <c r="JN50" i="5"/>
  <c r="JU88" i="5"/>
  <c r="JV88" i="5"/>
  <c r="JV12" i="5"/>
  <c r="JU12" i="5"/>
  <c r="JW12" i="5" s="1"/>
  <c r="JX12" i="5" s="1"/>
  <c r="JU45" i="5"/>
  <c r="JV45" i="5"/>
  <c r="JU56" i="5"/>
  <c r="JV56" i="5"/>
  <c r="JU47" i="5"/>
  <c r="JV47" i="5"/>
  <c r="JU60" i="5"/>
  <c r="JV60" i="5"/>
  <c r="JU81" i="5"/>
  <c r="JV81" i="5"/>
  <c r="JM43" i="5"/>
  <c r="JN43" i="5"/>
  <c r="JV28" i="5"/>
  <c r="JU28" i="5"/>
  <c r="JW28" i="5" s="1"/>
  <c r="JX28" i="5" s="1"/>
  <c r="JR65" i="5"/>
  <c r="JQ65" i="5"/>
  <c r="JS65" i="5" s="1"/>
  <c r="JT65" i="5" s="1"/>
  <c r="JQ91" i="5"/>
  <c r="JR91" i="5"/>
  <c r="JM38" i="5"/>
  <c r="JN38" i="5"/>
  <c r="JR40" i="5"/>
  <c r="JQ40" i="5"/>
  <c r="JS40" i="5" s="1"/>
  <c r="JT40" i="5" s="1"/>
  <c r="JR73" i="5"/>
  <c r="JQ73" i="5"/>
  <c r="JS73" i="5" s="1"/>
  <c r="JT73" i="5" s="1"/>
  <c r="JQ14" i="5"/>
  <c r="JR14" i="5"/>
  <c r="JU52" i="5"/>
  <c r="JV52" i="5"/>
  <c r="JV66" i="5"/>
  <c r="JU66" i="5"/>
  <c r="JW66" i="5" s="1"/>
  <c r="JX66" i="5" s="1"/>
  <c r="JR13" i="5"/>
  <c r="JQ13" i="5"/>
  <c r="JS13" i="5" s="1"/>
  <c r="JT13" i="5" s="1"/>
  <c r="JQ15" i="5"/>
  <c r="JR15" i="5"/>
  <c r="JV19" i="5"/>
  <c r="JU19" i="5"/>
  <c r="JW19" i="5" s="1"/>
  <c r="JX19" i="5" s="1"/>
  <c r="JV58" i="5"/>
  <c r="JU58" i="5"/>
  <c r="JW58" i="5" s="1"/>
  <c r="JX58" i="5" s="1"/>
  <c r="JQ95" i="5"/>
  <c r="JR95" i="5"/>
  <c r="JR31" i="5"/>
  <c r="JQ31" i="5"/>
  <c r="JR55" i="5"/>
  <c r="JQ55" i="5"/>
  <c r="JS55" i="5" s="1"/>
  <c r="JT55" i="5" s="1"/>
  <c r="JR64" i="5"/>
  <c r="JQ64" i="5"/>
  <c r="JS64" i="5" s="1"/>
  <c r="JT64" i="5" s="1"/>
  <c r="JR53" i="5"/>
  <c r="JQ53" i="5"/>
  <c r="JS53" i="5" s="1"/>
  <c r="JT53" i="5" s="1"/>
  <c r="JU30" i="5"/>
  <c r="JV30" i="5"/>
  <c r="JU79" i="5"/>
  <c r="JV79" i="5"/>
  <c r="JR51" i="5"/>
  <c r="JQ51" i="5"/>
  <c r="JS51" i="5" s="1"/>
  <c r="JT51" i="5" s="1"/>
  <c r="JR36" i="5"/>
  <c r="JQ36" i="5"/>
  <c r="JS36" i="5" s="1"/>
  <c r="JT36" i="5" s="1"/>
  <c r="JR49" i="5"/>
  <c r="JQ49" i="5"/>
  <c r="JN10" i="5"/>
  <c r="JM10" i="5"/>
  <c r="JO10" i="5" s="1"/>
  <c r="JP10" i="5" s="1"/>
  <c r="JR26" i="5"/>
  <c r="JQ26" i="5"/>
  <c r="JS26" i="5" s="1"/>
  <c r="JT26" i="5" s="1"/>
  <c r="EU27" i="5"/>
  <c r="EV27" i="5"/>
  <c r="EE40" i="5"/>
  <c r="EF40" i="5"/>
  <c r="EI52" i="5"/>
  <c r="EJ52" i="5"/>
  <c r="JM23" i="5"/>
  <c r="JN23" i="5"/>
  <c r="EQ26" i="5"/>
  <c r="ER26" i="5"/>
  <c r="JN86" i="5"/>
  <c r="JM86" i="5"/>
  <c r="JO86" i="5" s="1"/>
  <c r="JP86" i="5" s="1"/>
  <c r="EQ86" i="5"/>
  <c r="ER86" i="5"/>
  <c r="EM31" i="5"/>
  <c r="EN31" i="5"/>
  <c r="DS81" i="5"/>
  <c r="DT81" i="5"/>
  <c r="DS55" i="5"/>
  <c r="DT55" i="5"/>
  <c r="DS18" i="5"/>
  <c r="DT18" i="5"/>
  <c r="DO91" i="5"/>
  <c r="DP91" i="5"/>
  <c r="DO94" i="5"/>
  <c r="DP94" i="5"/>
  <c r="DO80" i="5"/>
  <c r="DP80" i="5"/>
  <c r="EO36" i="5"/>
  <c r="EP36" i="5" s="1"/>
  <c r="KB37" i="5"/>
  <c r="KB83" i="5"/>
  <c r="JS72" i="5"/>
  <c r="JT72" i="5" s="1"/>
  <c r="JS82" i="5"/>
  <c r="JT82" i="5" s="1"/>
  <c r="JS85" i="5"/>
  <c r="JT85" i="5" s="1"/>
  <c r="JS18" i="5"/>
  <c r="JT18" i="5" s="1"/>
  <c r="JO44" i="5"/>
  <c r="JP44" i="5" s="1"/>
  <c r="JS71" i="5"/>
  <c r="JT71" i="5" s="1"/>
  <c r="JS80" i="5"/>
  <c r="JT80" i="5" s="1"/>
  <c r="JW57" i="5"/>
  <c r="JX57" i="5" s="1"/>
  <c r="JS74" i="5"/>
  <c r="JT74" i="5" s="1"/>
  <c r="JW25" i="5"/>
  <c r="JX25" i="5" s="1"/>
  <c r="JS32" i="5"/>
  <c r="JT32" i="5" s="1"/>
  <c r="JS46" i="5"/>
  <c r="JT46" i="5" s="1"/>
  <c r="JS20" i="5"/>
  <c r="JT20" i="5" s="1"/>
  <c r="JS54" i="5"/>
  <c r="JT54" i="5" s="1"/>
  <c r="JS70" i="5"/>
  <c r="JT70" i="5" s="1"/>
  <c r="JS41" i="5"/>
  <c r="JT41" i="5" s="1"/>
  <c r="JS9" i="5"/>
  <c r="JT9" i="5" s="1"/>
  <c r="JS21" i="5"/>
  <c r="JT21" i="5" s="1"/>
  <c r="EO30" i="5"/>
  <c r="EP30" i="5" s="1"/>
  <c r="JO67" i="5"/>
  <c r="JP67" i="5" s="1"/>
  <c r="EG8" i="5"/>
  <c r="EH8" i="5" s="1"/>
  <c r="JS78" i="5"/>
  <c r="JT78" i="5" s="1"/>
  <c r="JW24" i="5"/>
  <c r="JX24" i="5" s="1"/>
  <c r="JO42" i="5"/>
  <c r="JP42" i="5" s="1"/>
  <c r="EK29" i="5"/>
  <c r="EL29" i="5" s="1"/>
  <c r="EG88" i="5"/>
  <c r="EH88" i="5" s="1"/>
  <c r="DY73" i="5"/>
  <c r="DZ73" i="5" s="1"/>
  <c r="EK17" i="5"/>
  <c r="EL17" i="5" s="1"/>
  <c r="JO92" i="5"/>
  <c r="JP92" i="5" s="1"/>
  <c r="EG95" i="5"/>
  <c r="EH95" i="5" s="1"/>
  <c r="EK28" i="5"/>
  <c r="EL28" i="5" s="1"/>
  <c r="EG11" i="5"/>
  <c r="EH11" i="5" s="1"/>
  <c r="ES41" i="5"/>
  <c r="ET41" i="5" s="1"/>
  <c r="EK22" i="5"/>
  <c r="EL22" i="5" s="1"/>
  <c r="EO53" i="5"/>
  <c r="EP53" i="5" s="1"/>
  <c r="ES66" i="5"/>
  <c r="ET66" i="5" s="1"/>
  <c r="DU19" i="5"/>
  <c r="DV19" i="5" s="1"/>
  <c r="DQ65" i="5"/>
  <c r="DR65" i="5" s="1"/>
  <c r="EG74" i="5"/>
  <c r="EH74" i="5" s="1"/>
  <c r="EV92" i="5" l="1"/>
  <c r="EU92" i="5"/>
  <c r="EW92" i="5" s="1"/>
  <c r="EX92" i="5" s="1"/>
  <c r="R191" i="5"/>
  <c r="O191" i="5" s="1"/>
  <c r="R190" i="5"/>
  <c r="O190" i="5" s="1"/>
  <c r="EY23" i="5"/>
  <c r="EZ23" i="5"/>
  <c r="EE77" i="5"/>
  <c r="EF77" i="5"/>
  <c r="EU76" i="5"/>
  <c r="EV76" i="5"/>
  <c r="S186" i="5"/>
  <c r="P186" i="5" s="1"/>
  <c r="Q186" i="5" s="1"/>
  <c r="S187" i="5"/>
  <c r="P187" i="5" s="1"/>
  <c r="Q187" i="5" s="1"/>
  <c r="I340" i="11" s="1"/>
  <c r="ER93" i="5"/>
  <c r="EQ93" i="5"/>
  <c r="ES93" i="5" s="1"/>
  <c r="ET93" i="5" s="1"/>
  <c r="ER15" i="5"/>
  <c r="EQ15" i="5"/>
  <c r="ES15" i="5" s="1"/>
  <c r="ET15" i="5" s="1"/>
  <c r="EY85" i="5"/>
  <c r="EZ85" i="5"/>
  <c r="EN72" i="5"/>
  <c r="EM72" i="5"/>
  <c r="EO72" i="5" s="1"/>
  <c r="EP72" i="5" s="1"/>
  <c r="EJ38" i="5"/>
  <c r="EI38" i="5"/>
  <c r="EE54" i="5"/>
  <c r="EF54" i="5"/>
  <c r="JW56" i="5"/>
  <c r="JX56" i="5" s="1"/>
  <c r="JW8" i="5"/>
  <c r="JX8" i="5" s="1"/>
  <c r="JS91" i="5"/>
  <c r="JT91" i="5" s="1"/>
  <c r="JW52" i="5"/>
  <c r="JX52" i="5" s="1"/>
  <c r="JS31" i="5"/>
  <c r="JT31" i="5" s="1"/>
  <c r="JS49" i="5"/>
  <c r="JT49" i="5" s="1"/>
  <c r="EK52" i="5"/>
  <c r="EL52" i="5" s="1"/>
  <c r="DU81" i="5"/>
  <c r="DV81" i="5" s="1"/>
  <c r="EM84" i="5"/>
  <c r="EO84" i="5" s="1"/>
  <c r="EP84" i="5" s="1"/>
  <c r="EN84" i="5"/>
  <c r="JV29" i="5"/>
  <c r="JU29" i="5"/>
  <c r="JW29" i="5" s="1"/>
  <c r="JX29" i="5" s="1"/>
  <c r="JU77" i="5"/>
  <c r="JW77" i="5" s="1"/>
  <c r="JX77" i="5" s="1"/>
  <c r="JV77" i="5"/>
  <c r="JU87" i="5"/>
  <c r="JW87" i="5" s="1"/>
  <c r="JX87" i="5" s="1"/>
  <c r="JV87" i="5"/>
  <c r="ER25" i="5"/>
  <c r="EQ25" i="5"/>
  <c r="ES25" i="5" s="1"/>
  <c r="ET25" i="5" s="1"/>
  <c r="EJ42" i="5"/>
  <c r="EI42" i="5"/>
  <c r="EK42" i="5" s="1"/>
  <c r="EL42" i="5" s="1"/>
  <c r="EJ12" i="5"/>
  <c r="EI12" i="5"/>
  <c r="EK12" i="5" s="1"/>
  <c r="EL12" i="5" s="1"/>
  <c r="EF71" i="5"/>
  <c r="EE71" i="5"/>
  <c r="EG71" i="5" s="1"/>
  <c r="EH71" i="5" s="1"/>
  <c r="M252" i="11"/>
  <c r="Q252" i="11"/>
  <c r="AF252" i="11" s="1"/>
  <c r="AG252" i="11"/>
  <c r="M251" i="11"/>
  <c r="Q251" i="11"/>
  <c r="AF251" i="11" s="1"/>
  <c r="AG251" i="11"/>
  <c r="EV58" i="5"/>
  <c r="EU58" i="5"/>
  <c r="EW58" i="5" s="1"/>
  <c r="EX58" i="5" s="1"/>
  <c r="EZ20" i="5"/>
  <c r="EY20" i="5"/>
  <c r="KA20" i="5" s="1"/>
  <c r="R38" i="5"/>
  <c r="O38" i="5" s="1"/>
  <c r="R39" i="5"/>
  <c r="O39" i="5" s="1"/>
  <c r="R40" i="5"/>
  <c r="O40" i="5" s="1"/>
  <c r="R41" i="5"/>
  <c r="O41" i="5" s="1"/>
  <c r="R42" i="5"/>
  <c r="O42" i="5" s="1"/>
  <c r="R43" i="5"/>
  <c r="O43" i="5" s="1"/>
  <c r="R44" i="5"/>
  <c r="O44" i="5" s="1"/>
  <c r="R45" i="5"/>
  <c r="O45" i="5" s="1"/>
  <c r="R46" i="5"/>
  <c r="O46" i="5" s="1"/>
  <c r="R47" i="5"/>
  <c r="O47" i="5" s="1"/>
  <c r="R48" i="5"/>
  <c r="O48" i="5" s="1"/>
  <c r="R49" i="5"/>
  <c r="O49" i="5" s="1"/>
  <c r="R50" i="5"/>
  <c r="O50" i="5" s="1"/>
  <c r="R51" i="5"/>
  <c r="O51" i="5" s="1"/>
  <c r="R52" i="5"/>
  <c r="O52" i="5" s="1"/>
  <c r="EZ64" i="5"/>
  <c r="EY64" i="5"/>
  <c r="KA64" i="5" s="1"/>
  <c r="JN89" i="5"/>
  <c r="JM89" i="5"/>
  <c r="JO89" i="5" s="1"/>
  <c r="JP89" i="5" s="1"/>
  <c r="EV14" i="5"/>
  <c r="EU14" i="5"/>
  <c r="EW14" i="5" s="1"/>
  <c r="EX14" i="5" s="1"/>
  <c r="Q265" i="11"/>
  <c r="AF265" i="11" s="1"/>
  <c r="M265" i="11"/>
  <c r="AG265" i="11"/>
  <c r="M266" i="11"/>
  <c r="Q266" i="11"/>
  <c r="AF266" i="11" s="1"/>
  <c r="AG266" i="11"/>
  <c r="EZ59" i="5"/>
  <c r="EY59" i="5"/>
  <c r="KA59" i="5" s="1"/>
  <c r="EB70" i="5"/>
  <c r="EA70" i="5"/>
  <c r="EC70" i="5" s="1"/>
  <c r="ED70" i="5" s="1"/>
  <c r="S160" i="5"/>
  <c r="P160" i="5" s="1"/>
  <c r="Q160" i="5" s="1"/>
  <c r="S161" i="5"/>
  <c r="P161" i="5" s="1"/>
  <c r="Q161" i="5" s="1"/>
  <c r="I314" i="11" s="1"/>
  <c r="JU17" i="5"/>
  <c r="JV17" i="5"/>
  <c r="S168" i="5"/>
  <c r="P168" i="5" s="1"/>
  <c r="Q168" i="5" s="1"/>
  <c r="S169" i="5"/>
  <c r="P169" i="5" s="1"/>
  <c r="Q169" i="5" s="1"/>
  <c r="I322" i="11" s="1"/>
  <c r="EN69" i="5"/>
  <c r="EM69" i="5"/>
  <c r="S134" i="5"/>
  <c r="P134" i="5" s="1"/>
  <c r="Q134" i="5" s="1"/>
  <c r="S135" i="5"/>
  <c r="P135" i="5" s="1"/>
  <c r="Q135" i="5" s="1"/>
  <c r="I288" i="11" s="1"/>
  <c r="S68" i="5"/>
  <c r="P68" i="5" s="1"/>
  <c r="Q68" i="5" s="1"/>
  <c r="I75" i="11" s="1"/>
  <c r="S69" i="5"/>
  <c r="P69" i="5" s="1"/>
  <c r="Q69" i="5" s="1"/>
  <c r="I76" i="11" s="1"/>
  <c r="S70" i="5"/>
  <c r="P70" i="5" s="1"/>
  <c r="Q70" i="5" s="1"/>
  <c r="I77" i="11" s="1"/>
  <c r="S71" i="5"/>
  <c r="P71" i="5" s="1"/>
  <c r="Q71" i="5" s="1"/>
  <c r="I78" i="11" s="1"/>
  <c r="S72" i="5"/>
  <c r="P72" i="5" s="1"/>
  <c r="Q72" i="5" s="1"/>
  <c r="I79" i="11" s="1"/>
  <c r="M263" i="11"/>
  <c r="Q263" i="11"/>
  <c r="AF263" i="11" s="1"/>
  <c r="AG263" i="11"/>
  <c r="Q264" i="11"/>
  <c r="AF264" i="11" s="1"/>
  <c r="M264" i="11"/>
  <c r="AG264" i="11"/>
  <c r="S144" i="5"/>
  <c r="P144" i="5" s="1"/>
  <c r="Q144" i="5" s="1"/>
  <c r="S145" i="5"/>
  <c r="P145" i="5" s="1"/>
  <c r="Q145" i="5" s="1"/>
  <c r="I298" i="11" s="1"/>
  <c r="JZ12" i="5"/>
  <c r="JY12" i="5"/>
  <c r="KB12" i="5" s="1"/>
  <c r="JY28" i="5"/>
  <c r="JZ28" i="5"/>
  <c r="JV65" i="5"/>
  <c r="JU65" i="5"/>
  <c r="JW65" i="5" s="1"/>
  <c r="JX65" i="5" s="1"/>
  <c r="JV40" i="5"/>
  <c r="JU40" i="5"/>
  <c r="JW40" i="5" s="1"/>
  <c r="JX40" i="5" s="1"/>
  <c r="JU73" i="5"/>
  <c r="JV73" i="5"/>
  <c r="JY66" i="5"/>
  <c r="JZ66" i="5"/>
  <c r="JV13" i="5"/>
  <c r="JU13" i="5"/>
  <c r="JW13" i="5" s="1"/>
  <c r="JX13" i="5" s="1"/>
  <c r="JY19" i="5"/>
  <c r="JZ19" i="5"/>
  <c r="JY58" i="5"/>
  <c r="JZ58" i="5"/>
  <c r="JU55" i="5"/>
  <c r="JV55" i="5"/>
  <c r="JV64" i="5"/>
  <c r="JU64" i="5"/>
  <c r="JW64" i="5" s="1"/>
  <c r="JX64" i="5" s="1"/>
  <c r="JU53" i="5"/>
  <c r="JV53" i="5"/>
  <c r="JU51" i="5"/>
  <c r="JV51" i="5"/>
  <c r="JU36" i="5"/>
  <c r="JW36" i="5" s="1"/>
  <c r="JX36" i="5" s="1"/>
  <c r="JV36" i="5"/>
  <c r="JR10" i="5"/>
  <c r="JQ10" i="5"/>
  <c r="JS10" i="5" s="1"/>
  <c r="JT10" i="5" s="1"/>
  <c r="JV26" i="5"/>
  <c r="JU26" i="5"/>
  <c r="JW26" i="5" s="1"/>
  <c r="JX26" i="5" s="1"/>
  <c r="JQ86" i="5"/>
  <c r="JR86" i="5"/>
  <c r="EQ36" i="5"/>
  <c r="ER36" i="5"/>
  <c r="S165" i="5"/>
  <c r="P165" i="5" s="1"/>
  <c r="Q165" i="5" s="1"/>
  <c r="I318" i="11" s="1"/>
  <c r="S164" i="5"/>
  <c r="P164" i="5" s="1"/>
  <c r="Q164" i="5" s="1"/>
  <c r="JV84" i="5"/>
  <c r="JU84" i="5"/>
  <c r="JW84" i="5" s="1"/>
  <c r="JX84" i="5" s="1"/>
  <c r="JZ63" i="5"/>
  <c r="JY63" i="5"/>
  <c r="KB63" i="5" s="1"/>
  <c r="JV59" i="5"/>
  <c r="JU59" i="5"/>
  <c r="JW59" i="5" s="1"/>
  <c r="JX59" i="5" s="1"/>
  <c r="S326" i="5"/>
  <c r="P326" i="5" s="1"/>
  <c r="Q326" i="5" s="1"/>
  <c r="I367" i="11" s="1"/>
  <c r="K367" i="11" s="1"/>
  <c r="S320" i="5"/>
  <c r="P320" i="5" s="1"/>
  <c r="Q320" i="5" s="1"/>
  <c r="I361" i="11" s="1"/>
  <c r="K361" i="11" s="1"/>
  <c r="S318" i="5"/>
  <c r="P318" i="5" s="1"/>
  <c r="Q318" i="5" s="1"/>
  <c r="I359" i="11" s="1"/>
  <c r="K359" i="11" s="1"/>
  <c r="S316" i="5"/>
  <c r="P316" i="5" s="1"/>
  <c r="Q316" i="5" s="1"/>
  <c r="I357" i="11" s="1"/>
  <c r="K357" i="11" s="1"/>
  <c r="S314" i="5"/>
  <c r="P314" i="5" s="1"/>
  <c r="Q314" i="5" s="1"/>
  <c r="I355" i="11" s="1"/>
  <c r="K355" i="11" s="1"/>
  <c r="S311" i="5"/>
  <c r="P311" i="5" s="1"/>
  <c r="Q311" i="5" s="1"/>
  <c r="I352" i="11" s="1"/>
  <c r="K352" i="11" s="1"/>
  <c r="S310" i="5"/>
  <c r="P310" i="5" s="1"/>
  <c r="Q310" i="5" s="1"/>
  <c r="I351" i="11" s="1"/>
  <c r="K351" i="11" s="1"/>
  <c r="S308" i="5"/>
  <c r="P308" i="5" s="1"/>
  <c r="Q308" i="5" s="1"/>
  <c r="I349" i="11" s="1"/>
  <c r="K349" i="11" s="1"/>
  <c r="S304" i="5"/>
  <c r="P304" i="5" s="1"/>
  <c r="Q304" i="5" s="1"/>
  <c r="I345" i="11" s="1"/>
  <c r="K345" i="11" s="1"/>
  <c r="S302" i="5"/>
  <c r="P302" i="5" s="1"/>
  <c r="Q302" i="5" s="1"/>
  <c r="I343" i="11" s="1"/>
  <c r="K343" i="11" s="1"/>
  <c r="S329" i="5"/>
  <c r="P329" i="5" s="1"/>
  <c r="Q329" i="5" s="1"/>
  <c r="I370" i="11" s="1"/>
  <c r="K370" i="11" s="1"/>
  <c r="S328" i="5"/>
  <c r="P328" i="5" s="1"/>
  <c r="Q328" i="5" s="1"/>
  <c r="I369" i="11" s="1"/>
  <c r="K369" i="11" s="1"/>
  <c r="S327" i="5"/>
  <c r="P327" i="5" s="1"/>
  <c r="Q327" i="5" s="1"/>
  <c r="I368" i="11" s="1"/>
  <c r="K368" i="11" s="1"/>
  <c r="S325" i="5"/>
  <c r="P325" i="5" s="1"/>
  <c r="Q325" i="5" s="1"/>
  <c r="I366" i="11" s="1"/>
  <c r="K366" i="11" s="1"/>
  <c r="S324" i="5"/>
  <c r="P324" i="5" s="1"/>
  <c r="Q324" i="5" s="1"/>
  <c r="I365" i="11" s="1"/>
  <c r="K365" i="11" s="1"/>
  <c r="S323" i="5"/>
  <c r="P323" i="5" s="1"/>
  <c r="Q323" i="5" s="1"/>
  <c r="I364" i="11" s="1"/>
  <c r="K364" i="11" s="1"/>
  <c r="S319" i="5"/>
  <c r="P319" i="5" s="1"/>
  <c r="Q319" i="5" s="1"/>
  <c r="I360" i="11" s="1"/>
  <c r="K360" i="11" s="1"/>
  <c r="S317" i="5"/>
  <c r="P317" i="5" s="1"/>
  <c r="Q317" i="5" s="1"/>
  <c r="I358" i="11" s="1"/>
  <c r="K358" i="11" s="1"/>
  <c r="S315" i="5"/>
  <c r="P315" i="5" s="1"/>
  <c r="Q315" i="5" s="1"/>
  <c r="I356" i="11" s="1"/>
  <c r="K356" i="11" s="1"/>
  <c r="S313" i="5"/>
  <c r="P313" i="5" s="1"/>
  <c r="Q313" i="5" s="1"/>
  <c r="I354" i="11" s="1"/>
  <c r="K354" i="11" s="1"/>
  <c r="S312" i="5"/>
  <c r="P312" i="5" s="1"/>
  <c r="Q312" i="5" s="1"/>
  <c r="I353" i="11" s="1"/>
  <c r="K353" i="11" s="1"/>
  <c r="S309" i="5"/>
  <c r="P309" i="5" s="1"/>
  <c r="Q309" i="5" s="1"/>
  <c r="I350" i="11" s="1"/>
  <c r="K350" i="11" s="1"/>
  <c r="S307" i="5"/>
  <c r="P307" i="5" s="1"/>
  <c r="Q307" i="5" s="1"/>
  <c r="I348" i="11" s="1"/>
  <c r="K348" i="11" s="1"/>
  <c r="S306" i="5"/>
  <c r="P306" i="5" s="1"/>
  <c r="Q306" i="5" s="1"/>
  <c r="I347" i="11" s="1"/>
  <c r="K347" i="11" s="1"/>
  <c r="S305" i="5"/>
  <c r="P305" i="5" s="1"/>
  <c r="Q305" i="5" s="1"/>
  <c r="I346" i="11" s="1"/>
  <c r="K346" i="11" s="1"/>
  <c r="S303" i="5"/>
  <c r="P303" i="5" s="1"/>
  <c r="Q303" i="5" s="1"/>
  <c r="I344" i="11" s="1"/>
  <c r="K344" i="11" s="1"/>
  <c r="S322" i="5"/>
  <c r="P322" i="5" s="1"/>
  <c r="Q322" i="5" s="1"/>
  <c r="I363" i="11" s="1"/>
  <c r="K363" i="11" s="1"/>
  <c r="S321" i="5"/>
  <c r="P321" i="5" s="1"/>
  <c r="Q321" i="5" s="1"/>
  <c r="I362" i="11" s="1"/>
  <c r="K362" i="11" s="1"/>
  <c r="JV72" i="5"/>
  <c r="JU72" i="5"/>
  <c r="JW72" i="5" s="1"/>
  <c r="JX72" i="5" s="1"/>
  <c r="JV82" i="5"/>
  <c r="JU82" i="5"/>
  <c r="JW82" i="5" s="1"/>
  <c r="JX82" i="5" s="1"/>
  <c r="JV85" i="5"/>
  <c r="JU85" i="5"/>
  <c r="JW85" i="5" s="1"/>
  <c r="JX85" i="5" s="1"/>
  <c r="JV18" i="5"/>
  <c r="JU18" i="5"/>
  <c r="JW18" i="5" s="1"/>
  <c r="JX18" i="5" s="1"/>
  <c r="JR44" i="5"/>
  <c r="JQ44" i="5"/>
  <c r="JV71" i="5"/>
  <c r="JU71" i="5"/>
  <c r="JW71" i="5" s="1"/>
  <c r="JX71" i="5" s="1"/>
  <c r="JV80" i="5"/>
  <c r="JU80" i="5"/>
  <c r="JW80" i="5" s="1"/>
  <c r="JX80" i="5" s="1"/>
  <c r="JZ57" i="5"/>
  <c r="JY57" i="5"/>
  <c r="KB57" i="5" s="1"/>
  <c r="JV74" i="5"/>
  <c r="JU74" i="5"/>
  <c r="JW74" i="5" s="1"/>
  <c r="JX74" i="5" s="1"/>
  <c r="JZ25" i="5"/>
  <c r="JY25" i="5"/>
  <c r="KB25" i="5" s="1"/>
  <c r="JV32" i="5"/>
  <c r="JU32" i="5"/>
  <c r="JW32" i="5" s="1"/>
  <c r="JX32" i="5" s="1"/>
  <c r="JV46" i="5"/>
  <c r="JU46" i="5"/>
  <c r="JW46" i="5" s="1"/>
  <c r="JX46" i="5" s="1"/>
  <c r="JV20" i="5"/>
  <c r="JU20" i="5"/>
  <c r="JW20" i="5" s="1"/>
  <c r="JX20" i="5" s="1"/>
  <c r="JV54" i="5"/>
  <c r="JU54" i="5"/>
  <c r="JW54" i="5" s="1"/>
  <c r="JX54" i="5" s="1"/>
  <c r="JV70" i="5"/>
  <c r="JU70" i="5"/>
  <c r="JW70" i="5" s="1"/>
  <c r="JX70" i="5" s="1"/>
  <c r="JV41" i="5"/>
  <c r="JU41" i="5"/>
  <c r="JW41" i="5" s="1"/>
  <c r="JX41" i="5" s="1"/>
  <c r="JV9" i="5"/>
  <c r="JU9" i="5"/>
  <c r="JW9" i="5" s="1"/>
  <c r="JX9" i="5" s="1"/>
  <c r="JU21" i="5"/>
  <c r="JV21" i="5"/>
  <c r="EQ30" i="5"/>
  <c r="ER30" i="5"/>
  <c r="JR67" i="5"/>
  <c r="JQ67" i="5"/>
  <c r="JS67" i="5" s="1"/>
  <c r="JT67" i="5" s="1"/>
  <c r="EI8" i="5"/>
  <c r="EJ8" i="5"/>
  <c r="JV78" i="5"/>
  <c r="JU78" i="5"/>
  <c r="JW78" i="5" s="1"/>
  <c r="JX78" i="5" s="1"/>
  <c r="JY24" i="5"/>
  <c r="JZ24" i="5"/>
  <c r="JR42" i="5"/>
  <c r="JQ42" i="5"/>
  <c r="JS42" i="5" s="1"/>
  <c r="JT42" i="5" s="1"/>
  <c r="EN29" i="5"/>
  <c r="EM29" i="5"/>
  <c r="EO29" i="5" s="1"/>
  <c r="EP29" i="5" s="1"/>
  <c r="EI88" i="5"/>
  <c r="EJ88" i="5"/>
  <c r="EA73" i="5"/>
  <c r="EB73" i="5"/>
  <c r="EM17" i="5"/>
  <c r="EN17" i="5"/>
  <c r="JR92" i="5"/>
  <c r="JQ92" i="5"/>
  <c r="JS92" i="5" s="1"/>
  <c r="JT92" i="5" s="1"/>
  <c r="EI95" i="5"/>
  <c r="EJ95" i="5"/>
  <c r="EM28" i="5"/>
  <c r="EN28" i="5"/>
  <c r="EI11" i="5"/>
  <c r="EJ11" i="5"/>
  <c r="EV41" i="5"/>
  <c r="EU41" i="5"/>
  <c r="EW41" i="5" s="1"/>
  <c r="EX41" i="5" s="1"/>
  <c r="EN22" i="5"/>
  <c r="EM22" i="5"/>
  <c r="EO22" i="5" s="1"/>
  <c r="EP22" i="5" s="1"/>
  <c r="EQ53" i="5"/>
  <c r="ER53" i="5"/>
  <c r="EU66" i="5"/>
  <c r="EV66" i="5"/>
  <c r="DX19" i="5"/>
  <c r="DW19" i="5"/>
  <c r="DY19" i="5" s="1"/>
  <c r="DZ19" i="5" s="1"/>
  <c r="DS65" i="5"/>
  <c r="DT65" i="5"/>
  <c r="EI74" i="5"/>
  <c r="EJ74" i="5"/>
  <c r="ES79" i="5"/>
  <c r="ET79" i="5" s="1"/>
  <c r="EW13" i="5"/>
  <c r="EX13" i="5" s="1"/>
  <c r="JS16" i="5"/>
  <c r="JT16" i="5" s="1"/>
  <c r="JW75" i="5"/>
  <c r="JX75" i="5" s="1"/>
  <c r="JW33" i="5"/>
  <c r="JX33" i="5" s="1"/>
  <c r="JS93" i="5"/>
  <c r="JT93" i="5" s="1"/>
  <c r="JS15" i="5"/>
  <c r="JT15" i="5" s="1"/>
  <c r="EW27" i="5"/>
  <c r="EX27" i="5" s="1"/>
  <c r="EG40" i="5"/>
  <c r="EH40" i="5" s="1"/>
  <c r="JW94" i="5"/>
  <c r="JX94" i="5" s="1"/>
  <c r="JO50" i="5"/>
  <c r="JP50" i="5" s="1"/>
  <c r="JW88" i="5"/>
  <c r="JX88" i="5" s="1"/>
  <c r="JW45" i="5"/>
  <c r="JX45" i="5" s="1"/>
  <c r="JW47" i="5"/>
  <c r="JX47" i="5" s="1"/>
  <c r="JW60" i="5"/>
  <c r="JX60" i="5" s="1"/>
  <c r="JW81" i="5"/>
  <c r="JX81" i="5" s="1"/>
  <c r="JO43" i="5"/>
  <c r="JP43" i="5" s="1"/>
  <c r="JS14" i="5"/>
  <c r="JT14" i="5" s="1"/>
  <c r="JO38" i="5"/>
  <c r="JP38" i="5" s="1"/>
  <c r="JW30" i="5"/>
  <c r="JX30" i="5" s="1"/>
  <c r="JW79" i="5"/>
  <c r="JX79" i="5" s="1"/>
  <c r="JS95" i="5"/>
  <c r="JT95" i="5" s="1"/>
  <c r="JO23" i="5"/>
  <c r="JP23" i="5" s="1"/>
  <c r="ES26" i="5"/>
  <c r="ET26" i="5" s="1"/>
  <c r="ES86" i="5"/>
  <c r="ET86" i="5" s="1"/>
  <c r="EO31" i="5"/>
  <c r="EP31" i="5" s="1"/>
  <c r="DU55" i="5"/>
  <c r="DV55" i="5" s="1"/>
  <c r="DU18" i="5"/>
  <c r="DV18" i="5" s="1"/>
  <c r="DQ91" i="5"/>
  <c r="DR91" i="5" s="1"/>
  <c r="DQ94" i="5"/>
  <c r="DR94" i="5" s="1"/>
  <c r="DQ80" i="5"/>
  <c r="DR80" i="5" s="1"/>
  <c r="EZ92" i="5" l="1"/>
  <c r="EY92" i="5"/>
  <c r="KA92" i="5" s="1"/>
  <c r="N37" i="7"/>
  <c r="I339" i="11"/>
  <c r="Q340" i="11"/>
  <c r="AF340" i="11" s="1"/>
  <c r="M340" i="11"/>
  <c r="AG340" i="11"/>
  <c r="EU93" i="5"/>
  <c r="EV93" i="5"/>
  <c r="EU15" i="5"/>
  <c r="EV15" i="5"/>
  <c r="ER72" i="5"/>
  <c r="EQ72" i="5"/>
  <c r="ES72" i="5" s="1"/>
  <c r="ET72" i="5" s="1"/>
  <c r="KA23" i="5"/>
  <c r="EG77" i="5"/>
  <c r="EH77" i="5" s="1"/>
  <c r="EW76" i="5"/>
  <c r="EX76" i="5" s="1"/>
  <c r="KA85" i="5"/>
  <c r="EK38" i="5"/>
  <c r="EL38" i="5" s="1"/>
  <c r="EG54" i="5"/>
  <c r="EH54" i="5" s="1"/>
  <c r="W266" i="11"/>
  <c r="EK88" i="5"/>
  <c r="EL88" i="5" s="1"/>
  <c r="ES53" i="5"/>
  <c r="ET53" i="5" s="1"/>
  <c r="EW66" i="5"/>
  <c r="EX66" i="5" s="1"/>
  <c r="JY56" i="5"/>
  <c r="KB56" i="5" s="1"/>
  <c r="JZ56" i="5"/>
  <c r="JY8" i="5"/>
  <c r="KB8" i="5" s="1"/>
  <c r="JZ8" i="5"/>
  <c r="JU91" i="5"/>
  <c r="JW91" i="5" s="1"/>
  <c r="JX91" i="5" s="1"/>
  <c r="JV91" i="5"/>
  <c r="JZ52" i="5"/>
  <c r="JY52" i="5"/>
  <c r="KB52" i="5" s="1"/>
  <c r="JU31" i="5"/>
  <c r="JW31" i="5" s="1"/>
  <c r="JX31" i="5" s="1"/>
  <c r="JV31" i="5"/>
  <c r="JV49" i="5"/>
  <c r="JU49" i="5"/>
  <c r="JW49" i="5" s="1"/>
  <c r="JX49" i="5" s="1"/>
  <c r="EN52" i="5"/>
  <c r="EM52" i="5"/>
  <c r="EO52" i="5" s="1"/>
  <c r="EP52" i="5" s="1"/>
  <c r="DX81" i="5"/>
  <c r="DW81" i="5"/>
  <c r="DY81" i="5" s="1"/>
  <c r="DZ81" i="5" s="1"/>
  <c r="JZ29" i="5"/>
  <c r="JY29" i="5"/>
  <c r="KB29" i="5" s="1"/>
  <c r="EV25" i="5"/>
  <c r="EU25" i="5"/>
  <c r="EN42" i="5"/>
  <c r="EM42" i="5"/>
  <c r="EO42" i="5" s="1"/>
  <c r="EP42" i="5" s="1"/>
  <c r="EN12" i="5"/>
  <c r="EM12" i="5"/>
  <c r="EO12" i="5" s="1"/>
  <c r="EP12" i="5" s="1"/>
  <c r="EJ71" i="5"/>
  <c r="EI71" i="5"/>
  <c r="EK71" i="5" s="1"/>
  <c r="EL71" i="5" s="1"/>
  <c r="EZ58" i="5"/>
  <c r="EY58" i="5"/>
  <c r="KA58" i="5" s="1"/>
  <c r="R131" i="5"/>
  <c r="O131" i="5" s="1"/>
  <c r="R130" i="5"/>
  <c r="O130" i="5" s="1"/>
  <c r="R218" i="5"/>
  <c r="O218" i="5" s="1"/>
  <c r="R219" i="5"/>
  <c r="O219" i="5" s="1"/>
  <c r="JR89" i="5"/>
  <c r="JQ89" i="5"/>
  <c r="JS89" i="5" s="1"/>
  <c r="JT89" i="5" s="1"/>
  <c r="EZ14" i="5"/>
  <c r="EY14" i="5"/>
  <c r="R208" i="5"/>
  <c r="O208" i="5" s="1"/>
  <c r="R209" i="5"/>
  <c r="O209" i="5" s="1"/>
  <c r="EF70" i="5"/>
  <c r="EE70" i="5"/>
  <c r="EG70" i="5" s="1"/>
  <c r="EH70" i="5" s="1"/>
  <c r="N24" i="7"/>
  <c r="I313" i="11"/>
  <c r="AG314" i="11"/>
  <c r="M314" i="11"/>
  <c r="Q314" i="11"/>
  <c r="AF314" i="11" s="1"/>
  <c r="W314" i="11" s="1"/>
  <c r="N28" i="7"/>
  <c r="I321" i="11"/>
  <c r="AG322" i="11"/>
  <c r="M322" i="11"/>
  <c r="Q322" i="11"/>
  <c r="AF322" i="11" s="1"/>
  <c r="W322" i="11" s="1"/>
  <c r="N11" i="7"/>
  <c r="I287" i="11"/>
  <c r="AG288" i="11"/>
  <c r="M288" i="11"/>
  <c r="Q288" i="11"/>
  <c r="AF288" i="11" s="1"/>
  <c r="W288" i="11" s="1"/>
  <c r="M75" i="11"/>
  <c r="Q75" i="11"/>
  <c r="AF75" i="11" s="1"/>
  <c r="AG75" i="11"/>
  <c r="M76" i="11"/>
  <c r="Q76" i="11"/>
  <c r="AF76" i="11" s="1"/>
  <c r="AG76" i="11"/>
  <c r="Q77" i="11"/>
  <c r="AF77" i="11" s="1"/>
  <c r="W77" i="11" s="1"/>
  <c r="M77" i="11"/>
  <c r="AG77" i="11"/>
  <c r="M78" i="11"/>
  <c r="Q78" i="11"/>
  <c r="AF78" i="11" s="1"/>
  <c r="AG78" i="11"/>
  <c r="Q79" i="11"/>
  <c r="AF79" i="11" s="1"/>
  <c r="M79" i="11"/>
  <c r="AG79" i="11"/>
  <c r="N16" i="7"/>
  <c r="I297" i="11"/>
  <c r="AG298" i="11"/>
  <c r="M298" i="11"/>
  <c r="Q298" i="11"/>
  <c r="AF298" i="11" s="1"/>
  <c r="W298" i="11" s="1"/>
  <c r="S73" i="5"/>
  <c r="P73" i="5" s="1"/>
  <c r="Q73" i="5" s="1"/>
  <c r="I82" i="11" s="1"/>
  <c r="S74" i="5"/>
  <c r="P74" i="5" s="1"/>
  <c r="Q74" i="5" s="1"/>
  <c r="I83" i="11" s="1"/>
  <c r="S75" i="5"/>
  <c r="P75" i="5" s="1"/>
  <c r="Q75" i="5" s="1"/>
  <c r="I84" i="11" s="1"/>
  <c r="S76" i="5"/>
  <c r="P76" i="5" s="1"/>
  <c r="Q76" i="5" s="1"/>
  <c r="I85" i="11" s="1"/>
  <c r="S77" i="5"/>
  <c r="P77" i="5" s="1"/>
  <c r="Q77" i="5" s="1"/>
  <c r="I86" i="11" s="1"/>
  <c r="JZ65" i="5"/>
  <c r="JY65" i="5"/>
  <c r="KB65" i="5" s="1"/>
  <c r="JZ40" i="5"/>
  <c r="JY40" i="5"/>
  <c r="KB40" i="5" s="1"/>
  <c r="JZ13" i="5"/>
  <c r="JY13" i="5"/>
  <c r="KB13" i="5" s="1"/>
  <c r="JZ64" i="5"/>
  <c r="JY64" i="5"/>
  <c r="KB64" i="5" s="1"/>
  <c r="JZ36" i="5"/>
  <c r="JY36" i="5"/>
  <c r="JV10" i="5"/>
  <c r="JU10" i="5"/>
  <c r="JW10" i="5" s="1"/>
  <c r="JX10" i="5" s="1"/>
  <c r="JZ26" i="5"/>
  <c r="JY26" i="5"/>
  <c r="KB26" i="5" s="1"/>
  <c r="AG318" i="11"/>
  <c r="M318" i="11"/>
  <c r="Q318" i="11"/>
  <c r="AF318" i="11" s="1"/>
  <c r="W318" i="11" s="1"/>
  <c r="N26" i="7"/>
  <c r="I317" i="11"/>
  <c r="JY84" i="5"/>
  <c r="JZ84" i="5"/>
  <c r="S216" i="5"/>
  <c r="P216" i="5" s="1"/>
  <c r="Q216" i="5" s="1"/>
  <c r="I253" i="11" s="1"/>
  <c r="S217" i="5"/>
  <c r="P217" i="5" s="1"/>
  <c r="Q217" i="5" s="1"/>
  <c r="I254" i="11" s="1"/>
  <c r="JY59" i="5"/>
  <c r="JZ59" i="5"/>
  <c r="JY72" i="5"/>
  <c r="JZ72" i="5"/>
  <c r="JY82" i="5"/>
  <c r="JZ82" i="5"/>
  <c r="JZ85" i="5"/>
  <c r="JY85" i="5"/>
  <c r="KB85" i="5" s="1"/>
  <c r="JY18" i="5"/>
  <c r="JZ18" i="5"/>
  <c r="JY71" i="5"/>
  <c r="JZ71" i="5"/>
  <c r="JZ80" i="5"/>
  <c r="JY80" i="5"/>
  <c r="KB80" i="5" s="1"/>
  <c r="S204" i="5"/>
  <c r="P204" i="5" s="1"/>
  <c r="Q204" i="5" s="1"/>
  <c r="I241" i="11" s="1"/>
  <c r="S205" i="5"/>
  <c r="P205" i="5" s="1"/>
  <c r="Q205" i="5" s="1"/>
  <c r="I242" i="11" s="1"/>
  <c r="JY74" i="5"/>
  <c r="JZ74" i="5"/>
  <c r="S140" i="5"/>
  <c r="P140" i="5" s="1"/>
  <c r="Q140" i="5" s="1"/>
  <c r="S141" i="5"/>
  <c r="P141" i="5" s="1"/>
  <c r="Q141" i="5" s="1"/>
  <c r="I294" i="11" s="1"/>
  <c r="JY32" i="5"/>
  <c r="JZ32" i="5"/>
  <c r="JY46" i="5"/>
  <c r="JZ46" i="5"/>
  <c r="JY20" i="5"/>
  <c r="JZ20" i="5"/>
  <c r="JY54" i="5"/>
  <c r="JZ54" i="5"/>
  <c r="JZ70" i="5"/>
  <c r="JY70" i="5"/>
  <c r="KB70" i="5" s="1"/>
  <c r="JY41" i="5"/>
  <c r="JZ41" i="5"/>
  <c r="JY9" i="5"/>
  <c r="JZ9" i="5"/>
  <c r="JU67" i="5"/>
  <c r="JV67" i="5"/>
  <c r="JY78" i="5"/>
  <c r="JZ78" i="5"/>
  <c r="JU42" i="5"/>
  <c r="JV42" i="5"/>
  <c r="ER29" i="5"/>
  <c r="EQ29" i="5"/>
  <c r="ES29" i="5" s="1"/>
  <c r="ET29" i="5" s="1"/>
  <c r="JV92" i="5"/>
  <c r="JU92" i="5"/>
  <c r="JW92" i="5" s="1"/>
  <c r="JX92" i="5" s="1"/>
  <c r="EZ41" i="5"/>
  <c r="EY41" i="5"/>
  <c r="KA41" i="5" s="1"/>
  <c r="EQ22" i="5"/>
  <c r="ER22" i="5"/>
  <c r="EA19" i="5"/>
  <c r="EB19" i="5"/>
  <c r="EU79" i="5"/>
  <c r="EV79" i="5"/>
  <c r="EZ13" i="5"/>
  <c r="EY13" i="5"/>
  <c r="KA13" i="5" s="1"/>
  <c r="JU16" i="5"/>
  <c r="JV16" i="5"/>
  <c r="JY77" i="5"/>
  <c r="JZ77" i="5"/>
  <c r="JZ75" i="5"/>
  <c r="JY75" i="5"/>
  <c r="KB75" i="5" s="1"/>
  <c r="JZ33" i="5"/>
  <c r="JY33" i="5"/>
  <c r="KB33" i="5" s="1"/>
  <c r="JV93" i="5"/>
  <c r="JU93" i="5"/>
  <c r="JW93" i="5" s="1"/>
  <c r="JX93" i="5" s="1"/>
  <c r="JU15" i="5"/>
  <c r="JV15" i="5"/>
  <c r="EY27" i="5"/>
  <c r="EZ27" i="5"/>
  <c r="EI40" i="5"/>
  <c r="EJ40" i="5"/>
  <c r="JZ87" i="5"/>
  <c r="JY87" i="5"/>
  <c r="KB87" i="5" s="1"/>
  <c r="JY94" i="5"/>
  <c r="JZ94" i="5"/>
  <c r="JQ50" i="5"/>
  <c r="JR50" i="5"/>
  <c r="JZ88" i="5"/>
  <c r="JY88" i="5"/>
  <c r="KB88" i="5" s="1"/>
  <c r="JZ45" i="5"/>
  <c r="JY45" i="5"/>
  <c r="KB45" i="5" s="1"/>
  <c r="JZ47" i="5"/>
  <c r="JY47" i="5"/>
  <c r="KB47" i="5" s="1"/>
  <c r="JZ60" i="5"/>
  <c r="JY60" i="5"/>
  <c r="KB60" i="5" s="1"/>
  <c r="JZ81" i="5"/>
  <c r="JY81" i="5"/>
  <c r="JR43" i="5"/>
  <c r="JQ43" i="5"/>
  <c r="JS43" i="5" s="1"/>
  <c r="JT43" i="5" s="1"/>
  <c r="JU14" i="5"/>
  <c r="JV14" i="5"/>
  <c r="JR38" i="5"/>
  <c r="JQ38" i="5"/>
  <c r="JS38" i="5" s="1"/>
  <c r="JT38" i="5" s="1"/>
  <c r="JY30" i="5"/>
  <c r="JZ30" i="5"/>
  <c r="JY79" i="5"/>
  <c r="JZ79" i="5"/>
  <c r="JV95" i="5"/>
  <c r="JU95" i="5"/>
  <c r="JW95" i="5" s="1"/>
  <c r="JX95" i="5" s="1"/>
  <c r="EQ84" i="5"/>
  <c r="ER84" i="5"/>
  <c r="JR23" i="5"/>
  <c r="JQ23" i="5"/>
  <c r="JS23" i="5" s="1"/>
  <c r="JT23" i="5" s="1"/>
  <c r="EV26" i="5"/>
  <c r="EU26" i="5"/>
  <c r="EW26" i="5" s="1"/>
  <c r="EX26" i="5" s="1"/>
  <c r="R558" i="5"/>
  <c r="O558" i="5" s="1"/>
  <c r="R556" i="5"/>
  <c r="O556" i="5" s="1"/>
  <c r="R554" i="5"/>
  <c r="O554" i="5" s="1"/>
  <c r="R547" i="5"/>
  <c r="O547" i="5" s="1"/>
  <c r="R545" i="5"/>
  <c r="O545" i="5" s="1"/>
  <c r="R563" i="5"/>
  <c r="O563" i="5" s="1"/>
  <c r="R562" i="5"/>
  <c r="O562" i="5" s="1"/>
  <c r="R553" i="5"/>
  <c r="O553" i="5" s="1"/>
  <c r="R551" i="5"/>
  <c r="O551" i="5" s="1"/>
  <c r="R548" i="5"/>
  <c r="O548" i="5" s="1"/>
  <c r="R546" i="5"/>
  <c r="O546" i="5" s="1"/>
  <c r="R542" i="5"/>
  <c r="O542" i="5" s="1"/>
  <c r="R560" i="5"/>
  <c r="O560" i="5" s="1"/>
  <c r="R559" i="5"/>
  <c r="O559" i="5" s="1"/>
  <c r="R549" i="5"/>
  <c r="O549" i="5" s="1"/>
  <c r="R544" i="5"/>
  <c r="O544" i="5" s="1"/>
  <c r="R541" i="5"/>
  <c r="O541" i="5" s="1"/>
  <c r="R564" i="5"/>
  <c r="O564" i="5" s="1"/>
  <c r="R561" i="5"/>
  <c r="O561" i="5" s="1"/>
  <c r="R557" i="5"/>
  <c r="O557" i="5" s="1"/>
  <c r="R555" i="5"/>
  <c r="O555" i="5" s="1"/>
  <c r="R552" i="5"/>
  <c r="O552" i="5" s="1"/>
  <c r="R550" i="5"/>
  <c r="O550" i="5" s="1"/>
  <c r="R543" i="5"/>
  <c r="O543" i="5" s="1"/>
  <c r="EU86" i="5"/>
  <c r="EV86" i="5"/>
  <c r="EQ31" i="5"/>
  <c r="ER31" i="5"/>
  <c r="DW55" i="5"/>
  <c r="DX55" i="5"/>
  <c r="DW18" i="5"/>
  <c r="DX18" i="5"/>
  <c r="DS91" i="5"/>
  <c r="DT91" i="5"/>
  <c r="DS94" i="5"/>
  <c r="DT94" i="5"/>
  <c r="DS80" i="5"/>
  <c r="DT80" i="5"/>
  <c r="W252" i="11"/>
  <c r="W251" i="11"/>
  <c r="W265" i="11"/>
  <c r="JW17" i="5"/>
  <c r="JX17" i="5" s="1"/>
  <c r="ES36" i="5"/>
  <c r="ET36" i="5" s="1"/>
  <c r="JS86" i="5"/>
  <c r="JT86" i="5" s="1"/>
  <c r="EO69" i="5"/>
  <c r="EP69" i="5" s="1"/>
  <c r="W263" i="11"/>
  <c r="W264" i="11"/>
  <c r="KB28" i="5"/>
  <c r="JW53" i="5"/>
  <c r="JX53" i="5" s="1"/>
  <c r="JW51" i="5"/>
  <c r="JX51" i="5" s="1"/>
  <c r="KB24" i="5"/>
  <c r="JW73" i="5"/>
  <c r="JX73" i="5" s="1"/>
  <c r="KB66" i="5"/>
  <c r="KB19" i="5"/>
  <c r="KB58" i="5"/>
  <c r="JW55" i="5"/>
  <c r="JX55" i="5" s="1"/>
  <c r="EK8" i="5"/>
  <c r="EL8" i="5" s="1"/>
  <c r="JS44" i="5"/>
  <c r="JT44" i="5" s="1"/>
  <c r="JW21" i="5"/>
  <c r="JX21" i="5" s="1"/>
  <c r="ES30" i="5"/>
  <c r="ET30" i="5" s="1"/>
  <c r="EC73" i="5"/>
  <c r="ED73" i="5" s="1"/>
  <c r="EO17" i="5"/>
  <c r="EP17" i="5" s="1"/>
  <c r="EK95" i="5"/>
  <c r="EL95" i="5" s="1"/>
  <c r="EO28" i="5"/>
  <c r="EP28" i="5" s="1"/>
  <c r="EK11" i="5"/>
  <c r="EL11" i="5" s="1"/>
  <c r="DU65" i="5"/>
  <c r="DV65" i="5" s="1"/>
  <c r="EK74" i="5"/>
  <c r="EL74" i="5" s="1"/>
  <c r="AM266" i="11"/>
  <c r="AH266" i="11"/>
  <c r="AG339" i="11" l="1"/>
  <c r="M339" i="11"/>
  <c r="Q339" i="11"/>
  <c r="AF339" i="11" s="1"/>
  <c r="W339" i="11" s="1"/>
  <c r="EV72" i="5"/>
  <c r="EU72" i="5"/>
  <c r="EW72" i="5" s="1"/>
  <c r="EX72" i="5" s="1"/>
  <c r="R136" i="5"/>
  <c r="O136" i="5" s="1"/>
  <c r="R137" i="5"/>
  <c r="O137" i="5" s="1"/>
  <c r="EJ77" i="5"/>
  <c r="EI77" i="5"/>
  <c r="EK77" i="5" s="1"/>
  <c r="EL77" i="5" s="1"/>
  <c r="EZ76" i="5"/>
  <c r="EY76" i="5"/>
  <c r="KA76" i="5" s="1"/>
  <c r="R353" i="5"/>
  <c r="O353" i="5" s="1"/>
  <c r="R362" i="5"/>
  <c r="O362" i="5" s="1"/>
  <c r="R361" i="5"/>
  <c r="O361" i="5" s="1"/>
  <c r="R360" i="5"/>
  <c r="O360" i="5" s="1"/>
  <c r="R359" i="5"/>
  <c r="O359" i="5" s="1"/>
  <c r="R358" i="5"/>
  <c r="O358" i="5" s="1"/>
  <c r="R357" i="5"/>
  <c r="O357" i="5" s="1"/>
  <c r="R356" i="5"/>
  <c r="O356" i="5" s="1"/>
  <c r="R355" i="5"/>
  <c r="O355" i="5" s="1"/>
  <c r="R354" i="5"/>
  <c r="O354" i="5" s="1"/>
  <c r="R352" i="5"/>
  <c r="O352" i="5" s="1"/>
  <c r="R351" i="5"/>
  <c r="O351" i="5" s="1"/>
  <c r="R350" i="5"/>
  <c r="O350" i="5" s="1"/>
  <c r="R349" i="5"/>
  <c r="O349" i="5" s="1"/>
  <c r="R348" i="5"/>
  <c r="O348" i="5" s="1"/>
  <c r="R347" i="5"/>
  <c r="O347" i="5" s="1"/>
  <c r="EN38" i="5"/>
  <c r="EM38" i="5"/>
  <c r="EO38" i="5" s="1"/>
  <c r="EP38" i="5" s="1"/>
  <c r="EJ54" i="5"/>
  <c r="EI54" i="5"/>
  <c r="EK54" i="5" s="1"/>
  <c r="EL54" i="5" s="1"/>
  <c r="W340" i="11"/>
  <c r="EW93" i="5"/>
  <c r="EX93" i="5" s="1"/>
  <c r="EW15" i="5"/>
  <c r="EX15" i="5" s="1"/>
  <c r="EW25" i="5"/>
  <c r="EX25" i="5" s="1"/>
  <c r="DY18" i="5"/>
  <c r="DZ18" i="5" s="1"/>
  <c r="EN88" i="5"/>
  <c r="EM88" i="5"/>
  <c r="EO88" i="5" s="1"/>
  <c r="EP88" i="5" s="1"/>
  <c r="EV53" i="5"/>
  <c r="EU53" i="5"/>
  <c r="EW53" i="5" s="1"/>
  <c r="EX53" i="5" s="1"/>
  <c r="EZ66" i="5"/>
  <c r="EY66" i="5"/>
  <c r="KA66" i="5" s="1"/>
  <c r="S194" i="5"/>
  <c r="P194" i="5" s="1"/>
  <c r="Q194" i="5" s="1"/>
  <c r="I231" i="11" s="1"/>
  <c r="S195" i="5"/>
  <c r="P195" i="5" s="1"/>
  <c r="Q195" i="5" s="1"/>
  <c r="I232" i="11" s="1"/>
  <c r="JZ49" i="5"/>
  <c r="JY49" i="5"/>
  <c r="KB49" i="5" s="1"/>
  <c r="ER52" i="5"/>
  <c r="EQ52" i="5"/>
  <c r="ES52" i="5" s="1"/>
  <c r="ET52" i="5" s="1"/>
  <c r="EB81" i="5"/>
  <c r="EA81" i="5"/>
  <c r="EC81" i="5" s="1"/>
  <c r="ED81" i="5" s="1"/>
  <c r="S148" i="5"/>
  <c r="P148" i="5" s="1"/>
  <c r="Q148" i="5" s="1"/>
  <c r="S149" i="5"/>
  <c r="P149" i="5" s="1"/>
  <c r="Q149" i="5" s="1"/>
  <c r="I302" i="11" s="1"/>
  <c r="ER42" i="5"/>
  <c r="EQ42" i="5"/>
  <c r="ES42" i="5" s="1"/>
  <c r="ET42" i="5" s="1"/>
  <c r="ER12" i="5"/>
  <c r="EQ12" i="5"/>
  <c r="ES12" i="5" s="1"/>
  <c r="ET12" i="5" s="1"/>
  <c r="EN71" i="5"/>
  <c r="EM71" i="5"/>
  <c r="EO71" i="5" s="1"/>
  <c r="EP71" i="5" s="1"/>
  <c r="R206" i="5"/>
  <c r="O206" i="5" s="1"/>
  <c r="R207" i="5"/>
  <c r="O207" i="5" s="1"/>
  <c r="JV89" i="5"/>
  <c r="JU89" i="5"/>
  <c r="JW89" i="5" s="1"/>
  <c r="JX89" i="5" s="1"/>
  <c r="EJ70" i="5"/>
  <c r="EI70" i="5"/>
  <c r="EK70" i="5" s="1"/>
  <c r="EL70" i="5" s="1"/>
  <c r="Q313" i="11"/>
  <c r="AF313" i="11" s="1"/>
  <c r="M313" i="11"/>
  <c r="AG313" i="11"/>
  <c r="Q321" i="11"/>
  <c r="AF321" i="11" s="1"/>
  <c r="M321" i="11"/>
  <c r="AG321" i="11"/>
  <c r="Q287" i="11"/>
  <c r="AF287" i="11" s="1"/>
  <c r="M287" i="11"/>
  <c r="AG287" i="11"/>
  <c r="Q297" i="11"/>
  <c r="AF297" i="11" s="1"/>
  <c r="M297" i="11"/>
  <c r="AG297" i="11"/>
  <c r="Q82" i="11"/>
  <c r="AF82" i="11" s="1"/>
  <c r="M82" i="11"/>
  <c r="AG82" i="11"/>
  <c r="Q83" i="11"/>
  <c r="AF83" i="11" s="1"/>
  <c r="M83" i="11"/>
  <c r="AG83" i="11"/>
  <c r="M84" i="11"/>
  <c r="Q84" i="11"/>
  <c r="AF84" i="11" s="1"/>
  <c r="AG84" i="11"/>
  <c r="M85" i="11"/>
  <c r="Q85" i="11"/>
  <c r="AF85" i="11" s="1"/>
  <c r="AG85" i="11"/>
  <c r="Q86" i="11"/>
  <c r="AF86" i="11" s="1"/>
  <c r="M86" i="11"/>
  <c r="AG86" i="11"/>
  <c r="S220" i="5"/>
  <c r="P220" i="5" s="1"/>
  <c r="Q220" i="5" s="1"/>
  <c r="I257" i="11" s="1"/>
  <c r="S221" i="5"/>
  <c r="P221" i="5" s="1"/>
  <c r="Q221" i="5" s="1"/>
  <c r="I258" i="11" s="1"/>
  <c r="S170" i="5"/>
  <c r="P170" i="5" s="1"/>
  <c r="Q170" i="5" s="1"/>
  <c r="S171" i="5"/>
  <c r="P171" i="5" s="1"/>
  <c r="Q171" i="5" s="1"/>
  <c r="I324" i="11" s="1"/>
  <c r="Q231" i="11"/>
  <c r="AF231" i="11" s="1"/>
  <c r="M231" i="11"/>
  <c r="AG231" i="11"/>
  <c r="M232" i="11"/>
  <c r="Q232" i="11"/>
  <c r="AF232" i="11" s="1"/>
  <c r="AG232" i="11"/>
  <c r="S78" i="5"/>
  <c r="P78" i="5" s="1"/>
  <c r="Q78" i="5" s="1"/>
  <c r="I89" i="11" s="1"/>
  <c r="S79" i="5"/>
  <c r="P79" i="5" s="1"/>
  <c r="Q79" i="5" s="1"/>
  <c r="I90" i="11" s="1"/>
  <c r="S80" i="5"/>
  <c r="P80" i="5" s="1"/>
  <c r="Q80" i="5" s="1"/>
  <c r="I91" i="11" s="1"/>
  <c r="S81" i="5"/>
  <c r="P81" i="5" s="1"/>
  <c r="Q81" i="5" s="1"/>
  <c r="I92" i="11" s="1"/>
  <c r="S82" i="5"/>
  <c r="P82" i="5" s="1"/>
  <c r="Q82" i="5" s="1"/>
  <c r="I93" i="11" s="1"/>
  <c r="S218" i="5"/>
  <c r="P218" i="5" s="1"/>
  <c r="Q218" i="5" s="1"/>
  <c r="I255" i="11" s="1"/>
  <c r="S219" i="5"/>
  <c r="P219" i="5" s="1"/>
  <c r="Q219" i="5" s="1"/>
  <c r="I256" i="11" s="1"/>
  <c r="JY10" i="5"/>
  <c r="JZ10" i="5"/>
  <c r="S142" i="5"/>
  <c r="P142" i="5" s="1"/>
  <c r="Q142" i="5" s="1"/>
  <c r="S143" i="5"/>
  <c r="P143" i="5" s="1"/>
  <c r="Q143" i="5" s="1"/>
  <c r="I296" i="11" s="1"/>
  <c r="Q317" i="11"/>
  <c r="AF317" i="11" s="1"/>
  <c r="M317" i="11"/>
  <c r="AG317" i="11"/>
  <c r="M253" i="11"/>
  <c r="Q253" i="11"/>
  <c r="AF253" i="11" s="1"/>
  <c r="AG253" i="11"/>
  <c r="Q254" i="11"/>
  <c r="AF254" i="11" s="1"/>
  <c r="M254" i="11"/>
  <c r="AG254" i="11"/>
  <c r="S347" i="5"/>
  <c r="P347" i="5" s="1"/>
  <c r="Q347" i="5" s="1"/>
  <c r="I392" i="11" s="1"/>
  <c r="K392" i="11" s="1"/>
  <c r="S348" i="5"/>
  <c r="P348" i="5" s="1"/>
  <c r="Q348" i="5" s="1"/>
  <c r="I393" i="11" s="1"/>
  <c r="K393" i="11" s="1"/>
  <c r="S349" i="5"/>
  <c r="P349" i="5" s="1"/>
  <c r="Q349" i="5" s="1"/>
  <c r="I394" i="11" s="1"/>
  <c r="K394" i="11" s="1"/>
  <c r="S350" i="5"/>
  <c r="P350" i="5" s="1"/>
  <c r="Q350" i="5" s="1"/>
  <c r="I395" i="11" s="1"/>
  <c r="K395" i="11" s="1"/>
  <c r="S351" i="5"/>
  <c r="P351" i="5" s="1"/>
  <c r="Q351" i="5" s="1"/>
  <c r="I396" i="11" s="1"/>
  <c r="K396" i="11" s="1"/>
  <c r="S352" i="5"/>
  <c r="P352" i="5" s="1"/>
  <c r="Q352" i="5" s="1"/>
  <c r="I397" i="11" s="1"/>
  <c r="K397" i="11" s="1"/>
  <c r="S354" i="5"/>
  <c r="P354" i="5" s="1"/>
  <c r="Q354" i="5" s="1"/>
  <c r="I399" i="11" s="1"/>
  <c r="K399" i="11" s="1"/>
  <c r="S355" i="5"/>
  <c r="P355" i="5" s="1"/>
  <c r="Q355" i="5" s="1"/>
  <c r="I400" i="11" s="1"/>
  <c r="K400" i="11" s="1"/>
  <c r="S356" i="5"/>
  <c r="P356" i="5" s="1"/>
  <c r="Q356" i="5" s="1"/>
  <c r="I401" i="11" s="1"/>
  <c r="K401" i="11" s="1"/>
  <c r="S357" i="5"/>
  <c r="P357" i="5" s="1"/>
  <c r="Q357" i="5" s="1"/>
  <c r="I402" i="11" s="1"/>
  <c r="K402" i="11" s="1"/>
  <c r="S358" i="5"/>
  <c r="P358" i="5" s="1"/>
  <c r="Q358" i="5" s="1"/>
  <c r="I403" i="11" s="1"/>
  <c r="K403" i="11" s="1"/>
  <c r="S359" i="5"/>
  <c r="P359" i="5" s="1"/>
  <c r="Q359" i="5" s="1"/>
  <c r="I404" i="11" s="1"/>
  <c r="K404" i="11" s="1"/>
  <c r="S360" i="5"/>
  <c r="P360" i="5" s="1"/>
  <c r="Q360" i="5" s="1"/>
  <c r="I405" i="11" s="1"/>
  <c r="K405" i="11" s="1"/>
  <c r="S361" i="5"/>
  <c r="P361" i="5" s="1"/>
  <c r="Q361" i="5" s="1"/>
  <c r="I406" i="11" s="1"/>
  <c r="K406" i="11" s="1"/>
  <c r="S362" i="5"/>
  <c r="P362" i="5" s="1"/>
  <c r="Q362" i="5" s="1"/>
  <c r="I407" i="11" s="1"/>
  <c r="K407" i="11" s="1"/>
  <c r="S353" i="5"/>
  <c r="P353" i="5" s="1"/>
  <c r="Q353" i="5" s="1"/>
  <c r="I398" i="11" s="1"/>
  <c r="K398" i="11" s="1"/>
  <c r="S287" i="5"/>
  <c r="P287" i="5" s="1"/>
  <c r="Q287" i="5" s="1"/>
  <c r="I170" i="11" s="1"/>
  <c r="S288" i="5"/>
  <c r="P288" i="5" s="1"/>
  <c r="Q288" i="5" s="1"/>
  <c r="I171" i="11" s="1"/>
  <c r="S289" i="5"/>
  <c r="P289" i="5" s="1"/>
  <c r="Q289" i="5" s="1"/>
  <c r="I172" i="11" s="1"/>
  <c r="S290" i="5"/>
  <c r="P290" i="5" s="1"/>
  <c r="Q290" i="5" s="1"/>
  <c r="I173" i="11" s="1"/>
  <c r="S291" i="5"/>
  <c r="P291" i="5" s="1"/>
  <c r="Q291" i="5" s="1"/>
  <c r="I174" i="11" s="1"/>
  <c r="M241" i="11"/>
  <c r="Q241" i="11"/>
  <c r="AF241" i="11" s="1"/>
  <c r="AG241" i="11"/>
  <c r="M242" i="11"/>
  <c r="Q242" i="11"/>
  <c r="AF242" i="11" s="1"/>
  <c r="AG242" i="11"/>
  <c r="N14" i="7"/>
  <c r="I293" i="11"/>
  <c r="AG294" i="11"/>
  <c r="M294" i="11"/>
  <c r="Q294" i="11"/>
  <c r="AF294" i="11" s="1"/>
  <c r="W294" i="11" s="1"/>
  <c r="AH294" i="11" s="1"/>
  <c r="AM294" i="11" s="1"/>
  <c r="S230" i="5"/>
  <c r="P230" i="5" s="1"/>
  <c r="Q230" i="5" s="1"/>
  <c r="I267" i="11" s="1"/>
  <c r="S231" i="5"/>
  <c r="P231" i="5" s="1"/>
  <c r="Q231" i="5" s="1"/>
  <c r="I268" i="11" s="1"/>
  <c r="EV29" i="5"/>
  <c r="EU29" i="5"/>
  <c r="EW29" i="5" s="1"/>
  <c r="EX29" i="5" s="1"/>
  <c r="JZ92" i="5"/>
  <c r="JY92" i="5"/>
  <c r="KB92" i="5" s="1"/>
  <c r="R172" i="5"/>
  <c r="O172" i="5" s="1"/>
  <c r="R173" i="5"/>
  <c r="O173" i="5" s="1"/>
  <c r="R78" i="5"/>
  <c r="O78" i="5" s="1"/>
  <c r="R79" i="5"/>
  <c r="O79" i="5" s="1"/>
  <c r="R80" i="5"/>
  <c r="O80" i="5" s="1"/>
  <c r="R81" i="5"/>
  <c r="O81" i="5" s="1"/>
  <c r="R82" i="5"/>
  <c r="O82" i="5" s="1"/>
  <c r="S240" i="5"/>
  <c r="P240" i="5" s="1"/>
  <c r="Q240" i="5" s="1"/>
  <c r="I277" i="11" s="1"/>
  <c r="S241" i="5"/>
  <c r="P241" i="5" s="1"/>
  <c r="Q241" i="5" s="1"/>
  <c r="I278" i="11" s="1"/>
  <c r="S156" i="5"/>
  <c r="P156" i="5" s="1"/>
  <c r="Q156" i="5" s="1"/>
  <c r="S157" i="5"/>
  <c r="P157" i="5" s="1"/>
  <c r="Q157" i="5" s="1"/>
  <c r="I310" i="11" s="1"/>
  <c r="JY93" i="5"/>
  <c r="JZ93" i="5"/>
  <c r="S410" i="5"/>
  <c r="P410" i="5" s="1"/>
  <c r="Q410" i="5" s="1"/>
  <c r="I617" i="11" s="1"/>
  <c r="K617" i="11" s="1"/>
  <c r="S414" i="5"/>
  <c r="P414" i="5" s="1"/>
  <c r="Q414" i="5" s="1"/>
  <c r="I621" i="11" s="1"/>
  <c r="K621" i="11" s="1"/>
  <c r="S417" i="5"/>
  <c r="P417" i="5" s="1"/>
  <c r="Q417" i="5" s="1"/>
  <c r="I624" i="11" s="1"/>
  <c r="K624" i="11" s="1"/>
  <c r="S421" i="5"/>
  <c r="P421" i="5" s="1"/>
  <c r="Q421" i="5" s="1"/>
  <c r="I628" i="11" s="1"/>
  <c r="K628" i="11" s="1"/>
  <c r="S423" i="5"/>
  <c r="P423" i="5" s="1"/>
  <c r="Q423" i="5" s="1"/>
  <c r="I630" i="11" s="1"/>
  <c r="K630" i="11" s="1"/>
  <c r="S426" i="5"/>
  <c r="P426" i="5" s="1"/>
  <c r="Q426" i="5" s="1"/>
  <c r="I633" i="11" s="1"/>
  <c r="K633" i="11" s="1"/>
  <c r="S428" i="5"/>
  <c r="P428" i="5" s="1"/>
  <c r="Q428" i="5" s="1"/>
  <c r="I635" i="11" s="1"/>
  <c r="K635" i="11" s="1"/>
  <c r="S412" i="5"/>
  <c r="P412" i="5" s="1"/>
  <c r="Q412" i="5" s="1"/>
  <c r="I619" i="11" s="1"/>
  <c r="K619" i="11" s="1"/>
  <c r="S415" i="5"/>
  <c r="P415" i="5" s="1"/>
  <c r="Q415" i="5" s="1"/>
  <c r="I622" i="11" s="1"/>
  <c r="K622" i="11" s="1"/>
  <c r="S419" i="5"/>
  <c r="P419" i="5" s="1"/>
  <c r="Q419" i="5" s="1"/>
  <c r="I626" i="11" s="1"/>
  <c r="K626" i="11" s="1"/>
  <c r="S424" i="5"/>
  <c r="P424" i="5" s="1"/>
  <c r="Q424" i="5" s="1"/>
  <c r="I631" i="11" s="1"/>
  <c r="K631" i="11" s="1"/>
  <c r="S427" i="5"/>
  <c r="P427" i="5" s="1"/>
  <c r="Q427" i="5" s="1"/>
  <c r="I634" i="11" s="1"/>
  <c r="K634" i="11" s="1"/>
  <c r="S429" i="5"/>
  <c r="P429" i="5" s="1"/>
  <c r="Q429" i="5" s="1"/>
  <c r="I636" i="11" s="1"/>
  <c r="K636" i="11" s="1"/>
  <c r="S390" i="5"/>
  <c r="P390" i="5" s="1"/>
  <c r="Q390" i="5" s="1"/>
  <c r="I597" i="11" s="1"/>
  <c r="K597" i="11" s="1"/>
  <c r="S391" i="5"/>
  <c r="P391" i="5" s="1"/>
  <c r="Q391" i="5" s="1"/>
  <c r="I598" i="11" s="1"/>
  <c r="K598" i="11" s="1"/>
  <c r="S392" i="5"/>
  <c r="P392" i="5" s="1"/>
  <c r="Q392" i="5" s="1"/>
  <c r="I599" i="11" s="1"/>
  <c r="K599" i="11" s="1"/>
  <c r="S393" i="5"/>
  <c r="P393" i="5" s="1"/>
  <c r="Q393" i="5" s="1"/>
  <c r="I600" i="11" s="1"/>
  <c r="K600" i="11" s="1"/>
  <c r="S394" i="5"/>
  <c r="P394" i="5" s="1"/>
  <c r="Q394" i="5" s="1"/>
  <c r="I601" i="11" s="1"/>
  <c r="K601" i="11" s="1"/>
  <c r="S395" i="5"/>
  <c r="P395" i="5" s="1"/>
  <c r="Q395" i="5" s="1"/>
  <c r="I602" i="11" s="1"/>
  <c r="K602" i="11" s="1"/>
  <c r="S396" i="5"/>
  <c r="P396" i="5" s="1"/>
  <c r="Q396" i="5" s="1"/>
  <c r="I603" i="11" s="1"/>
  <c r="K603" i="11" s="1"/>
  <c r="S397" i="5"/>
  <c r="P397" i="5" s="1"/>
  <c r="Q397" i="5" s="1"/>
  <c r="I604" i="11" s="1"/>
  <c r="K604" i="11" s="1"/>
  <c r="S398" i="5"/>
  <c r="P398" i="5" s="1"/>
  <c r="Q398" i="5" s="1"/>
  <c r="I605" i="11" s="1"/>
  <c r="K605" i="11" s="1"/>
  <c r="S399" i="5"/>
  <c r="P399" i="5" s="1"/>
  <c r="Q399" i="5" s="1"/>
  <c r="I606" i="11" s="1"/>
  <c r="K606" i="11" s="1"/>
  <c r="S400" i="5"/>
  <c r="P400" i="5" s="1"/>
  <c r="Q400" i="5" s="1"/>
  <c r="I607" i="11" s="1"/>
  <c r="K607" i="11" s="1"/>
  <c r="S401" i="5"/>
  <c r="P401" i="5" s="1"/>
  <c r="Q401" i="5" s="1"/>
  <c r="I608" i="11" s="1"/>
  <c r="K608" i="11" s="1"/>
  <c r="S402" i="5"/>
  <c r="P402" i="5" s="1"/>
  <c r="Q402" i="5" s="1"/>
  <c r="I609" i="11" s="1"/>
  <c r="K609" i="11" s="1"/>
  <c r="S403" i="5"/>
  <c r="P403" i="5" s="1"/>
  <c r="Q403" i="5" s="1"/>
  <c r="I610" i="11" s="1"/>
  <c r="K610" i="11" s="1"/>
  <c r="S404" i="5"/>
  <c r="P404" i="5" s="1"/>
  <c r="Q404" i="5" s="1"/>
  <c r="I611" i="11" s="1"/>
  <c r="K611" i="11" s="1"/>
  <c r="S405" i="5"/>
  <c r="P405" i="5" s="1"/>
  <c r="Q405" i="5" s="1"/>
  <c r="I612" i="11" s="1"/>
  <c r="K612" i="11" s="1"/>
  <c r="S406" i="5"/>
  <c r="P406" i="5" s="1"/>
  <c r="Q406" i="5" s="1"/>
  <c r="I613" i="11" s="1"/>
  <c r="K613" i="11" s="1"/>
  <c r="S407" i="5"/>
  <c r="P407" i="5" s="1"/>
  <c r="Q407" i="5" s="1"/>
  <c r="I614" i="11" s="1"/>
  <c r="K614" i="11" s="1"/>
  <c r="S408" i="5"/>
  <c r="P408" i="5" s="1"/>
  <c r="Q408" i="5" s="1"/>
  <c r="I615" i="11" s="1"/>
  <c r="K615" i="11" s="1"/>
  <c r="S409" i="5"/>
  <c r="P409" i="5" s="1"/>
  <c r="Q409" i="5" s="1"/>
  <c r="I616" i="11" s="1"/>
  <c r="K616" i="11" s="1"/>
  <c r="S413" i="5"/>
  <c r="P413" i="5" s="1"/>
  <c r="Q413" i="5" s="1"/>
  <c r="I620" i="11" s="1"/>
  <c r="K620" i="11" s="1"/>
  <c r="S416" i="5"/>
  <c r="P416" i="5" s="1"/>
  <c r="Q416" i="5" s="1"/>
  <c r="I623" i="11" s="1"/>
  <c r="K623" i="11" s="1"/>
  <c r="S418" i="5"/>
  <c r="P418" i="5" s="1"/>
  <c r="Q418" i="5" s="1"/>
  <c r="I625" i="11" s="1"/>
  <c r="K625" i="11" s="1"/>
  <c r="S420" i="5"/>
  <c r="P420" i="5" s="1"/>
  <c r="Q420" i="5" s="1"/>
  <c r="I627" i="11" s="1"/>
  <c r="K627" i="11" s="1"/>
  <c r="S422" i="5"/>
  <c r="P422" i="5" s="1"/>
  <c r="Q422" i="5" s="1"/>
  <c r="I629" i="11" s="1"/>
  <c r="K629" i="11" s="1"/>
  <c r="S425" i="5"/>
  <c r="P425" i="5" s="1"/>
  <c r="Q425" i="5" s="1"/>
  <c r="I632" i="11" s="1"/>
  <c r="K632" i="11" s="1"/>
  <c r="S411" i="5"/>
  <c r="P411" i="5" s="1"/>
  <c r="Q411" i="5" s="1"/>
  <c r="I618" i="11" s="1"/>
  <c r="K618" i="11" s="1"/>
  <c r="S432" i="5"/>
  <c r="P432" i="5" s="1"/>
  <c r="Q432" i="5" s="1"/>
  <c r="I670" i="11" s="1"/>
  <c r="K670" i="11" s="1"/>
  <c r="S435" i="5"/>
  <c r="P435" i="5" s="1"/>
  <c r="Q435" i="5" s="1"/>
  <c r="I673" i="11" s="1"/>
  <c r="K673" i="11" s="1"/>
  <c r="S439" i="5"/>
  <c r="P439" i="5" s="1"/>
  <c r="Q439" i="5" s="1"/>
  <c r="I677" i="11" s="1"/>
  <c r="K677" i="11" s="1"/>
  <c r="S441" i="5"/>
  <c r="P441" i="5" s="1"/>
  <c r="Q441" i="5" s="1"/>
  <c r="I679" i="11" s="1"/>
  <c r="K679" i="11" s="1"/>
  <c r="S443" i="5"/>
  <c r="P443" i="5" s="1"/>
  <c r="Q443" i="5" s="1"/>
  <c r="I681" i="11" s="1"/>
  <c r="K681" i="11" s="1"/>
  <c r="S446" i="5"/>
  <c r="P446" i="5" s="1"/>
  <c r="Q446" i="5" s="1"/>
  <c r="I684" i="11" s="1"/>
  <c r="K684" i="11" s="1"/>
  <c r="S448" i="5"/>
  <c r="P448" i="5" s="1"/>
  <c r="Q448" i="5" s="1"/>
  <c r="I686" i="11" s="1"/>
  <c r="K686" i="11" s="1"/>
  <c r="S452" i="5"/>
  <c r="P452" i="5" s="1"/>
  <c r="Q452" i="5" s="1"/>
  <c r="I690" i="11" s="1"/>
  <c r="K690" i="11" s="1"/>
  <c r="S454" i="5"/>
  <c r="P454" i="5" s="1"/>
  <c r="Q454" i="5" s="1"/>
  <c r="I692" i="11" s="1"/>
  <c r="K692" i="11" s="1"/>
  <c r="S456" i="5"/>
  <c r="P456" i="5" s="1"/>
  <c r="Q456" i="5" s="1"/>
  <c r="I694" i="11" s="1"/>
  <c r="K694" i="11" s="1"/>
  <c r="S458" i="5"/>
  <c r="P458" i="5" s="1"/>
  <c r="Q458" i="5" s="1"/>
  <c r="I696" i="11" s="1"/>
  <c r="K696" i="11" s="1"/>
  <c r="S431" i="5"/>
  <c r="P431" i="5" s="1"/>
  <c r="Q431" i="5" s="1"/>
  <c r="I669" i="11" s="1"/>
  <c r="K669" i="11" s="1"/>
  <c r="S436" i="5"/>
  <c r="P436" i="5" s="1"/>
  <c r="Q436" i="5" s="1"/>
  <c r="I674" i="11" s="1"/>
  <c r="K674" i="11" s="1"/>
  <c r="S438" i="5"/>
  <c r="P438" i="5" s="1"/>
  <c r="Q438" i="5" s="1"/>
  <c r="I676" i="11" s="1"/>
  <c r="K676" i="11" s="1"/>
  <c r="S440" i="5"/>
  <c r="P440" i="5" s="1"/>
  <c r="Q440" i="5" s="1"/>
  <c r="I678" i="11" s="1"/>
  <c r="K678" i="11" s="1"/>
  <c r="S442" i="5"/>
  <c r="P442" i="5" s="1"/>
  <c r="Q442" i="5" s="1"/>
  <c r="I680" i="11" s="1"/>
  <c r="K680" i="11" s="1"/>
  <c r="S445" i="5"/>
  <c r="P445" i="5" s="1"/>
  <c r="Q445" i="5" s="1"/>
  <c r="I683" i="11" s="1"/>
  <c r="K683" i="11" s="1"/>
  <c r="S449" i="5"/>
  <c r="P449" i="5" s="1"/>
  <c r="Q449" i="5" s="1"/>
  <c r="I687" i="11" s="1"/>
  <c r="K687" i="11" s="1"/>
  <c r="S451" i="5"/>
  <c r="P451" i="5" s="1"/>
  <c r="Q451" i="5" s="1"/>
  <c r="I689" i="11" s="1"/>
  <c r="K689" i="11" s="1"/>
  <c r="S455" i="5"/>
  <c r="P455" i="5" s="1"/>
  <c r="Q455" i="5" s="1"/>
  <c r="I693" i="11" s="1"/>
  <c r="K693" i="11" s="1"/>
  <c r="S459" i="5"/>
  <c r="P459" i="5" s="1"/>
  <c r="Q459" i="5" s="1"/>
  <c r="I697" i="11" s="1"/>
  <c r="K697" i="11" s="1"/>
  <c r="S430" i="5"/>
  <c r="P430" i="5" s="1"/>
  <c r="Q430" i="5" s="1"/>
  <c r="I668" i="11" s="1"/>
  <c r="K668" i="11" s="1"/>
  <c r="S433" i="5"/>
  <c r="P433" i="5" s="1"/>
  <c r="Q433" i="5" s="1"/>
  <c r="I671" i="11" s="1"/>
  <c r="K671" i="11" s="1"/>
  <c r="S434" i="5"/>
  <c r="P434" i="5" s="1"/>
  <c r="Q434" i="5" s="1"/>
  <c r="I672" i="11" s="1"/>
  <c r="K672" i="11" s="1"/>
  <c r="S437" i="5"/>
  <c r="P437" i="5" s="1"/>
  <c r="Q437" i="5" s="1"/>
  <c r="I675" i="11" s="1"/>
  <c r="K675" i="11" s="1"/>
  <c r="S444" i="5"/>
  <c r="P444" i="5" s="1"/>
  <c r="Q444" i="5" s="1"/>
  <c r="I682" i="11" s="1"/>
  <c r="K682" i="11" s="1"/>
  <c r="S447" i="5"/>
  <c r="P447" i="5" s="1"/>
  <c r="Q447" i="5" s="1"/>
  <c r="I685" i="11" s="1"/>
  <c r="K685" i="11" s="1"/>
  <c r="S450" i="5"/>
  <c r="P450" i="5" s="1"/>
  <c r="Q450" i="5" s="1"/>
  <c r="I688" i="11" s="1"/>
  <c r="K688" i="11" s="1"/>
  <c r="S453" i="5"/>
  <c r="P453" i="5" s="1"/>
  <c r="Q453" i="5" s="1"/>
  <c r="I691" i="11" s="1"/>
  <c r="K691" i="11" s="1"/>
  <c r="S457" i="5"/>
  <c r="P457" i="5" s="1"/>
  <c r="Q457" i="5" s="1"/>
  <c r="I695" i="11" s="1"/>
  <c r="K695" i="11" s="1"/>
  <c r="S180" i="5"/>
  <c r="P180" i="5" s="1"/>
  <c r="Q180" i="5" s="1"/>
  <c r="S181" i="5"/>
  <c r="P181" i="5" s="1"/>
  <c r="Q181" i="5" s="1"/>
  <c r="I334" i="11" s="1"/>
  <c r="S184" i="5"/>
  <c r="P184" i="5" s="1"/>
  <c r="Q184" i="5" s="1"/>
  <c r="S185" i="5"/>
  <c r="P185" i="5" s="1"/>
  <c r="Q185" i="5" s="1"/>
  <c r="I338" i="11" s="1"/>
  <c r="S210" i="5"/>
  <c r="P210" i="5" s="1"/>
  <c r="Q210" i="5" s="1"/>
  <c r="I247" i="11" s="1"/>
  <c r="S211" i="5"/>
  <c r="P211" i="5" s="1"/>
  <c r="Q211" i="5" s="1"/>
  <c r="I248" i="11" s="1"/>
  <c r="JV43" i="5"/>
  <c r="JU43" i="5"/>
  <c r="JW43" i="5" s="1"/>
  <c r="JX43" i="5" s="1"/>
  <c r="JU38" i="5"/>
  <c r="JV38" i="5"/>
  <c r="JY95" i="5"/>
  <c r="JZ95" i="5"/>
  <c r="JU23" i="5"/>
  <c r="JV23" i="5"/>
  <c r="EY26" i="5"/>
  <c r="EZ26" i="5"/>
  <c r="AH252" i="11"/>
  <c r="AM252" i="11" s="1"/>
  <c r="AH251" i="11"/>
  <c r="AM251" i="11"/>
  <c r="AH265" i="11"/>
  <c r="AM265" i="11" s="1"/>
  <c r="JZ17" i="5"/>
  <c r="JY17" i="5"/>
  <c r="KB17" i="5" s="1"/>
  <c r="EU36" i="5"/>
  <c r="EV36" i="5"/>
  <c r="JV86" i="5"/>
  <c r="JU86" i="5"/>
  <c r="EQ69" i="5"/>
  <c r="ER69" i="5"/>
  <c r="AH263" i="11"/>
  <c r="AM263" i="11"/>
  <c r="AH264" i="11"/>
  <c r="AM264" i="11"/>
  <c r="S8" i="5"/>
  <c r="P8" i="5" s="1"/>
  <c r="Q8" i="5" s="1"/>
  <c r="S37" i="5"/>
  <c r="P37" i="5" s="1"/>
  <c r="Q37" i="5" s="1"/>
  <c r="I38" i="11" s="1"/>
  <c r="S36" i="5"/>
  <c r="P36" i="5" s="1"/>
  <c r="Q36" i="5" s="1"/>
  <c r="I37" i="11" s="1"/>
  <c r="S35" i="5"/>
  <c r="P35" i="5" s="1"/>
  <c r="Q35" i="5" s="1"/>
  <c r="I36" i="11" s="1"/>
  <c r="S34" i="5"/>
  <c r="P34" i="5" s="1"/>
  <c r="Q34" i="5" s="1"/>
  <c r="I35" i="11" s="1"/>
  <c r="S33" i="5"/>
  <c r="P33" i="5" s="1"/>
  <c r="Q33" i="5" s="1"/>
  <c r="I34" i="11" s="1"/>
  <c r="S32" i="5"/>
  <c r="P32" i="5" s="1"/>
  <c r="Q32" i="5" s="1"/>
  <c r="I33" i="11" s="1"/>
  <c r="S31" i="5"/>
  <c r="P31" i="5" s="1"/>
  <c r="Q31" i="5" s="1"/>
  <c r="I32" i="11" s="1"/>
  <c r="S30" i="5"/>
  <c r="P30" i="5" s="1"/>
  <c r="Q30" i="5" s="1"/>
  <c r="I31" i="11" s="1"/>
  <c r="S29" i="5"/>
  <c r="P29" i="5" s="1"/>
  <c r="Q29" i="5" s="1"/>
  <c r="I30" i="11" s="1"/>
  <c r="S28" i="5"/>
  <c r="P28" i="5" s="1"/>
  <c r="Q28" i="5" s="1"/>
  <c r="I29" i="11" s="1"/>
  <c r="S27" i="5"/>
  <c r="P27" i="5" s="1"/>
  <c r="Q27" i="5" s="1"/>
  <c r="I28" i="11" s="1"/>
  <c r="S26" i="5"/>
  <c r="P26" i="5" s="1"/>
  <c r="Q26" i="5" s="1"/>
  <c r="I27" i="11" s="1"/>
  <c r="S25" i="5"/>
  <c r="P25" i="5" s="1"/>
  <c r="Q25" i="5" s="1"/>
  <c r="I26" i="11" s="1"/>
  <c r="S24" i="5"/>
  <c r="P24" i="5" s="1"/>
  <c r="Q24" i="5" s="1"/>
  <c r="I25" i="11" s="1"/>
  <c r="S23" i="5"/>
  <c r="P23" i="5" s="1"/>
  <c r="Q23" i="5" s="1"/>
  <c r="I24" i="11" s="1"/>
  <c r="S22" i="5"/>
  <c r="P22" i="5" s="1"/>
  <c r="Q22" i="5" s="1"/>
  <c r="I23" i="11" s="1"/>
  <c r="S21" i="5"/>
  <c r="P21" i="5" s="1"/>
  <c r="Q21" i="5" s="1"/>
  <c r="I22" i="11" s="1"/>
  <c r="S20" i="5"/>
  <c r="P20" i="5" s="1"/>
  <c r="Q20" i="5" s="1"/>
  <c r="I21" i="11" s="1"/>
  <c r="S19" i="5"/>
  <c r="P19" i="5" s="1"/>
  <c r="Q19" i="5" s="1"/>
  <c r="I20" i="11" s="1"/>
  <c r="S18" i="5"/>
  <c r="P18" i="5" s="1"/>
  <c r="Q18" i="5" s="1"/>
  <c r="I19" i="11" s="1"/>
  <c r="S17" i="5"/>
  <c r="P17" i="5" s="1"/>
  <c r="Q17" i="5" s="1"/>
  <c r="I18" i="11" s="1"/>
  <c r="S16" i="5"/>
  <c r="P16" i="5" s="1"/>
  <c r="Q16" i="5" s="1"/>
  <c r="I17" i="11" s="1"/>
  <c r="S15" i="5"/>
  <c r="P15" i="5" s="1"/>
  <c r="Q15" i="5" s="1"/>
  <c r="I16" i="11" s="1"/>
  <c r="S14" i="5"/>
  <c r="P14" i="5" s="1"/>
  <c r="Q14" i="5" s="1"/>
  <c r="I15" i="11" s="1"/>
  <c r="S13" i="5"/>
  <c r="P13" i="5" s="1"/>
  <c r="Q13" i="5" s="1"/>
  <c r="I14" i="11" s="1"/>
  <c r="S12" i="5"/>
  <c r="P12" i="5" s="1"/>
  <c r="Q12" i="5" s="1"/>
  <c r="I13" i="11" s="1"/>
  <c r="S11" i="5"/>
  <c r="P11" i="5" s="1"/>
  <c r="Q11" i="5" s="1"/>
  <c r="I12" i="11" s="1"/>
  <c r="S10" i="5"/>
  <c r="P10" i="5" s="1"/>
  <c r="Q10" i="5" s="1"/>
  <c r="I11" i="11" s="1"/>
  <c r="S9" i="5"/>
  <c r="P9" i="5" s="1"/>
  <c r="Q9" i="5" s="1"/>
  <c r="I10" i="11" s="1"/>
  <c r="S203" i="5"/>
  <c r="P203" i="5" s="1"/>
  <c r="Q203" i="5" s="1"/>
  <c r="I240" i="11" s="1"/>
  <c r="S202" i="5"/>
  <c r="P202" i="5" s="1"/>
  <c r="Q202" i="5" s="1"/>
  <c r="I239" i="11" s="1"/>
  <c r="S147" i="5"/>
  <c r="P147" i="5" s="1"/>
  <c r="Q147" i="5" s="1"/>
  <c r="I300" i="11" s="1"/>
  <c r="S146" i="5"/>
  <c r="P146" i="5" s="1"/>
  <c r="Q146" i="5" s="1"/>
  <c r="JY91" i="5"/>
  <c r="JZ91" i="5"/>
  <c r="JZ53" i="5"/>
  <c r="JY53" i="5"/>
  <c r="KB53" i="5" s="1"/>
  <c r="JZ51" i="5"/>
  <c r="JY51" i="5"/>
  <c r="KB51" i="5" s="1"/>
  <c r="S139" i="5"/>
  <c r="P139" i="5" s="1"/>
  <c r="Q139" i="5" s="1"/>
  <c r="I292" i="11" s="1"/>
  <c r="S138" i="5"/>
  <c r="P138" i="5" s="1"/>
  <c r="Q138" i="5" s="1"/>
  <c r="JZ73" i="5"/>
  <c r="JY73" i="5"/>
  <c r="KB73" i="5" s="1"/>
  <c r="S223" i="5"/>
  <c r="P223" i="5" s="1"/>
  <c r="Q223" i="5" s="1"/>
  <c r="I260" i="11" s="1"/>
  <c r="S222" i="5"/>
  <c r="P222" i="5" s="1"/>
  <c r="Q222" i="5" s="1"/>
  <c r="I259" i="11" s="1"/>
  <c r="S129" i="5"/>
  <c r="P129" i="5" s="1"/>
  <c r="Q129" i="5" s="1"/>
  <c r="I282" i="11" s="1"/>
  <c r="S128" i="5"/>
  <c r="P128" i="5" s="1"/>
  <c r="Q128" i="5" s="1"/>
  <c r="S206" i="5"/>
  <c r="P206" i="5" s="1"/>
  <c r="Q206" i="5" s="1"/>
  <c r="I243" i="11" s="1"/>
  <c r="S207" i="5"/>
  <c r="P207" i="5" s="1"/>
  <c r="Q207" i="5" s="1"/>
  <c r="I244" i="11" s="1"/>
  <c r="JZ31" i="5"/>
  <c r="JY31" i="5"/>
  <c r="KB31" i="5" s="1"/>
  <c r="JZ55" i="5"/>
  <c r="JY55" i="5"/>
  <c r="KB55" i="5" s="1"/>
  <c r="EM8" i="5"/>
  <c r="EN8" i="5"/>
  <c r="JV44" i="5"/>
  <c r="JU44" i="5"/>
  <c r="JW44" i="5" s="1"/>
  <c r="JX44" i="5" s="1"/>
  <c r="JZ21" i="5"/>
  <c r="JY21" i="5"/>
  <c r="KB21" i="5" s="1"/>
  <c r="EU30" i="5"/>
  <c r="EV30" i="5"/>
  <c r="EE73" i="5"/>
  <c r="EF73" i="5"/>
  <c r="EQ17" i="5"/>
  <c r="ER17" i="5"/>
  <c r="EM95" i="5"/>
  <c r="EN95" i="5"/>
  <c r="EQ28" i="5"/>
  <c r="ER28" i="5"/>
  <c r="EN11" i="5"/>
  <c r="EM11" i="5"/>
  <c r="EO11" i="5" s="1"/>
  <c r="EP11" i="5" s="1"/>
  <c r="DW65" i="5"/>
  <c r="DX65" i="5"/>
  <c r="EM74" i="5"/>
  <c r="EN74" i="5"/>
  <c r="AK266" i="11"/>
  <c r="AJ266" i="11"/>
  <c r="AI266" i="11"/>
  <c r="KA14" i="5"/>
  <c r="W75" i="11"/>
  <c r="W76" i="11"/>
  <c r="KB36" i="5"/>
  <c r="W78" i="11"/>
  <c r="W79" i="11"/>
  <c r="ES22" i="5"/>
  <c r="ET22" i="5" s="1"/>
  <c r="KB84" i="5"/>
  <c r="KB59" i="5"/>
  <c r="KB72" i="5"/>
  <c r="KB82" i="5"/>
  <c r="KB18" i="5"/>
  <c r="KB71" i="5"/>
  <c r="KB74" i="5"/>
  <c r="KB32" i="5"/>
  <c r="KB46" i="5"/>
  <c r="KB20" i="5"/>
  <c r="KB54" i="5"/>
  <c r="KB41" i="5"/>
  <c r="KB9" i="5"/>
  <c r="JW67" i="5"/>
  <c r="JX67" i="5" s="1"/>
  <c r="KB78" i="5"/>
  <c r="JW42" i="5"/>
  <c r="JX42" i="5" s="1"/>
  <c r="EC19" i="5"/>
  <c r="ED19" i="5" s="1"/>
  <c r="EW79" i="5"/>
  <c r="EX79" i="5" s="1"/>
  <c r="JW16" i="5"/>
  <c r="JX16" i="5" s="1"/>
  <c r="KB77" i="5"/>
  <c r="JW15" i="5"/>
  <c r="JX15" i="5" s="1"/>
  <c r="KA27" i="5"/>
  <c r="EK40" i="5"/>
  <c r="EL40" i="5" s="1"/>
  <c r="KB94" i="5"/>
  <c r="JS50" i="5"/>
  <c r="JT50" i="5" s="1"/>
  <c r="JW14" i="5"/>
  <c r="JX14" i="5" s="1"/>
  <c r="ES84" i="5"/>
  <c r="ET84" i="5" s="1"/>
  <c r="KB81" i="5"/>
  <c r="KB30" i="5"/>
  <c r="KB79" i="5"/>
  <c r="EW86" i="5"/>
  <c r="EX86" i="5" s="1"/>
  <c r="ES31" i="5"/>
  <c r="ET31" i="5" s="1"/>
  <c r="DY55" i="5"/>
  <c r="DZ55" i="5" s="1"/>
  <c r="DU91" i="5"/>
  <c r="DV91" i="5" s="1"/>
  <c r="DU94" i="5"/>
  <c r="DV94" i="5" s="1"/>
  <c r="DU80" i="5"/>
  <c r="DV80" i="5" s="1"/>
  <c r="AM314" i="11"/>
  <c r="AH314" i="11"/>
  <c r="AM322" i="11"/>
  <c r="AH322" i="11"/>
  <c r="AM288" i="11"/>
  <c r="AH288" i="11"/>
  <c r="AM77" i="11"/>
  <c r="AH77" i="11"/>
  <c r="AM298" i="11"/>
  <c r="AH298" i="11"/>
  <c r="AM318" i="11"/>
  <c r="AH318" i="11"/>
  <c r="EZ72" i="5" l="1"/>
  <c r="EY72" i="5"/>
  <c r="KA72" i="5" s="1"/>
  <c r="EM77" i="5"/>
  <c r="EN77" i="5"/>
  <c r="R242" i="5"/>
  <c r="O242" i="5" s="1"/>
  <c r="R243" i="5"/>
  <c r="O243" i="5" s="1"/>
  <c r="R244" i="5"/>
  <c r="O244" i="5" s="1"/>
  <c r="R245" i="5"/>
  <c r="O245" i="5" s="1"/>
  <c r="R246" i="5"/>
  <c r="O246" i="5" s="1"/>
  <c r="R247" i="5"/>
  <c r="O247" i="5" s="1"/>
  <c r="R248" i="5"/>
  <c r="O248" i="5" s="1"/>
  <c r="R249" i="5"/>
  <c r="O249" i="5" s="1"/>
  <c r="R250" i="5"/>
  <c r="O250" i="5" s="1"/>
  <c r="R251" i="5"/>
  <c r="O251" i="5" s="1"/>
  <c r="R252" i="5"/>
  <c r="O252" i="5" s="1"/>
  <c r="R253" i="5"/>
  <c r="O253" i="5" s="1"/>
  <c r="R254" i="5"/>
  <c r="O254" i="5" s="1"/>
  <c r="R255" i="5"/>
  <c r="O255" i="5" s="1"/>
  <c r="R256" i="5"/>
  <c r="O256" i="5" s="1"/>
  <c r="R257" i="5"/>
  <c r="O257" i="5" s="1"/>
  <c r="R258" i="5"/>
  <c r="O258" i="5" s="1"/>
  <c r="R259" i="5"/>
  <c r="O259" i="5" s="1"/>
  <c r="R260" i="5"/>
  <c r="O260" i="5" s="1"/>
  <c r="R261" i="5"/>
  <c r="O261" i="5" s="1"/>
  <c r="R262" i="5"/>
  <c r="O262" i="5" s="1"/>
  <c r="R263" i="5"/>
  <c r="O263" i="5" s="1"/>
  <c r="R264" i="5"/>
  <c r="O264" i="5" s="1"/>
  <c r="R265" i="5"/>
  <c r="O265" i="5" s="1"/>
  <c r="R266" i="5"/>
  <c r="O266" i="5" s="1"/>
  <c r="R267" i="5"/>
  <c r="O267" i="5" s="1"/>
  <c r="R268" i="5"/>
  <c r="O268" i="5" s="1"/>
  <c r="R269" i="5"/>
  <c r="O269" i="5" s="1"/>
  <c r="R270" i="5"/>
  <c r="O270" i="5" s="1"/>
  <c r="R271" i="5"/>
  <c r="O271" i="5" s="1"/>
  <c r="EQ38" i="5"/>
  <c r="ER38" i="5"/>
  <c r="EM54" i="5"/>
  <c r="EN54" i="5"/>
  <c r="AH340" i="11"/>
  <c r="AM340" i="11"/>
  <c r="EY93" i="5"/>
  <c r="EZ93" i="5"/>
  <c r="EZ15" i="5"/>
  <c r="EY15" i="5"/>
  <c r="KA15" i="5" s="1"/>
  <c r="EZ25" i="5"/>
  <c r="EY25" i="5"/>
  <c r="KA25" i="5" s="1"/>
  <c r="W82" i="11"/>
  <c r="ES69" i="5"/>
  <c r="ET69" i="5" s="1"/>
  <c r="W241" i="11"/>
  <c r="W242" i="11"/>
  <c r="JW86" i="5"/>
  <c r="JX86" i="5" s="1"/>
  <c r="W313" i="11"/>
  <c r="AM339" i="11"/>
  <c r="AH339" i="11"/>
  <c r="EA18" i="5"/>
  <c r="EB18" i="5"/>
  <c r="ER88" i="5"/>
  <c r="EQ88" i="5"/>
  <c r="ES88" i="5" s="1"/>
  <c r="ET88" i="5" s="1"/>
  <c r="EZ53" i="5"/>
  <c r="EY53" i="5"/>
  <c r="KA53" i="5" s="1"/>
  <c r="R223" i="5"/>
  <c r="O223" i="5" s="1"/>
  <c r="R222" i="5"/>
  <c r="O222" i="5" s="1"/>
  <c r="S189" i="5"/>
  <c r="P189" i="5" s="1"/>
  <c r="Q189" i="5" s="1"/>
  <c r="I226" i="11" s="1"/>
  <c r="S188" i="5"/>
  <c r="P188" i="5" s="1"/>
  <c r="Q188" i="5" s="1"/>
  <c r="I225" i="11" s="1"/>
  <c r="EV52" i="5"/>
  <c r="EU52" i="5"/>
  <c r="EW52" i="5" s="1"/>
  <c r="EX52" i="5" s="1"/>
  <c r="EF81" i="5"/>
  <c r="EE81" i="5"/>
  <c r="EG81" i="5" s="1"/>
  <c r="EH81" i="5" s="1"/>
  <c r="N18" i="7"/>
  <c r="I301" i="11"/>
  <c r="AG302" i="11"/>
  <c r="M302" i="11"/>
  <c r="Q302" i="11"/>
  <c r="AF302" i="11" s="1"/>
  <c r="W302" i="11" s="1"/>
  <c r="EU42" i="5"/>
  <c r="EW42" i="5" s="1"/>
  <c r="EX42" i="5" s="1"/>
  <c r="EV42" i="5"/>
  <c r="EV12" i="5"/>
  <c r="EU12" i="5"/>
  <c r="EW12" i="5" s="1"/>
  <c r="EX12" i="5" s="1"/>
  <c r="ER71" i="5"/>
  <c r="EQ71" i="5"/>
  <c r="ES71" i="5" s="1"/>
  <c r="ET71" i="5" s="1"/>
  <c r="JZ89" i="5"/>
  <c r="JY89" i="5"/>
  <c r="KB89" i="5" s="1"/>
  <c r="EN70" i="5"/>
  <c r="EM70" i="5"/>
  <c r="EO70" i="5" s="1"/>
  <c r="EP70" i="5" s="1"/>
  <c r="Q301" i="11"/>
  <c r="AF301" i="11" s="1"/>
  <c r="M301" i="11"/>
  <c r="AG301" i="11"/>
  <c r="M257" i="11"/>
  <c r="Q257" i="11"/>
  <c r="AF257" i="11" s="1"/>
  <c r="AG257" i="11"/>
  <c r="Q258" i="11"/>
  <c r="AF258" i="11" s="1"/>
  <c r="M258" i="11"/>
  <c r="AG258" i="11"/>
  <c r="N29" i="7"/>
  <c r="I323" i="11"/>
  <c r="AG324" i="11"/>
  <c r="M324" i="11"/>
  <c r="Q324" i="11"/>
  <c r="AF324" i="11" s="1"/>
  <c r="W324" i="11" s="1"/>
  <c r="Q89" i="11"/>
  <c r="AF89" i="11" s="1"/>
  <c r="M89" i="11"/>
  <c r="AG89" i="11"/>
  <c r="Q90" i="11"/>
  <c r="AF90" i="11" s="1"/>
  <c r="M90" i="11"/>
  <c r="AG90" i="11"/>
  <c r="Q91" i="11"/>
  <c r="AF91" i="11" s="1"/>
  <c r="M91" i="11"/>
  <c r="AG91" i="11"/>
  <c r="Q92" i="11"/>
  <c r="AF92" i="11" s="1"/>
  <c r="M92" i="11"/>
  <c r="AG92" i="11"/>
  <c r="Q93" i="11"/>
  <c r="AF93" i="11" s="1"/>
  <c r="M93" i="11"/>
  <c r="AG93" i="11"/>
  <c r="Q255" i="11"/>
  <c r="AF255" i="11" s="1"/>
  <c r="M255" i="11"/>
  <c r="AG255" i="11"/>
  <c r="Q256" i="11"/>
  <c r="AF256" i="11" s="1"/>
  <c r="M256" i="11"/>
  <c r="AG256" i="11"/>
  <c r="M226" i="11"/>
  <c r="Q226" i="11"/>
  <c r="AF226" i="11" s="1"/>
  <c r="AG226" i="11"/>
  <c r="M225" i="11"/>
  <c r="Q225" i="11"/>
  <c r="AF225" i="11" s="1"/>
  <c r="AG225" i="11"/>
  <c r="N15" i="7"/>
  <c r="I295" i="11"/>
  <c r="AG296" i="11"/>
  <c r="M296" i="11"/>
  <c r="Q296" i="11"/>
  <c r="AF296" i="11" s="1"/>
  <c r="W296" i="11" s="1"/>
  <c r="Q170" i="11"/>
  <c r="AF170" i="11" s="1"/>
  <c r="M170" i="11"/>
  <c r="AG170" i="11"/>
  <c r="Q171" i="11"/>
  <c r="AF171" i="11" s="1"/>
  <c r="M171" i="11"/>
  <c r="AG171" i="11"/>
  <c r="Q172" i="11"/>
  <c r="AF172" i="11" s="1"/>
  <c r="M172" i="11"/>
  <c r="AG172" i="11"/>
  <c r="Q173" i="11"/>
  <c r="AF173" i="11" s="1"/>
  <c r="M173" i="11"/>
  <c r="AG173" i="11"/>
  <c r="Q174" i="11"/>
  <c r="AF174" i="11" s="1"/>
  <c r="M174" i="11"/>
  <c r="AG174" i="11"/>
  <c r="AI241" i="11"/>
  <c r="AJ241" i="11"/>
  <c r="AK241" i="11"/>
  <c r="Q293" i="11"/>
  <c r="AF293" i="11" s="1"/>
  <c r="M293" i="11"/>
  <c r="AG293" i="11"/>
  <c r="AI294" i="11"/>
  <c r="AJ294" i="11"/>
  <c r="AK294" i="11"/>
  <c r="M267" i="11"/>
  <c r="Q267" i="11"/>
  <c r="AF267" i="11" s="1"/>
  <c r="AG267" i="11"/>
  <c r="M268" i="11"/>
  <c r="Q268" i="11"/>
  <c r="AF268" i="11" s="1"/>
  <c r="AG268" i="11"/>
  <c r="EZ29" i="5"/>
  <c r="EY29" i="5"/>
  <c r="S541" i="5"/>
  <c r="P541" i="5" s="1"/>
  <c r="Q541" i="5" s="1"/>
  <c r="I433" i="11" s="1"/>
  <c r="K433" i="11" s="1"/>
  <c r="S544" i="5"/>
  <c r="P544" i="5" s="1"/>
  <c r="Q544" i="5" s="1"/>
  <c r="I436" i="11" s="1"/>
  <c r="K436" i="11" s="1"/>
  <c r="S545" i="5"/>
  <c r="P545" i="5" s="1"/>
  <c r="Q545" i="5" s="1"/>
  <c r="I437" i="11" s="1"/>
  <c r="K437" i="11" s="1"/>
  <c r="S547" i="5"/>
  <c r="P547" i="5" s="1"/>
  <c r="Q547" i="5" s="1"/>
  <c r="I439" i="11" s="1"/>
  <c r="K439" i="11" s="1"/>
  <c r="S548" i="5"/>
  <c r="P548" i="5" s="1"/>
  <c r="Q548" i="5" s="1"/>
  <c r="I440" i="11" s="1"/>
  <c r="K440" i="11" s="1"/>
  <c r="S553" i="5"/>
  <c r="P553" i="5" s="1"/>
  <c r="Q553" i="5" s="1"/>
  <c r="I445" i="11" s="1"/>
  <c r="K445" i="11" s="1"/>
  <c r="S562" i="5"/>
  <c r="P562" i="5" s="1"/>
  <c r="Q562" i="5" s="1"/>
  <c r="I454" i="11" s="1"/>
  <c r="K454" i="11" s="1"/>
  <c r="S546" i="5"/>
  <c r="P546" i="5" s="1"/>
  <c r="Q546" i="5" s="1"/>
  <c r="I438" i="11" s="1"/>
  <c r="K438" i="11" s="1"/>
  <c r="S550" i="5"/>
  <c r="P550" i="5" s="1"/>
  <c r="Q550" i="5" s="1"/>
  <c r="I442" i="11" s="1"/>
  <c r="K442" i="11" s="1"/>
  <c r="S552" i="5"/>
  <c r="P552" i="5" s="1"/>
  <c r="Q552" i="5" s="1"/>
  <c r="I444" i="11" s="1"/>
  <c r="K444" i="11" s="1"/>
  <c r="S554" i="5"/>
  <c r="P554" i="5" s="1"/>
  <c r="Q554" i="5" s="1"/>
  <c r="I446" i="11" s="1"/>
  <c r="K446" i="11" s="1"/>
  <c r="S556" i="5"/>
  <c r="P556" i="5" s="1"/>
  <c r="Q556" i="5" s="1"/>
  <c r="I448" i="11" s="1"/>
  <c r="K448" i="11" s="1"/>
  <c r="S558" i="5"/>
  <c r="P558" i="5" s="1"/>
  <c r="Q558" i="5" s="1"/>
  <c r="I450" i="11" s="1"/>
  <c r="K450" i="11" s="1"/>
  <c r="S560" i="5"/>
  <c r="P560" i="5" s="1"/>
  <c r="Q560" i="5" s="1"/>
  <c r="I452" i="11" s="1"/>
  <c r="K452" i="11" s="1"/>
  <c r="S561" i="5"/>
  <c r="P561" i="5" s="1"/>
  <c r="Q561" i="5" s="1"/>
  <c r="I453" i="11" s="1"/>
  <c r="K453" i="11" s="1"/>
  <c r="S543" i="5"/>
  <c r="P543" i="5" s="1"/>
  <c r="Q543" i="5" s="1"/>
  <c r="I435" i="11" s="1"/>
  <c r="K435" i="11" s="1"/>
  <c r="S555" i="5"/>
  <c r="P555" i="5" s="1"/>
  <c r="Q555" i="5" s="1"/>
  <c r="I447" i="11" s="1"/>
  <c r="K447" i="11" s="1"/>
  <c r="S557" i="5"/>
  <c r="P557" i="5" s="1"/>
  <c r="Q557" i="5" s="1"/>
  <c r="I449" i="11" s="1"/>
  <c r="K449" i="11" s="1"/>
  <c r="S559" i="5"/>
  <c r="P559" i="5" s="1"/>
  <c r="Q559" i="5" s="1"/>
  <c r="I451" i="11" s="1"/>
  <c r="K451" i="11" s="1"/>
  <c r="S563" i="5"/>
  <c r="P563" i="5" s="1"/>
  <c r="Q563" i="5" s="1"/>
  <c r="I455" i="11" s="1"/>
  <c r="K455" i="11" s="1"/>
  <c r="S564" i="5"/>
  <c r="P564" i="5" s="1"/>
  <c r="Q564" i="5" s="1"/>
  <c r="I456" i="11" s="1"/>
  <c r="K456" i="11" s="1"/>
  <c r="S542" i="5"/>
  <c r="P542" i="5" s="1"/>
  <c r="Q542" i="5" s="1"/>
  <c r="I434" i="11" s="1"/>
  <c r="K434" i="11" s="1"/>
  <c r="S549" i="5"/>
  <c r="P549" i="5" s="1"/>
  <c r="Q549" i="5" s="1"/>
  <c r="I441" i="11" s="1"/>
  <c r="K441" i="11" s="1"/>
  <c r="S551" i="5"/>
  <c r="P551" i="5" s="1"/>
  <c r="Q551" i="5" s="1"/>
  <c r="I443" i="11" s="1"/>
  <c r="K443" i="11" s="1"/>
  <c r="Q277" i="11"/>
  <c r="AF277" i="11" s="1"/>
  <c r="M277" i="11"/>
  <c r="AG277" i="11"/>
  <c r="Q278" i="11"/>
  <c r="AF278" i="11" s="1"/>
  <c r="M278" i="11"/>
  <c r="AG278" i="11"/>
  <c r="N22" i="7"/>
  <c r="I309" i="11"/>
  <c r="AG310" i="11"/>
  <c r="M310" i="11"/>
  <c r="Q310" i="11"/>
  <c r="AF310" i="11" s="1"/>
  <c r="W310" i="11" s="1"/>
  <c r="AH310" i="11" s="1"/>
  <c r="AM310" i="11" s="1"/>
  <c r="N34" i="7"/>
  <c r="I333" i="11"/>
  <c r="AG334" i="11"/>
  <c r="M334" i="11"/>
  <c r="Q334" i="11"/>
  <c r="AF334" i="11" s="1"/>
  <c r="W334" i="11" s="1"/>
  <c r="N36" i="7"/>
  <c r="I337" i="11"/>
  <c r="AG338" i="11"/>
  <c r="M338" i="11"/>
  <c r="Q338" i="11"/>
  <c r="AF338" i="11" s="1"/>
  <c r="W338" i="11" s="1"/>
  <c r="Q247" i="11"/>
  <c r="AF247" i="11" s="1"/>
  <c r="M247" i="11"/>
  <c r="AG247" i="11"/>
  <c r="M248" i="11"/>
  <c r="Q248" i="11"/>
  <c r="AF248" i="11" s="1"/>
  <c r="AG248" i="11"/>
  <c r="JY43" i="5"/>
  <c r="JZ43" i="5"/>
  <c r="AK252" i="11"/>
  <c r="AJ252" i="11"/>
  <c r="AI252" i="11"/>
  <c r="AK251" i="11"/>
  <c r="AJ251" i="11"/>
  <c r="AI251" i="11"/>
  <c r="AK265" i="11"/>
  <c r="AJ265" i="11"/>
  <c r="AI265" i="11"/>
  <c r="S98" i="5"/>
  <c r="S99" i="5"/>
  <c r="S100" i="5"/>
  <c r="S101" i="5"/>
  <c r="S102" i="5"/>
  <c r="S103" i="5"/>
  <c r="S104" i="5"/>
  <c r="S105" i="5"/>
  <c r="S106" i="5"/>
  <c r="S107" i="5"/>
  <c r="S108" i="5"/>
  <c r="S109" i="5"/>
  <c r="S110" i="5"/>
  <c r="S111" i="5"/>
  <c r="S112" i="5"/>
  <c r="AK263" i="11"/>
  <c r="AJ263" i="11"/>
  <c r="AI263" i="11"/>
  <c r="AK264" i="11"/>
  <c r="AJ264" i="11"/>
  <c r="AI264" i="11"/>
  <c r="I9" i="11"/>
  <c r="Q38" i="11"/>
  <c r="AF38" i="11" s="1"/>
  <c r="M38" i="11"/>
  <c r="AG38" i="11"/>
  <c r="B87" i="15"/>
  <c r="M37" i="11"/>
  <c r="Q37" i="11"/>
  <c r="AF37" i="11" s="1"/>
  <c r="AG37" i="11"/>
  <c r="B86" i="15"/>
  <c r="M36" i="11"/>
  <c r="Q36" i="11"/>
  <c r="AF36" i="11" s="1"/>
  <c r="AG36" i="11"/>
  <c r="B74" i="15"/>
  <c r="Q35" i="11"/>
  <c r="AF35" i="11" s="1"/>
  <c r="M35" i="11"/>
  <c r="AG35" i="11"/>
  <c r="B67" i="15"/>
  <c r="Q34" i="11"/>
  <c r="AF34" i="11" s="1"/>
  <c r="M34" i="11"/>
  <c r="AG34" i="11"/>
  <c r="B96" i="15"/>
  <c r="Q33" i="11"/>
  <c r="AF33" i="11" s="1"/>
  <c r="M33" i="11"/>
  <c r="AG33" i="11"/>
  <c r="B85" i="15"/>
  <c r="Q32" i="11"/>
  <c r="AF32" i="11" s="1"/>
  <c r="M32" i="11"/>
  <c r="AG32" i="11"/>
  <c r="B89" i="15"/>
  <c r="Q31" i="11"/>
  <c r="AF31" i="11" s="1"/>
  <c r="M31" i="11"/>
  <c r="AG31" i="11"/>
  <c r="B69" i="15"/>
  <c r="M30" i="11"/>
  <c r="Q30" i="11"/>
  <c r="AF30" i="11" s="1"/>
  <c r="AG30" i="11"/>
  <c r="B82" i="15"/>
  <c r="Q29" i="11"/>
  <c r="AF29" i="11" s="1"/>
  <c r="M29" i="11"/>
  <c r="AG29" i="11"/>
  <c r="B68" i="15"/>
  <c r="M28" i="11"/>
  <c r="Q28" i="11"/>
  <c r="AF28" i="11" s="1"/>
  <c r="AG28" i="11"/>
  <c r="B70" i="15"/>
  <c r="M27" i="11"/>
  <c r="Q27" i="11"/>
  <c r="AF27" i="11" s="1"/>
  <c r="AG27" i="11"/>
  <c r="B93" i="15"/>
  <c r="M26" i="11"/>
  <c r="Q26" i="11"/>
  <c r="AF26" i="11" s="1"/>
  <c r="AG26" i="11"/>
  <c r="B73" i="15"/>
  <c r="M25" i="11"/>
  <c r="Q25" i="11"/>
  <c r="AF25" i="11" s="1"/>
  <c r="AG25" i="11"/>
  <c r="B94" i="15"/>
  <c r="Q24" i="11"/>
  <c r="AF24" i="11" s="1"/>
  <c r="M24" i="11"/>
  <c r="AG24" i="11"/>
  <c r="B76" i="15"/>
  <c r="M23" i="11"/>
  <c r="Q23" i="11"/>
  <c r="AF23" i="11" s="1"/>
  <c r="AG23" i="11"/>
  <c r="B95" i="15"/>
  <c r="M22" i="11"/>
  <c r="Q22" i="11"/>
  <c r="AF22" i="11" s="1"/>
  <c r="AG22" i="11"/>
  <c r="B78" i="15"/>
  <c r="M21" i="11"/>
  <c r="Q21" i="11"/>
  <c r="AF21" i="11" s="1"/>
  <c r="AG21" i="11"/>
  <c r="B90" i="15"/>
  <c r="Q20" i="11"/>
  <c r="AF20" i="11" s="1"/>
  <c r="M20" i="11"/>
  <c r="AG20" i="11"/>
  <c r="B80" i="15"/>
  <c r="Q19" i="11"/>
  <c r="AF19" i="11" s="1"/>
  <c r="M19" i="11"/>
  <c r="AG19" i="11"/>
  <c r="B79" i="15"/>
  <c r="Q18" i="11"/>
  <c r="AF18" i="11" s="1"/>
  <c r="M18" i="11"/>
  <c r="AG18" i="11"/>
  <c r="B81" i="15"/>
  <c r="Q17" i="11"/>
  <c r="AF17" i="11" s="1"/>
  <c r="M17" i="11"/>
  <c r="AG17" i="11"/>
  <c r="B77" i="15"/>
  <c r="Q16" i="11"/>
  <c r="AF16" i="11" s="1"/>
  <c r="M16" i="11"/>
  <c r="AG16" i="11"/>
  <c r="B75" i="15"/>
  <c r="Q15" i="11"/>
  <c r="AF15" i="11" s="1"/>
  <c r="M15" i="11"/>
  <c r="AG15" i="11"/>
  <c r="B88" i="15"/>
  <c r="Q14" i="11"/>
  <c r="AF14" i="11" s="1"/>
  <c r="M14" i="11"/>
  <c r="AG14" i="11"/>
  <c r="B72" i="15"/>
  <c r="Q13" i="11"/>
  <c r="AF13" i="11" s="1"/>
  <c r="M13" i="11"/>
  <c r="AG13" i="11"/>
  <c r="B92" i="15"/>
  <c r="Q12" i="11"/>
  <c r="AF12" i="11" s="1"/>
  <c r="M12" i="11"/>
  <c r="AG12" i="11"/>
  <c r="B84" i="15"/>
  <c r="Q11" i="11"/>
  <c r="AF11" i="11" s="1"/>
  <c r="M11" i="11"/>
  <c r="AG11" i="11"/>
  <c r="B91" i="15"/>
  <c r="Q10" i="11"/>
  <c r="AF10" i="11" s="1"/>
  <c r="M10" i="11"/>
  <c r="AG10" i="11"/>
  <c r="B71" i="15"/>
  <c r="Q240" i="11"/>
  <c r="AF240" i="11" s="1"/>
  <c r="M240" i="11"/>
  <c r="AG240" i="11"/>
  <c r="Q239" i="11"/>
  <c r="AF239" i="11" s="1"/>
  <c r="M239" i="11"/>
  <c r="AG239" i="11"/>
  <c r="AG300" i="11"/>
  <c r="M300" i="11"/>
  <c r="Q300" i="11"/>
  <c r="AF300" i="11" s="1"/>
  <c r="W300" i="11" s="1"/>
  <c r="AH300" i="11" s="1"/>
  <c r="AM300" i="11" s="1"/>
  <c r="N17" i="7"/>
  <c r="I299" i="11"/>
  <c r="S196" i="5"/>
  <c r="P196" i="5" s="1"/>
  <c r="Q196" i="5" s="1"/>
  <c r="I233" i="11" s="1"/>
  <c r="S197" i="5"/>
  <c r="P197" i="5" s="1"/>
  <c r="Q197" i="5" s="1"/>
  <c r="I234" i="11" s="1"/>
  <c r="S192" i="5"/>
  <c r="P192" i="5" s="1"/>
  <c r="Q192" i="5" s="1"/>
  <c r="I229" i="11" s="1"/>
  <c r="S193" i="5"/>
  <c r="P193" i="5" s="1"/>
  <c r="Q193" i="5" s="1"/>
  <c r="I230" i="11" s="1"/>
  <c r="AG292" i="11"/>
  <c r="M292" i="11"/>
  <c r="Q292" i="11"/>
  <c r="AF292" i="11" s="1"/>
  <c r="W292" i="11" s="1"/>
  <c r="N13" i="7"/>
  <c r="I291" i="11"/>
  <c r="S236" i="5"/>
  <c r="P236" i="5" s="1"/>
  <c r="Q236" i="5" s="1"/>
  <c r="I273" i="11" s="1"/>
  <c r="S237" i="5"/>
  <c r="P237" i="5" s="1"/>
  <c r="Q237" i="5" s="1"/>
  <c r="I274" i="11" s="1"/>
  <c r="M260" i="11"/>
  <c r="Q260" i="11"/>
  <c r="AF260" i="11" s="1"/>
  <c r="AG260" i="11"/>
  <c r="Q259" i="11"/>
  <c r="AF259" i="11" s="1"/>
  <c r="M259" i="11"/>
  <c r="AG259" i="11"/>
  <c r="AG282" i="11"/>
  <c r="M282" i="11"/>
  <c r="Q282" i="11"/>
  <c r="AF282" i="11" s="1"/>
  <c r="W282" i="11" s="1"/>
  <c r="N8" i="7"/>
  <c r="I281" i="11"/>
  <c r="Q243" i="11"/>
  <c r="AF243" i="11" s="1"/>
  <c r="M243" i="11"/>
  <c r="AG243" i="11"/>
  <c r="Q244" i="11"/>
  <c r="AF244" i="11" s="1"/>
  <c r="M244" i="11"/>
  <c r="AG244" i="11"/>
  <c r="S152" i="5"/>
  <c r="P152" i="5" s="1"/>
  <c r="Q152" i="5" s="1"/>
  <c r="S153" i="5"/>
  <c r="P153" i="5" s="1"/>
  <c r="Q153" i="5" s="1"/>
  <c r="I306" i="11" s="1"/>
  <c r="S200" i="5"/>
  <c r="P200" i="5" s="1"/>
  <c r="Q200" i="5" s="1"/>
  <c r="I237" i="11" s="1"/>
  <c r="S201" i="5"/>
  <c r="P201" i="5" s="1"/>
  <c r="Q201" i="5" s="1"/>
  <c r="I238" i="11" s="1"/>
  <c r="JZ44" i="5"/>
  <c r="JY44" i="5"/>
  <c r="KB44" i="5" s="1"/>
  <c r="S132" i="5"/>
  <c r="P132" i="5" s="1"/>
  <c r="Q132" i="5" s="1"/>
  <c r="S133" i="5"/>
  <c r="P133" i="5" s="1"/>
  <c r="Q133" i="5" s="1"/>
  <c r="I286" i="11" s="1"/>
  <c r="EQ11" i="5"/>
  <c r="ER11" i="5"/>
  <c r="R87" i="5"/>
  <c r="O87" i="5" s="1"/>
  <c r="R86" i="5"/>
  <c r="O86" i="5" s="1"/>
  <c r="R85" i="5"/>
  <c r="O85" i="5" s="1"/>
  <c r="R84" i="5"/>
  <c r="O84" i="5" s="1"/>
  <c r="R83" i="5"/>
  <c r="O83" i="5" s="1"/>
  <c r="AH75" i="11"/>
  <c r="AM75" i="11"/>
  <c r="AH76" i="11"/>
  <c r="AM76" i="11"/>
  <c r="S163" i="5"/>
  <c r="P163" i="5" s="1"/>
  <c r="Q163" i="5" s="1"/>
  <c r="I316" i="11" s="1"/>
  <c r="S162" i="5"/>
  <c r="P162" i="5" s="1"/>
  <c r="Q162" i="5" s="1"/>
  <c r="AH78" i="11"/>
  <c r="AM78" i="11"/>
  <c r="AH79" i="11"/>
  <c r="AM79" i="11"/>
  <c r="EV22" i="5"/>
  <c r="EU22" i="5"/>
  <c r="EW22" i="5" s="1"/>
  <c r="EX22" i="5" s="1"/>
  <c r="S346" i="5"/>
  <c r="P346" i="5" s="1"/>
  <c r="Q346" i="5" s="1"/>
  <c r="I389" i="11" s="1"/>
  <c r="K389" i="11" s="1"/>
  <c r="S345" i="5"/>
  <c r="P345" i="5" s="1"/>
  <c r="Q345" i="5" s="1"/>
  <c r="I388" i="11" s="1"/>
  <c r="K388" i="11" s="1"/>
  <c r="S344" i="5"/>
  <c r="P344" i="5" s="1"/>
  <c r="Q344" i="5" s="1"/>
  <c r="I387" i="11" s="1"/>
  <c r="K387" i="11" s="1"/>
  <c r="S343" i="5"/>
  <c r="P343" i="5" s="1"/>
  <c r="Q343" i="5" s="1"/>
  <c r="I386" i="11" s="1"/>
  <c r="K386" i="11" s="1"/>
  <c r="S342" i="5"/>
  <c r="P342" i="5" s="1"/>
  <c r="Q342" i="5" s="1"/>
  <c r="I385" i="11" s="1"/>
  <c r="K385" i="11" s="1"/>
  <c r="S341" i="5"/>
  <c r="P341" i="5" s="1"/>
  <c r="Q341" i="5" s="1"/>
  <c r="I384" i="11" s="1"/>
  <c r="K384" i="11" s="1"/>
  <c r="S340" i="5"/>
  <c r="P340" i="5" s="1"/>
  <c r="Q340" i="5" s="1"/>
  <c r="I383" i="11" s="1"/>
  <c r="K383" i="11" s="1"/>
  <c r="S339" i="5"/>
  <c r="P339" i="5" s="1"/>
  <c r="Q339" i="5" s="1"/>
  <c r="I382" i="11" s="1"/>
  <c r="K382" i="11" s="1"/>
  <c r="S338" i="5"/>
  <c r="P338" i="5" s="1"/>
  <c r="Q338" i="5" s="1"/>
  <c r="I381" i="11" s="1"/>
  <c r="K381" i="11" s="1"/>
  <c r="S337" i="5"/>
  <c r="P337" i="5" s="1"/>
  <c r="Q337" i="5" s="1"/>
  <c r="I380" i="11" s="1"/>
  <c r="K380" i="11" s="1"/>
  <c r="S336" i="5"/>
  <c r="P336" i="5" s="1"/>
  <c r="Q336" i="5" s="1"/>
  <c r="I379" i="11" s="1"/>
  <c r="K379" i="11" s="1"/>
  <c r="S335" i="5"/>
  <c r="P335" i="5" s="1"/>
  <c r="Q335" i="5" s="1"/>
  <c r="I378" i="11" s="1"/>
  <c r="K378" i="11" s="1"/>
  <c r="S334" i="5"/>
  <c r="P334" i="5" s="1"/>
  <c r="Q334" i="5" s="1"/>
  <c r="I377" i="11" s="1"/>
  <c r="K377" i="11" s="1"/>
  <c r="S333" i="5"/>
  <c r="P333" i="5" s="1"/>
  <c r="Q333" i="5" s="1"/>
  <c r="I376" i="11" s="1"/>
  <c r="K376" i="11" s="1"/>
  <c r="S332" i="5"/>
  <c r="P332" i="5" s="1"/>
  <c r="Q332" i="5" s="1"/>
  <c r="I375" i="11" s="1"/>
  <c r="K375" i="11" s="1"/>
  <c r="S331" i="5"/>
  <c r="P331" i="5" s="1"/>
  <c r="Q331" i="5" s="1"/>
  <c r="I374" i="11" s="1"/>
  <c r="K374" i="11" s="1"/>
  <c r="S330" i="5"/>
  <c r="P330" i="5" s="1"/>
  <c r="Q330" i="5" s="1"/>
  <c r="I373" i="11" s="1"/>
  <c r="K373" i="11" s="1"/>
  <c r="S208" i="5"/>
  <c r="P208" i="5" s="1"/>
  <c r="Q208" i="5" s="1"/>
  <c r="I245" i="11" s="1"/>
  <c r="S209" i="5"/>
  <c r="P209" i="5" s="1"/>
  <c r="Q209" i="5" s="1"/>
  <c r="I246" i="11" s="1"/>
  <c r="S235" i="5"/>
  <c r="P235" i="5" s="1"/>
  <c r="Q235" i="5" s="1"/>
  <c r="I272" i="11" s="1"/>
  <c r="S234" i="5"/>
  <c r="P234" i="5" s="1"/>
  <c r="Q234" i="5" s="1"/>
  <c r="I271" i="11" s="1"/>
  <c r="S299" i="5"/>
  <c r="P299" i="5" s="1"/>
  <c r="Q299" i="5" s="1"/>
  <c r="I186" i="11" s="1"/>
  <c r="S298" i="5"/>
  <c r="P298" i="5" s="1"/>
  <c r="Q298" i="5" s="1"/>
  <c r="I185" i="11" s="1"/>
  <c r="S297" i="5"/>
  <c r="P297" i="5" s="1"/>
  <c r="Q297" i="5" s="1"/>
  <c r="I184" i="11" s="1"/>
  <c r="S300" i="5"/>
  <c r="P300" i="5" s="1"/>
  <c r="Q300" i="5" s="1"/>
  <c r="I187" i="11" s="1"/>
  <c r="S301" i="5"/>
  <c r="P301" i="5" s="1"/>
  <c r="Q301" i="5" s="1"/>
  <c r="I188" i="11" s="1"/>
  <c r="S127" i="5"/>
  <c r="S126" i="5"/>
  <c r="S125" i="5"/>
  <c r="S124" i="5"/>
  <c r="S123" i="5"/>
  <c r="S122" i="5"/>
  <c r="S121" i="5"/>
  <c r="S120" i="5"/>
  <c r="S119" i="5"/>
  <c r="S118" i="5"/>
  <c r="S117" i="5"/>
  <c r="S116" i="5"/>
  <c r="S115" i="5"/>
  <c r="S114" i="5"/>
  <c r="S113" i="5"/>
  <c r="S233" i="5"/>
  <c r="P233" i="5" s="1"/>
  <c r="Q233" i="5" s="1"/>
  <c r="I270" i="11" s="1"/>
  <c r="S232" i="5"/>
  <c r="P232" i="5" s="1"/>
  <c r="Q232" i="5" s="1"/>
  <c r="I269" i="11" s="1"/>
  <c r="S239" i="5"/>
  <c r="P239" i="5" s="1"/>
  <c r="Q239" i="5" s="1"/>
  <c r="I276" i="11" s="1"/>
  <c r="S238" i="5"/>
  <c r="P238" i="5" s="1"/>
  <c r="Q238" i="5" s="1"/>
  <c r="I275" i="11" s="1"/>
  <c r="S155" i="5"/>
  <c r="P155" i="5" s="1"/>
  <c r="Q155" i="5" s="1"/>
  <c r="I308" i="11" s="1"/>
  <c r="S154" i="5"/>
  <c r="P154" i="5" s="1"/>
  <c r="Q154" i="5" s="1"/>
  <c r="S183" i="5"/>
  <c r="P183" i="5" s="1"/>
  <c r="Q183" i="5" s="1"/>
  <c r="I336" i="11" s="1"/>
  <c r="S182" i="5"/>
  <c r="P182" i="5" s="1"/>
  <c r="Q182" i="5" s="1"/>
  <c r="S131" i="5"/>
  <c r="P131" i="5" s="1"/>
  <c r="Q131" i="5" s="1"/>
  <c r="I284" i="11" s="1"/>
  <c r="S130" i="5"/>
  <c r="P130" i="5" s="1"/>
  <c r="Q130" i="5" s="1"/>
  <c r="S199" i="5"/>
  <c r="P199" i="5" s="1"/>
  <c r="Q199" i="5" s="1"/>
  <c r="I236" i="11" s="1"/>
  <c r="S198" i="5"/>
  <c r="P198" i="5" s="1"/>
  <c r="Q198" i="5" s="1"/>
  <c r="I235" i="11" s="1"/>
  <c r="S173" i="5"/>
  <c r="P173" i="5" s="1"/>
  <c r="Q173" i="5" s="1"/>
  <c r="I326" i="11" s="1"/>
  <c r="S172" i="5"/>
  <c r="P172" i="5" s="1"/>
  <c r="Q172" i="5" s="1"/>
  <c r="S52" i="5"/>
  <c r="P52" i="5" s="1"/>
  <c r="Q52" i="5" s="1"/>
  <c r="I55" i="11" s="1"/>
  <c r="S51" i="5"/>
  <c r="P51" i="5" s="1"/>
  <c r="Q51" i="5" s="1"/>
  <c r="I54" i="11" s="1"/>
  <c r="S50" i="5"/>
  <c r="P50" i="5" s="1"/>
  <c r="Q50" i="5" s="1"/>
  <c r="I53" i="11" s="1"/>
  <c r="S49" i="5"/>
  <c r="P49" i="5" s="1"/>
  <c r="Q49" i="5" s="1"/>
  <c r="I52" i="11" s="1"/>
  <c r="S48" i="5"/>
  <c r="P48" i="5" s="1"/>
  <c r="Q48" i="5" s="1"/>
  <c r="I51" i="11" s="1"/>
  <c r="S47" i="5"/>
  <c r="P47" i="5" s="1"/>
  <c r="Q47" i="5" s="1"/>
  <c r="I50" i="11" s="1"/>
  <c r="S46" i="5"/>
  <c r="P46" i="5" s="1"/>
  <c r="Q46" i="5" s="1"/>
  <c r="I49" i="11" s="1"/>
  <c r="S45" i="5"/>
  <c r="P45" i="5" s="1"/>
  <c r="Q45" i="5" s="1"/>
  <c r="I48" i="11" s="1"/>
  <c r="S44" i="5"/>
  <c r="P44" i="5" s="1"/>
  <c r="Q44" i="5" s="1"/>
  <c r="I47" i="11" s="1"/>
  <c r="S43" i="5"/>
  <c r="P43" i="5" s="1"/>
  <c r="Q43" i="5" s="1"/>
  <c r="I46" i="11" s="1"/>
  <c r="S42" i="5"/>
  <c r="P42" i="5" s="1"/>
  <c r="Q42" i="5" s="1"/>
  <c r="I45" i="11" s="1"/>
  <c r="S41" i="5"/>
  <c r="P41" i="5" s="1"/>
  <c r="Q41" i="5" s="1"/>
  <c r="I44" i="11" s="1"/>
  <c r="S40" i="5"/>
  <c r="P40" i="5" s="1"/>
  <c r="Q40" i="5" s="1"/>
  <c r="I43" i="11" s="1"/>
  <c r="S39" i="5"/>
  <c r="P39" i="5" s="1"/>
  <c r="Q39" i="5" s="1"/>
  <c r="I42" i="11" s="1"/>
  <c r="S38" i="5"/>
  <c r="P38" i="5" s="1"/>
  <c r="Q38" i="5" s="1"/>
  <c r="I41" i="11" s="1"/>
  <c r="JY67" i="5"/>
  <c r="JZ67" i="5"/>
  <c r="S281" i="5"/>
  <c r="P281" i="5" s="1"/>
  <c r="Q281" i="5" s="1"/>
  <c r="I160" i="11" s="1"/>
  <c r="S280" i="5"/>
  <c r="P280" i="5" s="1"/>
  <c r="Q280" i="5" s="1"/>
  <c r="I159" i="11" s="1"/>
  <c r="S279" i="5"/>
  <c r="P279" i="5" s="1"/>
  <c r="Q279" i="5" s="1"/>
  <c r="I158" i="11" s="1"/>
  <c r="S278" i="5"/>
  <c r="P278" i="5" s="1"/>
  <c r="Q278" i="5" s="1"/>
  <c r="I157" i="11" s="1"/>
  <c r="S277" i="5"/>
  <c r="P277" i="5" s="1"/>
  <c r="Q277" i="5" s="1"/>
  <c r="I156" i="11" s="1"/>
  <c r="JZ42" i="5"/>
  <c r="JY42" i="5"/>
  <c r="KB42" i="5" s="1"/>
  <c r="EE19" i="5"/>
  <c r="EF19" i="5"/>
  <c r="EY79" i="5"/>
  <c r="EZ79" i="5"/>
  <c r="JZ16" i="5"/>
  <c r="JY16" i="5"/>
  <c r="KB16" i="5" s="1"/>
  <c r="S276" i="5"/>
  <c r="P276" i="5" s="1"/>
  <c r="Q276" i="5" s="1"/>
  <c r="I153" i="11" s="1"/>
  <c r="S275" i="5"/>
  <c r="P275" i="5" s="1"/>
  <c r="Q275" i="5" s="1"/>
  <c r="I152" i="11" s="1"/>
  <c r="S274" i="5"/>
  <c r="P274" i="5" s="1"/>
  <c r="Q274" i="5" s="1"/>
  <c r="I151" i="11" s="1"/>
  <c r="S273" i="5"/>
  <c r="P273" i="5" s="1"/>
  <c r="Q273" i="5" s="1"/>
  <c r="I150" i="11" s="1"/>
  <c r="S272" i="5"/>
  <c r="P272" i="5" s="1"/>
  <c r="Q272" i="5" s="1"/>
  <c r="I149" i="11" s="1"/>
  <c r="JZ15" i="5"/>
  <c r="JY15" i="5"/>
  <c r="KB15" i="5" s="1"/>
  <c r="R145" i="5"/>
  <c r="O145" i="5" s="1"/>
  <c r="R144" i="5"/>
  <c r="O144" i="5" s="1"/>
  <c r="EM40" i="5"/>
  <c r="EN40" i="5"/>
  <c r="S614" i="5"/>
  <c r="P614" i="5" s="1"/>
  <c r="Q614" i="5" s="1"/>
  <c r="I510" i="11" s="1"/>
  <c r="K510" i="11" s="1"/>
  <c r="S624" i="5"/>
  <c r="P624" i="5" s="1"/>
  <c r="Q624" i="5" s="1"/>
  <c r="I520" i="11" s="1"/>
  <c r="K520" i="11" s="1"/>
  <c r="S618" i="5"/>
  <c r="P618" i="5" s="1"/>
  <c r="Q618" i="5" s="1"/>
  <c r="I514" i="11" s="1"/>
  <c r="K514" i="11" s="1"/>
  <c r="S615" i="5"/>
  <c r="P615" i="5" s="1"/>
  <c r="Q615" i="5" s="1"/>
  <c r="I511" i="11" s="1"/>
  <c r="K511" i="11" s="1"/>
  <c r="S611" i="5"/>
  <c r="P611" i="5" s="1"/>
  <c r="Q611" i="5" s="1"/>
  <c r="I507" i="11" s="1"/>
  <c r="K507" i="11" s="1"/>
  <c r="S608" i="5"/>
  <c r="P608" i="5" s="1"/>
  <c r="Q608" i="5" s="1"/>
  <c r="I504" i="11" s="1"/>
  <c r="K504" i="11" s="1"/>
  <c r="S605" i="5"/>
  <c r="P605" i="5" s="1"/>
  <c r="Q605" i="5" s="1"/>
  <c r="I501" i="11" s="1"/>
  <c r="K501" i="11" s="1"/>
  <c r="S602" i="5"/>
  <c r="P602" i="5" s="1"/>
  <c r="Q602" i="5" s="1"/>
  <c r="I498" i="11" s="1"/>
  <c r="K498" i="11" s="1"/>
  <c r="S600" i="5"/>
  <c r="P600" i="5" s="1"/>
  <c r="Q600" i="5" s="1"/>
  <c r="I496" i="11" s="1"/>
  <c r="K496" i="11" s="1"/>
  <c r="S597" i="5"/>
  <c r="P597" i="5" s="1"/>
  <c r="Q597" i="5" s="1"/>
  <c r="I493" i="11" s="1"/>
  <c r="K493" i="11" s="1"/>
  <c r="S596" i="5"/>
  <c r="P596" i="5" s="1"/>
  <c r="Q596" i="5" s="1"/>
  <c r="I492" i="11" s="1"/>
  <c r="K492" i="11" s="1"/>
  <c r="S594" i="5"/>
  <c r="P594" i="5" s="1"/>
  <c r="Q594" i="5" s="1"/>
  <c r="I490" i="11" s="1"/>
  <c r="K490" i="11" s="1"/>
  <c r="S590" i="5"/>
  <c r="P590" i="5" s="1"/>
  <c r="Q590" i="5" s="1"/>
  <c r="I486" i="11" s="1"/>
  <c r="K486" i="11" s="1"/>
  <c r="S586" i="5"/>
  <c r="P586" i="5" s="1"/>
  <c r="Q586" i="5" s="1"/>
  <c r="I482" i="11" s="1"/>
  <c r="K482" i="11" s="1"/>
  <c r="S621" i="5"/>
  <c r="P621" i="5" s="1"/>
  <c r="Q621" i="5" s="1"/>
  <c r="I517" i="11" s="1"/>
  <c r="K517" i="11" s="1"/>
  <c r="S620" i="5"/>
  <c r="P620" i="5" s="1"/>
  <c r="Q620" i="5" s="1"/>
  <c r="I516" i="11" s="1"/>
  <c r="K516" i="11" s="1"/>
  <c r="S619" i="5"/>
  <c r="P619" i="5" s="1"/>
  <c r="Q619" i="5" s="1"/>
  <c r="I515" i="11" s="1"/>
  <c r="K515" i="11" s="1"/>
  <c r="S616" i="5"/>
  <c r="P616" i="5" s="1"/>
  <c r="Q616" i="5" s="1"/>
  <c r="I512" i="11" s="1"/>
  <c r="K512" i="11" s="1"/>
  <c r="S612" i="5"/>
  <c r="P612" i="5" s="1"/>
  <c r="Q612" i="5" s="1"/>
  <c r="I508" i="11" s="1"/>
  <c r="K508" i="11" s="1"/>
  <c r="S609" i="5"/>
  <c r="P609" i="5" s="1"/>
  <c r="Q609" i="5" s="1"/>
  <c r="I505" i="11" s="1"/>
  <c r="K505" i="11" s="1"/>
  <c r="S601" i="5"/>
  <c r="P601" i="5" s="1"/>
  <c r="Q601" i="5" s="1"/>
  <c r="I497" i="11" s="1"/>
  <c r="K497" i="11" s="1"/>
  <c r="S595" i="5"/>
  <c r="P595" i="5" s="1"/>
  <c r="Q595" i="5" s="1"/>
  <c r="I491" i="11" s="1"/>
  <c r="K491" i="11" s="1"/>
  <c r="S593" i="5"/>
  <c r="P593" i="5" s="1"/>
  <c r="Q593" i="5" s="1"/>
  <c r="I489" i="11" s="1"/>
  <c r="K489" i="11" s="1"/>
  <c r="S591" i="5"/>
  <c r="P591" i="5" s="1"/>
  <c r="Q591" i="5" s="1"/>
  <c r="I487" i="11" s="1"/>
  <c r="K487" i="11" s="1"/>
  <c r="S589" i="5"/>
  <c r="P589" i="5" s="1"/>
  <c r="Q589" i="5" s="1"/>
  <c r="I485" i="11" s="1"/>
  <c r="K485" i="11" s="1"/>
  <c r="S587" i="5"/>
  <c r="P587" i="5" s="1"/>
  <c r="Q587" i="5" s="1"/>
  <c r="I483" i="11" s="1"/>
  <c r="K483" i="11" s="1"/>
  <c r="S584" i="5"/>
  <c r="P584" i="5" s="1"/>
  <c r="Q584" i="5" s="1"/>
  <c r="I480" i="11" s="1"/>
  <c r="K480" i="11" s="1"/>
  <c r="S630" i="5"/>
  <c r="P630" i="5" s="1"/>
  <c r="Q630" i="5" s="1"/>
  <c r="I526" i="11" s="1"/>
  <c r="K526" i="11" s="1"/>
  <c r="S629" i="5"/>
  <c r="P629" i="5" s="1"/>
  <c r="Q629" i="5" s="1"/>
  <c r="I525" i="11" s="1"/>
  <c r="K525" i="11" s="1"/>
  <c r="S628" i="5"/>
  <c r="P628" i="5" s="1"/>
  <c r="Q628" i="5" s="1"/>
  <c r="I524" i="11" s="1"/>
  <c r="K524" i="11" s="1"/>
  <c r="S627" i="5"/>
  <c r="P627" i="5" s="1"/>
  <c r="Q627" i="5" s="1"/>
  <c r="I523" i="11" s="1"/>
  <c r="K523" i="11" s="1"/>
  <c r="S626" i="5"/>
  <c r="P626" i="5" s="1"/>
  <c r="Q626" i="5" s="1"/>
  <c r="I522" i="11" s="1"/>
  <c r="K522" i="11" s="1"/>
  <c r="S623" i="5"/>
  <c r="P623" i="5" s="1"/>
  <c r="Q623" i="5" s="1"/>
  <c r="I519" i="11" s="1"/>
  <c r="K519" i="11" s="1"/>
  <c r="S598" i="5"/>
  <c r="P598" i="5" s="1"/>
  <c r="Q598" i="5" s="1"/>
  <c r="I494" i="11" s="1"/>
  <c r="K494" i="11" s="1"/>
  <c r="S588" i="5"/>
  <c r="P588" i="5" s="1"/>
  <c r="Q588" i="5" s="1"/>
  <c r="I484" i="11" s="1"/>
  <c r="K484" i="11" s="1"/>
  <c r="S585" i="5"/>
  <c r="P585" i="5" s="1"/>
  <c r="Q585" i="5" s="1"/>
  <c r="I481" i="11" s="1"/>
  <c r="K481" i="11" s="1"/>
  <c r="S583" i="5"/>
  <c r="P583" i="5" s="1"/>
  <c r="Q583" i="5" s="1"/>
  <c r="I479" i="11" s="1"/>
  <c r="K479" i="11" s="1"/>
  <c r="S625" i="5"/>
  <c r="P625" i="5" s="1"/>
  <c r="Q625" i="5" s="1"/>
  <c r="I521" i="11" s="1"/>
  <c r="K521" i="11" s="1"/>
  <c r="S622" i="5"/>
  <c r="P622" i="5" s="1"/>
  <c r="Q622" i="5" s="1"/>
  <c r="I518" i="11" s="1"/>
  <c r="K518" i="11" s="1"/>
  <c r="S610" i="5"/>
  <c r="P610" i="5" s="1"/>
  <c r="Q610" i="5" s="1"/>
  <c r="I506" i="11" s="1"/>
  <c r="K506" i="11" s="1"/>
  <c r="S607" i="5"/>
  <c r="P607" i="5" s="1"/>
  <c r="Q607" i="5" s="1"/>
  <c r="I503" i="11" s="1"/>
  <c r="K503" i="11" s="1"/>
  <c r="S604" i="5"/>
  <c r="P604" i="5" s="1"/>
  <c r="Q604" i="5" s="1"/>
  <c r="I500" i="11" s="1"/>
  <c r="K500" i="11" s="1"/>
  <c r="S603" i="5"/>
  <c r="P603" i="5" s="1"/>
  <c r="Q603" i="5" s="1"/>
  <c r="I499" i="11" s="1"/>
  <c r="K499" i="11" s="1"/>
  <c r="S599" i="5"/>
  <c r="P599" i="5" s="1"/>
  <c r="Q599" i="5" s="1"/>
  <c r="I495" i="11" s="1"/>
  <c r="K495" i="11" s="1"/>
  <c r="S592" i="5"/>
  <c r="P592" i="5" s="1"/>
  <c r="Q592" i="5" s="1"/>
  <c r="I488" i="11" s="1"/>
  <c r="K488" i="11" s="1"/>
  <c r="S617" i="5"/>
  <c r="P617" i="5" s="1"/>
  <c r="Q617" i="5" s="1"/>
  <c r="I513" i="11" s="1"/>
  <c r="K513" i="11" s="1"/>
  <c r="S613" i="5"/>
  <c r="P613" i="5" s="1"/>
  <c r="Q613" i="5" s="1"/>
  <c r="I509" i="11" s="1"/>
  <c r="K509" i="11" s="1"/>
  <c r="S606" i="5"/>
  <c r="P606" i="5" s="1"/>
  <c r="Q606" i="5" s="1"/>
  <c r="I502" i="11" s="1"/>
  <c r="K502" i="11" s="1"/>
  <c r="JV50" i="5"/>
  <c r="JU50" i="5"/>
  <c r="JW50" i="5" s="1"/>
  <c r="JX50" i="5" s="1"/>
  <c r="JY14" i="5"/>
  <c r="JZ14" i="5"/>
  <c r="EU84" i="5"/>
  <c r="EV84" i="5"/>
  <c r="S293" i="5"/>
  <c r="P293" i="5" s="1"/>
  <c r="Q293" i="5" s="1"/>
  <c r="I178" i="11" s="1"/>
  <c r="S292" i="5"/>
  <c r="P292" i="5" s="1"/>
  <c r="Q292" i="5" s="1"/>
  <c r="I177" i="11" s="1"/>
  <c r="S296" i="5"/>
  <c r="P296" i="5" s="1"/>
  <c r="Q296" i="5" s="1"/>
  <c r="I181" i="11" s="1"/>
  <c r="S295" i="5"/>
  <c r="P295" i="5" s="1"/>
  <c r="Q295" i="5" s="1"/>
  <c r="I180" i="11" s="1"/>
  <c r="S294" i="5"/>
  <c r="P294" i="5" s="1"/>
  <c r="Q294" i="5" s="1"/>
  <c r="I179" i="11" s="1"/>
  <c r="S151" i="5"/>
  <c r="P151" i="5" s="1"/>
  <c r="Q151" i="5" s="1"/>
  <c r="I304" i="11" s="1"/>
  <c r="S150" i="5"/>
  <c r="P150" i="5" s="1"/>
  <c r="Q150" i="5" s="1"/>
  <c r="S286" i="5"/>
  <c r="P286" i="5" s="1"/>
  <c r="Q286" i="5" s="1"/>
  <c r="I167" i="11" s="1"/>
  <c r="S285" i="5"/>
  <c r="P285" i="5" s="1"/>
  <c r="Q285" i="5" s="1"/>
  <c r="I166" i="11" s="1"/>
  <c r="S284" i="5"/>
  <c r="P284" i="5" s="1"/>
  <c r="Q284" i="5" s="1"/>
  <c r="I165" i="11" s="1"/>
  <c r="S283" i="5"/>
  <c r="P283" i="5" s="1"/>
  <c r="Q283" i="5" s="1"/>
  <c r="I164" i="11" s="1"/>
  <c r="S282" i="5"/>
  <c r="P282" i="5" s="1"/>
  <c r="Q282" i="5" s="1"/>
  <c r="I163" i="11" s="1"/>
  <c r="EY86" i="5"/>
  <c r="EZ86" i="5"/>
  <c r="EU31" i="5"/>
  <c r="EV31" i="5"/>
  <c r="EA55" i="5"/>
  <c r="EB55" i="5"/>
  <c r="DW91" i="5"/>
  <c r="DX91" i="5"/>
  <c r="DW94" i="5"/>
  <c r="DX94" i="5"/>
  <c r="DX80" i="5"/>
  <c r="DW80" i="5"/>
  <c r="DY80" i="5" s="1"/>
  <c r="DZ80" i="5" s="1"/>
  <c r="AK314" i="11"/>
  <c r="AJ314" i="11"/>
  <c r="AI314" i="11"/>
  <c r="AK322" i="11"/>
  <c r="AJ322" i="11"/>
  <c r="AI322" i="11"/>
  <c r="AK288" i="11"/>
  <c r="AJ288" i="11"/>
  <c r="AI288" i="11"/>
  <c r="AK77" i="11"/>
  <c r="AJ77" i="11"/>
  <c r="AI77" i="11"/>
  <c r="AK298" i="11"/>
  <c r="AJ298" i="11"/>
  <c r="AI298" i="11"/>
  <c r="AK318" i="11"/>
  <c r="AJ318" i="11"/>
  <c r="AI318" i="11"/>
  <c r="W83" i="11"/>
  <c r="W84" i="11"/>
  <c r="W85" i="11"/>
  <c r="W86" i="11"/>
  <c r="W231" i="11"/>
  <c r="W232" i="11"/>
  <c r="KB10" i="5"/>
  <c r="W317" i="11"/>
  <c r="W253" i="11"/>
  <c r="W254" i="11"/>
  <c r="W297" i="11"/>
  <c r="KB93" i="5"/>
  <c r="EW36" i="5"/>
  <c r="EX36" i="5" s="1"/>
  <c r="W321" i="11"/>
  <c r="W287" i="11"/>
  <c r="JW38" i="5"/>
  <c r="JX38" i="5" s="1"/>
  <c r="KB95" i="5"/>
  <c r="JW23" i="5"/>
  <c r="JX23" i="5" s="1"/>
  <c r="KA26" i="5"/>
  <c r="DY65" i="5"/>
  <c r="DZ65" i="5" s="1"/>
  <c r="EO74" i="5"/>
  <c r="EP74" i="5" s="1"/>
  <c r="KB91" i="5"/>
  <c r="EW30" i="5"/>
  <c r="EX30" i="5" s="1"/>
  <c r="EG73" i="5"/>
  <c r="EH73" i="5" s="1"/>
  <c r="ES17" i="5"/>
  <c r="ET17" i="5" s="1"/>
  <c r="EO95" i="5"/>
  <c r="EP95" i="5" s="1"/>
  <c r="ES28" i="5"/>
  <c r="ET28" i="5" s="1"/>
  <c r="EO8" i="5"/>
  <c r="EP8" i="5" s="1"/>
  <c r="AM313" i="11"/>
  <c r="AH313" i="11"/>
  <c r="AM82" i="11"/>
  <c r="AH82" i="11"/>
  <c r="AM242" i="11"/>
  <c r="AH242" i="11"/>
  <c r="R234" i="5" l="1"/>
  <c r="O234" i="5" s="1"/>
  <c r="R235" i="5"/>
  <c r="O235" i="5" s="1"/>
  <c r="AK340" i="11"/>
  <c r="AJ340" i="11"/>
  <c r="AI340" i="11"/>
  <c r="R92" i="5"/>
  <c r="O92" i="5" s="1"/>
  <c r="R91" i="5"/>
  <c r="O91" i="5" s="1"/>
  <c r="R90" i="5"/>
  <c r="O90" i="5" s="1"/>
  <c r="R89" i="5"/>
  <c r="O89" i="5" s="1"/>
  <c r="R88" i="5"/>
  <c r="O88" i="5" s="1"/>
  <c r="AK339" i="11"/>
  <c r="AJ339" i="11"/>
  <c r="AI339" i="11"/>
  <c r="EO77" i="5"/>
  <c r="EP77" i="5" s="1"/>
  <c r="ES38" i="5"/>
  <c r="ET38" i="5" s="1"/>
  <c r="EO54" i="5"/>
  <c r="EP54" i="5" s="1"/>
  <c r="KA93" i="5"/>
  <c r="EC18" i="5"/>
  <c r="ED18" i="5" s="1"/>
  <c r="W32" i="11"/>
  <c r="W20" i="11"/>
  <c r="W239" i="11"/>
  <c r="W301" i="11"/>
  <c r="W258" i="11"/>
  <c r="W90" i="11"/>
  <c r="W256" i="11"/>
  <c r="R140" i="5"/>
  <c r="O140" i="5" s="1"/>
  <c r="R141" i="5"/>
  <c r="O141" i="5" s="1"/>
  <c r="EV69" i="5"/>
  <c r="EU69" i="5"/>
  <c r="EW69" i="5" s="1"/>
  <c r="EX69" i="5" s="1"/>
  <c r="AH241" i="11"/>
  <c r="AM241" i="11"/>
  <c r="JY86" i="5"/>
  <c r="KB86" i="5" s="1"/>
  <c r="JZ86" i="5"/>
  <c r="EV88" i="5"/>
  <c r="EU88" i="5"/>
  <c r="EW88" i="5" s="1"/>
  <c r="EX88" i="5" s="1"/>
  <c r="R196" i="5"/>
  <c r="O196" i="5" s="1"/>
  <c r="R197" i="5"/>
  <c r="O197" i="5" s="1"/>
  <c r="EZ52" i="5"/>
  <c r="EY52" i="5"/>
  <c r="KA52" i="5" s="1"/>
  <c r="EJ81" i="5"/>
  <c r="EI81" i="5"/>
  <c r="EK81" i="5" s="1"/>
  <c r="EL81" i="5" s="1"/>
  <c r="AM302" i="11"/>
  <c r="AH302" i="11"/>
  <c r="EY12" i="5"/>
  <c r="KA12" i="5" s="1"/>
  <c r="EZ12" i="5"/>
  <c r="EV71" i="5"/>
  <c r="EU71" i="5"/>
  <c r="EW71" i="5" s="1"/>
  <c r="EX71" i="5" s="1"/>
  <c r="S479" i="5"/>
  <c r="P479" i="5" s="1"/>
  <c r="Q479" i="5" s="1"/>
  <c r="I719" i="11" s="1"/>
  <c r="K719" i="11" s="1"/>
  <c r="S477" i="5"/>
  <c r="P477" i="5" s="1"/>
  <c r="Q477" i="5" s="1"/>
  <c r="I717" i="11" s="1"/>
  <c r="K717" i="11" s="1"/>
  <c r="S473" i="5"/>
  <c r="P473" i="5" s="1"/>
  <c r="Q473" i="5" s="1"/>
  <c r="I713" i="11" s="1"/>
  <c r="K713" i="11" s="1"/>
  <c r="S469" i="5"/>
  <c r="P469" i="5" s="1"/>
  <c r="Q469" i="5" s="1"/>
  <c r="I709" i="11" s="1"/>
  <c r="K709" i="11" s="1"/>
  <c r="S466" i="5"/>
  <c r="P466" i="5" s="1"/>
  <c r="Q466" i="5" s="1"/>
  <c r="I706" i="11" s="1"/>
  <c r="K706" i="11" s="1"/>
  <c r="S462" i="5"/>
  <c r="P462" i="5" s="1"/>
  <c r="Q462" i="5" s="1"/>
  <c r="I702" i="11" s="1"/>
  <c r="K702" i="11" s="1"/>
  <c r="S478" i="5"/>
  <c r="P478" i="5" s="1"/>
  <c r="Q478" i="5" s="1"/>
  <c r="I718" i="11" s="1"/>
  <c r="K718" i="11" s="1"/>
  <c r="S475" i="5"/>
  <c r="P475" i="5" s="1"/>
  <c r="Q475" i="5" s="1"/>
  <c r="I715" i="11" s="1"/>
  <c r="K715" i="11" s="1"/>
  <c r="S472" i="5"/>
  <c r="P472" i="5" s="1"/>
  <c r="Q472" i="5" s="1"/>
  <c r="I712" i="11" s="1"/>
  <c r="K712" i="11" s="1"/>
  <c r="S470" i="5"/>
  <c r="P470" i="5" s="1"/>
  <c r="Q470" i="5" s="1"/>
  <c r="I710" i="11" s="1"/>
  <c r="K710" i="11" s="1"/>
  <c r="S467" i="5"/>
  <c r="P467" i="5" s="1"/>
  <c r="Q467" i="5" s="1"/>
  <c r="I707" i="11" s="1"/>
  <c r="K707" i="11" s="1"/>
  <c r="S464" i="5"/>
  <c r="P464" i="5" s="1"/>
  <c r="Q464" i="5" s="1"/>
  <c r="I704" i="11" s="1"/>
  <c r="K704" i="11" s="1"/>
  <c r="S461" i="5"/>
  <c r="P461" i="5" s="1"/>
  <c r="Q461" i="5" s="1"/>
  <c r="I701" i="11" s="1"/>
  <c r="K701" i="11" s="1"/>
  <c r="S476" i="5"/>
  <c r="P476" i="5" s="1"/>
  <c r="Q476" i="5" s="1"/>
  <c r="I716" i="11" s="1"/>
  <c r="K716" i="11" s="1"/>
  <c r="S474" i="5"/>
  <c r="P474" i="5" s="1"/>
  <c r="Q474" i="5" s="1"/>
  <c r="I714" i="11" s="1"/>
  <c r="K714" i="11" s="1"/>
  <c r="S471" i="5"/>
  <c r="P471" i="5" s="1"/>
  <c r="Q471" i="5" s="1"/>
  <c r="I711" i="11" s="1"/>
  <c r="K711" i="11" s="1"/>
  <c r="S468" i="5"/>
  <c r="P468" i="5" s="1"/>
  <c r="Q468" i="5" s="1"/>
  <c r="I708" i="11" s="1"/>
  <c r="K708" i="11" s="1"/>
  <c r="S465" i="5"/>
  <c r="P465" i="5" s="1"/>
  <c r="Q465" i="5" s="1"/>
  <c r="I705" i="11" s="1"/>
  <c r="K705" i="11" s="1"/>
  <c r="S463" i="5"/>
  <c r="P463" i="5" s="1"/>
  <c r="Q463" i="5" s="1"/>
  <c r="I703" i="11" s="1"/>
  <c r="K703" i="11" s="1"/>
  <c r="S460" i="5"/>
  <c r="P460" i="5" s="1"/>
  <c r="Q460" i="5" s="1"/>
  <c r="ER70" i="5"/>
  <c r="EQ70" i="5"/>
  <c r="ES70" i="5" s="1"/>
  <c r="ET70" i="5" s="1"/>
  <c r="Q323" i="11"/>
  <c r="AF323" i="11" s="1"/>
  <c r="M323" i="11"/>
  <c r="AG323" i="11"/>
  <c r="Q295" i="11"/>
  <c r="AF295" i="11" s="1"/>
  <c r="M295" i="11"/>
  <c r="AG295" i="11"/>
  <c r="Q309" i="11"/>
  <c r="AF309" i="11" s="1"/>
  <c r="M309" i="11"/>
  <c r="AG309" i="11"/>
  <c r="AI310" i="11"/>
  <c r="AJ310" i="11"/>
  <c r="AK310" i="11"/>
  <c r="Q333" i="11"/>
  <c r="AF333" i="11" s="1"/>
  <c r="M333" i="11"/>
  <c r="AG333" i="11"/>
  <c r="Q337" i="11"/>
  <c r="AF337" i="11" s="1"/>
  <c r="M337" i="11"/>
  <c r="AG337" i="11"/>
  <c r="B83" i="15"/>
  <c r="AG9" i="11"/>
  <c r="M9" i="11"/>
  <c r="Q9" i="11"/>
  <c r="AF9" i="11" s="1"/>
  <c r="W9" i="11" s="1"/>
  <c r="AI300" i="11"/>
  <c r="AJ300" i="11"/>
  <c r="AK300" i="11"/>
  <c r="Q299" i="11"/>
  <c r="AF299" i="11" s="1"/>
  <c r="M299" i="11"/>
  <c r="AG299" i="11"/>
  <c r="Q233" i="11"/>
  <c r="AF233" i="11" s="1"/>
  <c r="M233" i="11"/>
  <c r="AG233" i="11"/>
  <c r="M234" i="11"/>
  <c r="Q234" i="11"/>
  <c r="AF234" i="11" s="1"/>
  <c r="AG234" i="11"/>
  <c r="M229" i="11"/>
  <c r="Q229" i="11"/>
  <c r="AF229" i="11" s="1"/>
  <c r="AG229" i="11"/>
  <c r="M230" i="11"/>
  <c r="Q230" i="11"/>
  <c r="AF230" i="11" s="1"/>
  <c r="AG230" i="11"/>
  <c r="Q291" i="11"/>
  <c r="AF291" i="11" s="1"/>
  <c r="M291" i="11"/>
  <c r="AG291" i="11"/>
  <c r="Q273" i="11"/>
  <c r="AF273" i="11" s="1"/>
  <c r="M273" i="11"/>
  <c r="AG273" i="11"/>
  <c r="M274" i="11"/>
  <c r="Q274" i="11"/>
  <c r="AF274" i="11" s="1"/>
  <c r="AG274" i="11"/>
  <c r="Q281" i="11"/>
  <c r="AF281" i="11" s="1"/>
  <c r="M281" i="11"/>
  <c r="AG281" i="11"/>
  <c r="N20" i="7"/>
  <c r="I305" i="11"/>
  <c r="AG306" i="11"/>
  <c r="M306" i="11"/>
  <c r="Q306" i="11"/>
  <c r="AF306" i="11" s="1"/>
  <c r="W306" i="11" s="1"/>
  <c r="M237" i="11"/>
  <c r="Q237" i="11"/>
  <c r="AF237" i="11" s="1"/>
  <c r="AG237" i="11"/>
  <c r="Q238" i="11"/>
  <c r="AF238" i="11" s="1"/>
  <c r="M238" i="11"/>
  <c r="AG238" i="11"/>
  <c r="S178" i="5"/>
  <c r="P178" i="5" s="1"/>
  <c r="Q178" i="5" s="1"/>
  <c r="S179" i="5"/>
  <c r="P179" i="5" s="1"/>
  <c r="Q179" i="5" s="1"/>
  <c r="I332" i="11" s="1"/>
  <c r="N10" i="7"/>
  <c r="I285" i="11"/>
  <c r="AG286" i="11"/>
  <c r="M286" i="11"/>
  <c r="Q286" i="11"/>
  <c r="AF286" i="11" s="1"/>
  <c r="W286" i="11" s="1"/>
  <c r="AK75" i="11"/>
  <c r="AJ75" i="11"/>
  <c r="AI75" i="11"/>
  <c r="AK76" i="11"/>
  <c r="AJ76" i="11"/>
  <c r="AI76" i="11"/>
  <c r="AG316" i="11"/>
  <c r="M316" i="11"/>
  <c r="Q316" i="11"/>
  <c r="AF316" i="11" s="1"/>
  <c r="W316" i="11" s="1"/>
  <c r="N25" i="7"/>
  <c r="I315" i="11"/>
  <c r="AK78" i="11"/>
  <c r="AJ78" i="11"/>
  <c r="AI78" i="11"/>
  <c r="AK79" i="11"/>
  <c r="AJ79" i="11"/>
  <c r="AI79" i="11"/>
  <c r="EY22" i="5"/>
  <c r="EZ22" i="5"/>
  <c r="AG245" i="11"/>
  <c r="Q245" i="11"/>
  <c r="AF245" i="11" s="1"/>
  <c r="W245" i="11" s="1"/>
  <c r="AH245" i="11" s="1"/>
  <c r="AM245" i="11" s="1"/>
  <c r="M245" i="11"/>
  <c r="M246" i="11"/>
  <c r="Q246" i="11"/>
  <c r="AF246" i="11" s="1"/>
  <c r="AG246" i="11"/>
  <c r="M272" i="11"/>
  <c r="Q272" i="11"/>
  <c r="AF272" i="11" s="1"/>
  <c r="AG272" i="11"/>
  <c r="M271" i="11"/>
  <c r="Q271" i="11"/>
  <c r="AF271" i="11" s="1"/>
  <c r="AG271" i="11"/>
  <c r="M186" i="11"/>
  <c r="Q186" i="11"/>
  <c r="AF186" i="11" s="1"/>
  <c r="AG186" i="11"/>
  <c r="M185" i="11"/>
  <c r="Q185" i="11"/>
  <c r="AF185" i="11" s="1"/>
  <c r="AG185" i="11"/>
  <c r="Q184" i="11"/>
  <c r="AF184" i="11" s="1"/>
  <c r="M184" i="11"/>
  <c r="AG184" i="11"/>
  <c r="Q187" i="11"/>
  <c r="AF187" i="11" s="1"/>
  <c r="M187" i="11"/>
  <c r="AG187" i="11"/>
  <c r="Q188" i="11"/>
  <c r="AF188" i="11" s="1"/>
  <c r="M188" i="11"/>
  <c r="AG188" i="11"/>
  <c r="Q270" i="11"/>
  <c r="AF270" i="11" s="1"/>
  <c r="M270" i="11"/>
  <c r="AG270" i="11"/>
  <c r="M269" i="11"/>
  <c r="Q269" i="11"/>
  <c r="AF269" i="11" s="1"/>
  <c r="AG269" i="11"/>
  <c r="Q276" i="11"/>
  <c r="AF276" i="11" s="1"/>
  <c r="M276" i="11"/>
  <c r="AG276" i="11"/>
  <c r="Q275" i="11"/>
  <c r="AF275" i="11" s="1"/>
  <c r="M275" i="11"/>
  <c r="AG275" i="11"/>
  <c r="AG308" i="11"/>
  <c r="M308" i="11"/>
  <c r="Q308" i="11"/>
  <c r="AF308" i="11" s="1"/>
  <c r="W308" i="11" s="1"/>
  <c r="AH308" i="11" s="1"/>
  <c r="AM308" i="11" s="1"/>
  <c r="N21" i="7"/>
  <c r="I307" i="11"/>
  <c r="AG336" i="11"/>
  <c r="M336" i="11"/>
  <c r="Q336" i="11"/>
  <c r="AF336" i="11" s="1"/>
  <c r="W336" i="11" s="1"/>
  <c r="N35" i="7"/>
  <c r="I335" i="11"/>
  <c r="AG284" i="11"/>
  <c r="M284" i="11"/>
  <c r="Q284" i="11"/>
  <c r="AF284" i="11" s="1"/>
  <c r="W284" i="11" s="1"/>
  <c r="N9" i="7"/>
  <c r="I283" i="11"/>
  <c r="Q236" i="11"/>
  <c r="AF236" i="11" s="1"/>
  <c r="M236" i="11"/>
  <c r="AG236" i="11"/>
  <c r="Q235" i="11"/>
  <c r="AF235" i="11" s="1"/>
  <c r="M235" i="11"/>
  <c r="AG235" i="11"/>
  <c r="AG326" i="11"/>
  <c r="M326" i="11"/>
  <c r="Q326" i="11"/>
  <c r="AF326" i="11" s="1"/>
  <c r="W326" i="11" s="1"/>
  <c r="N30" i="7"/>
  <c r="I325" i="11"/>
  <c r="Q55" i="11"/>
  <c r="AF55" i="11" s="1"/>
  <c r="M55" i="11"/>
  <c r="AG55" i="11"/>
  <c r="M54" i="11"/>
  <c r="Q54" i="11"/>
  <c r="AF54" i="11" s="1"/>
  <c r="AG54" i="11"/>
  <c r="M53" i="11"/>
  <c r="Q53" i="11"/>
  <c r="AF53" i="11" s="1"/>
  <c r="AG53" i="11"/>
  <c r="Q52" i="11"/>
  <c r="AF52" i="11" s="1"/>
  <c r="M52" i="11"/>
  <c r="AG52" i="11"/>
  <c r="Q51" i="11"/>
  <c r="AF51" i="11" s="1"/>
  <c r="M51" i="11"/>
  <c r="AG51" i="11"/>
  <c r="Q50" i="11"/>
  <c r="AF50" i="11" s="1"/>
  <c r="M50" i="11"/>
  <c r="AG50" i="11"/>
  <c r="M49" i="11"/>
  <c r="Q49" i="11"/>
  <c r="AF49" i="11" s="1"/>
  <c r="AG49" i="11"/>
  <c r="M48" i="11"/>
  <c r="Q48" i="11"/>
  <c r="AF48" i="11" s="1"/>
  <c r="AG48" i="11"/>
  <c r="M47" i="11"/>
  <c r="Q47" i="11"/>
  <c r="AF47" i="11" s="1"/>
  <c r="AG47" i="11"/>
  <c r="M46" i="11"/>
  <c r="Q46" i="11"/>
  <c r="AF46" i="11" s="1"/>
  <c r="AG46" i="11"/>
  <c r="Q45" i="11"/>
  <c r="AF45" i="11" s="1"/>
  <c r="M45" i="11"/>
  <c r="AG45" i="11"/>
  <c r="M44" i="11"/>
  <c r="Q44" i="11"/>
  <c r="AF44" i="11" s="1"/>
  <c r="AG44" i="11"/>
  <c r="Q43" i="11"/>
  <c r="AF43" i="11" s="1"/>
  <c r="M43" i="11"/>
  <c r="AG43" i="11"/>
  <c r="M42" i="11"/>
  <c r="Q42" i="11"/>
  <c r="AF42" i="11" s="1"/>
  <c r="AG42" i="11"/>
  <c r="M41" i="11"/>
  <c r="Q41" i="11"/>
  <c r="AF41" i="11" s="1"/>
  <c r="W41" i="11" s="1"/>
  <c r="AG41" i="11"/>
  <c r="Q160" i="11"/>
  <c r="AF160" i="11" s="1"/>
  <c r="M160" i="11"/>
  <c r="AG160" i="11"/>
  <c r="Q159" i="11"/>
  <c r="AF159" i="11" s="1"/>
  <c r="W159" i="11" s="1"/>
  <c r="AH159" i="11" s="1"/>
  <c r="M159" i="11"/>
  <c r="AG159" i="11"/>
  <c r="Q158" i="11"/>
  <c r="AF158" i="11" s="1"/>
  <c r="M158" i="11"/>
  <c r="AG158" i="11"/>
  <c r="Q157" i="11"/>
  <c r="AF157" i="11" s="1"/>
  <c r="M157" i="11"/>
  <c r="AG157" i="11"/>
  <c r="Q156" i="11"/>
  <c r="AF156" i="11" s="1"/>
  <c r="M156" i="11"/>
  <c r="AG156" i="11"/>
  <c r="S175" i="5"/>
  <c r="P175" i="5" s="1"/>
  <c r="Q175" i="5" s="1"/>
  <c r="I328" i="11" s="1"/>
  <c r="S174" i="5"/>
  <c r="P174" i="5" s="1"/>
  <c r="Q174" i="5" s="1"/>
  <c r="S93" i="5"/>
  <c r="P93" i="5" s="1"/>
  <c r="Q93" i="5" s="1"/>
  <c r="I110" i="11" s="1"/>
  <c r="S94" i="5"/>
  <c r="P94" i="5" s="1"/>
  <c r="Q94" i="5" s="1"/>
  <c r="I111" i="11" s="1"/>
  <c r="S95" i="5"/>
  <c r="P95" i="5" s="1"/>
  <c r="Q95" i="5" s="1"/>
  <c r="I112" i="11" s="1"/>
  <c r="S96" i="5"/>
  <c r="P96" i="5" s="1"/>
  <c r="Q96" i="5" s="1"/>
  <c r="I113" i="11" s="1"/>
  <c r="S97" i="5"/>
  <c r="P97" i="5" s="1"/>
  <c r="Q97" i="5" s="1"/>
  <c r="I114" i="11" s="1"/>
  <c r="Q153" i="11"/>
  <c r="AF153" i="11" s="1"/>
  <c r="M153" i="11"/>
  <c r="AG153" i="11"/>
  <c r="Q152" i="11"/>
  <c r="AF152" i="11" s="1"/>
  <c r="M152" i="11"/>
  <c r="AG152" i="11"/>
  <c r="Q151" i="11"/>
  <c r="AF151" i="11" s="1"/>
  <c r="M151" i="11"/>
  <c r="AG151" i="11"/>
  <c r="Q150" i="11"/>
  <c r="AF150" i="11" s="1"/>
  <c r="M150" i="11"/>
  <c r="AG150" i="11"/>
  <c r="Q149" i="11"/>
  <c r="AF149" i="11" s="1"/>
  <c r="M149" i="11"/>
  <c r="AG149" i="11"/>
  <c r="S88" i="5"/>
  <c r="P88" i="5" s="1"/>
  <c r="Q88" i="5" s="1"/>
  <c r="I103" i="11" s="1"/>
  <c r="S89" i="5"/>
  <c r="P89" i="5" s="1"/>
  <c r="Q89" i="5" s="1"/>
  <c r="I104" i="11" s="1"/>
  <c r="S90" i="5"/>
  <c r="P90" i="5" s="1"/>
  <c r="Q90" i="5" s="1"/>
  <c r="I105" i="11" s="1"/>
  <c r="S91" i="5"/>
  <c r="P91" i="5" s="1"/>
  <c r="Q91" i="5" s="1"/>
  <c r="I106" i="11" s="1"/>
  <c r="S92" i="5"/>
  <c r="P92" i="5" s="1"/>
  <c r="Q92" i="5" s="1"/>
  <c r="I107" i="11" s="1"/>
  <c r="JY50" i="5"/>
  <c r="JZ50" i="5"/>
  <c r="M178" i="11"/>
  <c r="Q178" i="11"/>
  <c r="AF178" i="11" s="1"/>
  <c r="AG178" i="11"/>
  <c r="M177" i="11"/>
  <c r="Q177" i="11"/>
  <c r="AF177" i="11" s="1"/>
  <c r="AG177" i="11"/>
  <c r="Q181" i="11"/>
  <c r="AF181" i="11" s="1"/>
  <c r="M181" i="11"/>
  <c r="AG181" i="11"/>
  <c r="M180" i="11"/>
  <c r="Q180" i="11"/>
  <c r="AF180" i="11" s="1"/>
  <c r="AG180" i="11"/>
  <c r="M179" i="11"/>
  <c r="Q179" i="11"/>
  <c r="AF179" i="11" s="1"/>
  <c r="AG179" i="11"/>
  <c r="AG304" i="11"/>
  <c r="M304" i="11"/>
  <c r="Q304" i="11"/>
  <c r="AF304" i="11" s="1"/>
  <c r="W304" i="11" s="1"/>
  <c r="N19" i="7"/>
  <c r="I303" i="11"/>
  <c r="Q167" i="11"/>
  <c r="AF167" i="11" s="1"/>
  <c r="M167" i="11"/>
  <c r="AG167" i="11"/>
  <c r="Q166" i="11"/>
  <c r="AF166" i="11" s="1"/>
  <c r="M166" i="11"/>
  <c r="AG166" i="11"/>
  <c r="Q165" i="11"/>
  <c r="AF165" i="11" s="1"/>
  <c r="M165" i="11"/>
  <c r="AG165" i="11"/>
  <c r="Q164" i="11"/>
  <c r="AF164" i="11" s="1"/>
  <c r="M164" i="11"/>
  <c r="AG164" i="11"/>
  <c r="Q163" i="11"/>
  <c r="AF163" i="11" s="1"/>
  <c r="M163" i="11"/>
  <c r="AG163" i="11"/>
  <c r="EB80" i="5"/>
  <c r="EA80" i="5"/>
  <c r="EC80" i="5" s="1"/>
  <c r="ED80" i="5" s="1"/>
  <c r="AH83" i="11"/>
  <c r="AM83" i="11"/>
  <c r="AH84" i="11"/>
  <c r="AM84" i="11"/>
  <c r="AH85" i="11"/>
  <c r="AM85" i="11"/>
  <c r="AH86" i="11"/>
  <c r="AM86" i="11"/>
  <c r="AH231" i="11"/>
  <c r="AM231" i="11"/>
  <c r="AH232" i="11"/>
  <c r="AM232" i="11"/>
  <c r="S67" i="5"/>
  <c r="P67" i="5" s="1"/>
  <c r="Q67" i="5" s="1"/>
  <c r="I72" i="11" s="1"/>
  <c r="S66" i="5"/>
  <c r="P66" i="5" s="1"/>
  <c r="Q66" i="5" s="1"/>
  <c r="I71" i="11" s="1"/>
  <c r="S65" i="5"/>
  <c r="P65" i="5" s="1"/>
  <c r="Q65" i="5" s="1"/>
  <c r="I70" i="11" s="1"/>
  <c r="S64" i="5"/>
  <c r="P64" i="5" s="1"/>
  <c r="Q64" i="5" s="1"/>
  <c r="I69" i="11" s="1"/>
  <c r="S63" i="5"/>
  <c r="P63" i="5" s="1"/>
  <c r="Q63" i="5" s="1"/>
  <c r="I68" i="11" s="1"/>
  <c r="S62" i="5"/>
  <c r="P62" i="5" s="1"/>
  <c r="Q62" i="5" s="1"/>
  <c r="I67" i="11" s="1"/>
  <c r="S61" i="5"/>
  <c r="P61" i="5" s="1"/>
  <c r="Q61" i="5" s="1"/>
  <c r="I66" i="11" s="1"/>
  <c r="S60" i="5"/>
  <c r="P60" i="5" s="1"/>
  <c r="Q60" i="5" s="1"/>
  <c r="I65" i="11" s="1"/>
  <c r="S59" i="5"/>
  <c r="P59" i="5" s="1"/>
  <c r="Q59" i="5" s="1"/>
  <c r="I64" i="11" s="1"/>
  <c r="S58" i="5"/>
  <c r="P58" i="5" s="1"/>
  <c r="Q58" i="5" s="1"/>
  <c r="I63" i="11" s="1"/>
  <c r="S57" i="5"/>
  <c r="P57" i="5" s="1"/>
  <c r="Q57" i="5" s="1"/>
  <c r="I62" i="11" s="1"/>
  <c r="S56" i="5"/>
  <c r="P56" i="5" s="1"/>
  <c r="Q56" i="5" s="1"/>
  <c r="I61" i="11" s="1"/>
  <c r="S55" i="5"/>
  <c r="P55" i="5" s="1"/>
  <c r="Q55" i="5" s="1"/>
  <c r="I60" i="11" s="1"/>
  <c r="S54" i="5"/>
  <c r="P54" i="5" s="1"/>
  <c r="Q54" i="5" s="1"/>
  <c r="I59" i="11" s="1"/>
  <c r="S53" i="5"/>
  <c r="P53" i="5" s="1"/>
  <c r="Q53" i="5" s="1"/>
  <c r="AH317" i="11"/>
  <c r="AM317" i="11"/>
  <c r="AH253" i="11"/>
  <c r="AM253" i="11"/>
  <c r="AH254" i="11"/>
  <c r="AM254" i="11"/>
  <c r="AH297" i="11"/>
  <c r="AM297" i="11"/>
  <c r="S579" i="5"/>
  <c r="P579" i="5" s="1"/>
  <c r="Q579" i="5" s="1"/>
  <c r="I473" i="11" s="1"/>
  <c r="K473" i="11" s="1"/>
  <c r="S570" i="5"/>
  <c r="P570" i="5" s="1"/>
  <c r="Q570" i="5" s="1"/>
  <c r="I464" i="11" s="1"/>
  <c r="K464" i="11" s="1"/>
  <c r="S565" i="5"/>
  <c r="P565" i="5" s="1"/>
  <c r="Q565" i="5" s="1"/>
  <c r="I459" i="11" s="1"/>
  <c r="K459" i="11" s="1"/>
  <c r="S582" i="5"/>
  <c r="P582" i="5" s="1"/>
  <c r="Q582" i="5" s="1"/>
  <c r="I476" i="11" s="1"/>
  <c r="K476" i="11" s="1"/>
  <c r="S580" i="5"/>
  <c r="P580" i="5" s="1"/>
  <c r="Q580" i="5" s="1"/>
  <c r="I474" i="11" s="1"/>
  <c r="K474" i="11" s="1"/>
  <c r="S577" i="5"/>
  <c r="P577" i="5" s="1"/>
  <c r="Q577" i="5" s="1"/>
  <c r="I471" i="11" s="1"/>
  <c r="K471" i="11" s="1"/>
  <c r="S576" i="5"/>
  <c r="P576" i="5" s="1"/>
  <c r="Q576" i="5" s="1"/>
  <c r="I470" i="11" s="1"/>
  <c r="K470" i="11" s="1"/>
  <c r="S573" i="5"/>
  <c r="P573" i="5" s="1"/>
  <c r="Q573" i="5" s="1"/>
  <c r="I467" i="11" s="1"/>
  <c r="K467" i="11" s="1"/>
  <c r="S566" i="5"/>
  <c r="P566" i="5" s="1"/>
  <c r="Q566" i="5" s="1"/>
  <c r="I460" i="11" s="1"/>
  <c r="K460" i="11" s="1"/>
  <c r="S578" i="5"/>
  <c r="P578" i="5" s="1"/>
  <c r="Q578" i="5" s="1"/>
  <c r="I472" i="11" s="1"/>
  <c r="K472" i="11" s="1"/>
  <c r="S569" i="5"/>
  <c r="P569" i="5" s="1"/>
  <c r="Q569" i="5" s="1"/>
  <c r="I463" i="11" s="1"/>
  <c r="K463" i="11" s="1"/>
  <c r="S568" i="5"/>
  <c r="P568" i="5" s="1"/>
  <c r="Q568" i="5" s="1"/>
  <c r="I462" i="11" s="1"/>
  <c r="K462" i="11" s="1"/>
  <c r="S581" i="5"/>
  <c r="P581" i="5" s="1"/>
  <c r="Q581" i="5" s="1"/>
  <c r="I475" i="11" s="1"/>
  <c r="K475" i="11" s="1"/>
  <c r="S574" i="5"/>
  <c r="P574" i="5" s="1"/>
  <c r="Q574" i="5" s="1"/>
  <c r="I468" i="11" s="1"/>
  <c r="K468" i="11" s="1"/>
  <c r="S567" i="5"/>
  <c r="P567" i="5" s="1"/>
  <c r="Q567" i="5" s="1"/>
  <c r="I461" i="11" s="1"/>
  <c r="K461" i="11" s="1"/>
  <c r="S575" i="5"/>
  <c r="P575" i="5" s="1"/>
  <c r="Q575" i="5" s="1"/>
  <c r="I469" i="11" s="1"/>
  <c r="K469" i="11" s="1"/>
  <c r="S572" i="5"/>
  <c r="P572" i="5" s="1"/>
  <c r="Q572" i="5" s="1"/>
  <c r="I466" i="11" s="1"/>
  <c r="K466" i="11" s="1"/>
  <c r="S571" i="5"/>
  <c r="P571" i="5" s="1"/>
  <c r="Q571" i="5" s="1"/>
  <c r="I465" i="11" s="1"/>
  <c r="K465" i="11" s="1"/>
  <c r="EY36" i="5"/>
  <c r="EZ36" i="5"/>
  <c r="EY42" i="5"/>
  <c r="EZ42" i="5"/>
  <c r="AH321" i="11"/>
  <c r="AM321" i="11"/>
  <c r="AH287" i="11"/>
  <c r="AM287" i="11"/>
  <c r="JZ38" i="5"/>
  <c r="JY38" i="5"/>
  <c r="KB38" i="5" s="1"/>
  <c r="S660" i="5"/>
  <c r="P660" i="5" s="1"/>
  <c r="Q660" i="5" s="1"/>
  <c r="I558" i="11" s="1"/>
  <c r="K558" i="11" s="1"/>
  <c r="S651" i="5"/>
  <c r="P651" i="5" s="1"/>
  <c r="Q651" i="5" s="1"/>
  <c r="I549" i="11" s="1"/>
  <c r="K549" i="11" s="1"/>
  <c r="S657" i="5"/>
  <c r="P657" i="5" s="1"/>
  <c r="Q657" i="5" s="1"/>
  <c r="I555" i="11" s="1"/>
  <c r="K555" i="11" s="1"/>
  <c r="S655" i="5"/>
  <c r="P655" i="5" s="1"/>
  <c r="Q655" i="5" s="1"/>
  <c r="I553" i="11" s="1"/>
  <c r="K553" i="11" s="1"/>
  <c r="S653" i="5"/>
  <c r="P653" i="5" s="1"/>
  <c r="Q653" i="5" s="1"/>
  <c r="I551" i="11" s="1"/>
  <c r="K551" i="11" s="1"/>
  <c r="S648" i="5"/>
  <c r="P648" i="5" s="1"/>
  <c r="Q648" i="5" s="1"/>
  <c r="I546" i="11" s="1"/>
  <c r="K546" i="11" s="1"/>
  <c r="S647" i="5"/>
  <c r="P647" i="5" s="1"/>
  <c r="Q647" i="5" s="1"/>
  <c r="I545" i="11" s="1"/>
  <c r="K545" i="11" s="1"/>
  <c r="S646" i="5"/>
  <c r="P646" i="5" s="1"/>
  <c r="Q646" i="5" s="1"/>
  <c r="I544" i="11" s="1"/>
  <c r="K544" i="11" s="1"/>
  <c r="S645" i="5"/>
  <c r="P645" i="5" s="1"/>
  <c r="Q645" i="5" s="1"/>
  <c r="I543" i="11" s="1"/>
  <c r="K543" i="11" s="1"/>
  <c r="S644" i="5"/>
  <c r="P644" i="5" s="1"/>
  <c r="Q644" i="5" s="1"/>
  <c r="I542" i="11" s="1"/>
  <c r="K542" i="11" s="1"/>
  <c r="S643" i="5"/>
  <c r="P643" i="5" s="1"/>
  <c r="Q643" i="5" s="1"/>
  <c r="I541" i="11" s="1"/>
  <c r="K541" i="11" s="1"/>
  <c r="S642" i="5"/>
  <c r="P642" i="5" s="1"/>
  <c r="Q642" i="5" s="1"/>
  <c r="I540" i="11" s="1"/>
  <c r="K540" i="11" s="1"/>
  <c r="S641" i="5"/>
  <c r="P641" i="5" s="1"/>
  <c r="Q641" i="5" s="1"/>
  <c r="I539" i="11" s="1"/>
  <c r="K539" i="11" s="1"/>
  <c r="S640" i="5"/>
  <c r="P640" i="5" s="1"/>
  <c r="Q640" i="5" s="1"/>
  <c r="I538" i="11" s="1"/>
  <c r="K538" i="11" s="1"/>
  <c r="S639" i="5"/>
  <c r="P639" i="5" s="1"/>
  <c r="Q639" i="5" s="1"/>
  <c r="I537" i="11" s="1"/>
  <c r="K537" i="11" s="1"/>
  <c r="S638" i="5"/>
  <c r="P638" i="5" s="1"/>
  <c r="Q638" i="5" s="1"/>
  <c r="I536" i="11" s="1"/>
  <c r="K536" i="11" s="1"/>
  <c r="S637" i="5"/>
  <c r="P637" i="5" s="1"/>
  <c r="Q637" i="5" s="1"/>
  <c r="I535" i="11" s="1"/>
  <c r="K535" i="11" s="1"/>
  <c r="S636" i="5"/>
  <c r="P636" i="5" s="1"/>
  <c r="Q636" i="5" s="1"/>
  <c r="I534" i="11" s="1"/>
  <c r="K534" i="11" s="1"/>
  <c r="S635" i="5"/>
  <c r="P635" i="5" s="1"/>
  <c r="Q635" i="5" s="1"/>
  <c r="I533" i="11" s="1"/>
  <c r="K533" i="11" s="1"/>
  <c r="S634" i="5"/>
  <c r="P634" i="5" s="1"/>
  <c r="Q634" i="5" s="1"/>
  <c r="I532" i="11" s="1"/>
  <c r="K532" i="11" s="1"/>
  <c r="S633" i="5"/>
  <c r="P633" i="5" s="1"/>
  <c r="Q633" i="5" s="1"/>
  <c r="I531" i="11" s="1"/>
  <c r="K531" i="11" s="1"/>
  <c r="S632" i="5"/>
  <c r="P632" i="5" s="1"/>
  <c r="Q632" i="5" s="1"/>
  <c r="I530" i="11" s="1"/>
  <c r="K530" i="11" s="1"/>
  <c r="S631" i="5"/>
  <c r="P631" i="5" s="1"/>
  <c r="Q631" i="5" s="1"/>
  <c r="I529" i="11" s="1"/>
  <c r="K529" i="11" s="1"/>
  <c r="S661" i="5"/>
  <c r="P661" i="5" s="1"/>
  <c r="Q661" i="5" s="1"/>
  <c r="I559" i="11" s="1"/>
  <c r="K559" i="11" s="1"/>
  <c r="S659" i="5"/>
  <c r="P659" i="5" s="1"/>
  <c r="Q659" i="5" s="1"/>
  <c r="I557" i="11" s="1"/>
  <c r="K557" i="11" s="1"/>
  <c r="S658" i="5"/>
  <c r="P658" i="5" s="1"/>
  <c r="Q658" i="5" s="1"/>
  <c r="I556" i="11" s="1"/>
  <c r="K556" i="11" s="1"/>
  <c r="S654" i="5"/>
  <c r="P654" i="5" s="1"/>
  <c r="Q654" i="5" s="1"/>
  <c r="I552" i="11" s="1"/>
  <c r="K552" i="11" s="1"/>
  <c r="S652" i="5"/>
  <c r="P652" i="5" s="1"/>
  <c r="Q652" i="5" s="1"/>
  <c r="I550" i="11" s="1"/>
  <c r="K550" i="11" s="1"/>
  <c r="S656" i="5"/>
  <c r="P656" i="5" s="1"/>
  <c r="Q656" i="5" s="1"/>
  <c r="I554" i="11" s="1"/>
  <c r="K554" i="11" s="1"/>
  <c r="S650" i="5"/>
  <c r="P650" i="5" s="1"/>
  <c r="Q650" i="5" s="1"/>
  <c r="I548" i="11" s="1"/>
  <c r="K548" i="11" s="1"/>
  <c r="S649" i="5"/>
  <c r="P649" i="5" s="1"/>
  <c r="Q649" i="5" s="1"/>
  <c r="I547" i="11" s="1"/>
  <c r="K547" i="11" s="1"/>
  <c r="JZ23" i="5"/>
  <c r="JY23" i="5"/>
  <c r="KB23" i="5" s="1"/>
  <c r="R143" i="5"/>
  <c r="O143" i="5" s="1"/>
  <c r="R142" i="5"/>
  <c r="O142" i="5" s="1"/>
  <c r="EA65" i="5"/>
  <c r="EB65" i="5"/>
  <c r="EQ74" i="5"/>
  <c r="ER74" i="5"/>
  <c r="S540" i="5"/>
  <c r="P540" i="5" s="1"/>
  <c r="Q540" i="5" s="1"/>
  <c r="I430" i="11" s="1"/>
  <c r="K430" i="11" s="1"/>
  <c r="S533" i="5"/>
  <c r="P533" i="5" s="1"/>
  <c r="Q533" i="5" s="1"/>
  <c r="I423" i="11" s="1"/>
  <c r="K423" i="11" s="1"/>
  <c r="S531" i="5"/>
  <c r="P531" i="5" s="1"/>
  <c r="Q531" i="5" s="1"/>
  <c r="I421" i="11" s="1"/>
  <c r="K421" i="11" s="1"/>
  <c r="S537" i="5"/>
  <c r="P537" i="5" s="1"/>
  <c r="Q537" i="5" s="1"/>
  <c r="I427" i="11" s="1"/>
  <c r="K427" i="11" s="1"/>
  <c r="S536" i="5"/>
  <c r="P536" i="5" s="1"/>
  <c r="Q536" i="5" s="1"/>
  <c r="I426" i="11" s="1"/>
  <c r="K426" i="11" s="1"/>
  <c r="S534" i="5"/>
  <c r="P534" i="5" s="1"/>
  <c r="Q534" i="5" s="1"/>
  <c r="I424" i="11" s="1"/>
  <c r="K424" i="11" s="1"/>
  <c r="S528" i="5"/>
  <c r="P528" i="5" s="1"/>
  <c r="Q528" i="5" s="1"/>
  <c r="I418" i="11" s="1"/>
  <c r="K418" i="11" s="1"/>
  <c r="S527" i="5"/>
  <c r="P527" i="5" s="1"/>
  <c r="Q527" i="5" s="1"/>
  <c r="I417" i="11" s="1"/>
  <c r="K417" i="11" s="1"/>
  <c r="S526" i="5"/>
  <c r="P526" i="5" s="1"/>
  <c r="Q526" i="5" s="1"/>
  <c r="I416" i="11" s="1"/>
  <c r="K416" i="11" s="1"/>
  <c r="S525" i="5"/>
  <c r="P525" i="5" s="1"/>
  <c r="Q525" i="5" s="1"/>
  <c r="I415" i="11" s="1"/>
  <c r="K415" i="11" s="1"/>
  <c r="S524" i="5"/>
  <c r="P524" i="5" s="1"/>
  <c r="Q524" i="5" s="1"/>
  <c r="I414" i="11" s="1"/>
  <c r="K414" i="11" s="1"/>
  <c r="S523" i="5"/>
  <c r="P523" i="5" s="1"/>
  <c r="Q523" i="5" s="1"/>
  <c r="I413" i="11" s="1"/>
  <c r="K413" i="11" s="1"/>
  <c r="S522" i="5"/>
  <c r="P522" i="5" s="1"/>
  <c r="Q522" i="5" s="1"/>
  <c r="I412" i="11" s="1"/>
  <c r="K412" i="11" s="1"/>
  <c r="S521" i="5"/>
  <c r="P521" i="5" s="1"/>
  <c r="Q521" i="5" s="1"/>
  <c r="I411" i="11" s="1"/>
  <c r="K411" i="11" s="1"/>
  <c r="S520" i="5"/>
  <c r="P520" i="5" s="1"/>
  <c r="Q520" i="5" s="1"/>
  <c r="I410" i="11" s="1"/>
  <c r="K410" i="11" s="1"/>
  <c r="S539" i="5"/>
  <c r="P539" i="5" s="1"/>
  <c r="Q539" i="5" s="1"/>
  <c r="I429" i="11" s="1"/>
  <c r="K429" i="11" s="1"/>
  <c r="S530" i="5"/>
  <c r="P530" i="5" s="1"/>
  <c r="Q530" i="5" s="1"/>
  <c r="I420" i="11" s="1"/>
  <c r="K420" i="11" s="1"/>
  <c r="S538" i="5"/>
  <c r="P538" i="5" s="1"/>
  <c r="Q538" i="5" s="1"/>
  <c r="I428" i="11" s="1"/>
  <c r="K428" i="11" s="1"/>
  <c r="S535" i="5"/>
  <c r="P535" i="5" s="1"/>
  <c r="Q535" i="5" s="1"/>
  <c r="I425" i="11" s="1"/>
  <c r="K425" i="11" s="1"/>
  <c r="S532" i="5"/>
  <c r="P532" i="5" s="1"/>
  <c r="Q532" i="5" s="1"/>
  <c r="I422" i="11" s="1"/>
  <c r="K422" i="11" s="1"/>
  <c r="S529" i="5"/>
  <c r="P529" i="5" s="1"/>
  <c r="Q529" i="5" s="1"/>
  <c r="I419" i="11" s="1"/>
  <c r="K419" i="11" s="1"/>
  <c r="EY30" i="5"/>
  <c r="EZ30" i="5"/>
  <c r="EI73" i="5"/>
  <c r="EJ73" i="5"/>
  <c r="EV17" i="5"/>
  <c r="EU17" i="5"/>
  <c r="EW17" i="5" s="1"/>
  <c r="EX17" i="5" s="1"/>
  <c r="EQ95" i="5"/>
  <c r="ER95" i="5"/>
  <c r="EU28" i="5"/>
  <c r="EV28" i="5"/>
  <c r="EQ8" i="5"/>
  <c r="ER8" i="5"/>
  <c r="AK313" i="11"/>
  <c r="AJ313" i="11"/>
  <c r="AI313" i="11"/>
  <c r="AK82" i="11"/>
  <c r="AJ82" i="11"/>
  <c r="AI82" i="11"/>
  <c r="AK242" i="11"/>
  <c r="AJ242" i="11"/>
  <c r="AI242" i="11"/>
  <c r="W226" i="11"/>
  <c r="W225" i="11"/>
  <c r="W170" i="11"/>
  <c r="W171" i="11"/>
  <c r="W172" i="11"/>
  <c r="W173" i="11"/>
  <c r="W174" i="11"/>
  <c r="W293" i="11"/>
  <c r="W267" i="11"/>
  <c r="W268" i="11"/>
  <c r="W257" i="11"/>
  <c r="W91" i="11"/>
  <c r="W93" i="11"/>
  <c r="KA29" i="5"/>
  <c r="W89" i="11"/>
  <c r="W92" i="11"/>
  <c r="W255" i="11"/>
  <c r="W277" i="11"/>
  <c r="W278" i="11"/>
  <c r="W247" i="11"/>
  <c r="W248" i="11"/>
  <c r="KB43" i="5"/>
  <c r="W38" i="11"/>
  <c r="W37" i="11"/>
  <c r="W36" i="11"/>
  <c r="W35" i="11"/>
  <c r="W34" i="11"/>
  <c r="W33" i="11"/>
  <c r="W31" i="11"/>
  <c r="W30" i="11"/>
  <c r="W29" i="11"/>
  <c r="W28" i="11"/>
  <c r="W27" i="11"/>
  <c r="W26" i="11"/>
  <c r="W25" i="11"/>
  <c r="W24" i="11"/>
  <c r="W23" i="11"/>
  <c r="W22" i="11"/>
  <c r="W21" i="11"/>
  <c r="W19" i="11"/>
  <c r="W18" i="11"/>
  <c r="W17" i="11"/>
  <c r="W16" i="11"/>
  <c r="W15" i="11"/>
  <c r="W14" i="11"/>
  <c r="W13" i="11"/>
  <c r="W12" i="11"/>
  <c r="W11" i="11"/>
  <c r="W10" i="11"/>
  <c r="W240" i="11"/>
  <c r="W243" i="11"/>
  <c r="W244" i="11"/>
  <c r="W260" i="11"/>
  <c r="W259" i="11"/>
  <c r="ES11" i="5"/>
  <c r="ET11" i="5" s="1"/>
  <c r="KB67" i="5"/>
  <c r="EG19" i="5"/>
  <c r="EH19" i="5" s="1"/>
  <c r="KA79" i="5"/>
  <c r="EO40" i="5"/>
  <c r="EP40" i="5" s="1"/>
  <c r="KB14" i="5"/>
  <c r="EW84" i="5"/>
  <c r="EX84" i="5" s="1"/>
  <c r="KA86" i="5"/>
  <c r="EW31" i="5"/>
  <c r="EX31" i="5" s="1"/>
  <c r="EC55" i="5"/>
  <c r="ED55" i="5" s="1"/>
  <c r="DY91" i="5"/>
  <c r="DZ91" i="5" s="1"/>
  <c r="DY94" i="5"/>
  <c r="DZ94" i="5" s="1"/>
  <c r="AM324" i="11"/>
  <c r="AH324" i="11"/>
  <c r="AM296" i="11"/>
  <c r="AH296" i="11"/>
  <c r="AM334" i="11"/>
  <c r="AH334" i="11"/>
  <c r="AM338" i="11"/>
  <c r="AH338" i="11"/>
  <c r="AM292" i="11"/>
  <c r="AH292" i="11"/>
  <c r="AM282" i="11"/>
  <c r="AH282" i="11"/>
  <c r="ER77" i="5" l="1"/>
  <c r="EQ77" i="5"/>
  <c r="ES77" i="5" s="1"/>
  <c r="ET77" i="5" s="1"/>
  <c r="EV38" i="5"/>
  <c r="EU38" i="5"/>
  <c r="EW38" i="5" s="1"/>
  <c r="EX38" i="5" s="1"/>
  <c r="ER54" i="5"/>
  <c r="EQ54" i="5"/>
  <c r="ES54" i="5" s="1"/>
  <c r="ET54" i="5" s="1"/>
  <c r="R578" i="5"/>
  <c r="O578" i="5" s="1"/>
  <c r="R569" i="5"/>
  <c r="O569" i="5" s="1"/>
  <c r="R579" i="5"/>
  <c r="O579" i="5" s="1"/>
  <c r="R575" i="5"/>
  <c r="O575" i="5" s="1"/>
  <c r="R572" i="5"/>
  <c r="O572" i="5" s="1"/>
  <c r="R565" i="5"/>
  <c r="O565" i="5" s="1"/>
  <c r="R582" i="5"/>
  <c r="O582" i="5" s="1"/>
  <c r="R577" i="5"/>
  <c r="O577" i="5" s="1"/>
  <c r="R567" i="5"/>
  <c r="O567" i="5" s="1"/>
  <c r="R580" i="5"/>
  <c r="O580" i="5" s="1"/>
  <c r="R576" i="5"/>
  <c r="O576" i="5" s="1"/>
  <c r="R573" i="5"/>
  <c r="O573" i="5" s="1"/>
  <c r="R566" i="5"/>
  <c r="O566" i="5" s="1"/>
  <c r="R581" i="5"/>
  <c r="O581" i="5" s="1"/>
  <c r="R574" i="5"/>
  <c r="O574" i="5" s="1"/>
  <c r="R571" i="5"/>
  <c r="O571" i="5" s="1"/>
  <c r="R570" i="5"/>
  <c r="O570" i="5" s="1"/>
  <c r="R568" i="5"/>
  <c r="O568" i="5" s="1"/>
  <c r="EF18" i="5"/>
  <c r="EE18" i="5"/>
  <c r="EG18" i="5" s="1"/>
  <c r="EH18" i="5" s="1"/>
  <c r="W309" i="11"/>
  <c r="W333" i="11"/>
  <c r="W233" i="11"/>
  <c r="W229" i="11"/>
  <c r="W291" i="11"/>
  <c r="W274" i="11"/>
  <c r="W157" i="11"/>
  <c r="W185" i="11"/>
  <c r="W236" i="11"/>
  <c r="W163" i="11"/>
  <c r="AM32" i="11"/>
  <c r="AH32" i="11"/>
  <c r="AM20" i="11"/>
  <c r="AH20" i="11"/>
  <c r="AM239" i="11"/>
  <c r="AH239" i="11"/>
  <c r="AM301" i="11"/>
  <c r="AH301" i="11"/>
  <c r="AM258" i="11"/>
  <c r="AH258" i="11"/>
  <c r="AM90" i="11"/>
  <c r="AH90" i="11"/>
  <c r="AM256" i="11"/>
  <c r="AH256" i="11"/>
  <c r="EY69" i="5"/>
  <c r="EZ69" i="5"/>
  <c r="EZ88" i="5"/>
  <c r="EY88" i="5"/>
  <c r="KA88" i="5" s="1"/>
  <c r="R457" i="5" s="1"/>
  <c r="O457" i="5" s="1"/>
  <c r="R194" i="5"/>
  <c r="O194" i="5" s="1"/>
  <c r="R195" i="5"/>
  <c r="O195" i="5" s="1"/>
  <c r="EN81" i="5"/>
  <c r="EM81" i="5"/>
  <c r="EO81" i="5" s="1"/>
  <c r="EP81" i="5" s="1"/>
  <c r="AK302" i="11"/>
  <c r="AI302" i="11"/>
  <c r="AJ302" i="11"/>
  <c r="EZ71" i="5"/>
  <c r="EY71" i="5"/>
  <c r="KA71" i="5" s="1"/>
  <c r="AH9" i="11"/>
  <c r="I700" i="11"/>
  <c r="K700" i="11" s="1"/>
  <c r="EV70" i="5"/>
  <c r="EU70" i="5"/>
  <c r="EW70" i="5" s="1"/>
  <c r="EX70" i="5" s="1"/>
  <c r="R232" i="5"/>
  <c r="O232" i="5" s="1"/>
  <c r="R233" i="5"/>
  <c r="O233" i="5" s="1"/>
  <c r="EQ81" i="5"/>
  <c r="ER81" i="5"/>
  <c r="R432" i="5"/>
  <c r="O432" i="5" s="1"/>
  <c r="R435" i="5"/>
  <c r="O435" i="5" s="1"/>
  <c r="R439" i="5"/>
  <c r="O439" i="5" s="1"/>
  <c r="R441" i="5"/>
  <c r="O441" i="5" s="1"/>
  <c r="R443" i="5"/>
  <c r="O443" i="5" s="1"/>
  <c r="R446" i="5"/>
  <c r="O446" i="5" s="1"/>
  <c r="R448" i="5"/>
  <c r="O448" i="5" s="1"/>
  <c r="R452" i="5"/>
  <c r="O452" i="5" s="1"/>
  <c r="R454" i="5"/>
  <c r="O454" i="5" s="1"/>
  <c r="R456" i="5"/>
  <c r="O456" i="5" s="1"/>
  <c r="R458" i="5"/>
  <c r="O458" i="5" s="1"/>
  <c r="R431" i="5"/>
  <c r="O431" i="5" s="1"/>
  <c r="R436" i="5"/>
  <c r="O436" i="5" s="1"/>
  <c r="R438" i="5"/>
  <c r="O438" i="5" s="1"/>
  <c r="R440" i="5"/>
  <c r="O440" i="5" s="1"/>
  <c r="R442" i="5"/>
  <c r="O442" i="5" s="1"/>
  <c r="R445" i="5"/>
  <c r="O445" i="5" s="1"/>
  <c r="R449" i="5"/>
  <c r="O449" i="5" s="1"/>
  <c r="R451" i="5"/>
  <c r="O451" i="5" s="1"/>
  <c r="R455" i="5"/>
  <c r="O455" i="5" s="1"/>
  <c r="R459" i="5"/>
  <c r="O459" i="5" s="1"/>
  <c r="R430" i="5"/>
  <c r="O430" i="5" s="1"/>
  <c r="R433" i="5"/>
  <c r="O433" i="5" s="1"/>
  <c r="R434" i="5"/>
  <c r="O434" i="5" s="1"/>
  <c r="R437" i="5"/>
  <c r="O437" i="5" s="1"/>
  <c r="R444" i="5"/>
  <c r="O444" i="5" s="1"/>
  <c r="R447" i="5"/>
  <c r="O447" i="5" s="1"/>
  <c r="R450" i="5"/>
  <c r="O450" i="5" s="1"/>
  <c r="R453" i="5"/>
  <c r="O453" i="5" s="1"/>
  <c r="AI9" i="11"/>
  <c r="AJ9" i="11"/>
  <c r="AK9" i="11"/>
  <c r="AM9" i="11"/>
  <c r="Q305" i="11"/>
  <c r="AF305" i="11" s="1"/>
  <c r="M305" i="11"/>
  <c r="AG305" i="11"/>
  <c r="N33" i="7"/>
  <c r="I331" i="11"/>
  <c r="AG332" i="11"/>
  <c r="M332" i="11"/>
  <c r="Q332" i="11"/>
  <c r="AF332" i="11" s="1"/>
  <c r="W332" i="11" s="1"/>
  <c r="Q285" i="11"/>
  <c r="AF285" i="11" s="1"/>
  <c r="M285" i="11"/>
  <c r="AG285" i="11"/>
  <c r="Q315" i="11"/>
  <c r="AF315" i="11" s="1"/>
  <c r="M315" i="11"/>
  <c r="AG315" i="11"/>
  <c r="AK245" i="11"/>
  <c r="AJ245" i="11"/>
  <c r="AI245" i="11"/>
  <c r="AI308" i="11"/>
  <c r="AJ308" i="11"/>
  <c r="AK308" i="11"/>
  <c r="Q307" i="11"/>
  <c r="AF307" i="11" s="1"/>
  <c r="M307" i="11"/>
  <c r="AG307" i="11"/>
  <c r="Q335" i="11"/>
  <c r="AF335" i="11" s="1"/>
  <c r="M335" i="11"/>
  <c r="AG335" i="11"/>
  <c r="Q283" i="11"/>
  <c r="AF283" i="11" s="1"/>
  <c r="M283" i="11"/>
  <c r="AG283" i="11"/>
  <c r="Q325" i="11"/>
  <c r="AF325" i="11" s="1"/>
  <c r="M325" i="11"/>
  <c r="AG325" i="11"/>
  <c r="AI159" i="11"/>
  <c r="AJ159" i="11"/>
  <c r="AK159" i="11"/>
  <c r="AG328" i="11"/>
  <c r="M328" i="11"/>
  <c r="Q328" i="11"/>
  <c r="AF328" i="11" s="1"/>
  <c r="W328" i="11" s="1"/>
  <c r="N31" i="7"/>
  <c r="I327" i="11"/>
  <c r="Q110" i="11"/>
  <c r="AF110" i="11" s="1"/>
  <c r="M110" i="11"/>
  <c r="AG110" i="11"/>
  <c r="Q111" i="11"/>
  <c r="AF111" i="11" s="1"/>
  <c r="M111" i="11"/>
  <c r="AG111" i="11"/>
  <c r="Q112" i="11"/>
  <c r="AF112" i="11" s="1"/>
  <c r="M112" i="11"/>
  <c r="AG112" i="11"/>
  <c r="M113" i="11"/>
  <c r="Q113" i="11"/>
  <c r="AF113" i="11" s="1"/>
  <c r="AG113" i="11"/>
  <c r="M114" i="11"/>
  <c r="Q114" i="11"/>
  <c r="AF114" i="11" s="1"/>
  <c r="AG114" i="11"/>
  <c r="Q103" i="11"/>
  <c r="AF103" i="11" s="1"/>
  <c r="M103" i="11"/>
  <c r="AG103" i="11"/>
  <c r="Q104" i="11"/>
  <c r="AF104" i="11" s="1"/>
  <c r="M104" i="11"/>
  <c r="AG104" i="11"/>
  <c r="Q105" i="11"/>
  <c r="AF105" i="11" s="1"/>
  <c r="M105" i="11"/>
  <c r="AG105" i="11"/>
  <c r="Q106" i="11"/>
  <c r="AF106" i="11" s="1"/>
  <c r="M106" i="11"/>
  <c r="AG106" i="11"/>
  <c r="Q107" i="11"/>
  <c r="AF107" i="11" s="1"/>
  <c r="M107" i="11"/>
  <c r="AG107" i="11"/>
  <c r="Q303" i="11"/>
  <c r="AF303" i="11" s="1"/>
  <c r="M303" i="11"/>
  <c r="AG303" i="11"/>
  <c r="EF80" i="5"/>
  <c r="EE80" i="5"/>
  <c r="EG80" i="5" s="1"/>
  <c r="EH80" i="5" s="1"/>
  <c r="AK83" i="11"/>
  <c r="AJ83" i="11"/>
  <c r="AI83" i="11"/>
  <c r="AK84" i="11"/>
  <c r="AJ84" i="11"/>
  <c r="AI84" i="11"/>
  <c r="AK85" i="11"/>
  <c r="AJ85" i="11"/>
  <c r="AI85" i="11"/>
  <c r="AK86" i="11"/>
  <c r="AJ86" i="11"/>
  <c r="AI86" i="11"/>
  <c r="AK231" i="11"/>
  <c r="AJ231" i="11"/>
  <c r="AI231" i="11"/>
  <c r="AK232" i="11"/>
  <c r="AJ232" i="11"/>
  <c r="AI232" i="11"/>
  <c r="M72" i="11"/>
  <c r="Q72" i="11"/>
  <c r="AF72" i="11" s="1"/>
  <c r="AG72" i="11"/>
  <c r="Q71" i="11"/>
  <c r="AF71" i="11" s="1"/>
  <c r="M71" i="11"/>
  <c r="AG71" i="11"/>
  <c r="Q70" i="11"/>
  <c r="AF70" i="11" s="1"/>
  <c r="M70" i="11"/>
  <c r="AG70" i="11"/>
  <c r="Q69" i="11"/>
  <c r="AF69" i="11" s="1"/>
  <c r="M69" i="11"/>
  <c r="AG69" i="11"/>
  <c r="Q68" i="11"/>
  <c r="AF68" i="11" s="1"/>
  <c r="M68" i="11"/>
  <c r="AG68" i="11"/>
  <c r="Q67" i="11"/>
  <c r="AF67" i="11" s="1"/>
  <c r="M67" i="11"/>
  <c r="AG67" i="11"/>
  <c r="Q66" i="11"/>
  <c r="AF66" i="11" s="1"/>
  <c r="M66" i="11"/>
  <c r="AG66" i="11"/>
  <c r="Q65" i="11"/>
  <c r="AF65" i="11" s="1"/>
  <c r="M65" i="11"/>
  <c r="AG65" i="11"/>
  <c r="Q64" i="11"/>
  <c r="AF64" i="11" s="1"/>
  <c r="M64" i="11"/>
  <c r="AG64" i="11"/>
  <c r="M63" i="11"/>
  <c r="Q63" i="11"/>
  <c r="AF63" i="11" s="1"/>
  <c r="AG63" i="11"/>
  <c r="M62" i="11"/>
  <c r="Q62" i="11"/>
  <c r="AF62" i="11" s="1"/>
  <c r="AG62" i="11"/>
  <c r="Q61" i="11"/>
  <c r="AF61" i="11" s="1"/>
  <c r="M61" i="11"/>
  <c r="AG61" i="11"/>
  <c r="M60" i="11"/>
  <c r="Q60" i="11"/>
  <c r="AF60" i="11" s="1"/>
  <c r="AG60" i="11"/>
  <c r="M59" i="11"/>
  <c r="Q59" i="11"/>
  <c r="AF59" i="11" s="1"/>
  <c r="AG59" i="11"/>
  <c r="I58" i="11"/>
  <c r="AK317" i="11"/>
  <c r="AJ317" i="11"/>
  <c r="AI317" i="11"/>
  <c r="AK253" i="11"/>
  <c r="AJ253" i="11"/>
  <c r="AI253" i="11"/>
  <c r="AK254" i="11"/>
  <c r="AJ254" i="11"/>
  <c r="AI254" i="11"/>
  <c r="AK297" i="11"/>
  <c r="AJ297" i="11"/>
  <c r="AI297" i="11"/>
  <c r="AK321" i="11"/>
  <c r="AJ321" i="11"/>
  <c r="AI321" i="11"/>
  <c r="AK287" i="11"/>
  <c r="AJ287" i="11"/>
  <c r="AI287" i="11"/>
  <c r="S166" i="5"/>
  <c r="P166" i="5" s="1"/>
  <c r="Q166" i="5" s="1"/>
  <c r="S167" i="5"/>
  <c r="P167" i="5" s="1"/>
  <c r="Q167" i="5" s="1"/>
  <c r="I320" i="11" s="1"/>
  <c r="S136" i="5"/>
  <c r="P136" i="5" s="1"/>
  <c r="Q136" i="5" s="1"/>
  <c r="S137" i="5"/>
  <c r="P137" i="5" s="1"/>
  <c r="Q137" i="5" s="1"/>
  <c r="I290" i="11" s="1"/>
  <c r="EZ17" i="5"/>
  <c r="EY17" i="5"/>
  <c r="KA17" i="5" s="1"/>
  <c r="AH226" i="11"/>
  <c r="AM226" i="11"/>
  <c r="AH225" i="11"/>
  <c r="AM225" i="11"/>
  <c r="AH170" i="11"/>
  <c r="AM170" i="11"/>
  <c r="AH171" i="11"/>
  <c r="AM171" i="11"/>
  <c r="AH172" i="11"/>
  <c r="AM172" i="11"/>
  <c r="AH173" i="11"/>
  <c r="AM173" i="11"/>
  <c r="AH174" i="11"/>
  <c r="AM174" i="11"/>
  <c r="AH293" i="11"/>
  <c r="AM293" i="11"/>
  <c r="AH267" i="11"/>
  <c r="AM267" i="11"/>
  <c r="AH268" i="11"/>
  <c r="AM268" i="11"/>
  <c r="R77" i="5"/>
  <c r="O77" i="5" s="1"/>
  <c r="R76" i="5"/>
  <c r="O76" i="5" s="1"/>
  <c r="R75" i="5"/>
  <c r="O75" i="5" s="1"/>
  <c r="R74" i="5"/>
  <c r="O74" i="5" s="1"/>
  <c r="R73" i="5"/>
  <c r="O73" i="5" s="1"/>
  <c r="AH257" i="11"/>
  <c r="AM257" i="11" s="1"/>
  <c r="AH91" i="11"/>
  <c r="AM91" i="11"/>
  <c r="AH93" i="11"/>
  <c r="AM93" i="11"/>
  <c r="R149" i="5"/>
  <c r="O149" i="5" s="1"/>
  <c r="R148" i="5"/>
  <c r="O148" i="5" s="1"/>
  <c r="AH89" i="11"/>
  <c r="AM89" i="11"/>
  <c r="AH92" i="11"/>
  <c r="AM92" i="11" s="1"/>
  <c r="AH255" i="11"/>
  <c r="AM255" i="11"/>
  <c r="AH277" i="11"/>
  <c r="AM277" i="11"/>
  <c r="AH278" i="11"/>
  <c r="AM278" i="11"/>
  <c r="AH247" i="11"/>
  <c r="AM247" i="11"/>
  <c r="AH248" i="11"/>
  <c r="AM248" i="11"/>
  <c r="S176" i="5"/>
  <c r="P176" i="5" s="1"/>
  <c r="Q176" i="5" s="1"/>
  <c r="S177" i="5"/>
  <c r="P177" i="5" s="1"/>
  <c r="Q177" i="5" s="1"/>
  <c r="I330" i="11" s="1"/>
  <c r="S389" i="5"/>
  <c r="P389" i="5" s="1"/>
  <c r="Q389" i="5" s="1"/>
  <c r="I665" i="11" s="1"/>
  <c r="K665" i="11" s="1"/>
  <c r="S388" i="5"/>
  <c r="P388" i="5" s="1"/>
  <c r="Q388" i="5" s="1"/>
  <c r="I664" i="11" s="1"/>
  <c r="K664" i="11" s="1"/>
  <c r="S387" i="5"/>
  <c r="P387" i="5" s="1"/>
  <c r="Q387" i="5" s="1"/>
  <c r="I663" i="11" s="1"/>
  <c r="K663" i="11" s="1"/>
  <c r="S386" i="5"/>
  <c r="P386" i="5" s="1"/>
  <c r="Q386" i="5" s="1"/>
  <c r="I662" i="11" s="1"/>
  <c r="K662" i="11" s="1"/>
  <c r="S385" i="5"/>
  <c r="P385" i="5" s="1"/>
  <c r="Q385" i="5" s="1"/>
  <c r="I661" i="11" s="1"/>
  <c r="K661" i="11" s="1"/>
  <c r="S384" i="5"/>
  <c r="P384" i="5" s="1"/>
  <c r="Q384" i="5" s="1"/>
  <c r="I660" i="11" s="1"/>
  <c r="K660" i="11" s="1"/>
  <c r="S383" i="5"/>
  <c r="P383" i="5" s="1"/>
  <c r="Q383" i="5" s="1"/>
  <c r="I659" i="11" s="1"/>
  <c r="K659" i="11" s="1"/>
  <c r="S382" i="5"/>
  <c r="P382" i="5" s="1"/>
  <c r="Q382" i="5" s="1"/>
  <c r="I658" i="11" s="1"/>
  <c r="K658" i="11" s="1"/>
  <c r="S381" i="5"/>
  <c r="P381" i="5" s="1"/>
  <c r="Q381" i="5" s="1"/>
  <c r="I657" i="11" s="1"/>
  <c r="K657" i="11" s="1"/>
  <c r="S380" i="5"/>
  <c r="P380" i="5" s="1"/>
  <c r="Q380" i="5" s="1"/>
  <c r="I656" i="11" s="1"/>
  <c r="K656" i="11" s="1"/>
  <c r="S379" i="5"/>
  <c r="P379" i="5" s="1"/>
  <c r="Q379" i="5" s="1"/>
  <c r="I655" i="11" s="1"/>
  <c r="K655" i="11" s="1"/>
  <c r="S378" i="5"/>
  <c r="P378" i="5" s="1"/>
  <c r="Q378" i="5" s="1"/>
  <c r="I654" i="11" s="1"/>
  <c r="K654" i="11" s="1"/>
  <c r="S377" i="5"/>
  <c r="P377" i="5" s="1"/>
  <c r="Q377" i="5" s="1"/>
  <c r="I653" i="11" s="1"/>
  <c r="K653" i="11" s="1"/>
  <c r="S376" i="5"/>
  <c r="P376" i="5" s="1"/>
  <c r="Q376" i="5" s="1"/>
  <c r="I652" i="11" s="1"/>
  <c r="K652" i="11" s="1"/>
  <c r="S375" i="5"/>
  <c r="P375" i="5" s="1"/>
  <c r="Q375" i="5" s="1"/>
  <c r="I651" i="11" s="1"/>
  <c r="K651" i="11" s="1"/>
  <c r="S374" i="5"/>
  <c r="P374" i="5" s="1"/>
  <c r="Q374" i="5" s="1"/>
  <c r="I650" i="11" s="1"/>
  <c r="K650" i="11" s="1"/>
  <c r="S373" i="5"/>
  <c r="P373" i="5" s="1"/>
  <c r="Q373" i="5" s="1"/>
  <c r="I649" i="11" s="1"/>
  <c r="K649" i="11" s="1"/>
  <c r="S372" i="5"/>
  <c r="P372" i="5" s="1"/>
  <c r="Q372" i="5" s="1"/>
  <c r="I648" i="11" s="1"/>
  <c r="K648" i="11" s="1"/>
  <c r="S371" i="5"/>
  <c r="P371" i="5" s="1"/>
  <c r="Q371" i="5" s="1"/>
  <c r="I647" i="11" s="1"/>
  <c r="K647" i="11" s="1"/>
  <c r="S370" i="5"/>
  <c r="P370" i="5" s="1"/>
  <c r="Q370" i="5" s="1"/>
  <c r="I646" i="11" s="1"/>
  <c r="K646" i="11" s="1"/>
  <c r="S369" i="5"/>
  <c r="P369" i="5" s="1"/>
  <c r="Q369" i="5" s="1"/>
  <c r="I645" i="11" s="1"/>
  <c r="K645" i="11" s="1"/>
  <c r="S368" i="5"/>
  <c r="P368" i="5" s="1"/>
  <c r="Q368" i="5" s="1"/>
  <c r="I644" i="11" s="1"/>
  <c r="K644" i="11" s="1"/>
  <c r="S367" i="5"/>
  <c r="P367" i="5" s="1"/>
  <c r="Q367" i="5" s="1"/>
  <c r="I643" i="11" s="1"/>
  <c r="K643" i="11" s="1"/>
  <c r="S366" i="5"/>
  <c r="P366" i="5" s="1"/>
  <c r="Q366" i="5" s="1"/>
  <c r="I642" i="11" s="1"/>
  <c r="K642" i="11" s="1"/>
  <c r="S365" i="5"/>
  <c r="P365" i="5" s="1"/>
  <c r="Q365" i="5" s="1"/>
  <c r="I641" i="11" s="1"/>
  <c r="K641" i="11" s="1"/>
  <c r="S364" i="5"/>
  <c r="P364" i="5" s="1"/>
  <c r="Q364" i="5" s="1"/>
  <c r="I640" i="11" s="1"/>
  <c r="K640" i="11" s="1"/>
  <c r="S363" i="5"/>
  <c r="P363" i="5" s="1"/>
  <c r="Q363" i="5" s="1"/>
  <c r="I639" i="11" s="1"/>
  <c r="K639" i="11" s="1"/>
  <c r="AH38" i="11"/>
  <c r="AM38" i="11"/>
  <c r="AH37" i="11"/>
  <c r="AM37" i="11"/>
  <c r="AH36" i="11"/>
  <c r="AM36" i="11" s="1"/>
  <c r="AH35" i="11"/>
  <c r="AM35" i="11"/>
  <c r="AH34" i="11"/>
  <c r="AM34" i="11"/>
  <c r="AH33" i="11"/>
  <c r="AM33" i="11" s="1"/>
  <c r="AH31" i="11"/>
  <c r="AM31" i="11"/>
  <c r="AH30" i="11"/>
  <c r="AM30" i="11"/>
  <c r="AH29" i="11"/>
  <c r="AM29" i="11"/>
  <c r="AH28" i="11"/>
  <c r="AM28" i="11"/>
  <c r="AH27" i="11"/>
  <c r="AM27" i="11"/>
  <c r="AH26" i="11"/>
  <c r="AM26" i="11"/>
  <c r="AH25" i="11"/>
  <c r="AM25" i="11"/>
  <c r="AH24" i="11"/>
  <c r="AM24" i="11"/>
  <c r="AH23" i="11"/>
  <c r="AM23" i="11"/>
  <c r="AH22" i="11"/>
  <c r="AM22" i="11"/>
  <c r="AH21" i="11"/>
  <c r="AM21" i="11"/>
  <c r="AH19" i="11"/>
  <c r="AM19" i="11" s="1"/>
  <c r="AH18" i="11"/>
  <c r="AM18" i="11"/>
  <c r="AH17" i="11"/>
  <c r="AM17" i="11"/>
  <c r="AH16" i="11"/>
  <c r="AM16" i="11"/>
  <c r="AH15" i="11"/>
  <c r="AM15" i="11"/>
  <c r="AH14" i="11"/>
  <c r="AM14" i="11"/>
  <c r="AH13" i="11"/>
  <c r="AM13" i="11"/>
  <c r="AH12" i="11"/>
  <c r="AM12" i="11"/>
  <c r="AH11" i="11"/>
  <c r="AM11" i="11"/>
  <c r="AH10" i="11"/>
  <c r="AM10" i="11"/>
  <c r="AH240" i="11"/>
  <c r="AM240" i="11"/>
  <c r="AH243" i="11"/>
  <c r="AM243" i="11"/>
  <c r="AH244" i="11"/>
  <c r="AM244" i="11"/>
  <c r="AH260" i="11"/>
  <c r="AM260" i="11"/>
  <c r="AH259" i="11"/>
  <c r="AM259" i="11"/>
  <c r="EU11" i="5"/>
  <c r="EV11" i="5"/>
  <c r="S225" i="5"/>
  <c r="P225" i="5" s="1"/>
  <c r="Q225" i="5" s="1"/>
  <c r="I262" i="11" s="1"/>
  <c r="S224" i="5"/>
  <c r="P224" i="5" s="1"/>
  <c r="Q224" i="5" s="1"/>
  <c r="I261" i="11" s="1"/>
  <c r="EI19" i="5"/>
  <c r="EJ19" i="5"/>
  <c r="R286" i="5"/>
  <c r="O286" i="5" s="1"/>
  <c r="R285" i="5"/>
  <c r="O285" i="5" s="1"/>
  <c r="R284" i="5"/>
  <c r="O284" i="5" s="1"/>
  <c r="R283" i="5"/>
  <c r="O283" i="5" s="1"/>
  <c r="R282" i="5"/>
  <c r="O282" i="5" s="1"/>
  <c r="EQ40" i="5"/>
  <c r="ER40" i="5"/>
  <c r="S87" i="5"/>
  <c r="P87" i="5" s="1"/>
  <c r="Q87" i="5" s="1"/>
  <c r="I100" i="11" s="1"/>
  <c r="S86" i="5"/>
  <c r="P86" i="5" s="1"/>
  <c r="Q86" i="5" s="1"/>
  <c r="I99" i="11" s="1"/>
  <c r="S85" i="5"/>
  <c r="P85" i="5" s="1"/>
  <c r="Q85" i="5" s="1"/>
  <c r="I98" i="11" s="1"/>
  <c r="S84" i="5"/>
  <c r="P84" i="5" s="1"/>
  <c r="Q84" i="5" s="1"/>
  <c r="I97" i="11" s="1"/>
  <c r="S83" i="5"/>
  <c r="P83" i="5" s="1"/>
  <c r="Q83" i="5" s="1"/>
  <c r="I96" i="11" s="1"/>
  <c r="EY84" i="5"/>
  <c r="EZ84" i="5"/>
  <c r="R389" i="5"/>
  <c r="O389" i="5" s="1"/>
  <c r="R388" i="5"/>
  <c r="O388" i="5" s="1"/>
  <c r="R387" i="5"/>
  <c r="O387" i="5" s="1"/>
  <c r="R386" i="5"/>
  <c r="O386" i="5" s="1"/>
  <c r="R385" i="5"/>
  <c r="O385" i="5" s="1"/>
  <c r="R384" i="5"/>
  <c r="O384" i="5" s="1"/>
  <c r="R383" i="5"/>
  <c r="O383" i="5" s="1"/>
  <c r="R382" i="5"/>
  <c r="O382" i="5" s="1"/>
  <c r="R381" i="5"/>
  <c r="O381" i="5" s="1"/>
  <c r="R380" i="5"/>
  <c r="O380" i="5" s="1"/>
  <c r="R379" i="5"/>
  <c r="O379" i="5" s="1"/>
  <c r="R378" i="5"/>
  <c r="O378" i="5" s="1"/>
  <c r="R377" i="5"/>
  <c r="O377" i="5" s="1"/>
  <c r="R376" i="5"/>
  <c r="O376" i="5" s="1"/>
  <c r="R375" i="5"/>
  <c r="O375" i="5" s="1"/>
  <c r="R374" i="5"/>
  <c r="O374" i="5" s="1"/>
  <c r="R373" i="5"/>
  <c r="O373" i="5" s="1"/>
  <c r="R372" i="5"/>
  <c r="O372" i="5" s="1"/>
  <c r="R371" i="5"/>
  <c r="O371" i="5" s="1"/>
  <c r="R370" i="5"/>
  <c r="O370" i="5" s="1"/>
  <c r="R369" i="5"/>
  <c r="O369" i="5" s="1"/>
  <c r="R368" i="5"/>
  <c r="O368" i="5" s="1"/>
  <c r="R367" i="5"/>
  <c r="O367" i="5" s="1"/>
  <c r="R366" i="5"/>
  <c r="O366" i="5" s="1"/>
  <c r="R365" i="5"/>
  <c r="O365" i="5" s="1"/>
  <c r="R364" i="5"/>
  <c r="O364" i="5" s="1"/>
  <c r="R363" i="5"/>
  <c r="O363" i="5" s="1"/>
  <c r="EY31" i="5"/>
  <c r="EZ31" i="5"/>
  <c r="EE55" i="5"/>
  <c r="EF55" i="5"/>
  <c r="EA91" i="5"/>
  <c r="EB91" i="5"/>
  <c r="EA94" i="5"/>
  <c r="EB94" i="5"/>
  <c r="AK301" i="11"/>
  <c r="AJ301" i="11"/>
  <c r="AI301" i="11"/>
  <c r="AK258" i="11"/>
  <c r="AJ258" i="11"/>
  <c r="AI258" i="11"/>
  <c r="AK324" i="11"/>
  <c r="AJ324" i="11"/>
  <c r="AI324" i="11"/>
  <c r="AK90" i="11"/>
  <c r="AJ90" i="11"/>
  <c r="AI90" i="11"/>
  <c r="AK256" i="11"/>
  <c r="AJ256" i="11"/>
  <c r="AI256" i="11"/>
  <c r="AK296" i="11"/>
  <c r="AJ296" i="11"/>
  <c r="AI296" i="11"/>
  <c r="AK334" i="11"/>
  <c r="AJ334" i="11"/>
  <c r="AI334" i="11"/>
  <c r="AK338" i="11"/>
  <c r="AJ338" i="11"/>
  <c r="AI338" i="11"/>
  <c r="AK32" i="11"/>
  <c r="AJ32" i="11"/>
  <c r="AI32" i="11"/>
  <c r="AK20" i="11"/>
  <c r="AJ20" i="11"/>
  <c r="AI20" i="11"/>
  <c r="AK239" i="11"/>
  <c r="AJ239" i="11"/>
  <c r="AI239" i="11"/>
  <c r="AK292" i="11"/>
  <c r="AJ292" i="11"/>
  <c r="AI292" i="11"/>
  <c r="AK282" i="11"/>
  <c r="AJ282" i="11"/>
  <c r="AI282" i="11"/>
  <c r="W323" i="11"/>
  <c r="W295" i="11"/>
  <c r="W238" i="11"/>
  <c r="KA22" i="5"/>
  <c r="W246" i="11"/>
  <c r="W272" i="11"/>
  <c r="W271" i="11"/>
  <c r="W186" i="11"/>
  <c r="W184" i="11"/>
  <c r="W187" i="11"/>
  <c r="W188" i="11"/>
  <c r="W270" i="11"/>
  <c r="W269" i="11"/>
  <c r="W276" i="11"/>
  <c r="W275" i="11"/>
  <c r="W235" i="11"/>
  <c r="W55" i="11"/>
  <c r="W54" i="11"/>
  <c r="W53" i="11"/>
  <c r="W52" i="11"/>
  <c r="W51" i="11"/>
  <c r="W50" i="11"/>
  <c r="W49" i="11"/>
  <c r="W48" i="11"/>
  <c r="W47" i="11"/>
  <c r="W160" i="11"/>
  <c r="AM159" i="11"/>
  <c r="W156" i="11"/>
  <c r="W46" i="11"/>
  <c r="W45" i="11"/>
  <c r="W44" i="11"/>
  <c r="W43" i="11"/>
  <c r="W42" i="11"/>
  <c r="W158" i="11"/>
  <c r="W153" i="11"/>
  <c r="W152" i="11"/>
  <c r="W151" i="11"/>
  <c r="W150" i="11"/>
  <c r="W149" i="11"/>
  <c r="KB50" i="5"/>
  <c r="W178" i="11"/>
  <c r="W177" i="11"/>
  <c r="W181" i="11"/>
  <c r="W180" i="11"/>
  <c r="W179" i="11"/>
  <c r="W167" i="11"/>
  <c r="W166" i="11"/>
  <c r="W165" i="11"/>
  <c r="W164" i="11"/>
  <c r="W337" i="11"/>
  <c r="W281" i="11"/>
  <c r="ES95" i="5"/>
  <c r="ET95" i="5" s="1"/>
  <c r="KA36" i="5"/>
  <c r="KA42" i="5"/>
  <c r="EC65" i="5"/>
  <c r="ED65" i="5" s="1"/>
  <c r="ES74" i="5"/>
  <c r="ET74" i="5" s="1"/>
  <c r="KA30" i="5"/>
  <c r="EK73" i="5"/>
  <c r="EL73" i="5" s="1"/>
  <c r="EW28" i="5"/>
  <c r="EX28" i="5" s="1"/>
  <c r="ES8" i="5"/>
  <c r="ET8" i="5" s="1"/>
  <c r="KA69" i="5"/>
  <c r="W299" i="11"/>
  <c r="W234" i="11"/>
  <c r="W230" i="11"/>
  <c r="W273" i="11"/>
  <c r="W237" i="11"/>
  <c r="AM291" i="11"/>
  <c r="AH291" i="11"/>
  <c r="AM274" i="11"/>
  <c r="AH274" i="11"/>
  <c r="AM306" i="11"/>
  <c r="AH306" i="11"/>
  <c r="AM286" i="11"/>
  <c r="AH286" i="11"/>
  <c r="AM316" i="11"/>
  <c r="AH316" i="11"/>
  <c r="AM185" i="11"/>
  <c r="AH185" i="11"/>
  <c r="AM336" i="11"/>
  <c r="AH336" i="11"/>
  <c r="AM284" i="11"/>
  <c r="AH284" i="11"/>
  <c r="AM236" i="11"/>
  <c r="AH236" i="11"/>
  <c r="AM326" i="11"/>
  <c r="AH326" i="11"/>
  <c r="AM41" i="11"/>
  <c r="AH41" i="11"/>
  <c r="AM157" i="11"/>
  <c r="AH157" i="11"/>
  <c r="AM304" i="11"/>
  <c r="AH304" i="11"/>
  <c r="AM163" i="11"/>
  <c r="AH163" i="11"/>
  <c r="EU77" i="5" l="1"/>
  <c r="EW77" i="5" s="1"/>
  <c r="EX77" i="5" s="1"/>
  <c r="EV77" i="5"/>
  <c r="EY38" i="5"/>
  <c r="KA38" i="5" s="1"/>
  <c r="EZ38" i="5"/>
  <c r="EU54" i="5"/>
  <c r="EV54" i="5"/>
  <c r="W315" i="11"/>
  <c r="W107" i="11"/>
  <c r="W69" i="11"/>
  <c r="EJ18" i="5"/>
  <c r="EI18" i="5"/>
  <c r="EK18" i="5" s="1"/>
  <c r="EL18" i="5" s="1"/>
  <c r="AM309" i="11"/>
  <c r="AH309" i="11"/>
  <c r="AM333" i="11"/>
  <c r="AH333" i="11"/>
  <c r="AH233" i="11"/>
  <c r="AM233" i="11"/>
  <c r="AM229" i="11"/>
  <c r="AH229" i="11"/>
  <c r="EZ70" i="5"/>
  <c r="EY70" i="5"/>
  <c r="KA70" i="5" s="1"/>
  <c r="Q331" i="11"/>
  <c r="AF331" i="11" s="1"/>
  <c r="M331" i="11"/>
  <c r="AG331" i="11"/>
  <c r="AI315" i="11"/>
  <c r="AJ315" i="11"/>
  <c r="AK315" i="11"/>
  <c r="Q327" i="11"/>
  <c r="AF327" i="11" s="1"/>
  <c r="M327" i="11"/>
  <c r="AG327" i="11"/>
  <c r="EJ80" i="5"/>
  <c r="EI80" i="5"/>
  <c r="EK80" i="5" s="1"/>
  <c r="EL80" i="5" s="1"/>
  <c r="AI69" i="11"/>
  <c r="AJ69" i="11"/>
  <c r="AK69" i="11"/>
  <c r="M58" i="11"/>
  <c r="Q58" i="11"/>
  <c r="AF58" i="11" s="1"/>
  <c r="W58" i="11" s="1"/>
  <c r="AG58" i="11"/>
  <c r="N27" i="7"/>
  <c r="I319" i="11"/>
  <c r="AG320" i="11"/>
  <c r="M320" i="11"/>
  <c r="Q320" i="11"/>
  <c r="AF320" i="11" s="1"/>
  <c r="W320" i="11" s="1"/>
  <c r="AH320" i="11" s="1"/>
  <c r="N12" i="7"/>
  <c r="I289" i="11"/>
  <c r="AG290" i="11"/>
  <c r="M290" i="11"/>
  <c r="Q290" i="11"/>
  <c r="AF290" i="11" s="1"/>
  <c r="W290" i="11" s="1"/>
  <c r="R98" i="5"/>
  <c r="O98" i="5" s="1"/>
  <c r="P98" i="5" s="1"/>
  <c r="Q98" i="5" s="1"/>
  <c r="R99" i="5"/>
  <c r="O99" i="5" s="1"/>
  <c r="P99" i="5" s="1"/>
  <c r="Q99" i="5" s="1"/>
  <c r="I192" i="11" s="1"/>
  <c r="R100" i="5"/>
  <c r="O100" i="5" s="1"/>
  <c r="P100" i="5" s="1"/>
  <c r="Q100" i="5" s="1"/>
  <c r="I193" i="11" s="1"/>
  <c r="R101" i="5"/>
  <c r="O101" i="5" s="1"/>
  <c r="P101" i="5" s="1"/>
  <c r="Q101" i="5" s="1"/>
  <c r="I194" i="11" s="1"/>
  <c r="R102" i="5"/>
  <c r="O102" i="5" s="1"/>
  <c r="P102" i="5" s="1"/>
  <c r="Q102" i="5" s="1"/>
  <c r="I195" i="11" s="1"/>
  <c r="R103" i="5"/>
  <c r="O103" i="5" s="1"/>
  <c r="P103" i="5" s="1"/>
  <c r="Q103" i="5" s="1"/>
  <c r="I196" i="11" s="1"/>
  <c r="R104" i="5"/>
  <c r="O104" i="5" s="1"/>
  <c r="P104" i="5" s="1"/>
  <c r="Q104" i="5" s="1"/>
  <c r="I197" i="11" s="1"/>
  <c r="R105" i="5"/>
  <c r="O105" i="5" s="1"/>
  <c r="P105" i="5" s="1"/>
  <c r="Q105" i="5" s="1"/>
  <c r="I198" i="11" s="1"/>
  <c r="R106" i="5"/>
  <c r="O106" i="5" s="1"/>
  <c r="P106" i="5" s="1"/>
  <c r="Q106" i="5" s="1"/>
  <c r="I199" i="11" s="1"/>
  <c r="R107" i="5"/>
  <c r="O107" i="5" s="1"/>
  <c r="P107" i="5" s="1"/>
  <c r="Q107" i="5" s="1"/>
  <c r="I200" i="11" s="1"/>
  <c r="R108" i="5"/>
  <c r="O108" i="5" s="1"/>
  <c r="P108" i="5" s="1"/>
  <c r="Q108" i="5" s="1"/>
  <c r="I201" i="11" s="1"/>
  <c r="R109" i="5"/>
  <c r="O109" i="5" s="1"/>
  <c r="P109" i="5" s="1"/>
  <c r="Q109" i="5" s="1"/>
  <c r="I202" i="11" s="1"/>
  <c r="R110" i="5"/>
  <c r="O110" i="5" s="1"/>
  <c r="P110" i="5" s="1"/>
  <c r="Q110" i="5" s="1"/>
  <c r="I203" i="11" s="1"/>
  <c r="R111" i="5"/>
  <c r="O111" i="5" s="1"/>
  <c r="P111" i="5" s="1"/>
  <c r="Q111" i="5" s="1"/>
  <c r="I204" i="11" s="1"/>
  <c r="R112" i="5"/>
  <c r="O112" i="5" s="1"/>
  <c r="P112" i="5" s="1"/>
  <c r="Q112" i="5" s="1"/>
  <c r="I205" i="11" s="1"/>
  <c r="AK226" i="11"/>
  <c r="AJ226" i="11"/>
  <c r="AI226" i="11"/>
  <c r="AK225" i="11"/>
  <c r="AJ225" i="11"/>
  <c r="AI225" i="11"/>
  <c r="AK170" i="11"/>
  <c r="AJ170" i="11"/>
  <c r="AI170" i="11"/>
  <c r="AK171" i="11"/>
  <c r="AJ171" i="11"/>
  <c r="AI171" i="11"/>
  <c r="AK172" i="11"/>
  <c r="AJ172" i="11"/>
  <c r="AI172" i="11"/>
  <c r="AK173" i="11"/>
  <c r="AJ173" i="11"/>
  <c r="AI173" i="11"/>
  <c r="AK174" i="11"/>
  <c r="AJ174" i="11"/>
  <c r="AI174" i="11"/>
  <c r="AK293" i="11"/>
  <c r="AJ293" i="11"/>
  <c r="AI293" i="11"/>
  <c r="AK267" i="11"/>
  <c r="AJ267" i="11"/>
  <c r="AI267" i="11"/>
  <c r="AK268" i="11"/>
  <c r="AJ268" i="11"/>
  <c r="AI268" i="11"/>
  <c r="AK257" i="11"/>
  <c r="AJ257" i="11"/>
  <c r="AI257" i="11"/>
  <c r="AK91" i="11"/>
  <c r="AJ91" i="11"/>
  <c r="AI91" i="11"/>
  <c r="AK93" i="11"/>
  <c r="AJ93" i="11"/>
  <c r="AI93" i="11"/>
  <c r="AK89" i="11"/>
  <c r="AJ89" i="11"/>
  <c r="AI89" i="11"/>
  <c r="AK92" i="11"/>
  <c r="AJ92" i="11"/>
  <c r="AI92" i="11"/>
  <c r="AK255" i="11"/>
  <c r="AJ255" i="11"/>
  <c r="AI255" i="11"/>
  <c r="AK277" i="11"/>
  <c r="AJ277" i="11"/>
  <c r="AI277" i="11"/>
  <c r="AK278" i="11"/>
  <c r="AJ278" i="11"/>
  <c r="AI278" i="11"/>
  <c r="AK247" i="11"/>
  <c r="AJ247" i="11"/>
  <c r="AI247" i="11"/>
  <c r="AK248" i="11"/>
  <c r="AJ248" i="11"/>
  <c r="AI248" i="11"/>
  <c r="N32" i="7"/>
  <c r="I329" i="11"/>
  <c r="AG330" i="11"/>
  <c r="M330" i="11"/>
  <c r="Q330" i="11"/>
  <c r="AF330" i="11" s="1"/>
  <c r="W330" i="11" s="1"/>
  <c r="AK38" i="11"/>
  <c r="AJ38" i="11"/>
  <c r="AI38" i="11"/>
  <c r="AK37" i="11"/>
  <c r="AJ37" i="11"/>
  <c r="AI37" i="11"/>
  <c r="AK36" i="11"/>
  <c r="AJ36" i="11"/>
  <c r="AI36" i="11"/>
  <c r="AK35" i="11"/>
  <c r="AJ35" i="11"/>
  <c r="AI35" i="11"/>
  <c r="AK34" i="11"/>
  <c r="AJ34" i="11"/>
  <c r="AI34" i="11"/>
  <c r="AK33" i="11"/>
  <c r="AJ33" i="11"/>
  <c r="AI33" i="11"/>
  <c r="AK31" i="11"/>
  <c r="AJ31" i="11"/>
  <c r="AI31" i="11"/>
  <c r="AK30" i="11"/>
  <c r="AJ30" i="11"/>
  <c r="AI30" i="11"/>
  <c r="AK29" i="11"/>
  <c r="AJ29" i="11"/>
  <c r="AI29" i="11"/>
  <c r="AK28" i="11"/>
  <c r="AJ28" i="11"/>
  <c r="AI28" i="11"/>
  <c r="AK27" i="11"/>
  <c r="AJ27" i="11"/>
  <c r="AI27" i="11"/>
  <c r="AK26" i="11"/>
  <c r="AJ26" i="11"/>
  <c r="AI26" i="11"/>
  <c r="AK25" i="11"/>
  <c r="AJ25" i="11"/>
  <c r="AI25" i="11"/>
  <c r="AK24" i="11"/>
  <c r="AJ24" i="11"/>
  <c r="AI24" i="11"/>
  <c r="AK23" i="11"/>
  <c r="AJ23" i="11"/>
  <c r="AI23" i="11"/>
  <c r="AK22" i="11"/>
  <c r="AJ22" i="11"/>
  <c r="AI22" i="11"/>
  <c r="AK21" i="11"/>
  <c r="AJ21" i="11"/>
  <c r="AI21" i="11"/>
  <c r="AK19" i="11"/>
  <c r="AJ19" i="11"/>
  <c r="AI19" i="11"/>
  <c r="AK18" i="11"/>
  <c r="AJ18" i="11"/>
  <c r="AI18" i="11"/>
  <c r="AK17" i="11"/>
  <c r="AJ17" i="11"/>
  <c r="AI17" i="11"/>
  <c r="AK16" i="11"/>
  <c r="AJ16" i="11"/>
  <c r="AI16" i="11"/>
  <c r="AK15" i="11"/>
  <c r="AJ15" i="11"/>
  <c r="AI15" i="11"/>
  <c r="AK14" i="11"/>
  <c r="AJ14" i="11"/>
  <c r="AI14" i="11"/>
  <c r="AK13" i="11"/>
  <c r="AJ13" i="11"/>
  <c r="AI13" i="11"/>
  <c r="AK12" i="11"/>
  <c r="AJ12" i="11"/>
  <c r="AI12" i="11"/>
  <c r="AK11" i="11"/>
  <c r="AJ11" i="11"/>
  <c r="AI11" i="11"/>
  <c r="AK10" i="11"/>
  <c r="AJ10" i="11"/>
  <c r="AI10" i="11"/>
  <c r="AK240" i="11"/>
  <c r="AJ240" i="11"/>
  <c r="AI240" i="11"/>
  <c r="AK243" i="11"/>
  <c r="AJ243" i="11"/>
  <c r="AI243" i="11"/>
  <c r="AK244" i="11"/>
  <c r="AJ244" i="11"/>
  <c r="AI244" i="11"/>
  <c r="AK260" i="11"/>
  <c r="AJ260" i="11"/>
  <c r="AI260" i="11"/>
  <c r="AK259" i="11"/>
  <c r="AJ259" i="11"/>
  <c r="AI259" i="11"/>
  <c r="M262" i="11"/>
  <c r="Q262" i="11"/>
  <c r="AF262" i="11" s="1"/>
  <c r="W262" i="11" s="1"/>
  <c r="AH262" i="11" s="1"/>
  <c r="AG262" i="11"/>
  <c r="M261" i="11"/>
  <c r="Q261" i="11"/>
  <c r="AF261" i="11" s="1"/>
  <c r="AG261" i="11"/>
  <c r="Q100" i="11"/>
  <c r="AF100" i="11" s="1"/>
  <c r="M100" i="11"/>
  <c r="AG100" i="11"/>
  <c r="M99" i="11"/>
  <c r="Q99" i="11"/>
  <c r="AF99" i="11" s="1"/>
  <c r="AG99" i="11"/>
  <c r="M98" i="11"/>
  <c r="Q98" i="11"/>
  <c r="AF98" i="11" s="1"/>
  <c r="AG98" i="11"/>
  <c r="Q97" i="11"/>
  <c r="AF97" i="11" s="1"/>
  <c r="M97" i="11"/>
  <c r="AG97" i="11"/>
  <c r="M96" i="11"/>
  <c r="Q96" i="11"/>
  <c r="AF96" i="11" s="1"/>
  <c r="W96" i="11" s="1"/>
  <c r="AH96" i="11" s="1"/>
  <c r="AG96" i="11"/>
  <c r="AH323" i="11"/>
  <c r="AM323" i="11"/>
  <c r="AH295" i="11"/>
  <c r="AM295" i="11"/>
  <c r="AH238" i="11"/>
  <c r="AM238" i="11"/>
  <c r="R135" i="5"/>
  <c r="O135" i="5" s="1"/>
  <c r="R134" i="5"/>
  <c r="O134" i="5" s="1"/>
  <c r="AH246" i="11"/>
  <c r="AM246" i="11"/>
  <c r="AH272" i="11"/>
  <c r="AM272" i="11"/>
  <c r="AH271" i="11"/>
  <c r="AM271" i="11"/>
  <c r="AH186" i="11"/>
  <c r="AM186" i="11"/>
  <c r="AH184" i="11"/>
  <c r="AM184" i="11"/>
  <c r="AH187" i="11"/>
  <c r="AM187" i="11"/>
  <c r="AH188" i="11"/>
  <c r="AM188" i="11"/>
  <c r="AH270" i="11"/>
  <c r="AM270" i="11"/>
  <c r="AH269" i="11"/>
  <c r="AM269" i="11"/>
  <c r="AH276" i="11"/>
  <c r="AM276" i="11"/>
  <c r="AH275" i="11"/>
  <c r="AM275" i="11"/>
  <c r="AH235" i="11"/>
  <c r="AM235" i="11"/>
  <c r="AH55" i="11"/>
  <c r="AM55" i="11"/>
  <c r="AH54" i="11"/>
  <c r="AM54" i="11"/>
  <c r="AH53" i="11"/>
  <c r="AM53" i="11"/>
  <c r="AH52" i="11"/>
  <c r="AM52" i="11"/>
  <c r="AH51" i="11"/>
  <c r="AM51" i="11"/>
  <c r="AH50" i="11"/>
  <c r="AM50" i="11"/>
  <c r="AH49" i="11"/>
  <c r="AM49" i="11"/>
  <c r="AH48" i="11"/>
  <c r="AM48" i="11"/>
  <c r="AH47" i="11"/>
  <c r="AM47" i="11"/>
  <c r="AH160" i="11"/>
  <c r="AM160" i="11"/>
  <c r="AH156" i="11"/>
  <c r="AM156" i="11"/>
  <c r="AH46" i="11"/>
  <c r="AM46" i="11"/>
  <c r="AH45" i="11"/>
  <c r="AM45" i="11"/>
  <c r="AH44" i="11"/>
  <c r="AM44" i="11"/>
  <c r="AH43" i="11"/>
  <c r="AM43" i="11"/>
  <c r="AH42" i="11"/>
  <c r="AM42" i="11"/>
  <c r="AH158" i="11"/>
  <c r="AM158" i="11"/>
  <c r="AH153" i="11"/>
  <c r="AM153" i="11"/>
  <c r="AH152" i="11"/>
  <c r="AM152" i="11"/>
  <c r="AH151" i="11"/>
  <c r="AM151" i="11"/>
  <c r="AH150" i="11"/>
  <c r="AM150" i="11"/>
  <c r="AH149" i="11"/>
  <c r="AM149" i="11"/>
  <c r="S191" i="5"/>
  <c r="P191" i="5" s="1"/>
  <c r="Q191" i="5" s="1"/>
  <c r="I228" i="11" s="1"/>
  <c r="S190" i="5"/>
  <c r="P190" i="5" s="1"/>
  <c r="Q190" i="5" s="1"/>
  <c r="I227" i="11" s="1"/>
  <c r="AH178" i="11"/>
  <c r="AM178" i="11"/>
  <c r="AH177" i="11"/>
  <c r="AM177" i="11"/>
  <c r="AH181" i="11"/>
  <c r="AM181" i="11"/>
  <c r="AH180" i="11"/>
  <c r="AM180" i="11"/>
  <c r="AH179" i="11"/>
  <c r="AM179" i="11"/>
  <c r="AH167" i="11"/>
  <c r="AM167" i="11"/>
  <c r="AH166" i="11"/>
  <c r="AM166" i="11"/>
  <c r="AH165" i="11"/>
  <c r="AM165" i="11"/>
  <c r="AH164" i="11"/>
  <c r="AM164" i="11"/>
  <c r="AH337" i="11"/>
  <c r="AM337" i="11"/>
  <c r="AH281" i="11"/>
  <c r="AM281" i="11"/>
  <c r="EU95" i="5"/>
  <c r="EV95" i="5"/>
  <c r="R163" i="5"/>
  <c r="O163" i="5" s="1"/>
  <c r="R162" i="5"/>
  <c r="O162" i="5" s="1"/>
  <c r="R174" i="5"/>
  <c r="O174" i="5" s="1"/>
  <c r="R175" i="5"/>
  <c r="O175" i="5" s="1"/>
  <c r="EE65" i="5"/>
  <c r="EF65" i="5"/>
  <c r="EU74" i="5"/>
  <c r="EV74" i="5"/>
  <c r="R151" i="5"/>
  <c r="O151" i="5" s="1"/>
  <c r="R150" i="5"/>
  <c r="O150" i="5" s="1"/>
  <c r="EM73" i="5"/>
  <c r="EN73" i="5"/>
  <c r="EY28" i="5"/>
  <c r="EZ28" i="5"/>
  <c r="EU8" i="5"/>
  <c r="EV8" i="5"/>
  <c r="R229" i="5"/>
  <c r="O229" i="5" s="1"/>
  <c r="R228" i="5"/>
  <c r="O228" i="5" s="1"/>
  <c r="AH299" i="11"/>
  <c r="AM299" i="11"/>
  <c r="AH234" i="11"/>
  <c r="AM234" i="11"/>
  <c r="AH230" i="11"/>
  <c r="AM230" i="11"/>
  <c r="AH273" i="11"/>
  <c r="AM273" i="11"/>
  <c r="AH237" i="11"/>
  <c r="AM237" i="11"/>
  <c r="AK291" i="11"/>
  <c r="AJ291" i="11"/>
  <c r="AI291" i="11"/>
  <c r="AK274" i="11"/>
  <c r="AJ274" i="11"/>
  <c r="AI274" i="11"/>
  <c r="AK306" i="11"/>
  <c r="AJ306" i="11"/>
  <c r="AI306" i="11"/>
  <c r="AK286" i="11"/>
  <c r="AJ286" i="11"/>
  <c r="AI286" i="11"/>
  <c r="AK316" i="11"/>
  <c r="AJ316" i="11"/>
  <c r="AI316" i="11"/>
  <c r="AK185" i="11"/>
  <c r="AJ185" i="11"/>
  <c r="AI185" i="11"/>
  <c r="AK336" i="11"/>
  <c r="AJ336" i="11"/>
  <c r="AI336" i="11"/>
  <c r="AK284" i="11"/>
  <c r="AJ284" i="11"/>
  <c r="AI284" i="11"/>
  <c r="AK236" i="11"/>
  <c r="AJ236" i="11"/>
  <c r="AI236" i="11"/>
  <c r="AK326" i="11"/>
  <c r="AJ326" i="11"/>
  <c r="AI326" i="11"/>
  <c r="AK41" i="11"/>
  <c r="AJ41" i="11"/>
  <c r="AI41" i="11"/>
  <c r="AK157" i="11"/>
  <c r="AJ157" i="11"/>
  <c r="AI157" i="11"/>
  <c r="AK304" i="11"/>
  <c r="AJ304" i="11"/>
  <c r="AI304" i="11"/>
  <c r="AK163" i="11"/>
  <c r="AJ163" i="11"/>
  <c r="AI163" i="11"/>
  <c r="ES81" i="5"/>
  <c r="ET81" i="5" s="1"/>
  <c r="W305" i="11"/>
  <c r="W285" i="11"/>
  <c r="W325" i="11"/>
  <c r="W110" i="11"/>
  <c r="W307" i="11"/>
  <c r="W335" i="11"/>
  <c r="W283" i="11"/>
  <c r="W111" i="11"/>
  <c r="W112" i="11"/>
  <c r="W113" i="11"/>
  <c r="W114" i="11"/>
  <c r="W103" i="11"/>
  <c r="W104" i="11"/>
  <c r="W105" i="11"/>
  <c r="W106" i="11"/>
  <c r="W72" i="11"/>
  <c r="W71" i="11"/>
  <c r="W70" i="11"/>
  <c r="W303" i="11"/>
  <c r="W68" i="11"/>
  <c r="W67" i="11"/>
  <c r="W66" i="11"/>
  <c r="W65" i="11"/>
  <c r="W64" i="11"/>
  <c r="W63" i="11"/>
  <c r="W62" i="11"/>
  <c r="W61" i="11"/>
  <c r="W59" i="11"/>
  <c r="W60" i="11"/>
  <c r="ES40" i="5"/>
  <c r="ET40" i="5" s="1"/>
  <c r="EW11" i="5"/>
  <c r="EX11" i="5" s="1"/>
  <c r="EK19" i="5"/>
  <c r="EL19" i="5" s="1"/>
  <c r="KA84" i="5"/>
  <c r="KA31" i="5"/>
  <c r="EG55" i="5"/>
  <c r="EH55" i="5" s="1"/>
  <c r="EC91" i="5"/>
  <c r="ED91" i="5" s="1"/>
  <c r="EC94" i="5"/>
  <c r="ED94" i="5" s="1"/>
  <c r="AM332" i="11"/>
  <c r="AH332" i="11"/>
  <c r="AM328" i="11"/>
  <c r="AH328" i="11"/>
  <c r="EY77" i="5" l="1"/>
  <c r="EZ77" i="5"/>
  <c r="R167" i="5"/>
  <c r="O167" i="5" s="1"/>
  <c r="R166" i="5"/>
  <c r="O166" i="5" s="1"/>
  <c r="EW54" i="5"/>
  <c r="EX54" i="5" s="1"/>
  <c r="AH315" i="11"/>
  <c r="AM315" i="11"/>
  <c r="AM107" i="11"/>
  <c r="AH107" i="11"/>
  <c r="AH69" i="11"/>
  <c r="AM69" i="11"/>
  <c r="AI309" i="11"/>
  <c r="AJ309" i="11"/>
  <c r="AK309" i="11"/>
  <c r="AJ333" i="11"/>
  <c r="AI333" i="11"/>
  <c r="AK333" i="11"/>
  <c r="AI233" i="11"/>
  <c r="AJ233" i="11"/>
  <c r="AK233" i="11"/>
  <c r="AJ229" i="11"/>
  <c r="AI229" i="11"/>
  <c r="AK229" i="11"/>
  <c r="R230" i="5"/>
  <c r="O230" i="5" s="1"/>
  <c r="R231" i="5"/>
  <c r="O231" i="5" s="1"/>
  <c r="EN80" i="5"/>
  <c r="EM80" i="5"/>
  <c r="EO80" i="5" s="1"/>
  <c r="EP80" i="5" s="1"/>
  <c r="Q319" i="11"/>
  <c r="AF319" i="11" s="1"/>
  <c r="W319" i="11" s="1"/>
  <c r="M319" i="11"/>
  <c r="AG319" i="11"/>
  <c r="AI320" i="11"/>
  <c r="AJ320" i="11"/>
  <c r="AK320" i="11"/>
  <c r="Q289" i="11"/>
  <c r="AF289" i="11" s="1"/>
  <c r="W289" i="11" s="1"/>
  <c r="M289" i="11"/>
  <c r="AG289" i="11"/>
  <c r="I191" i="11"/>
  <c r="M192" i="11"/>
  <c r="Q192" i="11"/>
  <c r="AF192" i="11" s="1"/>
  <c r="AG192" i="11"/>
  <c r="M193" i="11"/>
  <c r="Q193" i="11"/>
  <c r="AF193" i="11" s="1"/>
  <c r="AG193" i="11"/>
  <c r="M194" i="11"/>
  <c r="Q194" i="11"/>
  <c r="AF194" i="11" s="1"/>
  <c r="AG194" i="11"/>
  <c r="Q195" i="11"/>
  <c r="AF195" i="11" s="1"/>
  <c r="M195" i="11"/>
  <c r="AG195" i="11"/>
  <c r="Q196" i="11"/>
  <c r="AF196" i="11" s="1"/>
  <c r="M196" i="11"/>
  <c r="AG196" i="11"/>
  <c r="M197" i="11"/>
  <c r="Q197" i="11"/>
  <c r="AF197" i="11" s="1"/>
  <c r="AG197" i="11"/>
  <c r="M198" i="11"/>
  <c r="Q198" i="11"/>
  <c r="AF198" i="11" s="1"/>
  <c r="AG198" i="11"/>
  <c r="M199" i="11"/>
  <c r="Q199" i="11"/>
  <c r="AF199" i="11" s="1"/>
  <c r="AG199" i="11"/>
  <c r="M200" i="11"/>
  <c r="Q200" i="11"/>
  <c r="AF200" i="11" s="1"/>
  <c r="AG200" i="11"/>
  <c r="Q201" i="11"/>
  <c r="AF201" i="11" s="1"/>
  <c r="M201" i="11"/>
  <c r="AG201" i="11"/>
  <c r="M202" i="11"/>
  <c r="Q202" i="11"/>
  <c r="AF202" i="11" s="1"/>
  <c r="AG202" i="11"/>
  <c r="M203" i="11"/>
  <c r="Q203" i="11"/>
  <c r="AF203" i="11" s="1"/>
  <c r="AG203" i="11"/>
  <c r="M204" i="11"/>
  <c r="Q204" i="11"/>
  <c r="AF204" i="11" s="1"/>
  <c r="W204" i="11" s="1"/>
  <c r="AG204" i="11"/>
  <c r="Q205" i="11"/>
  <c r="AF205" i="11" s="1"/>
  <c r="M205" i="11"/>
  <c r="AG205" i="11"/>
  <c r="Q329" i="11"/>
  <c r="AF329" i="11" s="1"/>
  <c r="M329" i="11"/>
  <c r="AG329" i="11"/>
  <c r="AI262" i="11"/>
  <c r="AJ262" i="11"/>
  <c r="AK262" i="11"/>
  <c r="AI96" i="11"/>
  <c r="AJ96" i="11"/>
  <c r="AK96" i="11"/>
  <c r="AK323" i="11"/>
  <c r="AJ323" i="11"/>
  <c r="AI323" i="11"/>
  <c r="AK295" i="11"/>
  <c r="AJ295" i="11"/>
  <c r="AI295" i="11"/>
  <c r="AK238" i="11"/>
  <c r="AJ238" i="11"/>
  <c r="AI238" i="11"/>
  <c r="AK246" i="11"/>
  <c r="AJ246" i="11"/>
  <c r="AI246" i="11"/>
  <c r="AK272" i="11"/>
  <c r="AJ272" i="11"/>
  <c r="AI272" i="11"/>
  <c r="AK271" i="11"/>
  <c r="AJ271" i="11"/>
  <c r="AI271" i="11"/>
  <c r="AK186" i="11"/>
  <c r="AJ186" i="11"/>
  <c r="AI186" i="11"/>
  <c r="AK184" i="11"/>
  <c r="AJ184" i="11"/>
  <c r="AI184" i="11"/>
  <c r="AK187" i="11"/>
  <c r="AJ187" i="11"/>
  <c r="AI187" i="11"/>
  <c r="AK188" i="11"/>
  <c r="AJ188" i="11"/>
  <c r="AI188" i="11"/>
  <c r="AK270" i="11"/>
  <c r="AJ270" i="11"/>
  <c r="AI270" i="11"/>
  <c r="AK269" i="11"/>
  <c r="AJ269" i="11"/>
  <c r="AI269" i="11"/>
  <c r="AK276" i="11"/>
  <c r="AJ276" i="11"/>
  <c r="AI276" i="11"/>
  <c r="AK275" i="11"/>
  <c r="AJ275" i="11"/>
  <c r="AI275" i="11"/>
  <c r="AK235" i="11"/>
  <c r="AJ235" i="11"/>
  <c r="AI235" i="11"/>
  <c r="AK55" i="11"/>
  <c r="AJ55" i="11"/>
  <c r="AI55" i="11"/>
  <c r="AK54" i="11"/>
  <c r="AJ54" i="11"/>
  <c r="AI54" i="11"/>
  <c r="AK53" i="11"/>
  <c r="AJ53" i="11"/>
  <c r="AI53" i="11"/>
  <c r="AK52" i="11"/>
  <c r="AJ52" i="11"/>
  <c r="AI52" i="11"/>
  <c r="AK51" i="11"/>
  <c r="AJ51" i="11"/>
  <c r="AI51" i="11"/>
  <c r="AK50" i="11"/>
  <c r="AJ50" i="11"/>
  <c r="AI50" i="11"/>
  <c r="AK49" i="11"/>
  <c r="AJ49" i="11"/>
  <c r="AI49" i="11"/>
  <c r="AK48" i="11"/>
  <c r="AJ48" i="11"/>
  <c r="AI48" i="11"/>
  <c r="AK47" i="11"/>
  <c r="AJ47" i="11"/>
  <c r="AI47" i="11"/>
  <c r="AK160" i="11"/>
  <c r="AJ160" i="11"/>
  <c r="AI160" i="11"/>
  <c r="AK156" i="11"/>
  <c r="AJ156" i="11"/>
  <c r="AI156" i="11"/>
  <c r="AK46" i="11"/>
  <c r="AJ46" i="11"/>
  <c r="AI46" i="11"/>
  <c r="AK45" i="11"/>
  <c r="AJ45" i="11"/>
  <c r="AI45" i="11"/>
  <c r="AK44" i="11"/>
  <c r="AJ44" i="11"/>
  <c r="AI44" i="11"/>
  <c r="AK43" i="11"/>
  <c r="AJ43" i="11"/>
  <c r="AI43" i="11"/>
  <c r="AK42" i="11"/>
  <c r="AJ42" i="11"/>
  <c r="AI42" i="11"/>
  <c r="AK158" i="11"/>
  <c r="AJ158" i="11"/>
  <c r="AI158" i="11"/>
  <c r="AK153" i="11"/>
  <c r="AJ153" i="11"/>
  <c r="AI153" i="11"/>
  <c r="AK152" i="11"/>
  <c r="AJ152" i="11"/>
  <c r="AI152" i="11"/>
  <c r="AK151" i="11"/>
  <c r="AJ151" i="11"/>
  <c r="AI151" i="11"/>
  <c r="AK150" i="11"/>
  <c r="AJ150" i="11"/>
  <c r="AI150" i="11"/>
  <c r="AK149" i="11"/>
  <c r="AJ149" i="11"/>
  <c r="AI149" i="11"/>
  <c r="M228" i="11"/>
  <c r="Q228" i="11"/>
  <c r="AF228" i="11" s="1"/>
  <c r="AG228" i="11"/>
  <c r="Q227" i="11"/>
  <c r="AF227" i="11" s="1"/>
  <c r="M227" i="11"/>
  <c r="AG227" i="11"/>
  <c r="AK178" i="11"/>
  <c r="AJ178" i="11"/>
  <c r="AI178" i="11"/>
  <c r="AK177" i="11"/>
  <c r="AJ177" i="11"/>
  <c r="AI177" i="11"/>
  <c r="AK181" i="11"/>
  <c r="AJ181" i="11"/>
  <c r="AI181" i="11"/>
  <c r="AK180" i="11"/>
  <c r="AJ180" i="11"/>
  <c r="AI180" i="11"/>
  <c r="AK179" i="11"/>
  <c r="AJ179" i="11"/>
  <c r="AI179" i="11"/>
  <c r="AK167" i="11"/>
  <c r="AJ167" i="11"/>
  <c r="AI167" i="11"/>
  <c r="AK166" i="11"/>
  <c r="AJ166" i="11"/>
  <c r="AI166" i="11"/>
  <c r="AK165" i="11"/>
  <c r="AJ165" i="11"/>
  <c r="AI165" i="11"/>
  <c r="AK164" i="11"/>
  <c r="AJ164" i="11"/>
  <c r="AI164" i="11"/>
  <c r="AK337" i="11"/>
  <c r="AJ337" i="11"/>
  <c r="AI337" i="11"/>
  <c r="AK281" i="11"/>
  <c r="AJ281" i="11"/>
  <c r="AI281" i="11"/>
  <c r="AK299" i="11"/>
  <c r="AJ299" i="11"/>
  <c r="AI299" i="11"/>
  <c r="AK234" i="11"/>
  <c r="AJ234" i="11"/>
  <c r="AI234" i="11"/>
  <c r="AK230" i="11"/>
  <c r="AJ230" i="11"/>
  <c r="AI230" i="11"/>
  <c r="AK273" i="11"/>
  <c r="AJ273" i="11"/>
  <c r="AI273" i="11"/>
  <c r="AK237" i="11"/>
  <c r="AJ237" i="11"/>
  <c r="AI237" i="11"/>
  <c r="EU81" i="5"/>
  <c r="EV81" i="5"/>
  <c r="AH305" i="11"/>
  <c r="AM305" i="11"/>
  <c r="AH285" i="11"/>
  <c r="AM285" i="11"/>
  <c r="AH325" i="11"/>
  <c r="AM325" i="11" s="1"/>
  <c r="AH110" i="11"/>
  <c r="AM110" i="11"/>
  <c r="AH307" i="11"/>
  <c r="AM307" i="11"/>
  <c r="AH335" i="11"/>
  <c r="AM335" i="11"/>
  <c r="AH283" i="11"/>
  <c r="AM283" i="11"/>
  <c r="AH111" i="11"/>
  <c r="AM111" i="11" s="1"/>
  <c r="AH112" i="11"/>
  <c r="AM112" i="11" s="1"/>
  <c r="AH113" i="11"/>
  <c r="AM113" i="11"/>
  <c r="AH114" i="11"/>
  <c r="AM114" i="11"/>
  <c r="AH103" i="11"/>
  <c r="AM103" i="11" s="1"/>
  <c r="AH104" i="11"/>
  <c r="AM104" i="11"/>
  <c r="AH105" i="11"/>
  <c r="AM105" i="11"/>
  <c r="AH106" i="11"/>
  <c r="AM106" i="11"/>
  <c r="AH72" i="11"/>
  <c r="AM72" i="11"/>
  <c r="AH71" i="11"/>
  <c r="AM71" i="11"/>
  <c r="AH70" i="11"/>
  <c r="AM70" i="11"/>
  <c r="AH303" i="11"/>
  <c r="AM303" i="11"/>
  <c r="AH68" i="11"/>
  <c r="AM68" i="11"/>
  <c r="AH67" i="11"/>
  <c r="AM67" i="11"/>
  <c r="AH66" i="11"/>
  <c r="AM66" i="11"/>
  <c r="AH65" i="11"/>
  <c r="AM65" i="11"/>
  <c r="AH64" i="11"/>
  <c r="AM64" i="11" s="1"/>
  <c r="AH63" i="11"/>
  <c r="AM63" i="11"/>
  <c r="AH62" i="11"/>
  <c r="AM62" i="11"/>
  <c r="AH61" i="11"/>
  <c r="AM61" i="11" s="1"/>
  <c r="AH59" i="11"/>
  <c r="AM59" i="11"/>
  <c r="AH60" i="11"/>
  <c r="AM60" i="11"/>
  <c r="EM18" i="5"/>
  <c r="EN18" i="5"/>
  <c r="EU40" i="5"/>
  <c r="EV40" i="5"/>
  <c r="EZ11" i="5"/>
  <c r="EY11" i="5"/>
  <c r="KA11" i="5" s="1"/>
  <c r="EM19" i="5"/>
  <c r="EN19" i="5"/>
  <c r="R346" i="5"/>
  <c r="O346" i="5" s="1"/>
  <c r="R345" i="5"/>
  <c r="O345" i="5" s="1"/>
  <c r="R344" i="5"/>
  <c r="O344" i="5" s="1"/>
  <c r="R343" i="5"/>
  <c r="O343" i="5" s="1"/>
  <c r="R342" i="5"/>
  <c r="O342" i="5" s="1"/>
  <c r="R341" i="5"/>
  <c r="O341" i="5" s="1"/>
  <c r="R340" i="5"/>
  <c r="O340" i="5" s="1"/>
  <c r="R339" i="5"/>
  <c r="O339" i="5" s="1"/>
  <c r="R338" i="5"/>
  <c r="O338" i="5" s="1"/>
  <c r="R337" i="5"/>
  <c r="O337" i="5" s="1"/>
  <c r="R336" i="5"/>
  <c r="O336" i="5" s="1"/>
  <c r="R335" i="5"/>
  <c r="O335" i="5" s="1"/>
  <c r="R334" i="5"/>
  <c r="O334" i="5" s="1"/>
  <c r="R333" i="5"/>
  <c r="O333" i="5" s="1"/>
  <c r="R332" i="5"/>
  <c r="O332" i="5" s="1"/>
  <c r="R331" i="5"/>
  <c r="O331" i="5" s="1"/>
  <c r="R330" i="5"/>
  <c r="O330" i="5" s="1"/>
  <c r="R152" i="5"/>
  <c r="O152" i="5" s="1"/>
  <c r="R153" i="5"/>
  <c r="O153" i="5" s="1"/>
  <c r="EI55" i="5"/>
  <c r="EJ55" i="5"/>
  <c r="EE91" i="5"/>
  <c r="EF91" i="5"/>
  <c r="EE94" i="5"/>
  <c r="EF94" i="5"/>
  <c r="AK332" i="11"/>
  <c r="AJ332" i="11"/>
  <c r="AI332" i="11"/>
  <c r="AK328" i="11"/>
  <c r="AJ328" i="11"/>
  <c r="AI328" i="11"/>
  <c r="W331" i="11"/>
  <c r="W327" i="11"/>
  <c r="B30" i="19"/>
  <c r="C30" i="19" s="1"/>
  <c r="AM320" i="11"/>
  <c r="AM262" i="11"/>
  <c r="W261" i="11"/>
  <c r="W100" i="11"/>
  <c r="W99" i="11"/>
  <c r="W98" i="11"/>
  <c r="W97" i="11"/>
  <c r="AM96" i="11"/>
  <c r="EW95" i="5"/>
  <c r="EX95" i="5" s="1"/>
  <c r="EG65" i="5"/>
  <c r="EH65" i="5" s="1"/>
  <c r="EW74" i="5"/>
  <c r="EX74" i="5" s="1"/>
  <c r="EO73" i="5"/>
  <c r="EP73" i="5" s="1"/>
  <c r="KA28" i="5"/>
  <c r="EW8" i="5"/>
  <c r="EX8" i="5" s="1"/>
  <c r="AM58" i="11"/>
  <c r="AH58" i="11"/>
  <c r="AM290" i="11"/>
  <c r="AH290" i="11"/>
  <c r="AM330" i="11"/>
  <c r="AH330" i="11"/>
  <c r="EZ54" i="5" l="1"/>
  <c r="EY54" i="5"/>
  <c r="KA54" i="5" s="1"/>
  <c r="KA77" i="5"/>
  <c r="W196" i="11"/>
  <c r="W202" i="11"/>
  <c r="EO18" i="5"/>
  <c r="EP18" i="5" s="1"/>
  <c r="EW40" i="5"/>
  <c r="EX40" i="5" s="1"/>
  <c r="AK107" i="11"/>
  <c r="AI107" i="11"/>
  <c r="AJ107" i="11"/>
  <c r="ER80" i="5"/>
  <c r="EQ80" i="5"/>
  <c r="ES80" i="5" s="1"/>
  <c r="ET80" i="5" s="1"/>
  <c r="M191" i="11"/>
  <c r="Q191" i="11"/>
  <c r="AF191" i="11" s="1"/>
  <c r="W191" i="11" s="1"/>
  <c r="AG191" i="11"/>
  <c r="B55" i="14"/>
  <c r="AK305" i="11"/>
  <c r="AJ305" i="11"/>
  <c r="AI305" i="11"/>
  <c r="AK285" i="11"/>
  <c r="AJ285" i="11"/>
  <c r="AI285" i="11"/>
  <c r="AK325" i="11"/>
  <c r="AJ325" i="11"/>
  <c r="AI325" i="11"/>
  <c r="AK110" i="11"/>
  <c r="AJ110" i="11"/>
  <c r="AI110" i="11"/>
  <c r="AK307" i="11"/>
  <c r="AJ307" i="11"/>
  <c r="AI307" i="11"/>
  <c r="AK335" i="11"/>
  <c r="AJ335" i="11"/>
  <c r="AI335" i="11"/>
  <c r="AK283" i="11"/>
  <c r="AJ283" i="11"/>
  <c r="AI283" i="11"/>
  <c r="AK111" i="11"/>
  <c r="AJ111" i="11"/>
  <c r="AI111" i="11"/>
  <c r="AK112" i="11"/>
  <c r="AJ112" i="11"/>
  <c r="AI112" i="11"/>
  <c r="AK113" i="11"/>
  <c r="AJ113" i="11"/>
  <c r="AI113" i="11"/>
  <c r="AK114" i="11"/>
  <c r="AJ114" i="11"/>
  <c r="AI114" i="11"/>
  <c r="AK103" i="11"/>
  <c r="AJ103" i="11"/>
  <c r="AI103" i="11"/>
  <c r="AK104" i="11"/>
  <c r="AJ104" i="11"/>
  <c r="AI104" i="11"/>
  <c r="AK105" i="11"/>
  <c r="AJ105" i="11"/>
  <c r="AI105" i="11"/>
  <c r="AK106" i="11"/>
  <c r="AJ106" i="11"/>
  <c r="AI106" i="11"/>
  <c r="AK72" i="11"/>
  <c r="AJ72" i="11"/>
  <c r="AI72" i="11"/>
  <c r="AK71" i="11"/>
  <c r="AJ71" i="11"/>
  <c r="AI71" i="11"/>
  <c r="AK70" i="11"/>
  <c r="AJ70" i="11"/>
  <c r="AI70" i="11"/>
  <c r="AK303" i="11"/>
  <c r="AJ303" i="11"/>
  <c r="AI303" i="11"/>
  <c r="AK68" i="11"/>
  <c r="AJ68" i="11"/>
  <c r="AI68" i="11"/>
  <c r="AK67" i="11"/>
  <c r="AJ67" i="11"/>
  <c r="AI67" i="11"/>
  <c r="AK66" i="11"/>
  <c r="AJ66" i="11"/>
  <c r="AI66" i="11"/>
  <c r="AK65" i="11"/>
  <c r="AJ65" i="11"/>
  <c r="AI65" i="11"/>
  <c r="AK64" i="11"/>
  <c r="AJ64" i="11"/>
  <c r="AI64" i="11"/>
  <c r="AK63" i="11"/>
  <c r="AJ63" i="11"/>
  <c r="AI63" i="11"/>
  <c r="AK62" i="11"/>
  <c r="AJ62" i="11"/>
  <c r="AI62" i="11"/>
  <c r="AK61" i="11"/>
  <c r="AJ61" i="11"/>
  <c r="AI61" i="11"/>
  <c r="AK59" i="11"/>
  <c r="AJ59" i="11"/>
  <c r="AI59" i="11"/>
  <c r="AK60" i="11"/>
  <c r="AJ60" i="11"/>
  <c r="AI60" i="11"/>
  <c r="R68" i="5"/>
  <c r="O68" i="5" s="1"/>
  <c r="R69" i="5"/>
  <c r="O69" i="5" s="1"/>
  <c r="R70" i="5"/>
  <c r="O70" i="5" s="1"/>
  <c r="R71" i="5"/>
  <c r="O71" i="5" s="1"/>
  <c r="R72" i="5"/>
  <c r="O72" i="5" s="1"/>
  <c r="AH331" i="11"/>
  <c r="AM331" i="11" s="1"/>
  <c r="AH327" i="11"/>
  <c r="AM327" i="11"/>
  <c r="AH261" i="11"/>
  <c r="AM261" i="11"/>
  <c r="AH100" i="11"/>
  <c r="AM100" i="11"/>
  <c r="AH99" i="11"/>
  <c r="AM99" i="11" s="1"/>
  <c r="AH98" i="11"/>
  <c r="AM98" i="11"/>
  <c r="AH97" i="11"/>
  <c r="AM97" i="11"/>
  <c r="EY95" i="5"/>
  <c r="EZ95" i="5"/>
  <c r="EI65" i="5"/>
  <c r="EJ65" i="5"/>
  <c r="EY74" i="5"/>
  <c r="EZ74" i="5"/>
  <c r="ER73" i="5"/>
  <c r="EQ73" i="5"/>
  <c r="ES73" i="5" s="1"/>
  <c r="ET73" i="5" s="1"/>
  <c r="R147" i="5"/>
  <c r="O147" i="5" s="1"/>
  <c r="R146" i="5"/>
  <c r="O146" i="5" s="1"/>
  <c r="EZ8" i="5"/>
  <c r="EY8" i="5"/>
  <c r="KA8" i="5" s="1"/>
  <c r="AK58" i="11"/>
  <c r="AJ58" i="11"/>
  <c r="AI58" i="11"/>
  <c r="AK290" i="11"/>
  <c r="AJ290" i="11"/>
  <c r="AI290" i="11"/>
  <c r="AK330" i="11"/>
  <c r="AJ330" i="11"/>
  <c r="AI330" i="11"/>
  <c r="W192" i="11"/>
  <c r="W193" i="11"/>
  <c r="W194" i="11"/>
  <c r="W195" i="11"/>
  <c r="W197" i="11"/>
  <c r="W198" i="11"/>
  <c r="W199" i="11"/>
  <c r="W200" i="11"/>
  <c r="W201" i="11"/>
  <c r="W203" i="11"/>
  <c r="W205" i="11"/>
  <c r="W329" i="11"/>
  <c r="W228" i="11"/>
  <c r="W227" i="11"/>
  <c r="EW81" i="5"/>
  <c r="EX81" i="5" s="1"/>
  <c r="EO19" i="5"/>
  <c r="EP19" i="5" s="1"/>
  <c r="EK55" i="5"/>
  <c r="EL55" i="5" s="1"/>
  <c r="EG91" i="5"/>
  <c r="EH91" i="5" s="1"/>
  <c r="EG94" i="5"/>
  <c r="EH94" i="5" s="1"/>
  <c r="AM319" i="11"/>
  <c r="AH319" i="11"/>
  <c r="AM289" i="11"/>
  <c r="AH289" i="11"/>
  <c r="AM204" i="11"/>
  <c r="AH204" i="11"/>
  <c r="R198" i="5" l="1"/>
  <c r="O198" i="5" s="1"/>
  <c r="R199" i="5"/>
  <c r="O199" i="5" s="1"/>
  <c r="R272" i="5"/>
  <c r="O272" i="5" s="1"/>
  <c r="R273" i="5"/>
  <c r="O273" i="5" s="1"/>
  <c r="R274" i="5"/>
  <c r="O274" i="5" s="1"/>
  <c r="R275" i="5"/>
  <c r="O275" i="5" s="1"/>
  <c r="R276" i="5"/>
  <c r="O276" i="5" s="1"/>
  <c r="KA95" i="5"/>
  <c r="AM196" i="11"/>
  <c r="AH196" i="11"/>
  <c r="AM202" i="11"/>
  <c r="AH202" i="11"/>
  <c r="EQ18" i="5"/>
  <c r="ER18" i="5"/>
  <c r="EZ40" i="5"/>
  <c r="EY40" i="5"/>
  <c r="KA40" i="5" s="1"/>
  <c r="EV80" i="5"/>
  <c r="EU80" i="5"/>
  <c r="EW80" i="5" s="1"/>
  <c r="EX80" i="5" s="1"/>
  <c r="AK331" i="11"/>
  <c r="AJ331" i="11"/>
  <c r="AI331" i="11"/>
  <c r="AK327" i="11"/>
  <c r="AJ327" i="11"/>
  <c r="AI327" i="11"/>
  <c r="AK261" i="11"/>
  <c r="AJ261" i="11"/>
  <c r="AI261" i="11"/>
  <c r="AK100" i="11"/>
  <c r="AJ100" i="11"/>
  <c r="AI100" i="11"/>
  <c r="AK99" i="11"/>
  <c r="AJ99" i="11"/>
  <c r="AI99" i="11"/>
  <c r="AK98" i="11"/>
  <c r="AJ98" i="11"/>
  <c r="AI98" i="11"/>
  <c r="AK97" i="11"/>
  <c r="AJ97" i="11"/>
  <c r="AI97" i="11"/>
  <c r="EV73" i="5"/>
  <c r="EU73" i="5"/>
  <c r="EW73" i="5" s="1"/>
  <c r="EX73" i="5" s="1"/>
  <c r="R9" i="5"/>
  <c r="O9" i="5" s="1"/>
  <c r="R10" i="5"/>
  <c r="O10" i="5" s="1"/>
  <c r="R11" i="5"/>
  <c r="O11" i="5" s="1"/>
  <c r="R12" i="5"/>
  <c r="O12" i="5" s="1"/>
  <c r="R13" i="5"/>
  <c r="O13" i="5" s="1"/>
  <c r="R14" i="5"/>
  <c r="O14" i="5" s="1"/>
  <c r="R15" i="5"/>
  <c r="O15" i="5" s="1"/>
  <c r="R16" i="5"/>
  <c r="O16" i="5" s="1"/>
  <c r="R17" i="5"/>
  <c r="O17" i="5" s="1"/>
  <c r="R18" i="5"/>
  <c r="O18" i="5" s="1"/>
  <c r="R19" i="5"/>
  <c r="O19" i="5" s="1"/>
  <c r="R20" i="5"/>
  <c r="O20" i="5" s="1"/>
  <c r="R21" i="5"/>
  <c r="O21" i="5" s="1"/>
  <c r="R22" i="5"/>
  <c r="O22" i="5" s="1"/>
  <c r="R23" i="5"/>
  <c r="O23" i="5" s="1"/>
  <c r="R24" i="5"/>
  <c r="O24" i="5" s="1"/>
  <c r="R25" i="5"/>
  <c r="O25" i="5" s="1"/>
  <c r="R26" i="5"/>
  <c r="O26" i="5" s="1"/>
  <c r="R27" i="5"/>
  <c r="O27" i="5" s="1"/>
  <c r="R28" i="5"/>
  <c r="O28" i="5" s="1"/>
  <c r="R29" i="5"/>
  <c r="O29" i="5" s="1"/>
  <c r="R30" i="5"/>
  <c r="O30" i="5" s="1"/>
  <c r="R31" i="5"/>
  <c r="O31" i="5" s="1"/>
  <c r="R32" i="5"/>
  <c r="O32" i="5" s="1"/>
  <c r="R33" i="5"/>
  <c r="O33" i="5" s="1"/>
  <c r="R34" i="5"/>
  <c r="O34" i="5" s="1"/>
  <c r="R35" i="5"/>
  <c r="O35" i="5" s="1"/>
  <c r="R36" i="5"/>
  <c r="O36" i="5" s="1"/>
  <c r="R37" i="5"/>
  <c r="O37" i="5" s="1"/>
  <c r="R8" i="5"/>
  <c r="O8" i="5" s="1"/>
  <c r="AH192" i="11"/>
  <c r="AM192" i="11"/>
  <c r="AH193" i="11"/>
  <c r="AM193" i="11"/>
  <c r="AH194" i="11"/>
  <c r="AM194" i="11"/>
  <c r="AH195" i="11"/>
  <c r="AM195" i="11" s="1"/>
  <c r="AH197" i="11"/>
  <c r="AM197" i="11"/>
  <c r="AH198" i="11"/>
  <c r="AM198" i="11"/>
  <c r="AH199" i="11"/>
  <c r="AM199" i="11"/>
  <c r="AH200" i="11"/>
  <c r="AM200" i="11" s="1"/>
  <c r="AH201" i="11"/>
  <c r="AM201" i="11"/>
  <c r="AH203" i="11"/>
  <c r="AM203" i="11"/>
  <c r="AH205" i="11"/>
  <c r="AM205" i="11"/>
  <c r="AH329" i="11"/>
  <c r="AM329" i="11"/>
  <c r="AH228" i="11"/>
  <c r="AM228" i="11"/>
  <c r="AH227" i="11"/>
  <c r="AM227" i="11"/>
  <c r="EY81" i="5"/>
  <c r="EZ81" i="5"/>
  <c r="ER19" i="5"/>
  <c r="EQ19" i="5"/>
  <c r="ES19" i="5" s="1"/>
  <c r="ET19" i="5" s="1"/>
  <c r="EM55" i="5"/>
  <c r="EN55" i="5"/>
  <c r="EI91" i="5"/>
  <c r="EJ91" i="5"/>
  <c r="EI94" i="5"/>
  <c r="EJ94" i="5"/>
  <c r="AK319" i="11"/>
  <c r="AJ319" i="11"/>
  <c r="AI319" i="11"/>
  <c r="AK289" i="11"/>
  <c r="AJ289" i="11"/>
  <c r="AI289" i="11"/>
  <c r="AI196" i="11"/>
  <c r="AJ196" i="11"/>
  <c r="AK196" i="11"/>
  <c r="B33" i="14"/>
  <c r="AI202" i="11"/>
  <c r="AJ202" i="11"/>
  <c r="AK202" i="11"/>
  <c r="B49" i="14"/>
  <c r="AI204" i="11"/>
  <c r="AJ204" i="11"/>
  <c r="AK204" i="11"/>
  <c r="EK65" i="5"/>
  <c r="EL65" i="5" s="1"/>
  <c r="KA74" i="5"/>
  <c r="AM191" i="11"/>
  <c r="AH191" i="11"/>
  <c r="ES18" i="5" l="1"/>
  <c r="ET18" i="5" s="1"/>
  <c r="R636" i="5"/>
  <c r="O636" i="5" s="1"/>
  <c r="R635" i="5"/>
  <c r="O635" i="5" s="1"/>
  <c r="R649" i="5"/>
  <c r="O649" i="5" s="1"/>
  <c r="R655" i="5"/>
  <c r="O655" i="5" s="1"/>
  <c r="R659" i="5"/>
  <c r="O659" i="5" s="1"/>
  <c r="R651" i="5"/>
  <c r="O651" i="5" s="1"/>
  <c r="R658" i="5"/>
  <c r="O658" i="5" s="1"/>
  <c r="R638" i="5"/>
  <c r="O638" i="5" s="1"/>
  <c r="R654" i="5"/>
  <c r="O654" i="5" s="1"/>
  <c r="R653" i="5"/>
  <c r="O653" i="5" s="1"/>
  <c r="R661" i="5"/>
  <c r="O661" i="5" s="1"/>
  <c r="R657" i="5"/>
  <c r="O657" i="5" s="1"/>
  <c r="R631" i="5"/>
  <c r="O631" i="5" s="1"/>
  <c r="R660" i="5"/>
  <c r="O660" i="5" s="1"/>
  <c r="R632" i="5"/>
  <c r="O632" i="5" s="1"/>
  <c r="R633" i="5"/>
  <c r="O633" i="5" s="1"/>
  <c r="R634" i="5"/>
  <c r="O634" i="5" s="1"/>
  <c r="R637" i="5"/>
  <c r="O637" i="5" s="1"/>
  <c r="R639" i="5"/>
  <c r="O639" i="5" s="1"/>
  <c r="R656" i="5"/>
  <c r="O656" i="5" s="1"/>
  <c r="R640" i="5"/>
  <c r="O640" i="5" s="1"/>
  <c r="R641" i="5"/>
  <c r="O641" i="5" s="1"/>
  <c r="R642" i="5"/>
  <c r="O642" i="5" s="1"/>
  <c r="R643" i="5"/>
  <c r="O643" i="5" s="1"/>
  <c r="R644" i="5"/>
  <c r="O644" i="5" s="1"/>
  <c r="R645" i="5"/>
  <c r="O645" i="5" s="1"/>
  <c r="R646" i="5"/>
  <c r="O646" i="5" s="1"/>
  <c r="R647" i="5"/>
  <c r="O647" i="5" s="1"/>
  <c r="R648" i="5"/>
  <c r="O648" i="5" s="1"/>
  <c r="R650" i="5"/>
  <c r="O650" i="5" s="1"/>
  <c r="R652" i="5"/>
  <c r="O652" i="5" s="1"/>
  <c r="R171" i="5"/>
  <c r="O171" i="5" s="1"/>
  <c r="R170" i="5"/>
  <c r="O170" i="5" s="1"/>
  <c r="EZ80" i="5"/>
  <c r="EY80" i="5"/>
  <c r="KA80" i="5" s="1"/>
  <c r="EZ73" i="5"/>
  <c r="EY73" i="5"/>
  <c r="KA73" i="5" s="1"/>
  <c r="AI192" i="11"/>
  <c r="AJ192" i="11"/>
  <c r="AK192" i="11"/>
  <c r="B30" i="14"/>
  <c r="AI193" i="11"/>
  <c r="AJ193" i="11"/>
  <c r="AK193" i="11"/>
  <c r="B29" i="14"/>
  <c r="AI194" i="11"/>
  <c r="AJ194" i="11"/>
  <c r="AK194" i="11"/>
  <c r="B31" i="14"/>
  <c r="AI195" i="11"/>
  <c r="AJ195" i="11"/>
  <c r="AK195" i="11"/>
  <c r="B32" i="14"/>
  <c r="AI197" i="11"/>
  <c r="AJ197" i="11"/>
  <c r="AK197" i="11"/>
  <c r="B36" i="14"/>
  <c r="AI198" i="11"/>
  <c r="AJ198" i="11"/>
  <c r="AK198" i="11"/>
  <c r="B39" i="14"/>
  <c r="AI199" i="11"/>
  <c r="AJ199" i="11"/>
  <c r="AK199" i="11"/>
  <c r="B43" i="14"/>
  <c r="AI200" i="11"/>
  <c r="AJ200" i="11"/>
  <c r="AK200" i="11"/>
  <c r="B44" i="14"/>
  <c r="AI201" i="11"/>
  <c r="AJ201" i="11"/>
  <c r="AK201" i="11"/>
  <c r="B47" i="14"/>
  <c r="AI203" i="11"/>
  <c r="AJ203" i="11"/>
  <c r="AK203" i="11"/>
  <c r="B50" i="14"/>
  <c r="AI205" i="11"/>
  <c r="AJ205" i="11"/>
  <c r="AK205" i="11"/>
  <c r="B57" i="14"/>
  <c r="AK329" i="11"/>
  <c r="AJ329" i="11"/>
  <c r="AI329" i="11"/>
  <c r="AK228" i="11"/>
  <c r="AJ228" i="11"/>
  <c r="AI228" i="11"/>
  <c r="AK227" i="11"/>
  <c r="AJ227" i="11"/>
  <c r="AI227" i="11"/>
  <c r="EU19" i="5"/>
  <c r="EV19" i="5"/>
  <c r="EM65" i="5"/>
  <c r="EN65" i="5"/>
  <c r="R239" i="5"/>
  <c r="O239" i="5" s="1"/>
  <c r="R238" i="5"/>
  <c r="O238" i="5" s="1"/>
  <c r="AI191" i="11"/>
  <c r="AJ191" i="11"/>
  <c r="AK191" i="11"/>
  <c r="B28" i="14"/>
  <c r="EO55" i="5"/>
  <c r="EP55" i="5" s="1"/>
  <c r="KA81" i="5"/>
  <c r="EK91" i="5"/>
  <c r="EL91" i="5" s="1"/>
  <c r="EK94" i="5"/>
  <c r="EL94" i="5" s="1"/>
  <c r="EU18" i="5" l="1"/>
  <c r="EW18" i="5" s="1"/>
  <c r="EX18" i="5" s="1"/>
  <c r="EV18" i="5"/>
  <c r="EO65" i="5"/>
  <c r="EP65" i="5" s="1"/>
  <c r="R290" i="5"/>
  <c r="O290" i="5" s="1"/>
  <c r="R291" i="5"/>
  <c r="O291" i="5" s="1"/>
  <c r="R287" i="5"/>
  <c r="O287" i="5" s="1"/>
  <c r="R288" i="5"/>
  <c r="O288" i="5" s="1"/>
  <c r="R289" i="5"/>
  <c r="O289" i="5" s="1"/>
  <c r="R236" i="5"/>
  <c r="O236" i="5" s="1"/>
  <c r="R237" i="5"/>
  <c r="O237" i="5" s="1"/>
  <c r="EQ55" i="5"/>
  <c r="ER55" i="5"/>
  <c r="R296" i="5"/>
  <c r="O296" i="5" s="1"/>
  <c r="R295" i="5"/>
  <c r="O295" i="5" s="1"/>
  <c r="R294" i="5"/>
  <c r="O294" i="5" s="1"/>
  <c r="R292" i="5"/>
  <c r="O292" i="5" s="1"/>
  <c r="R293" i="5"/>
  <c r="O293" i="5" s="1"/>
  <c r="EM91" i="5"/>
  <c r="EN91" i="5"/>
  <c r="EM94" i="5"/>
  <c r="EN94" i="5"/>
  <c r="EW19" i="5"/>
  <c r="EX19" i="5" s="1"/>
  <c r="EY18" i="5" l="1"/>
  <c r="EZ18" i="5"/>
  <c r="ER65" i="5"/>
  <c r="EQ65" i="5"/>
  <c r="ES65" i="5" s="1"/>
  <c r="ET65" i="5" s="1"/>
  <c r="EZ19" i="5"/>
  <c r="EY19" i="5"/>
  <c r="KA19" i="5" s="1"/>
  <c r="EO91" i="5"/>
  <c r="EP91" i="5" s="1"/>
  <c r="EO94" i="5"/>
  <c r="EP94" i="5" s="1"/>
  <c r="ES55" i="5"/>
  <c r="ET55" i="5" s="1"/>
  <c r="KA18" i="5" l="1"/>
  <c r="R129" i="5"/>
  <c r="O129" i="5" s="1"/>
  <c r="R128" i="5"/>
  <c r="O128" i="5" s="1"/>
  <c r="EQ91" i="5"/>
  <c r="ER91" i="5"/>
  <c r="EQ94" i="5"/>
  <c r="ER94" i="5"/>
  <c r="EU55" i="5"/>
  <c r="EV55" i="5"/>
  <c r="EU65" i="5"/>
  <c r="EV65" i="5"/>
  <c r="R114" i="5" l="1"/>
  <c r="O114" i="5" s="1"/>
  <c r="P114" i="5" s="1"/>
  <c r="Q114" i="5" s="1"/>
  <c r="I209" i="11" s="1"/>
  <c r="R115" i="5"/>
  <c r="O115" i="5" s="1"/>
  <c r="P115" i="5" s="1"/>
  <c r="Q115" i="5" s="1"/>
  <c r="I210" i="11" s="1"/>
  <c r="R116" i="5"/>
  <c r="O116" i="5" s="1"/>
  <c r="P116" i="5" s="1"/>
  <c r="Q116" i="5" s="1"/>
  <c r="I211" i="11" s="1"/>
  <c r="R117" i="5"/>
  <c r="O117" i="5" s="1"/>
  <c r="P117" i="5" s="1"/>
  <c r="Q117" i="5" s="1"/>
  <c r="I212" i="11" s="1"/>
  <c r="R118" i="5"/>
  <c r="O118" i="5" s="1"/>
  <c r="P118" i="5" s="1"/>
  <c r="Q118" i="5" s="1"/>
  <c r="I213" i="11" s="1"/>
  <c r="R119" i="5"/>
  <c r="O119" i="5" s="1"/>
  <c r="P119" i="5" s="1"/>
  <c r="Q119" i="5" s="1"/>
  <c r="I214" i="11" s="1"/>
  <c r="R120" i="5"/>
  <c r="O120" i="5" s="1"/>
  <c r="P120" i="5" s="1"/>
  <c r="Q120" i="5" s="1"/>
  <c r="I215" i="11" s="1"/>
  <c r="R121" i="5"/>
  <c r="O121" i="5" s="1"/>
  <c r="P121" i="5" s="1"/>
  <c r="Q121" i="5" s="1"/>
  <c r="I216" i="11" s="1"/>
  <c r="R122" i="5"/>
  <c r="O122" i="5" s="1"/>
  <c r="P122" i="5" s="1"/>
  <c r="Q122" i="5" s="1"/>
  <c r="I217" i="11" s="1"/>
  <c r="R123" i="5"/>
  <c r="O123" i="5" s="1"/>
  <c r="P123" i="5" s="1"/>
  <c r="Q123" i="5" s="1"/>
  <c r="I218" i="11" s="1"/>
  <c r="R124" i="5"/>
  <c r="O124" i="5" s="1"/>
  <c r="P124" i="5" s="1"/>
  <c r="Q124" i="5" s="1"/>
  <c r="I219" i="11" s="1"/>
  <c r="R125" i="5"/>
  <c r="O125" i="5" s="1"/>
  <c r="P125" i="5" s="1"/>
  <c r="Q125" i="5" s="1"/>
  <c r="I220" i="11" s="1"/>
  <c r="R126" i="5"/>
  <c r="O126" i="5" s="1"/>
  <c r="P126" i="5" s="1"/>
  <c r="Q126" i="5" s="1"/>
  <c r="I221" i="11" s="1"/>
  <c r="R113" i="5"/>
  <c r="O113" i="5" s="1"/>
  <c r="P113" i="5" s="1"/>
  <c r="Q113" i="5" s="1"/>
  <c r="R127" i="5"/>
  <c r="O127" i="5" s="1"/>
  <c r="P127" i="5" s="1"/>
  <c r="Q127" i="5" s="1"/>
  <c r="I222" i="11" s="1"/>
  <c r="EW65" i="5"/>
  <c r="EX65" i="5" s="1"/>
  <c r="ES91" i="5"/>
  <c r="ET91" i="5" s="1"/>
  <c r="ES94" i="5"/>
  <c r="ET94" i="5" s="1"/>
  <c r="EW55" i="5"/>
  <c r="EX55" i="5" s="1"/>
  <c r="AG209" i="11" l="1"/>
  <c r="M209" i="11"/>
  <c r="Q209" i="11"/>
  <c r="AF209" i="11" s="1"/>
  <c r="W209" i="11" s="1"/>
  <c r="AG210" i="11"/>
  <c r="Q210" i="11"/>
  <c r="AF210" i="11" s="1"/>
  <c r="W210" i="11" s="1"/>
  <c r="M210" i="11"/>
  <c r="AG211" i="11"/>
  <c r="Q211" i="11"/>
  <c r="AF211" i="11" s="1"/>
  <c r="W211" i="11" s="1"/>
  <c r="M211" i="11"/>
  <c r="AG212" i="11"/>
  <c r="Q212" i="11"/>
  <c r="AF212" i="11" s="1"/>
  <c r="W212" i="11" s="1"/>
  <c r="M212" i="11"/>
  <c r="AG213" i="11"/>
  <c r="Q213" i="11"/>
  <c r="AF213" i="11" s="1"/>
  <c r="W213" i="11" s="1"/>
  <c r="M213" i="11"/>
  <c r="AG214" i="11"/>
  <c r="Q214" i="11"/>
  <c r="AF214" i="11" s="1"/>
  <c r="W214" i="11" s="1"/>
  <c r="M214" i="11"/>
  <c r="AG215" i="11"/>
  <c r="M215" i="11"/>
  <c r="Q215" i="11"/>
  <c r="AF215" i="11" s="1"/>
  <c r="W215" i="11" s="1"/>
  <c r="AG216" i="11"/>
  <c r="Q216" i="11"/>
  <c r="AF216" i="11" s="1"/>
  <c r="W216" i="11" s="1"/>
  <c r="AH216" i="11" s="1"/>
  <c r="M216" i="11"/>
  <c r="AG217" i="11"/>
  <c r="Q217" i="11"/>
  <c r="AF217" i="11" s="1"/>
  <c r="W217" i="11" s="1"/>
  <c r="M217" i="11"/>
  <c r="AG218" i="11"/>
  <c r="Q218" i="11"/>
  <c r="AF218" i="11" s="1"/>
  <c r="W218" i="11" s="1"/>
  <c r="M218" i="11"/>
  <c r="AG219" i="11"/>
  <c r="Q219" i="11"/>
  <c r="AF219" i="11" s="1"/>
  <c r="W219" i="11" s="1"/>
  <c r="M219" i="11"/>
  <c r="AG220" i="11"/>
  <c r="Q220" i="11"/>
  <c r="AF220" i="11" s="1"/>
  <c r="W220" i="11" s="1"/>
  <c r="M220" i="11"/>
  <c r="AG221" i="11"/>
  <c r="M221" i="11"/>
  <c r="Q221" i="11"/>
  <c r="AF221" i="11" s="1"/>
  <c r="W221" i="11" s="1"/>
  <c r="AH221" i="11" s="1"/>
  <c r="I208" i="11"/>
  <c r="B8" i="19"/>
  <c r="C8" i="19" s="1"/>
  <c r="B9" i="19"/>
  <c r="C9" i="19" s="1"/>
  <c r="AG222" i="11"/>
  <c r="Q222" i="11"/>
  <c r="AF222" i="11" s="1"/>
  <c r="M222" i="11"/>
  <c r="EZ65" i="5"/>
  <c r="EY65" i="5"/>
  <c r="EU91" i="5"/>
  <c r="EV91" i="5"/>
  <c r="EU94" i="5"/>
  <c r="EW94" i="5" s="1"/>
  <c r="EX94" i="5" s="1"/>
  <c r="EV94" i="5"/>
  <c r="EY55" i="5"/>
  <c r="EZ55" i="5"/>
  <c r="KA65" i="5"/>
  <c r="AM211" i="11" l="1"/>
  <c r="AH211" i="11"/>
  <c r="AM212" i="11"/>
  <c r="AH212" i="11"/>
  <c r="AH214" i="11"/>
  <c r="AM214" i="11" s="1"/>
  <c r="AM215" i="11"/>
  <c r="AH215" i="11"/>
  <c r="B46" i="14"/>
  <c r="AI216" i="11"/>
  <c r="AJ216" i="11"/>
  <c r="AK216" i="11"/>
  <c r="AM216" i="11"/>
  <c r="AM217" i="11"/>
  <c r="AH217" i="11"/>
  <c r="AM218" i="11"/>
  <c r="AH218" i="11"/>
  <c r="B54" i="14"/>
  <c r="AI221" i="11"/>
  <c r="AJ221" i="11"/>
  <c r="AK221" i="11"/>
  <c r="AM221" i="11"/>
  <c r="AG208" i="11"/>
  <c r="M208" i="11"/>
  <c r="Q208" i="11"/>
  <c r="AF208" i="11" s="1"/>
  <c r="W208" i="11" s="1"/>
  <c r="W222" i="11"/>
  <c r="AM209" i="11"/>
  <c r="AH209" i="11"/>
  <c r="AM210" i="11"/>
  <c r="AH210" i="11"/>
  <c r="AM213" i="11"/>
  <c r="AH213" i="11"/>
  <c r="AM219" i="11"/>
  <c r="AH219" i="11"/>
  <c r="AM220" i="11"/>
  <c r="AH220" i="11"/>
  <c r="EZ94" i="5"/>
  <c r="EY94" i="5"/>
  <c r="KA94" i="5" s="1"/>
  <c r="R221" i="5"/>
  <c r="O221" i="5" s="1"/>
  <c r="R220" i="5"/>
  <c r="O220" i="5" s="1"/>
  <c r="AM208" i="11"/>
  <c r="B26" i="19"/>
  <c r="C26" i="19" s="1"/>
  <c r="B7" i="15"/>
  <c r="AH208" i="11"/>
  <c r="B31" i="19"/>
  <c r="C31" i="19" s="1"/>
  <c r="EW91" i="5"/>
  <c r="EX91" i="5" s="1"/>
  <c r="KA55" i="5"/>
  <c r="B38" i="14" l="1"/>
  <c r="AK211" i="11"/>
  <c r="AJ211" i="11"/>
  <c r="AI211" i="11"/>
  <c r="B40" i="14"/>
  <c r="AK212" i="11"/>
  <c r="AJ212" i="11"/>
  <c r="AI212" i="11"/>
  <c r="B42" i="14"/>
  <c r="AK214" i="11"/>
  <c r="AJ214" i="11"/>
  <c r="AI214" i="11"/>
  <c r="AK215" i="11"/>
  <c r="AI215" i="11"/>
  <c r="B45" i="14"/>
  <c r="AJ215" i="11"/>
  <c r="AJ217" i="11"/>
  <c r="AI217" i="11"/>
  <c r="AK217" i="11"/>
  <c r="B48" i="14"/>
  <c r="AJ218" i="11"/>
  <c r="B51" i="14"/>
  <c r="AK218" i="11"/>
  <c r="AI218" i="11"/>
  <c r="AM222" i="11"/>
  <c r="AH222" i="11"/>
  <c r="AI209" i="11"/>
  <c r="AJ209" i="11"/>
  <c r="AK209" i="11"/>
  <c r="B35" i="14"/>
  <c r="AJ210" i="11"/>
  <c r="AI210" i="11"/>
  <c r="AK210" i="11"/>
  <c r="B37" i="14"/>
  <c r="AJ213" i="11"/>
  <c r="AI213" i="11"/>
  <c r="AK213" i="11"/>
  <c r="B41" i="14"/>
  <c r="AI219" i="11"/>
  <c r="AJ219" i="11"/>
  <c r="AK219" i="11"/>
  <c r="B52" i="14"/>
  <c r="AI220" i="11"/>
  <c r="AJ220" i="11"/>
  <c r="AK220" i="11"/>
  <c r="B53" i="14"/>
  <c r="A8" i="12" a="1"/>
  <c r="R584" i="5"/>
  <c r="O584" i="5" s="1"/>
  <c r="R605" i="5"/>
  <c r="O605" i="5" s="1"/>
  <c r="R612" i="5"/>
  <c r="O612" i="5" s="1"/>
  <c r="R616" i="5"/>
  <c r="O616" i="5" s="1"/>
  <c r="R619" i="5"/>
  <c r="O619" i="5" s="1"/>
  <c r="R623" i="5"/>
  <c r="O623" i="5" s="1"/>
  <c r="R583" i="5"/>
  <c r="O583" i="5" s="1"/>
  <c r="R586" i="5"/>
  <c r="O586" i="5" s="1"/>
  <c r="R589" i="5"/>
  <c r="O589" i="5" s="1"/>
  <c r="R591" i="5"/>
  <c r="O591" i="5" s="1"/>
  <c r="R595" i="5"/>
  <c r="O595" i="5" s="1"/>
  <c r="R598" i="5"/>
  <c r="O598" i="5" s="1"/>
  <c r="R602" i="5"/>
  <c r="O602" i="5" s="1"/>
  <c r="R603" i="5"/>
  <c r="O603" i="5" s="1"/>
  <c r="R606" i="5"/>
  <c r="O606" i="5" s="1"/>
  <c r="R609" i="5"/>
  <c r="O609" i="5" s="1"/>
  <c r="R621" i="5"/>
  <c r="O621" i="5" s="1"/>
  <c r="R624" i="5"/>
  <c r="O624" i="5" s="1"/>
  <c r="R587" i="5"/>
  <c r="O587" i="5" s="1"/>
  <c r="R590" i="5"/>
  <c r="O590" i="5" s="1"/>
  <c r="R592" i="5"/>
  <c r="O592" i="5" s="1"/>
  <c r="R594" i="5"/>
  <c r="O594" i="5" s="1"/>
  <c r="R600" i="5"/>
  <c r="O600" i="5" s="1"/>
  <c r="R601" i="5"/>
  <c r="O601" i="5" s="1"/>
  <c r="R622" i="5"/>
  <c r="O622" i="5" s="1"/>
  <c r="R626" i="5"/>
  <c r="O626" i="5" s="1"/>
  <c r="R627" i="5"/>
  <c r="O627" i="5" s="1"/>
  <c r="R628" i="5"/>
  <c r="O628" i="5" s="1"/>
  <c r="R629" i="5"/>
  <c r="O629" i="5" s="1"/>
  <c r="R630" i="5"/>
  <c r="O630" i="5" s="1"/>
  <c r="R597" i="5"/>
  <c r="O597" i="5" s="1"/>
  <c r="R599" i="5"/>
  <c r="O599" i="5" s="1"/>
  <c r="R608" i="5"/>
  <c r="O608" i="5" s="1"/>
  <c r="R611" i="5"/>
  <c r="O611" i="5" s="1"/>
  <c r="R615" i="5"/>
  <c r="O615" i="5" s="1"/>
  <c r="R618" i="5"/>
  <c r="O618" i="5" s="1"/>
  <c r="R620" i="5"/>
  <c r="O620" i="5" s="1"/>
  <c r="R625" i="5"/>
  <c r="O625" i="5" s="1"/>
  <c r="R585" i="5"/>
  <c r="O585" i="5" s="1"/>
  <c r="R588" i="5"/>
  <c r="O588" i="5" s="1"/>
  <c r="R593" i="5"/>
  <c r="O593" i="5" s="1"/>
  <c r="R596" i="5"/>
  <c r="O596" i="5" s="1"/>
  <c r="R604" i="5"/>
  <c r="O604" i="5" s="1"/>
  <c r="R607" i="5"/>
  <c r="O607" i="5" s="1"/>
  <c r="R610" i="5"/>
  <c r="O610" i="5" s="1"/>
  <c r="R613" i="5"/>
  <c r="O613" i="5" s="1"/>
  <c r="R617" i="5"/>
  <c r="O617" i="5" s="1"/>
  <c r="R614" i="5"/>
  <c r="O614" i="5" s="1"/>
  <c r="B25" i="19"/>
  <c r="C25" i="19" s="1"/>
  <c r="B6" i="15"/>
  <c r="B14" i="14"/>
  <c r="AI208" i="11"/>
  <c r="AJ208" i="11"/>
  <c r="AK208" i="11"/>
  <c r="B34" i="14"/>
  <c r="B8" i="15"/>
  <c r="EY91" i="5"/>
  <c r="EZ91" i="5"/>
  <c r="R200" i="5"/>
  <c r="O200" i="5" s="1"/>
  <c r="R201" i="5"/>
  <c r="O201" i="5" s="1"/>
  <c r="A8" i="13" l="1" a="1"/>
  <c r="B33" i="19" s="1"/>
  <c r="C33" i="19" s="1"/>
  <c r="B56" i="14"/>
  <c r="AK222" i="11"/>
  <c r="AJ222" i="11"/>
  <c r="AI222" i="11"/>
  <c r="B17" i="15"/>
  <c r="C17" i="15"/>
  <c r="D17" i="15"/>
  <c r="B18" i="15"/>
  <c r="C18" i="15"/>
  <c r="D18" i="15"/>
  <c r="B19" i="15"/>
  <c r="C19" i="15"/>
  <c r="D19" i="15"/>
  <c r="B20" i="15"/>
  <c r="C20" i="15"/>
  <c r="D20" i="15"/>
  <c r="B21" i="15"/>
  <c r="C21" i="15"/>
  <c r="D21" i="15"/>
  <c r="B22" i="15"/>
  <c r="C22" i="15"/>
  <c r="D22" i="15"/>
  <c r="B23" i="15"/>
  <c r="C23" i="15"/>
  <c r="D23" i="15"/>
  <c r="B24" i="15"/>
  <c r="C24" i="15"/>
  <c r="D24" i="15"/>
  <c r="B25" i="15"/>
  <c r="C25" i="15"/>
  <c r="D25" i="15"/>
  <c r="B26" i="15"/>
  <c r="C26" i="15"/>
  <c r="D26" i="15"/>
  <c r="B32" i="19"/>
  <c r="C32" i="19" s="1"/>
  <c r="KA91" i="5"/>
  <c r="B27" i="19"/>
  <c r="C27" i="19" s="1"/>
  <c r="B58" i="14" l="1"/>
  <c r="B34" i="19" s="1"/>
  <c r="C34" i="19" s="1"/>
  <c r="B12" i="15"/>
  <c r="B35" i="19" s="1"/>
  <c r="C35" i="19" s="1"/>
  <c r="R531" i="5"/>
  <c r="O531" i="5" s="1"/>
  <c r="R534" i="5"/>
  <c r="O534" i="5" s="1"/>
  <c r="R537" i="5"/>
  <c r="O537" i="5" s="1"/>
  <c r="R540" i="5"/>
  <c r="O540" i="5" s="1"/>
  <c r="R533" i="5"/>
  <c r="O533" i="5" s="1"/>
  <c r="R520" i="5"/>
  <c r="O520" i="5" s="1"/>
  <c r="B28" i="19" s="1"/>
  <c r="C28" i="19" s="1"/>
  <c r="B37" i="19" s="1"/>
  <c r="R521" i="5"/>
  <c r="O521" i="5" s="1"/>
  <c r="R522" i="5"/>
  <c r="O522" i="5" s="1"/>
  <c r="R523" i="5"/>
  <c r="O523" i="5" s="1"/>
  <c r="R524" i="5"/>
  <c r="O524" i="5" s="1"/>
  <c r="R525" i="5"/>
  <c r="O525" i="5" s="1"/>
  <c r="R526" i="5"/>
  <c r="O526" i="5" s="1"/>
  <c r="R527" i="5"/>
  <c r="O527" i="5" s="1"/>
  <c r="R528" i="5"/>
  <c r="O528" i="5" s="1"/>
  <c r="R530" i="5"/>
  <c r="O530" i="5" s="1"/>
  <c r="R538" i="5"/>
  <c r="O538" i="5" s="1"/>
  <c r="R532" i="5"/>
  <c r="O532" i="5" s="1"/>
  <c r="R536" i="5"/>
  <c r="O536" i="5" s="1"/>
  <c r="R539" i="5"/>
  <c r="O539" i="5" s="1"/>
  <c r="R529" i="5"/>
  <c r="O529" i="5" s="1"/>
  <c r="R535" i="5"/>
  <c r="O535"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<sst xmlns="http://schemas.openxmlformats.org/spreadsheetml/2006/main" count="31994" uniqueCount="3116">
  <si>
    <t>NBA 2026-27 Futures Model</t>
  </si>
  <si>
    <t>Cover</t>
  </si>
  <si>
    <t>Version: v1 | 2026-10-15</t>
  </si>
  <si>
    <t>Version</t>
  </si>
  <si>
    <t>v1 (G5) - 2026-10-15</t>
  </si>
  <si>
    <t>Data timestamp</t>
  </si>
  <si>
    <t>Odds 2026-10-15; rosters/injuries ESPN 2026-10-15; DARKO through 2026-06-03</t>
  </si>
  <si>
    <t>Sim N</t>
  </si>
  <si>
    <t>Run hash</t>
  </si>
  <si>
    <t>Run timestamp (UTC)</t>
  </si>
  <si>
    <t>Sim status</t>
  </si>
  <si>
    <t>Model independence</t>
  </si>
  <si>
    <t>Market odds are never a model input; they enter only de-vig, edges, staking shrink and backtest benchmarks.</t>
  </si>
  <si>
    <t>First locks</t>
  </si>
  <si>
    <t>Tue 10/20 2:10 PM CST (BOS/DET wins &amp; playoffs; all title, conference, division, play-in, award markets)</t>
  </si>
  <si>
    <t>Navigation</t>
  </si>
  <si>
    <t>Open items: PLAYOFFS = 16-team playoff field (user-confirmed from implied sums) - CONFIRM WITH BOOK. Tier 1 (Tier1_Card) is the staked card; Tier 2 (Bet_Card) has no stake by default. Player markets: see M_Players.</t>
  </si>
  <si>
    <t>Assumptions - every knob in one table</t>
  </si>
  <si>
    <t>Scenario selector (Bull / Base / Bear)</t>
  </si>
  <si>
    <t>Base</t>
  </si>
  <si>
    <t>Bull = lower sigma_team / higher DARKO weight / no tank; Bear = higher sigma_team / lower DARKO weight / upper-CI tank. Reprices the analytic layer live; sims must be rerun.</t>
  </si>
  <si>
    <t>Name</t>
  </si>
  <si>
    <t>Value (active)</t>
  </si>
  <si>
    <t>Units</t>
  </si>
  <si>
    <t>Description</t>
  </si>
  <si>
    <t>Provenance</t>
  </si>
  <si>
    <t>Default</t>
  </si>
  <si>
    <t>Bull</t>
  </si>
  <si>
    <t>Bear</t>
  </si>
  <si>
    <t>HCA</t>
  </si>
  <si>
    <t>pts</t>
  </si>
  <si>
    <t>Home-court advantage (regular season), margin points</t>
  </si>
  <si>
    <t>params/provenance.json:game_hca (2021-22..2025-26)</t>
  </si>
  <si>
    <t>-</t>
  </si>
  <si>
    <t>sigma_game</t>
  </si>
  <si>
    <t>Game margin standard deviation</t>
  </si>
  <si>
    <t>game_sigma_game</t>
  </si>
  <si>
    <t>sigma_team</t>
  </si>
  <si>
    <t>SRS pts</t>
  </si>
  <si>
    <t>True-strength shock SD (season) - LOSO CV with mean-matched sims, availability draws on</t>
  </si>
  <si>
    <t>sigma_team_srs (G5 refit)</t>
  </si>
  <si>
    <t>prior_blend_weight (coef on prior SRS)</t>
  </si>
  <si>
    <t>coef</t>
  </si>
  <si>
    <t>Team layer: coefficient on prior-season SRS</t>
  </si>
  <si>
    <t>team_layer_beta[2]</t>
  </si>
  <si>
    <t>team_layer_const</t>
  </si>
  <si>
    <t>Team layer: intercept</t>
  </si>
  <si>
    <t>team_layer_beta[0]</t>
  </si>
  <si>
    <t>team_layer_rating_coef</t>
  </si>
  <si>
    <t>Team layer: coefficient on minutes-weighted player rating sum</t>
  </si>
  <si>
    <t>team_layer_beta[1]</t>
  </si>
  <si>
    <t>team_layer_continuity_coef</t>
  </si>
  <si>
    <t>Team layer: coefficient on continuity x prior SRS</t>
  </si>
  <si>
    <t>team_layer_beta[3]</t>
  </si>
  <si>
    <t>k_wins</t>
  </si>
  <si>
    <t>wins/SRS pt</t>
  </si>
  <si>
    <t>Wins per SRS point (wins = 41 + k x SRS)</t>
  </si>
  <si>
    <t>k_wins_per_srs</t>
  </si>
  <si>
    <t>DARKO_weight (player-metric blend)</t>
  </si>
  <si>
    <t>share</t>
  </si>
  <si>
    <t>Production DARKO vs box-prior blend (documented rule, untested)</t>
  </si>
  <si>
    <t>w_darko (G2 addendum); engine input</t>
  </si>
  <si>
    <t>box_prior_weight</t>
  </si>
  <si>
    <t>Equals 1 minus DARKO weight (engine input)</t>
  </si>
  <si>
    <t>derived</t>
  </si>
  <si>
    <t>aging_curve_on</t>
  </si>
  <si>
    <t>0/1</t>
  </si>
  <si>
    <t>Aging curve in player projections (engine input; informational)</t>
  </si>
  <si>
    <t>ratings fit</t>
  </si>
  <si>
    <t>rookie_prior_weight</t>
  </si>
  <si>
    <t>Rookie draft-slot + college translation model weight (engine input; informational)</t>
  </si>
  <si>
    <t>rookie_college_model_beta</t>
  </si>
  <si>
    <t>tank_on</t>
  </si>
  <si>
    <t>3-2-1 tank module on (engine input)</t>
  </si>
  <si>
    <t>G3</t>
  </si>
  <si>
    <t>tank_kappa</t>
  </si>
  <si>
    <t>net-rating pts/unit</t>
  </si>
  <si>
    <t>Post-deadline effort suppression per unit normalized incentive (CI includes 0)</t>
  </si>
  <si>
    <t>tank_kappa (G3)</t>
  </si>
  <si>
    <t>tank_deterrent</t>
  </si>
  <si>
    <t>Commissioner deterrent (1 = no tanking)</t>
  </si>
  <si>
    <t>tank_deterrent (assumption)</t>
  </si>
  <si>
    <t>playoff_adj_lambda</t>
  </si>
  <si>
    <t>Playoff minutes-concentration rating adjustment multiplier (fit 0.58 [0.32,0.80])</t>
  </si>
  <si>
    <t>po_lambda</t>
  </si>
  <si>
    <t>playoff_injury_prob</t>
  </si>
  <si>
    <t>prob</t>
  </si>
  <si>
    <t>Per top-8 player chance of missing the postseason (assumption)</t>
  </si>
  <si>
    <t>po_inj_prob</t>
  </si>
  <si>
    <t>lottery_n_draws</t>
  </si>
  <si>
    <t>draws</t>
  </si>
  <si>
    <t>Lottery draws (all 16 picks drawn; NBA.com)</t>
  </si>
  <si>
    <t>assumptions.json</t>
  </si>
  <si>
    <t>sim_N</t>
  </si>
  <si>
    <t>seasons</t>
  </si>
  <si>
    <t>Simulated seasons in the last run</t>
  </si>
  <si>
    <t>sims/run_meta.json</t>
  </si>
  <si>
    <t>cup_semis_neutral</t>
  </si>
  <si>
    <t>NBA.com: semis at higher seed home arena</t>
  </si>
  <si>
    <t>cup_nonqualifier_cross_conf_games</t>
  </si>
  <si>
    <t>games</t>
  </si>
  <si>
    <t>NBA.com: 2 of the 22 non-qualifier games are cross-conference</t>
  </si>
  <si>
    <t>tpg_min_games_pct</t>
  </si>
  <si>
    <t>Turnover-leader qualifier (58-game rule; UNCONFIRMED with the book)</t>
  </si>
  <si>
    <t>games_65_rule_on</t>
  </si>
  <si>
    <t>65-game eligibility rule for awards (G4)</t>
  </si>
  <si>
    <t>SPEC</t>
  </si>
  <si>
    <t>devig_method</t>
  </si>
  <si>
    <t>Shin</t>
  </si>
  <si>
    <t>list</t>
  </si>
  <si>
    <t>De-vig method for fair probabilities (Multiplicative / Power / Shin)</t>
  </si>
  <si>
    <t>bankroll</t>
  </si>
  <si>
    <t>$</t>
  </si>
  <si>
    <t>Bankroll (blank input; stakes show '-' until entered)</t>
  </si>
  <si>
    <t>user input</t>
  </si>
  <si>
    <t>kelly_fraction</t>
  </si>
  <si>
    <t>Fractional Kelly multiplier</t>
  </si>
  <si>
    <t>min_EV</t>
  </si>
  <si>
    <t>per $1</t>
  </si>
  <si>
    <t>Minimum EV to qualify for the Bet Card</t>
  </si>
  <si>
    <t>CI_level</t>
  </si>
  <si>
    <t>Confidence level of the edge CI (engine output is computed at 80%)</t>
  </si>
  <si>
    <t>max_bet</t>
  </si>
  <si>
    <t>Max single bet</t>
  </si>
  <si>
    <t>SPEC / book MAX</t>
  </si>
  <si>
    <t>max_total_exposure</t>
  </si>
  <si>
    <t>share of bankroll</t>
  </si>
  <si>
    <t>Max total exposure</t>
  </si>
  <si>
    <t>staking_shrink_to_market</t>
  </si>
  <si>
    <t>Model-to-market shrink (0 = pure model). 0.5 after the G5 miscalibration diagnosis (model-vs-market wins RMSE &gt; 4); also applied to the edge test; the model itself is never shrunk</t>
  </si>
  <si>
    <t>SPEC default 0.25; raised to 0.5 (G5 report)</t>
  </si>
  <si>
    <t>zero_sum_filter_on</t>
  </si>
  <si>
    <t>WINS bets must survive rescaling model win means to the book's sum of lines (removes edges that are only market inflation)</t>
  </si>
  <si>
    <t>G5 report</t>
  </si>
  <si>
    <t>tier2_staking_on</t>
  </si>
  <si>
    <t>Tier 2 (the full 52-bet card) has NO stake by default; set 1 to show Tier 2 Kelly stakes</t>
  </si>
  <si>
    <t>G5 Tier 1 spec</t>
  </si>
  <si>
    <t>tier1_fair_min</t>
  </si>
  <si>
    <t>Tier 1: market fair probability must be at least this (no longshots)</t>
  </si>
  <si>
    <t>tier1_shrink</t>
  </si>
  <si>
    <t>Tier 1: edge must survive this shrink toward the market (model weight 0.25)</t>
  </si>
  <si>
    <t>tier1_exposure_cap</t>
  </si>
  <si>
    <t>Tier 1 total exposure cap for the season</t>
  </si>
  <si>
    <t>tier1_engine_cap</t>
  </si>
  <si>
    <t>Cap the engine used when solving Tier 1 portfolio Kelly (stakes scale by the ratio)</t>
  </si>
  <si>
    <t>engine</t>
  </si>
  <si>
    <t>longshot_threshold</t>
  </si>
  <si>
    <t>Selections with fair probability below this must survive shrink + sigma_team -10% (longshot control)</t>
  </si>
  <si>
    <t>low_continuity_threshold</t>
  </si>
  <si>
    <t>Teams with roster continuity below this need wins/playoffs/division edges to survive the stronger shrink</t>
  </si>
  <si>
    <t>low_continuity_shrink</t>
  </si>
  <si>
    <t>Shrink applied to the edge test for low-continuity teams</t>
  </si>
  <si>
    <t>zero_sum_shift</t>
  </si>
  <si>
    <t>wins/team</t>
  </si>
  <si>
    <t>Book sum of win lines minus 1,230, per team (live)</t>
  </si>
  <si>
    <t>derived from Odds_Input</t>
  </si>
  <si>
    <t>playoffs_definition</t>
  </si>
  <si>
    <t>Bracket</t>
  </si>
  <si>
    <t>PLAYOFFS market definition: Bracket (16-team playoffs; matches book prices) or Top10 (play-in counts; spec reading)</t>
  </si>
  <si>
    <t>UNCONFIRMED - see G5 report</t>
  </si>
  <si>
    <t>playoffs_rule_confirmed</t>
  </si>
  <si>
    <t>PLAYOFFS = 16-team playoff field (top-8, including via play-in): user-confirmed from implied sums (~8.7/conf). CONFIRM WITH BOOK. Set 0 to block PLAYOFFS bets</t>
  </si>
  <si>
    <t>analytic_sd_scale</t>
  </si>
  <si>
    <t>ratio</t>
  </si>
  <si>
    <t>Analytic layer: SD scale vs delta-method SD (fit to sim SDs)</t>
  </si>
  <si>
    <t>G5: fit of analytic layer to the engine</t>
  </si>
  <si>
    <t>games_per_season</t>
  </si>
  <si>
    <t>Games per team (structural constant)</t>
  </si>
  <si>
    <t>team_minutes_per_season</t>
  </si>
  <si>
    <t>minutes</t>
  </si>
  <si>
    <t>240 minutes x 82 games (structural constant)</t>
  </si>
  <si>
    <t>pace_blend_prior</t>
  </si>
  <si>
    <t>Pace projection = share x prior pace + (1 - share) x league mean (assumption, untested)</t>
  </si>
  <si>
    <t>provenance pace_blend</t>
  </si>
  <si>
    <t>playin_slots</t>
  </si>
  <si>
    <t>slots</t>
  </si>
  <si>
    <t>Play-in participants per conference (finish 7-10); target sum for PLAYIN fair probabilities</t>
  </si>
  <si>
    <t>NBA rules</t>
  </si>
  <si>
    <t>lg_ortg</t>
  </si>
  <si>
    <t>pts/100</t>
  </si>
  <si>
    <t>League average ORtg 2025-26 (anchor for ORtg/DRtg)</t>
  </si>
  <si>
    <t>ratings_fit_2027.json</t>
  </si>
  <si>
    <t>league_wins_total</t>
  </si>
  <si>
    <t>wins</t>
  </si>
  <si>
    <t>Zero-sum constraint on projected wins</t>
  </si>
  <si>
    <t>Sim assumptions key (current)</t>
  </si>
  <si>
    <t>Compared with the key stored with the last sim run (M_Sims); a mismatch flags sim-dependent cells STALE - rerun sims</t>
  </si>
  <si>
    <t>Overrides - per-player minutes / games / rating adjustments, per-team rating adjustments (blue = input)</t>
  </si>
  <si>
    <t>Player overrides (leave blank for no override). Minutes/game and Games replace the projection; rating adjustment is in BPM points per 100 poss.</t>
  </si>
  <si>
    <t>Player</t>
  </si>
  <si>
    <t>Minutes per game override</t>
  </si>
  <si>
    <t>Games override</t>
  </si>
  <si>
    <t>Rating adjustment</t>
  </si>
  <si>
    <t>Note</t>
  </si>
  <si>
    <t>Team rating adjustments (SRS pts, applied after the team layer, re-centered to zero-sum)</t>
  </si>
  <si>
    <t>Team</t>
  </si>
  <si>
    <t>SRS adjustment</t>
  </si>
  <si>
    <t>ATL</t>
  </si>
  <si>
    <t>BKN</t>
  </si>
  <si>
    <t>BOS</t>
  </si>
  <si>
    <t>CHA</t>
  </si>
  <si>
    <t>CHI</t>
  </si>
  <si>
    <t>CLE</t>
  </si>
  <si>
    <t>DAL</t>
  </si>
  <si>
    <t>DEN</t>
  </si>
  <si>
    <t>DET</t>
  </si>
  <si>
    <t>GSW</t>
  </si>
  <si>
    <t>HOU</t>
  </si>
  <si>
    <t>IND</t>
  </si>
  <si>
    <t>LAC</t>
  </si>
  <si>
    <t>LAL</t>
  </si>
  <si>
    <t>MEM</t>
  </si>
  <si>
    <t>MIA</t>
  </si>
  <si>
    <t>MIL</t>
  </si>
  <si>
    <t>MIN</t>
  </si>
  <si>
    <t>NOP</t>
  </si>
  <si>
    <t>NYK</t>
  </si>
  <si>
    <t>OKC</t>
  </si>
  <si>
    <t>ORL</t>
  </si>
  <si>
    <t>PHI</t>
  </si>
  <si>
    <t>PHX</t>
  </si>
  <si>
    <t>POR</t>
  </si>
  <si>
    <t>SAC</t>
  </si>
  <si>
    <t>SAS</t>
  </si>
  <si>
    <t>TOR</t>
  </si>
  <si>
    <t>UTA</t>
  </si>
  <si>
    <t>WAS</t>
  </si>
  <si>
    <t>Odds_Input - paste area (blue) + parsed book odds; orange fill = imputed/backfilled</t>
  </si>
  <si>
    <t>Paste/parse book odds here. Command: run.py parse-odds &lt;file&gt;. Source file: odds_2026-10-15.csv (687 rows). Orange = backfilled/imputed (imputed sides are never bet).</t>
  </si>
  <si>
    <t>Row id</t>
  </si>
  <si>
    <t>Market</t>
  </si>
  <si>
    <t>Selection</t>
  </si>
  <si>
    <t>Side</t>
  </si>
  <si>
    <t>Line</t>
  </si>
  <si>
    <t>American odds</t>
  </si>
  <si>
    <t>Flag</t>
  </si>
  <si>
    <t>TITLE</t>
  </si>
  <si>
    <t>Atlanta Hawks</t>
  </si>
  <si>
    <t>YES</t>
  </si>
  <si>
    <t>Boston Celtics</t>
  </si>
  <si>
    <t>Brooklyn Nets</t>
  </si>
  <si>
    <t>Charlotte Hornets</t>
  </si>
  <si>
    <t>Chicago Bulls</t>
  </si>
  <si>
    <t>Cleveland Cavaliers</t>
  </si>
  <si>
    <t>Dallas Mavericks</t>
  </si>
  <si>
    <t>Denver Nuggets</t>
  </si>
  <si>
    <t>Detroit Pistons</t>
  </si>
  <si>
    <t>Golden State Warriors</t>
  </si>
  <si>
    <t>Houston Rockets</t>
  </si>
  <si>
    <t>Indiana Pacers</t>
  </si>
  <si>
    <t>Los Angeles Clippers</t>
  </si>
  <si>
    <t>Los Angeles Lakers</t>
  </si>
  <si>
    <t>Memphis Grizzlies</t>
  </si>
  <si>
    <t>Miami Heat</t>
  </si>
  <si>
    <t>Milwaukee Bucks</t>
  </si>
  <si>
    <t>Minnesota Timberwolves</t>
  </si>
  <si>
    <t>New Orleans Pelicans</t>
  </si>
  <si>
    <t>New York Knicks</t>
  </si>
  <si>
    <t>Oklahoma City Thunder</t>
  </si>
  <si>
    <t>Orlando Magic</t>
  </si>
  <si>
    <t>Philadelphia 76ers</t>
  </si>
  <si>
    <t>Phoenix Suns</t>
  </si>
  <si>
    <t>Portland Trail Blazers</t>
  </si>
  <si>
    <t>Sacramento Kings</t>
  </si>
  <si>
    <t>San Antonio Spurs</t>
  </si>
  <si>
    <t>Toronto Raptors</t>
  </si>
  <si>
    <t>Utah Jazz</t>
  </si>
  <si>
    <t>Washington Wizards</t>
  </si>
  <si>
    <t>CONF_EAST</t>
  </si>
  <si>
    <t>CONF_WEST</t>
  </si>
  <si>
    <t>BACKFILL_PDF1</t>
  </si>
  <si>
    <t>DIV_ATLANTIC</t>
  </si>
  <si>
    <t>DIV_CENTRAL</t>
  </si>
  <si>
    <t>DIV_SOUTHEAST</t>
  </si>
  <si>
    <t>DIV_NORTHWEST</t>
  </si>
  <si>
    <t>DIV_PACIFIC</t>
  </si>
  <si>
    <t>DIV_SOUTHWEST</t>
  </si>
  <si>
    <t>PLAYIN_EAST</t>
  </si>
  <si>
    <t>PLAYIN_WEST</t>
  </si>
  <si>
    <t>WINS</t>
  </si>
  <si>
    <t>OVER</t>
  </si>
  <si>
    <t>UNDER</t>
  </si>
  <si>
    <t>BACKFILL_PDF_TEXT</t>
  </si>
  <si>
    <t>IMPUTED_20C_LADDER</t>
  </si>
  <si>
    <t>PLAYOFFS</t>
  </si>
  <si>
    <t>NO</t>
  </si>
  <si>
    <t>CUP</t>
  </si>
  <si>
    <t>CUP_EAST_A</t>
  </si>
  <si>
    <t>CUP_EAST_B</t>
  </si>
  <si>
    <t>CUP_EAST_C</t>
  </si>
  <si>
    <t>CUP_WEST_A</t>
  </si>
  <si>
    <t>CUP_WEST_B</t>
  </si>
  <si>
    <t>CUP_WEST_C</t>
  </si>
  <si>
    <t>MVP</t>
  </si>
  <si>
    <t>Victor Wembanyama</t>
  </si>
  <si>
    <t>Shai Gilgeous Alexander</t>
  </si>
  <si>
    <t>Nikola Jokic</t>
  </si>
  <si>
    <t>Luka Doncic</t>
  </si>
  <si>
    <t>Giannis Antetokounmpo</t>
  </si>
  <si>
    <t>Cade Cunningham</t>
  </si>
  <si>
    <t>Anthony Edwards</t>
  </si>
  <si>
    <t>Jayson Tatum</t>
  </si>
  <si>
    <t>Jalen Brunson</t>
  </si>
  <si>
    <t>Donovan Mitchell</t>
  </si>
  <si>
    <t>Tyrese Haliburton</t>
  </si>
  <si>
    <t>Cooper Flagg</t>
  </si>
  <si>
    <t>Tyrese Maxey</t>
  </si>
  <si>
    <t>Jaylen Brown</t>
  </si>
  <si>
    <t>Kawhi Leonard</t>
  </si>
  <si>
    <t>Joel Embiid</t>
  </si>
  <si>
    <t>Stephen Curry</t>
  </si>
  <si>
    <t>Devin Booker</t>
  </si>
  <si>
    <t>Kevin Durant</t>
  </si>
  <si>
    <t>Scottie Barnes</t>
  </si>
  <si>
    <t>Deni Avdija</t>
  </si>
  <si>
    <t>LaMelo Ball</t>
  </si>
  <si>
    <t>Jalen Johnson</t>
  </si>
  <si>
    <t>LeBron James</t>
  </si>
  <si>
    <t>Paolo Banchero</t>
  </si>
  <si>
    <t>Zion Williamson</t>
  </si>
  <si>
    <t>Jamal Murray</t>
  </si>
  <si>
    <t>Anthony Davis</t>
  </si>
  <si>
    <t>DPOY</t>
  </si>
  <si>
    <t>Chet Holmgren</t>
  </si>
  <si>
    <t>Ausar Thompson</t>
  </si>
  <si>
    <t>Rudy Gobert</t>
  </si>
  <si>
    <t>Evan Mobley</t>
  </si>
  <si>
    <t>Bam Adebayo</t>
  </si>
  <si>
    <t>Amen Thompson</t>
  </si>
  <si>
    <t>Jaren Jackson Jr</t>
  </si>
  <si>
    <t>OG Anunoby</t>
  </si>
  <si>
    <t>Jaden McDaniels</t>
  </si>
  <si>
    <t>Dyson Daniels</t>
  </si>
  <si>
    <t>Walker Kessler</t>
  </si>
  <si>
    <t>Ivica Zubac</t>
  </si>
  <si>
    <t>Donovan Clingan</t>
  </si>
  <si>
    <t>Cason Wallace</t>
  </si>
  <si>
    <t>ROY</t>
  </si>
  <si>
    <t>Cameron Boozer</t>
  </si>
  <si>
    <t>Darryn Peterson</t>
  </si>
  <si>
    <t>Caleb Wilson</t>
  </si>
  <si>
    <t>AJ Dybantsa</t>
  </si>
  <si>
    <t>Darius Acuff Jr</t>
  </si>
  <si>
    <t>Yaxel Lendeborg</t>
  </si>
  <si>
    <t>Mikel Brown Jr</t>
  </si>
  <si>
    <t>Keaton Wagler</t>
  </si>
  <si>
    <t>Nate Ament</t>
  </si>
  <si>
    <t>Kingston Flemings</t>
  </si>
  <si>
    <t>Brayden Burries</t>
  </si>
  <si>
    <t>Morez Johnson Jr</t>
  </si>
  <si>
    <t>Cameron Carr</t>
  </si>
  <si>
    <t>Dailyn Swain</t>
  </si>
  <si>
    <t>Labaron Philon</t>
  </si>
  <si>
    <t>Ebuka Okorie</t>
  </si>
  <si>
    <t>SMOY</t>
  </si>
  <si>
    <t>Dylan Harper</t>
  </si>
  <si>
    <t>Reed Sheppard</t>
  </si>
  <si>
    <t>Anfernee Simons</t>
  </si>
  <si>
    <t>Ajay Mitchell</t>
  </si>
  <si>
    <t>Aaron Wiggins</t>
  </si>
  <si>
    <t>Keldon Johnson</t>
  </si>
  <si>
    <t>Daniss Jenkins</t>
  </si>
  <si>
    <t>Ace Bailey</t>
  </si>
  <si>
    <t>Jared McCain</t>
  </si>
  <si>
    <t>Scoot Henderson</t>
  </si>
  <si>
    <t>Jaime Jaquez Jr</t>
  </si>
  <si>
    <t>Bennedict Mathurin</t>
  </si>
  <si>
    <t>Bobby Portis</t>
  </si>
  <si>
    <t>Anthony Black</t>
  </si>
  <si>
    <t>Jerami Grant</t>
  </si>
  <si>
    <t>Grayson Allen</t>
  </si>
  <si>
    <t>Kelel Ware</t>
  </si>
  <si>
    <t>Jeremiah Fears</t>
  </si>
  <si>
    <t>Shaedon Sharpe</t>
  </si>
  <si>
    <t>Nikola Vucevic</t>
  </si>
  <si>
    <t>Tim Hardaway Jr</t>
  </si>
  <si>
    <t>Luke Kennard</t>
  </si>
  <si>
    <t>Jrue Holiday</t>
  </si>
  <si>
    <t>Kevin Porter Jr</t>
  </si>
  <si>
    <t>Jaylon Tyson</t>
  </si>
  <si>
    <t>Sandro Mamukelashvili</t>
  </si>
  <si>
    <t>DeAndre Ayton</t>
  </si>
  <si>
    <t>MIP</t>
  </si>
  <si>
    <t>Brandon Miller</t>
  </si>
  <si>
    <t>Payton Pritchard</t>
  </si>
  <si>
    <t>Collin Murray Boyles</t>
  </si>
  <si>
    <t>Stephon Castle</t>
  </si>
  <si>
    <t>Peyton Watson</t>
  </si>
  <si>
    <t>Egor Demin</t>
  </si>
  <si>
    <t>Naz Reid</t>
  </si>
  <si>
    <t>Khaman Maluach</t>
  </si>
  <si>
    <t>Dylan Cardwell</t>
  </si>
  <si>
    <t>Terrence Shannon Jr</t>
  </si>
  <si>
    <t>Matas Buzelis</t>
  </si>
  <si>
    <t>Zach Edey</t>
  </si>
  <si>
    <t>Derik Queen</t>
  </si>
  <si>
    <t>VJ Edgecombe</t>
  </si>
  <si>
    <t>Joan Beringer</t>
  </si>
  <si>
    <t>Alex Sarr</t>
  </si>
  <si>
    <t>Ousmane Dieng</t>
  </si>
  <si>
    <t>Jase Richardson</t>
  </si>
  <si>
    <t>Nique Clifford</t>
  </si>
  <si>
    <t>Hugo Gonzalez</t>
  </si>
  <si>
    <t>Carter Bryant</t>
  </si>
  <si>
    <t>Ryan Rollins</t>
  </si>
  <si>
    <t>Kon Knueppel</t>
  </si>
  <si>
    <t>Jaylen Wells</t>
  </si>
  <si>
    <t>Jabari Smith Jr</t>
  </si>
  <si>
    <t>Coby White</t>
  </si>
  <si>
    <t>Cedric Coward</t>
  </si>
  <si>
    <t>Nikola Jovic</t>
  </si>
  <si>
    <t>COY</t>
  </si>
  <si>
    <t>Darko Rajakovic</t>
  </si>
  <si>
    <t>Will Hardy</t>
  </si>
  <si>
    <t>Nick Nurse</t>
  </si>
  <si>
    <t>Erik Spoelstra</t>
  </si>
  <si>
    <t>Chris Finch</t>
  </si>
  <si>
    <t>Micah Nori</t>
  </si>
  <si>
    <t>Dusty May</t>
  </si>
  <si>
    <t>Sean Sweeney</t>
  </si>
  <si>
    <t>Brian Keefe</t>
  </si>
  <si>
    <t>Mitch Johnson</t>
  </si>
  <si>
    <t>Rick Carlisle</t>
  </si>
  <si>
    <t>Quin Snyder</t>
  </si>
  <si>
    <t>Mike Brown</t>
  </si>
  <si>
    <t>JJ Redick</t>
  </si>
  <si>
    <t>Ime Udoka</t>
  </si>
  <si>
    <t>Tiago Splitter</t>
  </si>
  <si>
    <t>Steve Kerr</t>
  </si>
  <si>
    <t>Mark Daigneault</t>
  </si>
  <si>
    <t>Kenny Atkinson</t>
  </si>
  <si>
    <t>JB Bickerstaff</t>
  </si>
  <si>
    <t>David Adelman</t>
  </si>
  <si>
    <t>Charles Lee</t>
  </si>
  <si>
    <t>Jordan Ott</t>
  </si>
  <si>
    <t>Joe Mazzulla</t>
  </si>
  <si>
    <t>Tuomas Lisalo</t>
  </si>
  <si>
    <t>Jordi Fernandez</t>
  </si>
  <si>
    <t>Taylor Jenkins</t>
  </si>
  <si>
    <t>Tyronn Lue</t>
  </si>
  <si>
    <t>Jamahl Mosley</t>
  </si>
  <si>
    <t>Doug Christie</t>
  </si>
  <si>
    <t>CLUTCH</t>
  </si>
  <si>
    <t>Jalen Williams</t>
  </si>
  <si>
    <t>DeAaron Fox</t>
  </si>
  <si>
    <t>Trae Young</t>
  </si>
  <si>
    <t>CUP_MVP</t>
  </si>
  <si>
    <t>Paul George</t>
  </si>
  <si>
    <t>Derrick White</t>
  </si>
  <si>
    <t>Austin Reaves</t>
  </si>
  <si>
    <t>Alperen Sengun</t>
  </si>
  <si>
    <t>Desmond Bane</t>
  </si>
  <si>
    <t>Karl Anthony Towns</t>
  </si>
  <si>
    <t>James Harden</t>
  </si>
  <si>
    <t>Franz Wagner</t>
  </si>
  <si>
    <t>Pascal Siakam</t>
  </si>
  <si>
    <t>LDR_PPG</t>
  </si>
  <si>
    <t>Michael Porter Jr</t>
  </si>
  <si>
    <t>LDR_RPG</t>
  </si>
  <si>
    <t>Domantas Sabonis</t>
  </si>
  <si>
    <t>Jalen Duren</t>
  </si>
  <si>
    <t>Mitchell Robinson</t>
  </si>
  <si>
    <t>DayRon Sharpe</t>
  </si>
  <si>
    <t>Isaiah Hartenstein</t>
  </si>
  <si>
    <t>Moussa Diabate</t>
  </si>
  <si>
    <t>Jusuf Nurkic</t>
  </si>
  <si>
    <t>Julius Randle</t>
  </si>
  <si>
    <t>LDR_APG</t>
  </si>
  <si>
    <t>Josh Giddey</t>
  </si>
  <si>
    <t>Darius Garland</t>
  </si>
  <si>
    <t>Ja Morant</t>
  </si>
  <si>
    <t>Dejounte Murray</t>
  </si>
  <si>
    <t>LDR_SPG</t>
  </si>
  <si>
    <t>Matisse Thybulle</t>
  </si>
  <si>
    <t>Jalen Suggs</t>
  </si>
  <si>
    <t>Scotty Pippen Jr</t>
  </si>
  <si>
    <t>Kris Dunn</t>
  </si>
  <si>
    <t>Herbert Jones</t>
  </si>
  <si>
    <t>Josh Hart</t>
  </si>
  <si>
    <t>Mikal Bridges</t>
  </si>
  <si>
    <t>Alex Caruso</t>
  </si>
  <si>
    <t>Jordan Goodwin</t>
  </si>
  <si>
    <t>Trey Murphy III</t>
  </si>
  <si>
    <t>Tari Eason</t>
  </si>
  <si>
    <t>Nickeil Alexander Walker</t>
  </si>
  <si>
    <t>Fred VanVleet</t>
  </si>
  <si>
    <t>Toumani Camara</t>
  </si>
  <si>
    <t>Davion Mitchell</t>
  </si>
  <si>
    <t>Luguentz Dort</t>
  </si>
  <si>
    <t>Marcus Smart</t>
  </si>
  <si>
    <t>LDR_BPG</t>
  </si>
  <si>
    <t>Dereck Lively II</t>
  </si>
  <si>
    <t>Yves Missi</t>
  </si>
  <si>
    <t>Myles Turner</t>
  </si>
  <si>
    <t>Ryan Kalkbrenner</t>
  </si>
  <si>
    <t>Daniel Gafford</t>
  </si>
  <si>
    <t>Nic Claxton</t>
  </si>
  <si>
    <t>Jay Huff</t>
  </si>
  <si>
    <t>Isaiah Stewart</t>
  </si>
  <si>
    <t>Robert Williams</t>
  </si>
  <si>
    <t>Kristaps Porzingis</t>
  </si>
  <si>
    <t>Neemias Queta</t>
  </si>
  <si>
    <t>LDR_TPG</t>
  </si>
  <si>
    <t>Tyler Herro</t>
  </si>
  <si>
    <t>Damian Lillard</t>
  </si>
  <si>
    <t>Ty Jerome</t>
  </si>
  <si>
    <t>Kyrie Irving</t>
  </si>
  <si>
    <t>Norman Powell</t>
  </si>
  <si>
    <t>Lauri Markkanen</t>
  </si>
  <si>
    <t>Klay Thompson</t>
  </si>
  <si>
    <t>Duncan Robinson</t>
  </si>
  <si>
    <t>AJ Green</t>
  </si>
  <si>
    <t>Sam Merrill</t>
  </si>
  <si>
    <t>M_DeVig - implied probabilities, overround, fair probabilities (Multiplicative / Power / Shin); two-way markets de-vigged as pairs</t>
  </si>
  <si>
    <t>PLAYIN markets target a sum of 4 (four play-in slots per conference); Shin is undefined for S&lt;&gt;1 so those use the Power method. Solver blocks (right) are grouped, not hidden.</t>
  </si>
  <si>
    <t>American</t>
  </si>
  <si>
    <t>Group key</t>
  </si>
  <si>
    <t>Decimal</t>
  </si>
  <si>
    <t>Implied prob</t>
  </si>
  <si>
    <t>Target sum S</t>
  </si>
  <si>
    <t>Outcomes in group</t>
  </si>
  <si>
    <t>Sum of implied</t>
  </si>
  <si>
    <t>Overround</t>
  </si>
  <si>
    <t>Fair - Multiplicative</t>
  </si>
  <si>
    <t>Fair - Power</t>
  </si>
  <si>
    <t>Fair - Shin</t>
  </si>
  <si>
    <t>Fair - selected</t>
  </si>
  <si>
    <t>Power k</t>
  </si>
  <si>
    <t>Shin z</t>
  </si>
  <si>
    <t>Solver key</t>
  </si>
  <si>
    <t>S</t>
  </si>
  <si>
    <t>Sum implied</t>
  </si>
  <si>
    <t>Power lo0</t>
  </si>
  <si>
    <t>Power hi0</t>
  </si>
  <si>
    <t>P1 mid</t>
  </si>
  <si>
    <t>P1 g</t>
  </si>
  <si>
    <t>P1 lo</t>
  </si>
  <si>
    <t>P1 hi</t>
  </si>
  <si>
    <t>P2 mid</t>
  </si>
  <si>
    <t>P2 g</t>
  </si>
  <si>
    <t>P2 lo</t>
  </si>
  <si>
    <t>P2 hi</t>
  </si>
  <si>
    <t>P3 mid</t>
  </si>
  <si>
    <t>P3 g</t>
  </si>
  <si>
    <t>P3 lo</t>
  </si>
  <si>
    <t>P3 hi</t>
  </si>
  <si>
    <t>P4 mid</t>
  </si>
  <si>
    <t>P4 g</t>
  </si>
  <si>
    <t>P4 lo</t>
  </si>
  <si>
    <t>P4 hi</t>
  </si>
  <si>
    <t>P5 mid</t>
  </si>
  <si>
    <t>P5 g</t>
  </si>
  <si>
    <t>P5 lo</t>
  </si>
  <si>
    <t>P5 hi</t>
  </si>
  <si>
    <t>P6 mid</t>
  </si>
  <si>
    <t>P6 g</t>
  </si>
  <si>
    <t>P6 lo</t>
  </si>
  <si>
    <t>P6 hi</t>
  </si>
  <si>
    <t>P7 mid</t>
  </si>
  <si>
    <t>P7 g</t>
  </si>
  <si>
    <t>P7 lo</t>
  </si>
  <si>
    <t>P7 hi</t>
  </si>
  <si>
    <t>P8 mid</t>
  </si>
  <si>
    <t>P8 g</t>
  </si>
  <si>
    <t>P8 lo</t>
  </si>
  <si>
    <t>P8 hi</t>
  </si>
  <si>
    <t>P9 mid</t>
  </si>
  <si>
    <t>P9 g</t>
  </si>
  <si>
    <t>P9 lo</t>
  </si>
  <si>
    <t>P9 hi</t>
  </si>
  <si>
    <t>P10 mid</t>
  </si>
  <si>
    <t>P10 g</t>
  </si>
  <si>
    <t>P10 lo</t>
  </si>
  <si>
    <t>P10 hi</t>
  </si>
  <si>
    <t>P11 mid</t>
  </si>
  <si>
    <t>P11 g</t>
  </si>
  <si>
    <t>P11 lo</t>
  </si>
  <si>
    <t>P11 hi</t>
  </si>
  <si>
    <t>P12 mid</t>
  </si>
  <si>
    <t>P12 g</t>
  </si>
  <si>
    <t>P12 lo</t>
  </si>
  <si>
    <t>P12 hi</t>
  </si>
  <si>
    <t>P13 mid</t>
  </si>
  <si>
    <t>P13 g</t>
  </si>
  <si>
    <t>P13 lo</t>
  </si>
  <si>
    <t>P13 hi</t>
  </si>
  <si>
    <t>P14 mid</t>
  </si>
  <si>
    <t>P14 g</t>
  </si>
  <si>
    <t>P14 lo</t>
  </si>
  <si>
    <t>P14 hi</t>
  </si>
  <si>
    <t>P15 mid</t>
  </si>
  <si>
    <t>P15 g</t>
  </si>
  <si>
    <t>P15 lo</t>
  </si>
  <si>
    <t>P15 hi</t>
  </si>
  <si>
    <t>P16 mid</t>
  </si>
  <si>
    <t>P16 g</t>
  </si>
  <si>
    <t>P16 lo</t>
  </si>
  <si>
    <t>P16 hi</t>
  </si>
  <si>
    <t>P17 mid</t>
  </si>
  <si>
    <t>P17 g</t>
  </si>
  <si>
    <t>P17 lo</t>
  </si>
  <si>
    <t>P17 hi</t>
  </si>
  <si>
    <t>P18 mid</t>
  </si>
  <si>
    <t>P18 g</t>
  </si>
  <si>
    <t>P18 lo</t>
  </si>
  <si>
    <t>P18 hi</t>
  </si>
  <si>
    <t>P19 mid</t>
  </si>
  <si>
    <t>P19 g</t>
  </si>
  <si>
    <t>P19 lo</t>
  </si>
  <si>
    <t>P19 hi</t>
  </si>
  <si>
    <t>P20 mid</t>
  </si>
  <si>
    <t>P20 g</t>
  </si>
  <si>
    <t>P20 lo</t>
  </si>
  <si>
    <t>P20 hi</t>
  </si>
  <si>
    <t>P21 mid</t>
  </si>
  <si>
    <t>P21 g</t>
  </si>
  <si>
    <t>P21 lo</t>
  </si>
  <si>
    <t>P21 hi</t>
  </si>
  <si>
    <t>P22 mid</t>
  </si>
  <si>
    <t>P22 g</t>
  </si>
  <si>
    <t>P22 lo</t>
  </si>
  <si>
    <t>P22 hi</t>
  </si>
  <si>
    <t>P23 mid</t>
  </si>
  <si>
    <t>P23 g</t>
  </si>
  <si>
    <t>P23 lo</t>
  </si>
  <si>
    <t>P23 hi</t>
  </si>
  <si>
    <t>P24 mid</t>
  </si>
  <si>
    <t>P24 g</t>
  </si>
  <si>
    <t>P24 lo</t>
  </si>
  <si>
    <t>P24 hi</t>
  </si>
  <si>
    <t>P25 mid</t>
  </si>
  <si>
    <t>P25 g</t>
  </si>
  <si>
    <t>P25 lo</t>
  </si>
  <si>
    <t>P25 hi</t>
  </si>
  <si>
    <t>P26 mid</t>
  </si>
  <si>
    <t>P26 g</t>
  </si>
  <si>
    <t>P26 lo</t>
  </si>
  <si>
    <t>P26 hi</t>
  </si>
  <si>
    <t>P27 mid</t>
  </si>
  <si>
    <t>P27 g</t>
  </si>
  <si>
    <t>P27 lo</t>
  </si>
  <si>
    <t>P27 hi</t>
  </si>
  <si>
    <t>P28 mid</t>
  </si>
  <si>
    <t>P28 g</t>
  </si>
  <si>
    <t>P28 lo</t>
  </si>
  <si>
    <t>P28 hi</t>
  </si>
  <si>
    <t>P29 mid</t>
  </si>
  <si>
    <t>P29 g</t>
  </si>
  <si>
    <t>P29 lo</t>
  </si>
  <si>
    <t>P29 hi</t>
  </si>
  <si>
    <t>P30 mid</t>
  </si>
  <si>
    <t>P30 g</t>
  </si>
  <si>
    <t>P30 lo</t>
  </si>
  <si>
    <t>P30 hi</t>
  </si>
  <si>
    <t>P31 mid</t>
  </si>
  <si>
    <t>P31 g</t>
  </si>
  <si>
    <t>P31 lo</t>
  </si>
  <si>
    <t>P31 hi</t>
  </si>
  <si>
    <t>P32 mid</t>
  </si>
  <si>
    <t>P32 g</t>
  </si>
  <si>
    <t>P32 lo</t>
  </si>
  <si>
    <t>P32 hi</t>
  </si>
  <si>
    <t>Shin lo0</t>
  </si>
  <si>
    <t>Shin hi0</t>
  </si>
  <si>
    <t>Z1 mid</t>
  </si>
  <si>
    <t>Z1 g</t>
  </si>
  <si>
    <t>Z1 lo</t>
  </si>
  <si>
    <t>Z1 hi</t>
  </si>
  <si>
    <t>Z2 mid</t>
  </si>
  <si>
    <t>Z2 g</t>
  </si>
  <si>
    <t>Z2 lo</t>
  </si>
  <si>
    <t>Z2 hi</t>
  </si>
  <si>
    <t>Z3 mid</t>
  </si>
  <si>
    <t>Z3 g</t>
  </si>
  <si>
    <t>Z3 lo</t>
  </si>
  <si>
    <t>Z3 hi</t>
  </si>
  <si>
    <t>Z4 mid</t>
  </si>
  <si>
    <t>Z4 g</t>
  </si>
  <si>
    <t>Z4 lo</t>
  </si>
  <si>
    <t>Z4 hi</t>
  </si>
  <si>
    <t>Z5 mid</t>
  </si>
  <si>
    <t>Z5 g</t>
  </si>
  <si>
    <t>Z5 lo</t>
  </si>
  <si>
    <t>Z5 hi</t>
  </si>
  <si>
    <t>Z6 mid</t>
  </si>
  <si>
    <t>Z6 g</t>
  </si>
  <si>
    <t>Z6 lo</t>
  </si>
  <si>
    <t>Z6 hi</t>
  </si>
  <si>
    <t>Z7 mid</t>
  </si>
  <si>
    <t>Z7 g</t>
  </si>
  <si>
    <t>Z7 lo</t>
  </si>
  <si>
    <t>Z7 hi</t>
  </si>
  <si>
    <t>Z8 mid</t>
  </si>
  <si>
    <t>Z8 g</t>
  </si>
  <si>
    <t>Z8 lo</t>
  </si>
  <si>
    <t>Z8 hi</t>
  </si>
  <si>
    <t>Z9 mid</t>
  </si>
  <si>
    <t>Z9 g</t>
  </si>
  <si>
    <t>Z9 lo</t>
  </si>
  <si>
    <t>Z9 hi</t>
  </si>
  <si>
    <t>Z10 mid</t>
  </si>
  <si>
    <t>Z10 g</t>
  </si>
  <si>
    <t>Z10 lo</t>
  </si>
  <si>
    <t>Z10 hi</t>
  </si>
  <si>
    <t>Z11 mid</t>
  </si>
  <si>
    <t>Z11 g</t>
  </si>
  <si>
    <t>Z11 lo</t>
  </si>
  <si>
    <t>Z11 hi</t>
  </si>
  <si>
    <t>Z12 mid</t>
  </si>
  <si>
    <t>Z12 g</t>
  </si>
  <si>
    <t>Z12 lo</t>
  </si>
  <si>
    <t>Z12 hi</t>
  </si>
  <si>
    <t>Z13 mid</t>
  </si>
  <si>
    <t>Z13 g</t>
  </si>
  <si>
    <t>Z13 lo</t>
  </si>
  <si>
    <t>Z13 hi</t>
  </si>
  <si>
    <t>Z14 mid</t>
  </si>
  <si>
    <t>Z14 g</t>
  </si>
  <si>
    <t>Z14 lo</t>
  </si>
  <si>
    <t>Z14 hi</t>
  </si>
  <si>
    <t>Z15 mid</t>
  </si>
  <si>
    <t>Z15 g</t>
  </si>
  <si>
    <t>Z15 lo</t>
  </si>
  <si>
    <t>Z15 hi</t>
  </si>
  <si>
    <t>Z16 mid</t>
  </si>
  <si>
    <t>Z16 g</t>
  </si>
  <si>
    <t>Z16 lo</t>
  </si>
  <si>
    <t>Z16 hi</t>
  </si>
  <si>
    <t>Z17 mid</t>
  </si>
  <si>
    <t>Z17 g</t>
  </si>
  <si>
    <t>Z17 lo</t>
  </si>
  <si>
    <t>Z17 hi</t>
  </si>
  <si>
    <t>Z18 mid</t>
  </si>
  <si>
    <t>Z18 g</t>
  </si>
  <si>
    <t>Z18 lo</t>
  </si>
  <si>
    <t>Z18 hi</t>
  </si>
  <si>
    <t>Z19 mid</t>
  </si>
  <si>
    <t>Z19 g</t>
  </si>
  <si>
    <t>Z19 lo</t>
  </si>
  <si>
    <t>Z19 hi</t>
  </si>
  <si>
    <t>Z20 mid</t>
  </si>
  <si>
    <t>Z20 g</t>
  </si>
  <si>
    <t>Z20 lo</t>
  </si>
  <si>
    <t>Z20 hi</t>
  </si>
  <si>
    <t>Z21 mid</t>
  </si>
  <si>
    <t>Z21 g</t>
  </si>
  <si>
    <t>Z21 lo</t>
  </si>
  <si>
    <t>Z21 hi</t>
  </si>
  <si>
    <t>Z22 mid</t>
  </si>
  <si>
    <t>Z22 g</t>
  </si>
  <si>
    <t>Z22 lo</t>
  </si>
  <si>
    <t>Z22 hi</t>
  </si>
  <si>
    <t>Z23 mid</t>
  </si>
  <si>
    <t>Z23 g</t>
  </si>
  <si>
    <t>Z23 lo</t>
  </si>
  <si>
    <t>Z23 hi</t>
  </si>
  <si>
    <t>Z24 mid</t>
  </si>
  <si>
    <t>Z24 g</t>
  </si>
  <si>
    <t>Z24 lo</t>
  </si>
  <si>
    <t>Z24 hi</t>
  </si>
  <si>
    <t>Z25 mid</t>
  </si>
  <si>
    <t>Z25 g</t>
  </si>
  <si>
    <t>Z25 lo</t>
  </si>
  <si>
    <t>Z25 hi</t>
  </si>
  <si>
    <t>Z26 mid</t>
  </si>
  <si>
    <t>Z26 g</t>
  </si>
  <si>
    <t>Z26 lo</t>
  </si>
  <si>
    <t>Z26 hi</t>
  </si>
  <si>
    <t>Z27 mid</t>
  </si>
  <si>
    <t>Z27 g</t>
  </si>
  <si>
    <t>Z27 lo</t>
  </si>
  <si>
    <t>Z27 hi</t>
  </si>
  <si>
    <t>Z28 mid</t>
  </si>
  <si>
    <t>Z28 g</t>
  </si>
  <si>
    <t>Z28 lo</t>
  </si>
  <si>
    <t>Z28 hi</t>
  </si>
  <si>
    <t>Z29 mid</t>
  </si>
  <si>
    <t>Z29 g</t>
  </si>
  <si>
    <t>Z29 lo</t>
  </si>
  <si>
    <t>Z29 hi</t>
  </si>
  <si>
    <t>Z30 mid</t>
  </si>
  <si>
    <t>Z30 g</t>
  </si>
  <si>
    <t>Z30 lo</t>
  </si>
  <si>
    <t>Z30 hi</t>
  </si>
  <si>
    <t>Z31 mid</t>
  </si>
  <si>
    <t>Z31 g</t>
  </si>
  <si>
    <t>Z31 lo</t>
  </si>
  <si>
    <t>Z31 hi</t>
  </si>
  <si>
    <t>Z32 mid</t>
  </si>
  <si>
    <t>Z32 g</t>
  </si>
  <si>
    <t>Z32 lo</t>
  </si>
  <si>
    <t>Z32 hi</t>
  </si>
  <si>
    <t>Power k*</t>
  </si>
  <si>
    <t>Shin z*</t>
  </si>
  <si>
    <t>WINS|Boston Celtics|51.5</t>
  </si>
  <si>
    <t>WINS|Detroit Pistons|49.5</t>
  </si>
  <si>
    <t>WINS|New York Knicks|52.5</t>
  </si>
  <si>
    <t>WINS|Philadelphia 76ers|50.5</t>
  </si>
  <si>
    <t>WINS|Oklahoma City Thunder|61.5</t>
  </si>
  <si>
    <t>WINS|San Antonio Spurs|59.5</t>
  </si>
  <si>
    <t>WINS|Atlanta Hawks|44.5</t>
  </si>
  <si>
    <t>WINS|Milwaukee Bucks|25.5</t>
  </si>
  <si>
    <t>WINS|Orlando Magic|43.5</t>
  </si>
  <si>
    <t>WINS|Washington Wizards|35.5</t>
  </si>
  <si>
    <t>WINS|Brooklyn Nets|24.5</t>
  </si>
  <si>
    <t>WINS|Charlotte Hornets|39.5</t>
  </si>
  <si>
    <t>WINS|Chicago Bulls|28.5</t>
  </si>
  <si>
    <t>WINS|Miami Heat|46.5</t>
  </si>
  <si>
    <t>WINS|Minnesota Timberwolves|47.5</t>
  </si>
  <si>
    <t>WINS|Toronto Raptors|45.5</t>
  </si>
  <si>
    <t>WINS|Indiana Pacers|44.5</t>
  </si>
  <si>
    <t>WINS|Memphis Grizzlies|28.5</t>
  </si>
  <si>
    <t>WINS|New Orleans Pelicans|28.5</t>
  </si>
  <si>
    <t>WINS|Utah Jazz|37.5</t>
  </si>
  <si>
    <t>WINS|Dallas Mavericks|34.5</t>
  </si>
  <si>
    <t>WINS|Houston Rockets|47.5</t>
  </si>
  <si>
    <t>WINS|Golden State Warriors|39.5</t>
  </si>
  <si>
    <t>WINS|Los Angeles Lakers|45.5</t>
  </si>
  <si>
    <t>WINS|Phoenix Suns|39.5</t>
  </si>
  <si>
    <t>WINS|Portland Trail Blazers|42.5</t>
  </si>
  <si>
    <t>WINS|Los Angeles Clippers|29.5</t>
  </si>
  <si>
    <t>WINS|Sacramento Kings|20.5</t>
  </si>
  <si>
    <t>WINS|Cleveland Cavaliers|47.5</t>
  </si>
  <si>
    <t>WINS|Denver Nuggets|49.5</t>
  </si>
  <si>
    <t>PLAYOFFS|Boston Celtics</t>
  </si>
  <si>
    <t>PLAYOFFS|Detroit Pistons</t>
  </si>
  <si>
    <t>PLAYOFFS|New York Knicks</t>
  </si>
  <si>
    <t>PLAYOFFS|Philadelphia 76ers</t>
  </si>
  <si>
    <t>PLAYOFFS|Oklahoma City Thunder</t>
  </si>
  <si>
    <t>PLAYOFFS|San Antonio Spurs</t>
  </si>
  <si>
    <t>PLAYOFFS|Atlanta Hawks</t>
  </si>
  <si>
    <t>PLAYOFFS|Milwaukee Bucks</t>
  </si>
  <si>
    <t>PLAYOFFS|Orlando Magic</t>
  </si>
  <si>
    <t>PLAYOFFS|Washington Wizards</t>
  </si>
  <si>
    <t>PLAYOFFS|Brooklyn Nets</t>
  </si>
  <si>
    <t>PLAYOFFS|Charlotte Hornets</t>
  </si>
  <si>
    <t>PLAYOFFS|Chicago Bulls</t>
  </si>
  <si>
    <t>PLAYOFFS|Miami Heat</t>
  </si>
  <si>
    <t>PLAYOFFS|Minnesota Timberwolves</t>
  </si>
  <si>
    <t>PLAYOFFS|Indiana Pacers</t>
  </si>
  <si>
    <t>PLAYOFFS|Memphis Grizzlies</t>
  </si>
  <si>
    <t>PLAYOFFS|New Orleans Pelicans</t>
  </si>
  <si>
    <t>PLAYOFFS|Utah Jazz</t>
  </si>
  <si>
    <t>PLAYOFFS|Dallas Mavericks</t>
  </si>
  <si>
    <t>PLAYOFFS|Houston Rockets</t>
  </si>
  <si>
    <t>PLAYOFFS|Los Angeles Lakers</t>
  </si>
  <si>
    <t>PLAYOFFS|Phoenix Suns</t>
  </si>
  <si>
    <t>PLAYOFFS|Portland Trail Blazers</t>
  </si>
  <si>
    <t>PLAYOFFS|Sacramento Kings</t>
  </si>
  <si>
    <t>PLAYOFFS|Cleveland Cavaliers</t>
  </si>
  <si>
    <t>PLAYOFFS|Denver Nuggets</t>
  </si>
  <si>
    <t>M_TeamRatings - player -&gt; team rating build (live). Overrides flow through; minutes are re-scaled to 19,680 per team</t>
  </si>
  <si>
    <t>Team SRS = b0 + b1 x (TeamSum - league mean) + b2 x prior SRS + b3 x continuity x prior SRS (+ override), re-centered to zero-sum; wins = 41 + k x SRS (sums to 1,230).</t>
  </si>
  <si>
    <t>Conf</t>
  </si>
  <si>
    <t>Division</t>
  </si>
  <si>
    <t>TeamSum (minutes-weighted rating)</t>
  </si>
  <si>
    <t>TeamSum - league mean</t>
  </si>
  <si>
    <t>Prior SRS</t>
  </si>
  <si>
    <t>Continuity</t>
  </si>
  <si>
    <t>Raw SRS</t>
  </si>
  <si>
    <t>Team override (SRS)</t>
  </si>
  <si>
    <t>Projected SRS</t>
  </si>
  <si>
    <t>Projected wins</t>
  </si>
  <si>
    <t>ORtg</t>
  </si>
  <si>
    <t>DRtg</t>
  </si>
  <si>
    <t>Net rating</t>
  </si>
  <si>
    <t>Pace</t>
  </si>
  <si>
    <t>Rank - wins</t>
  </si>
  <si>
    <t>Rank - ORtg</t>
  </si>
  <si>
    <t>Rank - DRtg</t>
  </si>
  <si>
    <t>Python wins (reference)</t>
  </si>
  <si>
    <t>Delta vs Python</t>
  </si>
  <si>
    <t>League</t>
  </si>
  <si>
    <t>Player build (links to Raw_Players; overrides applied)</t>
  </si>
  <si>
    <t>Rating</t>
  </si>
  <si>
    <t>Projected minutes</t>
  </si>
  <si>
    <t>Projected mpg</t>
  </si>
  <si>
    <t>Projected games</t>
  </si>
  <si>
    <t>mpg override</t>
  </si>
  <si>
    <t>Effective minutes (pre-scale)</t>
  </si>
  <si>
    <t>Team scale</t>
  </si>
  <si>
    <t>Effective minutes</t>
  </si>
  <si>
    <t>Effective rating</t>
  </si>
  <si>
    <t>Minutes share of 5 slots</t>
  </si>
  <si>
    <t>(placeholder)</t>
  </si>
  <si>
    <t>Contribution</t>
  </si>
  <si>
    <t>M_WinDist - live analytic win distribution (normal approximation) vs sim; reprices when Assumptions / Overrides change</t>
  </si>
  <si>
    <t>Wins ~ Normal(mean, sd), mean = 41 + k x SRS (the calibrated projection; the sim is moment-matched to it): sd^2 = 82 p (1-p) + (82 phi(z) / sigma_game x sigma_team)^2 with p = mean/82, z = NORMSINV(p). Delta flagged when |analytic - sim| &gt; 2pp.</t>
  </si>
  <si>
    <t>Mean wins (live)</t>
  </si>
  <si>
    <t>SD wins</t>
  </si>
  <si>
    <t>P(over) analytic</t>
  </si>
  <si>
    <t>P(under) analytic</t>
  </si>
  <si>
    <t>P(over) sim</t>
  </si>
  <si>
    <t>Delta (pp)</t>
  </si>
  <si>
    <t>Model fair odds - over</t>
  </si>
  <si>
    <t>Model fair odds - under</t>
  </si>
  <si>
    <t>Book over</t>
  </si>
  <si>
    <t>Book under</t>
  </si>
  <si>
    <t>Book fair over (selected)</t>
  </si>
  <si>
    <t>M_Sims - ENGINE OUTPUT (values written by Python; do not edit)</t>
  </si>
  <si>
    <t>2026-10-15T21:35:36+00:00</t>
  </si>
  <si>
    <t>Simulated seasons (N)</t>
  </si>
  <si>
    <t>Seed</t>
  </si>
  <si>
    <t>Engine assumptions hash</t>
  </si>
  <si>
    <t>30ca9e5eb89d8e39</t>
  </si>
  <si>
    <t>Sim assumptions key (stored)</t>
  </si>
  <si>
    <t>3.5000|1.8857|13.4864|0.5000|0.2809|0.0000|1.0000|0.5764|0.0700|16.0000|0.0000|1.0000|-0.0341|1.0777|-0.1703|0.1348|2.4403</t>
  </si>
  <si>
    <t>Status</t>
  </si>
  <si>
    <t>Engine Tier 1 count</t>
  </si>
  <si>
    <t>Engine Tier 2 (full card) count</t>
  </si>
  <si>
    <t>Team probabilities (100,000 simulated seasons)</t>
  </si>
  <si>
    <t>Mean wins</t>
  </si>
  <si>
    <t>P(top-10 in conf)</t>
  </si>
  <si>
    <t>P(16-team playoffs)</t>
  </si>
  <si>
    <t>P(top-6 seed)</t>
  </si>
  <si>
    <t>P(division)</t>
  </si>
  <si>
    <t>P(conference)</t>
  </si>
  <si>
    <t>P(title)</t>
  </si>
  <si>
    <t>P(Cup group)</t>
  </si>
  <si>
    <t>P(Cup)</t>
  </si>
  <si>
    <t>P(#1 pick)</t>
  </si>
  <si>
    <t>P(top-4 pick)</t>
  </si>
  <si>
    <t>P(top-5 pick)</t>
  </si>
  <si>
    <t>P(lottery)</t>
  </si>
  <si>
    <t>Mean pick</t>
  </si>
  <si>
    <t>MC SE title</t>
  </si>
  <si>
    <t>MC SE top-10</t>
  </si>
  <si>
    <t>P(conf rank 1)</t>
  </si>
  <si>
    <t>P(conf rank 2)</t>
  </si>
  <si>
    <t>P(conf rank 3)</t>
  </si>
  <si>
    <t>P(conf rank 4)</t>
  </si>
  <si>
    <t>P(conf rank 5)</t>
  </si>
  <si>
    <t>P(conf rank 6)</t>
  </si>
  <si>
    <t>P(conf rank 7)</t>
  </si>
  <si>
    <t>P(conf rank 8)</t>
  </si>
  <si>
    <t>P(conf rank 9)</t>
  </si>
  <si>
    <t>P(conf rank 10)</t>
  </si>
  <si>
    <t>P(conf rank 11)</t>
  </si>
  <si>
    <t>P(conf rank 12)</t>
  </si>
  <si>
    <t>P(conf rank 13)</t>
  </si>
  <si>
    <t>P(conf rank 14)</t>
  </si>
  <si>
    <t>P(conf rank 15)</t>
  </si>
  <si>
    <t>Distribution of season wins P(W = w)</t>
  </si>
  <si>
    <t>Team \ wins</t>
  </si>
  <si>
    <t>Edge confidence intervals / robustness / portfolio Kelly per odds row (engine output)</t>
  </si>
  <si>
    <t>EV CI low (80%)</t>
  </si>
  <si>
    <t>EV CI high (80%)</t>
  </si>
  <si>
    <t>P(EV&gt;0) over parameter draws</t>
  </si>
  <si>
    <t>Alt-definition EV</t>
  </si>
  <si>
    <t>Alt EV CI low</t>
  </si>
  <si>
    <t>Alt EV CI high</t>
  </si>
  <si>
    <t>Robust OK</t>
  </si>
  <si>
    <t>EV kappa=0</t>
  </si>
  <si>
    <t>EV kappa=1.57</t>
  </si>
  <si>
    <t>EV sigma-10%</t>
  </si>
  <si>
    <t>EV sigma+10%</t>
  </si>
  <si>
    <t>Portfolio Kelly (frac of bankroll)</t>
  </si>
  <si>
    <t>Bottom-10 projected</t>
  </si>
  <si>
    <t>EV CI low - zero-sum model (WINS)</t>
  </si>
  <si>
    <t>Static block (miscalibrated EV bucket / compression rule)</t>
  </si>
  <si>
    <t>Tier 1 static OK (direction rule + named driver)</t>
  </si>
  <si>
    <t>Tier 1 portfolio Kelly (frac, engine cap)</t>
  </si>
  <si>
    <t>Tier 1 named driver</t>
  </si>
  <si>
    <t>Jalen Wilson gone (859 min at -5.6 BPM last year; +1.3 SRS)</t>
  </si>
  <si>
    <t>Rob Dillingham gone (644 min at -7.3 BPM last year; +1.3 SRS)</t>
  </si>
  <si>
    <t>LeBron James gone (1989 min at +3.5 BPM last year; -1.9 SRS)</t>
  </si>
  <si>
    <t>Giannis Antetokounmpo projected 53 games (injury/age history; costs 1.8 SRS vs full health)</t>
  </si>
  <si>
    <t>Julius Randle gone (2610 min at +1.5 BPM last year; -1.1 SRS)</t>
  </si>
  <si>
    <t>Micah Peavy gone (913 min at -5.2 BPM last year; +1.3 SRS) | Jordan Hawkins gone (692 min at -6.2 BPM last year; +1.2 SRS)</t>
  </si>
  <si>
    <t>Mitchell Robinson gone (1175 min at +3.5 BPM last year; -1.1 SRS)</t>
  </si>
  <si>
    <t>Isaiah Joe gone (1507 min at +2.5 BPM last year; -1.0 SRS)</t>
  </si>
  <si>
    <t>Kawhi Leonard rated +6.1 (DARKO +6.3), 30 mpg, 56 g (new to team; +2.8 SRS vs 2025-26) | Gradey Dick gone (1067 min at -3.6 BPM last year; +1.0 SRS)</t>
  </si>
  <si>
    <t>M_Lottery2027 - 3-2-1 lottery rules, restrictions, pick ownership, per-team pick distribution</t>
  </si>
  <si>
    <t>Rule</t>
  </si>
  <si>
    <t>Detail</t>
  </si>
  <si>
    <t>Source</t>
  </si>
  <si>
    <t>Teams in lottery</t>
  </si>
  <si>
    <t>16 (10 non-play-in, four #9/#10 seeds, two 7v8 play-in losers)</t>
  </si>
  <si>
    <t>NBA.com 5/28/2026</t>
  </si>
  <si>
    <t>Balls</t>
  </si>
  <si>
    <t>37: 3 worst x2; 4th-10th worst x3; #9/#10 seeds x2 (4 teams); 7v8 losers x1 (2 teams)</t>
  </si>
  <si>
    <t>NBA.com, ESPN, Hoops Rumors</t>
  </si>
  <si>
    <t>Draws</t>
  </si>
  <si>
    <t>All 16 picks drawn (lottery_n_draws = 16)</t>
  </si>
  <si>
    <t>NBA.com, Tankathon</t>
  </si>
  <si>
    <t>Floor</t>
  </si>
  <si>
    <t>Three worst records cannot fall below #12; others no lower than #16</t>
  </si>
  <si>
    <t>NBA.com</t>
  </si>
  <si>
    <t>Restrictions</t>
  </si>
  <si>
    <t>No #1 in consecutive drafts; no top-5 in three straight; apply to the ORIGINAL team's pick even if traded</t>
  </si>
  <si>
    <t>NBA.com, ESPN</t>
  </si>
  <si>
    <t>2027 restricted</t>
  </si>
  <si>
    <t>UTA: no top-5 (top-5 in 2025 and 2026). WAS: no #1 (won 2026 lottery)</t>
  </si>
  <si>
    <t>bbref draft history + ESPN</t>
  </si>
  <si>
    <t>Trade deadline</t>
  </si>
  <si>
    <t>Thursday Feb 11, 2027, 3:00 pm ET (tank module evaluation point)</t>
  </si>
  <si>
    <t>NBA.com key dates</t>
  </si>
  <si>
    <t>7v8 loser keeps ball if it wins the 8-seed game</t>
  </si>
  <si>
    <t>Assumption (default yes) - not stated explicitly</t>
  </si>
  <si>
    <t>Per-team 2027 pick distribution (sim) and ownership</t>
  </si>
  <si>
    <t>P(#1)</t>
  </si>
  <si>
    <t>P(top-4)</t>
  </si>
  <si>
    <t>P(top-5)</t>
  </si>
  <si>
    <t>Pick owner / status</t>
  </si>
  <si>
    <t>Protection / swap detail</t>
  </si>
  <si>
    <t>Tank-incentive factor (kprot)</t>
  </si>
  <si>
    <t>Reconciliation discrepancy</t>
  </si>
  <si>
    <t>traded</t>
  </si>
  <si>
    <t>none listed | nan</t>
  </si>
  <si>
    <t>none</t>
  </si>
  <si>
    <t>own+swap_rights_out</t>
  </si>
  <si>
    <t>none | Houston has right to swap own 2027 1st for Brooklyn's (confirmed OverTheApron ledger)</t>
  </si>
  <si>
    <t>own</t>
  </si>
  <si>
    <t>nan | nan</t>
  </si>
  <si>
    <t>none | 3-way: MEM gets best of CLE/MIN/UTA; UTA gets 2nd best; PHX gets worst. If UTA pick is top-5 UTA keeps it and MEM gets better of CLE/MIN, PHX the worse</t>
  </si>
  <si>
    <t>top-2 protected | If protected DAL sends MIA 2028 2nd to CHA</t>
  </si>
  <si>
    <t>top-5 protected | See OKC/LAC/TOR cluster; if top-5 OKC gets better of those two and DEN owes 2028 1st (top-5 prot) to OKC</t>
  </si>
  <si>
    <t>own+swap_rights</t>
  </si>
  <si>
    <t>none | nan</t>
  </si>
  <si>
    <t>swap_rights_out</t>
  </si>
  <si>
    <t>none | LAC receives better of: worst of (LAC,OKC,DEN-topprot5) vs TOR pick; TOR gets the lesser</t>
  </si>
  <si>
    <t>POST-SEP-1 TRADE: LAC-TOR dated 9/14/2026 in RealGM; HR snapshot dated 9/11 already describes TOR swap; semantics match (verify no later edit)</t>
  </si>
  <si>
    <t>top-4 protected | If protected LAL sends 2027 2nd to MEM</t>
  </si>
  <si>
    <t>top-14 protected | If protected MIA sends unprotected 2028 1st to CHA</t>
  </si>
  <si>
    <t>if both MIL &amp; NOP picks top-4, NOP gets both | NOP gets better of NOP/MIL; ATL gets worse</t>
  </si>
  <si>
    <t>none | see CLE</t>
  </si>
  <si>
    <t>if both NOP &amp; MIL top-4 NOP gets both | NOP gets better of NOP/MIL; ATL gets worse</t>
  </si>
  <si>
    <t>none | OKC gets two most favorable of: OKC, LAC, DEN(top-5 prot)</t>
  </si>
  <si>
    <t>none | SAC gets SAS pick if 1-16, OKC if 17-30; if SAC gets it SAC sends 2027 2nd + CHA 2027 2nd to OKC</t>
  </si>
  <si>
    <t>POST-SEP-1 TRADE (see LAC)</t>
  </si>
  <si>
    <t>conditional</t>
  </si>
  <si>
    <t>top-5 protected | see CLE</t>
  </si>
  <si>
    <t>wording only (protected vs barred); effect identical; 3-2-1 restriction makes protection moot</t>
  </si>
  <si>
    <t>M_Players - player markets (G4): stat leaders, MVP, DPOY, ROY</t>
  </si>
  <si>
    <t>Probabilities are simulation outputs (100k season sims; 80% interval = season-block bootstrap of the rate/award fits); EV, shrunk EV and the Tier tests are live formulas on Assumptions. Stat-leader probabilities are sharpened p^gamma (gamma from leave-one-season-out CV; see Backtest notes / G6 report). TPG = three-pointers made per game. Display-only markets (MIP, 6MOY, COY, Clutch, Cup MVP) are on S_Markets.</t>
  </si>
  <si>
    <t>Tier 1 here = Tier 2 test + fair &gt;= A_t1_fair + edge survives A_t1_shrink; stakes are multi-outcome fractional Kelly on the shrunk probability within each market (cap 3% per market); Tier 2 stakes are not shown.</t>
  </si>
  <si>
    <t>Engine Tier 1 count (players)</t>
  </si>
  <si>
    <t>Fair prob (Shin)</t>
  </si>
  <si>
    <t>Model prob</t>
  </si>
  <si>
    <t>Model p 10th pct</t>
  </si>
  <si>
    <t>Model p 90th pct</t>
  </si>
  <si>
    <t>EV (model)</t>
  </si>
  <si>
    <t>EV (shrunk)</t>
  </si>
  <si>
    <t>EV lo (shrunk)</t>
  </si>
  <si>
    <t>Worst scenario EV (shrunk)</t>
  </si>
  <si>
    <t>Tier 2</t>
  </si>
  <si>
    <t>Tier 1</t>
  </si>
  <si>
    <t>Tier 1 stake (frac)</t>
  </si>
  <si>
    <t>Tier 1 stake ($)</t>
  </si>
  <si>
    <t>Proj mpg</t>
  </si>
  <si>
    <t>Proj games</t>
  </si>
  <si>
    <t>Driver</t>
  </si>
  <si>
    <t>Tier 1 holds at sharpening-exponent CI bounds (engine)</t>
  </si>
  <si>
    <t>rating +7.9; proj 20.8p/9.7r/2.9a/0.9s/2.8b in 27 mpg; 60 games</t>
  </si>
  <si>
    <t>rating +8.5; proj 29.2p/4.4r/6.0a/1.5s/0.8b in 32 mpg; 63 games</t>
  </si>
  <si>
    <t>rating +10.4; proj 23.4p/10.7r/8.5a/1.3s/0.7b in 30 mpg; 61 games</t>
  </si>
  <si>
    <t>rating +6.8; proj 29.2p/7.4r/7.6a/1.5s/0.5b in 33 mpg; 60 games</t>
  </si>
  <si>
    <t>rating +6.8; proj 23.2p/8.8r/4.8a/0.8s/0.8b in 26 mpg; 53 games</t>
  </si>
  <si>
    <t>rating +4.6; proj 23.1p/8.0r/4.9a/1.0s/0.5b in 32 mpg; 50 games</t>
  </si>
  <si>
    <t>rating +4.6; proj 26.1p/5.0r/4.0a/1.2s/0.6b in 34 mpg; 62 games</t>
  </si>
  <si>
    <t>rating +4.5; proj 22.0p/5.0r/8.3a/1.1s/0.7b in 31 mpg; 62 games</t>
  </si>
  <si>
    <t>rating +3.5; proj 20.8p/2.6r/5.5a/0.7s/0.1b in 28 mpg; 63 games</t>
  </si>
  <si>
    <t>rating +2.1; proj 21.1p/5.2r/3.8a/0.9s/0.3b in 28 mpg; 63 games</t>
  </si>
  <si>
    <t>rating +4.5; proj 23.8p/4.2r/5.0a/1.3s/0.3b in 30 mpg; 63 games</t>
  </si>
  <si>
    <t>rating +4.4; proj 17.3p/3.4r/8.6a/1.2s/0.6b in 30 mpg; 52 games</t>
  </si>
  <si>
    <t>rating +3.7; proj 22.2p/3.2r/5.2a/1.4s/0.5b in 31 mpg; 62 games</t>
  </si>
  <si>
    <t>rating +1.3; proj 16.8p/5.3r/3.6a/1.0s/0.7b in 27 mpg; 64 games</t>
  </si>
  <si>
    <t>rating +6.1; proj 23.6p/5.7r/3.2a/1.6s/0.5b in 30 mpg; 56 games</t>
  </si>
  <si>
    <t>rating +4.1; proj 21.3p/6.6r/3.4a/0.6s/1.0b in 25 mpg; 49 games</t>
  </si>
  <si>
    <t>rating +3.4; proj 23.4p/3.8r/4.9a/1.0s/0.4b in 29 mpg; 52 games</t>
  </si>
  <si>
    <t>rating +2.1; proj 22.4p/3.5r/5.6a/0.8s/0.3b in 30 mpg; 62 games</t>
  </si>
  <si>
    <t>rating +3.4; proj 24.0p/5.4r/4.3a/0.8s/0.9b in 34 mpg; 60 games</t>
  </si>
  <si>
    <t>rating +3.7; proj 19.9p/4.5r/6.6a/1.1s/0.2b in 27 mpg; 62 games</t>
  </si>
  <si>
    <t>rating +2.6; proj 18.7p/5.6r/6.2a/0.9s/0.5b in 28 mpg; 54 games</t>
  </si>
  <si>
    <t>rating +3.5; proj 17.3p/7.2r/5.4a/1.3s/1.2b in 31 mpg; 66 games</t>
  </si>
  <si>
    <t>rating +2.3; proj 19.7p/6.9r/5.1a/0.8s/0.5b in 31 mpg; 63 games</t>
  </si>
  <si>
    <t>rating +2.4; proj 16.7p/7.9r/5.3a/1.0s/0.5b in 28 mpg; 61 games</t>
  </si>
  <si>
    <t>rating +1.4; proj 19.5p/6.8r/4.3a/0.7s/0.5b in 30 mpg; 62 games</t>
  </si>
  <si>
    <t>rating +2.4; proj 16.9p/4.7r/3.0a/0.8s/0.5b in 23 mpg; 58 games</t>
  </si>
  <si>
    <t>rating +3.1; proj 19.8p/3.6r/5.6a/0.9s/0.4b in 30 mpg; 64 games</t>
  </si>
  <si>
    <t>rating +2.5; proj 17.3p/8.7r/2.5a/0.9s/1.5b in 25 mpg; 50 games</t>
  </si>
  <si>
    <t>rating +4.3; proj 15.5p/8.0r/1.8a/0.6s/1.8b in 27 mpg; 60 games</t>
  </si>
  <si>
    <t>rating +1.8; proj 9.0p/5.1r/2.5a/1.5s/0.8b in 23 mpg; 64 games</t>
  </si>
  <si>
    <t>rating +1.8; proj 11.3p/10.9r/1.6a/0.7s/1.5b in 31 mpg; 63 games</t>
  </si>
  <si>
    <t>rating +3.2; proj 16.2p/8.3r/3.1a/0.7s/1.5b in 28 mpg; 63 games</t>
  </si>
  <si>
    <t>rating +2.6; proj 15.6p/8.0r/2.9a/1.0s/0.6b in 27 mpg; 64 games</t>
  </si>
  <si>
    <t>rating +2.5; proj 13.4p/4.0r/1.8a/1.2s/0.6b in 27 mpg; 63 games</t>
  </si>
  <si>
    <t>rating +2.6; proj 14.5p/7.0r/4.2a/1.3s/0.7b in 31 mpg; 66 games</t>
  </si>
  <si>
    <t>rating +1.3; proj 16.9p/4.7r/1.7a/0.9s/1.2b in 25 mpg; 58 games</t>
  </si>
  <si>
    <t>rating +1.7; proj 9.6p/4.9r/4.1a/1.7s/0.4b in 26 mpg; 66 games</t>
  </si>
  <si>
    <t>rating +1.1; proj 9.6p/9.2r/1.5a/0.6s/1.9b in 25 mpg; 46 games</t>
  </si>
  <si>
    <t>rating +0.2; proj 12.7p/4.4r/2.2a/1.1s/0.9b in 30 mpg; 66 games</t>
  </si>
  <si>
    <t>rating +1.2; proj 13.7p/10.2r/2.1a/0.5s/0.9b in 28 mpg; 58 games</t>
  </si>
  <si>
    <t>rating +2.0; proj 10.1p/9.9r/1.8a/0.6s/1.5b in 24 mpg; 66 games</t>
  </si>
  <si>
    <t>rating +1.9; proj 7.9p/2.9r/2.3a/1.6s/0.4b in 24 mpg; 66 games</t>
  </si>
  <si>
    <t>rating +0.8; proj 10.1p/3.4r/2.0a/0.7s/0.3b in 23 mpg; 71 games</t>
  </si>
  <si>
    <t>rating -1.9; proj 10.6p/3.5r/2.1a/0.7s/0.3b in 24 mpg; 77 games</t>
  </si>
  <si>
    <t>rating -0.4; proj 9.9p/3.3r/2.0a/0.7s/0.3b in 23 mpg; 67 games</t>
  </si>
  <si>
    <t>rating -1.8; proj 10.4p/3.5r/2.1a/0.7s/0.3b in 24 mpg; 80 games</t>
  </si>
  <si>
    <t>rating -2.8; proj 9.2p/3.1r/1.8a/0.6s/0.3b in 21 mpg; 60 games</t>
  </si>
  <si>
    <t>rating +0.5; proj 8.7p/2.9r/1.7a/0.6s/0.3b in 20 mpg; 54 games</t>
  </si>
  <si>
    <t>rating -3.1; proj 9.8p/3.3r/2.0a/0.7s/0.3b in 23 mpg; 62 games</t>
  </si>
  <si>
    <t>rating -1.1; proj 9.5p/3.2r/1.9a/0.6s/0.3b in 22 mpg; 64 games</t>
  </si>
  <si>
    <t>proj PPG 29.2 in 33 mpg; 60 games projected; model rival Shai Gilgeous-Alexander 29.2 (p=35%)</t>
  </si>
  <si>
    <t>proj PPG 29.2 in 32 mpg; 63 games projected; model rival Luka Doncic 29.2 (p=32%)</t>
  </si>
  <si>
    <t>proj PPG 26.1 in 34 mpg; 62 games projected; model rival Shai Gilgeous-Alexander 29.2 (p=35%)</t>
  </si>
  <si>
    <t>proj PPG 23.2 in 26 mpg; 53 games projected; model rival Shai Gilgeous-Alexander 29.2 (p=35%)</t>
  </si>
  <si>
    <t>proj PPG 23.1 in 32 mpg; 50 games projected; model rival Shai Gilgeous-Alexander 29.2 (p=35%)</t>
  </si>
  <si>
    <t>proj PPG 23.4 in 30 mpg; 61 games projected; model rival Shai Gilgeous-Alexander 29.2 (p=35%)</t>
  </si>
  <si>
    <t>proj PPG 20.8 in 27 mpg; 60 games projected; model rival Shai Gilgeous-Alexander 29.2 (p=35%)</t>
  </si>
  <si>
    <t>proj PPG 23.8 in 30 mpg; 63 games projected; model rival Shai Gilgeous-Alexander 29.2 (p=35%)</t>
  </si>
  <si>
    <t>proj PPG 20.8 in 28 mpg; 63 games projected; model rival Shai Gilgeous-Alexander 29.2 (p=35%)</t>
  </si>
  <si>
    <t>proj PPG 22.4 in 30 mpg; 62 games projected; model rival Shai Gilgeous-Alexander 29.2 (p=35%)</t>
  </si>
  <si>
    <t>proj PPG 22.2 in 31 mpg; 62 games projected; model rival Shai Gilgeous-Alexander 29.2 (p=35%)</t>
  </si>
  <si>
    <t>proj PPG 24.0 in 34 mpg; 60 games projected; model rival Shai Gilgeous-Alexander 29.2 (p=35%)</t>
  </si>
  <si>
    <t>proj PPG 21.1 in 28 mpg; 63 games projected; model rival Shai Gilgeous-Alexander 29.2 (p=35%)</t>
  </si>
  <si>
    <t>proj PPG 23.4 in 29 mpg; 52 games projected; model rival Shai Gilgeous-Alexander 29.2 (p=35%)</t>
  </si>
  <si>
    <t>proj PPG 23.6 in 30 mpg; 56 games projected; model rival Shai Gilgeous-Alexander 29.2 (p=35%)</t>
  </si>
  <si>
    <t>proj PPG 22.0 in 31 mpg; 62 games projected; model rival Shai Gilgeous-Alexander 29.2 (p=35%)</t>
  </si>
  <si>
    <t>proj PPG 21.3 in 25 mpg; 49 games projected; model rival Shai Gilgeous-Alexander 29.2 (p=35%)</t>
  </si>
  <si>
    <t>proj PPG 18.9 in 32 mpg; 59 games projected; model rival Shai Gilgeous-Alexander 29.2 (p=35%)</t>
  </si>
  <si>
    <t>proj PPG 18.8 in 30 mpg; 63 games projected; model rival Shai Gilgeous-Alexander 29.2 (p=35%)</t>
  </si>
  <si>
    <t>proj PPG 19.8 in 30 mpg; 64 games projected; model rival Shai Gilgeous-Alexander 29.2 (p=35%)</t>
  </si>
  <si>
    <t>proj PPG 19.7 in 31 mpg; 63 games projected; model rival Shai Gilgeous-Alexander 29.2 (p=35%)</t>
  </si>
  <si>
    <t>proj RPG 10.7 in 30 mpg; 61 games projected; model rival Rudy Gobert 10.9 (p=26%)</t>
  </si>
  <si>
    <t>proj RPG 9.7 in 27 mpg; 60 games projected; model rival Rudy Gobert 10.9 (p=26%)</t>
  </si>
  <si>
    <t>proj RPG 9.2 in 26 mpg; 64 games projected; model rival Rudy Gobert 10.9 (p=26%)</t>
  </si>
  <si>
    <t>proj RPG 9.9 in 24 mpg; 66 games projected; model rival Rudy Gobert 10.9 (p=26%)</t>
  </si>
  <si>
    <t>proj RPG 11.4 in 30 mpg; 53 games projected; model rival Rudy Gobert 10.9 (p=26%)</t>
  </si>
  <si>
    <t>proj RPG 10.9 in 31 mpg; 63 games projected; model rival Domantas Sabonis 11.4 (p=21%)</t>
  </si>
  <si>
    <t>proj RPG 6.8 in 18 mpg; 49 games projected; model rival Rudy Gobert 10.9 (p=26%)</t>
  </si>
  <si>
    <t>proj RPG 9.2 in 25 mpg; 46 games projected; model rival Rudy Gobert 10.9 (p=26%)</t>
  </si>
  <si>
    <t>proj RPG 8.7 in 25 mpg; 50 games projected; model rival Rudy Gobert 10.9 (p=26%)</t>
  </si>
  <si>
    <t>proj RPG 6.5 in 17 mpg; 65 games projected; model rival Rudy Gobert 10.9 (p=26%)</t>
  </si>
  <si>
    <t>proj RPG 8.8 in 26 mpg; 53 games projected; model rival Rudy Gobert 10.9 (p=26%)</t>
  </si>
  <si>
    <t>proj RPG 10.2 in 28 mpg; 58 games projected; model rival Rudy Gobert 10.9 (p=26%)</t>
  </si>
  <si>
    <t>proj RPG 9.6 in 25 mpg; 65 games projected; model rival Rudy Gobert 10.9 (p=26%)</t>
  </si>
  <si>
    <t>proj RPG 7.9 in 28 mpg; 61 games projected; model rival Rudy Gobert 10.9 (p=26%)</t>
  </si>
  <si>
    <t>proj RPG 7.5 in 18 mpg; 56 games projected; model rival Rudy Gobert 10.9 (p=26%)</t>
  </si>
  <si>
    <t>proj RPG 8.7 in 30 mpg; 65 games projected; model rival Rudy Gobert 10.9 (p=26%)</t>
  </si>
  <si>
    <t>proj RPG 5.9 in 17 mpg; 64 games projected; model rival Rudy Gobert 10.9 (p=26%)</t>
  </si>
  <si>
    <t>proj RPG 8.0 in 27 mpg; 64 games projected; model rival Rudy Gobert 10.9 (p=26%)</t>
  </si>
  <si>
    <t>proj RPG 8.0 in 27 mpg; 60 games projected; model rival Rudy Gobert 10.9 (p=26%)</t>
  </si>
  <si>
    <t>proj RPG 8.9 in 24 mpg; 56 games projected; model rival Rudy Gobert 10.9 (p=26%)</t>
  </si>
  <si>
    <t>proj RPG 8.3 in 28 mpg; 63 games projected; model rival Rudy Gobert 10.9 (p=26%)</t>
  </si>
  <si>
    <t>proj RPG 6.2 in 18 mpg; 65 games projected; model rival Rudy Gobert 10.9 (p=26%)</t>
  </si>
  <si>
    <t>proj RPG 7.9 in 21 mpg; 53 games projected; model rival Rudy Gobert 10.9 (p=26%)</t>
  </si>
  <si>
    <t>proj RPG 6.5 in 30 mpg; 64 games projected; model rival Rudy Gobert 10.9 (p=26%)</t>
  </si>
  <si>
    <t>proj APG 8.5 in 30 mpg; 61 games projected; model rival Cade Cunningham 8.3 (p=22%)</t>
  </si>
  <si>
    <t>proj APG 7.8 in 26 mpg; 50 games projected; model rival Nikola Jokic 8.5 (p=26%)</t>
  </si>
  <si>
    <t>proj APG 8.3 in 31 mpg; 62 games projected; model rival Nikola Jokic 8.5 (p=26%)</t>
  </si>
  <si>
    <t>proj APG 8.6 in 30 mpg; 52 games projected; model rival Nikola Jokic 8.5 (p=26%)</t>
  </si>
  <si>
    <t>proj APG 6.4 in 26 mpg; 60 games projected; model rival Nikola Jokic 8.5 (p=26%)</t>
  </si>
  <si>
    <t>proj APG 7.6 in 33 mpg; 60 games projected; model rival Nikola Jokic 8.5 (p=26%)</t>
  </si>
  <si>
    <t>proj APG 7.5 in 32 mpg; 60 games projected; model rival Nikola Jokic 8.5 (p=26%)</t>
  </si>
  <si>
    <t>proj APG 6.2 in 28 mpg; 54 games projected; model rival Nikola Jokic 8.5 (p=26%)</t>
  </si>
  <si>
    <t>proj APG 6.6 in 27 mpg; 62 games projected; model rival Nikola Jokic 8.5 (p=26%)</t>
  </si>
  <si>
    <t>proj APG 5.3 in 28 mpg; 61 games projected; model rival Nikola Jokic 8.5 (p=26%)</t>
  </si>
  <si>
    <t>proj APG 5.6 in 30 mpg; 64 games projected; model rival Nikola Jokic 8.5 (p=26%)</t>
  </si>
  <si>
    <t>proj APG 6.0 in 32 mpg; 63 games projected; model rival Nikola Jokic 8.5 (p=26%)</t>
  </si>
  <si>
    <t>proj APG 5.6 in 26 mpg; 58 games projected; model rival Nikola Jokic 8.5 (p=26%)</t>
  </si>
  <si>
    <t>proj APG 5.2 in 25 mpg; 65 games projected; model rival Nikola Jokic 8.5 (p=26%)</t>
  </si>
  <si>
    <t>proj APG 6.8 in 28 mpg; 52 games projected; model rival Nikola Jokic 8.5 (p=26%)</t>
  </si>
  <si>
    <t>proj APG 5.2 in 31 mpg; 62 games projected; model rival Nikola Jokic 8.5 (p=26%)</t>
  </si>
  <si>
    <t>proj APG 5.4 in 29 mpg; 63 games projected; model rival Nikola Jokic 8.5 (p=26%)</t>
  </si>
  <si>
    <t>proj APG 5.0 in 25 mpg; 45 games projected; model rival Nikola Jokic 8.5 (p=26%)</t>
  </si>
  <si>
    <t>proj SPG 1.5 in 23 mpg; 64 games projected; model rival Dyson Daniels 1.7 (p=20%)</t>
  </si>
  <si>
    <t>proj SPG 1.6 in 24 mpg; 66 games projected; model rival Dyson Daniels 1.7 (p=20%)</t>
  </si>
  <si>
    <t>proj SPG 1.7 in 26 mpg; 66 games projected; model rival Cason Wallace 1.6 (p=10%)</t>
  </si>
  <si>
    <t>proj SPG 1.6 in 18 mpg; 48 games projected; model rival Dyson Daniels 1.7 (p=20%)</t>
  </si>
  <si>
    <t>proj SPG 1.4 in 31 mpg; 62 games projected; model rival Dyson Daniels 1.7 (p=20%)</t>
  </si>
  <si>
    <t>proj SPG 1.1 in 18 mpg; 50 games projected; model rival Dyson Daniels 1.7 (p=20%)</t>
  </si>
  <si>
    <t>proj SPG 1.4 in 24 mpg; 57 games projected; model rival Dyson Daniels 1.7 (p=20%)</t>
  </si>
  <si>
    <t>proj SPG 1.3 in 22 mpg; 65 games projected; model rival Dyson Daniels 1.7 (p=20%)</t>
  </si>
  <si>
    <t>proj SPG 1.2 in 27 mpg; 63 games projected; model rival Dyson Daniels 1.7 (p=20%)</t>
  </si>
  <si>
    <t>proj SPG 1.3 in 31 mpg; 66 games projected; model rival Dyson Daniels 1.7 (p=20%)</t>
  </si>
  <si>
    <t>proj SPG 1.6 in 30 mpg; 56 games projected; model rival Dyson Daniels 1.7 (p=20%)</t>
  </si>
  <si>
    <t>proj SPG 1.2 in 25 mpg; 45 games projected; model rival Dyson Daniels 1.7 (p=20%)</t>
  </si>
  <si>
    <t>proj SPG 1.1 in 21 mpg; 65 games projected; model rival Dyson Daniels 1.7 (p=20%)</t>
  </si>
  <si>
    <t>proj SPG 1.5 in 32 mpg; 63 games projected; model rival Dyson Daniels 1.7 (p=20%)</t>
  </si>
  <si>
    <t>proj SPG 1.0 in 27 mpg; 62 games projected; model rival Dyson Daniels 1.7 (p=20%)</t>
  </si>
  <si>
    <t>proj SPG 1.2 in 23 mpg; 55 games projected; model rival Dyson Daniels 1.7 (p=20%)</t>
  </si>
  <si>
    <t>proj SPG 0.9 in 28 mpg; 67 games projected; model rival Dyson Daniels 1.7 (p=20%)</t>
  </si>
  <si>
    <t>proj SPG 1.5 in 33 mpg; 60 games projected; model rival Dyson Daniels 1.7 (p=20%)</t>
  </si>
  <si>
    <t>proj SPG 1.3 in 20 mpg; 57 games projected; model rival Dyson Daniels 1.7 (p=20%)</t>
  </si>
  <si>
    <t>proj SPG 1.3 in 30 mpg; 61 games projected; model rival Dyson Daniels 1.7 (p=20%)</t>
  </si>
  <si>
    <t>proj SPG 1.1 in 18 mpg; 60 games projected; model rival Dyson Daniels 1.7 (p=20%)</t>
  </si>
  <si>
    <t>proj SPG 1.2 in 29 mpg; 54 games projected; model rival Dyson Daniels 1.7 (p=20%)</t>
  </si>
  <si>
    <t>proj SPG 0.9 in 20 mpg; 64 games projected; model rival Dyson Daniels 1.7 (p=20%)</t>
  </si>
  <si>
    <t>proj SPG 1.0 in 22 mpg; 63 games projected; model rival Dyson Daniels 1.7 (p=20%)</t>
  </si>
  <si>
    <t>proj SPG 1.2 in 34 mpg; 62 games projected; model rival Dyson Daniels 1.7 (p=20%)</t>
  </si>
  <si>
    <t>proj SPG 1.3 in 30 mpg; 63 games projected; model rival Dyson Daniels 1.7 (p=20%)</t>
  </si>
  <si>
    <t>proj SPG 1.0 in 28 mpg; 61 games projected; model rival Dyson Daniels 1.7 (p=20%)</t>
  </si>
  <si>
    <t>proj SPG 1.1 in 30 mpg; 66 games projected; model rival Dyson Daniels 1.7 (p=20%)</t>
  </si>
  <si>
    <t>proj SPG 1.2 in 30 mpg; 52 games projected; model rival Dyson Daniels 1.7 (p=20%)</t>
  </si>
  <si>
    <t>proj SPG 1.0 in 27 mpg; 64 games projected; model rival Dyson Daniels 1.7 (p=20%)</t>
  </si>
  <si>
    <t>proj SPG 0.8 in 24 mpg; 66 games projected; model rival Dyson Daniels 1.7 (p=20%)</t>
  </si>
  <si>
    <t>proj SPG 1.3 in 32 mpg; 30 games projected; model rival Dyson Daniels 1.7 (p=20%)</t>
  </si>
  <si>
    <t>proj SPG 1.2 in 31 mpg; 67 games projected; model rival Dyson Daniels 1.7 (p=20%)</t>
  </si>
  <si>
    <t>proj SPG 1.2 in 23 mpg; 60 games projected; model rival Dyson Daniels 1.7 (p=20%)</t>
  </si>
  <si>
    <t>proj SPG 0.8 in 23 mpg; 63 games projected; model rival Dyson Daniels 1.7 (p=20%)</t>
  </si>
  <si>
    <t>proj SPG 1.5 in 29 mpg; 49 games projected; model rival Dyson Daniels 1.7 (p=20%)</t>
  </si>
  <si>
    <t>proj SPG 1.1 in 27 mpg; 66 games projected; model rival Dyson Daniels 1.7 (p=20%)</t>
  </si>
  <si>
    <t>proj SPG 1.2 in 24 mpg; 56 games projected; model rival Dyson Daniels 1.7 (p=20%)</t>
  </si>
  <si>
    <t>proj SPG 0.9 in 25 mpg; 58 games projected; model rival Dyson Daniels 1.7 (p=20%)</t>
  </si>
  <si>
    <t>proj SPG 1.1 in 27 mpg; 62 games projected; model rival Dyson Daniels 1.7 (p=20%)</t>
  </si>
  <si>
    <t>proj SPG 1.1 in 31 mpg; 62 games projected; model rival Dyson Daniels 1.7 (p=20%)</t>
  </si>
  <si>
    <t>proj SPG 1.1 in 20 mpg; 56 games projected; model rival Dyson Daniels 1.7 (p=20%)</t>
  </si>
  <si>
    <t>proj SPG 1.1 in 32 mpg; 60 games projected; model rival Dyson Daniels 1.7 (p=20%)</t>
  </si>
  <si>
    <t>proj SPG 0.9 in 27 mpg; 60 games projected; model rival Dyson Daniels 1.7 (p=20%)</t>
  </si>
  <si>
    <t>proj SPG 1.0 in 32 mpg; 50 games projected; model rival Dyson Daniels 1.7 (p=20%)</t>
  </si>
  <si>
    <t>proj SPG 0.9 in 27 mpg; 54 games projected; model rival Dyson Daniels 1.7 (p=20%)</t>
  </si>
  <si>
    <t>proj BPG 2.8 in 27 mpg; 60 games projected; model rival Chet Holmgren 1.8 (p=5%)</t>
  </si>
  <si>
    <t>proj BPG 1.9 in 25 mpg; 46 games projected; model rival Victor Wembanyama 2.8 (p=84%)</t>
  </si>
  <si>
    <t>proj BPG 1.8 in 27 mpg; 60 games projected; model rival Victor Wembanyama 2.8 (p=84%)</t>
  </si>
  <si>
    <t>proj BPG 1.3 in 21 mpg; 63 games projected; model rival Victor Wembanyama 2.8 (p=84%)</t>
  </si>
  <si>
    <t>proj BPG 1.0 in 18 mpg; 49 games projected; model rival Victor Wembanyama 2.8 (p=84%)</t>
  </si>
  <si>
    <t>proj BPG 1.5 in 25 mpg; 50 games projected; model rival Victor Wembanyama 2.8 (p=84%)</t>
  </si>
  <si>
    <t>proj BPG 1.5 in 24 mpg; 66 games projected; model rival Victor Wembanyama 2.8 (p=84%)</t>
  </si>
  <si>
    <t>proj BPG 1.2 in 25 mpg; 58 games projected; model rival Victor Wembanyama 2.8 (p=84%)</t>
  </si>
  <si>
    <t>proj BPG 1.5 in 31 mpg; 63 games projected; model rival Victor Wembanyama 2.8 (p=84%)</t>
  </si>
  <si>
    <t>proj BPG 1.5 in 28 mpg; 63 games projected; model rival Victor Wembanyama 2.8 (p=84%)</t>
  </si>
  <si>
    <t>proj BPG 1.3 in 22 mpg; 63 games projected; model rival Victor Wembanyama 2.8 (p=84%)</t>
  </si>
  <si>
    <t>proj BPG 1.1 in 19 mpg; 45 games projected; model rival Victor Wembanyama 2.8 (p=84%)</t>
  </si>
  <si>
    <t>proj BPG 1.1 in 18 mpg; 63 games projected; model rival Victor Wembanyama 2.8 (p=84%)</t>
  </si>
  <si>
    <t>proj BPG 0.8 in 17 mpg; 65 games projected; model rival Victor Wembanyama 2.8 (p=84%)</t>
  </si>
  <si>
    <t>proj BPG 1.1 in 17 mpg; 64 games projected; model rival Victor Wembanyama 2.8 (p=84%)</t>
  </si>
  <si>
    <t>proj BPG 1.3 in 20 mpg; 58 games projected; model rival Victor Wembanyama 2.8 (p=84%)</t>
  </si>
  <si>
    <t>proj BPG 1.2 in 25 mpg; 66 games projected; model rival Victor Wembanyama 2.8 (p=84%)</t>
  </si>
  <si>
    <t>proj BPG 1.0 in 18 mpg; 56 games projected; model rival Victor Wembanyama 2.8 (p=84%)</t>
  </si>
  <si>
    <t>proj BPG 0.9 in 28 mpg; 58 games projected; model rival Victor Wembanyama 2.8 (p=84%)</t>
  </si>
  <si>
    <t>proj BPG 1.3 in 16 mpg; 65 games projected; model rival Victor Wembanyama 2.8 (p=84%)</t>
  </si>
  <si>
    <t>proj BPG 1.1 in 19 mpg; 60 games projected; model rival Victor Wembanyama 2.8 (p=84%)</t>
  </si>
  <si>
    <t>proj BPG 1.2 in 31 mpg; 66 games projected; model rival Victor Wembanyama 2.8 (p=84%)</t>
  </si>
  <si>
    <t>proj BPG 1.1 in 17 mpg; 51 games projected; model rival Victor Wembanyama 2.8 (p=84%)</t>
  </si>
  <si>
    <t>proj BPG 1.3 in 17 mpg; 56 games projected; model rival Victor Wembanyama 2.8 (p=84%)</t>
  </si>
  <si>
    <t>proj BPG 0.8 in 26 mpg; 53 games projected; model rival Victor Wembanyama 2.8 (p=84%)</t>
  </si>
  <si>
    <t>proj BPG 1.3 in 25 mpg; 44 games projected; model rival Victor Wembanyama 2.8 (p=84%)</t>
  </si>
  <si>
    <t>proj BPG 0.8 in 19 mpg; 60 games projected; model rival Victor Wembanyama 2.8 (p=84%)</t>
  </si>
  <si>
    <t>proj BPG 1.0 in 19 mpg; 64 games projected; model rival Victor Wembanyama 2.8 (p=84%)</t>
  </si>
  <si>
    <t>proj BPG 1.0 in 25 mpg; 49 games projected; model rival Victor Wembanyama 2.8 (p=84%)</t>
  </si>
  <si>
    <t>proj BPG 1.1 in 22 mpg; 67 games projected; model rival Victor Wembanyama 2.8 (p=84%)</t>
  </si>
  <si>
    <t>proj TPG 4.1 in 29 mpg; 52 games projected; model rival Luka Doncic 3.5 (p=21%)</t>
  </si>
  <si>
    <t>proj TPG 3.5 in 33 mpg; 60 games projected; model rival Stephen Curry 4.1 (p=33%)</t>
  </si>
  <si>
    <t>proj TPG 3.4 in 27 mpg; 62 games projected; model rival Stephen Curry 4.1 (p=33%)</t>
  </si>
  <si>
    <t>proj TPG 3.2 in 34 mpg; 62 games projected; model rival Stephen Curry 4.1 (p=33%)</t>
  </si>
  <si>
    <t>proj TPG 2.6 in 25 mpg; 68 games projected; model rival Stephen Curry 4.1 (p=33%)</t>
  </si>
  <si>
    <t>proj TPG 2.5 in 26 mpg; 59 games projected; model rival Stephen Curry 4.1 (p=33%)</t>
  </si>
  <si>
    <t>proj TPG 2.7 in 30 mpg; 63 games projected; model rival Stephen Curry 4.1 (p=33%)</t>
  </si>
  <si>
    <t>proj TPG 2.9 in 32 mpg; 50 games projected; model rival Stephen Curry 4.1 (p=33%)</t>
  </si>
  <si>
    <t>proj TPG 2.9 in 30 mpg; 63 games projected; model rival Stephen Curry 4.1 (p=33%)</t>
  </si>
  <si>
    <t>proj TPG 2.3 in 26 mpg; 55 games projected; model rival Stephen Curry 4.1 (p=33%)</t>
  </si>
  <si>
    <t>proj TPG 3.0 in 34 mpg; 30 games projected; model rival Stephen Curry 4.1 (p=33%)</t>
  </si>
  <si>
    <t>proj TPG 2.4 in 27 mpg; 64 games projected; model rival Stephen Curry 4.1 (p=33%)</t>
  </si>
  <si>
    <t>proj TPG 2.4 in 30 mpg; 64 games projected; model rival Stephen Curry 4.1 (p=33%)</t>
  </si>
  <si>
    <t>proj TPG 2.0 in 26 mpg; 50 games projected; model rival Stephen Curry 4.1 (p=33%)</t>
  </si>
  <si>
    <t>proj TPG 2.5 in 27 mpg; 66 games projected; model rival Stephen Curry 4.1 (p=33%)</t>
  </si>
  <si>
    <t>proj TPG 2.7 in 31 mpg; 64 games projected; model rival Stephen Curry 4.1 (p=33%)</t>
  </si>
  <si>
    <t>proj TPG 2.6 in 30 mpg; 52 games projected; model rival Stephen Curry 4.1 (p=33%)</t>
  </si>
  <si>
    <t>proj TPG 2.3 in 26 mpg; 58 games projected; model rival Stephen Curry 4.1 (p=33%)</t>
  </si>
  <si>
    <t>proj TPG 2.5 in 20 mpg; 60 games projected; model rival Stephen Curry 4.1 (p=33%)</t>
  </si>
  <si>
    <t>proj TPG 2.5 in 31 mpg; 62 games projected; model rival Stephen Curry 4.1 (p=33%)</t>
  </si>
  <si>
    <t>proj TPG 2.0 in 21 mpg; 65 games projected; model rival Stephen Curry 4.1 (p=33%)</t>
  </si>
  <si>
    <t>proj TPG 2.7 in 32 mpg; 60 games projected; model rival Stephen Curry 4.1 (p=33%)</t>
  </si>
  <si>
    <t>proj TPG 2.0 in 24 mpg; 66 games projected; model rival Stephen Curry 4.1 (p=33%)</t>
  </si>
  <si>
    <t>proj TPG 2.4 in 30 mpg; 30 games projected; model rival Stephen Curry 4.1 (p=33%)</t>
  </si>
  <si>
    <t>proj TPG 2.3 in 25 mpg; 57 games projected; model rival Stephen Curry 4.1 (p=33%)</t>
  </si>
  <si>
    <t>proj TPG 2.3 in 27 mpg; 58 games projected; model rival Stephen Curry 4.1 (p=33%)</t>
  </si>
  <si>
    <t>proj TPG 2.3 in 23 mpg; 57 games projected; model rival Stephen Curry 4.1 (p=33%)</t>
  </si>
  <si>
    <t>proj TPG 2.5 in 24 mpg; 64 games projected; model rival Stephen Curry 4.1 (p=33%)</t>
  </si>
  <si>
    <t>proj TPG 1.9 in 19 mpg; 66 games projected; model rival Stephen Curry 4.1 (p=33%)</t>
  </si>
  <si>
    <t>proj TPG 2.2 in 21 mpg; 58 games projected; model rival Stephen Curry 4.1 (p=33%)</t>
  </si>
  <si>
    <t>proj TPG 2.1 in 25 mpg; 59 games projected; model rival Stephen Curry 4.1 (p=33%)</t>
  </si>
  <si>
    <t>proj TPG 2.1 in 22 mpg; 64 games projected; model rival Stephen Curry 4.1 (p=33%)</t>
  </si>
  <si>
    <t>S_Markets - one block per market: book price, fair probability, model probability, EV, Kelly, edge CI</t>
  </si>
  <si>
    <t>Edge colours: green = EV &gt;= min EV with CI low &gt; 0; red = EV &lt; 0. Imputed (orange) sides are never bet. Model probabilities are sim-based (M_Sims); WINS also shown live in M_WinDist.</t>
  </si>
  <si>
    <t>Book American</t>
  </si>
  <si>
    <t>Fair prob (de-vig)</t>
  </si>
  <si>
    <t>Model / fair price (American)</t>
  </si>
  <si>
    <t>EV per $1</t>
  </si>
  <si>
    <t>Edge (model-fair, pp)</t>
  </si>
  <si>
    <t>P(EV&gt;0)</t>
  </si>
  <si>
    <t>Staking prob (shrunk)</t>
  </si>
  <si>
    <t>Naive Kelly (frac)</t>
  </si>
  <si>
    <t>Naive stake $</t>
  </si>
  <si>
    <t>Portfolio Kelly (frac)</t>
  </si>
  <si>
    <t>Portfolio stake $</t>
  </si>
  <si>
    <t>Qualifies</t>
  </si>
  <si>
    <t>Lock (CST)</t>
  </si>
  <si>
    <t>Live analytic P (WINS, reprices with Overrides)</t>
  </si>
  <si>
    <t>Live analytic EV (WINS)</t>
  </si>
  <si>
    <t>Zero-sum model P (WINS, means rescaled to book sum)</t>
  </si>
  <si>
    <t>Zero-sum EV (WINS)</t>
  </si>
  <si>
    <t>EV at shrunk probability</t>
  </si>
  <si>
    <t>EV CI low at shrunk probability</t>
  </si>
  <si>
    <t>Tier 1 (live)</t>
  </si>
  <si>
    <t>Tier 1 stake $</t>
  </si>
  <si>
    <t>Named driver</t>
  </si>
  <si>
    <t>Portfolio Kelly (numeric, for sorting)</t>
  </si>
  <si>
    <t>Tier</t>
  </si>
  <si>
    <t>30 selections - All wagers action</t>
  </si>
  <si>
    <t>Tue 10/20 02:10 PM CST</t>
  </si>
  <si>
    <t>All wagers action</t>
  </si>
  <si>
    <t>15 selections - All wagers action</t>
  </si>
  <si>
    <t>5 selections - All wagers action; division tiebreakers per NBA rules</t>
  </si>
  <si>
    <t>All wagers action; division tiebreakers per NBA rules</t>
  </si>
  <si>
    <t>30 selections - All wagers action (Cup final does not count in the standings)</t>
  </si>
  <si>
    <t>All wagers action (Cup final does not count in the standings)</t>
  </si>
  <si>
    <t>5 selections - All wagers action (Cup final does not count in the standings)</t>
  </si>
  <si>
    <t>15 selections - Interpreted as team participates in the play-in (finishes 7-10); implied probs sum to ~4.4 per conference with 4 slots - INTERPRETATION FLAGGED</t>
  </si>
  <si>
    <t>Interpreted as team participates in the play-in (finishes 7-10); implied probs sum to ~4.4 per conference with 4 slots - INTERPRETATION FLAGGED</t>
  </si>
  <si>
    <t>54 selections - Makes the 16-team playoff field, including via the play-in (top-8 per conference; user-confirmed from implied sums ~8.7/conf) - CONFIRM WITH BOOK; action requires 82 games unless already determined</t>
  </si>
  <si>
    <t>Makes the 16-team playoff field, including via the play-in (top-8 per conference; user-confirmed from implied sums ~8.7/conf) - CONFIRM WITH BOOK; action requires 82 games unless already determined</t>
  </si>
  <si>
    <t>Tue 10/20 06:10 PM CST</t>
  </si>
  <si>
    <t>Tue 10/20 08:40 PM CST</t>
  </si>
  <si>
    <t>Wed 10/21 06:10 PM CST</t>
  </si>
  <si>
    <t>Wed 10/21 06:40 PM CST</t>
  </si>
  <si>
    <t>Wed 10/21 07:10 PM CST</t>
  </si>
  <si>
    <t>Wed 10/21 07:40 PM CST</t>
  </si>
  <si>
    <t>Wed 10/21 09:10 PM CST</t>
  </si>
  <si>
    <t>Wed 10/21 09:40 PM CST</t>
  </si>
  <si>
    <t>Thu 10/22 06:10 PM CST</t>
  </si>
  <si>
    <t>Thu 10/22 08:40 PM CST</t>
  </si>
  <si>
    <t>60 selections - All 82 games must be played for action; play-in games do not count; lines are x.5 (no push)</t>
  </si>
  <si>
    <t>All 82 games must be played for action; play-in games do not count; lines are x.5 (no push)</t>
  </si>
  <si>
    <t>28 selections - All in, no refunds; dead-heat rules apply to stat leaders</t>
  </si>
  <si>
    <t>All in, no refunds; dead-heat rules apply to stat leaders</t>
  </si>
  <si>
    <t>17 selections - All in, no refunds; dead-heat rules apply to stat leaders</t>
  </si>
  <si>
    <t>16 selections - All in, no refunds; dead-heat rules apply to stat leaders</t>
  </si>
  <si>
    <t>21 selections - All in, no refunds; dead-heat rules apply to stat leaders</t>
  </si>
  <si>
    <t>24 selections - All in, no refunds; dead-heat rules apply to stat leaders</t>
  </si>
  <si>
    <t>18 selections - All in, no refunds; dead-heat rules apply to stat leaders</t>
  </si>
  <si>
    <t>48 selections - All in, no refunds; dead-heat rules apply to stat leaders</t>
  </si>
  <si>
    <t>31 selections - All in, no refunds; dead-heat rules apply to stat leaders</t>
  </si>
  <si>
    <t>33 selections - All in, no refunds; dead-heat rules apply to stat leaders</t>
  </si>
  <si>
    <t>40 selections - All in, no refunds; dead-heat rules apply to stat leaders</t>
  </si>
  <si>
    <t>27 selections - All in, no refunds; dead-heat rules apply to stat leaders</t>
  </si>
  <si>
    <t>30 selections - All in, no refunds; dead-heat rules apply to stat leaders</t>
  </si>
  <si>
    <t>20 selections - All in, no refunds; dead-heat rules apply to stat leaders</t>
  </si>
  <si>
    <t>40 selections - All wagers action (Cup final does not count in the standings)</t>
  </si>
  <si>
    <t>Bet_Card - all qualifying bets (dynamic FILTER/SORTBY over S_Markets)</t>
  </si>
  <si>
    <t>Tier 1 = conservative subset (see Tier1_Card, has stakes). Tier 2 = everything on this card, NO stake by default (Assumptions: tier2_staking_on). Qualifies = EV &gt;= min EV AND edge CI low &gt; 0 AND robustness filter AND not imputed AND (WINS) survives the zero-sum rescale AND the edge survives the shrink toward the market. Stake = portfolio Kelly (correlation-aware), naive shown beside it. Lock times in CST.</t>
  </si>
  <si>
    <t>Fair prob</t>
  </si>
  <si>
    <t>EV CI low</t>
  </si>
  <si>
    <t>Naive Kelly</t>
  </si>
  <si>
    <t>Portfolio Kelly</t>
  </si>
  <si>
    <t>Tier1_Card - conservative subset of the Bet Card (stakes shown here by default)</t>
  </si>
  <si>
    <t>Tier 1 filters (all must hold): (1) on the Bet Card; (2) edge survives shrink 0.75 (model weight 0.25); (3) market fair probability &gt;= 5%; (4) not against a market top-5 team or for a bottom-5 team (wins, playoffs, division, conference, title); (5) a NAMED DRIVER - verifiable arrival / departure / availability facts of &gt;= 1.0 SRS covering &gt;= 60% of the model-vs-market gap; (6) total exposure capped at 10% of bankroll.</t>
  </si>
  <si>
    <t>Tier 1 stake (frac of bankroll)</t>
  </si>
  <si>
    <t>Named driver (player / roster facts)</t>
  </si>
  <si>
    <t>Player Tier 1 (M_Players): Tier 2 test + fair &gt;= A_t1_fair + edge survives A_t1_shrink + holds at both bounds of the stat-leader sharpening exponent CI. Stakes are the JOINT portfolio Kelly with the team bets above (shared sims, total capped at A_t1_cap).</t>
  </si>
  <si>
    <t>EV low (shrunk)</t>
  </si>
  <si>
    <t>Driver (projection facts)</t>
  </si>
  <si>
    <t>Exposure - portfolio P&amp;L distribution from the sims (per $1 of bankroll; x bankroll when entered)</t>
  </si>
  <si>
    <t>Engine output. Tier 1 (team + player bets) is the staked card: portfolio Kelly solved JOINTLY on the shared season sims, cap 10% of bankroll. Tier 2 (full team Bet Card) is shown only as 'if staked'. Rerun `run.py price` after changing thresholds.</t>
  </si>
  <si>
    <t>Metric</t>
  </si>
  <si>
    <t>Per $1 bankroll</t>
  </si>
  <si>
    <t>In $ (needs bankroll)</t>
  </si>
  <si>
    <t>Correlation of Tier 2 bet outcomes (sim-based)</t>
  </si>
  <si>
    <t>TIER 1 - bets (team + player)</t>
  </si>
  <si>
    <t>TITLE|Boston Celtics|YES</t>
  </si>
  <si>
    <t>TITLE|Detroit Pistons|YES</t>
  </si>
  <si>
    <t>TITLE|Houston Rockets|YES</t>
  </si>
  <si>
    <t>TITLE|Portland Trail Blaze</t>
  </si>
  <si>
    <t>TITLE|Toronto Raptors|YES</t>
  </si>
  <si>
    <t>CONF_EAST|Toronto Raptors|</t>
  </si>
  <si>
    <t>CONF_WEST|Houston Rockets|</t>
  </si>
  <si>
    <t>CONF_WEST|Memphis Grizzlie</t>
  </si>
  <si>
    <t>CONF_WEST|Portland Trail B</t>
  </si>
  <si>
    <t>DIV_ATLANTIC|Toronto Rapto</t>
  </si>
  <si>
    <t>DIV_SOUTHEAST|Orlando Magi</t>
  </si>
  <si>
    <t>DIV_NORTHWEST|Denver Nugge</t>
  </si>
  <si>
    <t>DIV_NORTHWEST|Portland Tra</t>
  </si>
  <si>
    <t>DIV_PACIFIC|Golden State W</t>
  </si>
  <si>
    <t>DIV_SOUTHWEST|Houston Rock</t>
  </si>
  <si>
    <t>DIV_SOUTHWEST|Memphis Griz</t>
  </si>
  <si>
    <t>PLAYIN_EAST|Brooklyn Nets|</t>
  </si>
  <si>
    <t>PLAYIN_EAST|Chicago Bulls|</t>
  </si>
  <si>
    <t>PLAYIN_EAST|Milwaukee Buck</t>
  </si>
  <si>
    <t>PLAYIN_EAST|New York Knick</t>
  </si>
  <si>
    <t>PLAYIN_EAST|Philadelphia 7</t>
  </si>
  <si>
    <t>PLAYIN_WEST|Memphis Grizzl</t>
  </si>
  <si>
    <t>PLAYIN_WEST|Minnesota Timb</t>
  </si>
  <si>
    <t>PLAYIN_WEST|New Orleans Pe</t>
  </si>
  <si>
    <t xml:space="preserve">PLAYIN_WEST|Oklahoma City </t>
  </si>
  <si>
    <t>PLAYIN_WEST|San Antonio Sp</t>
  </si>
  <si>
    <t>WINS|Atlanta Hawks|UNDER</t>
  </si>
  <si>
    <t>WINS|Washington Wizards|UN</t>
  </si>
  <si>
    <t>WINS|Miami Heat|UNDER</t>
  </si>
  <si>
    <t>WINS|Minnesota Timberwolve</t>
  </si>
  <si>
    <t>WINS|Toronto Raptors|OVER</t>
  </si>
  <si>
    <t>WINS|Memphis Grizzlies|OVE</t>
  </si>
  <si>
    <t>WINS|Utah Jazz|UNDER</t>
  </si>
  <si>
    <t>WINS|Houston Rockets|OVER</t>
  </si>
  <si>
    <t>WINS|Golden State Warriors</t>
  </si>
  <si>
    <t>WINS|Portland Trail Blazer</t>
  </si>
  <si>
    <t>PLAYOFFS|New York Knicks|N</t>
  </si>
  <si>
    <t>PLAYOFFS|Orlando Magic|YES</t>
  </si>
  <si>
    <t>PLAYOFFS|Washington Wizard</t>
  </si>
  <si>
    <t>PLAYOFFS|Brooklyn Nets|YES</t>
  </si>
  <si>
    <t>Tier 1 - total stake, joint Kelly (fraction of bankroll)</t>
  </si>
  <si>
    <t>Tier 1 - expected return (model world)</t>
  </si>
  <si>
    <t>Tier 1 - P(profit)</t>
  </si>
  <si>
    <t>Tier 1 - 5th percentile</t>
  </si>
  <si>
    <t>TITLE|Portland Trail Blazers|YES</t>
  </si>
  <si>
    <t>Tier 1 - worst simulated season</t>
  </si>
  <si>
    <t>Tier 1 stake - team bets (live)</t>
  </si>
  <si>
    <t>CONF_EAST|Toronto Raptors|YES</t>
  </si>
  <si>
    <t>Tier 1 stake - player bets (live)</t>
  </si>
  <si>
    <t>CONF_WEST|Houston Rockets|YES</t>
  </si>
  <si>
    <t>TIER 2 (full card, only if staked) - bets</t>
  </si>
  <si>
    <t>CONF_WEST|Memphis Grizzlies|YES</t>
  </si>
  <si>
    <t>Tier 2 - total stake if staked</t>
  </si>
  <si>
    <t>CONF_WEST|Portland Trail Blazers|YES</t>
  </si>
  <si>
    <t>Tier 2 - expected return (model world)</t>
  </si>
  <si>
    <t>DIV_ATLANTIC|Toronto Raptors|YES</t>
  </si>
  <si>
    <t>Tier 2 - expected return at shrunk probabilities</t>
  </si>
  <si>
    <t>DIV_SOUTHEAST|Orlando Magic|YES</t>
  </si>
  <si>
    <t>Tier 2 - P(profit)</t>
  </si>
  <si>
    <t>DIV_NORTHWEST|Denver Nuggets|YES</t>
  </si>
  <si>
    <t>Tier 2 - 5th percentile</t>
  </si>
  <si>
    <t>DIV_NORTHWEST|Portland Trail Blazers|YES</t>
  </si>
  <si>
    <t>Tier 2 - 1st percentile</t>
  </si>
  <si>
    <t>DIV_PACIFIC|Golden State Warriors|YES</t>
  </si>
  <si>
    <t>Tier 2 - worst simulated season</t>
  </si>
  <si>
    <t>DIV_SOUTHWEST|Houston Rockets|YES</t>
  </si>
  <si>
    <t>DIV_SOUTHWEST|Memphis Grizzlies|YES</t>
  </si>
  <si>
    <t>PLAYIN_EAST|Brooklyn Nets|YES</t>
  </si>
  <si>
    <t>Tier 1 exposure by team (fraction of bankroll)</t>
  </si>
  <si>
    <t>PLAYIN_EAST|Chicago Bulls|YES</t>
  </si>
  <si>
    <t>Stake $</t>
  </si>
  <si>
    <t>PLAYIN_EAST|Milwaukee Bucks|YES</t>
  </si>
  <si>
    <t>PLAYIN_EAST|New York Knicks|YES</t>
  </si>
  <si>
    <t>PLAYIN_EAST|Philadelphia 76ers|YES</t>
  </si>
  <si>
    <t>PLAYIN_WEST|Memphis Grizzlies|YES</t>
  </si>
  <si>
    <t>PLAYIN_WEST|Minnesota Timberwolves|YES</t>
  </si>
  <si>
    <t>PLAYIN_WEST|New Orleans Pelicans|YES</t>
  </si>
  <si>
    <t>PLAYIN_WEST|Oklahoma City Thunder|YES</t>
  </si>
  <si>
    <t>PLAYIN_WEST|San Antonio Spurs|YES</t>
  </si>
  <si>
    <t>WINS|Washington Wizards|UNDER</t>
  </si>
  <si>
    <t>WINS|Minnesota Timberwolves|UNDER</t>
  </si>
  <si>
    <t>WINS|Memphis Grizzlies|OVER</t>
  </si>
  <si>
    <t>WINS|Golden State Warriors|OVER</t>
  </si>
  <si>
    <t>WINS|Portland Trail Blazers|OVER</t>
  </si>
  <si>
    <t>PLAYOFFS|New York Knicks|NO</t>
  </si>
  <si>
    <t>PLAYOFFS|Washington Wizards|NO</t>
  </si>
  <si>
    <t>Correlation of the Tier 1 bet outcomes (team + player, shared sims)</t>
  </si>
  <si>
    <t xml:space="preserve">CONF_EAST Toronto Raptors </t>
  </si>
  <si>
    <t>DIV_ATLANTIC Toronto Rapto</t>
  </si>
  <si>
    <t xml:space="preserve">PLAYIN_EAST Chicago Bulls </t>
  </si>
  <si>
    <t>PLAYOFFS Minnesota Timberw</t>
  </si>
  <si>
    <t>ROY AJ Dybantsa</t>
  </si>
  <si>
    <t>LDR_RPG Domantas Sabonis</t>
  </si>
  <si>
    <t>LDR_RPG Rudy Gobert</t>
  </si>
  <si>
    <t>LDR_APG Tyrese Haliburton</t>
  </si>
  <si>
    <t>LDR_TPG LaMelo Ball</t>
  </si>
  <si>
    <t>CONF_EAST Toronto Raptors YES</t>
  </si>
  <si>
    <t>DIV_ATLANTIC Toronto Raptors YES</t>
  </si>
  <si>
    <t>PLAYIN_EAST Chicago Bulls YES</t>
  </si>
  <si>
    <t>Total</t>
  </si>
  <si>
    <t>PLAYOFFS Minnesota Timberwolves NO</t>
  </si>
  <si>
    <t>Dashboard - headline metrics</t>
  </si>
  <si>
    <t>Value</t>
  </si>
  <si>
    <t>Tier 1 bet count (team + player)</t>
  </si>
  <si>
    <t>Tier 2 (full card) bet count - no stake by default</t>
  </si>
  <si>
    <t>Tier 1 total stake (fraction of bankroll)</t>
  </si>
  <si>
    <t>Tier 1 total stake $</t>
  </si>
  <si>
    <t>Tier 1 expected return (model world)</t>
  </si>
  <si>
    <t>Tier 1 P(profit)</t>
  </si>
  <si>
    <t>Largest single-team Tier 1 exposure (frac)</t>
  </si>
  <si>
    <t>Top-10 Tier 2 bets (ranked by portfolio Kelly)</t>
  </si>
  <si>
    <t>#</t>
  </si>
  <si>
    <t>Bet</t>
  </si>
  <si>
    <t>Model vs market wins (M_WinDist)</t>
  </si>
  <si>
    <t>Book line</t>
  </si>
  <si>
    <t>Model mean wins</t>
  </si>
  <si>
    <t>Title odds: model vs market (fair)</t>
  </si>
  <si>
    <t>Market fair</t>
  </si>
  <si>
    <t>Model</t>
  </si>
  <si>
    <t>Sensitivity - title / wins probabilities vs key Assumptions (engine reruns) + scenario selector</t>
  </si>
  <si>
    <t>Scenario selector lives on Assumptions!B5 (Bull / Base / Bear). It reprices the analytic layer (M_TeamRatings, M_WinDist) live; sim-based probabilities need `run.py sim`.</t>
  </si>
  <si>
    <t>Case</t>
  </si>
  <si>
    <t>OKC title</t>
  </si>
  <si>
    <t>SAS title</t>
  </si>
  <si>
    <t>HOU title</t>
  </si>
  <si>
    <t>BOS title</t>
  </si>
  <si>
    <t>TOR title</t>
  </si>
  <si>
    <t>DET title</t>
  </si>
  <si>
    <t>Max |wins change|</t>
  </si>
  <si>
    <t>base</t>
  </si>
  <si>
    <t>sigma_team 3.15 (-10%)</t>
  </si>
  <si>
    <t>sigma_team 3.85 (+10%)</t>
  </si>
  <si>
    <t>HCA -0.5</t>
  </si>
  <si>
    <t>HCA +0.5</t>
  </si>
  <si>
    <t>tank kappa 0</t>
  </si>
  <si>
    <t>tank kappa 1.57 (upper CI)</t>
  </si>
  <si>
    <t>playoff adj lambda 0</t>
  </si>
  <si>
    <t>playoff adj lambda 1.0</t>
  </si>
  <si>
    <t>playoff adj lambda 0.32</t>
  </si>
  <si>
    <t>playoff adj lambda 0.80</t>
  </si>
  <si>
    <t>playoff inj off</t>
  </si>
  <si>
    <t>cup semis neutral (user spec)</t>
  </si>
  <si>
    <t>cup 0 cross-conf (user spec)</t>
  </si>
  <si>
    <t>availability draws off</t>
  </si>
  <si>
    <t>LAC+TOR own-pick toggle</t>
  </si>
  <si>
    <t>Tornado: swing in title probability (max - min across cases) per team</t>
  </si>
  <si>
    <t>Low</t>
  </si>
  <si>
    <t>High</t>
  </si>
  <si>
    <t>Swing</t>
  </si>
  <si>
    <t>Backtest - G2 ratings backtest and G3 simulation calibration (train/test marked)</t>
  </si>
  <si>
    <t>Train/test: each test season t (2018-19..2025-26) is predicted using only seasons &lt; t (expanding window). Headline = first-team-roster point-in-time proxy (RMSE 8.92); actual-roster (leaky, 8.44) and prior-roster (no moves, 10.30) bound it.</t>
  </si>
  <si>
    <t>Wins RMSE</t>
  </si>
  <si>
    <t>RMSE CI low (80%)</t>
  </si>
  <si>
    <t>RMSE CI high (80%)</t>
  </si>
  <si>
    <t>Wins MAE</t>
  </si>
  <si>
    <t>Spearman rho</t>
  </si>
  <si>
    <t>Paired RMSE diff vs model (baseline-model)</t>
  </si>
  <si>
    <t>This model (first-team roster)</t>
  </si>
  <si>
    <t>B1 prior-wins regression</t>
  </si>
  <si>
    <t>B2 prior-SRS regression</t>
  </si>
  <si>
    <t>B3 naive prior wins</t>
  </si>
  <si>
    <t>B4 prior SRS 2/3 + continuity</t>
  </si>
  <si>
    <t>Season RMSE (model vs B1 vs B2 vs B4)</t>
  </si>
  <si>
    <t>Test season</t>
  </si>
  <si>
    <t>B1</t>
  </si>
  <si>
    <t>B2</t>
  </si>
  <si>
    <t>B4</t>
  </si>
  <si>
    <t>G3 simulation calibration (2023-24..2025-26 preseason inputs; sigma_team via leave-one-season-out CV)</t>
  </si>
  <si>
    <t>Team-seasons</t>
  </si>
  <si>
    <t>Interval coverage 50%</t>
  </si>
  <si>
    <t>Interval coverage 80%</t>
  </si>
  <si>
    <t>Interval coverage 90%</t>
  </si>
  <si>
    <t>Variance ratio observed</t>
  </si>
  <si>
    <t>Ceiling mean</t>
  </si>
  <si>
    <t>Ceiling 95th pct</t>
  </si>
  <si>
    <t>sigma_team CV optimum (SRS pts)</t>
  </si>
  <si>
    <t>Reliability: P(top-10 in conference)</t>
  </si>
  <si>
    <t>Bin</t>
  </si>
  <si>
    <t>n</t>
  </si>
  <si>
    <t>Predicted</t>
  </si>
  <si>
    <t>Observed</t>
  </si>
  <si>
    <t>0.10-0.25</t>
  </si>
  <si>
    <t>0.25-0.40</t>
  </si>
  <si>
    <t>0.40-0.60</t>
  </si>
  <si>
    <t>0.60-0.75</t>
  </si>
  <si>
    <t>0.75-0.90</t>
  </si>
  <si>
    <t>0.90-1.00</t>
  </si>
  <si>
    <t>Tracker - placed bets (blue = inputs); CLV = closing implied - placed implied</t>
  </si>
  <si>
    <t>Date placed</t>
  </si>
  <si>
    <t>Placed American</t>
  </si>
  <si>
    <t>Closing American</t>
  </si>
  <si>
    <t>CLV (implied pp)</t>
  </si>
  <si>
    <t>Settled (Y/N)</t>
  </si>
  <si>
    <t>Result (W/L/P)</t>
  </si>
  <si>
    <t>P&amp;L $</t>
  </si>
  <si>
    <t>ROI on stake</t>
  </si>
  <si>
    <t>ROI by market type</t>
  </si>
  <si>
    <t>ROI</t>
  </si>
  <si>
    <t>CONF</t>
  </si>
  <si>
    <t>DIV</t>
  </si>
  <si>
    <t>PLAYIN</t>
  </si>
  <si>
    <t>AWARDS/LEADERS</t>
  </si>
  <si>
    <t>Checks - integrity flags (green 0 = pass; red = delta)</t>
  </si>
  <si>
    <t>Check</t>
  </si>
  <si>
    <t>Value / delta</t>
  </si>
  <si>
    <t>Expected odds rows</t>
  </si>
  <si>
    <t>Fair probabilities sum to target per market (max deviation, multi-outcome markets)</t>
  </si>
  <si>
    <t>Pair markets (WINS/PLAYOFFS): pairs whose fair probabilities do not sum to 1</t>
  </si>
  <si>
    <t>Model probabilities sum to 1: title</t>
  </si>
  <si>
    <t>Model probabilities sum to 2: conference</t>
  </si>
  <si>
    <t>Model probabilities sum to 6: division</t>
  </si>
  <si>
    <t>Model probabilities sum to 1: Cup</t>
  </si>
  <si>
    <t>Model probabilities sum to 6: Cup groups</t>
  </si>
  <si>
    <t>Model wins sum to 1,230 (live M_TeamRatings)</t>
  </si>
  <si>
    <t>P(top-10) &gt;= P(top-6): violations</t>
  </si>
  <si>
    <t>P(conference) &lt;= P(top-10): violations</t>
  </si>
  <si>
    <t>P(title) &lt;= P(conference): violations</t>
  </si>
  <si>
    <t>Odds file row count reconciles (rows - expected in E8)</t>
  </si>
  <si>
    <t>Imputed-odds rows (info; never bet)</t>
  </si>
  <si>
    <t>Backfilled-odds rows (info)</t>
  </si>
  <si>
    <t>Live analytic wins vs Python reference (max |delta| wins)</t>
  </si>
  <si>
    <t>Analytic vs sim P(over) deltas &gt; 2pp (count)</t>
  </si>
  <si>
    <t>Sim assumptions key matches current Assumptions (0 = match)</t>
  </si>
  <si>
    <t>Live Tier 1 count vs engine Tier 1 count (0 = match; differs after changing thresholds)</t>
  </si>
  <si>
    <t>Live Tier 2 count vs engine Tier 2 count (0 = match)</t>
  </si>
  <si>
    <t>Tier 1 total stake within cap (excess over A_t1_cap, 0 = OK)</t>
  </si>
  <si>
    <t>Error cells in M_DeVig (#N/A/#VALUE!/#REF!/...)</t>
  </si>
  <si>
    <t>Error cells in M_TeamRatings (#N/A/#VALUE!/#REF!/...)</t>
  </si>
  <si>
    <t>Error cells in M_WinDist (#N/A/#VALUE!/#REF!/...)</t>
  </si>
  <si>
    <t>Error cells in S_Markets (#N/A/#VALUE!/#REF!/...)</t>
  </si>
  <si>
    <t>Error cells in Bet_Card (#N/A/#VALUE!/#REF!/...)</t>
  </si>
  <si>
    <t>Error cells in Tier1_Card (#N/A/#VALUE!/#REF!/...)</t>
  </si>
  <si>
    <t>Error cells in Exposure (#N/A/#VALUE!/#REF!/...)</t>
  </si>
  <si>
    <t>Error cells in Dashboard (#N/A/#VALUE!/#REF!/...)</t>
  </si>
  <si>
    <t>Overall</t>
  </si>
  <si>
    <t>Data_Sources - every source: URL, pull timestamp, rows, status, license note</t>
  </si>
  <si>
    <t>URL / endpoint</t>
  </si>
  <si>
    <t>Pull timestamp</t>
  </si>
  <si>
    <t>Rows</t>
  </si>
  <si>
    <t>Fallback used</t>
  </si>
  <si>
    <t>License / note</t>
  </si>
  <si>
    <t>award_voting.parquet</t>
  </si>
  <si>
    <t>derived/parsed from raw pulls (see data/raw)</t>
  </si>
  <si>
    <t>2026-10-15T13:14:47-04:00</t>
  </si>
  <si>
    <t>OK</t>
  </si>
  <si>
    <t>derived / model output</t>
  </si>
  <si>
    <t>awards</t>
  </si>
  <si>
    <t>https://www.basketball-reference.com/awards/awards_2000.html</t>
  </si>
  <si>
    <t>2026-10-15T13:06:12-04:00</t>
  </si>
  <si>
    <t>bbref</t>
  </si>
  <si>
    <t>backtest_calibration.json</t>
  </si>
  <si>
    <t>derived (G2 addendum)</t>
  </si>
  <si>
    <t>2026-10-15T14:09:56-04:00</t>
  </si>
  <si>
    <t>backtest_calibration_firstroster.json</t>
  </si>
  <si>
    <t>backtest_fitlog.csv</t>
  </si>
  <si>
    <t>derived model output (src/ratings)</t>
  </si>
  <si>
    <t>backtest_fitlog_firstroster.csv</t>
  </si>
  <si>
    <t>backtest_fitlog_prevroster.csv</t>
  </si>
  <si>
    <t>backtest_metrics.json</t>
  </si>
  <si>
    <t>backtest_metrics_firstroster.json</t>
  </si>
  <si>
    <t>backtest_metrics_prevroster.json</t>
  </si>
  <si>
    <t>backtest_predictions.csv</t>
  </si>
  <si>
    <t>backtest_predictions_firstroster.csv</t>
  </si>
  <si>
    <t>backtest_predictions_prevroster.csv</t>
  </si>
  <si>
    <t>barttorvik</t>
  </si>
  <si>
    <t>https://barttorvik.com/getadvstats.php?year=2014&amp;csv=1</t>
  </si>
  <si>
    <t>2026-10-15T13:16:08-04:00</t>
  </si>
  <si>
    <t>barttorvik.com CSV (headerless)</t>
  </si>
  <si>
    <t>benchmark_model_vs_book_wins.csv</t>
  </si>
  <si>
    <t>2026-10-15T13:43:28-04:00</t>
  </si>
  <si>
    <t>bet_card.csv</t>
  </si>
  <si>
    <t>derived (G5)</t>
  </si>
  <si>
    <t>2026-10-15T16:55:11-04:00</t>
  </si>
  <si>
    <t>coaches</t>
  </si>
  <si>
    <t>https://www.basketball-reference.com/leagues/NBA_2027_coaches.html</t>
  </si>
  <si>
    <t>2026-10-15T13:16:18-04:00</t>
  </si>
  <si>
    <t>compression_test.json</t>
  </si>
  <si>
    <t>derived (G5 revision)</t>
  </si>
  <si>
    <t>2026-10-15T18:06:52-04:00</t>
  </si>
  <si>
    <t>cup_groups_validation.json</t>
  </si>
  <si>
    <t>2026-10-15T13:14:48-04:00</t>
  </si>
  <si>
    <t>darko</t>
  </si>
  <si>
    <t>https://www.darko.app/ (leaderboard table scraped via browser pane; "Ratings through June 3, 2026"; 530 listed, 50/page)</t>
  </si>
  <si>
    <t>2026-10-15T12:53:03-04:00</t>
  </si>
  <si>
    <t>darko.app leaderboard read via browser pane (CSV hash-verified)</t>
  </si>
  <si>
    <t>draft</t>
  </si>
  <si>
    <t>https://www.basketball-reference.com/draft/NBA_2013.html</t>
  </si>
  <si>
    <t>2026-10-15T13:04:18-04:00</t>
  </si>
  <si>
    <t>draft_picks.parquet</t>
  </si>
  <si>
    <t>espn</t>
  </si>
  <si>
    <t>https://site.api.espn.com/apis/site/v2/sports/basketball/nba/teams</t>
  </si>
  <si>
    <t>2026-10-15T12:46:34-04:00</t>
  </si>
  <si>
    <t>bbref/ESPN used because stats.nba.com / cdn.nba.com are blocked from this network</t>
  </si>
  <si>
    <t>ESPN public site API - rosters/schedule/injuries (nba_api blocked)</t>
  </si>
  <si>
    <t>game_model_fit.json</t>
  </si>
  <si>
    <t>derived (G3)</t>
  </si>
  <si>
    <t>2026-10-15T15:05:02-04:00</t>
  </si>
  <si>
    <t>gamelogs</t>
  </si>
  <si>
    <t>https://www.basketball-reference.com/players/d/derozde01/gamelog/2026</t>
  </si>
  <si>
    <t>2026-10-15T15:48:13-04:00</t>
  </si>
  <si>
    <t>https://www.basketball-reference.com/leagues/NBA_2014_games-october.html</t>
  </si>
  <si>
    <t>2026-10-15T13:11:02-04:00</t>
  </si>
  <si>
    <t>games_hist.parquet</t>
  </si>
  <si>
    <t>parsed from cached bbref schedule pages (data/raw/games)</t>
  </si>
  <si>
    <t>2026-10-15T13:11:27-04:00</t>
  </si>
  <si>
    <t>injuries_espn.csv</t>
  </si>
  <si>
    <t>derived from raw pulls</t>
  </si>
  <si>
    <t>2026-10-15T12:54:05-04:00</t>
  </si>
  <si>
    <t>lottery</t>
  </si>
  <si>
    <t>https://www.nba.com/news/nba-board-governors-approve-new-draft-lottery-system (+4 others)</t>
  </si>
  <si>
    <t>2026-10-15T12:42:45-04:00</t>
  </si>
  <si>
    <t>NBA.com/ESPN/Hoops Rumors (text summaries)</t>
  </si>
  <si>
    <t>lottery_sensitivity_draws.csv</t>
  </si>
  <si>
    <t>derived/assumption</t>
  </si>
  <si>
    <t>2026-10-15T13:29:59-04:00</t>
  </si>
  <si>
    <t>lottery_validation.json</t>
  </si>
  <si>
    <t>model_vs_market_wins_table.csv</t>
  </si>
  <si>
    <t>name_map.csv</t>
  </si>
  <si>
    <t>odds</t>
  </si>
  <si>
    <t>user-supplied transcription</t>
  </si>
  <si>
    <t>user-supplied</t>
  </si>
  <si>
    <t>odds_parsed_from_pdf.csv</t>
  </si>
  <si>
    <t>param_draws.npz</t>
  </si>
  <si>
    <t>param_draws_log.txt</t>
  </si>
  <si>
    <t>param_draws_params.csv</t>
  </si>
  <si>
    <t>params</t>
  </si>
  <si>
    <t>picks</t>
  </si>
  <si>
    <t>https://www.hoopsrumors.com/2026/09/traded-first-round-picks-for-2027-nba-draft.html</t>
  </si>
  <si>
    <t>2026-10-15T12:49:28-04:00</t>
  </si>
  <si>
    <t>Hoops Rumors / RealGM / Tankathon</t>
  </si>
  <si>
    <t>picks_2027.csv</t>
  </si>
  <si>
    <t>https://www.hoopsrumors.com/2026/09/traded-first-round-picks-for-2027-nba-draft.html (transcribed)</t>
  </si>
  <si>
    <t>picks_2027_reconciled.csv</t>
  </si>
  <si>
    <t>HoopsRumors 2026-09; RealGM future_drafts/detailed (browser, 2026-10-15); Tankathon / (projection); ESPN trade tracker (</t>
  </si>
  <si>
    <t>player_id_gap_by_category.csv</t>
  </si>
  <si>
    <t>player_ids.csv</t>
  </si>
  <si>
    <t>player_po</t>
  </si>
  <si>
    <t>https://www.basketball-reference.com/playoffs/NBA_2014_totals.html</t>
  </si>
  <si>
    <t>2026-10-15T12:55:08-04:00</t>
  </si>
  <si>
    <t>player_po_advanced.parquet</t>
  </si>
  <si>
    <t>parsed from cached bbref html (data/raw/player_po)</t>
  </si>
  <si>
    <t>2026-10-15T13:13:30-04:00</t>
  </si>
  <si>
    <t>player_po_totals.parquet</t>
  </si>
  <si>
    <t>2026-10-15T13:13:24-04:00</t>
  </si>
  <si>
    <t>player_projection_2027.csv</t>
  </si>
  <si>
    <t>player_rs</t>
  </si>
  <si>
    <t>https://www.basketball-reference.com/leagues/NBA_2014_totals.html</t>
  </si>
  <si>
    <t>2026-10-15T12:54:55-04:00</t>
  </si>
  <si>
    <t>bbref (nba_api blocked)</t>
  </si>
  <si>
    <t>player_rs_advanced.parquet</t>
  </si>
  <si>
    <t>parsed from cached bbref html (data/raw/player_rs)</t>
  </si>
  <si>
    <t>2026-10-15T13:12:26-04:00</t>
  </si>
  <si>
    <t>player_rs_per_poss.parquet</t>
  </si>
  <si>
    <t>2026-10-15T13:12:56-04:00</t>
  </si>
  <si>
    <t>player_rs_play_by_play.parquet</t>
  </si>
  <si>
    <t>2026-10-15T13:13:19-04:00</t>
  </si>
  <si>
    <t>player_rs_totals.parquet</t>
  </si>
  <si>
    <t>2026-10-15T13:11:59-04:00</t>
  </si>
  <si>
    <t>playoff_adj_fit.json</t>
  </si>
  <si>
    <t>portfolio_corr.csv</t>
  </si>
  <si>
    <t>portfolio_pnl.npy</t>
  </si>
  <si>
    <t>portfolio_summary.json</t>
  </si>
  <si>
    <t>pre_deadline_role_override_2026.csv</t>
  </si>
  <si>
    <t>derived (G3 addendum)</t>
  </si>
  <si>
    <t>2026-10-15T16:11:34-04:00</t>
  </si>
  <si>
    <t>pricing_table.csv</t>
  </si>
  <si>
    <t>qualification_waterfall.json</t>
  </si>
  <si>
    <t>roster_audit_diff.csv</t>
  </si>
  <si>
    <t>roster_check</t>
  </si>
  <si>
    <t>https://www.basketball-reference.com/teams/NYK/2027.html</t>
  </si>
  <si>
    <t>2026-10-15T17:23:37-04:00</t>
  </si>
  <si>
    <t>rosters_bbref_2027_20261015.csv</t>
  </si>
  <si>
    <t>rosters_espn.csv</t>
  </si>
  <si>
    <t>rosters_espn_refresh_20261015.csv</t>
  </si>
  <si>
    <t>rules</t>
  </si>
  <si>
    <t>https://www.nba.com/stats/help/statminimums</t>
  </si>
  <si>
    <t>2026-10-15T12:55:43-04:00</t>
  </si>
  <si>
    <t>schedule</t>
  </si>
  <si>
    <t>https://www.basketball-reference.com/leagues/NBA_2027_games-october.html</t>
  </si>
  <si>
    <t>2026-10-15T12:44:54-04:00</t>
  </si>
  <si>
    <t>bbref schedule pages (cdn.nba.com 403)</t>
  </si>
  <si>
    <t>schedule_games.csv</t>
  </si>
  <si>
    <t>schedule_validation.json</t>
  </si>
  <si>
    <t>sensitivity_w_darko.csv</t>
  </si>
  <si>
    <t>sigma_team_cv.json</t>
  </si>
  <si>
    <t>sigma_team_cv_meanmatched.json</t>
  </si>
  <si>
    <t>sigma_team_cv_oos_predictions.csv</t>
  </si>
  <si>
    <t>sigma_team_cv_oos_predictions_meanmatched.csv</t>
  </si>
  <si>
    <t>sim_calibration.json</t>
  </si>
  <si>
    <t>sim_calibration_team_seasons.csv</t>
  </si>
  <si>
    <t>sim_player_games.csv</t>
  </si>
  <si>
    <t>sim_robust_meta.json</t>
  </si>
  <si>
    <t>sim_robust_summary.csv</t>
  </si>
  <si>
    <t>sim_robust_wins_hist.csv</t>
  </si>
  <si>
    <t>sim_sensitivity.csv</t>
  </si>
  <si>
    <t>sim_team_summary.csv</t>
  </si>
  <si>
    <t>tank_carryover_fix_wins_before_after.csv</t>
  </si>
  <si>
    <t>tank_carryover_players.csv</t>
  </si>
  <si>
    <t>tank_carryover_teams.csv</t>
  </si>
  <si>
    <t>tank_did_table.csv</t>
  </si>
  <si>
    <t>tank_effect_on_wins.csv</t>
  </si>
  <si>
    <t>tank_kappa_fit.json</t>
  </si>
  <si>
    <t>tank_kappa_fit_v2.json</t>
  </si>
  <si>
    <t>team</t>
  </si>
  <si>
    <t>https://www.basketball-reference.com/leagues/NBA_2014.html</t>
  </si>
  <si>
    <t>2026-10-15T12:55:00-04:00</t>
  </si>
  <si>
    <t>team_projection_2027.csv</t>
  </si>
  <si>
    <t>team_season_hist.parquet</t>
  </si>
  <si>
    <t>top_disagreements_drivers.csv</t>
  </si>
  <si>
    <t>verify_title_compare.csv</t>
  </si>
  <si>
    <t>verify_title_independent.json</t>
  </si>
  <si>
    <t>workbook_audit.json</t>
  </si>
  <si>
    <t>workbook_build_report.json</t>
  </si>
  <si>
    <t>Raw_Teams - team inputs (clean data)</t>
  </si>
  <si>
    <t>Prev SRS</t>
  </si>
  <si>
    <t>Prev wins</t>
  </si>
  <si>
    <t>Prev pace</t>
  </si>
  <si>
    <t>Prev ORtg</t>
  </si>
  <si>
    <t>Prev DRtg</t>
  </si>
  <si>
    <t>TeamSum O (BPM)</t>
  </si>
  <si>
    <t>TeamSum D (BPM)</t>
  </si>
  <si>
    <t>Python pred SRS</t>
  </si>
  <si>
    <t>Python pred wins</t>
  </si>
  <si>
    <t>Python teamsum</t>
  </si>
  <si>
    <t>E</t>
  </si>
  <si>
    <t>Southeast</t>
  </si>
  <si>
    <t>Atlantic</t>
  </si>
  <si>
    <t>Central</t>
  </si>
  <si>
    <t>W</t>
  </si>
  <si>
    <t>Southwest</t>
  </si>
  <si>
    <t>Northwest</t>
  </si>
  <si>
    <t>Pacific</t>
  </si>
  <si>
    <t>Raw_Players - 2026-27 roster projections (clean data)</t>
  </si>
  <si>
    <t>bbref id</t>
  </si>
  <si>
    <t>Age</t>
  </si>
  <si>
    <t>Rating (blended)</t>
  </si>
  <si>
    <t>No NBA history</t>
  </si>
  <si>
    <t>DARKO DPM</t>
  </si>
  <si>
    <t>johnsja05</t>
  </si>
  <si>
    <t>daniedy01</t>
  </si>
  <si>
    <t>Nickeil Alexander-Walker</t>
  </si>
  <si>
    <t>alexani01</t>
  </si>
  <si>
    <t>Onyeka Okongwu</t>
  </si>
  <si>
    <t>okongon01</t>
  </si>
  <si>
    <t>CJ McCollum</t>
  </si>
  <si>
    <t>mccolcj01</t>
  </si>
  <si>
    <t>dortlu01</t>
  </si>
  <si>
    <t>Corey Kispert</t>
  </si>
  <si>
    <t>kispeco01</t>
  </si>
  <si>
    <t>rk_kingston_flemings</t>
  </si>
  <si>
    <t>wiggiaa01</t>
  </si>
  <si>
    <t>Dorian Finney-Smith</t>
  </si>
  <si>
    <t>finnedo01</t>
  </si>
  <si>
    <t>Jalen Wilson</t>
  </si>
  <si>
    <t>wilsoja03</t>
  </si>
  <si>
    <t>Jock Landale</t>
  </si>
  <si>
    <t>landajo01</t>
  </si>
  <si>
    <t>Mouhamed Gueye</t>
  </si>
  <si>
    <t>gueyemo02</t>
  </si>
  <si>
    <t>Zuby Ejiofor</t>
  </si>
  <si>
    <t>rk_zuby_ejiofor</t>
  </si>
  <si>
    <t>Asa Newell</t>
  </si>
  <si>
    <t>newelas01</t>
  </si>
  <si>
    <t>Keshon Gilbert</t>
  </si>
  <si>
    <t>gilbeke01</t>
  </si>
  <si>
    <t>RayJ Dennis</t>
  </si>
  <si>
    <t>dennira01</t>
  </si>
  <si>
    <t>Giorgi Bezhanishvili</t>
  </si>
  <si>
    <t>rk_giorgi_bezhanishvili</t>
  </si>
  <si>
    <t>Cameron Corhen</t>
  </si>
  <si>
    <t>rk_cameron_corhen</t>
  </si>
  <si>
    <t>Kobe Johnson</t>
  </si>
  <si>
    <t>rk_kobe_johnson</t>
  </si>
  <si>
    <t>Henri Veesaar</t>
  </si>
  <si>
    <t>rk_henri_veesaar</t>
  </si>
  <si>
    <t>randlju01</t>
  </si>
  <si>
    <t>Michael Porter Jr.</t>
  </si>
  <si>
    <t>portemi01</t>
  </si>
  <si>
    <t>demineg01</t>
  </si>
  <si>
    <t>Mikel Brown Jr.</t>
  </si>
  <si>
    <t>rk_mikel_brown</t>
  </si>
  <si>
    <t>Noah Clowney</t>
  </si>
  <si>
    <t>clownno01</t>
  </si>
  <si>
    <t>Terance Mann</t>
  </si>
  <si>
    <t>mannte01</t>
  </si>
  <si>
    <t>Keon Ellis</t>
  </si>
  <si>
    <t>elliske01</t>
  </si>
  <si>
    <t>Nolan Traore</t>
  </si>
  <si>
    <t>traorno01</t>
  </si>
  <si>
    <t>Drake Powell</t>
  </si>
  <si>
    <t>poweldr01</t>
  </si>
  <si>
    <t>Danny Wolf</t>
  </si>
  <si>
    <t>wolfda01</t>
  </si>
  <si>
    <t>Day'Ron Sharpe</t>
  </si>
  <si>
    <t>sharpda01</t>
  </si>
  <si>
    <t>Ben Saraf</t>
  </si>
  <si>
    <t>sarafbe01</t>
  </si>
  <si>
    <t>Moritz Wagner</t>
  </si>
  <si>
    <t>wagnemo01</t>
  </si>
  <si>
    <t>Chaney Johnson</t>
  </si>
  <si>
    <t>johnsch06</t>
  </si>
  <si>
    <t>Joshua Jefferson</t>
  </si>
  <si>
    <t>rk_joshua_jefferson</t>
  </si>
  <si>
    <t>Josh Minott</t>
  </si>
  <si>
    <t>minotjo01</t>
  </si>
  <si>
    <t>Tyler Bilodeau</t>
  </si>
  <si>
    <t>rk_tyler_bilodeau</t>
  </si>
  <si>
    <t>Grant Nelson</t>
  </si>
  <si>
    <t>nelsogr02</t>
  </si>
  <si>
    <t>whitede01</t>
  </si>
  <si>
    <t>pritcpa01</t>
  </si>
  <si>
    <t>tatumja01</t>
  </si>
  <si>
    <t>Sam Hauser</t>
  </si>
  <si>
    <t>hausesa01</t>
  </si>
  <si>
    <t>georgpa01</t>
  </si>
  <si>
    <t>quetane01</t>
  </si>
  <si>
    <t>Mike Conley</t>
  </si>
  <si>
    <t>conlemi01</t>
  </si>
  <si>
    <t>robinmi01</t>
  </si>
  <si>
    <t>Baylor Scheierman</t>
  </si>
  <si>
    <t>scheiba01</t>
  </si>
  <si>
    <t>gonzahu01</t>
  </si>
  <si>
    <t>Jordan Walsh</t>
  </si>
  <si>
    <t>walshjo01</t>
  </si>
  <si>
    <t>Devin Carter</t>
  </si>
  <si>
    <t>cartede02</t>
  </si>
  <si>
    <t>Luka Garza</t>
  </si>
  <si>
    <t>garzalu01</t>
  </si>
  <si>
    <t>Chris Cenac Jr.</t>
  </si>
  <si>
    <t>rk_chris_cenac</t>
  </si>
  <si>
    <t>Dillon Mitchell</t>
  </si>
  <si>
    <t>rk_dillon_mitchell</t>
  </si>
  <si>
    <t>Ron Harper Jr.</t>
  </si>
  <si>
    <t>harpero02</t>
  </si>
  <si>
    <t>Hayden Gray</t>
  </si>
  <si>
    <t>grayha01</t>
  </si>
  <si>
    <t>Amari Williams</t>
  </si>
  <si>
    <t>william01</t>
  </si>
  <si>
    <t>Tucker DeVries</t>
  </si>
  <si>
    <t>rk_tucker_devries</t>
  </si>
  <si>
    <t>Gabe McGlothan</t>
  </si>
  <si>
    <t>rk_gabe_mcglothan</t>
  </si>
  <si>
    <t>Milos Uzan</t>
  </si>
  <si>
    <t>rk_milos_uzan</t>
  </si>
  <si>
    <t>knuepko01</t>
  </si>
  <si>
    <t>millebr02</t>
  </si>
  <si>
    <t>whiteco01</t>
  </si>
  <si>
    <t>reidna01</t>
  </si>
  <si>
    <t>Royce O'Neale</t>
  </si>
  <si>
    <t>onealro01</t>
  </si>
  <si>
    <t>Dennis Schroder</t>
  </si>
  <si>
    <t>schrode01</t>
  </si>
  <si>
    <t>allengr01</t>
  </si>
  <si>
    <t>Sion James</t>
  </si>
  <si>
    <t>jamessi01</t>
  </si>
  <si>
    <t>diabamo01</t>
  </si>
  <si>
    <t>kalkbry01</t>
  </si>
  <si>
    <t>Grant Williams</t>
  </si>
  <si>
    <t>willigr01</t>
  </si>
  <si>
    <t>Hannes Steinbach</t>
  </si>
  <si>
    <t>rk_hannes_steinbach</t>
  </si>
  <si>
    <t>Tidjane Salaun</t>
  </si>
  <si>
    <t>salauti01</t>
  </si>
  <si>
    <t>Christian Anderson</t>
  </si>
  <si>
    <t>rk_christian_anderson</t>
  </si>
  <si>
    <t>Pat Connaughton</t>
  </si>
  <si>
    <t>connapa01</t>
  </si>
  <si>
    <t>Liam McNeeley</t>
  </si>
  <si>
    <t>mcneeli01</t>
  </si>
  <si>
    <t>PJ Hall</t>
  </si>
  <si>
    <t>hallpj01</t>
  </si>
  <si>
    <t>Kylan Boswell</t>
  </si>
  <si>
    <t>rk_kylan_boswell</t>
  </si>
  <si>
    <t>Wyatt Fricks</t>
  </si>
  <si>
    <t>rk_wyatt_fricks</t>
  </si>
  <si>
    <t>Jarkel Joiner</t>
  </si>
  <si>
    <t>rk_jarkel_joiner</t>
  </si>
  <si>
    <t>claxtni01</t>
  </si>
  <si>
    <t>giddejo01</t>
  </si>
  <si>
    <t>rk_caleb_wilson</t>
  </si>
  <si>
    <t>powelno01</t>
  </si>
  <si>
    <t>buzelma01</t>
  </si>
  <si>
    <t>Tre Jones</t>
  </si>
  <si>
    <t>jonestr01</t>
  </si>
  <si>
    <t>Isaac Okoro</t>
  </si>
  <si>
    <t>okorois01</t>
  </si>
  <si>
    <t>Patrick Williams</t>
  </si>
  <si>
    <t>willipa01</t>
  </si>
  <si>
    <t>Buddy Hield</t>
  </si>
  <si>
    <t>hieldbu01</t>
  </si>
  <si>
    <t>Jalen Smith</t>
  </si>
  <si>
    <t>smithja04</t>
  </si>
  <si>
    <t>Jordan Hawkins</t>
  </si>
  <si>
    <t>hawkijo01</t>
  </si>
  <si>
    <t>rk_dailyn_swain</t>
  </si>
  <si>
    <t>Zach Collins</t>
  </si>
  <si>
    <t>colliza01</t>
  </si>
  <si>
    <t>Leonard Miller</t>
  </si>
  <si>
    <t>millele01</t>
  </si>
  <si>
    <t>Orlando Robinson</t>
  </si>
  <si>
    <t>robinor01</t>
  </si>
  <si>
    <t>Brandon Boston Jr.</t>
  </si>
  <si>
    <t>bostobr01</t>
  </si>
  <si>
    <t>Isaiah Stevens</t>
  </si>
  <si>
    <t>steveis01</t>
  </si>
  <si>
    <t>Noa Essengue</t>
  </si>
  <si>
    <t>essenno01</t>
  </si>
  <si>
    <t>Drew Peterson</t>
  </si>
  <si>
    <t>peterdr01</t>
  </si>
  <si>
    <t>Tobe Awaka</t>
  </si>
  <si>
    <t>rk_tobe_awaka</t>
  </si>
  <si>
    <t>Jaylin Sellers</t>
  </si>
  <si>
    <t>rk_jaylin_sellers</t>
  </si>
  <si>
    <t>Jalen Bridges</t>
  </si>
  <si>
    <t>bridgja01</t>
  </si>
  <si>
    <t>hardeja01</t>
  </si>
  <si>
    <t>mitchdo01</t>
  </si>
  <si>
    <t>mobleev01</t>
  </si>
  <si>
    <t>Jarrett Allen</t>
  </si>
  <si>
    <t>allenja01</t>
  </si>
  <si>
    <t>Mario Hezonja</t>
  </si>
  <si>
    <t>hezonma01</t>
  </si>
  <si>
    <t>watsope01</t>
  </si>
  <si>
    <t>tysonja01</t>
  </si>
  <si>
    <t>merrisa01</t>
  </si>
  <si>
    <t>Craig Porter Jr.</t>
  </si>
  <si>
    <t>portecr01</t>
  </si>
  <si>
    <t>Nae'Qwan Tomlin</t>
  </si>
  <si>
    <t>tomlina01</t>
  </si>
  <si>
    <t>Thomas Bryant</t>
  </si>
  <si>
    <t>bryanth01</t>
  </si>
  <si>
    <t>Tyrese Proctor</t>
  </si>
  <si>
    <t>proctty01</t>
  </si>
  <si>
    <t>Meleek Thomas</t>
  </si>
  <si>
    <t>rk_meleek_thomas</t>
  </si>
  <si>
    <t>Kadary Richmond</t>
  </si>
  <si>
    <t>richmka01</t>
  </si>
  <si>
    <t>Tristan Enaruna</t>
  </si>
  <si>
    <t>enarutr01</t>
  </si>
  <si>
    <t>Curtis Jones</t>
  </si>
  <si>
    <t>jonescu01</t>
  </si>
  <si>
    <t>Riley Minix</t>
  </si>
  <si>
    <t>minixri01</t>
  </si>
  <si>
    <t>Rashaun Agee</t>
  </si>
  <si>
    <t>rk_rashaun_agee</t>
  </si>
  <si>
    <t>Zack Austin</t>
  </si>
  <si>
    <t>rk_zack_austin</t>
  </si>
  <si>
    <t>Khalifa Diop</t>
  </si>
  <si>
    <t>rk_khalifa_diop</t>
  </si>
  <si>
    <t>Ernest Udeh Jr.</t>
  </si>
  <si>
    <t>rk_ernest_udeh</t>
  </si>
  <si>
    <t>Noam Yaacov</t>
  </si>
  <si>
    <t>rk_noam_yaacov</t>
  </si>
  <si>
    <t>flaggco01</t>
  </si>
  <si>
    <t>P.J. Washington</t>
  </si>
  <si>
    <t>washipj01</t>
  </si>
  <si>
    <t>Naji Marshall</t>
  </si>
  <si>
    <t>marshna01</t>
  </si>
  <si>
    <t>Max Christie</t>
  </si>
  <si>
    <t>chrisma02</t>
  </si>
  <si>
    <t>Santi Aldama</t>
  </si>
  <si>
    <t>aldamsa01</t>
  </si>
  <si>
    <t>Zaccharie Risacher</t>
  </si>
  <si>
    <t>risacza01</t>
  </si>
  <si>
    <t>gaffoda01</t>
  </si>
  <si>
    <t>Morez Johnson Jr.</t>
  </si>
  <si>
    <t>rk_morez_johnson</t>
  </si>
  <si>
    <t>Caleb Martin</t>
  </si>
  <si>
    <t>martica02</t>
  </si>
  <si>
    <t>irvinky01</t>
  </si>
  <si>
    <t>livelde01</t>
  </si>
  <si>
    <t>Marcus Sasser</t>
  </si>
  <si>
    <t>sassema01</t>
  </si>
  <si>
    <t>Dwight Powell</t>
  </si>
  <si>
    <t>poweldw01</t>
  </si>
  <si>
    <t>Sergio de Larrea</t>
  </si>
  <si>
    <t>rk_sergio_de_larrea</t>
  </si>
  <si>
    <t>Jett Howard</t>
  </si>
  <si>
    <t>howarje01</t>
  </si>
  <si>
    <t>John Poulakidas</t>
  </si>
  <si>
    <t>poulajo01</t>
  </si>
  <si>
    <t>Moussa Cisse</t>
  </si>
  <si>
    <t>cissemo01</t>
  </si>
  <si>
    <t>Tobi Lawal</t>
  </si>
  <si>
    <t>rk_tobi_lawal</t>
  </si>
  <si>
    <t>Tarik Biberovic</t>
  </si>
  <si>
    <t>rk_tarik_biberovic</t>
  </si>
  <si>
    <t>Jorge Diaz Graham</t>
  </si>
  <si>
    <t>rk_jorge_diaz_graham</t>
  </si>
  <si>
    <t>Seth Lundy</t>
  </si>
  <si>
    <t>lundyse01</t>
  </si>
  <si>
    <t>murraja01</t>
  </si>
  <si>
    <t>jokicni01</t>
  </si>
  <si>
    <t>DeMar DeRozan</t>
  </si>
  <si>
    <t>derozde01</t>
  </si>
  <si>
    <t>Christian Braun</t>
  </si>
  <si>
    <t>braunch01</t>
  </si>
  <si>
    <t>Cameron Johnson</t>
  </si>
  <si>
    <t>johnsca02</t>
  </si>
  <si>
    <t>Aaron Gordon</t>
  </si>
  <si>
    <t>gordoaa01</t>
  </si>
  <si>
    <t>Tyus Jones</t>
  </si>
  <si>
    <t>jonesty01</t>
  </si>
  <si>
    <t>Ryan Nembhard</t>
  </si>
  <si>
    <t>nembhry01</t>
  </si>
  <si>
    <t>Spencer Jones</t>
  </si>
  <si>
    <t>jonessp01</t>
  </si>
  <si>
    <t>Marvin Bagley III</t>
  </si>
  <si>
    <t>baglema01</t>
  </si>
  <si>
    <t>Julian Strawther</t>
  </si>
  <si>
    <t>strawju01</t>
  </si>
  <si>
    <t>Cam Whitmore</t>
  </si>
  <si>
    <t>whitmca01</t>
  </si>
  <si>
    <t>Lonnie Walker IV</t>
  </si>
  <si>
    <t>walkelo01</t>
  </si>
  <si>
    <t>Zeke Nnaji</t>
  </si>
  <si>
    <t>nnajize01</t>
  </si>
  <si>
    <t>Trevon Brazile</t>
  </si>
  <si>
    <t>rk_trevon_brazile</t>
  </si>
  <si>
    <t>DaRon Holmes II</t>
  </si>
  <si>
    <t>holmeda01</t>
  </si>
  <si>
    <t>Bryce Hopkins</t>
  </si>
  <si>
    <t>rk_bryce_hopkins</t>
  </si>
  <si>
    <t>Steven Crowl</t>
  </si>
  <si>
    <t>rk_steven_crowl</t>
  </si>
  <si>
    <t>Alpha Diallo</t>
  </si>
  <si>
    <t>rk_alpha_diallo</t>
  </si>
  <si>
    <t>Dane Goodwin</t>
  </si>
  <si>
    <t>rk_dane_goodwin</t>
  </si>
  <si>
    <t>Coleman Hawkins</t>
  </si>
  <si>
    <t>rk_coleman_hawkins</t>
  </si>
  <si>
    <t>Emanuel Miller</t>
  </si>
  <si>
    <t>milleem01</t>
  </si>
  <si>
    <t>cunnica01</t>
  </si>
  <si>
    <t>durenja01</t>
  </si>
  <si>
    <t>robindu01</t>
  </si>
  <si>
    <t>John Collins</t>
  </si>
  <si>
    <t>collijo01</t>
  </si>
  <si>
    <t>thompau01</t>
  </si>
  <si>
    <t>Kevin Huerter</t>
  </si>
  <si>
    <t>huertke01</t>
  </si>
  <si>
    <t>Isaiah Joe</t>
  </si>
  <si>
    <t>joeis01</t>
  </si>
  <si>
    <t>Taurean Prince</t>
  </si>
  <si>
    <t>princta02</t>
  </si>
  <si>
    <t>Ronald Holland II</t>
  </si>
  <si>
    <t>hollaro01</t>
  </si>
  <si>
    <t>Javonte Green</t>
  </si>
  <si>
    <t>greenja02</t>
  </si>
  <si>
    <t>jenkida01</t>
  </si>
  <si>
    <t>rk_ebuka_okorie</t>
  </si>
  <si>
    <t>Paul Reed</t>
  </si>
  <si>
    <t>reedpa01</t>
  </si>
  <si>
    <t>Elijah Harkless</t>
  </si>
  <si>
    <t>harklej01</t>
  </si>
  <si>
    <t>Tolu Smith</t>
  </si>
  <si>
    <t>smithto05</t>
  </si>
  <si>
    <t>Chaz Lanier</t>
  </si>
  <si>
    <t>laniech01</t>
  </si>
  <si>
    <t>Ugonna Onyenso</t>
  </si>
  <si>
    <t>rk_ugonna_onyenso</t>
  </si>
  <si>
    <t>Brice Williams</t>
  </si>
  <si>
    <t>rk_brice_williams</t>
  </si>
  <si>
    <t>Isaac Jones</t>
  </si>
  <si>
    <t>jonesis01</t>
  </si>
  <si>
    <t>Brandin Podziemski</t>
  </si>
  <si>
    <t>podzibr01</t>
  </si>
  <si>
    <t>Draymond Green</t>
  </si>
  <si>
    <t>greendr01</t>
  </si>
  <si>
    <t>curryst01</t>
  </si>
  <si>
    <t>Al Horford</t>
  </si>
  <si>
    <t>horfoal01</t>
  </si>
  <si>
    <t>Will Richard</t>
  </si>
  <si>
    <t>richawi02</t>
  </si>
  <si>
    <t>De'Anthony Melton</t>
  </si>
  <si>
    <t>meltode01</t>
  </si>
  <si>
    <t>porzikr01</t>
  </si>
  <si>
    <t>rk_yaxel_lendeborg</t>
  </si>
  <si>
    <t>Brandon Williams</t>
  </si>
  <si>
    <t>willibr03</t>
  </si>
  <si>
    <t>Gui Santos</t>
  </si>
  <si>
    <t>santogu01</t>
  </si>
  <si>
    <t>Moses Moody</t>
  </si>
  <si>
    <t>moodymo01</t>
  </si>
  <si>
    <t>Gary Payton II</t>
  </si>
  <si>
    <t>paytoga02</t>
  </si>
  <si>
    <t>Jimmy Butler III</t>
  </si>
  <si>
    <t>butleji01</t>
  </si>
  <si>
    <t>Tyler Burton</t>
  </si>
  <si>
    <t>burtoty01</t>
  </si>
  <si>
    <t>Dalen Terry</t>
  </si>
  <si>
    <t>terryda01</t>
  </si>
  <si>
    <t>Georges Niang</t>
  </si>
  <si>
    <t>niangge01</t>
  </si>
  <si>
    <t>LJ Cryer</t>
  </si>
  <si>
    <t>cryerlj01</t>
  </si>
  <si>
    <t>Charles Bassey</t>
  </si>
  <si>
    <t>bassech01</t>
  </si>
  <si>
    <t>Malevy Leons</t>
  </si>
  <si>
    <t>leonsma01</t>
  </si>
  <si>
    <t>Graham Ike</t>
  </si>
  <si>
    <t>rk_graham_ike</t>
  </si>
  <si>
    <t>Alex Toohey</t>
  </si>
  <si>
    <t>rk_alex_toohey</t>
  </si>
  <si>
    <t>thompam01</t>
  </si>
  <si>
    <t>duranke01</t>
  </si>
  <si>
    <t>Jabari Smith Jr.</t>
  </si>
  <si>
    <t>smithja05</t>
  </si>
  <si>
    <t>sengual01</t>
  </si>
  <si>
    <t>easonta01</t>
  </si>
  <si>
    <t>smartma01</t>
  </si>
  <si>
    <t>sheppre01</t>
  </si>
  <si>
    <t>Bogdan Bogdanovic</t>
  </si>
  <si>
    <t>bogdabo01</t>
  </si>
  <si>
    <t>Clint Capela</t>
  </si>
  <si>
    <t>capelca01</t>
  </si>
  <si>
    <t>vanvlfr01</t>
  </si>
  <si>
    <t>Steven Adams</t>
  </si>
  <si>
    <t>adamsst01</t>
  </si>
  <si>
    <t>Oscar Tshiebwe</t>
  </si>
  <si>
    <t>tshieos01</t>
  </si>
  <si>
    <t>Julian Phillips</t>
  </si>
  <si>
    <t>phillju01</t>
  </si>
  <si>
    <t>Bruce Thornton</t>
  </si>
  <si>
    <t>rk_bruce_thornton</t>
  </si>
  <si>
    <t>Jae'Sean Tate</t>
  </si>
  <si>
    <t>tateja01</t>
  </si>
  <si>
    <t>Sean Pedulla</t>
  </si>
  <si>
    <t>pedulse01</t>
  </si>
  <si>
    <t>Quadir Copeland</t>
  </si>
  <si>
    <t>rk_quadir_copeland</t>
  </si>
  <si>
    <t>Isaiah Crawford</t>
  </si>
  <si>
    <t>crawfis01</t>
  </si>
  <si>
    <t>siakapa01</t>
  </si>
  <si>
    <t>Kelly Oubre Jr.</t>
  </si>
  <si>
    <t>oubreke01</t>
  </si>
  <si>
    <t>zubaciv01</t>
  </si>
  <si>
    <t>Andrew Nembhard</t>
  </si>
  <si>
    <t>nembhan01</t>
  </si>
  <si>
    <t>halibty01</t>
  </si>
  <si>
    <t>Aaron Nesmith</t>
  </si>
  <si>
    <t>nesmiaa01</t>
  </si>
  <si>
    <t>Jarace Walker</t>
  </si>
  <si>
    <t>walkeja02</t>
  </si>
  <si>
    <t>Ben Sheppard</t>
  </si>
  <si>
    <t>sheppbe01</t>
  </si>
  <si>
    <t>huffja01</t>
  </si>
  <si>
    <t>T.J. McConnell</t>
  </si>
  <si>
    <t>mccontj01</t>
  </si>
  <si>
    <t>Obi Toppin</t>
  </si>
  <si>
    <t>toppiob01</t>
  </si>
  <si>
    <t>Quenton Jackson</t>
  </si>
  <si>
    <t>jacksqu01</t>
  </si>
  <si>
    <t>Larry Nance Jr.</t>
  </si>
  <si>
    <t>nancela02</t>
  </si>
  <si>
    <t>Kobe Brown</t>
  </si>
  <si>
    <t>brownko01</t>
  </si>
  <si>
    <t>Jalen Slawson</t>
  </si>
  <si>
    <t>slawsja01</t>
  </si>
  <si>
    <t>Braden Smith</t>
  </si>
  <si>
    <t>rk_braden_smith</t>
  </si>
  <si>
    <t>Johnny Furphy</t>
  </si>
  <si>
    <t>furphjo01</t>
  </si>
  <si>
    <t>James Johnson</t>
  </si>
  <si>
    <t>johnsja01</t>
  </si>
  <si>
    <t>Rui Hachimura</t>
  </si>
  <si>
    <t>hachiru01</t>
  </si>
  <si>
    <t>garlada01</t>
  </si>
  <si>
    <t>Brandon Ingram</t>
  </si>
  <si>
    <t>ingrabr01</t>
  </si>
  <si>
    <t>dunnkr01</t>
  </si>
  <si>
    <t>rk_keaton_wagler</t>
  </si>
  <si>
    <t>Brook Lopez</t>
  </si>
  <si>
    <t>lopezbr01</t>
  </si>
  <si>
    <t>Derrick Jones Jr.</t>
  </si>
  <si>
    <t>jonesde02</t>
  </si>
  <si>
    <t>Gradey Dick</t>
  </si>
  <si>
    <t>dickgr01</t>
  </si>
  <si>
    <t>Kobe Sanders</t>
  </si>
  <si>
    <t>sandeko01</t>
  </si>
  <si>
    <t>Bradley Beal</t>
  </si>
  <si>
    <t>bealbr01</t>
  </si>
  <si>
    <t>Max Strus</t>
  </si>
  <si>
    <t>strusma01</t>
  </si>
  <si>
    <t>Isaiah Jackson</t>
  </si>
  <si>
    <t>jacksis01</t>
  </si>
  <si>
    <t>Jalen Pickett</t>
  </si>
  <si>
    <t>pickeja02</t>
  </si>
  <si>
    <t>Blake Wesley</t>
  </si>
  <si>
    <t>weslebl01</t>
  </si>
  <si>
    <t>Baba Miller</t>
  </si>
  <si>
    <t>rk_baba_miller</t>
  </si>
  <si>
    <t>Yanic Konan Niederhauser</t>
  </si>
  <si>
    <t>konanya01</t>
  </si>
  <si>
    <t>Cam Christie</t>
  </si>
  <si>
    <t>chrisca02</t>
  </si>
  <si>
    <t>Yuki Kawamura</t>
  </si>
  <si>
    <t>kawamyu01</t>
  </si>
  <si>
    <t>Nick Martinelli</t>
  </si>
  <si>
    <t>rk_nick_martinelli</t>
  </si>
  <si>
    <t>Jahmyl Telfort</t>
  </si>
  <si>
    <t>telfoja01</t>
  </si>
  <si>
    <t>Fletcher Loyer</t>
  </si>
  <si>
    <t>rk_fletcher_loyer</t>
  </si>
  <si>
    <t>DeAndre Williams</t>
  </si>
  <si>
    <t>rk_deandre_williams</t>
  </si>
  <si>
    <t>Jordan Miller</t>
  </si>
  <si>
    <t>millejo02</t>
  </si>
  <si>
    <t>doncilu01</t>
  </si>
  <si>
    <t>reaveau01</t>
  </si>
  <si>
    <t>Quentin Grimes</t>
  </si>
  <si>
    <t>grimequ01</t>
  </si>
  <si>
    <t>Collin Sexton</t>
  </si>
  <si>
    <t>sextoco01</t>
  </si>
  <si>
    <t>Jake LaRavia</t>
  </si>
  <si>
    <t>laravja01</t>
  </si>
  <si>
    <t>Ziaire Williams</t>
  </si>
  <si>
    <t>willizi02</t>
  </si>
  <si>
    <t>kesslwa01</t>
  </si>
  <si>
    <t>mamuksa01</t>
  </si>
  <si>
    <t>Jarred Vanderbilt</t>
  </si>
  <si>
    <t>vandeja01</t>
  </si>
  <si>
    <t>Jaden Hardy</t>
  </si>
  <si>
    <t>hardyja02</t>
  </si>
  <si>
    <t>thybuma01</t>
  </si>
  <si>
    <t>Dalton Knecht</t>
  </si>
  <si>
    <t>knechda01</t>
  </si>
  <si>
    <t>Kevon Looney</t>
  </si>
  <si>
    <t>looneke01</t>
  </si>
  <si>
    <t>rk_cameron_carr</t>
  </si>
  <si>
    <t>Bronny James</t>
  </si>
  <si>
    <t>jamesbr02</t>
  </si>
  <si>
    <t>Chris Manon</t>
  </si>
  <si>
    <t>manonch01</t>
  </si>
  <si>
    <t>Adou Thiero</t>
  </si>
  <si>
    <t>thierad01</t>
  </si>
  <si>
    <t>Rafael Castro</t>
  </si>
  <si>
    <t>rk_rafael_castro</t>
  </si>
  <si>
    <t>Arthur Kaluma</t>
  </si>
  <si>
    <t>rk_arthur_kaluma</t>
  </si>
  <si>
    <t>William Kyle III</t>
  </si>
  <si>
    <t>rk_william_kyle</t>
  </si>
  <si>
    <t>AK Okereke</t>
  </si>
  <si>
    <t>rk_ak_okereke</t>
  </si>
  <si>
    <t>rk_cameron_boozer</t>
  </si>
  <si>
    <t>wellsja01</t>
  </si>
  <si>
    <t>grantje01</t>
  </si>
  <si>
    <t>cowarce01</t>
  </si>
  <si>
    <t>stewais01</t>
  </si>
  <si>
    <t>Cam Spencer</t>
  </si>
  <si>
    <t>spencca01</t>
  </si>
  <si>
    <t>Walter Clayton Jr.</t>
  </si>
  <si>
    <t>claytwa01</t>
  </si>
  <si>
    <t>Kris Murray</t>
  </si>
  <si>
    <t>murrakr01</t>
  </si>
  <si>
    <t>GG Jackson</t>
  </si>
  <si>
    <t>jacksgg01</t>
  </si>
  <si>
    <t>Taylor Hendricks</t>
  </si>
  <si>
    <t>hendrta01</t>
  </si>
  <si>
    <t>Scotty Pippen Jr.</t>
  </si>
  <si>
    <t>pippesc02</t>
  </si>
  <si>
    <t>edeyza01</t>
  </si>
  <si>
    <t>Quinten Post</t>
  </si>
  <si>
    <t>postqu01</t>
  </si>
  <si>
    <t>Javon Small</t>
  </si>
  <si>
    <t>smallja01</t>
  </si>
  <si>
    <t>jeromty01</t>
  </si>
  <si>
    <t>Jahmai Mashack</t>
  </si>
  <si>
    <t>mashaja01</t>
  </si>
  <si>
    <t>Micah Peavy</t>
  </si>
  <si>
    <t>peavymi01</t>
  </si>
  <si>
    <t>Olivier-Maxence Prosper</t>
  </si>
  <si>
    <t>prospol01</t>
  </si>
  <si>
    <t>Karim Lopez</t>
  </si>
  <si>
    <t>rk_karim_lopez</t>
  </si>
  <si>
    <t>Carson Cooper</t>
  </si>
  <si>
    <t>rk_carson_cooper</t>
  </si>
  <si>
    <t>adebaba01</t>
  </si>
  <si>
    <t>Andrew Wiggins</t>
  </si>
  <si>
    <t>wiggian01</t>
  </si>
  <si>
    <t>Tim Hardaway Jr.</t>
  </si>
  <si>
    <t>hardati02</t>
  </si>
  <si>
    <t>antetgi01</t>
  </si>
  <si>
    <t>mitchda01</t>
  </si>
  <si>
    <t>thompkl01</t>
  </si>
  <si>
    <t>portibo01</t>
  </si>
  <si>
    <t>Pelle Larsson</t>
  </si>
  <si>
    <t>larsspe01</t>
  </si>
  <si>
    <t>Simone Fontecchio</t>
  </si>
  <si>
    <t>fontesi01</t>
  </si>
  <si>
    <t>jovicni01</t>
  </si>
  <si>
    <t>Nick Richards</t>
  </si>
  <si>
    <t>richani01</t>
  </si>
  <si>
    <t>Bez Mbeng</t>
  </si>
  <si>
    <t>mbengbe01</t>
  </si>
  <si>
    <t>Dennis Smith Jr.</t>
  </si>
  <si>
    <t>smithde03</t>
  </si>
  <si>
    <t>Dru Smith</t>
  </si>
  <si>
    <t>smithdr01</t>
  </si>
  <si>
    <t>Ryan Conwell</t>
  </si>
  <si>
    <t>rk_ryan_conwell</t>
  </si>
  <si>
    <t>Myron Gardner</t>
  </si>
  <si>
    <t>gardnmy01</t>
  </si>
  <si>
    <t>Keshad Johnson</t>
  </si>
  <si>
    <t>johnske10</t>
  </si>
  <si>
    <t>Tre Donaldson</t>
  </si>
  <si>
    <t>rk_tre_donaldson</t>
  </si>
  <si>
    <t>J'Vonne Hadley</t>
  </si>
  <si>
    <t>rk_jvonne_hadley</t>
  </si>
  <si>
    <t>Gabe Madsen</t>
  </si>
  <si>
    <t>rk_gabe_madsen</t>
  </si>
  <si>
    <t>Ian Schieffelin</t>
  </si>
  <si>
    <t>rk_ian_schieffelin</t>
  </si>
  <si>
    <t>Vladislav Goldin</t>
  </si>
  <si>
    <t>goldivl01</t>
  </si>
  <si>
    <t>Lester Quinones</t>
  </si>
  <si>
    <t>quinole01</t>
  </si>
  <si>
    <t>Kylor Kelley</t>
  </si>
  <si>
    <t>kelleky01</t>
  </si>
  <si>
    <t>herroty01</t>
  </si>
  <si>
    <t>turnemy01</t>
  </si>
  <si>
    <t>Kyle Kuzma</t>
  </si>
  <si>
    <t>kuzmaky01</t>
  </si>
  <si>
    <t>Jaime Jaquez Jr.</t>
  </si>
  <si>
    <t>jaqueja01</t>
  </si>
  <si>
    <t>greenaj01</t>
  </si>
  <si>
    <t>rolliry01</t>
  </si>
  <si>
    <t>Gary Trent Jr.</t>
  </si>
  <si>
    <t>trentga02</t>
  </si>
  <si>
    <t>Kel'el Ware</t>
  </si>
  <si>
    <t>wareke01</t>
  </si>
  <si>
    <t>Kevin Porter Jr.</t>
  </si>
  <si>
    <t>porteke02</t>
  </si>
  <si>
    <t>Caris LeVert</t>
  </si>
  <si>
    <t>leverca01</t>
  </si>
  <si>
    <t>rk_brayden_burries</t>
  </si>
  <si>
    <t>rk_nate_ament</t>
  </si>
  <si>
    <t>Jericho Sims</t>
  </si>
  <si>
    <t>simsje01</t>
  </si>
  <si>
    <t>Kasparas Jakucionis</t>
  </si>
  <si>
    <t>jakucka01</t>
  </si>
  <si>
    <t>diengou01</t>
  </si>
  <si>
    <t>Kam Jones</t>
  </si>
  <si>
    <t>joneska03</t>
  </si>
  <si>
    <t>Cormac Ryan</t>
  </si>
  <si>
    <t>ryanco01</t>
  </si>
  <si>
    <t>Pete Nance</t>
  </si>
  <si>
    <t>nancepe01</t>
  </si>
  <si>
    <t>Johni Broome</t>
  </si>
  <si>
    <t>broomjo01</t>
  </si>
  <si>
    <t>John Butler Jr.</t>
  </si>
  <si>
    <t>butlejo01</t>
  </si>
  <si>
    <t>Bogoljub Markovic</t>
  </si>
  <si>
    <t>rk_bogoljub_markovic</t>
  </si>
  <si>
    <t>Jake Stephens</t>
  </si>
  <si>
    <t>rk_jake_stephens</t>
  </si>
  <si>
    <t>edwaran01</t>
  </si>
  <si>
    <t>mcdanja02</t>
  </si>
  <si>
    <t>goberru01</t>
  </si>
  <si>
    <t>ballla01</t>
  </si>
  <si>
    <t>Ayo Dosunmu</t>
  </si>
  <si>
    <t>dosunay01</t>
  </si>
  <si>
    <t>Cody Williams</t>
  </si>
  <si>
    <t>willico04</t>
  </si>
  <si>
    <t>Jonathan Kuminga</t>
  </si>
  <si>
    <t>kuminjo01</t>
  </si>
  <si>
    <t>Trey Lyles</t>
  </si>
  <si>
    <t>lylestr01</t>
  </si>
  <si>
    <t>Bones Hyland</t>
  </si>
  <si>
    <t>hylanbo01</t>
  </si>
  <si>
    <t>Jaylen Clark</t>
  </si>
  <si>
    <t>clarkja02</t>
  </si>
  <si>
    <t>Terrence Shannon Jr.</t>
  </si>
  <si>
    <t>shannte01</t>
  </si>
  <si>
    <t>Isaiah Evans</t>
  </si>
  <si>
    <t>rk_isaiah_evans</t>
  </si>
  <si>
    <t>Antonio Reeves</t>
  </si>
  <si>
    <t>reevean01</t>
  </si>
  <si>
    <t>Drew Timme</t>
  </si>
  <si>
    <t>timmedr01</t>
  </si>
  <si>
    <t>KJ Martin</t>
  </si>
  <si>
    <t>martike04</t>
  </si>
  <si>
    <t>berinjo01</t>
  </si>
  <si>
    <t>Rocco Zikarsky</t>
  </si>
  <si>
    <t>zikarro01</t>
  </si>
  <si>
    <t>Zyon Pullin</t>
  </si>
  <si>
    <t>pullizy01</t>
  </si>
  <si>
    <t>Enrique Freeman</t>
  </si>
  <si>
    <t>freemen01</t>
  </si>
  <si>
    <t>Norchad Omier</t>
  </si>
  <si>
    <t>omierno01</t>
  </si>
  <si>
    <t>Donte DiVincenzo</t>
  </si>
  <si>
    <t>divindo01</t>
  </si>
  <si>
    <t>murphtr02</t>
  </si>
  <si>
    <t>Saddiq Bey</t>
  </si>
  <si>
    <t>beysa01</t>
  </si>
  <si>
    <t>mathube01</t>
  </si>
  <si>
    <t>willizi01</t>
  </si>
  <si>
    <t>fearsje01</t>
  </si>
  <si>
    <t>queende01</t>
  </si>
  <si>
    <t>joneshe01</t>
  </si>
  <si>
    <t>Jordan Poole</t>
  </si>
  <si>
    <t>poolejo01</t>
  </si>
  <si>
    <t>murrade01</t>
  </si>
  <si>
    <t>missiyv01</t>
  </si>
  <si>
    <t>Trendon Watford</t>
  </si>
  <si>
    <t>watfotr01</t>
  </si>
  <si>
    <t>Julian Reese</t>
  </si>
  <si>
    <t>reeseju01</t>
  </si>
  <si>
    <t>Karlo Matkovic</t>
  </si>
  <si>
    <t>matkoka01</t>
  </si>
  <si>
    <t>Bryce McGowens</t>
  </si>
  <si>
    <t>mcgowbr01</t>
  </si>
  <si>
    <t>AJ Johnson</t>
  </si>
  <si>
    <t>johnsaj01</t>
  </si>
  <si>
    <t>Christian Koloko</t>
  </si>
  <si>
    <t>kolokch01</t>
  </si>
  <si>
    <t>Caleb Houstan</t>
  </si>
  <si>
    <t>houstca01</t>
  </si>
  <si>
    <t>DeAndre Jordan</t>
  </si>
  <si>
    <t>jordade01</t>
  </si>
  <si>
    <t>Kobe Bufkin</t>
  </si>
  <si>
    <t>bufkiko01</t>
  </si>
  <si>
    <t>Jaron Pierre Jr.</t>
  </si>
  <si>
    <t>rk_jaron_pierre</t>
  </si>
  <si>
    <t>Malik Dia</t>
  </si>
  <si>
    <t>rk_malik_dia</t>
  </si>
  <si>
    <t>Jalon Moore</t>
  </si>
  <si>
    <t>rk_jalon_moore</t>
  </si>
  <si>
    <t>bridgmi01</t>
  </si>
  <si>
    <t>brunsja01</t>
  </si>
  <si>
    <t>anunoog01</t>
  </si>
  <si>
    <t>Karl-Anthony Towns</t>
  </si>
  <si>
    <t>townska01</t>
  </si>
  <si>
    <t>hartjo01</t>
  </si>
  <si>
    <t>Bruce Brown</t>
  </si>
  <si>
    <t>brownbr01</t>
  </si>
  <si>
    <t>Miles McBride</t>
  </si>
  <si>
    <t>mcbrimi01</t>
  </si>
  <si>
    <t>Jose Alvarado</t>
  </si>
  <si>
    <t>alvarjo01</t>
  </si>
  <si>
    <t>Jordan Clarkson</t>
  </si>
  <si>
    <t>clarkjo01</t>
  </si>
  <si>
    <t>Ochai Agbaji</t>
  </si>
  <si>
    <t>agbajoc01</t>
  </si>
  <si>
    <t>Landry Shamet</t>
  </si>
  <si>
    <t>shamela01</t>
  </si>
  <si>
    <t>Andre Drummond</t>
  </si>
  <si>
    <t>drumman01</t>
  </si>
  <si>
    <t>Drew Eubanks</t>
  </si>
  <si>
    <t>eubandr01</t>
  </si>
  <si>
    <t>James Wiseman</t>
  </si>
  <si>
    <t>wisemja01</t>
  </si>
  <si>
    <t>Tyler Kolek</t>
  </si>
  <si>
    <t>kolekty01</t>
  </si>
  <si>
    <t>Mohamed Diawara</t>
  </si>
  <si>
    <t>diawamo01</t>
  </si>
  <si>
    <t>Tony Bradley</t>
  </si>
  <si>
    <t>bradlto01</t>
  </si>
  <si>
    <t>Tyler Nickel</t>
  </si>
  <si>
    <t>rk_tyler_nickel</t>
  </si>
  <si>
    <t>Kevin McCullar Jr.</t>
  </si>
  <si>
    <t>mcculke01</t>
  </si>
  <si>
    <t>Jaden Akins</t>
  </si>
  <si>
    <t>rk_jaden_akins</t>
  </si>
  <si>
    <t>Pacome Dadiet</t>
  </si>
  <si>
    <t>dadiepa01</t>
  </si>
  <si>
    <t>Shai Gilgeous-Alexander</t>
  </si>
  <si>
    <t>gilgesh01</t>
  </si>
  <si>
    <t>holmgch01</t>
  </si>
  <si>
    <t>wallaca01</t>
  </si>
  <si>
    <t>willija06</t>
  </si>
  <si>
    <t>harteis01</t>
  </si>
  <si>
    <t>mitchaj01</t>
  </si>
  <si>
    <t>carusal01</t>
  </si>
  <si>
    <t>Aday Mara</t>
  </si>
  <si>
    <t>rk_aday_mara</t>
  </si>
  <si>
    <t>mccaija01</t>
  </si>
  <si>
    <t>Jaylin Williams</t>
  </si>
  <si>
    <t>willija07</t>
  </si>
  <si>
    <t>Zhaire Smith</t>
  </si>
  <si>
    <t>smithzh01</t>
  </si>
  <si>
    <t>Bennett Stirtz</t>
  </si>
  <si>
    <t>rk_bennett_stirtz</t>
  </si>
  <si>
    <t>Kenrich Williams</t>
  </si>
  <si>
    <t>willike04</t>
  </si>
  <si>
    <t>Nikola Topic</t>
  </si>
  <si>
    <t>topicni01</t>
  </si>
  <si>
    <t>Brooks Barnhizer</t>
  </si>
  <si>
    <t>barnhbr01</t>
  </si>
  <si>
    <t>Josh Dix</t>
  </si>
  <si>
    <t>rk_josh_dix</t>
  </si>
  <si>
    <t>Andrew Holifield</t>
  </si>
  <si>
    <t>rk_andrew_holifield</t>
  </si>
  <si>
    <t>Robert McCray V</t>
  </si>
  <si>
    <t>rk_robert_mccray</t>
  </si>
  <si>
    <t>Anthony Pritchard</t>
  </si>
  <si>
    <t>rk_anthony_pritchard</t>
  </si>
  <si>
    <t>Thomas Sorber</t>
  </si>
  <si>
    <t>rk_thomas_sorber</t>
  </si>
  <si>
    <t>Christoph Tilly</t>
  </si>
  <si>
    <t>rk_christoph_tilly</t>
  </si>
  <si>
    <t>Otega Oweh</t>
  </si>
  <si>
    <t>rk_otega_oweh</t>
  </si>
  <si>
    <t>banede01</t>
  </si>
  <si>
    <t>banchpa01</t>
  </si>
  <si>
    <t>Wendell Carter Jr.</t>
  </si>
  <si>
    <t>cartewe01</t>
  </si>
  <si>
    <t>vucevni01</t>
  </si>
  <si>
    <t>wagnefr01</t>
  </si>
  <si>
    <t>blackan01</t>
  </si>
  <si>
    <t>suggsja01</t>
  </si>
  <si>
    <t>Tristan da Silva</t>
  </si>
  <si>
    <t>dasiltr01</t>
  </si>
  <si>
    <t>Goga Bitadze</t>
  </si>
  <si>
    <t>bitadgo01</t>
  </si>
  <si>
    <t>Jevon Carter</t>
  </si>
  <si>
    <t>carteje01</t>
  </si>
  <si>
    <t>Noah Penda</t>
  </si>
  <si>
    <t>pendano01</t>
  </si>
  <si>
    <t>Jonathan Isaac</t>
  </si>
  <si>
    <t>isaacjo01</t>
  </si>
  <si>
    <t>Kevin Knox II</t>
  </si>
  <si>
    <t>knoxke01</t>
  </si>
  <si>
    <t>Malaki Branham</t>
  </si>
  <si>
    <t>branhma01</t>
  </si>
  <si>
    <t>richaja02</t>
  </si>
  <si>
    <t>Jamal Cain</t>
  </si>
  <si>
    <t>cainja01</t>
  </si>
  <si>
    <t>Colin Castleton</t>
  </si>
  <si>
    <t>castlco01</t>
  </si>
  <si>
    <t>Alex Morales</t>
  </si>
  <si>
    <t>moralal01</t>
  </si>
  <si>
    <t>Izaiyah Nelson</t>
  </si>
  <si>
    <t>rk_izaiyah_nelson</t>
  </si>
  <si>
    <t>JD Davison</t>
  </si>
  <si>
    <t>davisjd01</t>
  </si>
  <si>
    <t>Mike Sharavjamts</t>
  </si>
  <si>
    <t>rk_mike_sharavjamts</t>
  </si>
  <si>
    <t>maxeyty01</t>
  </si>
  <si>
    <t>edgecvj01</t>
  </si>
  <si>
    <t>brownja02</t>
  </si>
  <si>
    <t>jamesle01</t>
  </si>
  <si>
    <t>simonan01</t>
  </si>
  <si>
    <t>Kentavious Caldwell-Pope</t>
  </si>
  <si>
    <t>caldwke01</t>
  </si>
  <si>
    <t>embiijo01</t>
  </si>
  <si>
    <t>Dean Wade</t>
  </si>
  <si>
    <t>wadede01</t>
  </si>
  <si>
    <t>Dominick Barlow</t>
  </si>
  <si>
    <t>barlodo01</t>
  </si>
  <si>
    <t>Justin Edwards</t>
  </si>
  <si>
    <t>edwarju01</t>
  </si>
  <si>
    <t>Caleb Love</t>
  </si>
  <si>
    <t>loveca01</t>
  </si>
  <si>
    <t>Adem Bona</t>
  </si>
  <si>
    <t>bonaad01</t>
  </si>
  <si>
    <t>Jabari Walker</t>
  </si>
  <si>
    <t>walkeja01</t>
  </si>
  <si>
    <t>Rayan Rupert</t>
  </si>
  <si>
    <t>ruperra01</t>
  </si>
  <si>
    <t>Labaron Philon Jr.</t>
  </si>
  <si>
    <t>rk_labaron_philon</t>
  </si>
  <si>
    <t>Dillon Jones</t>
  </si>
  <si>
    <t>jonesdi01</t>
  </si>
  <si>
    <t>Tacko Fall</t>
  </si>
  <si>
    <t>fallta01</t>
  </si>
  <si>
    <t>Duke Miles</t>
  </si>
  <si>
    <t>rk_duke_miles</t>
  </si>
  <si>
    <t>Jameer Nelson Jr.</t>
  </si>
  <si>
    <t>nelsoja01</t>
  </si>
  <si>
    <t>Saint Thomas</t>
  </si>
  <si>
    <t>rk_saint_thomas</t>
  </si>
  <si>
    <t>Ariel Hukporti</t>
  </si>
  <si>
    <t>hukpoar01</t>
  </si>
  <si>
    <t>bookede01</t>
  </si>
  <si>
    <t>Miles Bridges</t>
  </si>
  <si>
    <t>bridgmi02</t>
  </si>
  <si>
    <t>Dillon Brooks</t>
  </si>
  <si>
    <t>brookdi01</t>
  </si>
  <si>
    <t>Jalen Green</t>
  </si>
  <si>
    <t>greenja05</t>
  </si>
  <si>
    <t>Collin Gillespie</t>
  </si>
  <si>
    <t>gilleco01</t>
  </si>
  <si>
    <t>kennalu01</t>
  </si>
  <si>
    <t>Oso Ighodaro</t>
  </si>
  <si>
    <t>ighodos01</t>
  </si>
  <si>
    <t>goodwjo01</t>
  </si>
  <si>
    <t>Ryan Dunn</t>
  </si>
  <si>
    <t>dunnry01</t>
  </si>
  <si>
    <t>Haywood Highsmith</t>
  </si>
  <si>
    <t>highsha01</t>
  </si>
  <si>
    <t>Kennedy Chandler</t>
  </si>
  <si>
    <t>chandke01</t>
  </si>
  <si>
    <t>Pat Spencer</t>
  </si>
  <si>
    <t>spencpa01</t>
  </si>
  <si>
    <t>Rasheer Fleming</t>
  </si>
  <si>
    <t>flemira01</t>
  </si>
  <si>
    <t>Jamaree Bouyea</t>
  </si>
  <si>
    <t>bouyeja01</t>
  </si>
  <si>
    <t>Koa Peat</t>
  </si>
  <si>
    <t>rk_koa_peat</t>
  </si>
  <si>
    <t>Duop Reath</t>
  </si>
  <si>
    <t>reathdu01</t>
  </si>
  <si>
    <t>maluakh01</t>
  </si>
  <si>
    <t>Mark Williams</t>
  </si>
  <si>
    <t>willima07</t>
  </si>
  <si>
    <t>CJ Huntley</t>
  </si>
  <si>
    <t>huntlcj01</t>
  </si>
  <si>
    <t>Koby Brea</t>
  </si>
  <si>
    <t>breako01</t>
  </si>
  <si>
    <t>Phillip Wheeler</t>
  </si>
  <si>
    <t>wheelph02</t>
  </si>
  <si>
    <t>camarto01</t>
  </si>
  <si>
    <t>avdijde01</t>
  </si>
  <si>
    <t>holidjr01</t>
  </si>
  <si>
    <t>clingdo01</t>
  </si>
  <si>
    <t>moranja01</t>
  </si>
  <si>
    <t>hendesc01</t>
  </si>
  <si>
    <t>Vit Krejci</t>
  </si>
  <si>
    <t>krejcvi01</t>
  </si>
  <si>
    <t>Jeremy Sochan</t>
  </si>
  <si>
    <t>sochaje01</t>
  </si>
  <si>
    <t>lillada01</t>
  </si>
  <si>
    <t>Sidy Cissoko</t>
  </si>
  <si>
    <t>cissosi01</t>
  </si>
  <si>
    <t>Micah Potter</t>
  </si>
  <si>
    <t>pottemi01</t>
  </si>
  <si>
    <t>Robert Williams III</t>
  </si>
  <si>
    <t>williro04</t>
  </si>
  <si>
    <t>Branden Carlson</t>
  </si>
  <si>
    <t>carlsbr01</t>
  </si>
  <si>
    <t>Yang Hansen</t>
  </si>
  <si>
    <t>yangha01</t>
  </si>
  <si>
    <t>John Tonje</t>
  </si>
  <si>
    <t>tonjejo01</t>
  </si>
  <si>
    <t>Jayson Kent</t>
  </si>
  <si>
    <t>kentja01</t>
  </si>
  <si>
    <t>Jaylen Martin</t>
  </si>
  <si>
    <t>martija02</t>
  </si>
  <si>
    <t>sharpsh01</t>
  </si>
  <si>
    <t>Chris Youngblood</t>
  </si>
  <si>
    <t>youngch01</t>
  </si>
  <si>
    <t>Zach LaVine</t>
  </si>
  <si>
    <t>lavinza01</t>
  </si>
  <si>
    <t>Keegan Murray</t>
  </si>
  <si>
    <t>murrake02</t>
  </si>
  <si>
    <t>sabondo01</t>
  </si>
  <si>
    <t>Malik Monk</t>
  </si>
  <si>
    <t>monkma01</t>
  </si>
  <si>
    <t>cliffni01</t>
  </si>
  <si>
    <t>De'Andre Hunter</t>
  </si>
  <si>
    <t>huntede01</t>
  </si>
  <si>
    <t>Maxime Raynaud</t>
  </si>
  <si>
    <t>raynama01</t>
  </si>
  <si>
    <t>Precious Achiuwa</t>
  </si>
  <si>
    <t>achiupr01</t>
  </si>
  <si>
    <t>Darius Acuff Jr.</t>
  </si>
  <si>
    <t>rk_darius_acuff</t>
  </si>
  <si>
    <t>Daeqwon Plowden</t>
  </si>
  <si>
    <t>plowdda01</t>
  </si>
  <si>
    <t>Elfrid Payton</t>
  </si>
  <si>
    <t>paytoel01</t>
  </si>
  <si>
    <t>cardwdy01</t>
  </si>
  <si>
    <t>Leaky Black</t>
  </si>
  <si>
    <t>blackle01</t>
  </si>
  <si>
    <t>Jonathan Mogbo</t>
  </si>
  <si>
    <t>mogbojo01</t>
  </si>
  <si>
    <t>Alex Karaban</t>
  </si>
  <si>
    <t>rk_alex_karaban</t>
  </si>
  <si>
    <t>Ben Simmons</t>
  </si>
  <si>
    <t>simmobe01</t>
  </si>
  <si>
    <t>Emanuel Sharp</t>
  </si>
  <si>
    <t>rk_emanuel_sharp</t>
  </si>
  <si>
    <t>Viktor Lakhin</t>
  </si>
  <si>
    <t>rk_viktor_lakhin</t>
  </si>
  <si>
    <t>Tristen Newton</t>
  </si>
  <si>
    <t>newtotr01</t>
  </si>
  <si>
    <t>Adam Flagler</t>
  </si>
  <si>
    <t>flaglad01</t>
  </si>
  <si>
    <t>De'Aaron Fox</t>
  </si>
  <si>
    <t>foxde01</t>
  </si>
  <si>
    <t>Devin Vassell</t>
  </si>
  <si>
    <t>vassede01</t>
  </si>
  <si>
    <t>castlst01</t>
  </si>
  <si>
    <t>wembavi01</t>
  </si>
  <si>
    <t>Tobias Harris</t>
  </si>
  <si>
    <t>harrito02</t>
  </si>
  <si>
    <t>Harrison Barnes</t>
  </si>
  <si>
    <t>barneha02</t>
  </si>
  <si>
    <t>Julian Champagnie</t>
  </si>
  <si>
    <t>champju02</t>
  </si>
  <si>
    <t>johnske04</t>
  </si>
  <si>
    <t>harpedy01</t>
  </si>
  <si>
    <t>Luke Kornet</t>
  </si>
  <si>
    <t>kornelu01</t>
  </si>
  <si>
    <t>bryanca01</t>
  </si>
  <si>
    <t>Tarris Reed Jr.</t>
  </si>
  <si>
    <t>rk_tarris_reed</t>
  </si>
  <si>
    <t>Jayden Quaintance</t>
  </si>
  <si>
    <t>rk_jayden_quaintance</t>
  </si>
  <si>
    <t>Ja'Kobi Gillespie</t>
  </si>
  <si>
    <t>rk_jakobi_gillespie</t>
  </si>
  <si>
    <t>Maliq Brown</t>
  </si>
  <si>
    <t>rk_maliq_brown</t>
  </si>
  <si>
    <t>Jordan McLaughlin</t>
  </si>
  <si>
    <t>mclaujo01</t>
  </si>
  <si>
    <t>David Jones Garcia</t>
  </si>
  <si>
    <t>jonesda06</t>
  </si>
  <si>
    <t>RJ Davis</t>
  </si>
  <si>
    <t>rk_rj_davis</t>
  </si>
  <si>
    <t>Jon Elmore</t>
  </si>
  <si>
    <t>rk_jon_elmore</t>
  </si>
  <si>
    <t>Terry Taylor</t>
  </si>
  <si>
    <t>taylote01</t>
  </si>
  <si>
    <t>barnesc01</t>
  </si>
  <si>
    <t>RJ Barrett</t>
  </si>
  <si>
    <t>barrerj01</t>
  </si>
  <si>
    <t>Immanuel Quickley</t>
  </si>
  <si>
    <t>quickim01</t>
  </si>
  <si>
    <t>leonaka01</t>
  </si>
  <si>
    <t>Jakob Poeltl</t>
  </si>
  <si>
    <t>poeltja01</t>
  </si>
  <si>
    <t>Jamal Shead</t>
  </si>
  <si>
    <t>sheadja01</t>
  </si>
  <si>
    <t>Ja'Kobe Walter</t>
  </si>
  <si>
    <t>walteja01</t>
  </si>
  <si>
    <t>Collin Murray-Boyles</t>
  </si>
  <si>
    <t>murraco01</t>
  </si>
  <si>
    <t>Kyle Anderson</t>
  </si>
  <si>
    <t>anderky01</t>
  </si>
  <si>
    <t>Allen Graves</t>
  </si>
  <si>
    <t>rk_allen_graves</t>
  </si>
  <si>
    <t>Malachi Smith</t>
  </si>
  <si>
    <t>smithma02</t>
  </si>
  <si>
    <t>Trayce Jackson-Davis</t>
  </si>
  <si>
    <t>jackstr02</t>
  </si>
  <si>
    <t>Jamison Battle</t>
  </si>
  <si>
    <t>battlja01</t>
  </si>
  <si>
    <t>Andre Jackson Jr.</t>
  </si>
  <si>
    <t>jacksan01</t>
  </si>
  <si>
    <t>Jaden Bradley</t>
  </si>
  <si>
    <t>rk_jaden_bradley</t>
  </si>
  <si>
    <t>Alijah Martin</t>
  </si>
  <si>
    <t>martial01</t>
  </si>
  <si>
    <t>Nate Bittle</t>
  </si>
  <si>
    <t>rk_nate_bittle</t>
  </si>
  <si>
    <t>Nimari Burnett</t>
  </si>
  <si>
    <t>rk_nimari_burnett</t>
  </si>
  <si>
    <t>Tyson Degenhart</t>
  </si>
  <si>
    <t>rk_tyson_degenhart</t>
  </si>
  <si>
    <t>Tyreke Key</t>
  </si>
  <si>
    <t>rk_tyreke_key</t>
  </si>
  <si>
    <t>Jamarion Sharp</t>
  </si>
  <si>
    <t>rk_jamarion_sharp</t>
  </si>
  <si>
    <t>rk_darryn_peterson</t>
  </si>
  <si>
    <t>Keyonte George</t>
  </si>
  <si>
    <t>georgke01</t>
  </si>
  <si>
    <t>markkla01</t>
  </si>
  <si>
    <t>Jaren Jackson Jr.</t>
  </si>
  <si>
    <t>jacksja02</t>
  </si>
  <si>
    <t>baileac01</t>
  </si>
  <si>
    <t>Isaiah Collier</t>
  </si>
  <si>
    <t>colliis01</t>
  </si>
  <si>
    <t>Kyle Filipowski</t>
  </si>
  <si>
    <t>filipky01</t>
  </si>
  <si>
    <t>Brice Sensabaugh</t>
  </si>
  <si>
    <t>sensabr01</t>
  </si>
  <si>
    <t>nurkiju01</t>
  </si>
  <si>
    <t>Josh Green</t>
  </si>
  <si>
    <t>greenjo02</t>
  </si>
  <si>
    <t>Svi Mykhailiuk</t>
  </si>
  <si>
    <t>mykhasv01</t>
  </si>
  <si>
    <t>Jaxson Hayes</t>
  </si>
  <si>
    <t>hayesja02</t>
  </si>
  <si>
    <t>Josh Okogie</t>
  </si>
  <si>
    <t>okogijo01</t>
  </si>
  <si>
    <t>Blake Hinson</t>
  </si>
  <si>
    <t>hinsobl01</t>
  </si>
  <si>
    <t>Mo Bamba</t>
  </si>
  <si>
    <t>bambamo01</t>
  </si>
  <si>
    <t>Trey Alexander</t>
  </si>
  <si>
    <t>alexatr01</t>
  </si>
  <si>
    <t>Jonas Aidoo</t>
  </si>
  <si>
    <t>rk_jonas_aidoo</t>
  </si>
  <si>
    <t>Tamar Bates</t>
  </si>
  <si>
    <t>rk_tamar_bates</t>
  </si>
  <si>
    <t>Terrell Brown Jr.</t>
  </si>
  <si>
    <t>rk_terrell_brown</t>
  </si>
  <si>
    <t>Taylor Funk</t>
  </si>
  <si>
    <t>rk_taylor_funk</t>
  </si>
  <si>
    <t>Harrison Ingram</t>
  </si>
  <si>
    <t>ingraha01</t>
  </si>
  <si>
    <t>rk_aj_dybantsa</t>
  </si>
  <si>
    <t>Bub Carrington</t>
  </si>
  <si>
    <t>carrica01</t>
  </si>
  <si>
    <t>Kyshawn George</t>
  </si>
  <si>
    <t>georgky01</t>
  </si>
  <si>
    <t>Deandre Ayton</t>
  </si>
  <si>
    <t>aytonde01</t>
  </si>
  <si>
    <t>sarral01</t>
  </si>
  <si>
    <t>Bilal Coulibaly</t>
  </si>
  <si>
    <t>coulibi01</t>
  </si>
  <si>
    <t>youngtr01</t>
  </si>
  <si>
    <t>davisan02</t>
  </si>
  <si>
    <t>Will Riley</t>
  </si>
  <si>
    <t>rileywi01</t>
  </si>
  <si>
    <t>Tre Johnson</t>
  </si>
  <si>
    <t>johnstr03</t>
  </si>
  <si>
    <t>Khris Middleton</t>
  </si>
  <si>
    <t>middlkh01</t>
  </si>
  <si>
    <t>Justin Champagnie</t>
  </si>
  <si>
    <t>champju01</t>
  </si>
  <si>
    <t>Tre Mann</t>
  </si>
  <si>
    <t>manntr01</t>
  </si>
  <si>
    <t>Anthony Gill</t>
  </si>
  <si>
    <t>gillan01</t>
  </si>
  <si>
    <t>Tristan Vukcevic</t>
  </si>
  <si>
    <t>vukcetr01</t>
  </si>
  <si>
    <t>Alondes Williams</t>
  </si>
  <si>
    <t>willial06</t>
  </si>
  <si>
    <t>Felix Okpara</t>
  </si>
  <si>
    <t>rk_felix_okpara</t>
  </si>
  <si>
    <t>Skal Labissiere</t>
  </si>
  <si>
    <t>labissk01</t>
  </si>
  <si>
    <t>Steve Settle III</t>
  </si>
  <si>
    <t>rk_steve_settle</t>
  </si>
  <si>
    <t>Reece Beekman</t>
  </si>
  <si>
    <t>beekmre01</t>
  </si>
  <si>
    <t>Trevor Keels</t>
  </si>
  <si>
    <t>keelstr01</t>
  </si>
  <si>
    <t>Chris Livingston</t>
  </si>
  <si>
    <t>livinch01</t>
  </si>
  <si>
    <t>Jazian Gortman</t>
  </si>
  <si>
    <t>gortmja01</t>
  </si>
  <si>
    <t>Jamir Watkins</t>
  </si>
  <si>
    <t>watkija01</t>
  </si>
  <si>
    <t>Raw_Schedule - 2026-27 scheduled games (80 per team; 30 Cup-dependent games are simulated)</t>
  </si>
  <si>
    <t>Game #</t>
  </si>
  <si>
    <t>Date</t>
  </si>
  <si>
    <t>Start (ET)</t>
  </si>
  <si>
    <t>Away</t>
  </si>
  <si>
    <t>Home</t>
  </si>
  <si>
    <t>Cup group game</t>
  </si>
  <si>
    <t>Arena</t>
  </si>
  <si>
    <t>2026-10-20</t>
  </si>
  <si>
    <t>3:00p</t>
  </si>
  <si>
    <t>Little Caesars Arena</t>
  </si>
  <si>
    <t>7:00p</t>
  </si>
  <si>
    <t>Madison Square Garden (IV)</t>
  </si>
  <si>
    <t>9:30p</t>
  </si>
  <si>
    <t>Frost Bank Center</t>
  </si>
  <si>
    <t>2026-10-21</t>
  </si>
  <si>
    <t>10:00p</t>
  </si>
  <si>
    <t>Crypto.com Arena</t>
  </si>
  <si>
    <t>Moda Center</t>
  </si>
  <si>
    <t>10:30p</t>
  </si>
  <si>
    <t>Intuit Dome</t>
  </si>
  <si>
    <t>Kia Center</t>
  </si>
  <si>
    <t>Capital One Arena</t>
  </si>
  <si>
    <t>7:30p</t>
  </si>
  <si>
    <t>Barclays Center</t>
  </si>
  <si>
    <t>Kaseya Center</t>
  </si>
  <si>
    <t>Scotiabank Arena</t>
  </si>
  <si>
    <t>8:00p</t>
  </si>
  <si>
    <t>FedExForum</t>
  </si>
  <si>
    <t>Smoothie King Center</t>
  </si>
  <si>
    <t>8:30p</t>
  </si>
  <si>
    <t>Toyota Center</t>
  </si>
  <si>
    <t>2026-10-22</t>
  </si>
  <si>
    <t>Xfinity Mobile Arena</t>
  </si>
  <si>
    <t>Paycom Center</t>
  </si>
  <si>
    <t>2026-10-23</t>
  </si>
  <si>
    <t>Chase Center</t>
  </si>
  <si>
    <t>Golden 1 Center</t>
  </si>
  <si>
    <t>TD Garden</t>
  </si>
  <si>
    <t>Spectrum Center</t>
  </si>
  <si>
    <t>Gainbridge Fieldhouse</t>
  </si>
  <si>
    <t>Fiserv Forum</t>
  </si>
  <si>
    <t>Moody Center</t>
  </si>
  <si>
    <t>Delta Center</t>
  </si>
  <si>
    <t>2026-10-24</t>
  </si>
  <si>
    <t>Mortgage Matchup Center</t>
  </si>
  <si>
    <t>6:00p</t>
  </si>
  <si>
    <t>Rocket Arena</t>
  </si>
  <si>
    <t>State Farm Arena</t>
  </si>
  <si>
    <t>United Center</t>
  </si>
  <si>
    <t>American Airlines Center</t>
  </si>
  <si>
    <t>9:00p</t>
  </si>
  <si>
    <t>Ball Arena</t>
  </si>
  <si>
    <t>2026-10-25</t>
  </si>
  <si>
    <t>5:00p</t>
  </si>
  <si>
    <t>Target Center</t>
  </si>
  <si>
    <t>2026-10-26</t>
  </si>
  <si>
    <t>2026-10-27</t>
  </si>
  <si>
    <t>11:00p</t>
  </si>
  <si>
    <t>2026-10-28</t>
  </si>
  <si>
    <t>2026-10-29</t>
  </si>
  <si>
    <t>2026-10-30</t>
  </si>
  <si>
    <t>2026-10-31</t>
  </si>
  <si>
    <t>2026-11-01</t>
  </si>
  <si>
    <t>3:30p</t>
  </si>
  <si>
    <t>2026-11-02</t>
  </si>
  <si>
    <t>2026-11-04</t>
  </si>
  <si>
    <t>2026-11-05</t>
  </si>
  <si>
    <t>2026-11-06</t>
  </si>
  <si>
    <t>2026-11-07</t>
  </si>
  <si>
    <t>Mexico City Arena</t>
  </si>
  <si>
    <t>2026-11-08</t>
  </si>
  <si>
    <t>2026-11-09</t>
  </si>
  <si>
    <t>2026-11-10</t>
  </si>
  <si>
    <t>2026-11-11</t>
  </si>
  <si>
    <t>2026-11-12</t>
  </si>
  <si>
    <t>2026-11-13</t>
  </si>
  <si>
    <t>2026-11-14</t>
  </si>
  <si>
    <t>2026-11-15</t>
  </si>
  <si>
    <t>1:00p</t>
  </si>
  <si>
    <t>4:00p</t>
  </si>
  <si>
    <t>4:30p</t>
  </si>
  <si>
    <t>2026-11-16</t>
  </si>
  <si>
    <t>2026-11-17</t>
  </si>
  <si>
    <t>2026-11-18</t>
  </si>
  <si>
    <t>2026-11-19</t>
  </si>
  <si>
    <t>2026-11-20</t>
  </si>
  <si>
    <t>2026-11-21</t>
  </si>
  <si>
    <t>2026-11-22</t>
  </si>
  <si>
    <t>2026-11-23</t>
  </si>
  <si>
    <t>2026-11-24</t>
  </si>
  <si>
    <t>2026-11-25</t>
  </si>
  <si>
    <t>2026-11-27</t>
  </si>
  <si>
    <t>2026-11-28</t>
  </si>
  <si>
    <t>2026-11-29</t>
  </si>
  <si>
    <t>2026-11-30</t>
  </si>
  <si>
    <t>2026-12-01</t>
  </si>
  <si>
    <t>2026-12-02</t>
  </si>
  <si>
    <t>2026-12-03</t>
  </si>
  <si>
    <t>2026-12-12</t>
  </si>
  <si>
    <t>2026-12-13</t>
  </si>
  <si>
    <t>2026-12-14</t>
  </si>
  <si>
    <t>2026-12-15</t>
  </si>
  <si>
    <t>2026-12-16</t>
  </si>
  <si>
    <t>2026-12-17</t>
  </si>
  <si>
    <t>2026-12-18</t>
  </si>
  <si>
    <t>2026-12-19</t>
  </si>
  <si>
    <t>2026-12-20</t>
  </si>
  <si>
    <t>2026-12-21</t>
  </si>
  <si>
    <t>2026-12-22</t>
  </si>
  <si>
    <t>2026-12-23</t>
  </si>
  <si>
    <t>2026-12-25</t>
  </si>
  <si>
    <t>12:00p</t>
  </si>
  <si>
    <t>2:30p</t>
  </si>
  <si>
    <t>2026-12-26</t>
  </si>
  <si>
    <t>2026-12-27</t>
  </si>
  <si>
    <t>2026-12-28</t>
  </si>
  <si>
    <t>2026-12-29</t>
  </si>
  <si>
    <t>2026-12-30</t>
  </si>
  <si>
    <t>2026-12-31</t>
  </si>
  <si>
    <t>2027-01-01</t>
  </si>
  <si>
    <t>2027-01-02</t>
  </si>
  <si>
    <t>2027-01-03</t>
  </si>
  <si>
    <t>5:30p</t>
  </si>
  <si>
    <t>2027-01-04</t>
  </si>
  <si>
    <t>2027-01-05</t>
  </si>
  <si>
    <t>2027-01-06</t>
  </si>
  <si>
    <t>2027-01-07</t>
  </si>
  <si>
    <t>2027-01-08</t>
  </si>
  <si>
    <t>2027-01-09</t>
  </si>
  <si>
    <t>2027-01-10</t>
  </si>
  <si>
    <t>2027-01-11</t>
  </si>
  <si>
    <t>2027-01-12</t>
  </si>
  <si>
    <t>2027-01-13</t>
  </si>
  <si>
    <t>2027-01-14</t>
  </si>
  <si>
    <t>2:00p</t>
  </si>
  <si>
    <t>Accor Arena</t>
  </si>
  <si>
    <t>2027-01-15</t>
  </si>
  <si>
    <t>2027-01-16</t>
  </si>
  <si>
    <t>12:30p</t>
  </si>
  <si>
    <t>2027-01-17</t>
  </si>
  <si>
    <t>10:30a</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</si>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</sst>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0.0000"/>
    <numFmt numFmtId="166" formatCode="\$#,##0"/>
    <numFmt numFmtId="167" formatCode="0.0%"/>
    <numFmt numFmtId="168" formatCode="0.0"/>
    <numFmt numFmtId="169" formatCode="\+0;\-0"/>
    <numFmt numFmtId="170" formatCode="0.000000"/>
    <numFmt numFmtId="171" formatCode="0.00000"/>
    <numFmt numFmtId="172" formatCode="yyyy\-mm\-dd"/>
    <numFmt numFmtId="173" formatCode="&quot;$&quot;#,##0"/>
  </numFmts>
  <fonts count="13" x14ac:knownFonts="1">
    <font>
      <sz val="11"/>
      <color theme="1"/>
      <name val="Calibri"/>
      <family val="2"/>
      <scheme val="minor"/>
    </font>
    <font>
      <b/>
      <sz val="10"/>
      <color rgb="FF000000"/>
      <name val="Arial"/>
    </font>
    <font>
      <b/>
      <sz val="12"/>
      <color rgb="FF1F3864"/>
      <name val="Arial"/>
    </font>
    <font>
      <i/>
      <sz val="10"/>
      <color rgb="FF000000"/>
      <name val="Arial"/>
    </font>
    <font>
      <sz val="10"/>
      <color rgb="FF0000FF"/>
      <name val="Arial"/>
    </font>
    <font>
      <b/>
      <sz val="10"/>
      <color rgb="FFFFFFFF"/>
      <name val="Arial"/>
    </font>
    <font>
      <sz val="10"/>
      <color rgb="FF000000"/>
      <name val="Arial"/>
    </font>
    <font>
      <sz val="10"/>
      <color rgb="FF008000"/>
      <name val="Arial"/>
    </font>
    <font>
      <sz val="10"/>
      <color rgb="FFFF0000"/>
      <name val="Arial"/>
    </font>
    <font>
      <b/>
      <sz val="10"/>
      <color rgb="FFFF0000"/>
      <name val="Arial"/>
    </font>
    <font>
      <b/>
      <sz val="16"/>
      <color rgb="FF1F3864"/>
      <name val="Arial"/>
    </font>
    <font>
      <u/>
      <sz val="10"/>
      <color rgb="FF0563C1"/>
      <name val="Arial"/>
    </font>
    <font>
      <sz val="10"/>
      <color theme="1"/>
      <name val="Arial"/>
      <family val="2"/>
    </font>
  </fonts>
  <fills count="4">
    <fill>
      <patternFill patternType="none"/>
    </fill>
    <fill>
      <patternFill patternType="gray125"/>
    </fill>
    <fill>
      <patternFill patternType="solid">
        <fgColor rgb="FF1F3864"/>
      </patternFill>
    </fill>
    <fill>
      <patternFill patternType="solid">
        <fgColor rgb="FFFFC000"/>
      </patternFill>
    </fill>
  </fills>
  <borders count="3">
    <border>
      <left/>
      <right/>
      <top/>
      <bottom/>
      <diagonal/>
    </border>
    <border>
      <left/>
      <right/>
      <top style="double">
        <color auto="1"/>
      </top>
      <bottom style="double">
        <color auto="1"/>
      </bottom>
      <diagonal/>
    </border>
    <border>
      <left/>
      <right/>
      <top/>
      <bottom style="thin">
        <color auto="1"/>
      </bottom>
      <diagonal/>
    </border>
  </borders>
  <cellStyleXfs count="1">
    <xf numFmtId="0" fontId="0" fillId="0" borderId="0"/>
  </cellStyleXfs>
  <cellXfs count="69">
    <xf numFmtId="0" fontId="0" fillId="0" borderId="0" xfId="0"/>
    <xf numFmtId="0" fontId="2" fillId="0" borderId="0" xfId="0" applyFont="1" applyAlignment="1">
      <alignment horizontal="centerContinuous"/>
    </xf>
    <xf numFmtId="0" fontId="0" fillId="0" borderId="0" xfId="0" applyAlignment="1">
      <alignment horizontal="centerContinuous"/>
    </xf>
    <xf numFmtId="0" fontId="1" fillId="0" borderId="0" xfId="0" applyFont="1"/>
    <xf numFmtId="0" fontId="3" fillId="0" borderId="0" xfId="0" applyFont="1"/>
    <xf numFmtId="0" fontId="10" fillId="0" borderId="0" xfId="0" applyFont="1"/>
    <xf numFmtId="0" fontId="6" fillId="0" borderId="0" xfId="0" applyFont="1"/>
    <xf numFmtId="0" fontId="7" fillId="0" borderId="0" xfId="0" applyFont="1"/>
    <xf numFmtId="0" fontId="11" fillId="0" borderId="0" xfId="0" applyFont="1"/>
    <xf numFmtId="0" fontId="8" fillId="0" borderId="0" xfId="0" applyFont="1"/>
    <xf numFmtId="0" fontId="4" fillId="0" borderId="0" xfId="0" applyFont="1"/>
    <xf numFmtId="0" fontId="5" fillId="2" borderId="0" xfId="0" applyFont="1" applyFill="1" applyAlignment="1">
      <alignment horizontal="center" vertical="center" wrapText="1"/>
    </xf>
    <xf numFmtId="2" fontId="4" fillId="0" borderId="0" xfId="0" applyNumberFormat="1" applyFont="1"/>
    <xf numFmtId="0" fontId="6" fillId="0" borderId="0" xfId="0" applyFont="1" applyAlignment="1">
      <alignment horizontal="right"/>
    </xf>
    <xf numFmtId="2" fontId="6" fillId="0" borderId="0" xfId="0" applyNumberFormat="1" applyFont="1"/>
    <xf numFmtId="164" fontId="4" fillId="0" borderId="0" xfId="0" applyNumberFormat="1" applyFont="1"/>
    <xf numFmtId="1" fontId="4" fillId="0" borderId="0" xfId="0" applyNumberFormat="1" applyFont="1"/>
    <xf numFmtId="1" fontId="6" fillId="0" borderId="0" xfId="0" applyNumberFormat="1" applyFont="1"/>
    <xf numFmtId="165" fontId="6" fillId="0" borderId="0" xfId="0" applyNumberFormat="1" applyFont="1"/>
    <xf numFmtId="165" fontId="4" fillId="0" borderId="0" xfId="0" applyNumberFormat="1" applyFont="1"/>
    <xf numFmtId="49" fontId="4" fillId="0" borderId="0" xfId="0" applyNumberFormat="1" applyFont="1"/>
    <xf numFmtId="166" fontId="4" fillId="0" borderId="0" xfId="0" applyNumberFormat="1" applyFont="1"/>
    <xf numFmtId="167" fontId="4" fillId="0" borderId="0" xfId="0" applyNumberFormat="1" applyFont="1"/>
    <xf numFmtId="164" fontId="6" fillId="0" borderId="0" xfId="0" applyNumberFormat="1" applyFont="1"/>
    <xf numFmtId="168" fontId="4" fillId="0" borderId="0" xfId="0" applyNumberFormat="1" applyFont="1"/>
    <xf numFmtId="169" fontId="4" fillId="0" borderId="0" xfId="0" applyNumberFormat="1" applyFont="1"/>
    <xf numFmtId="1" fontId="4" fillId="3" borderId="0" xfId="0" applyNumberFormat="1" applyFont="1" applyFill="1"/>
    <xf numFmtId="0" fontId="4" fillId="3" borderId="0" xfId="0" applyFont="1" applyFill="1"/>
    <xf numFmtId="168" fontId="4" fillId="3" borderId="0" xfId="0" applyNumberFormat="1" applyFont="1" applyFill="1"/>
    <xf numFmtId="169" fontId="4" fillId="3" borderId="0" xfId="0" applyNumberFormat="1" applyFont="1" applyFill="1"/>
    <xf numFmtId="1" fontId="7" fillId="0" borderId="0" xfId="0" applyNumberFormat="1" applyFont="1"/>
    <xf numFmtId="168" fontId="7" fillId="0" borderId="0" xfId="0" applyNumberFormat="1" applyFont="1"/>
    <xf numFmtId="169" fontId="7" fillId="0" borderId="0" xfId="0" applyNumberFormat="1" applyFont="1"/>
    <xf numFmtId="10" fontId="6" fillId="0" borderId="0" xfId="0" applyNumberFormat="1" applyFont="1"/>
    <xf numFmtId="167" fontId="6" fillId="0" borderId="0" xfId="0" applyNumberFormat="1" applyFont="1"/>
    <xf numFmtId="170" fontId="6" fillId="0" borderId="0" xfId="0" applyNumberFormat="1" applyFont="1"/>
    <xf numFmtId="2" fontId="7" fillId="0" borderId="0" xfId="0" applyNumberFormat="1" applyFont="1"/>
    <xf numFmtId="164" fontId="7" fillId="0" borderId="0" xfId="0" applyNumberFormat="1" applyFont="1"/>
    <xf numFmtId="168" fontId="6" fillId="0" borderId="0" xfId="0" applyNumberFormat="1" applyFont="1"/>
    <xf numFmtId="0" fontId="1" fillId="0" borderId="1" xfId="0" applyFont="1" applyBorder="1"/>
    <xf numFmtId="0" fontId="0" fillId="0" borderId="1" xfId="0" applyBorder="1"/>
    <xf numFmtId="2" fontId="6" fillId="0" borderId="1" xfId="0" applyNumberFormat="1" applyFont="1" applyBorder="1"/>
    <xf numFmtId="167" fontId="7" fillId="0" borderId="0" xfId="0" applyNumberFormat="1" applyFont="1"/>
    <xf numFmtId="169" fontId="6" fillId="0" borderId="0" xfId="0" applyNumberFormat="1" applyFont="1"/>
    <xf numFmtId="171" fontId="4" fillId="0" borderId="0" xfId="0" applyNumberFormat="1" applyFont="1"/>
    <xf numFmtId="10" fontId="4" fillId="0" borderId="0" xfId="0" applyNumberFormat="1" applyFont="1"/>
    <xf numFmtId="166" fontId="6" fillId="0" borderId="0" xfId="0" applyNumberFormat="1" applyFont="1"/>
    <xf numFmtId="0" fontId="9" fillId="0" borderId="0" xfId="0" applyFont="1"/>
    <xf numFmtId="0" fontId="1" fillId="0" borderId="2" xfId="0" applyFont="1" applyBorder="1"/>
    <xf numFmtId="0" fontId="3" fillId="0" borderId="2" xfId="0" applyFont="1" applyBorder="1"/>
    <xf numFmtId="0" fontId="0" fillId="0" borderId="2" xfId="0" applyBorder="1"/>
    <xf numFmtId="165" fontId="7" fillId="0" borderId="0" xfId="0" applyNumberFormat="1" applyFont="1"/>
    <xf numFmtId="0" fontId="6" fillId="3" borderId="0" xfId="0" applyFont="1" applyFill="1"/>
    <xf numFmtId="0" fontId="7" fillId="3" borderId="0" xfId="0" applyFont="1" applyFill="1"/>
    <xf numFmtId="168" fontId="7" fillId="3" borderId="0" xfId="0" applyNumberFormat="1" applyFont="1" applyFill="1"/>
    <xf numFmtId="169" fontId="7" fillId="3" borderId="0" xfId="0" applyNumberFormat="1" applyFont="1" applyFill="1"/>
    <xf numFmtId="2" fontId="7" fillId="3" borderId="0" xfId="0" applyNumberFormat="1" applyFont="1" applyFill="1"/>
    <xf numFmtId="10" fontId="7" fillId="0" borderId="0" xfId="0" applyNumberFormat="1" applyFont="1"/>
    <xf numFmtId="10" fontId="6" fillId="0" borderId="1" xfId="0" applyNumberFormat="1" applyFont="1" applyBorder="1"/>
    <xf numFmtId="166" fontId="7" fillId="0" borderId="0" xfId="0" applyNumberFormat="1" applyFont="1"/>
    <xf numFmtId="172" fontId="4" fillId="0" borderId="0" xfId="0" applyNumberFormat="1" applyFont="1"/>
    <xf numFmtId="1" fontId="6" fillId="0" borderId="1" xfId="0" applyNumberFormat="1" applyFont="1" applyBorder="1"/>
    <xf numFmtId="49" fontId="12" fillId="0" borderId="0" xfId="0" applyNumberFormat="1" applyFont="1"/>
    <xf numFmtId="168" fontId="12" fillId="0" borderId="0" xfId="0" applyNumberFormat="1" applyFont="1"/>
    <xf numFmtId="169" fontId="12" fillId="0" borderId="0" xfId="0" applyNumberFormat="1" applyFont="1"/>
    <xf numFmtId="167" fontId="12" fillId="0" borderId="0" xfId="0" applyNumberFormat="1" applyFont="1"/>
    <xf numFmtId="10" fontId="12" fillId="0" borderId="0" xfId="0" applyNumberFormat="1" applyFont="1"/>
    <xf numFmtId="173" fontId="12" fillId="0" borderId="0" xfId="0" applyNumberFormat="1" applyFont="1"/>
    <xf numFmtId="165" fontId="12" fillId="0" borderId="0" xfId="0" applyNumberFormat="1" applyFont="1"/>
  </cellXfs>
  <cellStyles count="1">
    <cellStyle name="Normal" xfId="0" builtinId="0"/>
  </cellStyles>
  <dxfs count="7">
    <dxf>
      <font>
        <b/>
        <sz val="10"/>
        <color rgb="FFFF0000"/>
        <name val="Arial"/>
      </font>
    </dxf>
    <dxf>
      <font>
        <b/>
        <sz val="10"/>
        <color rgb="FF008000"/>
        <name val="Arial"/>
      </font>
    </dxf>
    <dxf>
      <font>
        <b/>
        <sz val="10"/>
        <color rgb="FFFF0000"/>
        <name val="Arial"/>
      </font>
    </dxf>
    <dxf>
      <fill>
        <patternFill patternType="solid">
          <fgColor rgb="FFF4B6B6"/>
          <bgColor rgb="FFF4B6B6"/>
        </patternFill>
      </fill>
    </dxf>
    <dxf>
      <fill>
        <patternFill patternType="solid">
          <fgColor rgb="FFC6E0B4"/>
          <bgColor rgb="FFC6E0B4"/>
        </patternFill>
      </fill>
    </dxf>
    <dxf>
      <font>
        <b/>
        <sz val="10"/>
        <color rgb="FFFF0000"/>
        <name val="Arial"/>
      </font>
    </dxf>
    <dxf>
      <font>
        <b/>
        <sz val="10"/>
        <color rgb="FFFF0000"/>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Top-10 bets: EV per $1</a:t>
            </a:r>
          </a:p>
        </c:rich>
      </c:tx>
      <c:overlay val="1"/>
    </c:title>
    <c:autoTitleDeleted val="0"/>
    <c:plotArea>
      <c:layout/>
      <c:barChart>
        <c:barDir val="bar"/>
        <c:grouping val="clustered"/>
        <c:varyColors val="1"/>
        <c:ser>
          <c:idx val="0"/>
          <c:order val="0"/>
          <c:tx>
            <c:strRef>
              <c:f>Dashboard!$C$16</c:f>
              <c:strCache>
                <c:ptCount val="1"/>
                <c:pt idx="0">
                  <c:v>EV per $1</c:v>
                </c:pt>
              </c:strCache>
            </c:strRef>
          </c:tx>
          <c:spPr>
            <a:ln>
              <a:prstDash val="solid"/>
            </a:ln>
          </c:spPr>
          <c:invertIfNegative val="1"/>
          <c:cat>
            <c:strRef>
              <c:f>Dashboard!$B$17:$B$26</c:f>
              <c:strCache>
                <c:ptCount val="10"/>
                <c:pt idx="0">
                  <c:v>WINS - Washington Wizards UNDER 35.5</c:v>
                </c:pt>
                <c:pt idx="1">
                  <c:v>WINS - Miami Heat UNDER 46.5</c:v>
                </c:pt>
                <c:pt idx="2">
                  <c:v>WINS - Golden State Warriors OVER 39.5</c:v>
                </c:pt>
                <c:pt idx="3">
                  <c:v>PLAYOFFS - Houston Rockets YES </c:v>
                </c:pt>
                <c:pt idx="4">
                  <c:v>WINS - Utah Jazz UNDER 37.5</c:v>
                </c:pt>
                <c:pt idx="5">
                  <c:v>PLAYOFFS - Miami Heat NO </c:v>
                </c:pt>
                <c:pt idx="6">
                  <c:v>PLAYIN_EAST - Brooklyn Nets YES </c:v>
                </c:pt>
                <c:pt idx="7">
                  <c:v>DIV_SOUTHWEST - Houston Rockets YES </c:v>
                </c:pt>
                <c:pt idx="8">
                  <c:v>DIV_ATLANTIC - Toronto Raptors YES </c:v>
                </c:pt>
                <c:pt idx="9">
                  <c:v>WINS - Atlanta Hawks UNDER 44.5</c:v>
                </c:pt>
              </c:strCache>
            </c:strRef>
          </c:cat>
          <c:val>
            <c:numRef>
              <c:f>Dashboard!$C$17:$C$26</c:f>
              <c:numCache>
                <c:formatCode>0.0%</c:formatCode>
                <c:ptCount val="10"/>
                <c:pt idx="0">
                  <c:v>0.41058285714285736</c:v>
                </c:pt>
                <c:pt idx="1">
                  <c:v>0.52705666666666673</c:v>
                </c:pt>
                <c:pt idx="2">
                  <c:v>0.50609799999999994</c:v>
                </c:pt>
                <c:pt idx="3">
                  <c:v>9.5356363636363684E-2</c:v>
                </c:pt>
                <c:pt idx="4">
                  <c:v>0.48311299999999968</c:v>
                </c:pt>
                <c:pt idx="5">
                  <c:v>0.97894550000000002</c:v>
                </c:pt>
                <c:pt idx="6">
                  <c:v>2.5682</c:v>
                </c:pt>
                <c:pt idx="7">
                  <c:v>1.5437500000000002</c:v>
                </c:pt>
                <c:pt idx="8">
                  <c:v>1.5057499999999999</c:v>
                </c:pt>
                <c:pt idx="9">
                  <c:v>0.19529000000000019</c:v>
                </c:pt>
              </c:numCache>
            </c:numRef>
          </c:val>
          <c:extLst>
            <c:ext xmlns:c16="http://schemas.microsoft.com/office/drawing/2014/chart" uri="{C3380CC4-5D6E-409C-BE32-E72D297353CC}">
              <c16:uniqueId val="{00000000-FE30-4452-A17C-C23FB2E30716}"/>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Model wins vs book win totals</a:t>
            </a:r>
          </a:p>
        </c:rich>
      </c:tx>
      <c:overlay val="1"/>
    </c:title>
    <c:autoTitleDeleted val="0"/>
    <c:plotArea>
      <c:layout/>
      <c:scatterChart>
        <c:scatterStyle val="lineMarker"/>
        <c:varyColors val="1"/>
        <c:ser>
          <c:idx val="0"/>
          <c:order val="0"/>
          <c:tx>
            <c:v>Teams</c:v>
          </c:tx>
          <c:spPr>
            <a:ln>
              <a:noFill/>
              <a:prstDash val="solid"/>
            </a:ln>
          </c:spPr>
          <c:marker>
            <c:symbol val="circle"/>
            <c:size val="5"/>
            <c:spPr>
              <a:ln>
                <a:prstDash val="solid"/>
              </a:ln>
            </c:spPr>
          </c:marker>
          <c:xVal>
            <c:numRef>
              <c:f>Dashboard!$B$32:$B$61</c:f>
              <c:numCache>
                <c:formatCode>0.0</c:formatCode>
                <c:ptCount val="30"/>
                <c:pt idx="0">
                  <c:v>51.5</c:v>
                </c:pt>
                <c:pt idx="1">
                  <c:v>49.5</c:v>
                </c:pt>
                <c:pt idx="2">
                  <c:v>52.5</c:v>
                </c:pt>
                <c:pt idx="3">
                  <c:v>50.5</c:v>
                </c:pt>
                <c:pt idx="4">
                  <c:v>61.5</c:v>
                </c:pt>
                <c:pt idx="5">
                  <c:v>59.5</c:v>
                </c:pt>
                <c:pt idx="6">
                  <c:v>44.5</c:v>
                </c:pt>
                <c:pt idx="7">
                  <c:v>25.5</c:v>
                </c:pt>
                <c:pt idx="8">
                  <c:v>43.5</c:v>
                </c:pt>
                <c:pt idx="9">
                  <c:v>35.5</c:v>
                </c:pt>
                <c:pt idx="10">
                  <c:v>24.5</c:v>
                </c:pt>
                <c:pt idx="11">
                  <c:v>39.5</c:v>
                </c:pt>
                <c:pt idx="12">
                  <c:v>28.5</c:v>
                </c:pt>
                <c:pt idx="13">
                  <c:v>46.5</c:v>
                </c:pt>
                <c:pt idx="14">
                  <c:v>47.5</c:v>
                </c:pt>
                <c:pt idx="15">
                  <c:v>45.5</c:v>
                </c:pt>
                <c:pt idx="16">
                  <c:v>44.5</c:v>
                </c:pt>
                <c:pt idx="17">
                  <c:v>28.5</c:v>
                </c:pt>
                <c:pt idx="18">
                  <c:v>28.5</c:v>
                </c:pt>
                <c:pt idx="19">
                  <c:v>37.5</c:v>
                </c:pt>
                <c:pt idx="20">
                  <c:v>34.5</c:v>
                </c:pt>
                <c:pt idx="21">
                  <c:v>47.5</c:v>
                </c:pt>
                <c:pt idx="22">
                  <c:v>39.5</c:v>
                </c:pt>
                <c:pt idx="23">
                  <c:v>45.5</c:v>
                </c:pt>
                <c:pt idx="24">
                  <c:v>39.5</c:v>
                </c:pt>
                <c:pt idx="25">
                  <c:v>42.5</c:v>
                </c:pt>
                <c:pt idx="26">
                  <c:v>29.5</c:v>
                </c:pt>
                <c:pt idx="27">
                  <c:v>20.5</c:v>
                </c:pt>
                <c:pt idx="28">
                  <c:v>47.5</c:v>
                </c:pt>
                <c:pt idx="29">
                  <c:v>49.5</c:v>
                </c:pt>
              </c:numCache>
            </c:numRef>
          </c:xVal>
          <c:yVal>
            <c:numRef>
              <c:f>Dashboard!$C$32:$C$61</c:f>
              <c:numCache>
                <c:formatCode>0.0</c:formatCode>
                <c:ptCount val="30"/>
                <c:pt idx="0">
                  <c:v>51.027760980836348</c:v>
                </c:pt>
                <c:pt idx="1">
                  <c:v>47.135260415501001</c:v>
                </c:pt>
                <c:pt idx="2">
                  <c:v>43.790963947959305</c:v>
                </c:pt>
                <c:pt idx="3">
                  <c:v>44.550706616595875</c:v>
                </c:pt>
                <c:pt idx="4">
                  <c:v>58.724035584789235</c:v>
                </c:pt>
                <c:pt idx="5">
                  <c:v>53.937441613975466</c:v>
                </c:pt>
                <c:pt idx="6">
                  <c:v>40.786749281555615</c:v>
                </c:pt>
                <c:pt idx="7">
                  <c:v>30.058542071731551</c:v>
                </c:pt>
                <c:pt idx="8">
                  <c:v>43.96500120297366</c:v>
                </c:pt>
                <c:pt idx="9">
                  <c:v>27.814166659206549</c:v>
                </c:pt>
                <c:pt idx="10">
                  <c:v>31.30890021121553</c:v>
                </c:pt>
                <c:pt idx="11">
                  <c:v>37.818211825207889</c:v>
                </c:pt>
                <c:pt idx="12">
                  <c:v>31.948128137493921</c:v>
                </c:pt>
                <c:pt idx="13">
                  <c:v>37.316596617560769</c:v>
                </c:pt>
                <c:pt idx="14">
                  <c:v>44.371378152861226</c:v>
                </c:pt>
                <c:pt idx="15">
                  <c:v>50.058631025067847</c:v>
                </c:pt>
                <c:pt idx="16">
                  <c:v>42.076646842599409</c:v>
                </c:pt>
                <c:pt idx="17">
                  <c:v>36.359431930191491</c:v>
                </c:pt>
                <c:pt idx="18">
                  <c:v>32.030757259195234</c:v>
                </c:pt>
                <c:pt idx="19">
                  <c:v>33.269441131889621</c:v>
                </c:pt>
                <c:pt idx="20">
                  <c:v>34.028578995706546</c:v>
                </c:pt>
                <c:pt idx="21">
                  <c:v>53.617480537140423</c:v>
                </c:pt>
                <c:pt idx="22">
                  <c:v>43.943176092197312</c:v>
                </c:pt>
                <c:pt idx="23">
                  <c:v>46.022965553361551</c:v>
                </c:pt>
                <c:pt idx="24">
                  <c:v>39.538134765854018</c:v>
                </c:pt>
                <c:pt idx="25">
                  <c:v>45.495811331143926</c:v>
                </c:pt>
                <c:pt idx="26">
                  <c:v>31.055588994594057</c:v>
                </c:pt>
                <c:pt idx="27">
                  <c:v>23.909143947268561</c:v>
                </c:pt>
                <c:pt idx="28">
                  <c:v>46.600687058800119</c:v>
                </c:pt>
                <c:pt idx="29">
                  <c:v>47.439681215525937</c:v>
                </c:pt>
              </c:numCache>
            </c:numRef>
          </c:yVal>
          <c:smooth val="1"/>
          <c:extLst>
            <c:ext xmlns:c16="http://schemas.microsoft.com/office/drawing/2014/chart" uri="{C3380CC4-5D6E-409C-BE32-E72D297353CC}">
              <c16:uniqueId val="{00000000-90E0-403D-B23B-E04FB5819F5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Book line</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Model mean wins</a:t>
                </a:r>
              </a:p>
            </c:rich>
          </c:tx>
          <c:overlay val="1"/>
        </c:title>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market fair vs model</a:t>
            </a:r>
          </a:p>
        </c:rich>
      </c:tx>
      <c:overlay val="1"/>
    </c:title>
    <c:autoTitleDeleted val="0"/>
    <c:plotArea>
      <c:layout/>
      <c:barChart>
        <c:barDir val="col"/>
        <c:grouping val="clustered"/>
        <c:varyColors val="1"/>
        <c:ser>
          <c:idx val="0"/>
          <c:order val="0"/>
          <c:tx>
            <c:strRef>
              <c:f>Dashboard!$B$66</c:f>
              <c:strCache>
                <c:ptCount val="1"/>
                <c:pt idx="0">
                  <c:v>Market fair</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Dashboard!$B$67:$B$96</c:f>
              <c:numCache>
                <c:formatCode>0.0%</c:formatCode>
                <c:ptCount val="30"/>
                <c:pt idx="0">
                  <c:v>0.25118441200397795</c:v>
                </c:pt>
                <c:pt idx="1">
                  <c:v>0.25118441200397795</c:v>
                </c:pt>
                <c:pt idx="2">
                  <c:v>8.9155050838218536E-2</c:v>
                </c:pt>
                <c:pt idx="3">
                  <c:v>8.2247714149514636E-2</c:v>
                </c:pt>
                <c:pt idx="4">
                  <c:v>5.4571644329192905E-2</c:v>
                </c:pt>
                <c:pt idx="5">
                  <c:v>3.0783641580231089E-2</c:v>
                </c:pt>
                <c:pt idx="6">
                  <c:v>3.0783641580231089E-2</c:v>
                </c:pt>
                <c:pt idx="7">
                  <c:v>2.8155532984986568E-2</c:v>
                </c:pt>
                <c:pt idx="8">
                  <c:v>2.6984057562211648E-2</c:v>
                </c:pt>
                <c:pt idx="9">
                  <c:v>2.4878720982614358E-2</c:v>
                </c:pt>
                <c:pt idx="10">
                  <c:v>2.3929522910412789E-2</c:v>
                </c:pt>
                <c:pt idx="11">
                  <c:v>1.8118413839951487E-2</c:v>
                </c:pt>
                <c:pt idx="12">
                  <c:v>1.3230777321611098E-2</c:v>
                </c:pt>
                <c:pt idx="13">
                  <c:v>1.2894615456174987E-2</c:v>
                </c:pt>
                <c:pt idx="14">
                  <c:v>1.1964164450396957E-2</c:v>
                </c:pt>
                <c:pt idx="15">
                  <c:v>1.1401895822062667E-2</c:v>
                </c:pt>
                <c:pt idx="16">
                  <c:v>9.7295800994913507E-3</c:v>
                </c:pt>
                <c:pt idx="17">
                  <c:v>6.1544724355321713E-3</c:v>
                </c:pt>
                <c:pt idx="18">
                  <c:v>4.917527402131543E-3</c:v>
                </c:pt>
                <c:pt idx="19">
                  <c:v>3.4716321778757854E-3</c:v>
                </c:pt>
                <c:pt idx="20">
                  <c:v>2.7246056272470097E-3</c:v>
                </c:pt>
                <c:pt idx="21">
                  <c:v>2.3095310156766853E-3</c:v>
                </c:pt>
                <c:pt idx="22">
                  <c:v>1.8865148208312753E-3</c:v>
                </c:pt>
                <c:pt idx="23">
                  <c:v>1.0482741504970515E-3</c:v>
                </c:pt>
                <c:pt idx="24">
                  <c:v>1.0482741504970515E-3</c:v>
                </c:pt>
                <c:pt idx="25">
                  <c:v>1.0482741504970515E-3</c:v>
                </c:pt>
                <c:pt idx="26">
                  <c:v>1.0482741504970515E-3</c:v>
                </c:pt>
                <c:pt idx="27">
                  <c:v>1.0482741504970515E-3</c:v>
                </c:pt>
                <c:pt idx="28">
                  <c:v>1.0482741504970515E-3</c:v>
                </c:pt>
                <c:pt idx="29">
                  <c:v>1.0482741504970515E-3</c:v>
                </c:pt>
              </c:numCache>
            </c:numRef>
          </c:val>
          <c:extLst>
            <c:ext xmlns:c16="http://schemas.microsoft.com/office/drawing/2014/chart" uri="{C3380CC4-5D6E-409C-BE32-E72D297353CC}">
              <c16:uniqueId val="{00000000-CB77-4857-A1F3-0F6E5FA17F62}"/>
            </c:ext>
          </c:extLst>
        </c:ser>
        <c:ser>
          <c:idx val="1"/>
          <c:order val="1"/>
          <c:tx>
            <c:strRef>
              <c:f>Dashboard!$C$66</c:f>
              <c:strCache>
                <c:ptCount val="1"/>
                <c:pt idx="0">
                  <c:v>Model</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Dashboard!$C$67:$C$96</c:f>
              <c:numCache>
                <c:formatCode>0.0%</c:formatCode>
                <c:ptCount val="30"/>
                <c:pt idx="0">
                  <c:v>0.10163</c:v>
                </c:pt>
                <c:pt idx="1">
                  <c:v>0.22633</c:v>
                </c:pt>
                <c:pt idx="2">
                  <c:v>3.3660000000000002E-2</c:v>
                </c:pt>
                <c:pt idx="3">
                  <c:v>2.87E-2</c:v>
                </c:pt>
                <c:pt idx="4">
                  <c:v>8.5879999999999998E-2</c:v>
                </c:pt>
                <c:pt idx="5">
                  <c:v>4.6609999999999999E-2</c:v>
                </c:pt>
                <c:pt idx="6">
                  <c:v>2.4330000000000001E-2</c:v>
                </c:pt>
                <c:pt idx="7">
                  <c:v>8.0030000000000004E-2</c:v>
                </c:pt>
                <c:pt idx="8">
                  <c:v>4.6010000000000002E-2</c:v>
                </c:pt>
                <c:pt idx="9">
                  <c:v>8.5100000000000002E-3</c:v>
                </c:pt>
                <c:pt idx="10">
                  <c:v>4.6249999999999999E-2</c:v>
                </c:pt>
                <c:pt idx="11">
                  <c:v>3.4819999999999997E-2</c:v>
                </c:pt>
                <c:pt idx="12">
                  <c:v>9.1990000000000002E-2</c:v>
                </c:pt>
                <c:pt idx="13">
                  <c:v>1.8239999999999999E-2</c:v>
                </c:pt>
                <c:pt idx="14">
                  <c:v>2.2679999999999999E-2</c:v>
                </c:pt>
                <c:pt idx="15">
                  <c:v>2.681E-2</c:v>
                </c:pt>
                <c:pt idx="16">
                  <c:v>1.5689999999999999E-2</c:v>
                </c:pt>
                <c:pt idx="17">
                  <c:v>8.5000000000000006E-3</c:v>
                </c:pt>
                <c:pt idx="18">
                  <c:v>2.6360000000000001E-2</c:v>
                </c:pt>
                <c:pt idx="19">
                  <c:v>1.98E-3</c:v>
                </c:pt>
                <c:pt idx="20">
                  <c:v>6.4999999999999997E-4</c:v>
                </c:pt>
                <c:pt idx="21">
                  <c:v>2.5200000000000001E-3</c:v>
                </c:pt>
                <c:pt idx="22">
                  <c:v>9.5300000000000003E-3</c:v>
                </c:pt>
                <c:pt idx="23">
                  <c:v>1.0499999999999999E-3</c:v>
                </c:pt>
                <c:pt idx="24">
                  <c:v>1.6900000000000001E-3</c:v>
                </c:pt>
                <c:pt idx="25">
                  <c:v>2.2899999999999999E-3</c:v>
                </c:pt>
                <c:pt idx="26">
                  <c:v>1.6299999999999999E-3</c:v>
                </c:pt>
                <c:pt idx="27">
                  <c:v>1.2800000000000001E-3</c:v>
                </c:pt>
                <c:pt idx="28">
                  <c:v>4.1700000000000001E-3</c:v>
                </c:pt>
                <c:pt idx="29">
                  <c:v>1.8000000000000001E-4</c:v>
                </c:pt>
              </c:numCache>
            </c:numRef>
          </c:val>
          <c:extLst>
            <c:ext xmlns:c16="http://schemas.microsoft.com/office/drawing/2014/chart" uri="{C3380CC4-5D6E-409C-BE32-E72D297353CC}">
              <c16:uniqueId val="{00000001-CB77-4857-A1F3-0F6E5FA17F62}"/>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swing across assumption cases</a:t>
            </a:r>
          </a:p>
        </c:rich>
      </c:tx>
      <c:overlay val="1"/>
    </c:title>
    <c:autoTitleDeleted val="0"/>
    <c:plotArea>
      <c:layout/>
      <c:barChart>
        <c:barDir val="bar"/>
        <c:grouping val="clustered"/>
        <c:varyColors val="1"/>
        <c:ser>
          <c:idx val="0"/>
          <c:order val="0"/>
          <c:tx>
            <c:strRef>
              <c:f>Sensitivity!$D$26</c:f>
              <c:strCache>
                <c:ptCount val="1"/>
                <c:pt idx="0">
                  <c:v>Swing</c:v>
                </c:pt>
              </c:strCache>
            </c:strRef>
          </c:tx>
          <c:spPr>
            <a:ln>
              <a:prstDash val="solid"/>
            </a:ln>
          </c:spPr>
          <c:invertIfNegative val="1"/>
          <c:cat>
            <c:strRef>
              <c:f>Sensitivity!$A$27:$A$32</c:f>
              <c:strCache>
                <c:ptCount val="6"/>
                <c:pt idx="0">
                  <c:v>OKC</c:v>
                </c:pt>
                <c:pt idx="1">
                  <c:v>SAS</c:v>
                </c:pt>
                <c:pt idx="2">
                  <c:v>HOU</c:v>
                </c:pt>
                <c:pt idx="3">
                  <c:v>BOS</c:v>
                </c:pt>
                <c:pt idx="4">
                  <c:v>TOR</c:v>
                </c:pt>
                <c:pt idx="5">
                  <c:v>DET</c:v>
                </c:pt>
              </c:strCache>
            </c:strRef>
          </c:cat>
          <c:val>
            <c:numRef>
              <c:f>Sensitivity!$D$27:$D$32</c:f>
              <c:numCache>
                <c:formatCode>0.0%</c:formatCode>
                <c:ptCount val="6"/>
                <c:pt idx="0">
                  <c:v>8.6983333333333385E-2</c:v>
                </c:pt>
                <c:pt idx="1">
                  <c:v>9.9500000000000005E-3</c:v>
                </c:pt>
                <c:pt idx="2">
                  <c:v>2.2699999999999998E-2</c:v>
                </c:pt>
                <c:pt idx="3">
                  <c:v>3.8833333333332942E-3</c:v>
                </c:pt>
                <c:pt idx="4">
                  <c:v>6.6833333333333883E-3</c:v>
                </c:pt>
                <c:pt idx="5">
                  <c:v>7.9000000000000042E-3</c:v>
                </c:pt>
              </c:numCache>
            </c:numRef>
          </c:val>
          <c:extLst>
            <c:ext xmlns:c16="http://schemas.microsoft.com/office/drawing/2014/chart" uri="{C3380CC4-5D6E-409C-BE32-E72D297353CC}">
              <c16:uniqueId val="{00000000-E056-4976-8123-1515C7C969D3}"/>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Reliability (P(top-10))</a:t>
            </a:r>
          </a:p>
        </c:rich>
      </c:tx>
      <c:overlay val="1"/>
    </c:title>
    <c:autoTitleDeleted val="0"/>
    <c:plotArea>
      <c:layout/>
      <c:scatterChart>
        <c:scatterStyle val="lineMarker"/>
        <c:varyColors val="1"/>
        <c:ser>
          <c:idx val="0"/>
          <c:order val="0"/>
          <c:tx>
            <c:v>Observed</c:v>
          </c:tx>
          <c:spPr>
            <a:ln>
              <a:prstDash val="solid"/>
            </a:ln>
          </c:spPr>
          <c:marker>
            <c:symbol val="circle"/>
            <c:size val="5"/>
            <c:spPr>
              <a:ln>
                <a:prstDash val="solid"/>
              </a:ln>
            </c:spPr>
          </c:marker>
          <c:xVal>
            <c:numRef>
              <c:f>Backtest!$C$40:$C$45</c:f>
              <c:numCache>
                <c:formatCode>0.0%</c:formatCode>
                <c:ptCount val="6"/>
                <c:pt idx="0">
                  <c:v>0.19284642857142861</c:v>
                </c:pt>
                <c:pt idx="1">
                  <c:v>0.32537250000000001</c:v>
                </c:pt>
                <c:pt idx="2">
                  <c:v>0.51565416666666664</c:v>
                </c:pt>
                <c:pt idx="3">
                  <c:v>0.68923452380952377</c:v>
                </c:pt>
                <c:pt idx="4">
                  <c:v>0.82508700000000001</c:v>
                </c:pt>
                <c:pt idx="5">
                  <c:v>0.94049333333333329</c:v>
                </c:pt>
              </c:numCache>
            </c:numRef>
          </c:xVal>
          <c:yVal>
            <c:numRef>
              <c:f>Backtest!$D$40:$D$45</c:f>
              <c:numCache>
                <c:formatCode>0.0%</c:formatCode>
                <c:ptCount val="6"/>
                <c:pt idx="0">
                  <c:v>0</c:v>
                </c:pt>
                <c:pt idx="1">
                  <c:v>0.4</c:v>
                </c:pt>
                <c:pt idx="2">
                  <c:v>0.33333333333333331</c:v>
                </c:pt>
                <c:pt idx="3">
                  <c:v>0.61904761904761907</c:v>
                </c:pt>
                <c:pt idx="4">
                  <c:v>0.96</c:v>
                </c:pt>
                <c:pt idx="5">
                  <c:v>1</c:v>
                </c:pt>
              </c:numCache>
            </c:numRef>
          </c:yVal>
          <c:smooth val="1"/>
          <c:extLst>
            <c:ext xmlns:c16="http://schemas.microsoft.com/office/drawing/2014/chart" uri="{C3380CC4-5D6E-409C-BE32-E72D297353CC}">
              <c16:uniqueId val="{00000000-95A4-4C8A-B1D3-6BFB9DF53E5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numFmt formatCode="0.0%" sourceLinked="1"/>
        <c:majorTickMark val="none"/>
        <c:minorTickMark val="none"/>
        <c:tickLblPos val="nextTo"/>
        <c:crossAx val="20"/>
        <c:crosses val="autoZero"/>
        <c:crossBetween val="midCat"/>
      </c:valAx>
      <c:valAx>
        <c:axId val="20"/>
        <c:scaling>
          <c:orientation val="minMax"/>
        </c:scaling>
        <c:delete val="1"/>
        <c:axPos val="l"/>
        <c:majorGridlines/>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5</xdr:col>
      <xdr:colOff>0</xdr:colOff>
      <xdr:row>4</xdr:row>
      <xdr:rowOff>0</xdr:rowOff>
    </xdr:from>
    <xdr:ext cx="5760000" cy="288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21</xdr:row>
      <xdr:rowOff>0</xdr:rowOff>
    </xdr:from>
    <xdr:ext cx="5760000" cy="2880000"/>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39</xdr:row>
      <xdr:rowOff>0</xdr:rowOff>
    </xdr:from>
    <xdr:ext cx="6480000" cy="3240000"/>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6</xdr:row>
      <xdr:rowOff>0</xdr:rowOff>
    </xdr:from>
    <xdr:ext cx="5760000" cy="288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6</xdr:row>
      <xdr:rowOff>0</xdr:rowOff>
    </xdr:from>
    <xdr:ext cx="4320000" cy="2880000"/>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41"/>
  <sheetViews>
    <sheetView showGridLines="0" tabSelected="1" workbookViewId="0"/>
  </sheetViews>
  <sheetFormatPr defaultRowHeight="14.4" x14ac:dyDescent="0.3"/>
  <cols>
    <col min="1" max="1" width="30" customWidth="1"/>
    <col min="2" max="2" width="100" customWidth="1"/>
    <col min="3" max="6" width="14" customWidth="1"/>
  </cols>
  <sheetData>
    <row r="1" spans="1:6" ht="15" customHeight="1" x14ac:dyDescent="0.3">
      <c r="A1" s="1" t="s">
        <v>0</v>
      </c>
      <c r="B1" s="2"/>
      <c r="C1" s="2"/>
      <c r="D1" s="2"/>
      <c r="E1" s="2"/>
      <c r="F1" s="2"/>
    </row>
    <row r="2" spans="1:6" ht="15" customHeight="1" x14ac:dyDescent="0.3">
      <c r="A2" s="3" t="s">
        <v>1</v>
      </c>
    </row>
    <row r="3" spans="1:6" ht="15" customHeight="1" x14ac:dyDescent="0.3">
      <c r="A3" s="4" t="s">
        <v>2</v>
      </c>
    </row>
    <row r="4" spans="1:6" ht="6" customHeight="1" x14ac:dyDescent="0.3"/>
    <row r="5" spans="1:6" ht="15" customHeight="1" x14ac:dyDescent="0.4">
      <c r="A5" s="5" t="s">
        <v>0</v>
      </c>
    </row>
    <row r="6" spans="1:6" ht="15" customHeight="1" x14ac:dyDescent="0.3"/>
    <row r="7" spans="1:6" ht="15" customHeight="1" x14ac:dyDescent="0.3">
      <c r="A7" s="3" t="s">
        <v>3</v>
      </c>
      <c r="B7" s="6" t="s">
        <v>4</v>
      </c>
    </row>
    <row r="8" spans="1:6" ht="15" customHeight="1" x14ac:dyDescent="0.3">
      <c r="A8" s="3" t="s">
        <v>5</v>
      </c>
      <c r="B8" s="6" t="s">
        <v>6</v>
      </c>
    </row>
    <row r="9" spans="1:6" ht="15" customHeight="1" x14ac:dyDescent="0.3">
      <c r="A9" s="3" t="s">
        <v>7</v>
      </c>
      <c r="B9" s="7">
        <f>M_Sims!B6</f>
        <v>100000</v>
      </c>
    </row>
    <row r="10" spans="1:6" ht="15" customHeight="1" x14ac:dyDescent="0.3">
      <c r="A10" s="3" t="s">
        <v>8</v>
      </c>
      <c r="B10" s="7" t="str">
        <f>M_Sims!B8</f>
        <v>30ca9e5eb89d8e39</v>
      </c>
    </row>
    <row r="11" spans="1:6" ht="15" customHeight="1" x14ac:dyDescent="0.3">
      <c r="A11" s="3" t="s">
        <v>9</v>
      </c>
      <c r="B11" s="7" t="str">
        <f>M_Sims!B5</f>
        <v>2026-10-15T21:35:36+00:00</v>
      </c>
    </row>
    <row r="12" spans="1:6" ht="15" customHeight="1" x14ac:dyDescent="0.3">
      <c r="A12" s="3" t="s">
        <v>10</v>
      </c>
      <c r="B12" s="7" t="str">
        <f>Sim_Stale</f>
        <v>OK - sims match current assumptions</v>
      </c>
    </row>
    <row r="13" spans="1:6" ht="15" customHeight="1" x14ac:dyDescent="0.3">
      <c r="A13" s="3" t="s">
        <v>11</v>
      </c>
      <c r="B13" s="6" t="s">
        <v>12</v>
      </c>
    </row>
    <row r="14" spans="1:6" ht="15" customHeight="1" x14ac:dyDescent="0.3">
      <c r="A14" s="3" t="s">
        <v>13</v>
      </c>
      <c r="B14" s="6" t="s">
        <v>14</v>
      </c>
    </row>
    <row r="15" spans="1:6" ht="15" customHeight="1" x14ac:dyDescent="0.3"/>
    <row r="16" spans="1:6" ht="15" customHeight="1" x14ac:dyDescent="0.3"/>
    <row r="17" spans="1:1" ht="15" customHeight="1" x14ac:dyDescent="0.3">
      <c r="A17" s="3" t="s">
        <v>15</v>
      </c>
    </row>
    <row r="18" spans="1:1" ht="15" customHeight="1" x14ac:dyDescent="0.3">
      <c r="A18" s="8" t="str">
        <f>HYPERLINK("#'Assumptions'!A1","Assumptions")</f>
        <v>Assumptions</v>
      </c>
    </row>
    <row r="19" spans="1:1" ht="15" customHeight="1" x14ac:dyDescent="0.3">
      <c r="A19" s="8" t="str">
        <f>HYPERLINK("#'Overrides'!A1","Overrides")</f>
        <v>Overrides</v>
      </c>
    </row>
    <row r="20" spans="1:1" ht="15" customHeight="1" x14ac:dyDescent="0.3">
      <c r="A20" s="8" t="str">
        <f>HYPERLINK("#'Odds_Input'!A1","Odds_Input")</f>
        <v>Odds_Input</v>
      </c>
    </row>
    <row r="21" spans="1:1" ht="15" customHeight="1" x14ac:dyDescent="0.3">
      <c r="A21" s="8" t="str">
        <f>HYPERLINK("#'M_DeVig'!A1","M_DeVig")</f>
        <v>M_DeVig</v>
      </c>
    </row>
    <row r="22" spans="1:1" ht="15" customHeight="1" x14ac:dyDescent="0.3">
      <c r="A22" s="8" t="str">
        <f>HYPERLINK("#'M_TeamRatings'!A1","M_TeamRatings")</f>
        <v>M_TeamRatings</v>
      </c>
    </row>
    <row r="23" spans="1:1" ht="15" customHeight="1" x14ac:dyDescent="0.3">
      <c r="A23" s="8" t="str">
        <f>HYPERLINK("#'M_WinDist'!A1","M_WinDist")</f>
        <v>M_WinDist</v>
      </c>
    </row>
    <row r="24" spans="1:1" ht="15" customHeight="1" x14ac:dyDescent="0.3">
      <c r="A24" s="8" t="str">
        <f>HYPERLINK("#'M_Sims'!A1","M_Sims")</f>
        <v>M_Sims</v>
      </c>
    </row>
    <row r="25" spans="1:1" ht="15" customHeight="1" x14ac:dyDescent="0.3">
      <c r="A25" s="8" t="str">
        <f>HYPERLINK("#'M_Lottery2027'!A1","M_Lottery2027")</f>
        <v>M_Lottery2027</v>
      </c>
    </row>
    <row r="26" spans="1:1" ht="15" customHeight="1" x14ac:dyDescent="0.3">
      <c r="A26" s="8" t="str">
        <f>HYPERLINK("#'M_Players'!A1","M_Players")</f>
        <v>M_Players</v>
      </c>
    </row>
    <row r="27" spans="1:1" ht="15" customHeight="1" x14ac:dyDescent="0.3">
      <c r="A27" s="8" t="str">
        <f>HYPERLINK("#'S_Markets'!A1","S_Markets")</f>
        <v>S_Markets</v>
      </c>
    </row>
    <row r="28" spans="1:1" ht="15" customHeight="1" x14ac:dyDescent="0.3">
      <c r="A28" s="8" t="str">
        <f>HYPERLINK("#'Bet_Card'!A1","Bet_Card")</f>
        <v>Bet_Card</v>
      </c>
    </row>
    <row r="29" spans="1:1" ht="15" customHeight="1" x14ac:dyDescent="0.3">
      <c r="A29" s="8" t="str">
        <f>HYPERLINK("#'Tier1_Card'!A1","Tier1_Card")</f>
        <v>Tier1_Card</v>
      </c>
    </row>
    <row r="30" spans="1:1" ht="15" customHeight="1" x14ac:dyDescent="0.3">
      <c r="A30" s="8" t="str">
        <f>HYPERLINK("#'Exposure'!A1","Exposure")</f>
        <v>Exposure</v>
      </c>
    </row>
    <row r="31" spans="1:1" ht="15" customHeight="1" x14ac:dyDescent="0.3">
      <c r="A31" s="8" t="str">
        <f>HYPERLINK("#'Dashboard'!A1","Dashboard")</f>
        <v>Dashboard</v>
      </c>
    </row>
    <row r="32" spans="1:1" ht="15" customHeight="1" x14ac:dyDescent="0.3">
      <c r="A32" s="8" t="str">
        <f>HYPERLINK("#'Sensitivity'!A1","Sensitivity")</f>
        <v>Sensitivity</v>
      </c>
    </row>
    <row r="33" spans="1:1" ht="15" customHeight="1" x14ac:dyDescent="0.3">
      <c r="A33" s="8" t="str">
        <f>HYPERLINK("#'Backtest'!A1","Backtest")</f>
        <v>Backtest</v>
      </c>
    </row>
    <row r="34" spans="1:1" ht="15" customHeight="1" x14ac:dyDescent="0.3">
      <c r="A34" s="8" t="str">
        <f>HYPERLINK("#'Tracker'!A1","Tracker")</f>
        <v>Tracker</v>
      </c>
    </row>
    <row r="35" spans="1:1" ht="15" customHeight="1" x14ac:dyDescent="0.3">
      <c r="A35" s="8" t="str">
        <f>HYPERLINK("#'Checks'!A1","Checks")</f>
        <v>Checks</v>
      </c>
    </row>
    <row r="36" spans="1:1" ht="15" customHeight="1" x14ac:dyDescent="0.3">
      <c r="A36" s="8" t="str">
        <f>HYPERLINK("#'Data_Sources'!A1","Data_Sources")</f>
        <v>Data_Sources</v>
      </c>
    </row>
    <row r="37" spans="1:1" ht="15" customHeight="1" x14ac:dyDescent="0.3">
      <c r="A37" s="8" t="str">
        <f>HYPERLINK("#'Raw_Teams'!A1","Raw_Teams")</f>
        <v>Raw_Teams</v>
      </c>
    </row>
    <row r="38" spans="1:1" ht="15" customHeight="1" x14ac:dyDescent="0.3">
      <c r="A38" s="8" t="str">
        <f>HYPERLINK("#'Raw_Players'!A1","Raw_Players")</f>
        <v>Raw_Players</v>
      </c>
    </row>
    <row r="39" spans="1:1" ht="15" customHeight="1" x14ac:dyDescent="0.3">
      <c r="A39" s="8" t="str">
        <f>HYPERLINK("#'Raw_Schedule'!A1","Raw_Schedule")</f>
        <v>Raw_Schedule</v>
      </c>
    </row>
    <row r="40" spans="1:1" ht="15" customHeight="1" x14ac:dyDescent="0.3"/>
    <row r="41" spans="1:1" ht="15" customHeight="1" x14ac:dyDescent="0.3">
      <c r="A41" s="9"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I59"/>
  <sheetViews>
    <sheetView showGridLines="0" workbookViewId="0">
      <pane ySplit="7" topLeftCell="A8" activePane="bottomLeft" state="frozen"/>
      <selection pane="bottomLeft"/>
    </sheetView>
  </sheetViews>
  <sheetFormatPr defaultRowHeight="14.4" x14ac:dyDescent="0.3"/>
  <cols>
    <col min="1" max="1" width="38" customWidth="1"/>
    <col min="2" max="2" width="16" customWidth="1"/>
    <col min="3" max="3" width="18" customWidth="1"/>
    <col min="4" max="4" width="70" customWidth="1"/>
    <col min="5" max="5" width="40" customWidth="1"/>
    <col min="6" max="6" width="14" customWidth="1"/>
    <col min="7" max="9" width="12" customWidth="1"/>
  </cols>
  <sheetData>
    <row r="1" spans="1:9" ht="15" customHeight="1" x14ac:dyDescent="0.3">
      <c r="A1" s="1" t="s">
        <v>0</v>
      </c>
      <c r="B1" s="2"/>
      <c r="C1" s="2"/>
      <c r="D1" s="2"/>
      <c r="E1" s="2"/>
      <c r="F1" s="2"/>
      <c r="G1" s="2"/>
      <c r="H1" s="2"/>
    </row>
    <row r="2" spans="1:9" ht="15" customHeight="1" x14ac:dyDescent="0.3">
      <c r="A2" s="3" t="s">
        <v>17</v>
      </c>
    </row>
    <row r="3" spans="1:9" ht="15" customHeight="1" x14ac:dyDescent="0.3">
      <c r="A3" s="4" t="s">
        <v>2</v>
      </c>
    </row>
    <row r="4" spans="1:9" ht="6" customHeight="1" x14ac:dyDescent="0.3"/>
    <row r="5" spans="1:9" ht="15" customHeight="1" x14ac:dyDescent="0.3">
      <c r="A5" s="3" t="s">
        <v>18</v>
      </c>
      <c r="B5" s="10" t="s">
        <v>19</v>
      </c>
      <c r="C5" s="4" t="s">
        <v>20</v>
      </c>
    </row>
    <row r="6" spans="1:9" ht="15" customHeight="1" x14ac:dyDescent="0.3"/>
    <row r="7" spans="1:9" ht="30" customHeight="1" x14ac:dyDescent="0.3">
      <c r="A7" s="11" t="s">
        <v>21</v>
      </c>
      <c r="B7" s="11" t="s">
        <v>22</v>
      </c>
      <c r="C7" s="11" t="s">
        <v>23</v>
      </c>
      <c r="D7" s="11" t="s">
        <v>24</v>
      </c>
      <c r="E7" s="11" t="s">
        <v>25</v>
      </c>
      <c r="F7" s="11" t="s">
        <v>26</v>
      </c>
      <c r="G7" s="11" t="s">
        <v>27</v>
      </c>
      <c r="H7" s="11" t="s">
        <v>19</v>
      </c>
      <c r="I7" s="11" t="s">
        <v>28</v>
      </c>
    </row>
    <row r="8" spans="1:9" ht="15" customHeight="1" x14ac:dyDescent="0.3">
      <c r="A8" s="6" t="s">
        <v>29</v>
      </c>
      <c r="B8" s="12">
        <v>1.8856964143871799</v>
      </c>
      <c r="C8" s="6" t="s">
        <v>30</v>
      </c>
      <c r="D8" s="6" t="s">
        <v>31</v>
      </c>
      <c r="E8" s="6" t="s">
        <v>32</v>
      </c>
      <c r="F8" s="12">
        <v>1.8856964143871799</v>
      </c>
      <c r="G8" s="13" t="s">
        <v>33</v>
      </c>
      <c r="H8" s="13" t="s">
        <v>33</v>
      </c>
      <c r="I8" s="13" t="s">
        <v>33</v>
      </c>
    </row>
    <row r="9" spans="1:9" ht="15" customHeight="1" x14ac:dyDescent="0.3">
      <c r="A9" s="6" t="s">
        <v>34</v>
      </c>
      <c r="B9" s="12">
        <v>13.4864126336699</v>
      </c>
      <c r="C9" s="6" t="s">
        <v>30</v>
      </c>
      <c r="D9" s="6" t="s">
        <v>35</v>
      </c>
      <c r="E9" s="6" t="s">
        <v>36</v>
      </c>
      <c r="F9" s="12">
        <v>13.4864126336699</v>
      </c>
      <c r="G9" s="13" t="s">
        <v>33</v>
      </c>
      <c r="H9" s="13" t="s">
        <v>33</v>
      </c>
      <c r="I9" s="13" t="s">
        <v>33</v>
      </c>
    </row>
    <row r="10" spans="1:9" ht="15" customHeight="1" x14ac:dyDescent="0.3">
      <c r="A10" s="6" t="s">
        <v>37</v>
      </c>
      <c r="B10" s="14">
        <f>CHOOSE(MATCH(A_Scenario,{"Bull","Base","Bear"},0),G10,H10,I10)</f>
        <v>3.5</v>
      </c>
      <c r="C10" s="6" t="s">
        <v>38</v>
      </c>
      <c r="D10" s="6" t="s">
        <v>39</v>
      </c>
      <c r="E10" s="6" t="s">
        <v>40</v>
      </c>
      <c r="F10" s="12">
        <v>3.5</v>
      </c>
      <c r="G10" s="12">
        <v>3.15</v>
      </c>
      <c r="H10" s="12">
        <v>3.5</v>
      </c>
      <c r="I10" s="12">
        <v>3.85</v>
      </c>
    </row>
    <row r="11" spans="1:9" ht="15" customHeight="1" x14ac:dyDescent="0.3">
      <c r="A11" s="6" t="s">
        <v>41</v>
      </c>
      <c r="B11" s="15">
        <v>-0.1703481155471675</v>
      </c>
      <c r="C11" s="6" t="s">
        <v>42</v>
      </c>
      <c r="D11" s="6" t="s">
        <v>43</v>
      </c>
      <c r="E11" s="6" t="s">
        <v>44</v>
      </c>
      <c r="F11" s="15">
        <v>-0.1703481155471675</v>
      </c>
      <c r="G11" s="13" t="s">
        <v>33</v>
      </c>
      <c r="H11" s="13" t="s">
        <v>33</v>
      </c>
      <c r="I11" s="13" t="s">
        <v>33</v>
      </c>
    </row>
    <row r="12" spans="1:9" ht="15" customHeight="1" x14ac:dyDescent="0.3">
      <c r="A12" s="6" t="s">
        <v>45</v>
      </c>
      <c r="B12" s="15">
        <v>-3.4051248313404323E-2</v>
      </c>
      <c r="C12" s="6" t="s">
        <v>42</v>
      </c>
      <c r="D12" s="6" t="s">
        <v>46</v>
      </c>
      <c r="E12" s="6" t="s">
        <v>47</v>
      </c>
      <c r="F12" s="15">
        <v>-3.4051248313404323E-2</v>
      </c>
      <c r="G12" s="13" t="s">
        <v>33</v>
      </c>
      <c r="H12" s="13" t="s">
        <v>33</v>
      </c>
      <c r="I12" s="13" t="s">
        <v>33</v>
      </c>
    </row>
    <row r="13" spans="1:9" ht="15" customHeight="1" x14ac:dyDescent="0.3">
      <c r="A13" s="6" t="s">
        <v>48</v>
      </c>
      <c r="B13" s="15">
        <v>1.07768699911608</v>
      </c>
      <c r="C13" s="6" t="s">
        <v>42</v>
      </c>
      <c r="D13" s="6" t="s">
        <v>49</v>
      </c>
      <c r="E13" s="6" t="s">
        <v>50</v>
      </c>
      <c r="F13" s="15">
        <v>1.07768699911608</v>
      </c>
      <c r="G13" s="13" t="s">
        <v>33</v>
      </c>
      <c r="H13" s="13" t="s">
        <v>33</v>
      </c>
      <c r="I13" s="13" t="s">
        <v>33</v>
      </c>
    </row>
    <row r="14" spans="1:9" ht="15" customHeight="1" x14ac:dyDescent="0.3">
      <c r="A14" s="6" t="s">
        <v>51</v>
      </c>
      <c r="B14" s="15">
        <v>0.1347686398457304</v>
      </c>
      <c r="C14" s="6" t="s">
        <v>42</v>
      </c>
      <c r="D14" s="6" t="s">
        <v>52</v>
      </c>
      <c r="E14" s="6" t="s">
        <v>53</v>
      </c>
      <c r="F14" s="15">
        <v>0.1347686398457304</v>
      </c>
      <c r="G14" s="13" t="s">
        <v>33</v>
      </c>
      <c r="H14" s="13" t="s">
        <v>33</v>
      </c>
      <c r="I14" s="13" t="s">
        <v>33</v>
      </c>
    </row>
    <row r="15" spans="1:9" ht="15" customHeight="1" x14ac:dyDescent="0.3">
      <c r="A15" s="6" t="s">
        <v>54</v>
      </c>
      <c r="B15" s="15">
        <v>2.44030379333114</v>
      </c>
      <c r="C15" s="6" t="s">
        <v>55</v>
      </c>
      <c r="D15" s="6" t="s">
        <v>56</v>
      </c>
      <c r="E15" s="6" t="s">
        <v>57</v>
      </c>
      <c r="F15" s="15">
        <v>2.44030379333114</v>
      </c>
      <c r="G15" s="13" t="s">
        <v>33</v>
      </c>
      <c r="H15" s="13" t="s">
        <v>33</v>
      </c>
      <c r="I15" s="13" t="s">
        <v>33</v>
      </c>
    </row>
    <row r="16" spans="1:9" ht="15" customHeight="1" x14ac:dyDescent="0.3">
      <c r="A16" s="6" t="s">
        <v>58</v>
      </c>
      <c r="B16" s="14">
        <f>CHOOSE(MATCH(A_Scenario,{"Bull","Base","Bear"},0),G16,H16,I16)</f>
        <v>0.5</v>
      </c>
      <c r="C16" s="6" t="s">
        <v>59</v>
      </c>
      <c r="D16" s="6" t="s">
        <v>60</v>
      </c>
      <c r="E16" s="6" t="s">
        <v>61</v>
      </c>
      <c r="F16" s="12">
        <v>0.5</v>
      </c>
      <c r="G16" s="12">
        <v>0.7</v>
      </c>
      <c r="H16" s="12">
        <v>0.5</v>
      </c>
      <c r="I16" s="12">
        <v>0.3</v>
      </c>
    </row>
    <row r="17" spans="1:9" ht="15" customHeight="1" x14ac:dyDescent="0.3">
      <c r="A17" s="6" t="s">
        <v>62</v>
      </c>
      <c r="B17" s="14">
        <f>1-A_wdarko</f>
        <v>0.5</v>
      </c>
      <c r="C17" s="6" t="s">
        <v>59</v>
      </c>
      <c r="D17" s="6" t="s">
        <v>63</v>
      </c>
      <c r="E17" s="6" t="s">
        <v>64</v>
      </c>
      <c r="F17" s="12">
        <v>0.5</v>
      </c>
      <c r="G17" s="13" t="s">
        <v>33</v>
      </c>
      <c r="H17" s="13" t="s">
        <v>33</v>
      </c>
      <c r="I17" s="13" t="s">
        <v>33</v>
      </c>
    </row>
    <row r="18" spans="1:9" ht="15" customHeight="1" x14ac:dyDescent="0.3">
      <c r="A18" s="6" t="s">
        <v>65</v>
      </c>
      <c r="B18" s="16">
        <v>1</v>
      </c>
      <c r="C18" s="6" t="s">
        <v>66</v>
      </c>
      <c r="D18" s="6" t="s">
        <v>67</v>
      </c>
      <c r="E18" s="6" t="s">
        <v>68</v>
      </c>
      <c r="F18" s="16">
        <v>1</v>
      </c>
      <c r="G18" s="13" t="s">
        <v>33</v>
      </c>
      <c r="H18" s="13" t="s">
        <v>33</v>
      </c>
      <c r="I18" s="13" t="s">
        <v>33</v>
      </c>
    </row>
    <row r="19" spans="1:9" ht="15" customHeight="1" x14ac:dyDescent="0.3">
      <c r="A19" s="6" t="s">
        <v>69</v>
      </c>
      <c r="B19" s="12">
        <v>1</v>
      </c>
      <c r="C19" s="6" t="s">
        <v>59</v>
      </c>
      <c r="D19" s="6" t="s">
        <v>70</v>
      </c>
      <c r="E19" s="6" t="s">
        <v>71</v>
      </c>
      <c r="F19" s="12">
        <v>1</v>
      </c>
      <c r="G19" s="13" t="s">
        <v>33</v>
      </c>
      <c r="H19" s="13" t="s">
        <v>33</v>
      </c>
      <c r="I19" s="13" t="s">
        <v>33</v>
      </c>
    </row>
    <row r="20" spans="1:9" ht="15" customHeight="1" x14ac:dyDescent="0.3">
      <c r="A20" s="6" t="s">
        <v>72</v>
      </c>
      <c r="B20" s="17">
        <f>CHOOSE(MATCH(A_Scenario,{"Bull","Base","Bear"},0),G20,H20,I20)</f>
        <v>1</v>
      </c>
      <c r="C20" s="6" t="s">
        <v>66</v>
      </c>
      <c r="D20" s="6" t="s">
        <v>73</v>
      </c>
      <c r="E20" s="6" t="s">
        <v>74</v>
      </c>
      <c r="F20" s="16">
        <v>1</v>
      </c>
      <c r="G20" s="16">
        <v>0</v>
      </c>
      <c r="H20" s="16">
        <v>1</v>
      </c>
      <c r="I20" s="16">
        <v>1</v>
      </c>
    </row>
    <row r="21" spans="1:9" ht="15" customHeight="1" x14ac:dyDescent="0.3">
      <c r="A21" s="6" t="s">
        <v>75</v>
      </c>
      <c r="B21" s="18">
        <f>CHOOSE(MATCH(A_Scenario,{"Bull","Base","Bear"},0),G21,H21,I21)</f>
        <v>0.28086944052017943</v>
      </c>
      <c r="C21" s="6" t="s">
        <v>76</v>
      </c>
      <c r="D21" s="6" t="s">
        <v>77</v>
      </c>
      <c r="E21" s="6" t="s">
        <v>78</v>
      </c>
      <c r="F21" s="19">
        <v>0.28086944052017943</v>
      </c>
      <c r="G21" s="19">
        <v>0</v>
      </c>
      <c r="H21" s="19">
        <v>0.28086944052017943</v>
      </c>
      <c r="I21" s="19">
        <v>1.57</v>
      </c>
    </row>
    <row r="22" spans="1:9" ht="15" customHeight="1" x14ac:dyDescent="0.3">
      <c r="A22" s="6" t="s">
        <v>79</v>
      </c>
      <c r="B22" s="12">
        <v>0</v>
      </c>
      <c r="C22" s="6" t="s">
        <v>59</v>
      </c>
      <c r="D22" s="6" t="s">
        <v>80</v>
      </c>
      <c r="E22" s="6" t="s">
        <v>81</v>
      </c>
      <c r="F22" s="12">
        <v>0</v>
      </c>
      <c r="G22" s="13" t="s">
        <v>33</v>
      </c>
      <c r="H22" s="13" t="s">
        <v>33</v>
      </c>
      <c r="I22" s="13" t="s">
        <v>33</v>
      </c>
    </row>
    <row r="23" spans="1:9" ht="15" customHeight="1" x14ac:dyDescent="0.3">
      <c r="A23" s="6" t="s">
        <v>82</v>
      </c>
      <c r="B23" s="15">
        <v>0.57637298171248363</v>
      </c>
      <c r="C23" s="6" t="s">
        <v>59</v>
      </c>
      <c r="D23" s="6" t="s">
        <v>83</v>
      </c>
      <c r="E23" s="6" t="s">
        <v>84</v>
      </c>
      <c r="F23" s="15">
        <v>0.57637298171248363</v>
      </c>
      <c r="G23" s="13" t="s">
        <v>33</v>
      </c>
      <c r="H23" s="13" t="s">
        <v>33</v>
      </c>
      <c r="I23" s="13" t="s">
        <v>33</v>
      </c>
    </row>
    <row r="24" spans="1:9" ht="15" customHeight="1" x14ac:dyDescent="0.3">
      <c r="A24" s="6" t="s">
        <v>85</v>
      </c>
      <c r="B24" s="12">
        <v>7.0000000000000007E-2</v>
      </c>
      <c r="C24" s="6" t="s">
        <v>86</v>
      </c>
      <c r="D24" s="6" t="s">
        <v>87</v>
      </c>
      <c r="E24" s="6" t="s">
        <v>88</v>
      </c>
      <c r="F24" s="12">
        <v>7.0000000000000007E-2</v>
      </c>
      <c r="G24" s="13" t="s">
        <v>33</v>
      </c>
      <c r="H24" s="13" t="s">
        <v>33</v>
      </c>
      <c r="I24" s="13" t="s">
        <v>33</v>
      </c>
    </row>
    <row r="25" spans="1:9" ht="15" customHeight="1" x14ac:dyDescent="0.3">
      <c r="A25" s="6" t="s">
        <v>89</v>
      </c>
      <c r="B25" s="16">
        <v>16</v>
      </c>
      <c r="C25" s="6" t="s">
        <v>90</v>
      </c>
      <c r="D25" s="6" t="s">
        <v>91</v>
      </c>
      <c r="E25" s="6" t="s">
        <v>92</v>
      </c>
      <c r="F25" s="16">
        <v>16</v>
      </c>
      <c r="G25" s="13" t="s">
        <v>33</v>
      </c>
      <c r="H25" s="13" t="s">
        <v>33</v>
      </c>
      <c r="I25" s="13" t="s">
        <v>33</v>
      </c>
    </row>
    <row r="26" spans="1:9" ht="15" customHeight="1" x14ac:dyDescent="0.3">
      <c r="A26" s="6" t="s">
        <v>93</v>
      </c>
      <c r="B26" s="16">
        <v>100000</v>
      </c>
      <c r="C26" s="6" t="s">
        <v>94</v>
      </c>
      <c r="D26" s="6" t="s">
        <v>95</v>
      </c>
      <c r="E26" s="6" t="s">
        <v>96</v>
      </c>
      <c r="F26" s="16">
        <v>100000</v>
      </c>
      <c r="G26" s="13" t="s">
        <v>33</v>
      </c>
      <c r="H26" s="13" t="s">
        <v>33</v>
      </c>
      <c r="I26" s="13" t="s">
        <v>33</v>
      </c>
    </row>
    <row r="27" spans="1:9" ht="15" customHeight="1" x14ac:dyDescent="0.3">
      <c r="A27" s="6" t="s">
        <v>97</v>
      </c>
      <c r="B27" s="16">
        <v>0</v>
      </c>
      <c r="C27" s="6" t="s">
        <v>66</v>
      </c>
      <c r="D27" s="6" t="s">
        <v>98</v>
      </c>
      <c r="E27" s="6" t="s">
        <v>92</v>
      </c>
      <c r="F27" s="16">
        <v>0</v>
      </c>
      <c r="G27" s="13" t="s">
        <v>33</v>
      </c>
      <c r="H27" s="13" t="s">
        <v>33</v>
      </c>
      <c r="I27" s="13" t="s">
        <v>33</v>
      </c>
    </row>
    <row r="28" spans="1:9" ht="15" customHeight="1" x14ac:dyDescent="0.3">
      <c r="A28" s="6" t="s">
        <v>99</v>
      </c>
      <c r="B28" s="16">
        <v>2</v>
      </c>
      <c r="C28" s="6" t="s">
        <v>100</v>
      </c>
      <c r="D28" s="6" t="s">
        <v>101</v>
      </c>
      <c r="E28" s="6" t="s">
        <v>92</v>
      </c>
      <c r="F28" s="16">
        <v>2</v>
      </c>
      <c r="G28" s="13" t="s">
        <v>33</v>
      </c>
      <c r="H28" s="13" t="s">
        <v>33</v>
      </c>
      <c r="I28" s="13" t="s">
        <v>33</v>
      </c>
    </row>
    <row r="29" spans="1:9" ht="15" customHeight="1" x14ac:dyDescent="0.3">
      <c r="A29" s="6" t="s">
        <v>102</v>
      </c>
      <c r="B29" s="12">
        <v>0.7</v>
      </c>
      <c r="C29" s="6" t="s">
        <v>59</v>
      </c>
      <c r="D29" s="6" t="s">
        <v>103</v>
      </c>
      <c r="E29" s="6" t="s">
        <v>92</v>
      </c>
      <c r="F29" s="12">
        <v>0.7</v>
      </c>
      <c r="G29" s="13" t="s">
        <v>33</v>
      </c>
      <c r="H29" s="13" t="s">
        <v>33</v>
      </c>
      <c r="I29" s="13" t="s">
        <v>33</v>
      </c>
    </row>
    <row r="30" spans="1:9" ht="15" customHeight="1" x14ac:dyDescent="0.3">
      <c r="A30" s="6" t="s">
        <v>104</v>
      </c>
      <c r="B30" s="16">
        <v>1</v>
      </c>
      <c r="C30" s="6" t="s">
        <v>66</v>
      </c>
      <c r="D30" s="6" t="s">
        <v>105</v>
      </c>
      <c r="E30" s="6" t="s">
        <v>106</v>
      </c>
      <c r="F30" s="16">
        <v>1</v>
      </c>
      <c r="G30" s="13" t="s">
        <v>33</v>
      </c>
      <c r="H30" s="13" t="s">
        <v>33</v>
      </c>
      <c r="I30" s="13" t="s">
        <v>33</v>
      </c>
    </row>
    <row r="31" spans="1:9" ht="15" customHeight="1" x14ac:dyDescent="0.3">
      <c r="A31" s="6" t="s">
        <v>107</v>
      </c>
      <c r="B31" s="20" t="s">
        <v>108</v>
      </c>
      <c r="C31" s="6" t="s">
        <v>109</v>
      </c>
      <c r="D31" s="6" t="s">
        <v>110</v>
      </c>
      <c r="E31" s="6" t="s">
        <v>106</v>
      </c>
      <c r="F31" s="20" t="s">
        <v>108</v>
      </c>
      <c r="G31" s="13" t="s">
        <v>33</v>
      </c>
      <c r="H31" s="13" t="s">
        <v>33</v>
      </c>
      <c r="I31" s="13" t="s">
        <v>33</v>
      </c>
    </row>
    <row r="32" spans="1:9" ht="15" customHeight="1" x14ac:dyDescent="0.3">
      <c r="A32" s="6" t="s">
        <v>111</v>
      </c>
      <c r="B32" s="21"/>
      <c r="C32" s="6" t="s">
        <v>112</v>
      </c>
      <c r="D32" s="6" t="s">
        <v>113</v>
      </c>
      <c r="E32" s="6" t="s">
        <v>114</v>
      </c>
      <c r="F32" s="6" t="s">
        <v>33</v>
      </c>
      <c r="G32" s="13" t="s">
        <v>33</v>
      </c>
      <c r="H32" s="13" t="s">
        <v>33</v>
      </c>
      <c r="I32" s="13" t="s">
        <v>33</v>
      </c>
    </row>
    <row r="33" spans="1:9" ht="15" customHeight="1" x14ac:dyDescent="0.3">
      <c r="A33" s="6" t="s">
        <v>115</v>
      </c>
      <c r="B33" s="12">
        <v>0.25</v>
      </c>
      <c r="C33" s="6" t="s">
        <v>59</v>
      </c>
      <c r="D33" s="6" t="s">
        <v>116</v>
      </c>
      <c r="E33" s="6" t="s">
        <v>106</v>
      </c>
      <c r="F33" s="12">
        <v>0.25</v>
      </c>
      <c r="G33" s="13" t="s">
        <v>33</v>
      </c>
      <c r="H33" s="13" t="s">
        <v>33</v>
      </c>
      <c r="I33" s="13" t="s">
        <v>33</v>
      </c>
    </row>
    <row r="34" spans="1:9" ht="15" customHeight="1" x14ac:dyDescent="0.3">
      <c r="A34" s="6" t="s">
        <v>117</v>
      </c>
      <c r="B34" s="22">
        <v>0.03</v>
      </c>
      <c r="C34" s="6" t="s">
        <v>118</v>
      </c>
      <c r="D34" s="6" t="s">
        <v>119</v>
      </c>
      <c r="E34" s="6" t="s">
        <v>106</v>
      </c>
      <c r="F34" s="22">
        <v>0.03</v>
      </c>
      <c r="G34" s="13" t="s">
        <v>33</v>
      </c>
      <c r="H34" s="13" t="s">
        <v>33</v>
      </c>
      <c r="I34" s="13" t="s">
        <v>33</v>
      </c>
    </row>
    <row r="35" spans="1:9" ht="15" customHeight="1" x14ac:dyDescent="0.3">
      <c r="A35" s="6" t="s">
        <v>120</v>
      </c>
      <c r="B35" s="22">
        <v>0.8</v>
      </c>
      <c r="C35" s="6" t="s">
        <v>86</v>
      </c>
      <c r="D35" s="6" t="s">
        <v>121</v>
      </c>
      <c r="E35" s="6" t="s">
        <v>106</v>
      </c>
      <c r="F35" s="22">
        <v>0.8</v>
      </c>
      <c r="G35" s="13" t="s">
        <v>33</v>
      </c>
      <c r="H35" s="13" t="s">
        <v>33</v>
      </c>
      <c r="I35" s="13" t="s">
        <v>33</v>
      </c>
    </row>
    <row r="36" spans="1:9" ht="15" customHeight="1" x14ac:dyDescent="0.3">
      <c r="A36" s="6" t="s">
        <v>122</v>
      </c>
      <c r="B36" s="21">
        <v>1000</v>
      </c>
      <c r="C36" s="6" t="s">
        <v>112</v>
      </c>
      <c r="D36" s="6" t="s">
        <v>123</v>
      </c>
      <c r="E36" s="6" t="s">
        <v>124</v>
      </c>
      <c r="F36" s="21">
        <v>1000</v>
      </c>
      <c r="G36" s="13" t="s">
        <v>33</v>
      </c>
      <c r="H36" s="13" t="s">
        <v>33</v>
      </c>
      <c r="I36" s="13" t="s">
        <v>33</v>
      </c>
    </row>
    <row r="37" spans="1:9" ht="15" customHeight="1" x14ac:dyDescent="0.3">
      <c r="A37" s="6" t="s">
        <v>125</v>
      </c>
      <c r="B37" s="22">
        <v>0.25</v>
      </c>
      <c r="C37" s="6" t="s">
        <v>126</v>
      </c>
      <c r="D37" s="6" t="s">
        <v>127</v>
      </c>
      <c r="E37" s="6" t="s">
        <v>106</v>
      </c>
      <c r="F37" s="22">
        <v>0.25</v>
      </c>
      <c r="G37" s="13" t="s">
        <v>33</v>
      </c>
      <c r="H37" s="13" t="s">
        <v>33</v>
      </c>
      <c r="I37" s="13" t="s">
        <v>33</v>
      </c>
    </row>
    <row r="38" spans="1:9" ht="15" customHeight="1" x14ac:dyDescent="0.3">
      <c r="A38" s="6" t="s">
        <v>128</v>
      </c>
      <c r="B38" s="12">
        <v>0.5</v>
      </c>
      <c r="C38" s="6" t="s">
        <v>59</v>
      </c>
      <c r="D38" s="6" t="s">
        <v>129</v>
      </c>
      <c r="E38" s="6" t="s">
        <v>130</v>
      </c>
      <c r="F38" s="12">
        <v>0.5</v>
      </c>
      <c r="G38" s="13" t="s">
        <v>33</v>
      </c>
      <c r="H38" s="13" t="s">
        <v>33</v>
      </c>
      <c r="I38" s="13" t="s">
        <v>33</v>
      </c>
    </row>
    <row r="39" spans="1:9" ht="15" customHeight="1" x14ac:dyDescent="0.3">
      <c r="A39" s="6" t="s">
        <v>131</v>
      </c>
      <c r="B39" s="16">
        <v>1</v>
      </c>
      <c r="C39" s="6" t="s">
        <v>66</v>
      </c>
      <c r="D39" s="6" t="s">
        <v>132</v>
      </c>
      <c r="E39" s="6" t="s">
        <v>133</v>
      </c>
      <c r="F39" s="16">
        <v>1</v>
      </c>
      <c r="G39" s="13" t="s">
        <v>33</v>
      </c>
      <c r="H39" s="13" t="s">
        <v>33</v>
      </c>
      <c r="I39" s="13" t="s">
        <v>33</v>
      </c>
    </row>
    <row r="40" spans="1:9" ht="15" customHeight="1" x14ac:dyDescent="0.3">
      <c r="A40" s="6" t="s">
        <v>134</v>
      </c>
      <c r="B40" s="16">
        <v>0</v>
      </c>
      <c r="C40" s="6" t="s">
        <v>66</v>
      </c>
      <c r="D40" s="6" t="s">
        <v>135</v>
      </c>
      <c r="E40" s="6" t="s">
        <v>136</v>
      </c>
      <c r="F40" s="16">
        <v>0</v>
      </c>
      <c r="G40" s="13" t="s">
        <v>33</v>
      </c>
      <c r="H40" s="13" t="s">
        <v>33</v>
      </c>
      <c r="I40" s="13" t="s">
        <v>33</v>
      </c>
    </row>
    <row r="41" spans="1:9" ht="15" customHeight="1" x14ac:dyDescent="0.3">
      <c r="A41" s="6" t="s">
        <v>137</v>
      </c>
      <c r="B41" s="22">
        <v>0.05</v>
      </c>
      <c r="C41" s="6" t="s">
        <v>86</v>
      </c>
      <c r="D41" s="6" t="s">
        <v>138</v>
      </c>
      <c r="E41" s="6" t="s">
        <v>136</v>
      </c>
      <c r="F41" s="22">
        <v>0.05</v>
      </c>
      <c r="G41" s="13" t="s">
        <v>33</v>
      </c>
      <c r="H41" s="13" t="s">
        <v>33</v>
      </c>
      <c r="I41" s="13" t="s">
        <v>33</v>
      </c>
    </row>
    <row r="42" spans="1:9" ht="15" customHeight="1" x14ac:dyDescent="0.3">
      <c r="A42" s="6" t="s">
        <v>139</v>
      </c>
      <c r="B42" s="12">
        <v>0.75</v>
      </c>
      <c r="C42" s="6" t="s">
        <v>59</v>
      </c>
      <c r="D42" s="6" t="s">
        <v>140</v>
      </c>
      <c r="E42" s="6" t="s">
        <v>136</v>
      </c>
      <c r="F42" s="12">
        <v>0.75</v>
      </c>
      <c r="G42" s="13" t="s">
        <v>33</v>
      </c>
      <c r="H42" s="13" t="s">
        <v>33</v>
      </c>
      <c r="I42" s="13" t="s">
        <v>33</v>
      </c>
    </row>
    <row r="43" spans="1:9" ht="15" customHeight="1" x14ac:dyDescent="0.3">
      <c r="A43" s="6" t="s">
        <v>141</v>
      </c>
      <c r="B43" s="22">
        <v>0.1</v>
      </c>
      <c r="C43" s="6" t="s">
        <v>126</v>
      </c>
      <c r="D43" s="6" t="s">
        <v>142</v>
      </c>
      <c r="E43" s="6" t="s">
        <v>136</v>
      </c>
      <c r="F43" s="22">
        <v>0.1</v>
      </c>
      <c r="G43" s="13" t="s">
        <v>33</v>
      </c>
      <c r="H43" s="13" t="s">
        <v>33</v>
      </c>
      <c r="I43" s="13" t="s">
        <v>33</v>
      </c>
    </row>
    <row r="44" spans="1:9" ht="15" customHeight="1" x14ac:dyDescent="0.3">
      <c r="A44" s="6" t="s">
        <v>143</v>
      </c>
      <c r="B44" s="22">
        <v>0.1</v>
      </c>
      <c r="C44" s="6" t="s">
        <v>126</v>
      </c>
      <c r="D44" s="6" t="s">
        <v>144</v>
      </c>
      <c r="E44" s="6" t="s">
        <v>145</v>
      </c>
      <c r="F44" s="22">
        <v>0.1</v>
      </c>
      <c r="G44" s="13" t="s">
        <v>33</v>
      </c>
      <c r="H44" s="13" t="s">
        <v>33</v>
      </c>
      <c r="I44" s="13" t="s">
        <v>33</v>
      </c>
    </row>
    <row r="45" spans="1:9" ht="15" customHeight="1" x14ac:dyDescent="0.3">
      <c r="A45" s="6" t="s">
        <v>146</v>
      </c>
      <c r="B45" s="22">
        <v>0.05</v>
      </c>
      <c r="C45" s="6" t="s">
        <v>86</v>
      </c>
      <c r="D45" s="6" t="s">
        <v>147</v>
      </c>
      <c r="E45" s="6" t="s">
        <v>133</v>
      </c>
      <c r="F45" s="22">
        <v>0.05</v>
      </c>
      <c r="G45" s="13" t="s">
        <v>33</v>
      </c>
      <c r="H45" s="13" t="s">
        <v>33</v>
      </c>
      <c r="I45" s="13" t="s">
        <v>33</v>
      </c>
    </row>
    <row r="46" spans="1:9" ht="15" customHeight="1" x14ac:dyDescent="0.3">
      <c r="A46" s="6" t="s">
        <v>148</v>
      </c>
      <c r="B46" s="12">
        <v>0.55000000000000004</v>
      </c>
      <c r="C46" s="6" t="s">
        <v>59</v>
      </c>
      <c r="D46" s="6" t="s">
        <v>149</v>
      </c>
      <c r="E46" s="6" t="s">
        <v>133</v>
      </c>
      <c r="F46" s="12">
        <v>0.55000000000000004</v>
      </c>
      <c r="G46" s="13" t="s">
        <v>33</v>
      </c>
      <c r="H46" s="13" t="s">
        <v>33</v>
      </c>
      <c r="I46" s="13" t="s">
        <v>33</v>
      </c>
    </row>
    <row r="47" spans="1:9" ht="15" customHeight="1" x14ac:dyDescent="0.3">
      <c r="A47" s="6" t="s">
        <v>150</v>
      </c>
      <c r="B47" s="12">
        <v>0.75</v>
      </c>
      <c r="C47" s="6" t="s">
        <v>59</v>
      </c>
      <c r="D47" s="6" t="s">
        <v>151</v>
      </c>
      <c r="E47" s="6" t="s">
        <v>133</v>
      </c>
      <c r="F47" s="12">
        <v>0.75</v>
      </c>
      <c r="G47" s="13" t="s">
        <v>33</v>
      </c>
      <c r="H47" s="13" t="s">
        <v>33</v>
      </c>
      <c r="I47" s="13" t="s">
        <v>33</v>
      </c>
    </row>
    <row r="48" spans="1:9" ht="15" customHeight="1" x14ac:dyDescent="0.3">
      <c r="A48" s="6" t="s">
        <v>152</v>
      </c>
      <c r="B48" s="23">
        <f>(SUMIFS(Odds_Input!$E$8:$E$694,Odds_Input!$B$8:$B$694,"WINS",Odds_Input!$D$8:$D$694,"OVER")-A_leaguew)/30</f>
        <v>0.36666666666666664</v>
      </c>
      <c r="C48" s="6" t="s">
        <v>153</v>
      </c>
      <c r="D48" s="6" t="s">
        <v>154</v>
      </c>
      <c r="E48" s="6" t="s">
        <v>155</v>
      </c>
      <c r="F48" s="6" t="s">
        <v>33</v>
      </c>
      <c r="G48" s="13" t="s">
        <v>33</v>
      </c>
      <c r="H48" s="13" t="s">
        <v>33</v>
      </c>
      <c r="I48" s="13" t="s">
        <v>33</v>
      </c>
    </row>
    <row r="49" spans="1:9" ht="15" customHeight="1" x14ac:dyDescent="0.3">
      <c r="A49" s="6" t="s">
        <v>156</v>
      </c>
      <c r="B49" s="20" t="s">
        <v>157</v>
      </c>
      <c r="C49" s="6" t="s">
        <v>109</v>
      </c>
      <c r="D49" s="6" t="s">
        <v>158</v>
      </c>
      <c r="E49" s="6" t="s">
        <v>159</v>
      </c>
      <c r="F49" s="20" t="s">
        <v>157</v>
      </c>
      <c r="G49" s="13" t="s">
        <v>33</v>
      </c>
      <c r="H49" s="13" t="s">
        <v>33</v>
      </c>
      <c r="I49" s="13" t="s">
        <v>33</v>
      </c>
    </row>
    <row r="50" spans="1:9" ht="15" customHeight="1" x14ac:dyDescent="0.3">
      <c r="A50" s="6" t="s">
        <v>160</v>
      </c>
      <c r="B50" s="16">
        <v>1</v>
      </c>
      <c r="C50" s="6" t="s">
        <v>66</v>
      </c>
      <c r="D50" s="6" t="s">
        <v>161</v>
      </c>
      <c r="E50" s="6" t="s">
        <v>133</v>
      </c>
      <c r="F50" s="16">
        <v>1</v>
      </c>
      <c r="G50" s="13" t="s">
        <v>33</v>
      </c>
      <c r="H50" s="13" t="s">
        <v>33</v>
      </c>
      <c r="I50" s="13" t="s">
        <v>33</v>
      </c>
    </row>
    <row r="51" spans="1:9" ht="15" customHeight="1" x14ac:dyDescent="0.3">
      <c r="A51" s="6" t="s">
        <v>162</v>
      </c>
      <c r="B51" s="12">
        <v>0.94</v>
      </c>
      <c r="C51" s="6" t="s">
        <v>163</v>
      </c>
      <c r="D51" s="6" t="s">
        <v>164</v>
      </c>
      <c r="E51" s="6" t="s">
        <v>165</v>
      </c>
      <c r="F51" s="12">
        <v>0.94</v>
      </c>
      <c r="G51" s="13" t="s">
        <v>33</v>
      </c>
      <c r="H51" s="13" t="s">
        <v>33</v>
      </c>
      <c r="I51" s="13" t="s">
        <v>33</v>
      </c>
    </row>
    <row r="52" spans="1:9" ht="15" customHeight="1" x14ac:dyDescent="0.3">
      <c r="A52" s="6" t="s">
        <v>166</v>
      </c>
      <c r="B52" s="16">
        <v>82</v>
      </c>
      <c r="C52" s="6" t="s">
        <v>100</v>
      </c>
      <c r="D52" s="6" t="s">
        <v>167</v>
      </c>
      <c r="E52" s="6" t="s">
        <v>106</v>
      </c>
      <c r="F52" s="16">
        <v>82</v>
      </c>
      <c r="G52" s="13" t="s">
        <v>33</v>
      </c>
      <c r="H52" s="13" t="s">
        <v>33</v>
      </c>
      <c r="I52" s="13" t="s">
        <v>33</v>
      </c>
    </row>
    <row r="53" spans="1:9" ht="15" customHeight="1" x14ac:dyDescent="0.3">
      <c r="A53" s="6" t="s">
        <v>168</v>
      </c>
      <c r="B53" s="16">
        <v>19680</v>
      </c>
      <c r="C53" s="6" t="s">
        <v>169</v>
      </c>
      <c r="D53" s="6" t="s">
        <v>170</v>
      </c>
      <c r="E53" s="6" t="s">
        <v>106</v>
      </c>
      <c r="F53" s="16">
        <v>19680</v>
      </c>
      <c r="G53" s="13" t="s">
        <v>33</v>
      </c>
      <c r="H53" s="13" t="s">
        <v>33</v>
      </c>
      <c r="I53" s="13" t="s">
        <v>33</v>
      </c>
    </row>
    <row r="54" spans="1:9" ht="15" customHeight="1" x14ac:dyDescent="0.3">
      <c r="A54" s="6" t="s">
        <v>171</v>
      </c>
      <c r="B54" s="12">
        <v>0.7</v>
      </c>
      <c r="C54" s="6" t="s">
        <v>59</v>
      </c>
      <c r="D54" s="6" t="s">
        <v>172</v>
      </c>
      <c r="E54" s="6" t="s">
        <v>173</v>
      </c>
      <c r="F54" s="12">
        <v>0.7</v>
      </c>
      <c r="G54" s="13" t="s">
        <v>33</v>
      </c>
      <c r="H54" s="13" t="s">
        <v>33</v>
      </c>
      <c r="I54" s="13" t="s">
        <v>33</v>
      </c>
    </row>
    <row r="55" spans="1:9" ht="15" customHeight="1" x14ac:dyDescent="0.3">
      <c r="A55" s="6" t="s">
        <v>174</v>
      </c>
      <c r="B55" s="16">
        <v>4</v>
      </c>
      <c r="C55" s="6" t="s">
        <v>175</v>
      </c>
      <c r="D55" s="6" t="s">
        <v>176</v>
      </c>
      <c r="E55" s="6" t="s">
        <v>177</v>
      </c>
      <c r="F55" s="16">
        <v>4</v>
      </c>
      <c r="G55" s="13" t="s">
        <v>33</v>
      </c>
      <c r="H55" s="13" t="s">
        <v>33</v>
      </c>
      <c r="I55" s="13" t="s">
        <v>33</v>
      </c>
    </row>
    <row r="56" spans="1:9" ht="15" customHeight="1" x14ac:dyDescent="0.3">
      <c r="A56" s="6" t="s">
        <v>178</v>
      </c>
      <c r="B56" s="12">
        <v>115.78</v>
      </c>
      <c r="C56" s="6" t="s">
        <v>179</v>
      </c>
      <c r="D56" s="6" t="s">
        <v>180</v>
      </c>
      <c r="E56" s="6" t="s">
        <v>181</v>
      </c>
      <c r="F56" s="12">
        <v>115.78</v>
      </c>
      <c r="G56" s="13" t="s">
        <v>33</v>
      </c>
      <c r="H56" s="13" t="s">
        <v>33</v>
      </c>
      <c r="I56" s="13" t="s">
        <v>33</v>
      </c>
    </row>
    <row r="57" spans="1:9" ht="15" customHeight="1" x14ac:dyDescent="0.3">
      <c r="A57" s="6" t="s">
        <v>182</v>
      </c>
      <c r="B57" s="16">
        <v>1230</v>
      </c>
      <c r="C57" s="6" t="s">
        <v>183</v>
      </c>
      <c r="D57" s="6" t="s">
        <v>184</v>
      </c>
      <c r="E57" s="6" t="s">
        <v>106</v>
      </c>
      <c r="F57" s="16">
        <v>1230</v>
      </c>
      <c r="G57" s="13" t="s">
        <v>33</v>
      </c>
      <c r="H57" s="13" t="s">
        <v>33</v>
      </c>
      <c r="I57" s="13" t="s">
        <v>33</v>
      </c>
    </row>
    <row r="58" spans="1:9" ht="15" customHeight="1" x14ac:dyDescent="0.3"/>
    <row r="59" spans="1:9" ht="15" customHeight="1" x14ac:dyDescent="0.3">
      <c r="A59" s="3" t="s">
        <v>185</v>
      </c>
      <c r="B59" s="6" t="str">
        <f>TEXT(A_sigma_team,"0.0000")&amp;"|"&amp;TEXT(A_hca,"0.0000")&amp;"|"&amp;TEXT(A_sigma_game,"0.0000")&amp;"|"&amp;TEXT(A_wdarko,"0.0000")&amp;"|"&amp;TEXT(A_kappa,"0.0000")&amp;"|"&amp;TEXT(A_deterrent,"0.0000")&amp;"|"&amp;TEXT(A_tank_on,"0.0000")&amp;"|"&amp;TEXT(A_lambda,"0.0000")&amp;"|"&amp;TEXT(A_poinj,"0.0000")&amp;"|"&amp;TEXT(A_ndraws,"0.0000")&amp;"|"&amp;TEXT(A_cupneutral,"0.0000")&amp;"|"&amp;TEXT(IF(A_cupcross&gt;0,1,0),"0.0000")&amp;"|"&amp;TEXT(A_b0,"0.0000")&amp;"|"&amp;TEXT(A_b1,"0.0000")&amp;"|"&amp;TEXT(A_b2,"0.0000")&amp;"|"&amp;TEXT(A_b3,"0.0000")&amp;"|"&amp;TEXT(A_kwins,"0.0000")</f>
        <v>3.5000|1.8857|13.4864|0.5000|0.2809|0.0000|1.0000|0.5764|0.0700|16.0000|0.0000|1.0000|-0.0341|1.0777|-0.1703|0.1348|2.4403</v>
      </c>
      <c r="D59" s="4" t="s">
        <v>186</v>
      </c>
    </row>
  </sheetData>
  <dataValidations count="3">
    <dataValidation type="list" sqref="B5" xr:uid="{00000000-0002-0000-0100-000000000000}">
      <formula1>"Bull,Base,Bear"</formula1>
    </dataValidation>
    <dataValidation type="list" sqref="B31" xr:uid="{00000000-0002-0000-0100-000001000000}">
      <formula1>"Multiplicative,Power,Shin"</formula1>
    </dataValidation>
    <dataValidation type="list" sqref="B49" xr:uid="{00000000-0002-0000-0100-000002000000}">
      <formula1>"Bracket,Top10"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H81"/>
  <sheetViews>
    <sheetView showGridLines="0" workbookViewId="0"/>
  </sheetViews>
  <sheetFormatPr defaultRowHeight="14.4" x14ac:dyDescent="0.3"/>
  <cols>
    <col min="1" max="1" width="28" customWidth="1"/>
    <col min="2" max="2" width="20" customWidth="1"/>
    <col min="3" max="3" width="16" customWidth="1"/>
    <col min="4" max="4" width="18" customWidth="1"/>
    <col min="5" max="5" width="40" customWidth="1"/>
    <col min="6" max="8" width="14" customWidth="1"/>
  </cols>
  <sheetData>
    <row r="1" spans="1:8" ht="15" customHeight="1" x14ac:dyDescent="0.3">
      <c r="A1" s="1" t="s">
        <v>0</v>
      </c>
      <c r="B1" s="2"/>
      <c r="C1" s="2"/>
      <c r="D1" s="2"/>
      <c r="E1" s="2"/>
      <c r="F1" s="2"/>
      <c r="G1" s="2"/>
      <c r="H1" s="2"/>
    </row>
    <row r="2" spans="1:8" ht="15" customHeight="1" x14ac:dyDescent="0.3">
      <c r="A2" s="3" t="s">
        <v>187</v>
      </c>
    </row>
    <row r="3" spans="1:8" ht="15" customHeight="1" x14ac:dyDescent="0.3">
      <c r="A3" s="4" t="s">
        <v>2</v>
      </c>
    </row>
    <row r="4" spans="1:8" ht="6" customHeight="1" x14ac:dyDescent="0.3"/>
    <row r="5" spans="1:8" ht="15" customHeight="1" x14ac:dyDescent="0.3">
      <c r="A5" s="4" t="s">
        <v>188</v>
      </c>
    </row>
    <row r="6" spans="1:8" ht="15" customHeight="1" x14ac:dyDescent="0.3"/>
    <row r="7" spans="1:8" ht="30" customHeight="1" x14ac:dyDescent="0.3">
      <c r="A7" s="11" t="s">
        <v>189</v>
      </c>
      <c r="B7" s="11" t="s">
        <v>190</v>
      </c>
      <c r="C7" s="11" t="s">
        <v>191</v>
      </c>
      <c r="D7" s="11" t="s">
        <v>192</v>
      </c>
      <c r="E7" s="11" t="s">
        <v>193</v>
      </c>
    </row>
    <row r="8" spans="1:8" ht="15" customHeight="1" x14ac:dyDescent="0.3">
      <c r="A8" s="10"/>
      <c r="B8" s="24"/>
      <c r="C8" s="16"/>
      <c r="D8" s="12"/>
      <c r="E8" s="10"/>
    </row>
    <row r="9" spans="1:8" ht="15" customHeight="1" x14ac:dyDescent="0.3">
      <c r="A9" s="10"/>
      <c r="B9" s="24"/>
      <c r="C9" s="16"/>
      <c r="D9" s="12"/>
      <c r="E9" s="10"/>
    </row>
    <row r="10" spans="1:8" ht="15" customHeight="1" x14ac:dyDescent="0.3">
      <c r="A10" s="10"/>
      <c r="B10" s="24"/>
      <c r="C10" s="16"/>
      <c r="D10" s="12"/>
      <c r="E10" s="10"/>
    </row>
    <row r="11" spans="1:8" ht="15" customHeight="1" x14ac:dyDescent="0.3">
      <c r="A11" s="10"/>
      <c r="B11" s="24"/>
      <c r="C11" s="16"/>
      <c r="D11" s="12"/>
      <c r="E11" s="10"/>
    </row>
    <row r="12" spans="1:8" ht="15" customHeight="1" x14ac:dyDescent="0.3">
      <c r="A12" s="10"/>
      <c r="B12" s="24"/>
      <c r="C12" s="16"/>
      <c r="D12" s="12"/>
      <c r="E12" s="10"/>
    </row>
    <row r="13" spans="1:8" ht="15" customHeight="1" x14ac:dyDescent="0.3">
      <c r="A13" s="10"/>
      <c r="B13" s="24"/>
      <c r="C13" s="16"/>
      <c r="D13" s="12"/>
      <c r="E13" s="10"/>
    </row>
    <row r="14" spans="1:8" ht="15" customHeight="1" x14ac:dyDescent="0.3">
      <c r="A14" s="10"/>
      <c r="B14" s="24"/>
      <c r="C14" s="16"/>
      <c r="D14" s="12"/>
      <c r="E14" s="10"/>
    </row>
    <row r="15" spans="1:8" ht="15" customHeight="1" x14ac:dyDescent="0.3">
      <c r="A15" s="10"/>
      <c r="B15" s="24"/>
      <c r="C15" s="16"/>
      <c r="D15" s="12"/>
      <c r="E15" s="10"/>
    </row>
    <row r="16" spans="1:8" ht="15" customHeight="1" x14ac:dyDescent="0.3">
      <c r="A16" s="10"/>
      <c r="B16" s="24"/>
      <c r="C16" s="16"/>
      <c r="D16" s="12"/>
      <c r="E16" s="10"/>
    </row>
    <row r="17" spans="1:5" ht="15" customHeight="1" x14ac:dyDescent="0.3">
      <c r="A17" s="10"/>
      <c r="B17" s="24"/>
      <c r="C17" s="16"/>
      <c r="D17" s="12"/>
      <c r="E17" s="10"/>
    </row>
    <row r="18" spans="1:5" ht="15" customHeight="1" x14ac:dyDescent="0.3">
      <c r="A18" s="10"/>
      <c r="B18" s="24"/>
      <c r="C18" s="16"/>
      <c r="D18" s="12"/>
      <c r="E18" s="10"/>
    </row>
    <row r="19" spans="1:5" ht="15" customHeight="1" x14ac:dyDescent="0.3">
      <c r="A19" s="10"/>
      <c r="B19" s="24"/>
      <c r="C19" s="16"/>
      <c r="D19" s="12"/>
      <c r="E19" s="10"/>
    </row>
    <row r="20" spans="1:5" ht="15" customHeight="1" x14ac:dyDescent="0.3">
      <c r="A20" s="10"/>
      <c r="B20" s="24"/>
      <c r="C20" s="16"/>
      <c r="D20" s="12"/>
      <c r="E20" s="10"/>
    </row>
    <row r="21" spans="1:5" ht="15" customHeight="1" x14ac:dyDescent="0.3">
      <c r="A21" s="10"/>
      <c r="B21" s="24"/>
      <c r="C21" s="16"/>
      <c r="D21" s="12"/>
      <c r="E21" s="10"/>
    </row>
    <row r="22" spans="1:5" ht="15" customHeight="1" x14ac:dyDescent="0.3">
      <c r="A22" s="10"/>
      <c r="B22" s="24"/>
      <c r="C22" s="16"/>
      <c r="D22" s="12"/>
      <c r="E22" s="10"/>
    </row>
    <row r="23" spans="1:5" ht="15" customHeight="1" x14ac:dyDescent="0.3">
      <c r="A23" s="10"/>
      <c r="B23" s="24"/>
      <c r="C23" s="16"/>
      <c r="D23" s="12"/>
      <c r="E23" s="10"/>
    </row>
    <row r="24" spans="1:5" ht="15" customHeight="1" x14ac:dyDescent="0.3">
      <c r="A24" s="10"/>
      <c r="B24" s="24"/>
      <c r="C24" s="16"/>
      <c r="D24" s="12"/>
      <c r="E24" s="10"/>
    </row>
    <row r="25" spans="1:5" ht="15" customHeight="1" x14ac:dyDescent="0.3">
      <c r="A25" s="10"/>
      <c r="B25" s="24"/>
      <c r="C25" s="16"/>
      <c r="D25" s="12"/>
      <c r="E25" s="10"/>
    </row>
    <row r="26" spans="1:5" ht="15" customHeight="1" x14ac:dyDescent="0.3">
      <c r="A26" s="10"/>
      <c r="B26" s="24"/>
      <c r="C26" s="16"/>
      <c r="D26" s="12"/>
      <c r="E26" s="10"/>
    </row>
    <row r="27" spans="1:5" ht="15" customHeight="1" x14ac:dyDescent="0.3">
      <c r="A27" s="10"/>
      <c r="B27" s="24"/>
      <c r="C27" s="16"/>
      <c r="D27" s="12"/>
      <c r="E27" s="10"/>
    </row>
    <row r="28" spans="1:5" ht="15" customHeight="1" x14ac:dyDescent="0.3">
      <c r="A28" s="10"/>
      <c r="B28" s="24"/>
      <c r="C28" s="16"/>
      <c r="D28" s="12"/>
      <c r="E28" s="10"/>
    </row>
    <row r="29" spans="1:5" ht="15" customHeight="1" x14ac:dyDescent="0.3">
      <c r="A29" s="10"/>
      <c r="B29" s="24"/>
      <c r="C29" s="16"/>
      <c r="D29" s="12"/>
      <c r="E29" s="10"/>
    </row>
    <row r="30" spans="1:5" ht="15" customHeight="1" x14ac:dyDescent="0.3">
      <c r="A30" s="10"/>
      <c r="B30" s="24"/>
      <c r="C30" s="16"/>
      <c r="D30" s="12"/>
      <c r="E30" s="10"/>
    </row>
    <row r="31" spans="1:5" ht="15" customHeight="1" x14ac:dyDescent="0.3">
      <c r="A31" s="10"/>
      <c r="B31" s="24"/>
      <c r="C31" s="16"/>
      <c r="D31" s="12"/>
      <c r="E31" s="10"/>
    </row>
    <row r="32" spans="1:5" ht="15" customHeight="1" x14ac:dyDescent="0.3">
      <c r="A32" s="10"/>
      <c r="B32" s="24"/>
      <c r="C32" s="16"/>
      <c r="D32" s="12"/>
      <c r="E32" s="10"/>
    </row>
    <row r="33" spans="1:5" ht="15" customHeight="1" x14ac:dyDescent="0.3">
      <c r="A33" s="10"/>
      <c r="B33" s="24"/>
      <c r="C33" s="16"/>
      <c r="D33" s="12"/>
      <c r="E33" s="10"/>
    </row>
    <row r="34" spans="1:5" ht="15" customHeight="1" x14ac:dyDescent="0.3">
      <c r="A34" s="10"/>
      <c r="B34" s="24"/>
      <c r="C34" s="16"/>
      <c r="D34" s="12"/>
      <c r="E34" s="10"/>
    </row>
    <row r="35" spans="1:5" ht="15" customHeight="1" x14ac:dyDescent="0.3">
      <c r="A35" s="10"/>
      <c r="B35" s="24"/>
      <c r="C35" s="16"/>
      <c r="D35" s="12"/>
      <c r="E35" s="10"/>
    </row>
    <row r="36" spans="1:5" ht="15" customHeight="1" x14ac:dyDescent="0.3">
      <c r="A36" s="10"/>
      <c r="B36" s="24"/>
      <c r="C36" s="16"/>
      <c r="D36" s="12"/>
      <c r="E36" s="10"/>
    </row>
    <row r="37" spans="1:5" ht="15" customHeight="1" x14ac:dyDescent="0.3">
      <c r="A37" s="10"/>
      <c r="B37" s="24"/>
      <c r="C37" s="16"/>
      <c r="D37" s="12"/>
      <c r="E37" s="10"/>
    </row>
    <row r="38" spans="1:5" ht="15" customHeight="1" x14ac:dyDescent="0.3">
      <c r="A38" s="10"/>
      <c r="B38" s="24"/>
      <c r="C38" s="16"/>
      <c r="D38" s="12"/>
      <c r="E38" s="10"/>
    </row>
    <row r="39" spans="1:5" ht="15" customHeight="1" x14ac:dyDescent="0.3">
      <c r="A39" s="10"/>
      <c r="B39" s="24"/>
      <c r="C39" s="16"/>
      <c r="D39" s="12"/>
      <c r="E39" s="10"/>
    </row>
    <row r="40" spans="1:5" ht="15" customHeight="1" x14ac:dyDescent="0.3">
      <c r="A40" s="10"/>
      <c r="B40" s="24"/>
      <c r="C40" s="16"/>
      <c r="D40" s="12"/>
      <c r="E40" s="10"/>
    </row>
    <row r="41" spans="1:5" ht="15" customHeight="1" x14ac:dyDescent="0.3">
      <c r="A41" s="10"/>
      <c r="B41" s="24"/>
      <c r="C41" s="16"/>
      <c r="D41" s="12"/>
      <c r="E41" s="10"/>
    </row>
    <row r="42" spans="1:5" ht="15" customHeight="1" x14ac:dyDescent="0.3">
      <c r="A42" s="10"/>
      <c r="B42" s="24"/>
      <c r="C42" s="16"/>
      <c r="D42" s="12"/>
      <c r="E42" s="10"/>
    </row>
    <row r="43" spans="1:5" ht="15" customHeight="1" x14ac:dyDescent="0.3">
      <c r="A43" s="10"/>
      <c r="B43" s="24"/>
      <c r="C43" s="16"/>
      <c r="D43" s="12"/>
      <c r="E43" s="10"/>
    </row>
    <row r="44" spans="1:5" ht="15" customHeight="1" x14ac:dyDescent="0.3">
      <c r="A44" s="10"/>
      <c r="B44" s="24"/>
      <c r="C44" s="16"/>
      <c r="D44" s="12"/>
      <c r="E44" s="10"/>
    </row>
    <row r="45" spans="1:5" ht="15" customHeight="1" x14ac:dyDescent="0.3">
      <c r="A45" s="10"/>
      <c r="B45" s="24"/>
      <c r="C45" s="16"/>
      <c r="D45" s="12"/>
      <c r="E45" s="10"/>
    </row>
    <row r="46" spans="1:5" ht="15" customHeight="1" x14ac:dyDescent="0.3">
      <c r="A46" s="10"/>
      <c r="B46" s="24"/>
      <c r="C46" s="16"/>
      <c r="D46" s="12"/>
      <c r="E46" s="10"/>
    </row>
    <row r="47" spans="1:5" ht="15" customHeight="1" x14ac:dyDescent="0.3">
      <c r="A47" s="10"/>
      <c r="B47" s="24"/>
      <c r="C47" s="16"/>
      <c r="D47" s="12"/>
      <c r="E47" s="10"/>
    </row>
    <row r="48" spans="1:5" ht="15" customHeight="1" x14ac:dyDescent="0.3"/>
    <row r="49" spans="1:3" ht="15" customHeight="1" x14ac:dyDescent="0.3"/>
    <row r="50" spans="1:3" ht="15" customHeight="1" x14ac:dyDescent="0.3">
      <c r="A50" s="3" t="s">
        <v>194</v>
      </c>
    </row>
    <row r="51" spans="1:3" ht="30" customHeight="1" x14ac:dyDescent="0.3">
      <c r="A51" s="11" t="s">
        <v>195</v>
      </c>
      <c r="B51" s="11" t="s">
        <v>196</v>
      </c>
      <c r="C51" s="11" t="s">
        <v>193</v>
      </c>
    </row>
    <row r="52" spans="1:3" ht="15" customHeight="1" x14ac:dyDescent="0.3">
      <c r="A52" s="6" t="s">
        <v>197</v>
      </c>
      <c r="B52" s="12">
        <v>0</v>
      </c>
      <c r="C52" s="10"/>
    </row>
    <row r="53" spans="1:3" ht="15" customHeight="1" x14ac:dyDescent="0.3">
      <c r="A53" s="6" t="s">
        <v>198</v>
      </c>
      <c r="B53" s="12">
        <v>0</v>
      </c>
      <c r="C53" s="10"/>
    </row>
    <row r="54" spans="1:3" ht="15" customHeight="1" x14ac:dyDescent="0.3">
      <c r="A54" s="6" t="s">
        <v>199</v>
      </c>
      <c r="B54" s="12">
        <v>0</v>
      </c>
      <c r="C54" s="10"/>
    </row>
    <row r="55" spans="1:3" ht="15" customHeight="1" x14ac:dyDescent="0.3">
      <c r="A55" s="6" t="s">
        <v>200</v>
      </c>
      <c r="B55" s="12">
        <v>0</v>
      </c>
      <c r="C55" s="10"/>
    </row>
    <row r="56" spans="1:3" ht="15" customHeight="1" x14ac:dyDescent="0.3">
      <c r="A56" s="6" t="s">
        <v>201</v>
      </c>
      <c r="B56" s="12">
        <v>0</v>
      </c>
      <c r="C56" s="10"/>
    </row>
    <row r="57" spans="1:3" ht="15" customHeight="1" x14ac:dyDescent="0.3">
      <c r="A57" s="6" t="s">
        <v>202</v>
      </c>
      <c r="B57" s="12">
        <v>0</v>
      </c>
      <c r="C57" s="10"/>
    </row>
    <row r="58" spans="1:3" ht="15" customHeight="1" x14ac:dyDescent="0.3">
      <c r="A58" s="6" t="s">
        <v>203</v>
      </c>
      <c r="B58" s="12">
        <v>0</v>
      </c>
      <c r="C58" s="10"/>
    </row>
    <row r="59" spans="1:3" ht="15" customHeight="1" x14ac:dyDescent="0.3">
      <c r="A59" s="6" t="s">
        <v>204</v>
      </c>
      <c r="B59" s="12">
        <v>0</v>
      </c>
      <c r="C59" s="10"/>
    </row>
    <row r="60" spans="1:3" ht="15" customHeight="1" x14ac:dyDescent="0.3">
      <c r="A60" s="6" t="s">
        <v>205</v>
      </c>
      <c r="B60" s="12">
        <v>0</v>
      </c>
      <c r="C60" s="10"/>
    </row>
    <row r="61" spans="1:3" ht="15" customHeight="1" x14ac:dyDescent="0.3">
      <c r="A61" s="6" t="s">
        <v>206</v>
      </c>
      <c r="B61" s="12">
        <v>0</v>
      </c>
      <c r="C61" s="10"/>
    </row>
    <row r="62" spans="1:3" ht="15" customHeight="1" x14ac:dyDescent="0.3">
      <c r="A62" s="6" t="s">
        <v>207</v>
      </c>
      <c r="B62" s="12">
        <v>0</v>
      </c>
      <c r="C62" s="10"/>
    </row>
    <row r="63" spans="1:3" ht="15" customHeight="1" x14ac:dyDescent="0.3">
      <c r="A63" s="6" t="s">
        <v>208</v>
      </c>
      <c r="B63" s="12">
        <v>0</v>
      </c>
      <c r="C63" s="10"/>
    </row>
    <row r="64" spans="1:3" ht="15" customHeight="1" x14ac:dyDescent="0.3">
      <c r="A64" s="6" t="s">
        <v>209</v>
      </c>
      <c r="B64" s="12">
        <v>0</v>
      </c>
      <c r="C64" s="10"/>
    </row>
    <row r="65" spans="1:3" ht="15" customHeight="1" x14ac:dyDescent="0.3">
      <c r="A65" s="6" t="s">
        <v>210</v>
      </c>
      <c r="B65" s="12">
        <v>0</v>
      </c>
      <c r="C65" s="10"/>
    </row>
    <row r="66" spans="1:3" ht="15" customHeight="1" x14ac:dyDescent="0.3">
      <c r="A66" s="6" t="s">
        <v>211</v>
      </c>
      <c r="B66" s="12">
        <v>0</v>
      </c>
      <c r="C66" s="10"/>
    </row>
    <row r="67" spans="1:3" ht="15" customHeight="1" x14ac:dyDescent="0.3">
      <c r="A67" s="6" t="s">
        <v>212</v>
      </c>
      <c r="B67" s="12">
        <v>0</v>
      </c>
      <c r="C67" s="10"/>
    </row>
    <row r="68" spans="1:3" ht="15" customHeight="1" x14ac:dyDescent="0.3">
      <c r="A68" s="6" t="s">
        <v>213</v>
      </c>
      <c r="B68" s="12">
        <v>0</v>
      </c>
      <c r="C68" s="10"/>
    </row>
    <row r="69" spans="1:3" ht="15" customHeight="1" x14ac:dyDescent="0.3">
      <c r="A69" s="6" t="s">
        <v>214</v>
      </c>
      <c r="B69" s="12">
        <v>0</v>
      </c>
      <c r="C69" s="10"/>
    </row>
    <row r="70" spans="1:3" ht="15" customHeight="1" x14ac:dyDescent="0.3">
      <c r="A70" s="6" t="s">
        <v>215</v>
      </c>
      <c r="B70" s="12">
        <v>0</v>
      </c>
      <c r="C70" s="10"/>
    </row>
    <row r="71" spans="1:3" ht="15" customHeight="1" x14ac:dyDescent="0.3">
      <c r="A71" s="6" t="s">
        <v>216</v>
      </c>
      <c r="B71" s="12">
        <v>0</v>
      </c>
      <c r="C71" s="10"/>
    </row>
    <row r="72" spans="1:3" ht="15" customHeight="1" x14ac:dyDescent="0.3">
      <c r="A72" s="6" t="s">
        <v>217</v>
      </c>
      <c r="B72" s="12">
        <v>0</v>
      </c>
      <c r="C72" s="10"/>
    </row>
    <row r="73" spans="1:3" ht="15" customHeight="1" x14ac:dyDescent="0.3">
      <c r="A73" s="6" t="s">
        <v>218</v>
      </c>
      <c r="B73" s="12">
        <v>0</v>
      </c>
      <c r="C73" s="10"/>
    </row>
    <row r="74" spans="1:3" ht="15" customHeight="1" x14ac:dyDescent="0.3">
      <c r="A74" s="6" t="s">
        <v>219</v>
      </c>
      <c r="B74" s="12">
        <v>0</v>
      </c>
      <c r="C74" s="10"/>
    </row>
    <row r="75" spans="1:3" ht="15" customHeight="1" x14ac:dyDescent="0.3">
      <c r="A75" s="6" t="s">
        <v>220</v>
      </c>
      <c r="B75" s="12">
        <v>0</v>
      </c>
      <c r="C75" s="10"/>
    </row>
    <row r="76" spans="1:3" ht="15" customHeight="1" x14ac:dyDescent="0.3">
      <c r="A76" s="6" t="s">
        <v>221</v>
      </c>
      <c r="B76" s="12">
        <v>0</v>
      </c>
      <c r="C76" s="10"/>
    </row>
    <row r="77" spans="1:3" ht="15" customHeight="1" x14ac:dyDescent="0.3">
      <c r="A77" s="6" t="s">
        <v>222</v>
      </c>
      <c r="B77" s="12">
        <v>0</v>
      </c>
      <c r="C77" s="10"/>
    </row>
    <row r="78" spans="1:3" ht="15" customHeight="1" x14ac:dyDescent="0.3">
      <c r="A78" s="6" t="s">
        <v>223</v>
      </c>
      <c r="B78" s="12">
        <v>0</v>
      </c>
      <c r="C78" s="10"/>
    </row>
    <row r="79" spans="1:3" ht="15" customHeight="1" x14ac:dyDescent="0.3">
      <c r="A79" s="6" t="s">
        <v>224</v>
      </c>
      <c r="B79" s="12">
        <v>0</v>
      </c>
      <c r="C79" s="10"/>
    </row>
    <row r="80" spans="1:3" ht="15" customHeight="1" x14ac:dyDescent="0.3">
      <c r="A80" s="6" t="s">
        <v>225</v>
      </c>
      <c r="B80" s="12">
        <v>0</v>
      </c>
      <c r="C80" s="10"/>
    </row>
    <row r="81" spans="1:3" ht="15" customHeight="1" x14ac:dyDescent="0.3">
      <c r="A81" s="6" t="s">
        <v>226</v>
      </c>
      <c r="B81" s="12">
        <v>0</v>
      </c>
      <c r="C81" s="10"/>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0000000}">
          <x14:formula1>
            <xm:f>Raw_Players!$B$8:$B$634</xm:f>
          </x14:formula1>
          <xm:sqref>A8 A9 A10 A11 A12 A13 A14 A15 A16 A17 A18 A19 A20 A21 A22 A23 A24 A25 A26 A27 A28 A29 A30 A31 A32 A33 A34 A35 A36 A37 A38 A39 A40 A41 A42 A43 A44 A45 A46 A47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H694"/>
  <sheetViews>
    <sheetView showGridLines="0" workbookViewId="0"/>
  </sheetViews>
  <sheetFormatPr defaultRowHeight="14.4" x14ac:dyDescent="0.3"/>
  <cols>
    <col min="1" max="1" width="14" customWidth="1"/>
    <col min="2" max="2" width="16" customWidth="1"/>
    <col min="3" max="3" width="30" customWidth="1"/>
    <col min="4" max="6" width="14" customWidth="1"/>
    <col min="7" max="7" width="22" customWidth="1"/>
    <col min="8" max="8" width="14" customWidth="1"/>
  </cols>
  <sheetData>
    <row r="1" spans="1:8" ht="15" customHeight="1" x14ac:dyDescent="0.3">
      <c r="A1" s="1" t="s">
        <v>0</v>
      </c>
      <c r="B1" s="2"/>
      <c r="C1" s="2"/>
      <c r="D1" s="2"/>
      <c r="E1" s="2"/>
      <c r="F1" s="2"/>
      <c r="G1" s="2"/>
      <c r="H1" s="2"/>
    </row>
    <row r="2" spans="1:8" ht="15" customHeight="1" x14ac:dyDescent="0.3">
      <c r="A2" s="3" t="s">
        <v>227</v>
      </c>
    </row>
    <row r="3" spans="1:8" ht="15" customHeight="1" x14ac:dyDescent="0.3">
      <c r="A3" s="4" t="s">
        <v>2</v>
      </c>
    </row>
    <row r="4" spans="1:8" ht="6" customHeight="1" x14ac:dyDescent="0.3"/>
    <row r="5" spans="1:8" ht="15" customHeight="1" x14ac:dyDescent="0.3">
      <c r="A5" s="4" t="s">
        <v>228</v>
      </c>
    </row>
    <row r="6" spans="1:8" ht="15" customHeight="1" x14ac:dyDescent="0.3"/>
    <row r="7" spans="1:8" ht="30" customHeight="1" x14ac:dyDescent="0.3">
      <c r="A7" s="11" t="s">
        <v>229</v>
      </c>
      <c r="B7" s="11" t="s">
        <v>230</v>
      </c>
      <c r="C7" s="11" t="s">
        <v>231</v>
      </c>
      <c r="D7" s="11" t="s">
        <v>232</v>
      </c>
      <c r="E7" s="11" t="s">
        <v>233</v>
      </c>
      <c r="F7" s="11" t="s">
        <v>234</v>
      </c>
      <c r="G7" s="11" t="s">
        <v>235</v>
      </c>
    </row>
    <row r="8" spans="1:8" ht="15" customHeight="1" x14ac:dyDescent="0.3">
      <c r="A8" s="16">
        <v>0</v>
      </c>
      <c r="B8" s="10" t="s">
        <v>236</v>
      </c>
      <c r="C8" s="10" t="s">
        <v>237</v>
      </c>
      <c r="D8" s="10" t="s">
        <v>238</v>
      </c>
      <c r="E8" s="24" t="s">
        <v>33</v>
      </c>
      <c r="F8" s="25">
        <v>6200</v>
      </c>
      <c r="G8" s="10" t="s">
        <v>33</v>
      </c>
    </row>
    <row r="9" spans="1:8" ht="15" customHeight="1" x14ac:dyDescent="0.3">
      <c r="A9" s="16">
        <v>1</v>
      </c>
      <c r="B9" s="10" t="s">
        <v>236</v>
      </c>
      <c r="C9" s="10" t="s">
        <v>239</v>
      </c>
      <c r="D9" s="10" t="s">
        <v>238</v>
      </c>
      <c r="E9" s="24" t="s">
        <v>33</v>
      </c>
      <c r="F9" s="25">
        <v>1400</v>
      </c>
      <c r="G9" s="10" t="s">
        <v>33</v>
      </c>
    </row>
    <row r="10" spans="1:8" ht="15" customHeight="1" x14ac:dyDescent="0.3">
      <c r="A10" s="16">
        <v>2</v>
      </c>
      <c r="B10" s="10" t="s">
        <v>236</v>
      </c>
      <c r="C10" s="10" t="s">
        <v>240</v>
      </c>
      <c r="D10" s="10" t="s">
        <v>238</v>
      </c>
      <c r="E10" s="24" t="s">
        <v>33</v>
      </c>
      <c r="F10" s="25">
        <v>25000</v>
      </c>
      <c r="G10" s="10" t="s">
        <v>33</v>
      </c>
    </row>
    <row r="11" spans="1:8" ht="15" customHeight="1" x14ac:dyDescent="0.3">
      <c r="A11" s="16">
        <v>3</v>
      </c>
      <c r="B11" s="10" t="s">
        <v>236</v>
      </c>
      <c r="C11" s="10" t="s">
        <v>241</v>
      </c>
      <c r="D11" s="10" t="s">
        <v>238</v>
      </c>
      <c r="E11" s="24" t="s">
        <v>33</v>
      </c>
      <c r="F11" s="25">
        <v>8600</v>
      </c>
      <c r="G11" s="10" t="s">
        <v>33</v>
      </c>
    </row>
    <row r="12" spans="1:8" ht="15" customHeight="1" x14ac:dyDescent="0.3">
      <c r="A12" s="16">
        <v>4</v>
      </c>
      <c r="B12" s="10" t="s">
        <v>236</v>
      </c>
      <c r="C12" s="10" t="s">
        <v>242</v>
      </c>
      <c r="D12" s="10" t="s">
        <v>238</v>
      </c>
      <c r="E12" s="24" t="s">
        <v>33</v>
      </c>
      <c r="F12" s="25">
        <v>25000</v>
      </c>
      <c r="G12" s="10" t="s">
        <v>33</v>
      </c>
    </row>
    <row r="13" spans="1:8" ht="15" customHeight="1" x14ac:dyDescent="0.3">
      <c r="A13" s="16">
        <v>5</v>
      </c>
      <c r="B13" s="10" t="s">
        <v>236</v>
      </c>
      <c r="C13" s="10" t="s">
        <v>243</v>
      </c>
      <c r="D13" s="10" t="s">
        <v>238</v>
      </c>
      <c r="E13" s="24" t="s">
        <v>33</v>
      </c>
      <c r="F13" s="25">
        <v>2400</v>
      </c>
      <c r="G13" s="10" t="s">
        <v>33</v>
      </c>
    </row>
    <row r="14" spans="1:8" ht="15" customHeight="1" x14ac:dyDescent="0.3">
      <c r="A14" s="16">
        <v>6</v>
      </c>
      <c r="B14" s="10" t="s">
        <v>236</v>
      </c>
      <c r="C14" s="10" t="s">
        <v>244</v>
      </c>
      <c r="D14" s="10" t="s">
        <v>238</v>
      </c>
      <c r="E14" s="24" t="s">
        <v>33</v>
      </c>
      <c r="F14" s="25">
        <v>16000</v>
      </c>
      <c r="G14" s="10" t="s">
        <v>33</v>
      </c>
    </row>
    <row r="15" spans="1:8" ht="15" customHeight="1" x14ac:dyDescent="0.3">
      <c r="A15" s="16">
        <v>7</v>
      </c>
      <c r="B15" s="10" t="s">
        <v>236</v>
      </c>
      <c r="C15" s="10" t="s">
        <v>245</v>
      </c>
      <c r="D15" s="10" t="s">
        <v>238</v>
      </c>
      <c r="E15" s="24" t="s">
        <v>33</v>
      </c>
      <c r="F15" s="25">
        <v>2700</v>
      </c>
      <c r="G15" s="10" t="s">
        <v>33</v>
      </c>
    </row>
    <row r="16" spans="1:8" ht="15" customHeight="1" x14ac:dyDescent="0.3">
      <c r="A16" s="16">
        <v>8</v>
      </c>
      <c r="B16" s="10" t="s">
        <v>236</v>
      </c>
      <c r="C16" s="10" t="s">
        <v>246</v>
      </c>
      <c r="D16" s="10" t="s">
        <v>238</v>
      </c>
      <c r="E16" s="24" t="s">
        <v>33</v>
      </c>
      <c r="F16" s="25">
        <v>3000</v>
      </c>
      <c r="G16" s="10" t="s">
        <v>33</v>
      </c>
    </row>
    <row r="17" spans="1:7" ht="15" customHeight="1" x14ac:dyDescent="0.3">
      <c r="A17" s="16">
        <v>9</v>
      </c>
      <c r="B17" s="10" t="s">
        <v>236</v>
      </c>
      <c r="C17" s="10" t="s">
        <v>247</v>
      </c>
      <c r="D17" s="10" t="s">
        <v>238</v>
      </c>
      <c r="E17" s="24" t="s">
        <v>33</v>
      </c>
      <c r="F17" s="25">
        <v>5300</v>
      </c>
      <c r="G17" s="10" t="s">
        <v>33</v>
      </c>
    </row>
    <row r="18" spans="1:7" ht="15" customHeight="1" x14ac:dyDescent="0.3">
      <c r="A18" s="16">
        <v>10</v>
      </c>
      <c r="B18" s="10" t="s">
        <v>236</v>
      </c>
      <c r="C18" s="10" t="s">
        <v>248</v>
      </c>
      <c r="D18" s="10" t="s">
        <v>238</v>
      </c>
      <c r="E18" s="24" t="s">
        <v>33</v>
      </c>
      <c r="F18" s="25">
        <v>4900</v>
      </c>
      <c r="G18" s="10" t="s">
        <v>33</v>
      </c>
    </row>
    <row r="19" spans="1:7" ht="15" customHeight="1" x14ac:dyDescent="0.3">
      <c r="A19" s="16">
        <v>11</v>
      </c>
      <c r="B19" s="10" t="s">
        <v>236</v>
      </c>
      <c r="C19" s="10" t="s">
        <v>249</v>
      </c>
      <c r="D19" s="10" t="s">
        <v>238</v>
      </c>
      <c r="E19" s="24" t="s">
        <v>33</v>
      </c>
      <c r="F19" s="25">
        <v>5000</v>
      </c>
      <c r="G19" s="10" t="s">
        <v>33</v>
      </c>
    </row>
    <row r="20" spans="1:7" ht="15" customHeight="1" x14ac:dyDescent="0.3">
      <c r="A20" s="16">
        <v>12</v>
      </c>
      <c r="B20" s="10" t="s">
        <v>236</v>
      </c>
      <c r="C20" s="10" t="s">
        <v>250</v>
      </c>
      <c r="D20" s="10" t="s">
        <v>238</v>
      </c>
      <c r="E20" s="24" t="s">
        <v>33</v>
      </c>
      <c r="F20" s="25">
        <v>25000</v>
      </c>
      <c r="G20" s="10" t="s">
        <v>33</v>
      </c>
    </row>
    <row r="21" spans="1:7" ht="15" customHeight="1" x14ac:dyDescent="0.3">
      <c r="A21" s="16">
        <v>13</v>
      </c>
      <c r="B21" s="10" t="s">
        <v>236</v>
      </c>
      <c r="C21" s="10" t="s">
        <v>251</v>
      </c>
      <c r="D21" s="10" t="s">
        <v>238</v>
      </c>
      <c r="E21" s="24" t="s">
        <v>33</v>
      </c>
      <c r="F21" s="25">
        <v>3800</v>
      </c>
      <c r="G21" s="10" t="s">
        <v>33</v>
      </c>
    </row>
    <row r="22" spans="1:7" ht="15" customHeight="1" x14ac:dyDescent="0.3">
      <c r="A22" s="16">
        <v>14</v>
      </c>
      <c r="B22" s="10" t="s">
        <v>236</v>
      </c>
      <c r="C22" s="10" t="s">
        <v>252</v>
      </c>
      <c r="D22" s="10" t="s">
        <v>238</v>
      </c>
      <c r="E22" s="24" t="s">
        <v>33</v>
      </c>
      <c r="F22" s="25">
        <v>25000</v>
      </c>
      <c r="G22" s="10" t="s">
        <v>33</v>
      </c>
    </row>
    <row r="23" spans="1:7" ht="15" customHeight="1" x14ac:dyDescent="0.3">
      <c r="A23" s="16">
        <v>15</v>
      </c>
      <c r="B23" s="10" t="s">
        <v>236</v>
      </c>
      <c r="C23" s="10" t="s">
        <v>253</v>
      </c>
      <c r="D23" s="10" t="s">
        <v>238</v>
      </c>
      <c r="E23" s="24" t="s">
        <v>33</v>
      </c>
      <c r="F23" s="25">
        <v>2900</v>
      </c>
      <c r="G23" s="10" t="s">
        <v>33</v>
      </c>
    </row>
    <row r="24" spans="1:7" ht="15" customHeight="1" x14ac:dyDescent="0.3">
      <c r="A24" s="16">
        <v>16</v>
      </c>
      <c r="B24" s="10" t="s">
        <v>236</v>
      </c>
      <c r="C24" s="10" t="s">
        <v>254</v>
      </c>
      <c r="D24" s="10" t="s">
        <v>238</v>
      </c>
      <c r="E24" s="24" t="s">
        <v>33</v>
      </c>
      <c r="F24" s="25">
        <v>25000</v>
      </c>
      <c r="G24" s="10" t="s">
        <v>33</v>
      </c>
    </row>
    <row r="25" spans="1:7" ht="15" customHeight="1" x14ac:dyDescent="0.3">
      <c r="A25" s="16">
        <v>17</v>
      </c>
      <c r="B25" s="10" t="s">
        <v>236</v>
      </c>
      <c r="C25" s="10" t="s">
        <v>255</v>
      </c>
      <c r="D25" s="10" t="s">
        <v>238</v>
      </c>
      <c r="E25" s="24" t="s">
        <v>33</v>
      </c>
      <c r="F25" s="25">
        <v>2400</v>
      </c>
      <c r="G25" s="10" t="s">
        <v>33</v>
      </c>
    </row>
    <row r="26" spans="1:7" ht="15" customHeight="1" x14ac:dyDescent="0.3">
      <c r="A26" s="16">
        <v>18</v>
      </c>
      <c r="B26" s="10" t="s">
        <v>236</v>
      </c>
      <c r="C26" s="10" t="s">
        <v>256</v>
      </c>
      <c r="D26" s="10" t="s">
        <v>238</v>
      </c>
      <c r="E26" s="24" t="s">
        <v>33</v>
      </c>
      <c r="F26" s="25">
        <v>25000</v>
      </c>
      <c r="G26" s="10" t="s">
        <v>33</v>
      </c>
    </row>
    <row r="27" spans="1:7" ht="15" customHeight="1" x14ac:dyDescent="0.3">
      <c r="A27" s="16">
        <v>19</v>
      </c>
      <c r="B27" s="10" t="s">
        <v>236</v>
      </c>
      <c r="C27" s="10" t="s">
        <v>257</v>
      </c>
      <c r="D27" s="10" t="s">
        <v>238</v>
      </c>
      <c r="E27" s="24" t="s">
        <v>33</v>
      </c>
      <c r="F27" s="25">
        <v>925</v>
      </c>
      <c r="G27" s="10" t="s">
        <v>33</v>
      </c>
    </row>
    <row r="28" spans="1:7" ht="15" customHeight="1" x14ac:dyDescent="0.3">
      <c r="A28" s="16">
        <v>20</v>
      </c>
      <c r="B28" s="10" t="s">
        <v>236</v>
      </c>
      <c r="C28" s="10" t="s">
        <v>258</v>
      </c>
      <c r="D28" s="10" t="s">
        <v>238</v>
      </c>
      <c r="E28" s="24" t="s">
        <v>33</v>
      </c>
      <c r="F28" s="25">
        <v>250</v>
      </c>
      <c r="G28" s="10" t="s">
        <v>33</v>
      </c>
    </row>
    <row r="29" spans="1:7" ht="15" customHeight="1" x14ac:dyDescent="0.3">
      <c r="A29" s="16">
        <v>21</v>
      </c>
      <c r="B29" s="10" t="s">
        <v>236</v>
      </c>
      <c r="C29" s="10" t="s">
        <v>259</v>
      </c>
      <c r="D29" s="10" t="s">
        <v>238</v>
      </c>
      <c r="E29" s="24" t="s">
        <v>33</v>
      </c>
      <c r="F29" s="25">
        <v>5500</v>
      </c>
      <c r="G29" s="10" t="s">
        <v>33</v>
      </c>
    </row>
    <row r="30" spans="1:7" ht="15" customHeight="1" x14ac:dyDescent="0.3">
      <c r="A30" s="16">
        <v>22</v>
      </c>
      <c r="B30" s="10" t="s">
        <v>236</v>
      </c>
      <c r="C30" s="10" t="s">
        <v>260</v>
      </c>
      <c r="D30" s="10" t="s">
        <v>238</v>
      </c>
      <c r="E30" s="24" t="s">
        <v>33</v>
      </c>
      <c r="F30" s="25">
        <v>850</v>
      </c>
      <c r="G30" s="10" t="s">
        <v>33</v>
      </c>
    </row>
    <row r="31" spans="1:7" ht="15" customHeight="1" x14ac:dyDescent="0.3">
      <c r="A31" s="16">
        <v>23</v>
      </c>
      <c r="B31" s="10" t="s">
        <v>236</v>
      </c>
      <c r="C31" s="10" t="s">
        <v>261</v>
      </c>
      <c r="D31" s="10" t="s">
        <v>238</v>
      </c>
      <c r="E31" s="24" t="s">
        <v>33</v>
      </c>
      <c r="F31" s="25">
        <v>18000</v>
      </c>
      <c r="G31" s="10" t="s">
        <v>33</v>
      </c>
    </row>
    <row r="32" spans="1:7" ht="15" customHeight="1" x14ac:dyDescent="0.3">
      <c r="A32" s="16">
        <v>24</v>
      </c>
      <c r="B32" s="10" t="s">
        <v>236</v>
      </c>
      <c r="C32" s="10" t="s">
        <v>262</v>
      </c>
      <c r="D32" s="10" t="s">
        <v>238</v>
      </c>
      <c r="E32" s="24" t="s">
        <v>33</v>
      </c>
      <c r="F32" s="25">
        <v>10000</v>
      </c>
      <c r="G32" s="10" t="s">
        <v>33</v>
      </c>
    </row>
    <row r="33" spans="1:7" ht="15" customHeight="1" x14ac:dyDescent="0.3">
      <c r="A33" s="16">
        <v>25</v>
      </c>
      <c r="B33" s="10" t="s">
        <v>236</v>
      </c>
      <c r="C33" s="10" t="s">
        <v>263</v>
      </c>
      <c r="D33" s="10" t="s">
        <v>238</v>
      </c>
      <c r="E33" s="24" t="s">
        <v>33</v>
      </c>
      <c r="F33" s="25">
        <v>25000</v>
      </c>
      <c r="G33" s="10" t="s">
        <v>33</v>
      </c>
    </row>
    <row r="34" spans="1:7" ht="15" customHeight="1" x14ac:dyDescent="0.3">
      <c r="A34" s="16">
        <v>26</v>
      </c>
      <c r="B34" s="10" t="s">
        <v>236</v>
      </c>
      <c r="C34" s="10" t="s">
        <v>264</v>
      </c>
      <c r="D34" s="10" t="s">
        <v>238</v>
      </c>
      <c r="E34" s="24" t="s">
        <v>33</v>
      </c>
      <c r="F34" s="25">
        <v>250</v>
      </c>
      <c r="G34" s="10" t="s">
        <v>33</v>
      </c>
    </row>
    <row r="35" spans="1:7" ht="15" customHeight="1" x14ac:dyDescent="0.3">
      <c r="A35" s="16">
        <v>27</v>
      </c>
      <c r="B35" s="10" t="s">
        <v>236</v>
      </c>
      <c r="C35" s="10" t="s">
        <v>265</v>
      </c>
      <c r="D35" s="10" t="s">
        <v>238</v>
      </c>
      <c r="E35" s="24" t="s">
        <v>33</v>
      </c>
      <c r="F35" s="25">
        <v>2600</v>
      </c>
      <c r="G35" s="10" t="s">
        <v>33</v>
      </c>
    </row>
    <row r="36" spans="1:7" ht="15" customHeight="1" x14ac:dyDescent="0.3">
      <c r="A36" s="16">
        <v>28</v>
      </c>
      <c r="B36" s="10" t="s">
        <v>236</v>
      </c>
      <c r="C36" s="10" t="s">
        <v>266</v>
      </c>
      <c r="D36" s="10" t="s">
        <v>238</v>
      </c>
      <c r="E36" s="24" t="s">
        <v>33</v>
      </c>
      <c r="F36" s="25">
        <v>12500</v>
      </c>
      <c r="G36" s="10" t="s">
        <v>33</v>
      </c>
    </row>
    <row r="37" spans="1:7" ht="15" customHeight="1" x14ac:dyDescent="0.3">
      <c r="A37" s="16">
        <v>29</v>
      </c>
      <c r="B37" s="10" t="s">
        <v>236</v>
      </c>
      <c r="C37" s="10" t="s">
        <v>267</v>
      </c>
      <c r="D37" s="10" t="s">
        <v>238</v>
      </c>
      <c r="E37" s="24" t="s">
        <v>33</v>
      </c>
      <c r="F37" s="25">
        <v>14500</v>
      </c>
      <c r="G37" s="10" t="s">
        <v>33</v>
      </c>
    </row>
    <row r="38" spans="1:7" ht="15" customHeight="1" x14ac:dyDescent="0.3">
      <c r="A38" s="16">
        <v>30</v>
      </c>
      <c r="B38" s="10" t="s">
        <v>268</v>
      </c>
      <c r="C38" s="10" t="s">
        <v>237</v>
      </c>
      <c r="D38" s="10" t="s">
        <v>238</v>
      </c>
      <c r="E38" s="24" t="s">
        <v>33</v>
      </c>
      <c r="F38" s="25">
        <v>2000</v>
      </c>
      <c r="G38" s="10" t="s">
        <v>33</v>
      </c>
    </row>
    <row r="39" spans="1:7" ht="15" customHeight="1" x14ac:dyDescent="0.3">
      <c r="A39" s="16">
        <v>31</v>
      </c>
      <c r="B39" s="10" t="s">
        <v>268</v>
      </c>
      <c r="C39" s="10" t="s">
        <v>239</v>
      </c>
      <c r="D39" s="10" t="s">
        <v>238</v>
      </c>
      <c r="E39" s="24" t="s">
        <v>33</v>
      </c>
      <c r="F39" s="25">
        <v>525</v>
      </c>
      <c r="G39" s="10" t="s">
        <v>33</v>
      </c>
    </row>
    <row r="40" spans="1:7" ht="15" customHeight="1" x14ac:dyDescent="0.3">
      <c r="A40" s="16">
        <v>32</v>
      </c>
      <c r="B40" s="10" t="s">
        <v>268</v>
      </c>
      <c r="C40" s="10" t="s">
        <v>240</v>
      </c>
      <c r="D40" s="10" t="s">
        <v>238</v>
      </c>
      <c r="E40" s="24" t="s">
        <v>33</v>
      </c>
      <c r="F40" s="25">
        <v>25000</v>
      </c>
      <c r="G40" s="10" t="s">
        <v>33</v>
      </c>
    </row>
    <row r="41" spans="1:7" ht="15" customHeight="1" x14ac:dyDescent="0.3">
      <c r="A41" s="16">
        <v>33</v>
      </c>
      <c r="B41" s="10" t="s">
        <v>268</v>
      </c>
      <c r="C41" s="10" t="s">
        <v>241</v>
      </c>
      <c r="D41" s="10" t="s">
        <v>238</v>
      </c>
      <c r="E41" s="24" t="s">
        <v>33</v>
      </c>
      <c r="F41" s="25">
        <v>2900</v>
      </c>
      <c r="G41" s="10" t="s">
        <v>33</v>
      </c>
    </row>
    <row r="42" spans="1:7" ht="15" customHeight="1" x14ac:dyDescent="0.3">
      <c r="A42" s="16">
        <v>34</v>
      </c>
      <c r="B42" s="10" t="s">
        <v>268</v>
      </c>
      <c r="C42" s="10" t="s">
        <v>242</v>
      </c>
      <c r="D42" s="10" t="s">
        <v>238</v>
      </c>
      <c r="E42" s="24" t="s">
        <v>33</v>
      </c>
      <c r="F42" s="25">
        <v>23000</v>
      </c>
      <c r="G42" s="10" t="s">
        <v>33</v>
      </c>
    </row>
    <row r="43" spans="1:7" ht="15" customHeight="1" x14ac:dyDescent="0.3">
      <c r="A43" s="16">
        <v>35</v>
      </c>
      <c r="B43" s="10" t="s">
        <v>268</v>
      </c>
      <c r="C43" s="10" t="s">
        <v>243</v>
      </c>
      <c r="D43" s="10" t="s">
        <v>238</v>
      </c>
      <c r="E43" s="24" t="s">
        <v>33</v>
      </c>
      <c r="F43" s="25">
        <v>900</v>
      </c>
      <c r="G43" s="10" t="s">
        <v>33</v>
      </c>
    </row>
    <row r="44" spans="1:7" ht="15" customHeight="1" x14ac:dyDescent="0.3">
      <c r="A44" s="16">
        <v>36</v>
      </c>
      <c r="B44" s="10" t="s">
        <v>268</v>
      </c>
      <c r="C44" s="10" t="s">
        <v>246</v>
      </c>
      <c r="D44" s="10" t="s">
        <v>238</v>
      </c>
      <c r="E44" s="24" t="s">
        <v>33</v>
      </c>
      <c r="F44" s="25">
        <v>900</v>
      </c>
      <c r="G44" s="10" t="s">
        <v>33</v>
      </c>
    </row>
    <row r="45" spans="1:7" ht="15" customHeight="1" x14ac:dyDescent="0.3">
      <c r="A45" s="16">
        <v>37</v>
      </c>
      <c r="B45" s="10" t="s">
        <v>268</v>
      </c>
      <c r="C45" s="10" t="s">
        <v>249</v>
      </c>
      <c r="D45" s="10" t="s">
        <v>238</v>
      </c>
      <c r="E45" s="24" t="s">
        <v>33</v>
      </c>
      <c r="F45" s="25">
        <v>1600</v>
      </c>
      <c r="G45" s="10" t="s">
        <v>33</v>
      </c>
    </row>
    <row r="46" spans="1:7" ht="15" customHeight="1" x14ac:dyDescent="0.3">
      <c r="A46" s="16">
        <v>38</v>
      </c>
      <c r="B46" s="10" t="s">
        <v>268</v>
      </c>
      <c r="C46" s="10" t="s">
        <v>253</v>
      </c>
      <c r="D46" s="10" t="s">
        <v>238</v>
      </c>
      <c r="E46" s="24" t="s">
        <v>33</v>
      </c>
      <c r="F46" s="25">
        <v>1100</v>
      </c>
      <c r="G46" s="10" t="s">
        <v>33</v>
      </c>
    </row>
    <row r="47" spans="1:7" ht="15" customHeight="1" x14ac:dyDescent="0.3">
      <c r="A47" s="16">
        <v>39</v>
      </c>
      <c r="B47" s="10" t="s">
        <v>268</v>
      </c>
      <c r="C47" s="10" t="s">
        <v>254</v>
      </c>
      <c r="D47" s="10" t="s">
        <v>238</v>
      </c>
      <c r="E47" s="24" t="s">
        <v>33</v>
      </c>
      <c r="F47" s="25">
        <v>25000</v>
      </c>
      <c r="G47" s="10" t="s">
        <v>33</v>
      </c>
    </row>
    <row r="48" spans="1:7" ht="15" customHeight="1" x14ac:dyDescent="0.3">
      <c r="A48" s="16">
        <v>40</v>
      </c>
      <c r="B48" s="10" t="s">
        <v>268</v>
      </c>
      <c r="C48" s="10" t="s">
        <v>257</v>
      </c>
      <c r="D48" s="10" t="s">
        <v>238</v>
      </c>
      <c r="E48" s="24" t="s">
        <v>33</v>
      </c>
      <c r="F48" s="25">
        <v>375</v>
      </c>
      <c r="G48" s="10" t="s">
        <v>33</v>
      </c>
    </row>
    <row r="49" spans="1:7" ht="15" customHeight="1" x14ac:dyDescent="0.3">
      <c r="A49" s="16">
        <v>41</v>
      </c>
      <c r="B49" s="10" t="s">
        <v>268</v>
      </c>
      <c r="C49" s="10" t="s">
        <v>259</v>
      </c>
      <c r="D49" s="10" t="s">
        <v>238</v>
      </c>
      <c r="E49" s="24" t="s">
        <v>33</v>
      </c>
      <c r="F49" s="25">
        <v>1950</v>
      </c>
      <c r="G49" s="10" t="s">
        <v>33</v>
      </c>
    </row>
    <row r="50" spans="1:7" ht="15" customHeight="1" x14ac:dyDescent="0.3">
      <c r="A50" s="16">
        <v>42</v>
      </c>
      <c r="B50" s="10" t="s">
        <v>268</v>
      </c>
      <c r="C50" s="10" t="s">
        <v>260</v>
      </c>
      <c r="D50" s="10" t="s">
        <v>238</v>
      </c>
      <c r="E50" s="24" t="s">
        <v>33</v>
      </c>
      <c r="F50" s="25">
        <v>325</v>
      </c>
      <c r="G50" s="10" t="s">
        <v>33</v>
      </c>
    </row>
    <row r="51" spans="1:7" ht="15" customHeight="1" x14ac:dyDescent="0.3">
      <c r="A51" s="16">
        <v>43</v>
      </c>
      <c r="B51" s="10" t="s">
        <v>268</v>
      </c>
      <c r="C51" s="10" t="s">
        <v>265</v>
      </c>
      <c r="D51" s="10" t="s">
        <v>238</v>
      </c>
      <c r="E51" s="24" t="s">
        <v>33</v>
      </c>
      <c r="F51" s="25">
        <v>900</v>
      </c>
      <c r="G51" s="10" t="s">
        <v>33</v>
      </c>
    </row>
    <row r="52" spans="1:7" ht="15" customHeight="1" x14ac:dyDescent="0.3">
      <c r="A52" s="16">
        <v>44</v>
      </c>
      <c r="B52" s="10" t="s">
        <v>268</v>
      </c>
      <c r="C52" s="10" t="s">
        <v>267</v>
      </c>
      <c r="D52" s="10" t="s">
        <v>238</v>
      </c>
      <c r="E52" s="24" t="s">
        <v>33</v>
      </c>
      <c r="F52" s="25">
        <v>5200</v>
      </c>
      <c r="G52" s="10" t="s">
        <v>33</v>
      </c>
    </row>
    <row r="53" spans="1:7" ht="15" customHeight="1" x14ac:dyDescent="0.3">
      <c r="A53" s="16">
        <v>45</v>
      </c>
      <c r="B53" s="10" t="s">
        <v>269</v>
      </c>
      <c r="C53" s="10" t="s">
        <v>244</v>
      </c>
      <c r="D53" s="10" t="s">
        <v>238</v>
      </c>
      <c r="E53" s="24" t="s">
        <v>33</v>
      </c>
      <c r="F53" s="25">
        <v>8100</v>
      </c>
      <c r="G53" s="10" t="s">
        <v>33</v>
      </c>
    </row>
    <row r="54" spans="1:7" ht="15" customHeight="1" x14ac:dyDescent="0.3">
      <c r="A54" s="16">
        <v>46</v>
      </c>
      <c r="B54" s="10" t="s">
        <v>269</v>
      </c>
      <c r="C54" s="10" t="s">
        <v>245</v>
      </c>
      <c r="D54" s="10" t="s">
        <v>238</v>
      </c>
      <c r="E54" s="24" t="s">
        <v>33</v>
      </c>
      <c r="F54" s="25">
        <v>1400</v>
      </c>
      <c r="G54" s="10" t="s">
        <v>33</v>
      </c>
    </row>
    <row r="55" spans="1:7" ht="15" customHeight="1" x14ac:dyDescent="0.3">
      <c r="A55" s="16">
        <v>47</v>
      </c>
      <c r="B55" s="10" t="s">
        <v>269</v>
      </c>
      <c r="C55" s="10" t="s">
        <v>247</v>
      </c>
      <c r="D55" s="10" t="s">
        <v>238</v>
      </c>
      <c r="E55" s="24" t="s">
        <v>33</v>
      </c>
      <c r="F55" s="25">
        <v>2600</v>
      </c>
      <c r="G55" s="10" t="s">
        <v>33</v>
      </c>
    </row>
    <row r="56" spans="1:7" ht="15" customHeight="1" x14ac:dyDescent="0.3">
      <c r="A56" s="16">
        <v>48</v>
      </c>
      <c r="B56" s="10" t="s">
        <v>269</v>
      </c>
      <c r="C56" s="10" t="s">
        <v>248</v>
      </c>
      <c r="D56" s="10" t="s">
        <v>238</v>
      </c>
      <c r="E56" s="24" t="s">
        <v>33</v>
      </c>
      <c r="F56" s="25">
        <v>2150</v>
      </c>
      <c r="G56" s="10" t="s">
        <v>33</v>
      </c>
    </row>
    <row r="57" spans="1:7" ht="15" customHeight="1" x14ac:dyDescent="0.3">
      <c r="A57" s="16">
        <v>49</v>
      </c>
      <c r="B57" s="10" t="s">
        <v>269</v>
      </c>
      <c r="C57" s="10" t="s">
        <v>250</v>
      </c>
      <c r="D57" s="10" t="s">
        <v>238</v>
      </c>
      <c r="E57" s="24" t="s">
        <v>33</v>
      </c>
      <c r="F57" s="25">
        <v>24000</v>
      </c>
      <c r="G57" s="10" t="s">
        <v>33</v>
      </c>
    </row>
    <row r="58" spans="1:7" ht="15" customHeight="1" x14ac:dyDescent="0.3">
      <c r="A58" s="16">
        <v>50</v>
      </c>
      <c r="B58" s="10" t="s">
        <v>269</v>
      </c>
      <c r="C58" s="10" t="s">
        <v>251</v>
      </c>
      <c r="D58" s="10" t="s">
        <v>238</v>
      </c>
      <c r="E58" s="24" t="s">
        <v>33</v>
      </c>
      <c r="F58" s="25">
        <v>1725</v>
      </c>
      <c r="G58" s="10" t="s">
        <v>33</v>
      </c>
    </row>
    <row r="59" spans="1:7" ht="15" customHeight="1" x14ac:dyDescent="0.3">
      <c r="A59" s="26">
        <v>51</v>
      </c>
      <c r="B59" s="27" t="s">
        <v>269</v>
      </c>
      <c r="C59" s="27" t="s">
        <v>252</v>
      </c>
      <c r="D59" s="27" t="s">
        <v>238</v>
      </c>
      <c r="E59" s="28" t="s">
        <v>33</v>
      </c>
      <c r="F59" s="29">
        <v>25000</v>
      </c>
      <c r="G59" s="27" t="s">
        <v>270</v>
      </c>
    </row>
    <row r="60" spans="1:7" ht="15" customHeight="1" x14ac:dyDescent="0.3">
      <c r="A60" s="16">
        <v>52</v>
      </c>
      <c r="B60" s="10" t="s">
        <v>269</v>
      </c>
      <c r="C60" s="10" t="s">
        <v>255</v>
      </c>
      <c r="D60" s="10" t="s">
        <v>238</v>
      </c>
      <c r="E60" s="24" t="s">
        <v>33</v>
      </c>
      <c r="F60" s="25">
        <v>1250</v>
      </c>
      <c r="G60" s="10" t="s">
        <v>33</v>
      </c>
    </row>
    <row r="61" spans="1:7" ht="15" customHeight="1" x14ac:dyDescent="0.3">
      <c r="A61" s="16">
        <v>53</v>
      </c>
      <c r="B61" s="10" t="s">
        <v>269</v>
      </c>
      <c r="C61" s="10" t="s">
        <v>256</v>
      </c>
      <c r="D61" s="10" t="s">
        <v>238</v>
      </c>
      <c r="E61" s="24" t="s">
        <v>33</v>
      </c>
      <c r="F61" s="25">
        <v>24000</v>
      </c>
      <c r="G61" s="10" t="s">
        <v>33</v>
      </c>
    </row>
    <row r="62" spans="1:7" ht="15" customHeight="1" x14ac:dyDescent="0.3">
      <c r="A62" s="16">
        <v>54</v>
      </c>
      <c r="B62" s="10" t="s">
        <v>269</v>
      </c>
      <c r="C62" s="10" t="s">
        <v>258</v>
      </c>
      <c r="D62" s="10" t="s">
        <v>238</v>
      </c>
      <c r="E62" s="24" t="s">
        <v>33</v>
      </c>
      <c r="F62" s="25">
        <v>125</v>
      </c>
      <c r="G62" s="10" t="s">
        <v>33</v>
      </c>
    </row>
    <row r="63" spans="1:7" ht="15" customHeight="1" x14ac:dyDescent="0.3">
      <c r="A63" s="16">
        <v>55</v>
      </c>
      <c r="B63" s="10" t="s">
        <v>269</v>
      </c>
      <c r="C63" s="10" t="s">
        <v>261</v>
      </c>
      <c r="D63" s="10" t="s">
        <v>238</v>
      </c>
      <c r="E63" s="24" t="s">
        <v>33</v>
      </c>
      <c r="F63" s="25">
        <v>8500</v>
      </c>
      <c r="G63" s="10" t="s">
        <v>33</v>
      </c>
    </row>
    <row r="64" spans="1:7" ht="15" customHeight="1" x14ac:dyDescent="0.3">
      <c r="A64" s="16">
        <v>56</v>
      </c>
      <c r="B64" s="10" t="s">
        <v>269</v>
      </c>
      <c r="C64" s="10" t="s">
        <v>262</v>
      </c>
      <c r="D64" s="10" t="s">
        <v>238</v>
      </c>
      <c r="E64" s="24" t="s">
        <v>33</v>
      </c>
      <c r="F64" s="25">
        <v>4900</v>
      </c>
      <c r="G64" s="10" t="s">
        <v>33</v>
      </c>
    </row>
    <row r="65" spans="1:7" ht="15" customHeight="1" x14ac:dyDescent="0.3">
      <c r="A65" s="16">
        <v>57</v>
      </c>
      <c r="B65" s="10" t="s">
        <v>269</v>
      </c>
      <c r="C65" s="10" t="s">
        <v>263</v>
      </c>
      <c r="D65" s="10" t="s">
        <v>238</v>
      </c>
      <c r="E65" s="24" t="s">
        <v>33</v>
      </c>
      <c r="F65" s="25">
        <v>25000</v>
      </c>
      <c r="G65" s="10" t="s">
        <v>33</v>
      </c>
    </row>
    <row r="66" spans="1:7" ht="15" customHeight="1" x14ac:dyDescent="0.3">
      <c r="A66" s="16">
        <v>58</v>
      </c>
      <c r="B66" s="10" t="s">
        <v>269</v>
      </c>
      <c r="C66" s="10" t="s">
        <v>264</v>
      </c>
      <c r="D66" s="10" t="s">
        <v>238</v>
      </c>
      <c r="E66" s="24" t="s">
        <v>33</v>
      </c>
      <c r="F66" s="25">
        <v>150</v>
      </c>
      <c r="G66" s="10" t="s">
        <v>33</v>
      </c>
    </row>
    <row r="67" spans="1:7" ht="15" customHeight="1" x14ac:dyDescent="0.3">
      <c r="A67" s="16">
        <v>59</v>
      </c>
      <c r="B67" s="10" t="s">
        <v>269</v>
      </c>
      <c r="C67" s="10" t="s">
        <v>266</v>
      </c>
      <c r="D67" s="10" t="s">
        <v>238</v>
      </c>
      <c r="E67" s="24" t="s">
        <v>33</v>
      </c>
      <c r="F67" s="25">
        <v>7150</v>
      </c>
      <c r="G67" s="10" t="s">
        <v>33</v>
      </c>
    </row>
    <row r="68" spans="1:7" ht="15" customHeight="1" x14ac:dyDescent="0.3">
      <c r="A68" s="16">
        <v>60</v>
      </c>
      <c r="B68" s="10" t="s">
        <v>271</v>
      </c>
      <c r="C68" s="10" t="s">
        <v>239</v>
      </c>
      <c r="D68" s="10" t="s">
        <v>238</v>
      </c>
      <c r="E68" s="24" t="s">
        <v>33</v>
      </c>
      <c r="F68" s="25">
        <v>205</v>
      </c>
      <c r="G68" s="10" t="s">
        <v>33</v>
      </c>
    </row>
    <row r="69" spans="1:7" ht="15" customHeight="1" x14ac:dyDescent="0.3">
      <c r="A69" s="16">
        <v>61</v>
      </c>
      <c r="B69" s="10" t="s">
        <v>271</v>
      </c>
      <c r="C69" s="10" t="s">
        <v>240</v>
      </c>
      <c r="D69" s="10" t="s">
        <v>238</v>
      </c>
      <c r="E69" s="24" t="s">
        <v>33</v>
      </c>
      <c r="F69" s="25">
        <v>25000</v>
      </c>
      <c r="G69" s="10" t="s">
        <v>33</v>
      </c>
    </row>
    <row r="70" spans="1:7" ht="15" customHeight="1" x14ac:dyDescent="0.3">
      <c r="A70" s="16">
        <v>62</v>
      </c>
      <c r="B70" s="10" t="s">
        <v>271</v>
      </c>
      <c r="C70" s="10" t="s">
        <v>257</v>
      </c>
      <c r="D70" s="10" t="s">
        <v>238</v>
      </c>
      <c r="E70" s="24" t="s">
        <v>33</v>
      </c>
      <c r="F70" s="25">
        <v>175</v>
      </c>
      <c r="G70" s="10" t="s">
        <v>33</v>
      </c>
    </row>
    <row r="71" spans="1:7" ht="15" customHeight="1" x14ac:dyDescent="0.3">
      <c r="A71" s="16">
        <v>63</v>
      </c>
      <c r="B71" s="10" t="s">
        <v>271</v>
      </c>
      <c r="C71" s="10" t="s">
        <v>260</v>
      </c>
      <c r="D71" s="10" t="s">
        <v>238</v>
      </c>
      <c r="E71" s="24" t="s">
        <v>33</v>
      </c>
      <c r="F71" s="25">
        <v>215</v>
      </c>
      <c r="G71" s="10" t="s">
        <v>33</v>
      </c>
    </row>
    <row r="72" spans="1:7" ht="15" customHeight="1" x14ac:dyDescent="0.3">
      <c r="A72" s="16">
        <v>64</v>
      </c>
      <c r="B72" s="10" t="s">
        <v>271</v>
      </c>
      <c r="C72" s="10" t="s">
        <v>265</v>
      </c>
      <c r="D72" s="10" t="s">
        <v>238</v>
      </c>
      <c r="E72" s="24" t="s">
        <v>33</v>
      </c>
      <c r="F72" s="25">
        <v>650</v>
      </c>
      <c r="G72" s="10" t="s">
        <v>33</v>
      </c>
    </row>
    <row r="73" spans="1:7" ht="15" customHeight="1" x14ac:dyDescent="0.3">
      <c r="A73" s="16">
        <v>65</v>
      </c>
      <c r="B73" s="10" t="s">
        <v>272</v>
      </c>
      <c r="C73" s="10" t="s">
        <v>242</v>
      </c>
      <c r="D73" s="10" t="s">
        <v>238</v>
      </c>
      <c r="E73" s="24" t="s">
        <v>33</v>
      </c>
      <c r="F73" s="25">
        <v>6000</v>
      </c>
      <c r="G73" s="10" t="s">
        <v>33</v>
      </c>
    </row>
    <row r="74" spans="1:7" ht="15" customHeight="1" x14ac:dyDescent="0.3">
      <c r="A74" s="16">
        <v>66</v>
      </c>
      <c r="B74" s="10" t="s">
        <v>272</v>
      </c>
      <c r="C74" s="10" t="s">
        <v>243</v>
      </c>
      <c r="D74" s="10" t="s">
        <v>238</v>
      </c>
      <c r="E74" s="24" t="s">
        <v>33</v>
      </c>
      <c r="F74" s="25">
        <v>135</v>
      </c>
      <c r="G74" s="10" t="s">
        <v>33</v>
      </c>
    </row>
    <row r="75" spans="1:7" ht="15" customHeight="1" x14ac:dyDescent="0.3">
      <c r="A75" s="16">
        <v>67</v>
      </c>
      <c r="B75" s="10" t="s">
        <v>272</v>
      </c>
      <c r="C75" s="10" t="s">
        <v>246</v>
      </c>
      <c r="D75" s="10" t="s">
        <v>238</v>
      </c>
      <c r="E75" s="24" t="s">
        <v>33</v>
      </c>
      <c r="F75" s="25">
        <v>125</v>
      </c>
      <c r="G75" s="10" t="s">
        <v>33</v>
      </c>
    </row>
    <row r="76" spans="1:7" ht="15" customHeight="1" x14ac:dyDescent="0.3">
      <c r="A76" s="16">
        <v>68</v>
      </c>
      <c r="B76" s="10" t="s">
        <v>272</v>
      </c>
      <c r="C76" s="10" t="s">
        <v>249</v>
      </c>
      <c r="D76" s="10" t="s">
        <v>238</v>
      </c>
      <c r="E76" s="24" t="s">
        <v>33</v>
      </c>
      <c r="F76" s="25">
        <v>335</v>
      </c>
      <c r="G76" s="10" t="s">
        <v>33</v>
      </c>
    </row>
    <row r="77" spans="1:7" ht="15" customHeight="1" x14ac:dyDescent="0.3">
      <c r="A77" s="16">
        <v>69</v>
      </c>
      <c r="B77" s="10" t="s">
        <v>272</v>
      </c>
      <c r="C77" s="10" t="s">
        <v>254</v>
      </c>
      <c r="D77" s="10" t="s">
        <v>238</v>
      </c>
      <c r="E77" s="24" t="s">
        <v>33</v>
      </c>
      <c r="F77" s="25">
        <v>16000</v>
      </c>
      <c r="G77" s="10" t="s">
        <v>33</v>
      </c>
    </row>
    <row r="78" spans="1:7" ht="15" customHeight="1" x14ac:dyDescent="0.3">
      <c r="A78" s="16">
        <v>70</v>
      </c>
      <c r="B78" s="10" t="s">
        <v>273</v>
      </c>
      <c r="C78" s="10" t="s">
        <v>237</v>
      </c>
      <c r="D78" s="10" t="s">
        <v>238</v>
      </c>
      <c r="E78" s="24" t="s">
        <v>33</v>
      </c>
      <c r="F78" s="25">
        <v>250</v>
      </c>
      <c r="G78" s="10" t="s">
        <v>33</v>
      </c>
    </row>
    <row r="79" spans="1:7" ht="15" customHeight="1" x14ac:dyDescent="0.3">
      <c r="A79" s="16">
        <v>71</v>
      </c>
      <c r="B79" s="10" t="s">
        <v>273</v>
      </c>
      <c r="C79" s="10" t="s">
        <v>241</v>
      </c>
      <c r="D79" s="10" t="s">
        <v>238</v>
      </c>
      <c r="E79" s="24" t="s">
        <v>33</v>
      </c>
      <c r="F79" s="25">
        <v>625</v>
      </c>
      <c r="G79" s="10" t="s">
        <v>33</v>
      </c>
    </row>
    <row r="80" spans="1:7" ht="15" customHeight="1" x14ac:dyDescent="0.3">
      <c r="A80" s="16">
        <v>72</v>
      </c>
      <c r="B80" s="10" t="s">
        <v>273</v>
      </c>
      <c r="C80" s="10" t="s">
        <v>253</v>
      </c>
      <c r="D80" s="10" t="s">
        <v>238</v>
      </c>
      <c r="E80" s="24" t="s">
        <v>33</v>
      </c>
      <c r="F80" s="25">
        <v>175</v>
      </c>
      <c r="G80" s="10" t="s">
        <v>33</v>
      </c>
    </row>
    <row r="81" spans="1:7" ht="15" customHeight="1" x14ac:dyDescent="0.3">
      <c r="A81" s="16">
        <v>73</v>
      </c>
      <c r="B81" s="10" t="s">
        <v>273</v>
      </c>
      <c r="C81" s="10" t="s">
        <v>259</v>
      </c>
      <c r="D81" s="10" t="s">
        <v>238</v>
      </c>
      <c r="E81" s="24" t="s">
        <v>33</v>
      </c>
      <c r="F81" s="25">
        <v>285</v>
      </c>
      <c r="G81" s="10" t="s">
        <v>33</v>
      </c>
    </row>
    <row r="82" spans="1:7" ht="15" customHeight="1" x14ac:dyDescent="0.3">
      <c r="A82" s="16">
        <v>74</v>
      </c>
      <c r="B82" s="10" t="s">
        <v>273</v>
      </c>
      <c r="C82" s="10" t="s">
        <v>267</v>
      </c>
      <c r="D82" s="10" t="s">
        <v>238</v>
      </c>
      <c r="E82" s="24" t="s">
        <v>33</v>
      </c>
      <c r="F82" s="25">
        <v>1300</v>
      </c>
      <c r="G82" s="10" t="s">
        <v>33</v>
      </c>
    </row>
    <row r="83" spans="1:7" ht="15" customHeight="1" x14ac:dyDescent="0.3">
      <c r="A83" s="16">
        <v>75</v>
      </c>
      <c r="B83" s="10" t="s">
        <v>274</v>
      </c>
      <c r="C83" s="10" t="s">
        <v>245</v>
      </c>
      <c r="D83" s="10" t="s">
        <v>238</v>
      </c>
      <c r="E83" s="24" t="s">
        <v>33</v>
      </c>
      <c r="F83" s="25">
        <v>925</v>
      </c>
      <c r="G83" s="10" t="s">
        <v>33</v>
      </c>
    </row>
    <row r="84" spans="1:7" ht="15" customHeight="1" x14ac:dyDescent="0.3">
      <c r="A84" s="16">
        <v>76</v>
      </c>
      <c r="B84" s="10" t="s">
        <v>274</v>
      </c>
      <c r="C84" s="10" t="s">
        <v>255</v>
      </c>
      <c r="D84" s="10" t="s">
        <v>238</v>
      </c>
      <c r="E84" s="24" t="s">
        <v>33</v>
      </c>
      <c r="F84" s="25">
        <v>875</v>
      </c>
      <c r="G84" s="10" t="s">
        <v>33</v>
      </c>
    </row>
    <row r="85" spans="1:7" ht="15" customHeight="1" x14ac:dyDescent="0.3">
      <c r="A85" s="16">
        <v>77</v>
      </c>
      <c r="B85" s="10" t="s">
        <v>274</v>
      </c>
      <c r="C85" s="10" t="s">
        <v>258</v>
      </c>
      <c r="D85" s="10" t="s">
        <v>238</v>
      </c>
      <c r="E85" s="24" t="s">
        <v>33</v>
      </c>
      <c r="F85" s="25">
        <v>-650</v>
      </c>
      <c r="G85" s="10" t="s">
        <v>33</v>
      </c>
    </row>
    <row r="86" spans="1:7" ht="15" customHeight="1" x14ac:dyDescent="0.3">
      <c r="A86" s="16">
        <v>78</v>
      </c>
      <c r="B86" s="10" t="s">
        <v>274</v>
      </c>
      <c r="C86" s="10" t="s">
        <v>262</v>
      </c>
      <c r="D86" s="10" t="s">
        <v>238</v>
      </c>
      <c r="E86" s="24" t="s">
        <v>33</v>
      </c>
      <c r="F86" s="25">
        <v>4000</v>
      </c>
      <c r="G86" s="10" t="s">
        <v>33</v>
      </c>
    </row>
    <row r="87" spans="1:7" ht="15" customHeight="1" x14ac:dyDescent="0.3">
      <c r="A87" s="16">
        <v>79</v>
      </c>
      <c r="B87" s="10" t="s">
        <v>274</v>
      </c>
      <c r="C87" s="10" t="s">
        <v>266</v>
      </c>
      <c r="D87" s="10" t="s">
        <v>238</v>
      </c>
      <c r="E87" s="24" t="s">
        <v>33</v>
      </c>
      <c r="F87" s="25">
        <v>4500</v>
      </c>
      <c r="G87" s="10" t="s">
        <v>33</v>
      </c>
    </row>
    <row r="88" spans="1:7" ht="15" customHeight="1" x14ac:dyDescent="0.3">
      <c r="A88" s="16">
        <v>80</v>
      </c>
      <c r="B88" s="10" t="s">
        <v>275</v>
      </c>
      <c r="C88" s="10" t="s">
        <v>247</v>
      </c>
      <c r="D88" s="10" t="s">
        <v>238</v>
      </c>
      <c r="E88" s="24" t="s">
        <v>33</v>
      </c>
      <c r="F88" s="25">
        <v>325</v>
      </c>
      <c r="G88" s="10" t="s">
        <v>33</v>
      </c>
    </row>
    <row r="89" spans="1:7" ht="15" customHeight="1" x14ac:dyDescent="0.3">
      <c r="A89" s="16">
        <v>81</v>
      </c>
      <c r="B89" s="10" t="s">
        <v>275</v>
      </c>
      <c r="C89" s="10" t="s">
        <v>250</v>
      </c>
      <c r="D89" s="10" t="s">
        <v>238</v>
      </c>
      <c r="E89" s="24" t="s">
        <v>33</v>
      </c>
      <c r="F89" s="25">
        <v>2350</v>
      </c>
      <c r="G89" s="10" t="s">
        <v>33</v>
      </c>
    </row>
    <row r="90" spans="1:7" ht="15" customHeight="1" x14ac:dyDescent="0.3">
      <c r="A90" s="16">
        <v>82</v>
      </c>
      <c r="B90" s="10" t="s">
        <v>275</v>
      </c>
      <c r="C90" s="10" t="s">
        <v>251</v>
      </c>
      <c r="D90" s="10" t="s">
        <v>238</v>
      </c>
      <c r="E90" s="24" t="s">
        <v>33</v>
      </c>
      <c r="F90" s="25">
        <v>-175</v>
      </c>
      <c r="G90" s="10" t="s">
        <v>33</v>
      </c>
    </row>
    <row r="91" spans="1:7" ht="15" customHeight="1" x14ac:dyDescent="0.3">
      <c r="A91" s="16">
        <v>83</v>
      </c>
      <c r="B91" s="10" t="s">
        <v>275</v>
      </c>
      <c r="C91" s="10" t="s">
        <v>261</v>
      </c>
      <c r="D91" s="10" t="s">
        <v>238</v>
      </c>
      <c r="E91" s="24" t="s">
        <v>33</v>
      </c>
      <c r="F91" s="25">
        <v>400</v>
      </c>
      <c r="G91" s="10" t="s">
        <v>33</v>
      </c>
    </row>
    <row r="92" spans="1:7" ht="15" customHeight="1" x14ac:dyDescent="0.3">
      <c r="A92" s="16">
        <v>84</v>
      </c>
      <c r="B92" s="10" t="s">
        <v>275</v>
      </c>
      <c r="C92" s="10" t="s">
        <v>263</v>
      </c>
      <c r="D92" s="10" t="s">
        <v>238</v>
      </c>
      <c r="E92" s="24" t="s">
        <v>33</v>
      </c>
      <c r="F92" s="25">
        <v>17000</v>
      </c>
      <c r="G92" s="10" t="s">
        <v>33</v>
      </c>
    </row>
    <row r="93" spans="1:7" ht="15" customHeight="1" x14ac:dyDescent="0.3">
      <c r="A93" s="16">
        <v>85</v>
      </c>
      <c r="B93" s="10" t="s">
        <v>276</v>
      </c>
      <c r="C93" s="10" t="s">
        <v>244</v>
      </c>
      <c r="D93" s="10" t="s">
        <v>238</v>
      </c>
      <c r="E93" s="24" t="s">
        <v>33</v>
      </c>
      <c r="F93" s="25">
        <v>3500</v>
      </c>
      <c r="G93" s="10" t="s">
        <v>33</v>
      </c>
    </row>
    <row r="94" spans="1:7" ht="15" customHeight="1" x14ac:dyDescent="0.3">
      <c r="A94" s="16">
        <v>86</v>
      </c>
      <c r="B94" s="10" t="s">
        <v>276</v>
      </c>
      <c r="C94" s="10" t="s">
        <v>248</v>
      </c>
      <c r="D94" s="10" t="s">
        <v>238</v>
      </c>
      <c r="E94" s="24" t="s">
        <v>33</v>
      </c>
      <c r="F94" s="25">
        <v>450</v>
      </c>
      <c r="G94" s="10" t="s">
        <v>33</v>
      </c>
    </row>
    <row r="95" spans="1:7" ht="15" customHeight="1" x14ac:dyDescent="0.3">
      <c r="A95" s="16">
        <v>87</v>
      </c>
      <c r="B95" s="10" t="s">
        <v>276</v>
      </c>
      <c r="C95" s="10" t="s">
        <v>252</v>
      </c>
      <c r="D95" s="10" t="s">
        <v>238</v>
      </c>
      <c r="E95" s="24" t="s">
        <v>33</v>
      </c>
      <c r="F95" s="25">
        <v>20000</v>
      </c>
      <c r="G95" s="10" t="s">
        <v>33</v>
      </c>
    </row>
    <row r="96" spans="1:7" ht="15" customHeight="1" x14ac:dyDescent="0.3">
      <c r="A96" s="16">
        <v>88</v>
      </c>
      <c r="B96" s="10" t="s">
        <v>276</v>
      </c>
      <c r="C96" s="10" t="s">
        <v>256</v>
      </c>
      <c r="D96" s="10" t="s">
        <v>238</v>
      </c>
      <c r="E96" s="24" t="s">
        <v>33</v>
      </c>
      <c r="F96" s="25">
        <v>18500</v>
      </c>
      <c r="G96" s="10" t="s">
        <v>33</v>
      </c>
    </row>
    <row r="97" spans="1:7" ht="15" customHeight="1" x14ac:dyDescent="0.3">
      <c r="A97" s="16">
        <v>89</v>
      </c>
      <c r="B97" s="10" t="s">
        <v>276</v>
      </c>
      <c r="C97" s="10" t="s">
        <v>264</v>
      </c>
      <c r="D97" s="10" t="s">
        <v>238</v>
      </c>
      <c r="E97" s="24" t="s">
        <v>33</v>
      </c>
      <c r="F97" s="25">
        <v>-1000</v>
      </c>
      <c r="G97" s="10" t="s">
        <v>33</v>
      </c>
    </row>
    <row r="98" spans="1:7" ht="15" customHeight="1" x14ac:dyDescent="0.3">
      <c r="A98" s="16">
        <v>90</v>
      </c>
      <c r="B98" s="10" t="s">
        <v>277</v>
      </c>
      <c r="C98" s="10" t="s">
        <v>237</v>
      </c>
      <c r="D98" s="10" t="s">
        <v>238</v>
      </c>
      <c r="E98" s="24" t="s">
        <v>33</v>
      </c>
      <c r="F98" s="25">
        <v>105</v>
      </c>
      <c r="G98" s="10" t="s">
        <v>33</v>
      </c>
    </row>
    <row r="99" spans="1:7" ht="15" customHeight="1" x14ac:dyDescent="0.3">
      <c r="A99" s="16">
        <v>91</v>
      </c>
      <c r="B99" s="10" t="s">
        <v>277</v>
      </c>
      <c r="C99" s="10" t="s">
        <v>239</v>
      </c>
      <c r="D99" s="10" t="s">
        <v>238</v>
      </c>
      <c r="E99" s="24" t="s">
        <v>33</v>
      </c>
      <c r="F99" s="25">
        <v>275</v>
      </c>
      <c r="G99" s="10" t="s">
        <v>33</v>
      </c>
    </row>
    <row r="100" spans="1:7" ht="15" customHeight="1" x14ac:dyDescent="0.3">
      <c r="A100" s="16">
        <v>92</v>
      </c>
      <c r="B100" s="10" t="s">
        <v>277</v>
      </c>
      <c r="C100" s="10" t="s">
        <v>240</v>
      </c>
      <c r="D100" s="10" t="s">
        <v>238</v>
      </c>
      <c r="E100" s="24" t="s">
        <v>33</v>
      </c>
      <c r="F100" s="25">
        <v>1400</v>
      </c>
      <c r="G100" s="10" t="s">
        <v>33</v>
      </c>
    </row>
    <row r="101" spans="1:7" ht="15" customHeight="1" x14ac:dyDescent="0.3">
      <c r="A101" s="16">
        <v>93</v>
      </c>
      <c r="B101" s="10" t="s">
        <v>277</v>
      </c>
      <c r="C101" s="10" t="s">
        <v>241</v>
      </c>
      <c r="D101" s="10" t="s">
        <v>238</v>
      </c>
      <c r="E101" s="24" t="s">
        <v>33</v>
      </c>
      <c r="F101" s="25">
        <v>135</v>
      </c>
      <c r="G101" s="10" t="s">
        <v>33</v>
      </c>
    </row>
    <row r="102" spans="1:7" ht="15" customHeight="1" x14ac:dyDescent="0.3">
      <c r="A102" s="16">
        <v>94</v>
      </c>
      <c r="B102" s="10" t="s">
        <v>277</v>
      </c>
      <c r="C102" s="10" t="s">
        <v>242</v>
      </c>
      <c r="D102" s="10" t="s">
        <v>238</v>
      </c>
      <c r="E102" s="24" t="s">
        <v>33</v>
      </c>
      <c r="F102" s="25">
        <v>800</v>
      </c>
      <c r="G102" s="10" t="s">
        <v>33</v>
      </c>
    </row>
    <row r="103" spans="1:7" ht="15" customHeight="1" x14ac:dyDescent="0.3">
      <c r="A103" s="16">
        <v>95</v>
      </c>
      <c r="B103" s="10" t="s">
        <v>277</v>
      </c>
      <c r="C103" s="10" t="s">
        <v>243</v>
      </c>
      <c r="D103" s="10" t="s">
        <v>238</v>
      </c>
      <c r="E103" s="24" t="s">
        <v>33</v>
      </c>
      <c r="F103" s="25">
        <v>225</v>
      </c>
      <c r="G103" s="10" t="s">
        <v>33</v>
      </c>
    </row>
    <row r="104" spans="1:7" ht="15" customHeight="1" x14ac:dyDescent="0.3">
      <c r="A104" s="16">
        <v>96</v>
      </c>
      <c r="B104" s="10" t="s">
        <v>277</v>
      </c>
      <c r="C104" s="10" t="s">
        <v>246</v>
      </c>
      <c r="D104" s="10" t="s">
        <v>238</v>
      </c>
      <c r="E104" s="24" t="s">
        <v>33</v>
      </c>
      <c r="F104" s="25">
        <v>300</v>
      </c>
      <c r="G104" s="10" t="s">
        <v>33</v>
      </c>
    </row>
    <row r="105" spans="1:7" ht="15" customHeight="1" x14ac:dyDescent="0.3">
      <c r="A105" s="16">
        <v>97</v>
      </c>
      <c r="B105" s="10" t="s">
        <v>277</v>
      </c>
      <c r="C105" s="10" t="s">
        <v>249</v>
      </c>
      <c r="D105" s="10" t="s">
        <v>238</v>
      </c>
      <c r="E105" s="24" t="s">
        <v>33</v>
      </c>
      <c r="F105" s="25">
        <v>135</v>
      </c>
      <c r="G105" s="10" t="s">
        <v>33</v>
      </c>
    </row>
    <row r="106" spans="1:7" ht="15" customHeight="1" x14ac:dyDescent="0.3">
      <c r="A106" s="16">
        <v>98</v>
      </c>
      <c r="B106" s="10" t="s">
        <v>277</v>
      </c>
      <c r="C106" s="10" t="s">
        <v>253</v>
      </c>
      <c r="D106" s="10" t="s">
        <v>238</v>
      </c>
      <c r="E106" s="24" t="s">
        <v>33</v>
      </c>
      <c r="F106" s="25">
        <v>175</v>
      </c>
      <c r="G106" s="10" t="s">
        <v>33</v>
      </c>
    </row>
    <row r="107" spans="1:7" ht="15" customHeight="1" x14ac:dyDescent="0.3">
      <c r="A107" s="16">
        <v>99</v>
      </c>
      <c r="B107" s="10" t="s">
        <v>277</v>
      </c>
      <c r="C107" s="10" t="s">
        <v>254</v>
      </c>
      <c r="D107" s="10" t="s">
        <v>238</v>
      </c>
      <c r="E107" s="24" t="s">
        <v>33</v>
      </c>
      <c r="F107" s="25">
        <v>1200</v>
      </c>
      <c r="G107" s="10" t="s">
        <v>33</v>
      </c>
    </row>
    <row r="108" spans="1:7" ht="15" customHeight="1" x14ac:dyDescent="0.3">
      <c r="A108" s="16">
        <v>100</v>
      </c>
      <c r="B108" s="10" t="s">
        <v>277</v>
      </c>
      <c r="C108" s="10" t="s">
        <v>257</v>
      </c>
      <c r="D108" s="10" t="s">
        <v>238</v>
      </c>
      <c r="E108" s="24" t="s">
        <v>33</v>
      </c>
      <c r="F108" s="25">
        <v>500</v>
      </c>
      <c r="G108" s="10" t="s">
        <v>33</v>
      </c>
    </row>
    <row r="109" spans="1:7" ht="15" customHeight="1" x14ac:dyDescent="0.3">
      <c r="A109" s="16">
        <v>101</v>
      </c>
      <c r="B109" s="10" t="s">
        <v>277</v>
      </c>
      <c r="C109" s="10" t="s">
        <v>259</v>
      </c>
      <c r="D109" s="10" t="s">
        <v>238</v>
      </c>
      <c r="E109" s="24" t="s">
        <v>33</v>
      </c>
      <c r="F109" s="25">
        <v>115</v>
      </c>
      <c r="G109" s="10" t="s">
        <v>33</v>
      </c>
    </row>
    <row r="110" spans="1:7" ht="15" customHeight="1" x14ac:dyDescent="0.3">
      <c r="A110" s="16">
        <v>102</v>
      </c>
      <c r="B110" s="10" t="s">
        <v>277</v>
      </c>
      <c r="C110" s="10" t="s">
        <v>260</v>
      </c>
      <c r="D110" s="10" t="s">
        <v>238</v>
      </c>
      <c r="E110" s="24" t="s">
        <v>33</v>
      </c>
      <c r="F110" s="25">
        <v>300</v>
      </c>
      <c r="G110" s="10" t="s">
        <v>33</v>
      </c>
    </row>
    <row r="111" spans="1:7" ht="15" customHeight="1" x14ac:dyDescent="0.3">
      <c r="A111" s="16">
        <v>103</v>
      </c>
      <c r="B111" s="10" t="s">
        <v>277</v>
      </c>
      <c r="C111" s="10" t="s">
        <v>265</v>
      </c>
      <c r="D111" s="10" t="s">
        <v>238</v>
      </c>
      <c r="E111" s="24" t="s">
        <v>33</v>
      </c>
      <c r="F111" s="25">
        <v>150</v>
      </c>
      <c r="G111" s="10" t="s">
        <v>33</v>
      </c>
    </row>
    <row r="112" spans="1:7" ht="15" customHeight="1" x14ac:dyDescent="0.3">
      <c r="A112" s="16">
        <v>104</v>
      </c>
      <c r="B112" s="10" t="s">
        <v>277</v>
      </c>
      <c r="C112" s="10" t="s">
        <v>267</v>
      </c>
      <c r="D112" s="10" t="s">
        <v>238</v>
      </c>
      <c r="E112" s="24" t="s">
        <v>33</v>
      </c>
      <c r="F112" s="25">
        <v>225</v>
      </c>
      <c r="G112" s="10" t="s">
        <v>33</v>
      </c>
    </row>
    <row r="113" spans="1:7" ht="15" customHeight="1" x14ac:dyDescent="0.3">
      <c r="A113" s="16">
        <v>105</v>
      </c>
      <c r="B113" s="10" t="s">
        <v>278</v>
      </c>
      <c r="C113" s="10" t="s">
        <v>244</v>
      </c>
      <c r="D113" s="10" t="s">
        <v>238</v>
      </c>
      <c r="E113" s="24" t="s">
        <v>33</v>
      </c>
      <c r="F113" s="25">
        <v>135</v>
      </c>
      <c r="G113" s="10" t="s">
        <v>33</v>
      </c>
    </row>
    <row r="114" spans="1:7" ht="15" customHeight="1" x14ac:dyDescent="0.3">
      <c r="A114" s="16">
        <v>106</v>
      </c>
      <c r="B114" s="10" t="s">
        <v>278</v>
      </c>
      <c r="C114" s="10" t="s">
        <v>245</v>
      </c>
      <c r="D114" s="10" t="s">
        <v>238</v>
      </c>
      <c r="E114" s="24" t="s">
        <v>33</v>
      </c>
      <c r="F114" s="25">
        <v>295</v>
      </c>
      <c r="G114" s="10" t="s">
        <v>33</v>
      </c>
    </row>
    <row r="115" spans="1:7" ht="15" customHeight="1" x14ac:dyDescent="0.3">
      <c r="A115" s="16">
        <v>107</v>
      </c>
      <c r="B115" s="10" t="s">
        <v>278</v>
      </c>
      <c r="C115" s="10" t="s">
        <v>247</v>
      </c>
      <c r="D115" s="10" t="s">
        <v>238</v>
      </c>
      <c r="E115" s="24" t="s">
        <v>33</v>
      </c>
      <c r="F115" s="25">
        <v>115</v>
      </c>
      <c r="G115" s="10" t="s">
        <v>33</v>
      </c>
    </row>
    <row r="116" spans="1:7" ht="15" customHeight="1" x14ac:dyDescent="0.3">
      <c r="A116" s="16">
        <v>108</v>
      </c>
      <c r="B116" s="10" t="s">
        <v>278</v>
      </c>
      <c r="C116" s="10" t="s">
        <v>248</v>
      </c>
      <c r="D116" s="10" t="s">
        <v>238</v>
      </c>
      <c r="E116" s="24" t="s">
        <v>33</v>
      </c>
      <c r="F116" s="25">
        <v>225</v>
      </c>
      <c r="G116" s="10" t="s">
        <v>33</v>
      </c>
    </row>
    <row r="117" spans="1:7" ht="15" customHeight="1" x14ac:dyDescent="0.3">
      <c r="A117" s="16">
        <v>109</v>
      </c>
      <c r="B117" s="10" t="s">
        <v>278</v>
      </c>
      <c r="C117" s="10" t="s">
        <v>250</v>
      </c>
      <c r="D117" s="10" t="s">
        <v>238</v>
      </c>
      <c r="E117" s="24" t="s">
        <v>33</v>
      </c>
      <c r="F117" s="25">
        <v>350</v>
      </c>
      <c r="G117" s="10" t="s">
        <v>33</v>
      </c>
    </row>
    <row r="118" spans="1:7" ht="15" customHeight="1" x14ac:dyDescent="0.3">
      <c r="A118" s="16">
        <v>110</v>
      </c>
      <c r="B118" s="10" t="s">
        <v>278</v>
      </c>
      <c r="C118" s="10" t="s">
        <v>251</v>
      </c>
      <c r="D118" s="10" t="s">
        <v>238</v>
      </c>
      <c r="E118" s="24" t="s">
        <v>33</v>
      </c>
      <c r="F118" s="25">
        <v>165</v>
      </c>
      <c r="G118" s="10" t="s">
        <v>33</v>
      </c>
    </row>
    <row r="119" spans="1:7" ht="15" customHeight="1" x14ac:dyDescent="0.3">
      <c r="A119" s="26">
        <v>111</v>
      </c>
      <c r="B119" s="27" t="s">
        <v>278</v>
      </c>
      <c r="C119" s="27" t="s">
        <v>252</v>
      </c>
      <c r="D119" s="27" t="s">
        <v>238</v>
      </c>
      <c r="E119" s="28" t="s">
        <v>33</v>
      </c>
      <c r="F119" s="29">
        <v>325</v>
      </c>
      <c r="G119" s="27" t="s">
        <v>270</v>
      </c>
    </row>
    <row r="120" spans="1:7" ht="15" customHeight="1" x14ac:dyDescent="0.3">
      <c r="A120" s="16">
        <v>112</v>
      </c>
      <c r="B120" s="10" t="s">
        <v>278</v>
      </c>
      <c r="C120" s="10" t="s">
        <v>255</v>
      </c>
      <c r="D120" s="10" t="s">
        <v>238</v>
      </c>
      <c r="E120" s="24" t="s">
        <v>33</v>
      </c>
      <c r="F120" s="25">
        <v>250</v>
      </c>
      <c r="G120" s="10" t="s">
        <v>33</v>
      </c>
    </row>
    <row r="121" spans="1:7" ht="15" customHeight="1" x14ac:dyDescent="0.3">
      <c r="A121" s="16">
        <v>113</v>
      </c>
      <c r="B121" s="10" t="s">
        <v>278</v>
      </c>
      <c r="C121" s="10" t="s">
        <v>256</v>
      </c>
      <c r="D121" s="10" t="s">
        <v>238</v>
      </c>
      <c r="E121" s="24" t="s">
        <v>33</v>
      </c>
      <c r="F121" s="25">
        <v>375</v>
      </c>
      <c r="G121" s="10" t="s">
        <v>33</v>
      </c>
    </row>
    <row r="122" spans="1:7" ht="15" customHeight="1" x14ac:dyDescent="0.3">
      <c r="A122" s="16">
        <v>114</v>
      </c>
      <c r="B122" s="10" t="s">
        <v>278</v>
      </c>
      <c r="C122" s="10" t="s">
        <v>258</v>
      </c>
      <c r="D122" s="10" t="s">
        <v>238</v>
      </c>
      <c r="E122" s="24" t="s">
        <v>33</v>
      </c>
      <c r="F122" s="25">
        <v>4000</v>
      </c>
      <c r="G122" s="10" t="s">
        <v>33</v>
      </c>
    </row>
    <row r="123" spans="1:7" ht="15" customHeight="1" x14ac:dyDescent="0.3">
      <c r="A123" s="16">
        <v>115</v>
      </c>
      <c r="B123" s="10" t="s">
        <v>278</v>
      </c>
      <c r="C123" s="10" t="s">
        <v>261</v>
      </c>
      <c r="D123" s="10" t="s">
        <v>238</v>
      </c>
      <c r="E123" s="24" t="s">
        <v>33</v>
      </c>
      <c r="F123" s="25">
        <v>-115</v>
      </c>
      <c r="G123" s="10" t="s">
        <v>33</v>
      </c>
    </row>
    <row r="124" spans="1:7" ht="15" customHeight="1" x14ac:dyDescent="0.3">
      <c r="A124" s="16">
        <v>116</v>
      </c>
      <c r="B124" s="10" t="s">
        <v>278</v>
      </c>
      <c r="C124" s="10" t="s">
        <v>262</v>
      </c>
      <c r="D124" s="10" t="s">
        <v>238</v>
      </c>
      <c r="E124" s="24" t="s">
        <v>33</v>
      </c>
      <c r="F124" s="25">
        <v>100</v>
      </c>
      <c r="G124" s="10" t="s">
        <v>33</v>
      </c>
    </row>
    <row r="125" spans="1:7" ht="15" customHeight="1" x14ac:dyDescent="0.3">
      <c r="A125" s="16">
        <v>117</v>
      </c>
      <c r="B125" s="10" t="s">
        <v>278</v>
      </c>
      <c r="C125" s="10" t="s">
        <v>263</v>
      </c>
      <c r="D125" s="10" t="s">
        <v>238</v>
      </c>
      <c r="E125" s="24" t="s">
        <v>33</v>
      </c>
      <c r="F125" s="25">
        <v>1400</v>
      </c>
      <c r="G125" s="10" t="s">
        <v>33</v>
      </c>
    </row>
    <row r="126" spans="1:7" ht="15" customHeight="1" x14ac:dyDescent="0.3">
      <c r="A126" s="16">
        <v>118</v>
      </c>
      <c r="B126" s="10" t="s">
        <v>278</v>
      </c>
      <c r="C126" s="10" t="s">
        <v>264</v>
      </c>
      <c r="D126" s="10" t="s">
        <v>238</v>
      </c>
      <c r="E126" s="24" t="s">
        <v>33</v>
      </c>
      <c r="F126" s="25">
        <v>3500</v>
      </c>
      <c r="G126" s="10" t="s">
        <v>33</v>
      </c>
    </row>
    <row r="127" spans="1:7" ht="15" customHeight="1" x14ac:dyDescent="0.3">
      <c r="A127" s="16">
        <v>119</v>
      </c>
      <c r="B127" s="10" t="s">
        <v>278</v>
      </c>
      <c r="C127" s="10" t="s">
        <v>266</v>
      </c>
      <c r="D127" s="10" t="s">
        <v>238</v>
      </c>
      <c r="E127" s="24" t="s">
        <v>33</v>
      </c>
      <c r="F127" s="25">
        <v>115</v>
      </c>
      <c r="G127" s="10" t="s">
        <v>33</v>
      </c>
    </row>
    <row r="128" spans="1:7" ht="15" customHeight="1" x14ac:dyDescent="0.3">
      <c r="A128" s="16">
        <v>120</v>
      </c>
      <c r="B128" s="10" t="s">
        <v>279</v>
      </c>
      <c r="C128" s="10" t="s">
        <v>239</v>
      </c>
      <c r="D128" s="10" t="s">
        <v>280</v>
      </c>
      <c r="E128" s="24">
        <v>51.5</v>
      </c>
      <c r="F128" s="25">
        <v>110</v>
      </c>
      <c r="G128" s="10" t="s">
        <v>33</v>
      </c>
    </row>
    <row r="129" spans="1:7" ht="15" customHeight="1" x14ac:dyDescent="0.3">
      <c r="A129" s="16">
        <v>121</v>
      </c>
      <c r="B129" s="10" t="s">
        <v>279</v>
      </c>
      <c r="C129" s="10" t="s">
        <v>239</v>
      </c>
      <c r="D129" s="10" t="s">
        <v>281</v>
      </c>
      <c r="E129" s="24">
        <v>51.5</v>
      </c>
      <c r="F129" s="25">
        <v>-130</v>
      </c>
      <c r="G129" s="10" t="s">
        <v>33</v>
      </c>
    </row>
    <row r="130" spans="1:7" ht="15" customHeight="1" x14ac:dyDescent="0.3">
      <c r="A130" s="16">
        <v>122</v>
      </c>
      <c r="B130" s="10" t="s">
        <v>279</v>
      </c>
      <c r="C130" s="10" t="s">
        <v>246</v>
      </c>
      <c r="D130" s="10" t="s">
        <v>280</v>
      </c>
      <c r="E130" s="24">
        <v>49.5</v>
      </c>
      <c r="F130" s="25">
        <v>115</v>
      </c>
      <c r="G130" s="10" t="s">
        <v>33</v>
      </c>
    </row>
    <row r="131" spans="1:7" ht="15" customHeight="1" x14ac:dyDescent="0.3">
      <c r="A131" s="16">
        <v>123</v>
      </c>
      <c r="B131" s="10" t="s">
        <v>279</v>
      </c>
      <c r="C131" s="10" t="s">
        <v>246</v>
      </c>
      <c r="D131" s="10" t="s">
        <v>281</v>
      </c>
      <c r="E131" s="24">
        <v>49.5</v>
      </c>
      <c r="F131" s="25">
        <v>-135</v>
      </c>
      <c r="G131" s="10" t="s">
        <v>33</v>
      </c>
    </row>
    <row r="132" spans="1:7" ht="15" customHeight="1" x14ac:dyDescent="0.3">
      <c r="A132" s="16">
        <v>124</v>
      </c>
      <c r="B132" s="10" t="s">
        <v>279</v>
      </c>
      <c r="C132" s="10" t="s">
        <v>257</v>
      </c>
      <c r="D132" s="10" t="s">
        <v>280</v>
      </c>
      <c r="E132" s="24">
        <v>52.5</v>
      </c>
      <c r="F132" s="25">
        <v>135</v>
      </c>
      <c r="G132" s="10" t="s">
        <v>33</v>
      </c>
    </row>
    <row r="133" spans="1:7" ht="15" customHeight="1" x14ac:dyDescent="0.3">
      <c r="A133" s="16">
        <v>125</v>
      </c>
      <c r="B133" s="10" t="s">
        <v>279</v>
      </c>
      <c r="C133" s="10" t="s">
        <v>257</v>
      </c>
      <c r="D133" s="10" t="s">
        <v>281</v>
      </c>
      <c r="E133" s="24">
        <v>52.5</v>
      </c>
      <c r="F133" s="25">
        <v>-155</v>
      </c>
      <c r="G133" s="10" t="s">
        <v>33</v>
      </c>
    </row>
    <row r="134" spans="1:7" ht="15" customHeight="1" x14ac:dyDescent="0.3">
      <c r="A134" s="26">
        <v>126</v>
      </c>
      <c r="B134" s="27" t="s">
        <v>279</v>
      </c>
      <c r="C134" s="27" t="s">
        <v>260</v>
      </c>
      <c r="D134" s="27" t="s">
        <v>280</v>
      </c>
      <c r="E134" s="28">
        <v>50.5</v>
      </c>
      <c r="F134" s="29">
        <v>100</v>
      </c>
      <c r="G134" s="27" t="s">
        <v>282</v>
      </c>
    </row>
    <row r="135" spans="1:7" ht="15" customHeight="1" x14ac:dyDescent="0.3">
      <c r="A135" s="16">
        <v>127</v>
      </c>
      <c r="B135" s="10" t="s">
        <v>279</v>
      </c>
      <c r="C135" s="10" t="s">
        <v>260</v>
      </c>
      <c r="D135" s="10" t="s">
        <v>281</v>
      </c>
      <c r="E135" s="24">
        <v>50.5</v>
      </c>
      <c r="F135" s="25">
        <v>-120</v>
      </c>
      <c r="G135" s="10" t="s">
        <v>33</v>
      </c>
    </row>
    <row r="136" spans="1:7" ht="15" customHeight="1" x14ac:dyDescent="0.3">
      <c r="A136" s="16">
        <v>128</v>
      </c>
      <c r="B136" s="10" t="s">
        <v>279</v>
      </c>
      <c r="C136" s="10" t="s">
        <v>258</v>
      </c>
      <c r="D136" s="10" t="s">
        <v>280</v>
      </c>
      <c r="E136" s="24">
        <v>61.5</v>
      </c>
      <c r="F136" s="25">
        <v>-125</v>
      </c>
      <c r="G136" s="10" t="s">
        <v>33</v>
      </c>
    </row>
    <row r="137" spans="1:7" ht="15" customHeight="1" x14ac:dyDescent="0.3">
      <c r="A137" s="16">
        <v>129</v>
      </c>
      <c r="B137" s="10" t="s">
        <v>279</v>
      </c>
      <c r="C137" s="10" t="s">
        <v>258</v>
      </c>
      <c r="D137" s="10" t="s">
        <v>281</v>
      </c>
      <c r="E137" s="24">
        <v>61.5</v>
      </c>
      <c r="F137" s="25">
        <v>105</v>
      </c>
      <c r="G137" s="10" t="s">
        <v>33</v>
      </c>
    </row>
    <row r="138" spans="1:7" ht="15" customHeight="1" x14ac:dyDescent="0.3">
      <c r="A138" s="16">
        <v>130</v>
      </c>
      <c r="B138" s="10" t="s">
        <v>279</v>
      </c>
      <c r="C138" s="10" t="s">
        <v>264</v>
      </c>
      <c r="D138" s="10" t="s">
        <v>280</v>
      </c>
      <c r="E138" s="24">
        <v>59.5</v>
      </c>
      <c r="F138" s="25">
        <v>-135</v>
      </c>
      <c r="G138" s="10" t="s">
        <v>33</v>
      </c>
    </row>
    <row r="139" spans="1:7" ht="15" customHeight="1" x14ac:dyDescent="0.3">
      <c r="A139" s="16">
        <v>131</v>
      </c>
      <c r="B139" s="10" t="s">
        <v>279</v>
      </c>
      <c r="C139" s="10" t="s">
        <v>264</v>
      </c>
      <c r="D139" s="10" t="s">
        <v>281</v>
      </c>
      <c r="E139" s="24">
        <v>59.5</v>
      </c>
      <c r="F139" s="25">
        <v>115</v>
      </c>
      <c r="G139" s="10" t="s">
        <v>33</v>
      </c>
    </row>
    <row r="140" spans="1:7" ht="15" customHeight="1" x14ac:dyDescent="0.3">
      <c r="A140" s="26">
        <v>132</v>
      </c>
      <c r="B140" s="27" t="s">
        <v>279</v>
      </c>
      <c r="C140" s="27" t="s">
        <v>237</v>
      </c>
      <c r="D140" s="27" t="s">
        <v>280</v>
      </c>
      <c r="E140" s="28">
        <v>44.5</v>
      </c>
      <c r="F140" s="29">
        <v>105</v>
      </c>
      <c r="G140" s="27" t="s">
        <v>282</v>
      </c>
    </row>
    <row r="141" spans="1:7" ht="15" customHeight="1" x14ac:dyDescent="0.3">
      <c r="A141" s="16">
        <v>133</v>
      </c>
      <c r="B141" s="10" t="s">
        <v>279</v>
      </c>
      <c r="C141" s="10" t="s">
        <v>237</v>
      </c>
      <c r="D141" s="10" t="s">
        <v>281</v>
      </c>
      <c r="E141" s="24">
        <v>44.5</v>
      </c>
      <c r="F141" s="25">
        <v>-125</v>
      </c>
      <c r="G141" s="10" t="s">
        <v>33</v>
      </c>
    </row>
    <row r="142" spans="1:7" ht="15" customHeight="1" x14ac:dyDescent="0.3">
      <c r="A142" s="16">
        <v>134</v>
      </c>
      <c r="B142" s="10" t="s">
        <v>279</v>
      </c>
      <c r="C142" s="10" t="s">
        <v>254</v>
      </c>
      <c r="D142" s="10" t="s">
        <v>280</v>
      </c>
      <c r="E142" s="24">
        <v>25.5</v>
      </c>
      <c r="F142" s="25">
        <v>-120</v>
      </c>
      <c r="G142" s="10" t="s">
        <v>33</v>
      </c>
    </row>
    <row r="143" spans="1:7" ht="15" customHeight="1" x14ac:dyDescent="0.3">
      <c r="A143" s="26">
        <v>135</v>
      </c>
      <c r="B143" s="27" t="s">
        <v>279</v>
      </c>
      <c r="C143" s="27" t="s">
        <v>254</v>
      </c>
      <c r="D143" s="27" t="s">
        <v>281</v>
      </c>
      <c r="E143" s="28">
        <v>25.5</v>
      </c>
      <c r="F143" s="29">
        <v>100</v>
      </c>
      <c r="G143" s="27" t="s">
        <v>283</v>
      </c>
    </row>
    <row r="144" spans="1:7" ht="15" customHeight="1" x14ac:dyDescent="0.3">
      <c r="A144" s="16">
        <v>136</v>
      </c>
      <c r="B144" s="10" t="s">
        <v>279</v>
      </c>
      <c r="C144" s="10" t="s">
        <v>259</v>
      </c>
      <c r="D144" s="10" t="s">
        <v>280</v>
      </c>
      <c r="E144" s="24">
        <v>43.5</v>
      </c>
      <c r="F144" s="25">
        <v>-130</v>
      </c>
      <c r="G144" s="10" t="s">
        <v>33</v>
      </c>
    </row>
    <row r="145" spans="1:7" ht="15" customHeight="1" x14ac:dyDescent="0.3">
      <c r="A145" s="16">
        <v>137</v>
      </c>
      <c r="B145" s="10" t="s">
        <v>279</v>
      </c>
      <c r="C145" s="10" t="s">
        <v>259</v>
      </c>
      <c r="D145" s="10" t="s">
        <v>281</v>
      </c>
      <c r="E145" s="24">
        <v>43.5</v>
      </c>
      <c r="F145" s="25">
        <v>110</v>
      </c>
      <c r="G145" s="10" t="s">
        <v>33</v>
      </c>
    </row>
    <row r="146" spans="1:7" ht="15" customHeight="1" x14ac:dyDescent="0.3">
      <c r="A146" s="16">
        <v>138</v>
      </c>
      <c r="B146" s="10" t="s">
        <v>279</v>
      </c>
      <c r="C146" s="10" t="s">
        <v>267</v>
      </c>
      <c r="D146" s="10" t="s">
        <v>280</v>
      </c>
      <c r="E146" s="24">
        <v>35.5</v>
      </c>
      <c r="F146" s="25">
        <v>120</v>
      </c>
      <c r="G146" s="10" t="s">
        <v>33</v>
      </c>
    </row>
    <row r="147" spans="1:7" ht="15" customHeight="1" x14ac:dyDescent="0.3">
      <c r="A147" s="16">
        <v>139</v>
      </c>
      <c r="B147" s="10" t="s">
        <v>279</v>
      </c>
      <c r="C147" s="10" t="s">
        <v>267</v>
      </c>
      <c r="D147" s="10" t="s">
        <v>281</v>
      </c>
      <c r="E147" s="24">
        <v>35.5</v>
      </c>
      <c r="F147" s="25">
        <v>-140</v>
      </c>
      <c r="G147" s="10" t="s">
        <v>33</v>
      </c>
    </row>
    <row r="148" spans="1:7" ht="15" customHeight="1" x14ac:dyDescent="0.3">
      <c r="A148" s="16">
        <v>140</v>
      </c>
      <c r="B148" s="10" t="s">
        <v>279</v>
      </c>
      <c r="C148" s="10" t="s">
        <v>240</v>
      </c>
      <c r="D148" s="10" t="s">
        <v>280</v>
      </c>
      <c r="E148" s="24">
        <v>24.5</v>
      </c>
      <c r="F148" s="25">
        <v>110</v>
      </c>
      <c r="G148" s="10" t="s">
        <v>33</v>
      </c>
    </row>
    <row r="149" spans="1:7" ht="15" customHeight="1" x14ac:dyDescent="0.3">
      <c r="A149" s="16">
        <v>141</v>
      </c>
      <c r="B149" s="10" t="s">
        <v>279</v>
      </c>
      <c r="C149" s="10" t="s">
        <v>240</v>
      </c>
      <c r="D149" s="10" t="s">
        <v>281</v>
      </c>
      <c r="E149" s="24">
        <v>24.5</v>
      </c>
      <c r="F149" s="25">
        <v>-130</v>
      </c>
      <c r="G149" s="10" t="s">
        <v>33</v>
      </c>
    </row>
    <row r="150" spans="1:7" ht="15" customHeight="1" x14ac:dyDescent="0.3">
      <c r="A150" s="16">
        <v>142</v>
      </c>
      <c r="B150" s="10" t="s">
        <v>279</v>
      </c>
      <c r="C150" s="10" t="s">
        <v>241</v>
      </c>
      <c r="D150" s="10" t="s">
        <v>280</v>
      </c>
      <c r="E150" s="24">
        <v>39.5</v>
      </c>
      <c r="F150" s="25">
        <v>150</v>
      </c>
      <c r="G150" s="10" t="s">
        <v>33</v>
      </c>
    </row>
    <row r="151" spans="1:7" ht="15" customHeight="1" x14ac:dyDescent="0.3">
      <c r="A151" s="16">
        <v>143</v>
      </c>
      <c r="B151" s="10" t="s">
        <v>279</v>
      </c>
      <c r="C151" s="10" t="s">
        <v>241</v>
      </c>
      <c r="D151" s="10" t="s">
        <v>281</v>
      </c>
      <c r="E151" s="24">
        <v>39.5</v>
      </c>
      <c r="F151" s="25">
        <v>-170</v>
      </c>
      <c r="G151" s="10" t="s">
        <v>33</v>
      </c>
    </row>
    <row r="152" spans="1:7" ht="15" customHeight="1" x14ac:dyDescent="0.3">
      <c r="A152" s="16">
        <v>144</v>
      </c>
      <c r="B152" s="10" t="s">
        <v>279</v>
      </c>
      <c r="C152" s="10" t="s">
        <v>242</v>
      </c>
      <c r="D152" s="10" t="s">
        <v>280</v>
      </c>
      <c r="E152" s="24">
        <v>28.5</v>
      </c>
      <c r="F152" s="25">
        <v>-150</v>
      </c>
      <c r="G152" s="10" t="s">
        <v>33</v>
      </c>
    </row>
    <row r="153" spans="1:7" ht="15" customHeight="1" x14ac:dyDescent="0.3">
      <c r="A153" s="16">
        <v>145</v>
      </c>
      <c r="B153" s="10" t="s">
        <v>279</v>
      </c>
      <c r="C153" s="10" t="s">
        <v>242</v>
      </c>
      <c r="D153" s="10" t="s">
        <v>281</v>
      </c>
      <c r="E153" s="24">
        <v>28.5</v>
      </c>
      <c r="F153" s="25">
        <v>130</v>
      </c>
      <c r="G153" s="10" t="s">
        <v>33</v>
      </c>
    </row>
    <row r="154" spans="1:7" ht="15" customHeight="1" x14ac:dyDescent="0.3">
      <c r="A154" s="26">
        <v>146</v>
      </c>
      <c r="B154" s="27" t="s">
        <v>279</v>
      </c>
      <c r="C154" s="27" t="s">
        <v>253</v>
      </c>
      <c r="D154" s="27" t="s">
        <v>280</v>
      </c>
      <c r="E154" s="28">
        <v>46.5</v>
      </c>
      <c r="F154" s="29">
        <v>100</v>
      </c>
      <c r="G154" s="27" t="s">
        <v>270</v>
      </c>
    </row>
    <row r="155" spans="1:7" ht="15" customHeight="1" x14ac:dyDescent="0.3">
      <c r="A155" s="16">
        <v>147</v>
      </c>
      <c r="B155" s="10" t="s">
        <v>279</v>
      </c>
      <c r="C155" s="10" t="s">
        <v>253</v>
      </c>
      <c r="D155" s="10" t="s">
        <v>281</v>
      </c>
      <c r="E155" s="24">
        <v>46.5</v>
      </c>
      <c r="F155" s="25">
        <v>-120</v>
      </c>
      <c r="G155" s="10" t="s">
        <v>33</v>
      </c>
    </row>
    <row r="156" spans="1:7" ht="15" customHeight="1" x14ac:dyDescent="0.3">
      <c r="A156" s="16">
        <v>148</v>
      </c>
      <c r="B156" s="10" t="s">
        <v>279</v>
      </c>
      <c r="C156" s="10" t="s">
        <v>255</v>
      </c>
      <c r="D156" s="10" t="s">
        <v>280</v>
      </c>
      <c r="E156" s="24">
        <v>47.5</v>
      </c>
      <c r="F156" s="25">
        <v>-120</v>
      </c>
      <c r="G156" s="10" t="s">
        <v>33</v>
      </c>
    </row>
    <row r="157" spans="1:7" ht="15" customHeight="1" x14ac:dyDescent="0.3">
      <c r="A157" s="16">
        <v>149</v>
      </c>
      <c r="B157" s="10" t="s">
        <v>279</v>
      </c>
      <c r="C157" s="10" t="s">
        <v>255</v>
      </c>
      <c r="D157" s="10" t="s">
        <v>281</v>
      </c>
      <c r="E157" s="24">
        <v>47.5</v>
      </c>
      <c r="F157" s="25">
        <v>100</v>
      </c>
      <c r="G157" s="10" t="s">
        <v>33</v>
      </c>
    </row>
    <row r="158" spans="1:7" ht="15" customHeight="1" x14ac:dyDescent="0.3">
      <c r="A158" s="16">
        <v>150</v>
      </c>
      <c r="B158" s="10" t="s">
        <v>279</v>
      </c>
      <c r="C158" s="10" t="s">
        <v>265</v>
      </c>
      <c r="D158" s="10" t="s">
        <v>280</v>
      </c>
      <c r="E158" s="24">
        <v>45.5</v>
      </c>
      <c r="F158" s="25">
        <v>-145</v>
      </c>
      <c r="G158" s="10" t="s">
        <v>33</v>
      </c>
    </row>
    <row r="159" spans="1:7" ht="15" customHeight="1" x14ac:dyDescent="0.3">
      <c r="A159" s="16">
        <v>151</v>
      </c>
      <c r="B159" s="10" t="s">
        <v>279</v>
      </c>
      <c r="C159" s="10" t="s">
        <v>265</v>
      </c>
      <c r="D159" s="10" t="s">
        <v>281</v>
      </c>
      <c r="E159" s="24">
        <v>45.5</v>
      </c>
      <c r="F159" s="25">
        <v>125</v>
      </c>
      <c r="G159" s="10" t="s">
        <v>33</v>
      </c>
    </row>
    <row r="160" spans="1:7" ht="15" customHeight="1" x14ac:dyDescent="0.3">
      <c r="A160" s="16">
        <v>152</v>
      </c>
      <c r="B160" s="10" t="s">
        <v>279</v>
      </c>
      <c r="C160" s="10" t="s">
        <v>249</v>
      </c>
      <c r="D160" s="10" t="s">
        <v>280</v>
      </c>
      <c r="E160" s="24">
        <v>44.5</v>
      </c>
      <c r="F160" s="25">
        <v>-120</v>
      </c>
      <c r="G160" s="10" t="s">
        <v>33</v>
      </c>
    </row>
    <row r="161" spans="1:7" ht="15" customHeight="1" x14ac:dyDescent="0.3">
      <c r="A161" s="26">
        <v>153</v>
      </c>
      <c r="B161" s="27" t="s">
        <v>279</v>
      </c>
      <c r="C161" s="27" t="s">
        <v>249</v>
      </c>
      <c r="D161" s="27" t="s">
        <v>281</v>
      </c>
      <c r="E161" s="28">
        <v>44.5</v>
      </c>
      <c r="F161" s="29">
        <v>100</v>
      </c>
      <c r="G161" s="27" t="s">
        <v>283</v>
      </c>
    </row>
    <row r="162" spans="1:7" ht="15" customHeight="1" x14ac:dyDescent="0.3">
      <c r="A162" s="16">
        <v>154</v>
      </c>
      <c r="B162" s="10" t="s">
        <v>279</v>
      </c>
      <c r="C162" s="10" t="s">
        <v>252</v>
      </c>
      <c r="D162" s="10" t="s">
        <v>280</v>
      </c>
      <c r="E162" s="24">
        <v>28.5</v>
      </c>
      <c r="F162" s="25">
        <v>-145</v>
      </c>
      <c r="G162" s="10" t="s">
        <v>33</v>
      </c>
    </row>
    <row r="163" spans="1:7" ht="15" customHeight="1" x14ac:dyDescent="0.3">
      <c r="A163" s="16">
        <v>155</v>
      </c>
      <c r="B163" s="10" t="s">
        <v>279</v>
      </c>
      <c r="C163" s="10" t="s">
        <v>252</v>
      </c>
      <c r="D163" s="10" t="s">
        <v>281</v>
      </c>
      <c r="E163" s="24">
        <v>28.5</v>
      </c>
      <c r="F163" s="25">
        <v>125</v>
      </c>
      <c r="G163" s="10" t="s">
        <v>33</v>
      </c>
    </row>
    <row r="164" spans="1:7" ht="15" customHeight="1" x14ac:dyDescent="0.3">
      <c r="A164" s="16">
        <v>156</v>
      </c>
      <c r="B164" s="10" t="s">
        <v>279</v>
      </c>
      <c r="C164" s="10" t="s">
        <v>256</v>
      </c>
      <c r="D164" s="10" t="s">
        <v>280</v>
      </c>
      <c r="E164" s="24">
        <v>28.5</v>
      </c>
      <c r="F164" s="25">
        <v>-120</v>
      </c>
      <c r="G164" s="10" t="s">
        <v>33</v>
      </c>
    </row>
    <row r="165" spans="1:7" ht="15" customHeight="1" x14ac:dyDescent="0.3">
      <c r="A165" s="26">
        <v>157</v>
      </c>
      <c r="B165" s="27" t="s">
        <v>279</v>
      </c>
      <c r="C165" s="27" t="s">
        <v>256</v>
      </c>
      <c r="D165" s="27" t="s">
        <v>281</v>
      </c>
      <c r="E165" s="28">
        <v>28.5</v>
      </c>
      <c r="F165" s="29">
        <v>100</v>
      </c>
      <c r="G165" s="27" t="s">
        <v>283</v>
      </c>
    </row>
    <row r="166" spans="1:7" ht="15" customHeight="1" x14ac:dyDescent="0.3">
      <c r="A166" s="16">
        <v>158</v>
      </c>
      <c r="B166" s="10" t="s">
        <v>279</v>
      </c>
      <c r="C166" s="10" t="s">
        <v>266</v>
      </c>
      <c r="D166" s="10" t="s">
        <v>280</v>
      </c>
      <c r="E166" s="24">
        <v>37.5</v>
      </c>
      <c r="F166" s="25">
        <v>-135</v>
      </c>
      <c r="G166" s="10" t="s">
        <v>33</v>
      </c>
    </row>
    <row r="167" spans="1:7" ht="15" customHeight="1" x14ac:dyDescent="0.3">
      <c r="A167" s="16">
        <v>159</v>
      </c>
      <c r="B167" s="10" t="s">
        <v>279</v>
      </c>
      <c r="C167" s="10" t="s">
        <v>266</v>
      </c>
      <c r="D167" s="10" t="s">
        <v>281</v>
      </c>
      <c r="E167" s="24">
        <v>37.5</v>
      </c>
      <c r="F167" s="25">
        <v>115</v>
      </c>
      <c r="G167" s="10" t="s">
        <v>33</v>
      </c>
    </row>
    <row r="168" spans="1:7" ht="15" customHeight="1" x14ac:dyDescent="0.3">
      <c r="A168" s="16">
        <v>160</v>
      </c>
      <c r="B168" s="10" t="s">
        <v>279</v>
      </c>
      <c r="C168" s="10" t="s">
        <v>244</v>
      </c>
      <c r="D168" s="10" t="s">
        <v>280</v>
      </c>
      <c r="E168" s="24">
        <v>34.5</v>
      </c>
      <c r="F168" s="25">
        <v>-105</v>
      </c>
      <c r="G168" s="10" t="s">
        <v>33</v>
      </c>
    </row>
    <row r="169" spans="1:7" ht="15" customHeight="1" x14ac:dyDescent="0.3">
      <c r="A169" s="16">
        <v>161</v>
      </c>
      <c r="B169" s="10" t="s">
        <v>279</v>
      </c>
      <c r="C169" s="10" t="s">
        <v>244</v>
      </c>
      <c r="D169" s="10" t="s">
        <v>281</v>
      </c>
      <c r="E169" s="24">
        <v>34.5</v>
      </c>
      <c r="F169" s="25">
        <v>-115</v>
      </c>
      <c r="G169" s="10" t="s">
        <v>33</v>
      </c>
    </row>
    <row r="170" spans="1:7" ht="15" customHeight="1" x14ac:dyDescent="0.3">
      <c r="A170" s="16">
        <v>162</v>
      </c>
      <c r="B170" s="10" t="s">
        <v>279</v>
      </c>
      <c r="C170" s="10" t="s">
        <v>248</v>
      </c>
      <c r="D170" s="10" t="s">
        <v>280</v>
      </c>
      <c r="E170" s="24">
        <v>47.5</v>
      </c>
      <c r="F170" s="25">
        <v>-160</v>
      </c>
      <c r="G170" s="10" t="s">
        <v>33</v>
      </c>
    </row>
    <row r="171" spans="1:7" ht="15" customHeight="1" x14ac:dyDescent="0.3">
      <c r="A171" s="16">
        <v>163</v>
      </c>
      <c r="B171" s="10" t="s">
        <v>279</v>
      </c>
      <c r="C171" s="10" t="s">
        <v>248</v>
      </c>
      <c r="D171" s="10" t="s">
        <v>281</v>
      </c>
      <c r="E171" s="24">
        <v>47.5</v>
      </c>
      <c r="F171" s="25">
        <v>140</v>
      </c>
      <c r="G171" s="10" t="s">
        <v>33</v>
      </c>
    </row>
    <row r="172" spans="1:7" ht="15" customHeight="1" x14ac:dyDescent="0.3">
      <c r="A172" s="16">
        <v>164</v>
      </c>
      <c r="B172" s="10" t="s">
        <v>279</v>
      </c>
      <c r="C172" s="10" t="s">
        <v>247</v>
      </c>
      <c r="D172" s="10" t="s">
        <v>280</v>
      </c>
      <c r="E172" s="24">
        <v>39.5</v>
      </c>
      <c r="F172" s="25">
        <v>120</v>
      </c>
      <c r="G172" s="10" t="s">
        <v>33</v>
      </c>
    </row>
    <row r="173" spans="1:7" ht="15" customHeight="1" x14ac:dyDescent="0.3">
      <c r="A173" s="16">
        <v>165</v>
      </c>
      <c r="B173" s="10" t="s">
        <v>279</v>
      </c>
      <c r="C173" s="10" t="s">
        <v>247</v>
      </c>
      <c r="D173" s="10" t="s">
        <v>281</v>
      </c>
      <c r="E173" s="24">
        <v>39.5</v>
      </c>
      <c r="F173" s="25">
        <v>-140</v>
      </c>
      <c r="G173" s="10" t="s">
        <v>33</v>
      </c>
    </row>
    <row r="174" spans="1:7" ht="15" customHeight="1" x14ac:dyDescent="0.3">
      <c r="A174" s="16">
        <v>166</v>
      </c>
      <c r="B174" s="10" t="s">
        <v>279</v>
      </c>
      <c r="C174" s="10" t="s">
        <v>251</v>
      </c>
      <c r="D174" s="10" t="s">
        <v>280</v>
      </c>
      <c r="E174" s="24">
        <v>45.5</v>
      </c>
      <c r="F174" s="25">
        <v>-140</v>
      </c>
      <c r="G174" s="10" t="s">
        <v>33</v>
      </c>
    </row>
    <row r="175" spans="1:7" ht="15" customHeight="1" x14ac:dyDescent="0.3">
      <c r="A175" s="26">
        <v>167</v>
      </c>
      <c r="B175" s="27" t="s">
        <v>279</v>
      </c>
      <c r="C175" s="27" t="s">
        <v>251</v>
      </c>
      <c r="D175" s="27" t="s">
        <v>281</v>
      </c>
      <c r="E175" s="28">
        <v>45.5</v>
      </c>
      <c r="F175" s="29">
        <v>120</v>
      </c>
      <c r="G175" s="27" t="s">
        <v>283</v>
      </c>
    </row>
    <row r="176" spans="1:7" ht="15" customHeight="1" x14ac:dyDescent="0.3">
      <c r="A176" s="16">
        <v>168</v>
      </c>
      <c r="B176" s="10" t="s">
        <v>279</v>
      </c>
      <c r="C176" s="10" t="s">
        <v>261</v>
      </c>
      <c r="D176" s="10" t="s">
        <v>280</v>
      </c>
      <c r="E176" s="24">
        <v>39.5</v>
      </c>
      <c r="F176" s="25">
        <v>-115</v>
      </c>
      <c r="G176" s="10" t="s">
        <v>33</v>
      </c>
    </row>
    <row r="177" spans="1:7" ht="15" customHeight="1" x14ac:dyDescent="0.3">
      <c r="A177" s="16">
        <v>169</v>
      </c>
      <c r="B177" s="10" t="s">
        <v>279</v>
      </c>
      <c r="C177" s="10" t="s">
        <v>261</v>
      </c>
      <c r="D177" s="10" t="s">
        <v>281</v>
      </c>
      <c r="E177" s="24">
        <v>39.5</v>
      </c>
      <c r="F177" s="25">
        <v>-105</v>
      </c>
      <c r="G177" s="10" t="s">
        <v>33</v>
      </c>
    </row>
    <row r="178" spans="1:7" ht="15" customHeight="1" x14ac:dyDescent="0.3">
      <c r="A178" s="16">
        <v>170</v>
      </c>
      <c r="B178" s="10" t="s">
        <v>279</v>
      </c>
      <c r="C178" s="10" t="s">
        <v>262</v>
      </c>
      <c r="D178" s="10" t="s">
        <v>280</v>
      </c>
      <c r="E178" s="24">
        <v>42.5</v>
      </c>
      <c r="F178" s="25">
        <v>115</v>
      </c>
      <c r="G178" s="10" t="s">
        <v>33</v>
      </c>
    </row>
    <row r="179" spans="1:7" ht="15" customHeight="1" x14ac:dyDescent="0.3">
      <c r="A179" s="16">
        <v>171</v>
      </c>
      <c r="B179" s="10" t="s">
        <v>279</v>
      </c>
      <c r="C179" s="10" t="s">
        <v>262</v>
      </c>
      <c r="D179" s="10" t="s">
        <v>281</v>
      </c>
      <c r="E179" s="24">
        <v>42.5</v>
      </c>
      <c r="F179" s="25">
        <v>-135</v>
      </c>
      <c r="G179" s="10" t="s">
        <v>33</v>
      </c>
    </row>
    <row r="180" spans="1:7" ht="15" customHeight="1" x14ac:dyDescent="0.3">
      <c r="A180" s="16">
        <v>172</v>
      </c>
      <c r="B180" s="10" t="s">
        <v>279</v>
      </c>
      <c r="C180" s="10" t="s">
        <v>250</v>
      </c>
      <c r="D180" s="10" t="s">
        <v>280</v>
      </c>
      <c r="E180" s="24">
        <v>29.5</v>
      </c>
      <c r="F180" s="25">
        <v>135</v>
      </c>
      <c r="G180" s="10" t="s">
        <v>33</v>
      </c>
    </row>
    <row r="181" spans="1:7" ht="15" customHeight="1" x14ac:dyDescent="0.3">
      <c r="A181" s="16">
        <v>173</v>
      </c>
      <c r="B181" s="10" t="s">
        <v>279</v>
      </c>
      <c r="C181" s="10" t="s">
        <v>250</v>
      </c>
      <c r="D181" s="10" t="s">
        <v>281</v>
      </c>
      <c r="E181" s="24">
        <v>29.5</v>
      </c>
      <c r="F181" s="25">
        <v>-155</v>
      </c>
      <c r="G181" s="10" t="s">
        <v>33</v>
      </c>
    </row>
    <row r="182" spans="1:7" ht="15" customHeight="1" x14ac:dyDescent="0.3">
      <c r="A182" s="16">
        <v>174</v>
      </c>
      <c r="B182" s="10" t="s">
        <v>279</v>
      </c>
      <c r="C182" s="10" t="s">
        <v>263</v>
      </c>
      <c r="D182" s="10" t="s">
        <v>280</v>
      </c>
      <c r="E182" s="24">
        <v>20.5</v>
      </c>
      <c r="F182" s="25">
        <v>-135</v>
      </c>
      <c r="G182" s="10" t="s">
        <v>33</v>
      </c>
    </row>
    <row r="183" spans="1:7" ht="15" customHeight="1" x14ac:dyDescent="0.3">
      <c r="A183" s="16">
        <v>175</v>
      </c>
      <c r="B183" s="10" t="s">
        <v>279</v>
      </c>
      <c r="C183" s="10" t="s">
        <v>263</v>
      </c>
      <c r="D183" s="10" t="s">
        <v>281</v>
      </c>
      <c r="E183" s="24">
        <v>20.5</v>
      </c>
      <c r="F183" s="25">
        <v>115</v>
      </c>
      <c r="G183" s="10" t="s">
        <v>33</v>
      </c>
    </row>
    <row r="184" spans="1:7" ht="15" customHeight="1" x14ac:dyDescent="0.3">
      <c r="A184" s="16">
        <v>176</v>
      </c>
      <c r="B184" s="10" t="s">
        <v>279</v>
      </c>
      <c r="C184" s="10" t="s">
        <v>243</v>
      </c>
      <c r="D184" s="10" t="s">
        <v>280</v>
      </c>
      <c r="E184" s="24">
        <v>47.5</v>
      </c>
      <c r="F184" s="25">
        <v>-125</v>
      </c>
      <c r="G184" s="10" t="s">
        <v>33</v>
      </c>
    </row>
    <row r="185" spans="1:7" ht="15" customHeight="1" x14ac:dyDescent="0.3">
      <c r="A185" s="16">
        <v>177</v>
      </c>
      <c r="B185" s="10" t="s">
        <v>279</v>
      </c>
      <c r="C185" s="10" t="s">
        <v>243</v>
      </c>
      <c r="D185" s="10" t="s">
        <v>281</v>
      </c>
      <c r="E185" s="24">
        <v>47.5</v>
      </c>
      <c r="F185" s="25">
        <v>105</v>
      </c>
      <c r="G185" s="10" t="s">
        <v>33</v>
      </c>
    </row>
    <row r="186" spans="1:7" ht="15" customHeight="1" x14ac:dyDescent="0.3">
      <c r="A186" s="26">
        <v>178</v>
      </c>
      <c r="B186" s="27" t="s">
        <v>279</v>
      </c>
      <c r="C186" s="27" t="s">
        <v>245</v>
      </c>
      <c r="D186" s="27" t="s">
        <v>280</v>
      </c>
      <c r="E186" s="28">
        <v>49.5</v>
      </c>
      <c r="F186" s="29">
        <v>120</v>
      </c>
      <c r="G186" s="27" t="s">
        <v>282</v>
      </c>
    </row>
    <row r="187" spans="1:7" ht="15" customHeight="1" x14ac:dyDescent="0.3">
      <c r="A187" s="16">
        <v>179</v>
      </c>
      <c r="B187" s="10" t="s">
        <v>279</v>
      </c>
      <c r="C187" s="10" t="s">
        <v>245</v>
      </c>
      <c r="D187" s="10" t="s">
        <v>281</v>
      </c>
      <c r="E187" s="24">
        <v>49.5</v>
      </c>
      <c r="F187" s="25">
        <v>-140</v>
      </c>
      <c r="G187" s="10" t="s">
        <v>33</v>
      </c>
    </row>
    <row r="188" spans="1:7" ht="15" customHeight="1" x14ac:dyDescent="0.3">
      <c r="A188" s="16">
        <v>180</v>
      </c>
      <c r="B188" s="10" t="s">
        <v>284</v>
      </c>
      <c r="C188" s="10" t="s">
        <v>239</v>
      </c>
      <c r="D188" s="10" t="s">
        <v>238</v>
      </c>
      <c r="E188" s="24" t="s">
        <v>33</v>
      </c>
      <c r="F188" s="25">
        <v>-875</v>
      </c>
      <c r="G188" s="10" t="s">
        <v>33</v>
      </c>
    </row>
    <row r="189" spans="1:7" ht="15" customHeight="1" x14ac:dyDescent="0.3">
      <c r="A189" s="16">
        <v>181</v>
      </c>
      <c r="B189" s="10" t="s">
        <v>284</v>
      </c>
      <c r="C189" s="10" t="s">
        <v>239</v>
      </c>
      <c r="D189" s="10" t="s">
        <v>285</v>
      </c>
      <c r="E189" s="24" t="s">
        <v>33</v>
      </c>
      <c r="F189" s="25">
        <v>475</v>
      </c>
      <c r="G189" s="10" t="s">
        <v>33</v>
      </c>
    </row>
    <row r="190" spans="1:7" ht="15" customHeight="1" x14ac:dyDescent="0.3">
      <c r="A190" s="16">
        <v>182</v>
      </c>
      <c r="B190" s="10" t="s">
        <v>284</v>
      </c>
      <c r="C190" s="10" t="s">
        <v>246</v>
      </c>
      <c r="D190" s="10" t="s">
        <v>238</v>
      </c>
      <c r="E190" s="24" t="s">
        <v>33</v>
      </c>
      <c r="F190" s="25">
        <v>-550</v>
      </c>
      <c r="G190" s="10" t="s">
        <v>33</v>
      </c>
    </row>
    <row r="191" spans="1:7" ht="15" customHeight="1" x14ac:dyDescent="0.3">
      <c r="A191" s="16">
        <v>183</v>
      </c>
      <c r="B191" s="10" t="s">
        <v>284</v>
      </c>
      <c r="C191" s="10" t="s">
        <v>246</v>
      </c>
      <c r="D191" s="10" t="s">
        <v>285</v>
      </c>
      <c r="E191" s="24" t="s">
        <v>33</v>
      </c>
      <c r="F191" s="25">
        <v>375</v>
      </c>
      <c r="G191" s="10" t="s">
        <v>33</v>
      </c>
    </row>
    <row r="192" spans="1:7" ht="15" customHeight="1" x14ac:dyDescent="0.3">
      <c r="A192" s="16">
        <v>184</v>
      </c>
      <c r="B192" s="10" t="s">
        <v>284</v>
      </c>
      <c r="C192" s="10" t="s">
        <v>257</v>
      </c>
      <c r="D192" s="10" t="s">
        <v>238</v>
      </c>
      <c r="E192" s="24" t="s">
        <v>33</v>
      </c>
      <c r="F192" s="25">
        <v>-1100</v>
      </c>
      <c r="G192" s="10" t="s">
        <v>33</v>
      </c>
    </row>
    <row r="193" spans="1:7" ht="15" customHeight="1" x14ac:dyDescent="0.3">
      <c r="A193" s="16">
        <v>185</v>
      </c>
      <c r="B193" s="10" t="s">
        <v>284</v>
      </c>
      <c r="C193" s="10" t="s">
        <v>257</v>
      </c>
      <c r="D193" s="10" t="s">
        <v>285</v>
      </c>
      <c r="E193" s="24" t="s">
        <v>33</v>
      </c>
      <c r="F193" s="25">
        <v>650</v>
      </c>
      <c r="G193" s="10" t="s">
        <v>33</v>
      </c>
    </row>
    <row r="194" spans="1:7" ht="15" customHeight="1" x14ac:dyDescent="0.3">
      <c r="A194" s="16">
        <v>186</v>
      </c>
      <c r="B194" s="10" t="s">
        <v>284</v>
      </c>
      <c r="C194" s="10" t="s">
        <v>260</v>
      </c>
      <c r="D194" s="10" t="s">
        <v>238</v>
      </c>
      <c r="E194" s="24" t="s">
        <v>33</v>
      </c>
      <c r="F194" s="25">
        <v>-900</v>
      </c>
      <c r="G194" s="10" t="s">
        <v>33</v>
      </c>
    </row>
    <row r="195" spans="1:7" ht="15" customHeight="1" x14ac:dyDescent="0.3">
      <c r="A195" s="16">
        <v>187</v>
      </c>
      <c r="B195" s="10" t="s">
        <v>284</v>
      </c>
      <c r="C195" s="10" t="s">
        <v>260</v>
      </c>
      <c r="D195" s="10" t="s">
        <v>285</v>
      </c>
      <c r="E195" s="24" t="s">
        <v>33</v>
      </c>
      <c r="F195" s="25">
        <v>500</v>
      </c>
      <c r="G195" s="10" t="s">
        <v>33</v>
      </c>
    </row>
    <row r="196" spans="1:7" ht="15" customHeight="1" x14ac:dyDescent="0.3">
      <c r="A196" s="16">
        <v>188</v>
      </c>
      <c r="B196" s="10" t="s">
        <v>284</v>
      </c>
      <c r="C196" s="10" t="s">
        <v>258</v>
      </c>
      <c r="D196" s="10" t="s">
        <v>238</v>
      </c>
      <c r="E196" s="24" t="s">
        <v>33</v>
      </c>
      <c r="F196" s="25">
        <v>-10000</v>
      </c>
      <c r="G196" s="10" t="s">
        <v>33</v>
      </c>
    </row>
    <row r="197" spans="1:7" ht="15" customHeight="1" x14ac:dyDescent="0.3">
      <c r="A197" s="16">
        <v>189</v>
      </c>
      <c r="B197" s="10" t="s">
        <v>284</v>
      </c>
      <c r="C197" s="10" t="s">
        <v>258</v>
      </c>
      <c r="D197" s="10" t="s">
        <v>285</v>
      </c>
      <c r="E197" s="24" t="s">
        <v>33</v>
      </c>
      <c r="F197" s="25">
        <v>2350</v>
      </c>
      <c r="G197" s="10" t="s">
        <v>33</v>
      </c>
    </row>
    <row r="198" spans="1:7" ht="15" customHeight="1" x14ac:dyDescent="0.3">
      <c r="A198" s="16">
        <v>190</v>
      </c>
      <c r="B198" s="10" t="s">
        <v>284</v>
      </c>
      <c r="C198" s="10" t="s">
        <v>264</v>
      </c>
      <c r="D198" s="10" t="s">
        <v>238</v>
      </c>
      <c r="E198" s="24" t="s">
        <v>33</v>
      </c>
      <c r="F198" s="25">
        <v>-10000</v>
      </c>
      <c r="G198" s="10" t="s">
        <v>33</v>
      </c>
    </row>
    <row r="199" spans="1:7" ht="15" customHeight="1" x14ac:dyDescent="0.3">
      <c r="A199" s="16">
        <v>191</v>
      </c>
      <c r="B199" s="10" t="s">
        <v>284</v>
      </c>
      <c r="C199" s="10" t="s">
        <v>264</v>
      </c>
      <c r="D199" s="10" t="s">
        <v>285</v>
      </c>
      <c r="E199" s="24" t="s">
        <v>33</v>
      </c>
      <c r="F199" s="25">
        <v>2350</v>
      </c>
      <c r="G199" s="10" t="s">
        <v>33</v>
      </c>
    </row>
    <row r="200" spans="1:7" ht="15" customHeight="1" x14ac:dyDescent="0.3">
      <c r="A200" s="16">
        <v>192</v>
      </c>
      <c r="B200" s="10" t="s">
        <v>284</v>
      </c>
      <c r="C200" s="10" t="s">
        <v>237</v>
      </c>
      <c r="D200" s="10" t="s">
        <v>238</v>
      </c>
      <c r="E200" s="24" t="s">
        <v>33</v>
      </c>
      <c r="F200" s="25">
        <v>-145</v>
      </c>
      <c r="G200" s="10" t="s">
        <v>33</v>
      </c>
    </row>
    <row r="201" spans="1:7" ht="15" customHeight="1" x14ac:dyDescent="0.3">
      <c r="A201" s="16">
        <v>193</v>
      </c>
      <c r="B201" s="10" t="s">
        <v>284</v>
      </c>
      <c r="C201" s="10" t="s">
        <v>237</v>
      </c>
      <c r="D201" s="10" t="s">
        <v>285</v>
      </c>
      <c r="E201" s="24" t="s">
        <v>33</v>
      </c>
      <c r="F201" s="25">
        <v>115</v>
      </c>
      <c r="G201" s="10" t="s">
        <v>33</v>
      </c>
    </row>
    <row r="202" spans="1:7" ht="15" customHeight="1" x14ac:dyDescent="0.3">
      <c r="A202" s="16">
        <v>194</v>
      </c>
      <c r="B202" s="10" t="s">
        <v>284</v>
      </c>
      <c r="C202" s="10" t="s">
        <v>254</v>
      </c>
      <c r="D202" s="10" t="s">
        <v>238</v>
      </c>
      <c r="E202" s="24" t="s">
        <v>33</v>
      </c>
      <c r="F202" s="25">
        <v>1700</v>
      </c>
      <c r="G202" s="10" t="s">
        <v>33</v>
      </c>
    </row>
    <row r="203" spans="1:7" ht="15" customHeight="1" x14ac:dyDescent="0.3">
      <c r="A203" s="16">
        <v>195</v>
      </c>
      <c r="B203" s="10" t="s">
        <v>284</v>
      </c>
      <c r="C203" s="10" t="s">
        <v>254</v>
      </c>
      <c r="D203" s="10" t="s">
        <v>285</v>
      </c>
      <c r="E203" s="24" t="s">
        <v>33</v>
      </c>
      <c r="F203" s="25">
        <v>-5700</v>
      </c>
      <c r="G203" s="10" t="s">
        <v>33</v>
      </c>
    </row>
    <row r="204" spans="1:7" ht="15" customHeight="1" x14ac:dyDescent="0.3">
      <c r="A204" s="16">
        <v>196</v>
      </c>
      <c r="B204" s="10" t="s">
        <v>284</v>
      </c>
      <c r="C204" s="10" t="s">
        <v>259</v>
      </c>
      <c r="D204" s="10" t="s">
        <v>238</v>
      </c>
      <c r="E204" s="24" t="s">
        <v>33</v>
      </c>
      <c r="F204" s="25">
        <v>-135</v>
      </c>
      <c r="G204" s="10" t="s">
        <v>33</v>
      </c>
    </row>
    <row r="205" spans="1:7" ht="15" customHeight="1" x14ac:dyDescent="0.3">
      <c r="A205" s="16">
        <v>197</v>
      </c>
      <c r="B205" s="10" t="s">
        <v>284</v>
      </c>
      <c r="C205" s="10" t="s">
        <v>259</v>
      </c>
      <c r="D205" s="10" t="s">
        <v>285</v>
      </c>
      <c r="E205" s="24" t="s">
        <v>33</v>
      </c>
      <c r="F205" s="25">
        <v>105</v>
      </c>
      <c r="G205" s="10" t="s">
        <v>33</v>
      </c>
    </row>
    <row r="206" spans="1:7" ht="15" customHeight="1" x14ac:dyDescent="0.3">
      <c r="A206" s="16">
        <v>198</v>
      </c>
      <c r="B206" s="10" t="s">
        <v>284</v>
      </c>
      <c r="C206" s="10" t="s">
        <v>267</v>
      </c>
      <c r="D206" s="10" t="s">
        <v>238</v>
      </c>
      <c r="E206" s="24" t="s">
        <v>33</v>
      </c>
      <c r="F206" s="25">
        <v>260</v>
      </c>
      <c r="G206" s="10" t="s">
        <v>33</v>
      </c>
    </row>
    <row r="207" spans="1:7" ht="15" customHeight="1" x14ac:dyDescent="0.3">
      <c r="A207" s="16">
        <v>199</v>
      </c>
      <c r="B207" s="10" t="s">
        <v>284</v>
      </c>
      <c r="C207" s="10" t="s">
        <v>267</v>
      </c>
      <c r="D207" s="10" t="s">
        <v>285</v>
      </c>
      <c r="E207" s="24" t="s">
        <v>33</v>
      </c>
      <c r="F207" s="25">
        <v>-340</v>
      </c>
      <c r="G207" s="10" t="s">
        <v>33</v>
      </c>
    </row>
    <row r="208" spans="1:7" ht="15" customHeight="1" x14ac:dyDescent="0.3">
      <c r="A208" s="16">
        <v>200</v>
      </c>
      <c r="B208" s="10" t="s">
        <v>284</v>
      </c>
      <c r="C208" s="10" t="s">
        <v>240</v>
      </c>
      <c r="D208" s="10" t="s">
        <v>238</v>
      </c>
      <c r="E208" s="24" t="s">
        <v>33</v>
      </c>
      <c r="F208" s="25">
        <v>1600</v>
      </c>
      <c r="G208" s="10" t="s">
        <v>33</v>
      </c>
    </row>
    <row r="209" spans="1:7" ht="15" customHeight="1" x14ac:dyDescent="0.3">
      <c r="A209" s="16">
        <v>201</v>
      </c>
      <c r="B209" s="10" t="s">
        <v>284</v>
      </c>
      <c r="C209" s="10" t="s">
        <v>240</v>
      </c>
      <c r="D209" s="10" t="s">
        <v>285</v>
      </c>
      <c r="E209" s="24" t="s">
        <v>33</v>
      </c>
      <c r="F209" s="25">
        <v>-5600</v>
      </c>
      <c r="G209" s="10" t="s">
        <v>33</v>
      </c>
    </row>
    <row r="210" spans="1:7" ht="15" customHeight="1" x14ac:dyDescent="0.3">
      <c r="A210" s="16">
        <v>202</v>
      </c>
      <c r="B210" s="10" t="s">
        <v>284</v>
      </c>
      <c r="C210" s="10" t="s">
        <v>241</v>
      </c>
      <c r="D210" s="10" t="s">
        <v>238</v>
      </c>
      <c r="E210" s="24" t="s">
        <v>33</v>
      </c>
      <c r="F210" s="25">
        <v>160</v>
      </c>
      <c r="G210" s="10" t="s">
        <v>33</v>
      </c>
    </row>
    <row r="211" spans="1:7" ht="15" customHeight="1" x14ac:dyDescent="0.3">
      <c r="A211" s="16">
        <v>203</v>
      </c>
      <c r="B211" s="10" t="s">
        <v>284</v>
      </c>
      <c r="C211" s="10" t="s">
        <v>241</v>
      </c>
      <c r="D211" s="10" t="s">
        <v>285</v>
      </c>
      <c r="E211" s="24" t="s">
        <v>33</v>
      </c>
      <c r="F211" s="25">
        <v>-200</v>
      </c>
      <c r="G211" s="10" t="s">
        <v>33</v>
      </c>
    </row>
    <row r="212" spans="1:7" ht="15" customHeight="1" x14ac:dyDescent="0.3">
      <c r="A212" s="16">
        <v>204</v>
      </c>
      <c r="B212" s="10" t="s">
        <v>284</v>
      </c>
      <c r="C212" s="10" t="s">
        <v>242</v>
      </c>
      <c r="D212" s="10" t="s">
        <v>238</v>
      </c>
      <c r="E212" s="24" t="s">
        <v>33</v>
      </c>
      <c r="F212" s="25">
        <v>1150</v>
      </c>
      <c r="G212" s="10" t="s">
        <v>33</v>
      </c>
    </row>
    <row r="213" spans="1:7" ht="15" customHeight="1" x14ac:dyDescent="0.3">
      <c r="A213" s="16">
        <v>205</v>
      </c>
      <c r="B213" s="10" t="s">
        <v>284</v>
      </c>
      <c r="C213" s="10" t="s">
        <v>242</v>
      </c>
      <c r="D213" s="10" t="s">
        <v>285</v>
      </c>
      <c r="E213" s="24" t="s">
        <v>33</v>
      </c>
      <c r="F213" s="25">
        <v>-2150</v>
      </c>
      <c r="G213" s="10" t="s">
        <v>33</v>
      </c>
    </row>
    <row r="214" spans="1:7" ht="15" customHeight="1" x14ac:dyDescent="0.3">
      <c r="A214" s="16">
        <v>206</v>
      </c>
      <c r="B214" s="10" t="s">
        <v>284</v>
      </c>
      <c r="C214" s="10" t="s">
        <v>253</v>
      </c>
      <c r="D214" s="10" t="s">
        <v>238</v>
      </c>
      <c r="E214" s="24" t="s">
        <v>33</v>
      </c>
      <c r="F214" s="25">
        <v>-300</v>
      </c>
      <c r="G214" s="10" t="s">
        <v>33</v>
      </c>
    </row>
    <row r="215" spans="1:7" ht="15" customHeight="1" x14ac:dyDescent="0.3">
      <c r="A215" s="16">
        <v>207</v>
      </c>
      <c r="B215" s="10" t="s">
        <v>284</v>
      </c>
      <c r="C215" s="10" t="s">
        <v>253</v>
      </c>
      <c r="D215" s="10" t="s">
        <v>285</v>
      </c>
      <c r="E215" s="24" t="s">
        <v>33</v>
      </c>
      <c r="F215" s="25">
        <v>235</v>
      </c>
      <c r="G215" s="10" t="s">
        <v>33</v>
      </c>
    </row>
    <row r="216" spans="1:7" ht="15" customHeight="1" x14ac:dyDescent="0.3">
      <c r="A216" s="16">
        <v>208</v>
      </c>
      <c r="B216" s="10" t="s">
        <v>284</v>
      </c>
      <c r="C216" s="10" t="s">
        <v>255</v>
      </c>
      <c r="D216" s="10" t="s">
        <v>238</v>
      </c>
      <c r="E216" s="24" t="s">
        <v>33</v>
      </c>
      <c r="F216" s="25">
        <v>-950</v>
      </c>
      <c r="G216" s="10" t="s">
        <v>33</v>
      </c>
    </row>
    <row r="217" spans="1:7" ht="15" customHeight="1" x14ac:dyDescent="0.3">
      <c r="A217" s="16">
        <v>209</v>
      </c>
      <c r="B217" s="10" t="s">
        <v>284</v>
      </c>
      <c r="C217" s="10" t="s">
        <v>255</v>
      </c>
      <c r="D217" s="10" t="s">
        <v>285</v>
      </c>
      <c r="E217" s="24" t="s">
        <v>33</v>
      </c>
      <c r="F217" s="25">
        <v>550</v>
      </c>
      <c r="G217" s="10" t="s">
        <v>33</v>
      </c>
    </row>
    <row r="218" spans="1:7" ht="15" customHeight="1" x14ac:dyDescent="0.3">
      <c r="A218" s="16">
        <v>210</v>
      </c>
      <c r="B218" s="10" t="s">
        <v>284</v>
      </c>
      <c r="C218" s="10" t="s">
        <v>249</v>
      </c>
      <c r="D218" s="10" t="s">
        <v>238</v>
      </c>
      <c r="E218" s="24" t="s">
        <v>33</v>
      </c>
      <c r="F218" s="25">
        <v>-220</v>
      </c>
      <c r="G218" s="10" t="s">
        <v>33</v>
      </c>
    </row>
    <row r="219" spans="1:7" ht="15" customHeight="1" x14ac:dyDescent="0.3">
      <c r="A219" s="16">
        <v>211</v>
      </c>
      <c r="B219" s="10" t="s">
        <v>284</v>
      </c>
      <c r="C219" s="10" t="s">
        <v>249</v>
      </c>
      <c r="D219" s="10" t="s">
        <v>285</v>
      </c>
      <c r="E219" s="24" t="s">
        <v>33</v>
      </c>
      <c r="F219" s="25">
        <v>180</v>
      </c>
      <c r="G219" s="10" t="s">
        <v>33</v>
      </c>
    </row>
    <row r="220" spans="1:7" ht="15" customHeight="1" x14ac:dyDescent="0.3">
      <c r="A220" s="16">
        <v>212</v>
      </c>
      <c r="B220" s="10" t="s">
        <v>284</v>
      </c>
      <c r="C220" s="10" t="s">
        <v>252</v>
      </c>
      <c r="D220" s="10" t="s">
        <v>238</v>
      </c>
      <c r="E220" s="24" t="s">
        <v>33</v>
      </c>
      <c r="F220" s="25">
        <v>500</v>
      </c>
      <c r="G220" s="10" t="s">
        <v>33</v>
      </c>
    </row>
    <row r="221" spans="1:7" ht="15" customHeight="1" x14ac:dyDescent="0.3">
      <c r="A221" s="16">
        <v>213</v>
      </c>
      <c r="B221" s="10" t="s">
        <v>284</v>
      </c>
      <c r="C221" s="10" t="s">
        <v>252</v>
      </c>
      <c r="D221" s="10" t="s">
        <v>285</v>
      </c>
      <c r="E221" s="24" t="s">
        <v>33</v>
      </c>
      <c r="F221" s="25">
        <v>-900</v>
      </c>
      <c r="G221" s="10" t="s">
        <v>33</v>
      </c>
    </row>
    <row r="222" spans="1:7" ht="15" customHeight="1" x14ac:dyDescent="0.3">
      <c r="A222" s="16">
        <v>214</v>
      </c>
      <c r="B222" s="10" t="s">
        <v>284</v>
      </c>
      <c r="C222" s="10" t="s">
        <v>256</v>
      </c>
      <c r="D222" s="10" t="s">
        <v>238</v>
      </c>
      <c r="E222" s="24" t="s">
        <v>33</v>
      </c>
      <c r="F222" s="25">
        <v>550</v>
      </c>
      <c r="G222" s="10" t="s">
        <v>33</v>
      </c>
    </row>
    <row r="223" spans="1:7" ht="15" customHeight="1" x14ac:dyDescent="0.3">
      <c r="A223" s="16">
        <v>215</v>
      </c>
      <c r="B223" s="10" t="s">
        <v>284</v>
      </c>
      <c r="C223" s="10" t="s">
        <v>256</v>
      </c>
      <c r="D223" s="10" t="s">
        <v>285</v>
      </c>
      <c r="E223" s="24" t="s">
        <v>33</v>
      </c>
      <c r="F223" s="25">
        <v>-950</v>
      </c>
      <c r="G223" s="10" t="s">
        <v>33</v>
      </c>
    </row>
    <row r="224" spans="1:7" ht="15" customHeight="1" x14ac:dyDescent="0.3">
      <c r="A224" s="16">
        <v>216</v>
      </c>
      <c r="B224" s="10" t="s">
        <v>284</v>
      </c>
      <c r="C224" s="10" t="s">
        <v>266</v>
      </c>
      <c r="D224" s="10" t="s">
        <v>238</v>
      </c>
      <c r="E224" s="24" t="s">
        <v>33</v>
      </c>
      <c r="F224" s="25">
        <v>135</v>
      </c>
      <c r="G224" s="10" t="s">
        <v>33</v>
      </c>
    </row>
    <row r="225" spans="1:7" ht="15" customHeight="1" x14ac:dyDescent="0.3">
      <c r="A225" s="16">
        <v>217</v>
      </c>
      <c r="B225" s="10" t="s">
        <v>284</v>
      </c>
      <c r="C225" s="10" t="s">
        <v>266</v>
      </c>
      <c r="D225" s="10" t="s">
        <v>285</v>
      </c>
      <c r="E225" s="24" t="s">
        <v>33</v>
      </c>
      <c r="F225" s="25">
        <v>-165</v>
      </c>
      <c r="G225" s="10" t="s">
        <v>33</v>
      </c>
    </row>
    <row r="226" spans="1:7" ht="15" customHeight="1" x14ac:dyDescent="0.3">
      <c r="A226" s="16">
        <v>218</v>
      </c>
      <c r="B226" s="10" t="s">
        <v>284</v>
      </c>
      <c r="C226" s="10" t="s">
        <v>244</v>
      </c>
      <c r="D226" s="10" t="s">
        <v>238</v>
      </c>
      <c r="E226" s="24" t="s">
        <v>33</v>
      </c>
      <c r="F226" s="25">
        <v>225</v>
      </c>
      <c r="G226" s="10" t="s">
        <v>33</v>
      </c>
    </row>
    <row r="227" spans="1:7" ht="15" customHeight="1" x14ac:dyDescent="0.3">
      <c r="A227" s="16">
        <v>219</v>
      </c>
      <c r="B227" s="10" t="s">
        <v>284</v>
      </c>
      <c r="C227" s="10" t="s">
        <v>244</v>
      </c>
      <c r="D227" s="10" t="s">
        <v>285</v>
      </c>
      <c r="E227" s="24" t="s">
        <v>33</v>
      </c>
      <c r="F227" s="25">
        <v>-280</v>
      </c>
      <c r="G227" s="10" t="s">
        <v>33</v>
      </c>
    </row>
    <row r="228" spans="1:7" ht="15" customHeight="1" x14ac:dyDescent="0.3">
      <c r="A228" s="16">
        <v>220</v>
      </c>
      <c r="B228" s="10" t="s">
        <v>284</v>
      </c>
      <c r="C228" s="10" t="s">
        <v>248</v>
      </c>
      <c r="D228" s="10" t="s">
        <v>238</v>
      </c>
      <c r="E228" s="24" t="s">
        <v>33</v>
      </c>
      <c r="F228" s="25">
        <v>-550</v>
      </c>
      <c r="G228" s="10" t="s">
        <v>33</v>
      </c>
    </row>
    <row r="229" spans="1:7" ht="15" customHeight="1" x14ac:dyDescent="0.3">
      <c r="A229" s="16">
        <v>221</v>
      </c>
      <c r="B229" s="10" t="s">
        <v>284</v>
      </c>
      <c r="C229" s="10" t="s">
        <v>248</v>
      </c>
      <c r="D229" s="10" t="s">
        <v>285</v>
      </c>
      <c r="E229" s="24" t="s">
        <v>33</v>
      </c>
      <c r="F229" s="25">
        <v>375</v>
      </c>
      <c r="G229" s="10" t="s">
        <v>33</v>
      </c>
    </row>
    <row r="230" spans="1:7" ht="15" customHeight="1" x14ac:dyDescent="0.3">
      <c r="A230" s="16">
        <v>222</v>
      </c>
      <c r="B230" s="10" t="s">
        <v>284</v>
      </c>
      <c r="C230" s="10" t="s">
        <v>251</v>
      </c>
      <c r="D230" s="10" t="s">
        <v>238</v>
      </c>
      <c r="E230" s="24" t="s">
        <v>33</v>
      </c>
      <c r="F230" s="25">
        <v>-400</v>
      </c>
      <c r="G230" s="10" t="s">
        <v>33</v>
      </c>
    </row>
    <row r="231" spans="1:7" ht="15" customHeight="1" x14ac:dyDescent="0.3">
      <c r="A231" s="16">
        <v>223</v>
      </c>
      <c r="B231" s="10" t="s">
        <v>284</v>
      </c>
      <c r="C231" s="10" t="s">
        <v>251</v>
      </c>
      <c r="D231" s="10" t="s">
        <v>285</v>
      </c>
      <c r="E231" s="24" t="s">
        <v>33</v>
      </c>
      <c r="F231" s="25">
        <v>300</v>
      </c>
      <c r="G231" s="10" t="s">
        <v>33</v>
      </c>
    </row>
    <row r="232" spans="1:7" ht="15" customHeight="1" x14ac:dyDescent="0.3">
      <c r="A232" s="16">
        <v>224</v>
      </c>
      <c r="B232" s="10" t="s">
        <v>284</v>
      </c>
      <c r="C232" s="10" t="s">
        <v>261</v>
      </c>
      <c r="D232" s="10" t="s">
        <v>238</v>
      </c>
      <c r="E232" s="24" t="s">
        <v>33</v>
      </c>
      <c r="F232" s="25">
        <v>-115</v>
      </c>
      <c r="G232" s="10" t="s">
        <v>33</v>
      </c>
    </row>
    <row r="233" spans="1:7" ht="15" customHeight="1" x14ac:dyDescent="0.3">
      <c r="A233" s="16">
        <v>225</v>
      </c>
      <c r="B233" s="10" t="s">
        <v>284</v>
      </c>
      <c r="C233" s="10" t="s">
        <v>261</v>
      </c>
      <c r="D233" s="10" t="s">
        <v>285</v>
      </c>
      <c r="E233" s="24" t="s">
        <v>33</v>
      </c>
      <c r="F233" s="25">
        <v>-115</v>
      </c>
      <c r="G233" s="10" t="s">
        <v>33</v>
      </c>
    </row>
    <row r="234" spans="1:7" ht="15" customHeight="1" x14ac:dyDescent="0.3">
      <c r="A234" s="16">
        <v>226</v>
      </c>
      <c r="B234" s="10" t="s">
        <v>284</v>
      </c>
      <c r="C234" s="10" t="s">
        <v>262</v>
      </c>
      <c r="D234" s="10" t="s">
        <v>238</v>
      </c>
      <c r="E234" s="24" t="s">
        <v>33</v>
      </c>
      <c r="F234" s="25">
        <v>-170</v>
      </c>
      <c r="G234" s="10" t="s">
        <v>33</v>
      </c>
    </row>
    <row r="235" spans="1:7" ht="15" customHeight="1" x14ac:dyDescent="0.3">
      <c r="A235" s="16">
        <v>227</v>
      </c>
      <c r="B235" s="10" t="s">
        <v>284</v>
      </c>
      <c r="C235" s="10" t="s">
        <v>262</v>
      </c>
      <c r="D235" s="10" t="s">
        <v>285</v>
      </c>
      <c r="E235" s="24" t="s">
        <v>33</v>
      </c>
      <c r="F235" s="25">
        <v>140</v>
      </c>
      <c r="G235" s="10" t="s">
        <v>33</v>
      </c>
    </row>
    <row r="236" spans="1:7" ht="15" customHeight="1" x14ac:dyDescent="0.3">
      <c r="A236" s="16">
        <v>228</v>
      </c>
      <c r="B236" s="10" t="s">
        <v>284</v>
      </c>
      <c r="C236" s="10" t="s">
        <v>263</v>
      </c>
      <c r="D236" s="10" t="s">
        <v>238</v>
      </c>
      <c r="E236" s="24" t="s">
        <v>33</v>
      </c>
      <c r="F236" s="25">
        <v>2350</v>
      </c>
      <c r="G236" s="10" t="s">
        <v>33</v>
      </c>
    </row>
    <row r="237" spans="1:7" ht="15" customHeight="1" x14ac:dyDescent="0.3">
      <c r="A237" s="16">
        <v>229</v>
      </c>
      <c r="B237" s="10" t="s">
        <v>284</v>
      </c>
      <c r="C237" s="10" t="s">
        <v>263</v>
      </c>
      <c r="D237" s="10" t="s">
        <v>285</v>
      </c>
      <c r="E237" s="24" t="s">
        <v>33</v>
      </c>
      <c r="F237" s="25">
        <v>-10000</v>
      </c>
      <c r="G237" s="10" t="s">
        <v>33</v>
      </c>
    </row>
    <row r="238" spans="1:7" ht="15" customHeight="1" x14ac:dyDescent="0.3">
      <c r="A238" s="16">
        <v>230</v>
      </c>
      <c r="B238" s="10" t="s">
        <v>284</v>
      </c>
      <c r="C238" s="10" t="s">
        <v>243</v>
      </c>
      <c r="D238" s="10" t="s">
        <v>238</v>
      </c>
      <c r="E238" s="24" t="s">
        <v>33</v>
      </c>
      <c r="F238" s="25">
        <v>-550</v>
      </c>
      <c r="G238" s="10" t="s">
        <v>33</v>
      </c>
    </row>
    <row r="239" spans="1:7" ht="15" customHeight="1" x14ac:dyDescent="0.3">
      <c r="A239" s="16">
        <v>231</v>
      </c>
      <c r="B239" s="10" t="s">
        <v>284</v>
      </c>
      <c r="C239" s="10" t="s">
        <v>243</v>
      </c>
      <c r="D239" s="10" t="s">
        <v>285</v>
      </c>
      <c r="E239" s="24" t="s">
        <v>33</v>
      </c>
      <c r="F239" s="25">
        <v>375</v>
      </c>
      <c r="G239" s="10" t="s">
        <v>33</v>
      </c>
    </row>
    <row r="240" spans="1:7" ht="15" customHeight="1" x14ac:dyDescent="0.3">
      <c r="A240" s="16">
        <v>232</v>
      </c>
      <c r="B240" s="10" t="s">
        <v>284</v>
      </c>
      <c r="C240" s="10" t="s">
        <v>245</v>
      </c>
      <c r="D240" s="10" t="s">
        <v>238</v>
      </c>
      <c r="E240" s="24" t="s">
        <v>33</v>
      </c>
      <c r="F240" s="25">
        <v>-875</v>
      </c>
      <c r="G240" s="10" t="s">
        <v>33</v>
      </c>
    </row>
    <row r="241" spans="1:7" ht="15" customHeight="1" x14ac:dyDescent="0.3">
      <c r="A241" s="16">
        <v>233</v>
      </c>
      <c r="B241" s="10" t="s">
        <v>284</v>
      </c>
      <c r="C241" s="10" t="s">
        <v>245</v>
      </c>
      <c r="D241" s="10" t="s">
        <v>285</v>
      </c>
      <c r="E241" s="24" t="s">
        <v>33</v>
      </c>
      <c r="F241" s="25">
        <v>475</v>
      </c>
      <c r="G241" s="10" t="s">
        <v>33</v>
      </c>
    </row>
    <row r="242" spans="1:7" ht="15" customHeight="1" x14ac:dyDescent="0.3">
      <c r="A242" s="16">
        <v>234</v>
      </c>
      <c r="B242" s="10" t="s">
        <v>286</v>
      </c>
      <c r="C242" s="10" t="s">
        <v>258</v>
      </c>
      <c r="D242" s="10" t="s">
        <v>238</v>
      </c>
      <c r="E242" s="24" t="s">
        <v>33</v>
      </c>
      <c r="F242" s="25">
        <v>275</v>
      </c>
      <c r="G242" s="10" t="s">
        <v>33</v>
      </c>
    </row>
    <row r="243" spans="1:7" ht="15" customHeight="1" x14ac:dyDescent="0.3">
      <c r="A243" s="16">
        <v>235</v>
      </c>
      <c r="B243" s="10" t="s">
        <v>286</v>
      </c>
      <c r="C243" s="10" t="s">
        <v>264</v>
      </c>
      <c r="D243" s="10" t="s">
        <v>238</v>
      </c>
      <c r="E243" s="24" t="s">
        <v>33</v>
      </c>
      <c r="F243" s="25">
        <v>425</v>
      </c>
      <c r="G243" s="10" t="s">
        <v>33</v>
      </c>
    </row>
    <row r="244" spans="1:7" ht="15" customHeight="1" x14ac:dyDescent="0.3">
      <c r="A244" s="16">
        <v>236</v>
      </c>
      <c r="B244" s="10" t="s">
        <v>286</v>
      </c>
      <c r="C244" s="10" t="s">
        <v>239</v>
      </c>
      <c r="D244" s="10" t="s">
        <v>238</v>
      </c>
      <c r="E244" s="24" t="s">
        <v>33</v>
      </c>
      <c r="F244" s="25">
        <v>1000</v>
      </c>
      <c r="G244" s="10" t="s">
        <v>33</v>
      </c>
    </row>
    <row r="245" spans="1:7" ht="15" customHeight="1" x14ac:dyDescent="0.3">
      <c r="A245" s="16">
        <v>237</v>
      </c>
      <c r="B245" s="10" t="s">
        <v>286</v>
      </c>
      <c r="C245" s="10" t="s">
        <v>260</v>
      </c>
      <c r="D245" s="10" t="s">
        <v>238</v>
      </c>
      <c r="E245" s="24" t="s">
        <v>33</v>
      </c>
      <c r="F245" s="25">
        <v>1200</v>
      </c>
      <c r="G245" s="10" t="s">
        <v>33</v>
      </c>
    </row>
    <row r="246" spans="1:7" ht="15" customHeight="1" x14ac:dyDescent="0.3">
      <c r="A246" s="16">
        <v>238</v>
      </c>
      <c r="B246" s="10" t="s">
        <v>286</v>
      </c>
      <c r="C246" s="10" t="s">
        <v>246</v>
      </c>
      <c r="D246" s="10" t="s">
        <v>238</v>
      </c>
      <c r="E246" s="24" t="s">
        <v>33</v>
      </c>
      <c r="F246" s="25">
        <v>1300</v>
      </c>
      <c r="G246" s="10" t="s">
        <v>33</v>
      </c>
    </row>
    <row r="247" spans="1:7" ht="15" customHeight="1" x14ac:dyDescent="0.3">
      <c r="A247" s="16">
        <v>239</v>
      </c>
      <c r="B247" s="10" t="s">
        <v>286</v>
      </c>
      <c r="C247" s="10" t="s">
        <v>257</v>
      </c>
      <c r="D247" s="10" t="s">
        <v>238</v>
      </c>
      <c r="E247" s="24" t="s">
        <v>33</v>
      </c>
      <c r="F247" s="25">
        <v>1200</v>
      </c>
      <c r="G247" s="10" t="s">
        <v>33</v>
      </c>
    </row>
    <row r="248" spans="1:7" ht="15" customHeight="1" x14ac:dyDescent="0.3">
      <c r="A248" s="16">
        <v>240</v>
      </c>
      <c r="B248" s="10" t="s">
        <v>286</v>
      </c>
      <c r="C248" s="10" t="s">
        <v>245</v>
      </c>
      <c r="D248" s="10" t="s">
        <v>238</v>
      </c>
      <c r="E248" s="24" t="s">
        <v>33</v>
      </c>
      <c r="F248" s="25">
        <v>1600</v>
      </c>
      <c r="G248" s="10" t="s">
        <v>33</v>
      </c>
    </row>
    <row r="249" spans="1:7" ht="15" customHeight="1" x14ac:dyDescent="0.3">
      <c r="A249" s="16">
        <v>241</v>
      </c>
      <c r="B249" s="10" t="s">
        <v>286</v>
      </c>
      <c r="C249" s="10" t="s">
        <v>265</v>
      </c>
      <c r="D249" s="10" t="s">
        <v>238</v>
      </c>
      <c r="E249" s="24" t="s">
        <v>33</v>
      </c>
      <c r="F249" s="25">
        <v>1800</v>
      </c>
      <c r="G249" s="10" t="s">
        <v>33</v>
      </c>
    </row>
    <row r="250" spans="1:7" ht="15" customHeight="1" x14ac:dyDescent="0.3">
      <c r="A250" s="16">
        <v>242</v>
      </c>
      <c r="B250" s="10" t="s">
        <v>286</v>
      </c>
      <c r="C250" s="10" t="s">
        <v>255</v>
      </c>
      <c r="D250" s="10" t="s">
        <v>238</v>
      </c>
      <c r="E250" s="24" t="s">
        <v>33</v>
      </c>
      <c r="F250" s="25">
        <v>2000</v>
      </c>
      <c r="G250" s="10" t="s">
        <v>33</v>
      </c>
    </row>
    <row r="251" spans="1:7" ht="15" customHeight="1" x14ac:dyDescent="0.3">
      <c r="A251" s="16">
        <v>243</v>
      </c>
      <c r="B251" s="10" t="s">
        <v>286</v>
      </c>
      <c r="C251" s="10" t="s">
        <v>259</v>
      </c>
      <c r="D251" s="10" t="s">
        <v>238</v>
      </c>
      <c r="E251" s="24" t="s">
        <v>33</v>
      </c>
      <c r="F251" s="25">
        <v>2500</v>
      </c>
      <c r="G251" s="10" t="s">
        <v>33</v>
      </c>
    </row>
    <row r="252" spans="1:7" ht="15" customHeight="1" x14ac:dyDescent="0.3">
      <c r="A252" s="16">
        <v>244</v>
      </c>
      <c r="B252" s="10" t="s">
        <v>286</v>
      </c>
      <c r="C252" s="10" t="s">
        <v>251</v>
      </c>
      <c r="D252" s="10" t="s">
        <v>238</v>
      </c>
      <c r="E252" s="24" t="s">
        <v>33</v>
      </c>
      <c r="F252" s="25">
        <v>2800</v>
      </c>
      <c r="G252" s="10" t="s">
        <v>33</v>
      </c>
    </row>
    <row r="253" spans="1:7" ht="15" customHeight="1" x14ac:dyDescent="0.3">
      <c r="A253" s="16">
        <v>245</v>
      </c>
      <c r="B253" s="10" t="s">
        <v>286</v>
      </c>
      <c r="C253" s="10" t="s">
        <v>248</v>
      </c>
      <c r="D253" s="10" t="s">
        <v>238</v>
      </c>
      <c r="E253" s="24" t="s">
        <v>33</v>
      </c>
      <c r="F253" s="25">
        <v>2800</v>
      </c>
      <c r="G253" s="10" t="s">
        <v>33</v>
      </c>
    </row>
    <row r="254" spans="1:7" ht="15" customHeight="1" x14ac:dyDescent="0.3">
      <c r="A254" s="16">
        <v>246</v>
      </c>
      <c r="B254" s="10" t="s">
        <v>286</v>
      </c>
      <c r="C254" s="10" t="s">
        <v>237</v>
      </c>
      <c r="D254" s="10" t="s">
        <v>238</v>
      </c>
      <c r="E254" s="24" t="s">
        <v>33</v>
      </c>
      <c r="F254" s="25">
        <v>2800</v>
      </c>
      <c r="G254" s="10" t="s">
        <v>33</v>
      </c>
    </row>
    <row r="255" spans="1:7" ht="15" customHeight="1" x14ac:dyDescent="0.3">
      <c r="A255" s="16">
        <v>247</v>
      </c>
      <c r="B255" s="10" t="s">
        <v>286</v>
      </c>
      <c r="C255" s="10" t="s">
        <v>243</v>
      </c>
      <c r="D255" s="10" t="s">
        <v>238</v>
      </c>
      <c r="E255" s="24" t="s">
        <v>33</v>
      </c>
      <c r="F255" s="25">
        <v>3000</v>
      </c>
      <c r="G255" s="10" t="s">
        <v>33</v>
      </c>
    </row>
    <row r="256" spans="1:7" ht="15" customHeight="1" x14ac:dyDescent="0.3">
      <c r="A256" s="16">
        <v>248</v>
      </c>
      <c r="B256" s="10" t="s">
        <v>286</v>
      </c>
      <c r="C256" s="10" t="s">
        <v>253</v>
      </c>
      <c r="D256" s="10" t="s">
        <v>238</v>
      </c>
      <c r="E256" s="24" t="s">
        <v>33</v>
      </c>
      <c r="F256" s="25">
        <v>3500</v>
      </c>
      <c r="G256" s="10" t="s">
        <v>33</v>
      </c>
    </row>
    <row r="257" spans="1:7" ht="15" customHeight="1" x14ac:dyDescent="0.3">
      <c r="A257" s="16">
        <v>249</v>
      </c>
      <c r="B257" s="10" t="s">
        <v>286</v>
      </c>
      <c r="C257" s="10" t="s">
        <v>249</v>
      </c>
      <c r="D257" s="10" t="s">
        <v>238</v>
      </c>
      <c r="E257" s="24" t="s">
        <v>33</v>
      </c>
      <c r="F257" s="25">
        <v>4000</v>
      </c>
      <c r="G257" s="10" t="s">
        <v>33</v>
      </c>
    </row>
    <row r="258" spans="1:7" ht="15" customHeight="1" x14ac:dyDescent="0.3">
      <c r="A258" s="16">
        <v>250</v>
      </c>
      <c r="B258" s="10" t="s">
        <v>286</v>
      </c>
      <c r="C258" s="10" t="s">
        <v>262</v>
      </c>
      <c r="D258" s="10" t="s">
        <v>238</v>
      </c>
      <c r="E258" s="24" t="s">
        <v>33</v>
      </c>
      <c r="F258" s="25">
        <v>5000</v>
      </c>
      <c r="G258" s="10" t="s">
        <v>33</v>
      </c>
    </row>
    <row r="259" spans="1:7" ht="15" customHeight="1" x14ac:dyDescent="0.3">
      <c r="A259" s="16">
        <v>251</v>
      </c>
      <c r="B259" s="10" t="s">
        <v>286</v>
      </c>
      <c r="C259" s="10" t="s">
        <v>261</v>
      </c>
      <c r="D259" s="10" t="s">
        <v>238</v>
      </c>
      <c r="E259" s="24" t="s">
        <v>33</v>
      </c>
      <c r="F259" s="25">
        <v>5000</v>
      </c>
      <c r="G259" s="10" t="s">
        <v>33</v>
      </c>
    </row>
    <row r="260" spans="1:7" ht="15" customHeight="1" x14ac:dyDescent="0.3">
      <c r="A260" s="16">
        <v>252</v>
      </c>
      <c r="B260" s="10" t="s">
        <v>286</v>
      </c>
      <c r="C260" s="10" t="s">
        <v>241</v>
      </c>
      <c r="D260" s="10" t="s">
        <v>238</v>
      </c>
      <c r="E260" s="24" t="s">
        <v>33</v>
      </c>
      <c r="F260" s="25">
        <v>5000</v>
      </c>
      <c r="G260" s="10" t="s">
        <v>33</v>
      </c>
    </row>
    <row r="261" spans="1:7" ht="15" customHeight="1" x14ac:dyDescent="0.3">
      <c r="A261" s="16">
        <v>253</v>
      </c>
      <c r="B261" s="10" t="s">
        <v>286</v>
      </c>
      <c r="C261" s="10" t="s">
        <v>267</v>
      </c>
      <c r="D261" s="10" t="s">
        <v>238</v>
      </c>
      <c r="E261" s="24" t="s">
        <v>33</v>
      </c>
      <c r="F261" s="25">
        <v>6500</v>
      </c>
      <c r="G261" s="10" t="s">
        <v>33</v>
      </c>
    </row>
    <row r="262" spans="1:7" ht="15" customHeight="1" x14ac:dyDescent="0.3">
      <c r="A262" s="16">
        <v>254</v>
      </c>
      <c r="B262" s="10" t="s">
        <v>286</v>
      </c>
      <c r="C262" s="10" t="s">
        <v>247</v>
      </c>
      <c r="D262" s="10" t="s">
        <v>238</v>
      </c>
      <c r="E262" s="24" t="s">
        <v>33</v>
      </c>
      <c r="F262" s="25">
        <v>5000</v>
      </c>
      <c r="G262" s="10" t="s">
        <v>33</v>
      </c>
    </row>
    <row r="263" spans="1:7" ht="15" customHeight="1" x14ac:dyDescent="0.3">
      <c r="A263" s="16">
        <v>255</v>
      </c>
      <c r="B263" s="10" t="s">
        <v>286</v>
      </c>
      <c r="C263" s="10" t="s">
        <v>266</v>
      </c>
      <c r="D263" s="10" t="s">
        <v>238</v>
      </c>
      <c r="E263" s="24" t="s">
        <v>33</v>
      </c>
      <c r="F263" s="25">
        <v>10000</v>
      </c>
      <c r="G263" s="10" t="s">
        <v>33</v>
      </c>
    </row>
    <row r="264" spans="1:7" ht="15" customHeight="1" x14ac:dyDescent="0.3">
      <c r="A264" s="16">
        <v>256</v>
      </c>
      <c r="B264" s="10" t="s">
        <v>286</v>
      </c>
      <c r="C264" s="10" t="s">
        <v>244</v>
      </c>
      <c r="D264" s="10" t="s">
        <v>238</v>
      </c>
      <c r="E264" s="24" t="s">
        <v>33</v>
      </c>
      <c r="F264" s="25">
        <v>12000</v>
      </c>
      <c r="G264" s="10" t="s">
        <v>33</v>
      </c>
    </row>
    <row r="265" spans="1:7" ht="15" customHeight="1" x14ac:dyDescent="0.3">
      <c r="A265" s="16">
        <v>257</v>
      </c>
      <c r="B265" s="10" t="s">
        <v>286</v>
      </c>
      <c r="C265" s="10" t="s">
        <v>250</v>
      </c>
      <c r="D265" s="10" t="s">
        <v>238</v>
      </c>
      <c r="E265" s="24" t="s">
        <v>33</v>
      </c>
      <c r="F265" s="25">
        <v>20000</v>
      </c>
      <c r="G265" s="10" t="s">
        <v>33</v>
      </c>
    </row>
    <row r="266" spans="1:7" ht="15" customHeight="1" x14ac:dyDescent="0.3">
      <c r="A266" s="16">
        <v>258</v>
      </c>
      <c r="B266" s="10" t="s">
        <v>286</v>
      </c>
      <c r="C266" s="10" t="s">
        <v>242</v>
      </c>
      <c r="D266" s="10" t="s">
        <v>238</v>
      </c>
      <c r="E266" s="24" t="s">
        <v>33</v>
      </c>
      <c r="F266" s="25">
        <v>25000</v>
      </c>
      <c r="G266" s="10" t="s">
        <v>33</v>
      </c>
    </row>
    <row r="267" spans="1:7" ht="15" customHeight="1" x14ac:dyDescent="0.3">
      <c r="A267" s="16">
        <v>259</v>
      </c>
      <c r="B267" s="10" t="s">
        <v>286</v>
      </c>
      <c r="C267" s="10" t="s">
        <v>256</v>
      </c>
      <c r="D267" s="10" t="s">
        <v>238</v>
      </c>
      <c r="E267" s="24" t="s">
        <v>33</v>
      </c>
      <c r="F267" s="25">
        <v>25000</v>
      </c>
      <c r="G267" s="10" t="s">
        <v>33</v>
      </c>
    </row>
    <row r="268" spans="1:7" ht="15" customHeight="1" x14ac:dyDescent="0.3">
      <c r="A268" s="16">
        <v>260</v>
      </c>
      <c r="B268" s="10" t="s">
        <v>286</v>
      </c>
      <c r="C268" s="10" t="s">
        <v>252</v>
      </c>
      <c r="D268" s="10" t="s">
        <v>238</v>
      </c>
      <c r="E268" s="24" t="s">
        <v>33</v>
      </c>
      <c r="F268" s="25">
        <v>25000</v>
      </c>
      <c r="G268" s="10" t="s">
        <v>33</v>
      </c>
    </row>
    <row r="269" spans="1:7" ht="15" customHeight="1" x14ac:dyDescent="0.3">
      <c r="A269" s="16">
        <v>261</v>
      </c>
      <c r="B269" s="10" t="s">
        <v>286</v>
      </c>
      <c r="C269" s="10" t="s">
        <v>263</v>
      </c>
      <c r="D269" s="10" t="s">
        <v>238</v>
      </c>
      <c r="E269" s="24" t="s">
        <v>33</v>
      </c>
      <c r="F269" s="25">
        <v>25000</v>
      </c>
      <c r="G269" s="10" t="s">
        <v>33</v>
      </c>
    </row>
    <row r="270" spans="1:7" ht="15" customHeight="1" x14ac:dyDescent="0.3">
      <c r="A270" s="16">
        <v>262</v>
      </c>
      <c r="B270" s="10" t="s">
        <v>286</v>
      </c>
      <c r="C270" s="10" t="s">
        <v>254</v>
      </c>
      <c r="D270" s="10" t="s">
        <v>238</v>
      </c>
      <c r="E270" s="24" t="s">
        <v>33</v>
      </c>
      <c r="F270" s="25">
        <v>25000</v>
      </c>
      <c r="G270" s="10" t="s">
        <v>33</v>
      </c>
    </row>
    <row r="271" spans="1:7" ht="15" customHeight="1" x14ac:dyDescent="0.3">
      <c r="A271" s="16">
        <v>263</v>
      </c>
      <c r="B271" s="10" t="s">
        <v>286</v>
      </c>
      <c r="C271" s="10" t="s">
        <v>240</v>
      </c>
      <c r="D271" s="10" t="s">
        <v>238</v>
      </c>
      <c r="E271" s="24" t="s">
        <v>33</v>
      </c>
      <c r="F271" s="25">
        <v>25000</v>
      </c>
      <c r="G271" s="10" t="s">
        <v>33</v>
      </c>
    </row>
    <row r="272" spans="1:7" ht="15" customHeight="1" x14ac:dyDescent="0.3">
      <c r="A272" s="16">
        <v>264</v>
      </c>
      <c r="B272" s="10" t="s">
        <v>287</v>
      </c>
      <c r="C272" s="10" t="s">
        <v>246</v>
      </c>
      <c r="D272" s="10" t="s">
        <v>238</v>
      </c>
      <c r="E272" s="24" t="s">
        <v>33</v>
      </c>
      <c r="F272" s="25">
        <v>145</v>
      </c>
      <c r="G272" s="10" t="s">
        <v>33</v>
      </c>
    </row>
    <row r="273" spans="1:7" ht="15" customHeight="1" x14ac:dyDescent="0.3">
      <c r="A273" s="16">
        <v>265</v>
      </c>
      <c r="B273" s="10" t="s">
        <v>287</v>
      </c>
      <c r="C273" s="10" t="s">
        <v>265</v>
      </c>
      <c r="D273" s="10" t="s">
        <v>238</v>
      </c>
      <c r="E273" s="24" t="s">
        <v>33</v>
      </c>
      <c r="F273" s="25">
        <v>180</v>
      </c>
      <c r="G273" s="10" t="s">
        <v>33</v>
      </c>
    </row>
    <row r="274" spans="1:7" ht="15" customHeight="1" x14ac:dyDescent="0.3">
      <c r="A274" s="16">
        <v>266</v>
      </c>
      <c r="B274" s="10" t="s">
        <v>287</v>
      </c>
      <c r="C274" s="10" t="s">
        <v>259</v>
      </c>
      <c r="D274" s="10" t="s">
        <v>238</v>
      </c>
      <c r="E274" s="24" t="s">
        <v>33</v>
      </c>
      <c r="F274" s="25">
        <v>250</v>
      </c>
      <c r="G274" s="10" t="s">
        <v>33</v>
      </c>
    </row>
    <row r="275" spans="1:7" ht="15" customHeight="1" x14ac:dyDescent="0.3">
      <c r="A275" s="16">
        <v>267</v>
      </c>
      <c r="B275" s="10" t="s">
        <v>287</v>
      </c>
      <c r="C275" s="10" t="s">
        <v>254</v>
      </c>
      <c r="D275" s="10" t="s">
        <v>238</v>
      </c>
      <c r="E275" s="24" t="s">
        <v>33</v>
      </c>
      <c r="F275" s="25">
        <v>1500</v>
      </c>
      <c r="G275" s="10" t="s">
        <v>33</v>
      </c>
    </row>
    <row r="276" spans="1:7" ht="15" customHeight="1" x14ac:dyDescent="0.3">
      <c r="A276" s="16">
        <v>268</v>
      </c>
      <c r="B276" s="10" t="s">
        <v>287</v>
      </c>
      <c r="C276" s="10" t="s">
        <v>240</v>
      </c>
      <c r="D276" s="10" t="s">
        <v>238</v>
      </c>
      <c r="E276" s="24" t="s">
        <v>33</v>
      </c>
      <c r="F276" s="25">
        <v>1500</v>
      </c>
      <c r="G276" s="10" t="s">
        <v>33</v>
      </c>
    </row>
    <row r="277" spans="1:7" ht="15" customHeight="1" x14ac:dyDescent="0.3">
      <c r="A277" s="16">
        <v>269</v>
      </c>
      <c r="B277" s="10" t="s">
        <v>288</v>
      </c>
      <c r="C277" s="10" t="s">
        <v>257</v>
      </c>
      <c r="D277" s="10" t="s">
        <v>238</v>
      </c>
      <c r="E277" s="24" t="s">
        <v>33</v>
      </c>
      <c r="F277" s="25">
        <v>225</v>
      </c>
      <c r="G277" s="10" t="s">
        <v>33</v>
      </c>
    </row>
    <row r="278" spans="1:7" ht="15" customHeight="1" x14ac:dyDescent="0.3">
      <c r="A278" s="16">
        <v>270</v>
      </c>
      <c r="B278" s="10" t="s">
        <v>288</v>
      </c>
      <c r="C278" s="10" t="s">
        <v>260</v>
      </c>
      <c r="D278" s="10" t="s">
        <v>238</v>
      </c>
      <c r="E278" s="24" t="s">
        <v>33</v>
      </c>
      <c r="F278" s="25">
        <v>225</v>
      </c>
      <c r="G278" s="10" t="s">
        <v>33</v>
      </c>
    </row>
    <row r="279" spans="1:7" ht="15" customHeight="1" x14ac:dyDescent="0.3">
      <c r="A279" s="16">
        <v>271</v>
      </c>
      <c r="B279" s="10" t="s">
        <v>288</v>
      </c>
      <c r="C279" s="10" t="s">
        <v>253</v>
      </c>
      <c r="D279" s="10" t="s">
        <v>238</v>
      </c>
      <c r="E279" s="24" t="s">
        <v>33</v>
      </c>
      <c r="F279" s="25">
        <v>450</v>
      </c>
      <c r="G279" s="10" t="s">
        <v>33</v>
      </c>
    </row>
    <row r="280" spans="1:7" ht="15" customHeight="1" x14ac:dyDescent="0.3">
      <c r="A280" s="16">
        <v>272</v>
      </c>
      <c r="B280" s="10" t="s">
        <v>288</v>
      </c>
      <c r="C280" s="10" t="s">
        <v>243</v>
      </c>
      <c r="D280" s="10" t="s">
        <v>238</v>
      </c>
      <c r="E280" s="24" t="s">
        <v>33</v>
      </c>
      <c r="F280" s="25">
        <v>450</v>
      </c>
      <c r="G280" s="10" t="s">
        <v>33</v>
      </c>
    </row>
    <row r="281" spans="1:7" ht="15" customHeight="1" x14ac:dyDescent="0.3">
      <c r="A281" s="16">
        <v>273</v>
      </c>
      <c r="B281" s="10" t="s">
        <v>288</v>
      </c>
      <c r="C281" s="10" t="s">
        <v>249</v>
      </c>
      <c r="D281" s="10" t="s">
        <v>238</v>
      </c>
      <c r="E281" s="24" t="s">
        <v>33</v>
      </c>
      <c r="F281" s="25">
        <v>500</v>
      </c>
      <c r="G281" s="10" t="s">
        <v>33</v>
      </c>
    </row>
    <row r="282" spans="1:7" ht="15" customHeight="1" x14ac:dyDescent="0.3">
      <c r="A282" s="16">
        <v>274</v>
      </c>
      <c r="B282" s="10" t="s">
        <v>289</v>
      </c>
      <c r="C282" s="10" t="s">
        <v>239</v>
      </c>
      <c r="D282" s="10" t="s">
        <v>238</v>
      </c>
      <c r="E282" s="24" t="s">
        <v>33</v>
      </c>
      <c r="F282" s="25">
        <v>115</v>
      </c>
      <c r="G282" s="10" t="s">
        <v>33</v>
      </c>
    </row>
    <row r="283" spans="1:7" ht="15" customHeight="1" x14ac:dyDescent="0.3">
      <c r="A283" s="16">
        <v>275</v>
      </c>
      <c r="B283" s="10" t="s">
        <v>289</v>
      </c>
      <c r="C283" s="10" t="s">
        <v>237</v>
      </c>
      <c r="D283" s="10" t="s">
        <v>238</v>
      </c>
      <c r="E283" s="24" t="s">
        <v>33</v>
      </c>
      <c r="F283" s="25">
        <v>280</v>
      </c>
      <c r="G283" s="10" t="s">
        <v>33</v>
      </c>
    </row>
    <row r="284" spans="1:7" ht="15" customHeight="1" x14ac:dyDescent="0.3">
      <c r="A284" s="16">
        <v>276</v>
      </c>
      <c r="B284" s="10" t="s">
        <v>289</v>
      </c>
      <c r="C284" s="10" t="s">
        <v>241</v>
      </c>
      <c r="D284" s="10" t="s">
        <v>238</v>
      </c>
      <c r="E284" s="24" t="s">
        <v>33</v>
      </c>
      <c r="F284" s="25">
        <v>375</v>
      </c>
      <c r="G284" s="10" t="s">
        <v>33</v>
      </c>
    </row>
    <row r="285" spans="1:7" ht="15" customHeight="1" x14ac:dyDescent="0.3">
      <c r="A285" s="16">
        <v>277</v>
      </c>
      <c r="B285" s="10" t="s">
        <v>289</v>
      </c>
      <c r="C285" s="10" t="s">
        <v>267</v>
      </c>
      <c r="D285" s="10" t="s">
        <v>238</v>
      </c>
      <c r="E285" s="24" t="s">
        <v>33</v>
      </c>
      <c r="F285" s="25">
        <v>550</v>
      </c>
      <c r="G285" s="10" t="s">
        <v>33</v>
      </c>
    </row>
    <row r="286" spans="1:7" ht="15" customHeight="1" x14ac:dyDescent="0.3">
      <c r="A286" s="16">
        <v>278</v>
      </c>
      <c r="B286" s="10" t="s">
        <v>289</v>
      </c>
      <c r="C286" s="10" t="s">
        <v>242</v>
      </c>
      <c r="D286" s="10" t="s">
        <v>238</v>
      </c>
      <c r="E286" s="24" t="s">
        <v>33</v>
      </c>
      <c r="F286" s="25">
        <v>1300</v>
      </c>
      <c r="G286" s="10" t="s">
        <v>33</v>
      </c>
    </row>
    <row r="287" spans="1:7" ht="15" customHeight="1" x14ac:dyDescent="0.3">
      <c r="A287" s="16">
        <v>279</v>
      </c>
      <c r="B287" s="10" t="s">
        <v>290</v>
      </c>
      <c r="C287" s="10" t="s">
        <v>245</v>
      </c>
      <c r="D287" s="10" t="s">
        <v>238</v>
      </c>
      <c r="E287" s="24" t="s">
        <v>33</v>
      </c>
      <c r="F287" s="25">
        <v>170</v>
      </c>
      <c r="G287" s="10" t="s">
        <v>33</v>
      </c>
    </row>
    <row r="288" spans="1:7" ht="15" customHeight="1" x14ac:dyDescent="0.3">
      <c r="A288" s="16">
        <v>280</v>
      </c>
      <c r="B288" s="10" t="s">
        <v>290</v>
      </c>
      <c r="C288" s="10" t="s">
        <v>248</v>
      </c>
      <c r="D288" s="10" t="s">
        <v>238</v>
      </c>
      <c r="E288" s="24" t="s">
        <v>33</v>
      </c>
      <c r="F288" s="25">
        <v>200</v>
      </c>
      <c r="G288" s="10" t="s">
        <v>33</v>
      </c>
    </row>
    <row r="289" spans="1:7" ht="15" customHeight="1" x14ac:dyDescent="0.3">
      <c r="A289" s="16">
        <v>281</v>
      </c>
      <c r="B289" s="10" t="s">
        <v>290</v>
      </c>
      <c r="C289" s="10" t="s">
        <v>261</v>
      </c>
      <c r="D289" s="10" t="s">
        <v>238</v>
      </c>
      <c r="E289" s="24" t="s">
        <v>33</v>
      </c>
      <c r="F289" s="25">
        <v>400</v>
      </c>
      <c r="G289" s="10" t="s">
        <v>33</v>
      </c>
    </row>
    <row r="290" spans="1:7" ht="15" customHeight="1" x14ac:dyDescent="0.3">
      <c r="A290" s="16">
        <v>282</v>
      </c>
      <c r="B290" s="10" t="s">
        <v>290</v>
      </c>
      <c r="C290" s="10" t="s">
        <v>266</v>
      </c>
      <c r="D290" s="10" t="s">
        <v>238</v>
      </c>
      <c r="E290" s="24" t="s">
        <v>33</v>
      </c>
      <c r="F290" s="25">
        <v>600</v>
      </c>
      <c r="G290" s="10" t="s">
        <v>33</v>
      </c>
    </row>
    <row r="291" spans="1:7" ht="15" customHeight="1" x14ac:dyDescent="0.3">
      <c r="A291" s="16">
        <v>283</v>
      </c>
      <c r="B291" s="10" t="s">
        <v>290</v>
      </c>
      <c r="C291" s="10" t="s">
        <v>244</v>
      </c>
      <c r="D291" s="10" t="s">
        <v>238</v>
      </c>
      <c r="E291" s="24" t="s">
        <v>33</v>
      </c>
      <c r="F291" s="25">
        <v>800</v>
      </c>
      <c r="G291" s="10" t="s">
        <v>33</v>
      </c>
    </row>
    <row r="292" spans="1:7" ht="15" customHeight="1" x14ac:dyDescent="0.3">
      <c r="A292" s="16">
        <v>284</v>
      </c>
      <c r="B292" s="10" t="s">
        <v>291</v>
      </c>
      <c r="C292" s="10" t="s">
        <v>258</v>
      </c>
      <c r="D292" s="10" t="s">
        <v>238</v>
      </c>
      <c r="E292" s="24" t="s">
        <v>33</v>
      </c>
      <c r="F292" s="25">
        <v>-200</v>
      </c>
      <c r="G292" s="10" t="s">
        <v>33</v>
      </c>
    </row>
    <row r="293" spans="1:7" ht="15" customHeight="1" x14ac:dyDescent="0.3">
      <c r="A293" s="16">
        <v>285</v>
      </c>
      <c r="B293" s="10" t="s">
        <v>291</v>
      </c>
      <c r="C293" s="10" t="s">
        <v>255</v>
      </c>
      <c r="D293" s="10" t="s">
        <v>238</v>
      </c>
      <c r="E293" s="24" t="s">
        <v>33</v>
      </c>
      <c r="F293" s="25">
        <v>300</v>
      </c>
      <c r="G293" s="10" t="s">
        <v>33</v>
      </c>
    </row>
    <row r="294" spans="1:7" ht="15" customHeight="1" x14ac:dyDescent="0.3">
      <c r="A294" s="16">
        <v>286</v>
      </c>
      <c r="B294" s="10" t="s">
        <v>291</v>
      </c>
      <c r="C294" s="10" t="s">
        <v>250</v>
      </c>
      <c r="D294" s="10" t="s">
        <v>238</v>
      </c>
      <c r="E294" s="24" t="s">
        <v>33</v>
      </c>
      <c r="F294" s="25">
        <v>1100</v>
      </c>
      <c r="G294" s="10" t="s">
        <v>33</v>
      </c>
    </row>
    <row r="295" spans="1:7" ht="15" customHeight="1" x14ac:dyDescent="0.3">
      <c r="A295" s="16">
        <v>287</v>
      </c>
      <c r="B295" s="10" t="s">
        <v>291</v>
      </c>
      <c r="C295" s="10" t="s">
        <v>252</v>
      </c>
      <c r="D295" s="10" t="s">
        <v>238</v>
      </c>
      <c r="E295" s="24" t="s">
        <v>33</v>
      </c>
      <c r="F295" s="25">
        <v>1400</v>
      </c>
      <c r="G295" s="10" t="s">
        <v>33</v>
      </c>
    </row>
    <row r="296" spans="1:7" ht="15" customHeight="1" x14ac:dyDescent="0.3">
      <c r="A296" s="16">
        <v>288</v>
      </c>
      <c r="B296" s="10" t="s">
        <v>291</v>
      </c>
      <c r="C296" s="10" t="s">
        <v>256</v>
      </c>
      <c r="D296" s="10" t="s">
        <v>238</v>
      </c>
      <c r="E296" s="24" t="s">
        <v>33</v>
      </c>
      <c r="F296" s="25">
        <v>1400</v>
      </c>
      <c r="G296" s="10" t="s">
        <v>33</v>
      </c>
    </row>
    <row r="297" spans="1:7" ht="15" customHeight="1" x14ac:dyDescent="0.3">
      <c r="A297" s="16">
        <v>289</v>
      </c>
      <c r="B297" s="10" t="s">
        <v>292</v>
      </c>
      <c r="C297" s="10" t="s">
        <v>264</v>
      </c>
      <c r="D297" s="10" t="s">
        <v>238</v>
      </c>
      <c r="E297" s="24" t="s">
        <v>33</v>
      </c>
      <c r="F297" s="25">
        <v>-150</v>
      </c>
      <c r="G297" s="10" t="s">
        <v>33</v>
      </c>
    </row>
    <row r="298" spans="1:7" ht="15" customHeight="1" x14ac:dyDescent="0.3">
      <c r="A298" s="16">
        <v>290</v>
      </c>
      <c r="B298" s="10" t="s">
        <v>292</v>
      </c>
      <c r="C298" s="10" t="s">
        <v>251</v>
      </c>
      <c r="D298" s="10" t="s">
        <v>238</v>
      </c>
      <c r="E298" s="24" t="s">
        <v>33</v>
      </c>
      <c r="F298" s="25">
        <v>400</v>
      </c>
      <c r="G298" s="10" t="s">
        <v>33</v>
      </c>
    </row>
    <row r="299" spans="1:7" ht="15" customHeight="1" x14ac:dyDescent="0.3">
      <c r="A299" s="16">
        <v>291</v>
      </c>
      <c r="B299" s="10" t="s">
        <v>292</v>
      </c>
      <c r="C299" s="10" t="s">
        <v>262</v>
      </c>
      <c r="D299" s="10" t="s">
        <v>238</v>
      </c>
      <c r="E299" s="24" t="s">
        <v>33</v>
      </c>
      <c r="F299" s="25">
        <v>425</v>
      </c>
      <c r="G299" s="10" t="s">
        <v>33</v>
      </c>
    </row>
    <row r="300" spans="1:7" ht="15" customHeight="1" x14ac:dyDescent="0.3">
      <c r="A300" s="16">
        <v>292</v>
      </c>
      <c r="B300" s="10" t="s">
        <v>292</v>
      </c>
      <c r="C300" s="10" t="s">
        <v>247</v>
      </c>
      <c r="D300" s="10" t="s">
        <v>238</v>
      </c>
      <c r="E300" s="24" t="s">
        <v>33</v>
      </c>
      <c r="F300" s="25">
        <v>550</v>
      </c>
      <c r="G300" s="10" t="s">
        <v>33</v>
      </c>
    </row>
    <row r="301" spans="1:7" ht="15" customHeight="1" x14ac:dyDescent="0.3">
      <c r="A301" s="16">
        <v>293</v>
      </c>
      <c r="B301" s="10" t="s">
        <v>292</v>
      </c>
      <c r="C301" s="10" t="s">
        <v>263</v>
      </c>
      <c r="D301" s="10" t="s">
        <v>238</v>
      </c>
      <c r="E301" s="24" t="s">
        <v>33</v>
      </c>
      <c r="F301" s="25">
        <v>5000</v>
      </c>
      <c r="G301" s="10" t="s">
        <v>33</v>
      </c>
    </row>
    <row r="302" spans="1:7" ht="15" customHeight="1" x14ac:dyDescent="0.3">
      <c r="A302" s="16">
        <v>294</v>
      </c>
      <c r="B302" s="10" t="s">
        <v>293</v>
      </c>
      <c r="C302" s="10" t="s">
        <v>294</v>
      </c>
      <c r="D302" s="10" t="s">
        <v>238</v>
      </c>
      <c r="E302" s="24" t="s">
        <v>33</v>
      </c>
      <c r="F302" s="25">
        <v>200</v>
      </c>
      <c r="G302" s="10" t="s">
        <v>33</v>
      </c>
    </row>
    <row r="303" spans="1:7" ht="15" customHeight="1" x14ac:dyDescent="0.3">
      <c r="A303" s="16">
        <v>295</v>
      </c>
      <c r="B303" s="10" t="s">
        <v>293</v>
      </c>
      <c r="C303" s="10" t="s">
        <v>295</v>
      </c>
      <c r="D303" s="10" t="s">
        <v>238</v>
      </c>
      <c r="E303" s="24" t="s">
        <v>33</v>
      </c>
      <c r="F303" s="25">
        <v>350</v>
      </c>
      <c r="G303" s="10" t="s">
        <v>33</v>
      </c>
    </row>
    <row r="304" spans="1:7" ht="15" customHeight="1" x14ac:dyDescent="0.3">
      <c r="A304" s="16">
        <v>296</v>
      </c>
      <c r="B304" s="10" t="s">
        <v>293</v>
      </c>
      <c r="C304" s="10" t="s">
        <v>296</v>
      </c>
      <c r="D304" s="10" t="s">
        <v>238</v>
      </c>
      <c r="E304" s="24" t="s">
        <v>33</v>
      </c>
      <c r="F304" s="25">
        <v>500</v>
      </c>
      <c r="G304" s="10" t="s">
        <v>33</v>
      </c>
    </row>
    <row r="305" spans="1:7" ht="15" customHeight="1" x14ac:dyDescent="0.3">
      <c r="A305" s="16">
        <v>297</v>
      </c>
      <c r="B305" s="10" t="s">
        <v>293</v>
      </c>
      <c r="C305" s="10" t="s">
        <v>297</v>
      </c>
      <c r="D305" s="10" t="s">
        <v>238</v>
      </c>
      <c r="E305" s="24" t="s">
        <v>33</v>
      </c>
      <c r="F305" s="25">
        <v>550</v>
      </c>
      <c r="G305" s="10" t="s">
        <v>33</v>
      </c>
    </row>
    <row r="306" spans="1:7" ht="15" customHeight="1" x14ac:dyDescent="0.3">
      <c r="A306" s="16">
        <v>298</v>
      </c>
      <c r="B306" s="10" t="s">
        <v>293</v>
      </c>
      <c r="C306" s="10" t="s">
        <v>298</v>
      </c>
      <c r="D306" s="10" t="s">
        <v>238</v>
      </c>
      <c r="E306" s="24" t="s">
        <v>33</v>
      </c>
      <c r="F306" s="25">
        <v>1100</v>
      </c>
      <c r="G306" s="10" t="s">
        <v>33</v>
      </c>
    </row>
    <row r="307" spans="1:7" ht="15" customHeight="1" x14ac:dyDescent="0.3">
      <c r="A307" s="16">
        <v>299</v>
      </c>
      <c r="B307" s="10" t="s">
        <v>293</v>
      </c>
      <c r="C307" s="10" t="s">
        <v>299</v>
      </c>
      <c r="D307" s="10" t="s">
        <v>238</v>
      </c>
      <c r="E307" s="24" t="s">
        <v>33</v>
      </c>
      <c r="F307" s="25">
        <v>2200</v>
      </c>
      <c r="G307" s="10" t="s">
        <v>33</v>
      </c>
    </row>
    <row r="308" spans="1:7" ht="15" customHeight="1" x14ac:dyDescent="0.3">
      <c r="A308" s="16">
        <v>300</v>
      </c>
      <c r="B308" s="10" t="s">
        <v>293</v>
      </c>
      <c r="C308" s="10" t="s">
        <v>300</v>
      </c>
      <c r="D308" s="10" t="s">
        <v>238</v>
      </c>
      <c r="E308" s="24" t="s">
        <v>33</v>
      </c>
      <c r="F308" s="25">
        <v>1700</v>
      </c>
      <c r="G308" s="10" t="s">
        <v>33</v>
      </c>
    </row>
    <row r="309" spans="1:7" ht="15" customHeight="1" x14ac:dyDescent="0.3">
      <c r="A309" s="16">
        <v>301</v>
      </c>
      <c r="B309" s="10" t="s">
        <v>293</v>
      </c>
      <c r="C309" s="10" t="s">
        <v>301</v>
      </c>
      <c r="D309" s="10" t="s">
        <v>238</v>
      </c>
      <c r="E309" s="24" t="s">
        <v>33</v>
      </c>
      <c r="F309" s="25">
        <v>1500</v>
      </c>
      <c r="G309" s="10" t="s">
        <v>33</v>
      </c>
    </row>
    <row r="310" spans="1:7" ht="15" customHeight="1" x14ac:dyDescent="0.3">
      <c r="A310" s="16">
        <v>302</v>
      </c>
      <c r="B310" s="10" t="s">
        <v>293</v>
      </c>
      <c r="C310" s="10" t="s">
        <v>302</v>
      </c>
      <c r="D310" s="10" t="s">
        <v>238</v>
      </c>
      <c r="E310" s="24" t="s">
        <v>33</v>
      </c>
      <c r="F310" s="25">
        <v>3500</v>
      </c>
      <c r="G310" s="10" t="s">
        <v>33</v>
      </c>
    </row>
    <row r="311" spans="1:7" ht="15" customHeight="1" x14ac:dyDescent="0.3">
      <c r="A311" s="16">
        <v>303</v>
      </c>
      <c r="B311" s="10" t="s">
        <v>293</v>
      </c>
      <c r="C311" s="10" t="s">
        <v>303</v>
      </c>
      <c r="D311" s="10" t="s">
        <v>238</v>
      </c>
      <c r="E311" s="24" t="s">
        <v>33</v>
      </c>
      <c r="F311" s="25">
        <v>8000</v>
      </c>
      <c r="G311" s="10" t="s">
        <v>33</v>
      </c>
    </row>
    <row r="312" spans="1:7" ht="15" customHeight="1" x14ac:dyDescent="0.3">
      <c r="A312" s="16">
        <v>304</v>
      </c>
      <c r="B312" s="10" t="s">
        <v>293</v>
      </c>
      <c r="C312" s="10" t="s">
        <v>304</v>
      </c>
      <c r="D312" s="10" t="s">
        <v>238</v>
      </c>
      <c r="E312" s="24" t="s">
        <v>33</v>
      </c>
      <c r="F312" s="25">
        <v>10000</v>
      </c>
      <c r="G312" s="10" t="s">
        <v>33</v>
      </c>
    </row>
    <row r="313" spans="1:7" ht="15" customHeight="1" x14ac:dyDescent="0.3">
      <c r="A313" s="16">
        <v>305</v>
      </c>
      <c r="B313" s="10" t="s">
        <v>293</v>
      </c>
      <c r="C313" s="10" t="s">
        <v>305</v>
      </c>
      <c r="D313" s="10" t="s">
        <v>238</v>
      </c>
      <c r="E313" s="24" t="s">
        <v>33</v>
      </c>
      <c r="F313" s="25">
        <v>15000</v>
      </c>
      <c r="G313" s="10" t="s">
        <v>33</v>
      </c>
    </row>
    <row r="314" spans="1:7" ht="15" customHeight="1" x14ac:dyDescent="0.3">
      <c r="A314" s="16">
        <v>306</v>
      </c>
      <c r="B314" s="10" t="s">
        <v>293</v>
      </c>
      <c r="C314" s="10" t="s">
        <v>306</v>
      </c>
      <c r="D314" s="10" t="s">
        <v>238</v>
      </c>
      <c r="E314" s="24" t="s">
        <v>33</v>
      </c>
      <c r="F314" s="25">
        <v>10000</v>
      </c>
      <c r="G314" s="10" t="s">
        <v>33</v>
      </c>
    </row>
    <row r="315" spans="1:7" ht="15" customHeight="1" x14ac:dyDescent="0.3">
      <c r="A315" s="16">
        <v>307</v>
      </c>
      <c r="B315" s="10" t="s">
        <v>293</v>
      </c>
      <c r="C315" s="10" t="s">
        <v>307</v>
      </c>
      <c r="D315" s="10" t="s">
        <v>238</v>
      </c>
      <c r="E315" s="24" t="s">
        <v>33</v>
      </c>
      <c r="F315" s="25">
        <v>6500</v>
      </c>
      <c r="G315" s="10" t="s">
        <v>33</v>
      </c>
    </row>
    <row r="316" spans="1:7" ht="15" customHeight="1" x14ac:dyDescent="0.3">
      <c r="A316" s="16">
        <v>308</v>
      </c>
      <c r="B316" s="10" t="s">
        <v>293</v>
      </c>
      <c r="C316" s="10" t="s">
        <v>308</v>
      </c>
      <c r="D316" s="10" t="s">
        <v>238</v>
      </c>
      <c r="E316" s="24" t="s">
        <v>33</v>
      </c>
      <c r="F316" s="25">
        <v>15000</v>
      </c>
      <c r="G316" s="10" t="s">
        <v>33</v>
      </c>
    </row>
    <row r="317" spans="1:7" ht="15" customHeight="1" x14ac:dyDescent="0.3">
      <c r="A317" s="16">
        <v>309</v>
      </c>
      <c r="B317" s="10" t="s">
        <v>293</v>
      </c>
      <c r="C317" s="10" t="s">
        <v>309</v>
      </c>
      <c r="D317" s="10" t="s">
        <v>238</v>
      </c>
      <c r="E317" s="24" t="s">
        <v>33</v>
      </c>
      <c r="F317" s="25">
        <v>15000</v>
      </c>
      <c r="G317" s="10" t="s">
        <v>33</v>
      </c>
    </row>
    <row r="318" spans="1:7" ht="15" customHeight="1" x14ac:dyDescent="0.3">
      <c r="A318" s="16">
        <v>310</v>
      </c>
      <c r="B318" s="10" t="s">
        <v>293</v>
      </c>
      <c r="C318" s="10" t="s">
        <v>310</v>
      </c>
      <c r="D318" s="10" t="s">
        <v>238</v>
      </c>
      <c r="E318" s="24" t="s">
        <v>33</v>
      </c>
      <c r="F318" s="25">
        <v>15000</v>
      </c>
      <c r="G318" s="10" t="s">
        <v>33</v>
      </c>
    </row>
    <row r="319" spans="1:7" ht="15" customHeight="1" x14ac:dyDescent="0.3">
      <c r="A319" s="16">
        <v>311</v>
      </c>
      <c r="B319" s="10" t="s">
        <v>293</v>
      </c>
      <c r="C319" s="10" t="s">
        <v>311</v>
      </c>
      <c r="D319" s="10" t="s">
        <v>238</v>
      </c>
      <c r="E319" s="24" t="s">
        <v>33</v>
      </c>
      <c r="F319" s="25">
        <v>15000</v>
      </c>
      <c r="G319" s="10" t="s">
        <v>33</v>
      </c>
    </row>
    <row r="320" spans="1:7" ht="15" customHeight="1" x14ac:dyDescent="0.3">
      <c r="A320" s="16">
        <v>312</v>
      </c>
      <c r="B320" s="10" t="s">
        <v>293</v>
      </c>
      <c r="C320" s="10" t="s">
        <v>312</v>
      </c>
      <c r="D320" s="10" t="s">
        <v>238</v>
      </c>
      <c r="E320" s="24" t="s">
        <v>33</v>
      </c>
      <c r="F320" s="25">
        <v>15000</v>
      </c>
      <c r="G320" s="10" t="s">
        <v>33</v>
      </c>
    </row>
    <row r="321" spans="1:7" ht="15" customHeight="1" x14ac:dyDescent="0.3">
      <c r="A321" s="16">
        <v>313</v>
      </c>
      <c r="B321" s="10" t="s">
        <v>293</v>
      </c>
      <c r="C321" s="10" t="s">
        <v>313</v>
      </c>
      <c r="D321" s="10" t="s">
        <v>238</v>
      </c>
      <c r="E321" s="24" t="s">
        <v>33</v>
      </c>
      <c r="F321" s="25">
        <v>25000</v>
      </c>
      <c r="G321" s="10" t="s">
        <v>33</v>
      </c>
    </row>
    <row r="322" spans="1:7" ht="15" customHeight="1" x14ac:dyDescent="0.3">
      <c r="A322" s="16">
        <v>314</v>
      </c>
      <c r="B322" s="10" t="s">
        <v>293</v>
      </c>
      <c r="C322" s="10" t="s">
        <v>314</v>
      </c>
      <c r="D322" s="10" t="s">
        <v>238</v>
      </c>
      <c r="E322" s="24" t="s">
        <v>33</v>
      </c>
      <c r="F322" s="25">
        <v>25000</v>
      </c>
      <c r="G322" s="10" t="s">
        <v>33</v>
      </c>
    </row>
    <row r="323" spans="1:7" ht="15" customHeight="1" x14ac:dyDescent="0.3">
      <c r="A323" s="16">
        <v>315</v>
      </c>
      <c r="B323" s="10" t="s">
        <v>293</v>
      </c>
      <c r="C323" s="10" t="s">
        <v>315</v>
      </c>
      <c r="D323" s="10" t="s">
        <v>238</v>
      </c>
      <c r="E323" s="24" t="s">
        <v>33</v>
      </c>
      <c r="F323" s="25">
        <v>15000</v>
      </c>
      <c r="G323" s="10" t="s">
        <v>33</v>
      </c>
    </row>
    <row r="324" spans="1:7" ht="15" customHeight="1" x14ac:dyDescent="0.3">
      <c r="A324" s="16">
        <v>316</v>
      </c>
      <c r="B324" s="10" t="s">
        <v>293</v>
      </c>
      <c r="C324" s="10" t="s">
        <v>316</v>
      </c>
      <c r="D324" s="10" t="s">
        <v>238</v>
      </c>
      <c r="E324" s="24" t="s">
        <v>33</v>
      </c>
      <c r="F324" s="25">
        <v>25000</v>
      </c>
      <c r="G324" s="10" t="s">
        <v>33</v>
      </c>
    </row>
    <row r="325" spans="1:7" ht="15" customHeight="1" x14ac:dyDescent="0.3">
      <c r="A325" s="16">
        <v>317</v>
      </c>
      <c r="B325" s="10" t="s">
        <v>293</v>
      </c>
      <c r="C325" s="10" t="s">
        <v>317</v>
      </c>
      <c r="D325" s="10" t="s">
        <v>238</v>
      </c>
      <c r="E325" s="24" t="s">
        <v>33</v>
      </c>
      <c r="F325" s="25">
        <v>20000</v>
      </c>
      <c r="G325" s="10" t="s">
        <v>33</v>
      </c>
    </row>
    <row r="326" spans="1:7" ht="15" customHeight="1" x14ac:dyDescent="0.3">
      <c r="A326" s="16">
        <v>318</v>
      </c>
      <c r="B326" s="10" t="s">
        <v>293</v>
      </c>
      <c r="C326" s="10" t="s">
        <v>318</v>
      </c>
      <c r="D326" s="10" t="s">
        <v>238</v>
      </c>
      <c r="E326" s="24" t="s">
        <v>33</v>
      </c>
      <c r="F326" s="25">
        <v>25000</v>
      </c>
      <c r="G326" s="10" t="s">
        <v>33</v>
      </c>
    </row>
    <row r="327" spans="1:7" ht="15" customHeight="1" x14ac:dyDescent="0.3">
      <c r="A327" s="16">
        <v>319</v>
      </c>
      <c r="B327" s="10" t="s">
        <v>293</v>
      </c>
      <c r="C327" s="10" t="s">
        <v>319</v>
      </c>
      <c r="D327" s="10" t="s">
        <v>238</v>
      </c>
      <c r="E327" s="24" t="s">
        <v>33</v>
      </c>
      <c r="F327" s="25">
        <v>25000</v>
      </c>
      <c r="G327" s="10" t="s">
        <v>33</v>
      </c>
    </row>
    <row r="328" spans="1:7" ht="15" customHeight="1" x14ac:dyDescent="0.3">
      <c r="A328" s="16">
        <v>320</v>
      </c>
      <c r="B328" s="10" t="s">
        <v>293</v>
      </c>
      <c r="C328" s="10" t="s">
        <v>320</v>
      </c>
      <c r="D328" s="10" t="s">
        <v>238</v>
      </c>
      <c r="E328" s="24" t="s">
        <v>33</v>
      </c>
      <c r="F328" s="25">
        <v>25000</v>
      </c>
      <c r="G328" s="10" t="s">
        <v>33</v>
      </c>
    </row>
    <row r="329" spans="1:7" ht="15" customHeight="1" x14ac:dyDescent="0.3">
      <c r="A329" s="16">
        <v>321</v>
      </c>
      <c r="B329" s="10" t="s">
        <v>293</v>
      </c>
      <c r="C329" s="10" t="s">
        <v>321</v>
      </c>
      <c r="D329" s="10" t="s">
        <v>238</v>
      </c>
      <c r="E329" s="24" t="s">
        <v>33</v>
      </c>
      <c r="F329" s="25">
        <v>25000</v>
      </c>
      <c r="G329" s="10" t="s">
        <v>33</v>
      </c>
    </row>
    <row r="330" spans="1:7" ht="15" customHeight="1" x14ac:dyDescent="0.3">
      <c r="A330" s="16">
        <v>322</v>
      </c>
      <c r="B330" s="10" t="s">
        <v>322</v>
      </c>
      <c r="C330" s="10" t="s">
        <v>294</v>
      </c>
      <c r="D330" s="10" t="s">
        <v>238</v>
      </c>
      <c r="E330" s="24" t="s">
        <v>33</v>
      </c>
      <c r="F330" s="25">
        <v>-360</v>
      </c>
      <c r="G330" s="10" t="s">
        <v>33</v>
      </c>
    </row>
    <row r="331" spans="1:7" ht="15" customHeight="1" x14ac:dyDescent="0.3">
      <c r="A331" s="16">
        <v>323</v>
      </c>
      <c r="B331" s="10" t="s">
        <v>322</v>
      </c>
      <c r="C331" s="10" t="s">
        <v>323</v>
      </c>
      <c r="D331" s="10" t="s">
        <v>238</v>
      </c>
      <c r="E331" s="24" t="s">
        <v>33</v>
      </c>
      <c r="F331" s="25">
        <v>1100</v>
      </c>
      <c r="G331" s="10" t="s">
        <v>33</v>
      </c>
    </row>
    <row r="332" spans="1:7" ht="15" customHeight="1" x14ac:dyDescent="0.3">
      <c r="A332" s="16">
        <v>324</v>
      </c>
      <c r="B332" s="10" t="s">
        <v>322</v>
      </c>
      <c r="C332" s="10" t="s">
        <v>324</v>
      </c>
      <c r="D332" s="10" t="s">
        <v>238</v>
      </c>
      <c r="E332" s="24" t="s">
        <v>33</v>
      </c>
      <c r="F332" s="25">
        <v>2500</v>
      </c>
      <c r="G332" s="10" t="s">
        <v>33</v>
      </c>
    </row>
    <row r="333" spans="1:7" ht="15" customHeight="1" x14ac:dyDescent="0.3">
      <c r="A333" s="16">
        <v>325</v>
      </c>
      <c r="B333" s="10" t="s">
        <v>322</v>
      </c>
      <c r="C333" s="10" t="s">
        <v>325</v>
      </c>
      <c r="D333" s="10" t="s">
        <v>238</v>
      </c>
      <c r="E333" s="24" t="s">
        <v>33</v>
      </c>
      <c r="F333" s="25">
        <v>3000</v>
      </c>
      <c r="G333" s="10" t="s">
        <v>33</v>
      </c>
    </row>
    <row r="334" spans="1:7" ht="15" customHeight="1" x14ac:dyDescent="0.3">
      <c r="A334" s="16">
        <v>326</v>
      </c>
      <c r="B334" s="10" t="s">
        <v>322</v>
      </c>
      <c r="C334" s="10" t="s">
        <v>326</v>
      </c>
      <c r="D334" s="10" t="s">
        <v>238</v>
      </c>
      <c r="E334" s="24" t="s">
        <v>33</v>
      </c>
      <c r="F334" s="25">
        <v>4000</v>
      </c>
      <c r="G334" s="10" t="s">
        <v>33</v>
      </c>
    </row>
    <row r="335" spans="1:7" ht="15" customHeight="1" x14ac:dyDescent="0.3">
      <c r="A335" s="16">
        <v>327</v>
      </c>
      <c r="B335" s="10" t="s">
        <v>322</v>
      </c>
      <c r="C335" s="10" t="s">
        <v>313</v>
      </c>
      <c r="D335" s="10" t="s">
        <v>238</v>
      </c>
      <c r="E335" s="24" t="s">
        <v>33</v>
      </c>
      <c r="F335" s="25">
        <v>5000</v>
      </c>
      <c r="G335" s="10" t="s">
        <v>33</v>
      </c>
    </row>
    <row r="336" spans="1:7" ht="15" customHeight="1" x14ac:dyDescent="0.3">
      <c r="A336" s="16">
        <v>328</v>
      </c>
      <c r="B336" s="10" t="s">
        <v>322</v>
      </c>
      <c r="C336" s="10" t="s">
        <v>327</v>
      </c>
      <c r="D336" s="10" t="s">
        <v>238</v>
      </c>
      <c r="E336" s="24" t="s">
        <v>33</v>
      </c>
      <c r="F336" s="25">
        <v>4000</v>
      </c>
      <c r="G336" s="10" t="s">
        <v>33</v>
      </c>
    </row>
    <row r="337" spans="1:7" ht="15" customHeight="1" x14ac:dyDescent="0.3">
      <c r="A337" s="16">
        <v>329</v>
      </c>
      <c r="B337" s="10" t="s">
        <v>322</v>
      </c>
      <c r="C337" s="10" t="s">
        <v>298</v>
      </c>
      <c r="D337" s="10" t="s">
        <v>238</v>
      </c>
      <c r="E337" s="24" t="s">
        <v>33</v>
      </c>
      <c r="F337" s="25">
        <v>7500</v>
      </c>
      <c r="G337" s="10" t="s">
        <v>33</v>
      </c>
    </row>
    <row r="338" spans="1:7" ht="15" customHeight="1" x14ac:dyDescent="0.3">
      <c r="A338" s="16">
        <v>330</v>
      </c>
      <c r="B338" s="10" t="s">
        <v>322</v>
      </c>
      <c r="C338" s="10" t="s">
        <v>328</v>
      </c>
      <c r="D338" s="10" t="s">
        <v>238</v>
      </c>
      <c r="E338" s="24" t="s">
        <v>33</v>
      </c>
      <c r="F338" s="25">
        <v>7500</v>
      </c>
      <c r="G338" s="10" t="s">
        <v>33</v>
      </c>
    </row>
    <row r="339" spans="1:7" ht="15" customHeight="1" x14ac:dyDescent="0.3">
      <c r="A339" s="16">
        <v>331</v>
      </c>
      <c r="B339" s="10" t="s">
        <v>322</v>
      </c>
      <c r="C339" s="10" t="s">
        <v>329</v>
      </c>
      <c r="D339" s="10" t="s">
        <v>238</v>
      </c>
      <c r="E339" s="24" t="s">
        <v>33</v>
      </c>
      <c r="F339" s="25">
        <v>7500</v>
      </c>
      <c r="G339" s="10" t="s">
        <v>33</v>
      </c>
    </row>
    <row r="340" spans="1:7" ht="15" customHeight="1" x14ac:dyDescent="0.3">
      <c r="A340" s="16">
        <v>332</v>
      </c>
      <c r="B340" s="10" t="s">
        <v>322</v>
      </c>
      <c r="C340" s="10" t="s">
        <v>330</v>
      </c>
      <c r="D340" s="10" t="s">
        <v>238</v>
      </c>
      <c r="E340" s="24" t="s">
        <v>33</v>
      </c>
      <c r="F340" s="25">
        <v>6500</v>
      </c>
      <c r="G340" s="10" t="s">
        <v>33</v>
      </c>
    </row>
    <row r="341" spans="1:7" ht="15" customHeight="1" x14ac:dyDescent="0.3">
      <c r="A341" s="16">
        <v>333</v>
      </c>
      <c r="B341" s="10" t="s">
        <v>322</v>
      </c>
      <c r="C341" s="10" t="s">
        <v>331</v>
      </c>
      <c r="D341" s="10" t="s">
        <v>238</v>
      </c>
      <c r="E341" s="24" t="s">
        <v>33</v>
      </c>
      <c r="F341" s="25">
        <v>10000</v>
      </c>
      <c r="G341" s="10" t="s">
        <v>33</v>
      </c>
    </row>
    <row r="342" spans="1:7" ht="15" customHeight="1" x14ac:dyDescent="0.3">
      <c r="A342" s="16">
        <v>334</v>
      </c>
      <c r="B342" s="10" t="s">
        <v>322</v>
      </c>
      <c r="C342" s="10" t="s">
        <v>332</v>
      </c>
      <c r="D342" s="10" t="s">
        <v>238</v>
      </c>
      <c r="E342" s="24" t="s">
        <v>33</v>
      </c>
      <c r="F342" s="25">
        <v>7500</v>
      </c>
      <c r="G342" s="10" t="s">
        <v>33</v>
      </c>
    </row>
    <row r="343" spans="1:7" ht="15" customHeight="1" x14ac:dyDescent="0.3">
      <c r="A343" s="26">
        <v>335</v>
      </c>
      <c r="B343" s="27" t="s">
        <v>322</v>
      </c>
      <c r="C343" s="27" t="s">
        <v>333</v>
      </c>
      <c r="D343" s="27" t="s">
        <v>238</v>
      </c>
      <c r="E343" s="28" t="s">
        <v>33</v>
      </c>
      <c r="F343" s="29">
        <v>8000</v>
      </c>
      <c r="G343" s="27" t="s">
        <v>270</v>
      </c>
    </row>
    <row r="344" spans="1:7" ht="15" customHeight="1" x14ac:dyDescent="0.3">
      <c r="A344" s="16">
        <v>336</v>
      </c>
      <c r="B344" s="10" t="s">
        <v>322</v>
      </c>
      <c r="C344" s="10" t="s">
        <v>334</v>
      </c>
      <c r="D344" s="10" t="s">
        <v>238</v>
      </c>
      <c r="E344" s="24" t="s">
        <v>33</v>
      </c>
      <c r="F344" s="25">
        <v>15000</v>
      </c>
      <c r="G344" s="10" t="s">
        <v>33</v>
      </c>
    </row>
    <row r="345" spans="1:7" ht="15" customHeight="1" x14ac:dyDescent="0.3">
      <c r="A345" s="16">
        <v>337</v>
      </c>
      <c r="B345" s="10" t="s">
        <v>322</v>
      </c>
      <c r="C345" s="10" t="s">
        <v>335</v>
      </c>
      <c r="D345" s="10" t="s">
        <v>238</v>
      </c>
      <c r="E345" s="24" t="s">
        <v>33</v>
      </c>
      <c r="F345" s="25">
        <v>15000</v>
      </c>
      <c r="G345" s="10" t="s">
        <v>33</v>
      </c>
    </row>
    <row r="346" spans="1:7" ht="15" customHeight="1" x14ac:dyDescent="0.3">
      <c r="A346" s="16">
        <v>338</v>
      </c>
      <c r="B346" s="10" t="s">
        <v>322</v>
      </c>
      <c r="C346" s="10" t="s">
        <v>336</v>
      </c>
      <c r="D346" s="10" t="s">
        <v>238</v>
      </c>
      <c r="E346" s="24" t="s">
        <v>33</v>
      </c>
      <c r="F346" s="25">
        <v>15000</v>
      </c>
      <c r="G346" s="10" t="s">
        <v>33</v>
      </c>
    </row>
    <row r="347" spans="1:7" ht="15" customHeight="1" x14ac:dyDescent="0.3">
      <c r="A347" s="16">
        <v>339</v>
      </c>
      <c r="B347" s="10" t="s">
        <v>337</v>
      </c>
      <c r="C347" s="10" t="s">
        <v>338</v>
      </c>
      <c r="D347" s="10" t="s">
        <v>238</v>
      </c>
      <c r="E347" s="24" t="s">
        <v>33</v>
      </c>
      <c r="F347" s="25">
        <v>300</v>
      </c>
      <c r="G347" s="10" t="s">
        <v>33</v>
      </c>
    </row>
    <row r="348" spans="1:7" ht="15" customHeight="1" x14ac:dyDescent="0.3">
      <c r="A348" s="16">
        <v>340</v>
      </c>
      <c r="B348" s="10" t="s">
        <v>337</v>
      </c>
      <c r="C348" s="10" t="s">
        <v>339</v>
      </c>
      <c r="D348" s="10" t="s">
        <v>238</v>
      </c>
      <c r="E348" s="24" t="s">
        <v>33</v>
      </c>
      <c r="F348" s="25">
        <v>330</v>
      </c>
      <c r="G348" s="10" t="s">
        <v>33</v>
      </c>
    </row>
    <row r="349" spans="1:7" ht="15" customHeight="1" x14ac:dyDescent="0.3">
      <c r="A349" s="16">
        <v>341</v>
      </c>
      <c r="B349" s="10" t="s">
        <v>337</v>
      </c>
      <c r="C349" s="10" t="s">
        <v>340</v>
      </c>
      <c r="D349" s="10" t="s">
        <v>238</v>
      </c>
      <c r="E349" s="24" t="s">
        <v>33</v>
      </c>
      <c r="F349" s="25">
        <v>350</v>
      </c>
      <c r="G349" s="10" t="s">
        <v>33</v>
      </c>
    </row>
    <row r="350" spans="1:7" ht="15" customHeight="1" x14ac:dyDescent="0.3">
      <c r="A350" s="16">
        <v>342</v>
      </c>
      <c r="B350" s="10" t="s">
        <v>337</v>
      </c>
      <c r="C350" s="10" t="s">
        <v>341</v>
      </c>
      <c r="D350" s="10" t="s">
        <v>238</v>
      </c>
      <c r="E350" s="24" t="s">
        <v>33</v>
      </c>
      <c r="F350" s="25">
        <v>400</v>
      </c>
      <c r="G350" s="10" t="s">
        <v>33</v>
      </c>
    </row>
    <row r="351" spans="1:7" ht="15" customHeight="1" x14ac:dyDescent="0.3">
      <c r="A351" s="16">
        <v>343</v>
      </c>
      <c r="B351" s="10" t="s">
        <v>337</v>
      </c>
      <c r="C351" s="10" t="s">
        <v>342</v>
      </c>
      <c r="D351" s="10" t="s">
        <v>238</v>
      </c>
      <c r="E351" s="24" t="s">
        <v>33</v>
      </c>
      <c r="F351" s="25">
        <v>1200</v>
      </c>
      <c r="G351" s="10" t="s">
        <v>33</v>
      </c>
    </row>
    <row r="352" spans="1:7" ht="15" customHeight="1" x14ac:dyDescent="0.3">
      <c r="A352" s="16">
        <v>344</v>
      </c>
      <c r="B352" s="10" t="s">
        <v>337</v>
      </c>
      <c r="C352" s="10" t="s">
        <v>343</v>
      </c>
      <c r="D352" s="10" t="s">
        <v>238</v>
      </c>
      <c r="E352" s="24" t="s">
        <v>33</v>
      </c>
      <c r="F352" s="25">
        <v>1500</v>
      </c>
      <c r="G352" s="10" t="s">
        <v>33</v>
      </c>
    </row>
    <row r="353" spans="1:7" ht="15" customHeight="1" x14ac:dyDescent="0.3">
      <c r="A353" s="16">
        <v>345</v>
      </c>
      <c r="B353" s="10" t="s">
        <v>337</v>
      </c>
      <c r="C353" s="10" t="s">
        <v>344</v>
      </c>
      <c r="D353" s="10" t="s">
        <v>238</v>
      </c>
      <c r="E353" s="24" t="s">
        <v>33</v>
      </c>
      <c r="F353" s="25">
        <v>2000</v>
      </c>
      <c r="G353" s="10" t="s">
        <v>33</v>
      </c>
    </row>
    <row r="354" spans="1:7" ht="15" customHeight="1" x14ac:dyDescent="0.3">
      <c r="A354" s="16">
        <v>346</v>
      </c>
      <c r="B354" s="10" t="s">
        <v>337</v>
      </c>
      <c r="C354" s="10" t="s">
        <v>345</v>
      </c>
      <c r="D354" s="10" t="s">
        <v>238</v>
      </c>
      <c r="E354" s="24" t="s">
        <v>33</v>
      </c>
      <c r="F354" s="25">
        <v>4000</v>
      </c>
      <c r="G354" s="10" t="s">
        <v>33</v>
      </c>
    </row>
    <row r="355" spans="1:7" ht="15" customHeight="1" x14ac:dyDescent="0.3">
      <c r="A355" s="16">
        <v>347</v>
      </c>
      <c r="B355" s="10" t="s">
        <v>337</v>
      </c>
      <c r="C355" s="10" t="s">
        <v>346</v>
      </c>
      <c r="D355" s="10" t="s">
        <v>238</v>
      </c>
      <c r="E355" s="24" t="s">
        <v>33</v>
      </c>
      <c r="F355" s="25">
        <v>10000</v>
      </c>
      <c r="G355" s="10" t="s">
        <v>33</v>
      </c>
    </row>
    <row r="356" spans="1:7" ht="15" customHeight="1" x14ac:dyDescent="0.3">
      <c r="A356" s="16">
        <v>348</v>
      </c>
      <c r="B356" s="10" t="s">
        <v>337</v>
      </c>
      <c r="C356" s="10" t="s">
        <v>347</v>
      </c>
      <c r="D356" s="10" t="s">
        <v>238</v>
      </c>
      <c r="E356" s="24" t="s">
        <v>33</v>
      </c>
      <c r="F356" s="25">
        <v>10000</v>
      </c>
      <c r="G356" s="10" t="s">
        <v>33</v>
      </c>
    </row>
    <row r="357" spans="1:7" ht="15" customHeight="1" x14ac:dyDescent="0.3">
      <c r="A357" s="16">
        <v>349</v>
      </c>
      <c r="B357" s="10" t="s">
        <v>337</v>
      </c>
      <c r="C357" s="10" t="s">
        <v>348</v>
      </c>
      <c r="D357" s="10" t="s">
        <v>238</v>
      </c>
      <c r="E357" s="24" t="s">
        <v>33</v>
      </c>
      <c r="F357" s="25">
        <v>7500</v>
      </c>
      <c r="G357" s="10" t="s">
        <v>33</v>
      </c>
    </row>
    <row r="358" spans="1:7" ht="15" customHeight="1" x14ac:dyDescent="0.3">
      <c r="A358" s="16">
        <v>350</v>
      </c>
      <c r="B358" s="10" t="s">
        <v>337</v>
      </c>
      <c r="C358" s="10" t="s">
        <v>349</v>
      </c>
      <c r="D358" s="10" t="s">
        <v>238</v>
      </c>
      <c r="E358" s="24" t="s">
        <v>33</v>
      </c>
      <c r="F358" s="25">
        <v>10000</v>
      </c>
      <c r="G358" s="10" t="s">
        <v>33</v>
      </c>
    </row>
    <row r="359" spans="1:7" ht="15" customHeight="1" x14ac:dyDescent="0.3">
      <c r="A359" s="16">
        <v>351</v>
      </c>
      <c r="B359" s="10" t="s">
        <v>337</v>
      </c>
      <c r="C359" s="10" t="s">
        <v>350</v>
      </c>
      <c r="D359" s="10" t="s">
        <v>238</v>
      </c>
      <c r="E359" s="24" t="s">
        <v>33</v>
      </c>
      <c r="F359" s="25">
        <v>10000</v>
      </c>
      <c r="G359" s="10" t="s">
        <v>33</v>
      </c>
    </row>
    <row r="360" spans="1:7" ht="15" customHeight="1" x14ac:dyDescent="0.3">
      <c r="A360" s="16">
        <v>352</v>
      </c>
      <c r="B360" s="10" t="s">
        <v>337</v>
      </c>
      <c r="C360" s="10" t="s">
        <v>351</v>
      </c>
      <c r="D360" s="10" t="s">
        <v>238</v>
      </c>
      <c r="E360" s="24" t="s">
        <v>33</v>
      </c>
      <c r="F360" s="25">
        <v>15000</v>
      </c>
      <c r="G360" s="10" t="s">
        <v>33</v>
      </c>
    </row>
    <row r="361" spans="1:7" ht="15" customHeight="1" x14ac:dyDescent="0.3">
      <c r="A361" s="16">
        <v>353</v>
      </c>
      <c r="B361" s="10" t="s">
        <v>337</v>
      </c>
      <c r="C361" s="10" t="s">
        <v>352</v>
      </c>
      <c r="D361" s="10" t="s">
        <v>238</v>
      </c>
      <c r="E361" s="24" t="s">
        <v>33</v>
      </c>
      <c r="F361" s="25">
        <v>15000</v>
      </c>
      <c r="G361" s="10" t="s">
        <v>33</v>
      </c>
    </row>
    <row r="362" spans="1:7" ht="15" customHeight="1" x14ac:dyDescent="0.3">
      <c r="A362" s="26">
        <v>354</v>
      </c>
      <c r="B362" s="27" t="s">
        <v>337</v>
      </c>
      <c r="C362" s="27" t="s">
        <v>353</v>
      </c>
      <c r="D362" s="27" t="s">
        <v>238</v>
      </c>
      <c r="E362" s="28" t="s">
        <v>33</v>
      </c>
      <c r="F362" s="29">
        <v>15000</v>
      </c>
      <c r="G362" s="27" t="s">
        <v>270</v>
      </c>
    </row>
    <row r="363" spans="1:7" ht="15" customHeight="1" x14ac:dyDescent="0.3">
      <c r="A363" s="16">
        <v>355</v>
      </c>
      <c r="B363" s="10" t="s">
        <v>354</v>
      </c>
      <c r="C363" s="10" t="s">
        <v>355</v>
      </c>
      <c r="D363" s="10" t="s">
        <v>238</v>
      </c>
      <c r="E363" s="24" t="s">
        <v>33</v>
      </c>
      <c r="F363" s="25">
        <v>750</v>
      </c>
      <c r="G363" s="10" t="s">
        <v>33</v>
      </c>
    </row>
    <row r="364" spans="1:7" ht="15" customHeight="1" x14ac:dyDescent="0.3">
      <c r="A364" s="16">
        <v>356</v>
      </c>
      <c r="B364" s="10" t="s">
        <v>354</v>
      </c>
      <c r="C364" s="10" t="s">
        <v>356</v>
      </c>
      <c r="D364" s="10" t="s">
        <v>238</v>
      </c>
      <c r="E364" s="24" t="s">
        <v>33</v>
      </c>
      <c r="F364" s="25">
        <v>2000</v>
      </c>
      <c r="G364" s="10" t="s">
        <v>33</v>
      </c>
    </row>
    <row r="365" spans="1:7" ht="15" customHeight="1" x14ac:dyDescent="0.3">
      <c r="A365" s="16">
        <v>357</v>
      </c>
      <c r="B365" s="10" t="s">
        <v>354</v>
      </c>
      <c r="C365" s="10" t="s">
        <v>357</v>
      </c>
      <c r="D365" s="10" t="s">
        <v>238</v>
      </c>
      <c r="E365" s="24" t="s">
        <v>33</v>
      </c>
      <c r="F365" s="25">
        <v>1200</v>
      </c>
      <c r="G365" s="10" t="s">
        <v>33</v>
      </c>
    </row>
    <row r="366" spans="1:7" ht="15" customHeight="1" x14ac:dyDescent="0.3">
      <c r="A366" s="16">
        <v>358</v>
      </c>
      <c r="B366" s="10" t="s">
        <v>354</v>
      </c>
      <c r="C366" s="10" t="s">
        <v>358</v>
      </c>
      <c r="D366" s="10" t="s">
        <v>238</v>
      </c>
      <c r="E366" s="24" t="s">
        <v>33</v>
      </c>
      <c r="F366" s="25">
        <v>600</v>
      </c>
      <c r="G366" s="10" t="s">
        <v>33</v>
      </c>
    </row>
    <row r="367" spans="1:7" ht="15" customHeight="1" x14ac:dyDescent="0.3">
      <c r="A367" s="16">
        <v>359</v>
      </c>
      <c r="B367" s="10" t="s">
        <v>354</v>
      </c>
      <c r="C367" s="10" t="s">
        <v>359</v>
      </c>
      <c r="D367" s="10" t="s">
        <v>238</v>
      </c>
      <c r="E367" s="24" t="s">
        <v>33</v>
      </c>
      <c r="F367" s="25">
        <v>3000</v>
      </c>
      <c r="G367" s="10" t="s">
        <v>33</v>
      </c>
    </row>
    <row r="368" spans="1:7" ht="15" customHeight="1" x14ac:dyDescent="0.3">
      <c r="A368" s="16">
        <v>360</v>
      </c>
      <c r="B368" s="10" t="s">
        <v>354</v>
      </c>
      <c r="C368" s="10" t="s">
        <v>360</v>
      </c>
      <c r="D368" s="10" t="s">
        <v>238</v>
      </c>
      <c r="E368" s="24" t="s">
        <v>33</v>
      </c>
      <c r="F368" s="25">
        <v>3000</v>
      </c>
      <c r="G368" s="10" t="s">
        <v>33</v>
      </c>
    </row>
    <row r="369" spans="1:7" ht="15" customHeight="1" x14ac:dyDescent="0.3">
      <c r="A369" s="16">
        <v>361</v>
      </c>
      <c r="B369" s="10" t="s">
        <v>354</v>
      </c>
      <c r="C369" s="10" t="s">
        <v>361</v>
      </c>
      <c r="D369" s="10" t="s">
        <v>238</v>
      </c>
      <c r="E369" s="24" t="s">
        <v>33</v>
      </c>
      <c r="F369" s="25">
        <v>3500</v>
      </c>
      <c r="G369" s="10" t="s">
        <v>33</v>
      </c>
    </row>
    <row r="370" spans="1:7" ht="15" customHeight="1" x14ac:dyDescent="0.3">
      <c r="A370" s="16">
        <v>362</v>
      </c>
      <c r="B370" s="10" t="s">
        <v>354</v>
      </c>
      <c r="C370" s="10" t="s">
        <v>362</v>
      </c>
      <c r="D370" s="10" t="s">
        <v>238</v>
      </c>
      <c r="E370" s="24" t="s">
        <v>33</v>
      </c>
      <c r="F370" s="25">
        <v>2500</v>
      </c>
      <c r="G370" s="10" t="s">
        <v>33</v>
      </c>
    </row>
    <row r="371" spans="1:7" ht="15" customHeight="1" x14ac:dyDescent="0.3">
      <c r="A371" s="16">
        <v>363</v>
      </c>
      <c r="B371" s="10" t="s">
        <v>354</v>
      </c>
      <c r="C371" s="10" t="s">
        <v>363</v>
      </c>
      <c r="D371" s="10" t="s">
        <v>238</v>
      </c>
      <c r="E371" s="24" t="s">
        <v>33</v>
      </c>
      <c r="F371" s="25">
        <v>3000</v>
      </c>
      <c r="G371" s="10" t="s">
        <v>33</v>
      </c>
    </row>
    <row r="372" spans="1:7" ht="15" customHeight="1" x14ac:dyDescent="0.3">
      <c r="A372" s="16">
        <v>364</v>
      </c>
      <c r="B372" s="10" t="s">
        <v>354</v>
      </c>
      <c r="C372" s="10" t="s">
        <v>364</v>
      </c>
      <c r="D372" s="10" t="s">
        <v>238</v>
      </c>
      <c r="E372" s="24" t="s">
        <v>33</v>
      </c>
      <c r="F372" s="25">
        <v>3000</v>
      </c>
      <c r="G372" s="10" t="s">
        <v>33</v>
      </c>
    </row>
    <row r="373" spans="1:7" ht="15" customHeight="1" x14ac:dyDescent="0.3">
      <c r="A373" s="16">
        <v>365</v>
      </c>
      <c r="B373" s="10" t="s">
        <v>354</v>
      </c>
      <c r="C373" s="10" t="s">
        <v>365</v>
      </c>
      <c r="D373" s="10" t="s">
        <v>238</v>
      </c>
      <c r="E373" s="24" t="s">
        <v>33</v>
      </c>
      <c r="F373" s="25">
        <v>3000</v>
      </c>
      <c r="G373" s="10" t="s">
        <v>33</v>
      </c>
    </row>
    <row r="374" spans="1:7" ht="15" customHeight="1" x14ac:dyDescent="0.3">
      <c r="A374" s="16">
        <v>366</v>
      </c>
      <c r="B374" s="10" t="s">
        <v>354</v>
      </c>
      <c r="C374" s="10" t="s">
        <v>366</v>
      </c>
      <c r="D374" s="10" t="s">
        <v>238</v>
      </c>
      <c r="E374" s="24" t="s">
        <v>33</v>
      </c>
      <c r="F374" s="25">
        <v>3000</v>
      </c>
      <c r="G374" s="10" t="s">
        <v>33</v>
      </c>
    </row>
    <row r="375" spans="1:7" ht="15" customHeight="1" x14ac:dyDescent="0.3">
      <c r="A375" s="16">
        <v>367</v>
      </c>
      <c r="B375" s="10" t="s">
        <v>354</v>
      </c>
      <c r="C375" s="10" t="s">
        <v>367</v>
      </c>
      <c r="D375" s="10" t="s">
        <v>238</v>
      </c>
      <c r="E375" s="24" t="s">
        <v>33</v>
      </c>
      <c r="F375" s="25">
        <v>3000</v>
      </c>
      <c r="G375" s="10" t="s">
        <v>33</v>
      </c>
    </row>
    <row r="376" spans="1:7" ht="15" customHeight="1" x14ac:dyDescent="0.3">
      <c r="A376" s="16">
        <v>368</v>
      </c>
      <c r="B376" s="10" t="s">
        <v>354</v>
      </c>
      <c r="C376" s="10" t="s">
        <v>368</v>
      </c>
      <c r="D376" s="10" t="s">
        <v>238</v>
      </c>
      <c r="E376" s="24" t="s">
        <v>33</v>
      </c>
      <c r="F376" s="25">
        <v>2000</v>
      </c>
      <c r="G376" s="10" t="s">
        <v>33</v>
      </c>
    </row>
    <row r="377" spans="1:7" ht="15" customHeight="1" x14ac:dyDescent="0.3">
      <c r="A377" s="16">
        <v>369</v>
      </c>
      <c r="B377" s="10" t="s">
        <v>354</v>
      </c>
      <c r="C377" s="10" t="s">
        <v>369</v>
      </c>
      <c r="D377" s="10" t="s">
        <v>238</v>
      </c>
      <c r="E377" s="24" t="s">
        <v>33</v>
      </c>
      <c r="F377" s="25">
        <v>3500</v>
      </c>
      <c r="G377" s="10" t="s">
        <v>33</v>
      </c>
    </row>
    <row r="378" spans="1:7" ht="15" customHeight="1" x14ac:dyDescent="0.3">
      <c r="A378" s="16">
        <v>370</v>
      </c>
      <c r="B378" s="10" t="s">
        <v>354</v>
      </c>
      <c r="C378" s="10" t="s">
        <v>370</v>
      </c>
      <c r="D378" s="10" t="s">
        <v>238</v>
      </c>
      <c r="E378" s="24" t="s">
        <v>33</v>
      </c>
      <c r="F378" s="25">
        <v>3500</v>
      </c>
      <c r="G378" s="10" t="s">
        <v>33</v>
      </c>
    </row>
    <row r="379" spans="1:7" ht="15" customHeight="1" x14ac:dyDescent="0.3">
      <c r="A379" s="16">
        <v>371</v>
      </c>
      <c r="B379" s="10" t="s">
        <v>354</v>
      </c>
      <c r="C379" s="10" t="s">
        <v>371</v>
      </c>
      <c r="D379" s="10" t="s">
        <v>238</v>
      </c>
      <c r="E379" s="24" t="s">
        <v>33</v>
      </c>
      <c r="F379" s="25">
        <v>4000</v>
      </c>
      <c r="G379" s="10" t="s">
        <v>33</v>
      </c>
    </row>
    <row r="380" spans="1:7" ht="15" customHeight="1" x14ac:dyDescent="0.3">
      <c r="A380" s="16">
        <v>372</v>
      </c>
      <c r="B380" s="10" t="s">
        <v>354</v>
      </c>
      <c r="C380" s="10" t="s">
        <v>372</v>
      </c>
      <c r="D380" s="10" t="s">
        <v>238</v>
      </c>
      <c r="E380" s="24" t="s">
        <v>33</v>
      </c>
      <c r="F380" s="25">
        <v>4000</v>
      </c>
      <c r="G380" s="10" t="s">
        <v>33</v>
      </c>
    </row>
    <row r="381" spans="1:7" ht="15" customHeight="1" x14ac:dyDescent="0.3">
      <c r="A381" s="16">
        <v>373</v>
      </c>
      <c r="B381" s="10" t="s">
        <v>354</v>
      </c>
      <c r="C381" s="10" t="s">
        <v>373</v>
      </c>
      <c r="D381" s="10" t="s">
        <v>238</v>
      </c>
      <c r="E381" s="24" t="s">
        <v>33</v>
      </c>
      <c r="F381" s="25">
        <v>6000</v>
      </c>
      <c r="G381" s="10" t="s">
        <v>33</v>
      </c>
    </row>
    <row r="382" spans="1:7" ht="15" customHeight="1" x14ac:dyDescent="0.3">
      <c r="A382" s="16">
        <v>374</v>
      </c>
      <c r="B382" s="10" t="s">
        <v>354</v>
      </c>
      <c r="C382" s="10" t="s">
        <v>374</v>
      </c>
      <c r="D382" s="10" t="s">
        <v>238</v>
      </c>
      <c r="E382" s="24" t="s">
        <v>33</v>
      </c>
      <c r="F382" s="25">
        <v>4000</v>
      </c>
      <c r="G382" s="10" t="s">
        <v>33</v>
      </c>
    </row>
    <row r="383" spans="1:7" ht="15" customHeight="1" x14ac:dyDescent="0.3">
      <c r="A383" s="16">
        <v>375</v>
      </c>
      <c r="B383" s="10" t="s">
        <v>354</v>
      </c>
      <c r="C383" s="10" t="s">
        <v>375</v>
      </c>
      <c r="D383" s="10" t="s">
        <v>238</v>
      </c>
      <c r="E383" s="24" t="s">
        <v>33</v>
      </c>
      <c r="F383" s="25">
        <v>4000</v>
      </c>
      <c r="G383" s="10" t="s">
        <v>33</v>
      </c>
    </row>
    <row r="384" spans="1:7" ht="15" customHeight="1" x14ac:dyDescent="0.3">
      <c r="A384" s="16">
        <v>376</v>
      </c>
      <c r="B384" s="10" t="s">
        <v>354</v>
      </c>
      <c r="C384" s="10" t="s">
        <v>376</v>
      </c>
      <c r="D384" s="10" t="s">
        <v>238</v>
      </c>
      <c r="E384" s="24" t="s">
        <v>33</v>
      </c>
      <c r="F384" s="25">
        <v>5000</v>
      </c>
      <c r="G384" s="10" t="s">
        <v>33</v>
      </c>
    </row>
    <row r="385" spans="1:7" ht="15" customHeight="1" x14ac:dyDescent="0.3">
      <c r="A385" s="16">
        <v>377</v>
      </c>
      <c r="B385" s="10" t="s">
        <v>354</v>
      </c>
      <c r="C385" s="10" t="s">
        <v>377</v>
      </c>
      <c r="D385" s="10" t="s">
        <v>238</v>
      </c>
      <c r="E385" s="24" t="s">
        <v>33</v>
      </c>
      <c r="F385" s="25">
        <v>4000</v>
      </c>
      <c r="G385" s="10" t="s">
        <v>33</v>
      </c>
    </row>
    <row r="386" spans="1:7" ht="15" customHeight="1" x14ac:dyDescent="0.3">
      <c r="A386" s="16">
        <v>378</v>
      </c>
      <c r="B386" s="10" t="s">
        <v>354</v>
      </c>
      <c r="C386" s="10" t="s">
        <v>378</v>
      </c>
      <c r="D386" s="10" t="s">
        <v>238</v>
      </c>
      <c r="E386" s="24" t="s">
        <v>33</v>
      </c>
      <c r="F386" s="25">
        <v>6000</v>
      </c>
      <c r="G386" s="10" t="s">
        <v>33</v>
      </c>
    </row>
    <row r="387" spans="1:7" ht="15" customHeight="1" x14ac:dyDescent="0.3">
      <c r="A387" s="16">
        <v>379</v>
      </c>
      <c r="B387" s="10" t="s">
        <v>354</v>
      </c>
      <c r="C387" s="10" t="s">
        <v>379</v>
      </c>
      <c r="D387" s="10" t="s">
        <v>238</v>
      </c>
      <c r="E387" s="24" t="s">
        <v>33</v>
      </c>
      <c r="F387" s="25">
        <v>3500</v>
      </c>
      <c r="G387" s="10" t="s">
        <v>33</v>
      </c>
    </row>
    <row r="388" spans="1:7" ht="15" customHeight="1" x14ac:dyDescent="0.3">
      <c r="A388" s="16">
        <v>380</v>
      </c>
      <c r="B388" s="10" t="s">
        <v>354</v>
      </c>
      <c r="C388" s="10" t="s">
        <v>380</v>
      </c>
      <c r="D388" s="10" t="s">
        <v>238</v>
      </c>
      <c r="E388" s="24" t="s">
        <v>33</v>
      </c>
      <c r="F388" s="25">
        <v>5000</v>
      </c>
      <c r="G388" s="10" t="s">
        <v>33</v>
      </c>
    </row>
    <row r="389" spans="1:7" ht="15" customHeight="1" x14ac:dyDescent="0.3">
      <c r="A389" s="16">
        <v>381</v>
      </c>
      <c r="B389" s="10" t="s">
        <v>354</v>
      </c>
      <c r="C389" s="10" t="s">
        <v>381</v>
      </c>
      <c r="D389" s="10" t="s">
        <v>238</v>
      </c>
      <c r="E389" s="24" t="s">
        <v>33</v>
      </c>
      <c r="F389" s="25">
        <v>5000</v>
      </c>
      <c r="G389" s="10" t="s">
        <v>33</v>
      </c>
    </row>
    <row r="390" spans="1:7" ht="15" customHeight="1" x14ac:dyDescent="0.3">
      <c r="A390" s="16">
        <v>382</v>
      </c>
      <c r="B390" s="10" t="s">
        <v>382</v>
      </c>
      <c r="C390" s="10" t="s">
        <v>355</v>
      </c>
      <c r="D390" s="10" t="s">
        <v>238</v>
      </c>
      <c r="E390" s="24" t="s">
        <v>33</v>
      </c>
      <c r="F390" s="25">
        <v>900</v>
      </c>
      <c r="G390" s="10" t="s">
        <v>33</v>
      </c>
    </row>
    <row r="391" spans="1:7" ht="15" customHeight="1" x14ac:dyDescent="0.3">
      <c r="A391" s="16">
        <v>383</v>
      </c>
      <c r="B391" s="10" t="s">
        <v>382</v>
      </c>
      <c r="C391" s="10" t="s">
        <v>383</v>
      </c>
      <c r="D391" s="10" t="s">
        <v>238</v>
      </c>
      <c r="E391" s="24" t="s">
        <v>33</v>
      </c>
      <c r="F391" s="25">
        <v>900</v>
      </c>
      <c r="G391" s="10" t="s">
        <v>33</v>
      </c>
    </row>
    <row r="392" spans="1:7" ht="15" customHeight="1" x14ac:dyDescent="0.3">
      <c r="A392" s="16">
        <v>384</v>
      </c>
      <c r="B392" s="10" t="s">
        <v>382</v>
      </c>
      <c r="C392" s="10" t="s">
        <v>384</v>
      </c>
      <c r="D392" s="10" t="s">
        <v>238</v>
      </c>
      <c r="E392" s="24" t="s">
        <v>33</v>
      </c>
      <c r="F392" s="25">
        <v>1400</v>
      </c>
      <c r="G392" s="10" t="s">
        <v>33</v>
      </c>
    </row>
    <row r="393" spans="1:7" ht="15" customHeight="1" x14ac:dyDescent="0.3">
      <c r="A393" s="16">
        <v>385</v>
      </c>
      <c r="B393" s="10" t="s">
        <v>382</v>
      </c>
      <c r="C393" s="10" t="s">
        <v>371</v>
      </c>
      <c r="D393" s="10" t="s">
        <v>238</v>
      </c>
      <c r="E393" s="24" t="s">
        <v>33</v>
      </c>
      <c r="F393" s="25">
        <v>1600</v>
      </c>
      <c r="G393" s="10" t="s">
        <v>33</v>
      </c>
    </row>
    <row r="394" spans="1:7" ht="15" customHeight="1" x14ac:dyDescent="0.3">
      <c r="A394" s="16">
        <v>386</v>
      </c>
      <c r="B394" s="10" t="s">
        <v>382</v>
      </c>
      <c r="C394" s="10" t="s">
        <v>385</v>
      </c>
      <c r="D394" s="10" t="s">
        <v>238</v>
      </c>
      <c r="E394" s="24" t="s">
        <v>33</v>
      </c>
      <c r="F394" s="25">
        <v>2200</v>
      </c>
      <c r="G394" s="10" t="s">
        <v>33</v>
      </c>
    </row>
    <row r="395" spans="1:7" ht="15" customHeight="1" x14ac:dyDescent="0.3">
      <c r="A395" s="16">
        <v>387</v>
      </c>
      <c r="B395" s="10" t="s">
        <v>382</v>
      </c>
      <c r="C395" s="10" t="s">
        <v>386</v>
      </c>
      <c r="D395" s="10" t="s">
        <v>238</v>
      </c>
      <c r="E395" s="24" t="s">
        <v>33</v>
      </c>
      <c r="F395" s="25">
        <v>2800</v>
      </c>
      <c r="G395" s="10" t="s">
        <v>33</v>
      </c>
    </row>
    <row r="396" spans="1:7" ht="15" customHeight="1" x14ac:dyDescent="0.3">
      <c r="A396" s="16">
        <v>388</v>
      </c>
      <c r="B396" s="10" t="s">
        <v>382</v>
      </c>
      <c r="C396" s="10" t="s">
        <v>387</v>
      </c>
      <c r="D396" s="10" t="s">
        <v>238</v>
      </c>
      <c r="E396" s="24" t="s">
        <v>33</v>
      </c>
      <c r="F396" s="25">
        <v>1800</v>
      </c>
      <c r="G396" s="10" t="s">
        <v>33</v>
      </c>
    </row>
    <row r="397" spans="1:7" ht="15" customHeight="1" x14ac:dyDescent="0.3">
      <c r="A397" s="16">
        <v>389</v>
      </c>
      <c r="B397" s="10" t="s">
        <v>382</v>
      </c>
      <c r="C397" s="10" t="s">
        <v>388</v>
      </c>
      <c r="D397" s="10" t="s">
        <v>238</v>
      </c>
      <c r="E397" s="24" t="s">
        <v>33</v>
      </c>
      <c r="F397" s="25">
        <v>3500</v>
      </c>
      <c r="G397" s="10" t="s">
        <v>33</v>
      </c>
    </row>
    <row r="398" spans="1:7" ht="15" customHeight="1" x14ac:dyDescent="0.3">
      <c r="A398" s="16">
        <v>390</v>
      </c>
      <c r="B398" s="10" t="s">
        <v>382</v>
      </c>
      <c r="C398" s="10" t="s">
        <v>335</v>
      </c>
      <c r="D398" s="10" t="s">
        <v>238</v>
      </c>
      <c r="E398" s="24" t="s">
        <v>33</v>
      </c>
      <c r="F398" s="25">
        <v>3000</v>
      </c>
      <c r="G398" s="10" t="s">
        <v>33</v>
      </c>
    </row>
    <row r="399" spans="1:7" ht="15" customHeight="1" x14ac:dyDescent="0.3">
      <c r="A399" s="16">
        <v>391</v>
      </c>
      <c r="B399" s="10" t="s">
        <v>382</v>
      </c>
      <c r="C399" s="10" t="s">
        <v>389</v>
      </c>
      <c r="D399" s="10" t="s">
        <v>238</v>
      </c>
      <c r="E399" s="24" t="s">
        <v>33</v>
      </c>
      <c r="F399" s="25">
        <v>2800</v>
      </c>
      <c r="G399" s="10" t="s">
        <v>33</v>
      </c>
    </row>
    <row r="400" spans="1:7" ht="15" customHeight="1" x14ac:dyDescent="0.3">
      <c r="A400" s="16">
        <v>392</v>
      </c>
      <c r="B400" s="10" t="s">
        <v>382</v>
      </c>
      <c r="C400" s="10" t="s">
        <v>356</v>
      </c>
      <c r="D400" s="10" t="s">
        <v>238</v>
      </c>
      <c r="E400" s="24" t="s">
        <v>33</v>
      </c>
      <c r="F400" s="25">
        <v>4000</v>
      </c>
      <c r="G400" s="10" t="s">
        <v>33</v>
      </c>
    </row>
    <row r="401" spans="1:7" ht="15" customHeight="1" x14ac:dyDescent="0.3">
      <c r="A401" s="16">
        <v>393</v>
      </c>
      <c r="B401" s="10" t="s">
        <v>382</v>
      </c>
      <c r="C401" s="10" t="s">
        <v>390</v>
      </c>
      <c r="D401" s="10" t="s">
        <v>238</v>
      </c>
      <c r="E401" s="24" t="s">
        <v>33</v>
      </c>
      <c r="F401" s="25">
        <v>3500</v>
      </c>
      <c r="G401" s="10" t="s">
        <v>33</v>
      </c>
    </row>
    <row r="402" spans="1:7" ht="15" customHeight="1" x14ac:dyDescent="0.3">
      <c r="A402" s="16">
        <v>394</v>
      </c>
      <c r="B402" s="10" t="s">
        <v>382</v>
      </c>
      <c r="C402" s="10" t="s">
        <v>391</v>
      </c>
      <c r="D402" s="10" t="s">
        <v>238</v>
      </c>
      <c r="E402" s="24" t="s">
        <v>33</v>
      </c>
      <c r="F402" s="25">
        <v>6000</v>
      </c>
      <c r="G402" s="10" t="s">
        <v>33</v>
      </c>
    </row>
    <row r="403" spans="1:7" ht="15" customHeight="1" x14ac:dyDescent="0.3">
      <c r="A403" s="16">
        <v>395</v>
      </c>
      <c r="B403" s="10" t="s">
        <v>382</v>
      </c>
      <c r="C403" s="10" t="s">
        <v>392</v>
      </c>
      <c r="D403" s="10" t="s">
        <v>238</v>
      </c>
      <c r="E403" s="24" t="s">
        <v>33</v>
      </c>
      <c r="F403" s="25">
        <v>3500</v>
      </c>
      <c r="G403" s="10" t="s">
        <v>33</v>
      </c>
    </row>
    <row r="404" spans="1:7" ht="15" customHeight="1" x14ac:dyDescent="0.3">
      <c r="A404" s="16">
        <v>396</v>
      </c>
      <c r="B404" s="10" t="s">
        <v>382</v>
      </c>
      <c r="C404" s="10" t="s">
        <v>393</v>
      </c>
      <c r="D404" s="10" t="s">
        <v>238</v>
      </c>
      <c r="E404" s="24" t="s">
        <v>33</v>
      </c>
      <c r="F404" s="25">
        <v>3500</v>
      </c>
      <c r="G404" s="10" t="s">
        <v>33</v>
      </c>
    </row>
    <row r="405" spans="1:7" ht="15" customHeight="1" x14ac:dyDescent="0.3">
      <c r="A405" s="16">
        <v>397</v>
      </c>
      <c r="B405" s="10" t="s">
        <v>382</v>
      </c>
      <c r="C405" s="10" t="s">
        <v>394</v>
      </c>
      <c r="D405" s="10" t="s">
        <v>238</v>
      </c>
      <c r="E405" s="24" t="s">
        <v>33</v>
      </c>
      <c r="F405" s="25">
        <v>2500</v>
      </c>
      <c r="G405" s="10" t="s">
        <v>33</v>
      </c>
    </row>
    <row r="406" spans="1:7" ht="15" customHeight="1" x14ac:dyDescent="0.3">
      <c r="A406" s="16">
        <v>398</v>
      </c>
      <c r="B406" s="10" t="s">
        <v>382</v>
      </c>
      <c r="C406" s="10" t="s">
        <v>395</v>
      </c>
      <c r="D406" s="10" t="s">
        <v>238</v>
      </c>
      <c r="E406" s="24" t="s">
        <v>33</v>
      </c>
      <c r="F406" s="25">
        <v>5000</v>
      </c>
      <c r="G406" s="10" t="s">
        <v>33</v>
      </c>
    </row>
    <row r="407" spans="1:7" ht="15" customHeight="1" x14ac:dyDescent="0.3">
      <c r="A407" s="16">
        <v>399</v>
      </c>
      <c r="B407" s="10" t="s">
        <v>382</v>
      </c>
      <c r="C407" s="10" t="s">
        <v>396</v>
      </c>
      <c r="D407" s="10" t="s">
        <v>238</v>
      </c>
      <c r="E407" s="24" t="s">
        <v>33</v>
      </c>
      <c r="F407" s="25">
        <v>4000</v>
      </c>
      <c r="G407" s="10" t="s">
        <v>33</v>
      </c>
    </row>
    <row r="408" spans="1:7" ht="15" customHeight="1" x14ac:dyDescent="0.3">
      <c r="A408" s="16">
        <v>400</v>
      </c>
      <c r="B408" s="10" t="s">
        <v>382</v>
      </c>
      <c r="C408" s="10" t="s">
        <v>333</v>
      </c>
      <c r="D408" s="10" t="s">
        <v>238</v>
      </c>
      <c r="E408" s="24" t="s">
        <v>33</v>
      </c>
      <c r="F408" s="25">
        <v>2200</v>
      </c>
      <c r="G408" s="10" t="s">
        <v>33</v>
      </c>
    </row>
    <row r="409" spans="1:7" ht="15" customHeight="1" x14ac:dyDescent="0.3">
      <c r="A409" s="16">
        <v>401</v>
      </c>
      <c r="B409" s="10" t="s">
        <v>382</v>
      </c>
      <c r="C409" s="10" t="s">
        <v>331</v>
      </c>
      <c r="D409" s="10" t="s">
        <v>238</v>
      </c>
      <c r="E409" s="24" t="s">
        <v>33</v>
      </c>
      <c r="F409" s="25">
        <v>3000</v>
      </c>
      <c r="G409" s="10" t="s">
        <v>33</v>
      </c>
    </row>
    <row r="410" spans="1:7" ht="15" customHeight="1" x14ac:dyDescent="0.3">
      <c r="A410" s="16">
        <v>402</v>
      </c>
      <c r="B410" s="10" t="s">
        <v>382</v>
      </c>
      <c r="C410" s="10" t="s">
        <v>397</v>
      </c>
      <c r="D410" s="10" t="s">
        <v>238</v>
      </c>
      <c r="E410" s="24" t="s">
        <v>33</v>
      </c>
      <c r="F410" s="25">
        <v>6000</v>
      </c>
      <c r="G410" s="10" t="s">
        <v>33</v>
      </c>
    </row>
    <row r="411" spans="1:7" ht="15" customHeight="1" x14ac:dyDescent="0.3">
      <c r="A411" s="16">
        <v>403</v>
      </c>
      <c r="B411" s="10" t="s">
        <v>382</v>
      </c>
      <c r="C411" s="10" t="s">
        <v>398</v>
      </c>
      <c r="D411" s="10" t="s">
        <v>238</v>
      </c>
      <c r="E411" s="24" t="s">
        <v>33</v>
      </c>
      <c r="F411" s="25">
        <v>4500</v>
      </c>
      <c r="G411" s="10" t="s">
        <v>33</v>
      </c>
    </row>
    <row r="412" spans="1:7" ht="15" customHeight="1" x14ac:dyDescent="0.3">
      <c r="A412" s="16">
        <v>404</v>
      </c>
      <c r="B412" s="10" t="s">
        <v>382</v>
      </c>
      <c r="C412" s="10" t="s">
        <v>399</v>
      </c>
      <c r="D412" s="10" t="s">
        <v>238</v>
      </c>
      <c r="E412" s="24" t="s">
        <v>33</v>
      </c>
      <c r="F412" s="25">
        <v>5500</v>
      </c>
      <c r="G412" s="10" t="s">
        <v>33</v>
      </c>
    </row>
    <row r="413" spans="1:7" ht="15" customHeight="1" x14ac:dyDescent="0.3">
      <c r="A413" s="16">
        <v>405</v>
      </c>
      <c r="B413" s="10" t="s">
        <v>382</v>
      </c>
      <c r="C413" s="10" t="s">
        <v>363</v>
      </c>
      <c r="D413" s="10" t="s">
        <v>238</v>
      </c>
      <c r="E413" s="24" t="s">
        <v>33</v>
      </c>
      <c r="F413" s="25">
        <v>5000</v>
      </c>
      <c r="G413" s="10" t="s">
        <v>33</v>
      </c>
    </row>
    <row r="414" spans="1:7" ht="15" customHeight="1" x14ac:dyDescent="0.3">
      <c r="A414" s="16">
        <v>406</v>
      </c>
      <c r="B414" s="10" t="s">
        <v>382</v>
      </c>
      <c r="C414" s="10" t="s">
        <v>324</v>
      </c>
      <c r="D414" s="10" t="s">
        <v>238</v>
      </c>
      <c r="E414" s="24" t="s">
        <v>33</v>
      </c>
      <c r="F414" s="25">
        <v>1800</v>
      </c>
      <c r="G414" s="10" t="s">
        <v>33</v>
      </c>
    </row>
    <row r="415" spans="1:7" ht="15" customHeight="1" x14ac:dyDescent="0.3">
      <c r="A415" s="16">
        <v>407</v>
      </c>
      <c r="B415" s="10" t="s">
        <v>382</v>
      </c>
      <c r="C415" s="10" t="s">
        <v>358</v>
      </c>
      <c r="D415" s="10" t="s">
        <v>238</v>
      </c>
      <c r="E415" s="24" t="s">
        <v>33</v>
      </c>
      <c r="F415" s="25">
        <v>3000</v>
      </c>
      <c r="G415" s="10" t="s">
        <v>33</v>
      </c>
    </row>
    <row r="416" spans="1:7" ht="15" customHeight="1" x14ac:dyDescent="0.3">
      <c r="A416" s="16">
        <v>408</v>
      </c>
      <c r="B416" s="10" t="s">
        <v>382</v>
      </c>
      <c r="C416" s="10" t="s">
        <v>400</v>
      </c>
      <c r="D416" s="10" t="s">
        <v>238</v>
      </c>
      <c r="E416" s="24" t="s">
        <v>33</v>
      </c>
      <c r="F416" s="25">
        <v>6000</v>
      </c>
      <c r="G416" s="10" t="s">
        <v>33</v>
      </c>
    </row>
    <row r="417" spans="1:7" ht="15" customHeight="1" x14ac:dyDescent="0.3">
      <c r="A417" s="16">
        <v>409</v>
      </c>
      <c r="B417" s="10" t="s">
        <v>382</v>
      </c>
      <c r="C417" s="10" t="s">
        <v>401</v>
      </c>
      <c r="D417" s="10" t="s">
        <v>238</v>
      </c>
      <c r="E417" s="24" t="s">
        <v>33</v>
      </c>
      <c r="F417" s="25">
        <v>8000</v>
      </c>
      <c r="G417" s="10" t="s">
        <v>33</v>
      </c>
    </row>
    <row r="418" spans="1:7" ht="15" customHeight="1" x14ac:dyDescent="0.3">
      <c r="A418" s="16">
        <v>410</v>
      </c>
      <c r="B418" s="10" t="s">
        <v>382</v>
      </c>
      <c r="C418" s="10" t="s">
        <v>402</v>
      </c>
      <c r="D418" s="10" t="s">
        <v>238</v>
      </c>
      <c r="E418" s="24" t="s">
        <v>33</v>
      </c>
      <c r="F418" s="25">
        <v>6500</v>
      </c>
      <c r="G418" s="10" t="s">
        <v>33</v>
      </c>
    </row>
    <row r="419" spans="1:7" ht="15" customHeight="1" x14ac:dyDescent="0.3">
      <c r="A419" s="16">
        <v>411</v>
      </c>
      <c r="B419" s="10" t="s">
        <v>382</v>
      </c>
      <c r="C419" s="10" t="s">
        <v>403</v>
      </c>
      <c r="D419" s="10" t="s">
        <v>238</v>
      </c>
      <c r="E419" s="24" t="s">
        <v>33</v>
      </c>
      <c r="F419" s="25">
        <v>5500</v>
      </c>
      <c r="G419" s="10" t="s">
        <v>33</v>
      </c>
    </row>
    <row r="420" spans="1:7" ht="15" customHeight="1" x14ac:dyDescent="0.3">
      <c r="A420" s="16">
        <v>412</v>
      </c>
      <c r="B420" s="10" t="s">
        <v>382</v>
      </c>
      <c r="C420" s="10" t="s">
        <v>361</v>
      </c>
      <c r="D420" s="10" t="s">
        <v>238</v>
      </c>
      <c r="E420" s="24" t="s">
        <v>33</v>
      </c>
      <c r="F420" s="25">
        <v>6000</v>
      </c>
      <c r="G420" s="10" t="s">
        <v>33</v>
      </c>
    </row>
    <row r="421" spans="1:7" ht="15" customHeight="1" x14ac:dyDescent="0.3">
      <c r="A421" s="16">
        <v>413</v>
      </c>
      <c r="B421" s="10" t="s">
        <v>382</v>
      </c>
      <c r="C421" s="10" t="s">
        <v>364</v>
      </c>
      <c r="D421" s="10" t="s">
        <v>238</v>
      </c>
      <c r="E421" s="24" t="s">
        <v>33</v>
      </c>
      <c r="F421" s="25">
        <v>5000</v>
      </c>
      <c r="G421" s="10" t="s">
        <v>33</v>
      </c>
    </row>
    <row r="422" spans="1:7" ht="15" customHeight="1" x14ac:dyDescent="0.3">
      <c r="A422" s="16">
        <v>414</v>
      </c>
      <c r="B422" s="10" t="s">
        <v>382</v>
      </c>
      <c r="C422" s="10" t="s">
        <v>404</v>
      </c>
      <c r="D422" s="10" t="s">
        <v>238</v>
      </c>
      <c r="E422" s="24" t="s">
        <v>33</v>
      </c>
      <c r="F422" s="25">
        <v>4000</v>
      </c>
      <c r="G422" s="10" t="s">
        <v>33</v>
      </c>
    </row>
    <row r="423" spans="1:7" ht="15" customHeight="1" x14ac:dyDescent="0.3">
      <c r="A423" s="16">
        <v>415</v>
      </c>
      <c r="B423" s="10" t="s">
        <v>382</v>
      </c>
      <c r="C423" s="10" t="s">
        <v>405</v>
      </c>
      <c r="D423" s="10" t="s">
        <v>238</v>
      </c>
      <c r="E423" s="24" t="s">
        <v>33</v>
      </c>
      <c r="F423" s="25">
        <v>5000</v>
      </c>
      <c r="G423" s="10" t="s">
        <v>33</v>
      </c>
    </row>
    <row r="424" spans="1:7" ht="15" customHeight="1" x14ac:dyDescent="0.3">
      <c r="A424" s="16">
        <v>416</v>
      </c>
      <c r="B424" s="10" t="s">
        <v>382</v>
      </c>
      <c r="C424" s="10" t="s">
        <v>406</v>
      </c>
      <c r="D424" s="10" t="s">
        <v>238</v>
      </c>
      <c r="E424" s="24" t="s">
        <v>33</v>
      </c>
      <c r="F424" s="25">
        <v>6000</v>
      </c>
      <c r="G424" s="10" t="s">
        <v>33</v>
      </c>
    </row>
    <row r="425" spans="1:7" ht="15" customHeight="1" x14ac:dyDescent="0.3">
      <c r="A425" s="16">
        <v>417</v>
      </c>
      <c r="B425" s="10" t="s">
        <v>382</v>
      </c>
      <c r="C425" s="10" t="s">
        <v>407</v>
      </c>
      <c r="D425" s="10" t="s">
        <v>238</v>
      </c>
      <c r="E425" s="24" t="s">
        <v>33</v>
      </c>
      <c r="F425" s="25">
        <v>5000</v>
      </c>
      <c r="G425" s="10" t="s">
        <v>33</v>
      </c>
    </row>
    <row r="426" spans="1:7" ht="15" customHeight="1" x14ac:dyDescent="0.3">
      <c r="A426" s="16">
        <v>418</v>
      </c>
      <c r="B426" s="10" t="s">
        <v>382</v>
      </c>
      <c r="C426" s="10" t="s">
        <v>408</v>
      </c>
      <c r="D426" s="10" t="s">
        <v>238</v>
      </c>
      <c r="E426" s="24" t="s">
        <v>33</v>
      </c>
      <c r="F426" s="25">
        <v>3500</v>
      </c>
      <c r="G426" s="10" t="s">
        <v>33</v>
      </c>
    </row>
    <row r="427" spans="1:7" ht="15" customHeight="1" x14ac:dyDescent="0.3">
      <c r="A427" s="16">
        <v>419</v>
      </c>
      <c r="B427" s="10" t="s">
        <v>382</v>
      </c>
      <c r="C427" s="10" t="s">
        <v>409</v>
      </c>
      <c r="D427" s="10" t="s">
        <v>238</v>
      </c>
      <c r="E427" s="24" t="s">
        <v>33</v>
      </c>
      <c r="F427" s="25">
        <v>4000</v>
      </c>
      <c r="G427" s="10" t="s">
        <v>33</v>
      </c>
    </row>
    <row r="428" spans="1:7" ht="15" customHeight="1" x14ac:dyDescent="0.3">
      <c r="A428" s="16">
        <v>420</v>
      </c>
      <c r="B428" s="10" t="s">
        <v>382</v>
      </c>
      <c r="C428" s="10" t="s">
        <v>410</v>
      </c>
      <c r="D428" s="10" t="s">
        <v>238</v>
      </c>
      <c r="E428" s="24" t="s">
        <v>33</v>
      </c>
      <c r="F428" s="25">
        <v>6000</v>
      </c>
      <c r="G428" s="10" t="s">
        <v>33</v>
      </c>
    </row>
    <row r="429" spans="1:7" ht="15" customHeight="1" x14ac:dyDescent="0.3">
      <c r="A429" s="16">
        <v>421</v>
      </c>
      <c r="B429" s="10" t="s">
        <v>382</v>
      </c>
      <c r="C429" s="10" t="s">
        <v>336</v>
      </c>
      <c r="D429" s="10" t="s">
        <v>238</v>
      </c>
      <c r="E429" s="24" t="s">
        <v>33</v>
      </c>
      <c r="F429" s="25">
        <v>3000</v>
      </c>
      <c r="G429" s="10" t="s">
        <v>33</v>
      </c>
    </row>
    <row r="430" spans="1:7" ht="15" customHeight="1" x14ac:dyDescent="0.3">
      <c r="A430" s="16">
        <v>422</v>
      </c>
      <c r="B430" s="10" t="s">
        <v>411</v>
      </c>
      <c r="C430" s="10" t="s">
        <v>412</v>
      </c>
      <c r="D430" s="10" t="s">
        <v>238</v>
      </c>
      <c r="E430" s="24" t="s">
        <v>33</v>
      </c>
      <c r="F430" s="25">
        <v>800</v>
      </c>
      <c r="G430" s="10" t="s">
        <v>33</v>
      </c>
    </row>
    <row r="431" spans="1:7" ht="15" customHeight="1" x14ac:dyDescent="0.3">
      <c r="A431" s="16">
        <v>423</v>
      </c>
      <c r="B431" s="10" t="s">
        <v>411</v>
      </c>
      <c r="C431" s="10" t="s">
        <v>413</v>
      </c>
      <c r="D431" s="10" t="s">
        <v>238</v>
      </c>
      <c r="E431" s="24" t="s">
        <v>33</v>
      </c>
      <c r="F431" s="25">
        <v>1000</v>
      </c>
      <c r="G431" s="10" t="s">
        <v>33</v>
      </c>
    </row>
    <row r="432" spans="1:7" ht="15" customHeight="1" x14ac:dyDescent="0.3">
      <c r="A432" s="26">
        <v>424</v>
      </c>
      <c r="B432" s="27" t="s">
        <v>411</v>
      </c>
      <c r="C432" s="27" t="s">
        <v>414</v>
      </c>
      <c r="D432" s="27" t="s">
        <v>238</v>
      </c>
      <c r="E432" s="28" t="s">
        <v>33</v>
      </c>
      <c r="F432" s="29">
        <v>1000</v>
      </c>
      <c r="G432" s="27" t="s">
        <v>270</v>
      </c>
    </row>
    <row r="433" spans="1:7" ht="15" customHeight="1" x14ac:dyDescent="0.3">
      <c r="A433" s="16">
        <v>425</v>
      </c>
      <c r="B433" s="10" t="s">
        <v>411</v>
      </c>
      <c r="C433" s="10" t="s">
        <v>415</v>
      </c>
      <c r="D433" s="10" t="s">
        <v>238</v>
      </c>
      <c r="E433" s="24" t="s">
        <v>33</v>
      </c>
      <c r="F433" s="25">
        <v>1200</v>
      </c>
      <c r="G433" s="10" t="s">
        <v>33</v>
      </c>
    </row>
    <row r="434" spans="1:7" ht="15" customHeight="1" x14ac:dyDescent="0.3">
      <c r="A434" s="16">
        <v>426</v>
      </c>
      <c r="B434" s="10" t="s">
        <v>411</v>
      </c>
      <c r="C434" s="10" t="s">
        <v>416</v>
      </c>
      <c r="D434" s="10" t="s">
        <v>238</v>
      </c>
      <c r="E434" s="24" t="s">
        <v>33</v>
      </c>
      <c r="F434" s="25">
        <v>1200</v>
      </c>
      <c r="G434" s="10" t="s">
        <v>33</v>
      </c>
    </row>
    <row r="435" spans="1:7" ht="15" customHeight="1" x14ac:dyDescent="0.3">
      <c r="A435" s="16">
        <v>427</v>
      </c>
      <c r="B435" s="10" t="s">
        <v>411</v>
      </c>
      <c r="C435" s="10" t="s">
        <v>417</v>
      </c>
      <c r="D435" s="10" t="s">
        <v>238</v>
      </c>
      <c r="E435" s="24" t="s">
        <v>33</v>
      </c>
      <c r="F435" s="25">
        <v>1400</v>
      </c>
      <c r="G435" s="10" t="s">
        <v>33</v>
      </c>
    </row>
    <row r="436" spans="1:7" ht="15" customHeight="1" x14ac:dyDescent="0.3">
      <c r="A436" s="16">
        <v>428</v>
      </c>
      <c r="B436" s="10" t="s">
        <v>411</v>
      </c>
      <c r="C436" s="10" t="s">
        <v>418</v>
      </c>
      <c r="D436" s="10" t="s">
        <v>238</v>
      </c>
      <c r="E436" s="24" t="s">
        <v>33</v>
      </c>
      <c r="F436" s="25">
        <v>1500</v>
      </c>
      <c r="G436" s="10" t="s">
        <v>33</v>
      </c>
    </row>
    <row r="437" spans="1:7" ht="15" customHeight="1" x14ac:dyDescent="0.3">
      <c r="A437" s="16">
        <v>429</v>
      </c>
      <c r="B437" s="10" t="s">
        <v>411</v>
      </c>
      <c r="C437" s="10" t="s">
        <v>419</v>
      </c>
      <c r="D437" s="10" t="s">
        <v>238</v>
      </c>
      <c r="E437" s="24" t="s">
        <v>33</v>
      </c>
      <c r="F437" s="25">
        <v>1200</v>
      </c>
      <c r="G437" s="10" t="s">
        <v>33</v>
      </c>
    </row>
    <row r="438" spans="1:7" ht="15" customHeight="1" x14ac:dyDescent="0.3">
      <c r="A438" s="16">
        <v>430</v>
      </c>
      <c r="B438" s="10" t="s">
        <v>411</v>
      </c>
      <c r="C438" s="10" t="s">
        <v>420</v>
      </c>
      <c r="D438" s="10" t="s">
        <v>238</v>
      </c>
      <c r="E438" s="24" t="s">
        <v>33</v>
      </c>
      <c r="F438" s="25">
        <v>1800</v>
      </c>
      <c r="G438" s="10" t="s">
        <v>33</v>
      </c>
    </row>
    <row r="439" spans="1:7" ht="15" customHeight="1" x14ac:dyDescent="0.3">
      <c r="A439" s="16">
        <v>431</v>
      </c>
      <c r="B439" s="10" t="s">
        <v>411</v>
      </c>
      <c r="C439" s="10" t="s">
        <v>421</v>
      </c>
      <c r="D439" s="10" t="s">
        <v>238</v>
      </c>
      <c r="E439" s="24" t="s">
        <v>33</v>
      </c>
      <c r="F439" s="25">
        <v>2200</v>
      </c>
      <c r="G439" s="10" t="s">
        <v>33</v>
      </c>
    </row>
    <row r="440" spans="1:7" ht="15" customHeight="1" x14ac:dyDescent="0.3">
      <c r="A440" s="16">
        <v>432</v>
      </c>
      <c r="B440" s="10" t="s">
        <v>411</v>
      </c>
      <c r="C440" s="10" t="s">
        <v>422</v>
      </c>
      <c r="D440" s="10" t="s">
        <v>238</v>
      </c>
      <c r="E440" s="24" t="s">
        <v>33</v>
      </c>
      <c r="F440" s="25">
        <v>1200</v>
      </c>
      <c r="G440" s="10" t="s">
        <v>33</v>
      </c>
    </row>
    <row r="441" spans="1:7" ht="15" customHeight="1" x14ac:dyDescent="0.3">
      <c r="A441" s="16">
        <v>433</v>
      </c>
      <c r="B441" s="10" t="s">
        <v>411</v>
      </c>
      <c r="C441" s="10" t="s">
        <v>423</v>
      </c>
      <c r="D441" s="10" t="s">
        <v>238</v>
      </c>
      <c r="E441" s="24" t="s">
        <v>33</v>
      </c>
      <c r="F441" s="25">
        <v>2200</v>
      </c>
      <c r="G441" s="10" t="s">
        <v>33</v>
      </c>
    </row>
    <row r="442" spans="1:7" ht="15" customHeight="1" x14ac:dyDescent="0.3">
      <c r="A442" s="16">
        <v>434</v>
      </c>
      <c r="B442" s="10" t="s">
        <v>411</v>
      </c>
      <c r="C442" s="10" t="s">
        <v>424</v>
      </c>
      <c r="D442" s="10" t="s">
        <v>238</v>
      </c>
      <c r="E442" s="24" t="s">
        <v>33</v>
      </c>
      <c r="F442" s="25">
        <v>2500</v>
      </c>
      <c r="G442" s="10" t="s">
        <v>33</v>
      </c>
    </row>
    <row r="443" spans="1:7" ht="15" customHeight="1" x14ac:dyDescent="0.3">
      <c r="A443" s="16">
        <v>435</v>
      </c>
      <c r="B443" s="10" t="s">
        <v>411</v>
      </c>
      <c r="C443" s="10" t="s">
        <v>425</v>
      </c>
      <c r="D443" s="10" t="s">
        <v>238</v>
      </c>
      <c r="E443" s="24" t="s">
        <v>33</v>
      </c>
      <c r="F443" s="25">
        <v>2000</v>
      </c>
      <c r="G443" s="10" t="s">
        <v>33</v>
      </c>
    </row>
    <row r="444" spans="1:7" ht="15" customHeight="1" x14ac:dyDescent="0.3">
      <c r="A444" s="16">
        <v>436</v>
      </c>
      <c r="B444" s="10" t="s">
        <v>411</v>
      </c>
      <c r="C444" s="10" t="s">
        <v>426</v>
      </c>
      <c r="D444" s="10" t="s">
        <v>238</v>
      </c>
      <c r="E444" s="24" t="s">
        <v>33</v>
      </c>
      <c r="F444" s="25">
        <v>2000</v>
      </c>
      <c r="G444" s="10" t="s">
        <v>33</v>
      </c>
    </row>
    <row r="445" spans="1:7" ht="15" customHeight="1" x14ac:dyDescent="0.3">
      <c r="A445" s="16">
        <v>437</v>
      </c>
      <c r="B445" s="10" t="s">
        <v>411</v>
      </c>
      <c r="C445" s="10" t="s">
        <v>427</v>
      </c>
      <c r="D445" s="10" t="s">
        <v>238</v>
      </c>
      <c r="E445" s="24" t="s">
        <v>33</v>
      </c>
      <c r="F445" s="25">
        <v>3000</v>
      </c>
      <c r="G445" s="10" t="s">
        <v>33</v>
      </c>
    </row>
    <row r="446" spans="1:7" ht="15" customHeight="1" x14ac:dyDescent="0.3">
      <c r="A446" s="16">
        <v>438</v>
      </c>
      <c r="B446" s="10" t="s">
        <v>411</v>
      </c>
      <c r="C446" s="10" t="s">
        <v>428</v>
      </c>
      <c r="D446" s="10" t="s">
        <v>238</v>
      </c>
      <c r="E446" s="24" t="s">
        <v>33</v>
      </c>
      <c r="F446" s="25">
        <v>2800</v>
      </c>
      <c r="G446" s="10" t="s">
        <v>33</v>
      </c>
    </row>
    <row r="447" spans="1:7" ht="15" customHeight="1" x14ac:dyDescent="0.3">
      <c r="A447" s="16">
        <v>439</v>
      </c>
      <c r="B447" s="10" t="s">
        <v>411</v>
      </c>
      <c r="C447" s="10" t="s">
        <v>429</v>
      </c>
      <c r="D447" s="10" t="s">
        <v>238</v>
      </c>
      <c r="E447" s="24" t="s">
        <v>33</v>
      </c>
      <c r="F447" s="25">
        <v>2800</v>
      </c>
      <c r="G447" s="10" t="s">
        <v>33</v>
      </c>
    </row>
    <row r="448" spans="1:7" ht="15" customHeight="1" x14ac:dyDescent="0.3">
      <c r="A448" s="16">
        <v>440</v>
      </c>
      <c r="B448" s="10" t="s">
        <v>411</v>
      </c>
      <c r="C448" s="10" t="s">
        <v>430</v>
      </c>
      <c r="D448" s="10" t="s">
        <v>238</v>
      </c>
      <c r="E448" s="24" t="s">
        <v>33</v>
      </c>
      <c r="F448" s="25">
        <v>2500</v>
      </c>
      <c r="G448" s="10" t="s">
        <v>33</v>
      </c>
    </row>
    <row r="449" spans="1:7" ht="15" customHeight="1" x14ac:dyDescent="0.3">
      <c r="A449" s="16">
        <v>441</v>
      </c>
      <c r="B449" s="10" t="s">
        <v>411</v>
      </c>
      <c r="C449" s="10" t="s">
        <v>431</v>
      </c>
      <c r="D449" s="10" t="s">
        <v>238</v>
      </c>
      <c r="E449" s="24" t="s">
        <v>33</v>
      </c>
      <c r="F449" s="25">
        <v>3000</v>
      </c>
      <c r="G449" s="10" t="s">
        <v>33</v>
      </c>
    </row>
    <row r="450" spans="1:7" ht="15" customHeight="1" x14ac:dyDescent="0.3">
      <c r="A450" s="16">
        <v>442</v>
      </c>
      <c r="B450" s="10" t="s">
        <v>411</v>
      </c>
      <c r="C450" s="10" t="s">
        <v>432</v>
      </c>
      <c r="D450" s="10" t="s">
        <v>238</v>
      </c>
      <c r="E450" s="24" t="s">
        <v>33</v>
      </c>
      <c r="F450" s="25">
        <v>2500</v>
      </c>
      <c r="G450" s="10" t="s">
        <v>33</v>
      </c>
    </row>
    <row r="451" spans="1:7" ht="15" customHeight="1" x14ac:dyDescent="0.3">
      <c r="A451" s="16">
        <v>443</v>
      </c>
      <c r="B451" s="10" t="s">
        <v>411</v>
      </c>
      <c r="C451" s="10" t="s">
        <v>433</v>
      </c>
      <c r="D451" s="10" t="s">
        <v>238</v>
      </c>
      <c r="E451" s="24" t="s">
        <v>33</v>
      </c>
      <c r="F451" s="25">
        <v>2500</v>
      </c>
      <c r="G451" s="10" t="s">
        <v>33</v>
      </c>
    </row>
    <row r="452" spans="1:7" ht="15" customHeight="1" x14ac:dyDescent="0.3">
      <c r="A452" s="16">
        <v>444</v>
      </c>
      <c r="B452" s="10" t="s">
        <v>411</v>
      </c>
      <c r="C452" s="10" t="s">
        <v>434</v>
      </c>
      <c r="D452" s="10" t="s">
        <v>238</v>
      </c>
      <c r="E452" s="24" t="s">
        <v>33</v>
      </c>
      <c r="F452" s="25">
        <v>3300</v>
      </c>
      <c r="G452" s="10" t="s">
        <v>33</v>
      </c>
    </row>
    <row r="453" spans="1:7" ht="15" customHeight="1" x14ac:dyDescent="0.3">
      <c r="A453" s="16">
        <v>445</v>
      </c>
      <c r="B453" s="10" t="s">
        <v>411</v>
      </c>
      <c r="C453" s="10" t="s">
        <v>435</v>
      </c>
      <c r="D453" s="10" t="s">
        <v>238</v>
      </c>
      <c r="E453" s="24" t="s">
        <v>33</v>
      </c>
      <c r="F453" s="25">
        <v>3300</v>
      </c>
      <c r="G453" s="10" t="s">
        <v>33</v>
      </c>
    </row>
    <row r="454" spans="1:7" ht="15" customHeight="1" x14ac:dyDescent="0.3">
      <c r="A454" s="16">
        <v>446</v>
      </c>
      <c r="B454" s="10" t="s">
        <v>411</v>
      </c>
      <c r="C454" s="10" t="s">
        <v>436</v>
      </c>
      <c r="D454" s="10" t="s">
        <v>238</v>
      </c>
      <c r="E454" s="24" t="s">
        <v>33</v>
      </c>
      <c r="F454" s="25">
        <v>4000</v>
      </c>
      <c r="G454" s="10" t="s">
        <v>33</v>
      </c>
    </row>
    <row r="455" spans="1:7" ht="15" customHeight="1" x14ac:dyDescent="0.3">
      <c r="A455" s="16">
        <v>447</v>
      </c>
      <c r="B455" s="10" t="s">
        <v>411</v>
      </c>
      <c r="C455" s="10" t="s">
        <v>437</v>
      </c>
      <c r="D455" s="10" t="s">
        <v>238</v>
      </c>
      <c r="E455" s="24" t="s">
        <v>33</v>
      </c>
      <c r="F455" s="25">
        <v>4000</v>
      </c>
      <c r="G455" s="10" t="s">
        <v>33</v>
      </c>
    </row>
    <row r="456" spans="1:7" ht="15" customHeight="1" x14ac:dyDescent="0.3">
      <c r="A456" s="16">
        <v>448</v>
      </c>
      <c r="B456" s="10" t="s">
        <v>411</v>
      </c>
      <c r="C456" s="10" t="s">
        <v>438</v>
      </c>
      <c r="D456" s="10" t="s">
        <v>238</v>
      </c>
      <c r="E456" s="24" t="s">
        <v>33</v>
      </c>
      <c r="F456" s="25">
        <v>5000</v>
      </c>
      <c r="G456" s="10" t="s">
        <v>33</v>
      </c>
    </row>
    <row r="457" spans="1:7" ht="15" customHeight="1" x14ac:dyDescent="0.3">
      <c r="A457" s="16">
        <v>449</v>
      </c>
      <c r="B457" s="10" t="s">
        <v>411</v>
      </c>
      <c r="C457" s="10" t="s">
        <v>439</v>
      </c>
      <c r="D457" s="10" t="s">
        <v>238</v>
      </c>
      <c r="E457" s="24" t="s">
        <v>33</v>
      </c>
      <c r="F457" s="25">
        <v>6000</v>
      </c>
      <c r="G457" s="10" t="s">
        <v>33</v>
      </c>
    </row>
    <row r="458" spans="1:7" ht="15" customHeight="1" x14ac:dyDescent="0.3">
      <c r="A458" s="16">
        <v>450</v>
      </c>
      <c r="B458" s="10" t="s">
        <v>411</v>
      </c>
      <c r="C458" s="10" t="s">
        <v>440</v>
      </c>
      <c r="D458" s="10" t="s">
        <v>238</v>
      </c>
      <c r="E458" s="24" t="s">
        <v>33</v>
      </c>
      <c r="F458" s="25">
        <v>6000</v>
      </c>
      <c r="G458" s="10" t="s">
        <v>33</v>
      </c>
    </row>
    <row r="459" spans="1:7" ht="15" customHeight="1" x14ac:dyDescent="0.3">
      <c r="A459" s="16">
        <v>451</v>
      </c>
      <c r="B459" s="10" t="s">
        <v>411</v>
      </c>
      <c r="C459" s="10" t="s">
        <v>441</v>
      </c>
      <c r="D459" s="10" t="s">
        <v>238</v>
      </c>
      <c r="E459" s="24" t="s">
        <v>33</v>
      </c>
      <c r="F459" s="25">
        <v>8000</v>
      </c>
      <c r="G459" s="10" t="s">
        <v>33</v>
      </c>
    </row>
    <row r="460" spans="1:7" ht="15" customHeight="1" x14ac:dyDescent="0.3">
      <c r="A460" s="16">
        <v>452</v>
      </c>
      <c r="B460" s="10" t="s">
        <v>442</v>
      </c>
      <c r="C460" s="10" t="s">
        <v>295</v>
      </c>
      <c r="D460" s="10" t="s">
        <v>238</v>
      </c>
      <c r="E460" s="24" t="s">
        <v>33</v>
      </c>
      <c r="F460" s="25">
        <v>800</v>
      </c>
      <c r="G460" s="10" t="s">
        <v>33</v>
      </c>
    </row>
    <row r="461" spans="1:7" ht="15" customHeight="1" x14ac:dyDescent="0.3">
      <c r="A461" s="16">
        <v>453</v>
      </c>
      <c r="B461" s="10" t="s">
        <v>442</v>
      </c>
      <c r="C461" s="10" t="s">
        <v>302</v>
      </c>
      <c r="D461" s="10" t="s">
        <v>238</v>
      </c>
      <c r="E461" s="24" t="s">
        <v>33</v>
      </c>
      <c r="F461" s="25">
        <v>700</v>
      </c>
      <c r="G461" s="10" t="s">
        <v>33</v>
      </c>
    </row>
    <row r="462" spans="1:7" ht="15" customHeight="1" x14ac:dyDescent="0.3">
      <c r="A462" s="16">
        <v>454</v>
      </c>
      <c r="B462" s="10" t="s">
        <v>442</v>
      </c>
      <c r="C462" s="10" t="s">
        <v>310</v>
      </c>
      <c r="D462" s="10" t="s">
        <v>238</v>
      </c>
      <c r="E462" s="24" t="s">
        <v>33</v>
      </c>
      <c r="F462" s="25">
        <v>1200</v>
      </c>
      <c r="G462" s="10" t="s">
        <v>33</v>
      </c>
    </row>
    <row r="463" spans="1:7" ht="15" customHeight="1" x14ac:dyDescent="0.3">
      <c r="A463" s="16">
        <v>455</v>
      </c>
      <c r="B463" s="10" t="s">
        <v>442</v>
      </c>
      <c r="C463" s="10" t="s">
        <v>294</v>
      </c>
      <c r="D463" s="10" t="s">
        <v>238</v>
      </c>
      <c r="E463" s="24" t="s">
        <v>33</v>
      </c>
      <c r="F463" s="25">
        <v>1600</v>
      </c>
      <c r="G463" s="10" t="s">
        <v>33</v>
      </c>
    </row>
    <row r="464" spans="1:7" ht="15" customHeight="1" x14ac:dyDescent="0.3">
      <c r="A464" s="16">
        <v>456</v>
      </c>
      <c r="B464" s="10" t="s">
        <v>442</v>
      </c>
      <c r="C464" s="10" t="s">
        <v>297</v>
      </c>
      <c r="D464" s="10" t="s">
        <v>238</v>
      </c>
      <c r="E464" s="24" t="s">
        <v>33</v>
      </c>
      <c r="F464" s="25">
        <v>1200</v>
      </c>
      <c r="G464" s="10" t="s">
        <v>33</v>
      </c>
    </row>
    <row r="465" spans="1:7" ht="15" customHeight="1" x14ac:dyDescent="0.3">
      <c r="A465" s="16">
        <v>457</v>
      </c>
      <c r="B465" s="10" t="s">
        <v>442</v>
      </c>
      <c r="C465" s="10" t="s">
        <v>299</v>
      </c>
      <c r="D465" s="10" t="s">
        <v>238</v>
      </c>
      <c r="E465" s="24" t="s">
        <v>33</v>
      </c>
      <c r="F465" s="25">
        <v>1500</v>
      </c>
      <c r="G465" s="10" t="s">
        <v>33</v>
      </c>
    </row>
    <row r="466" spans="1:7" ht="15" customHeight="1" x14ac:dyDescent="0.3">
      <c r="A466" s="16">
        <v>458</v>
      </c>
      <c r="B466" s="10" t="s">
        <v>442</v>
      </c>
      <c r="C466" s="10" t="s">
        <v>304</v>
      </c>
      <c r="D466" s="10" t="s">
        <v>238</v>
      </c>
      <c r="E466" s="24" t="s">
        <v>33</v>
      </c>
      <c r="F466" s="25">
        <v>1800</v>
      </c>
      <c r="G466" s="10" t="s">
        <v>33</v>
      </c>
    </row>
    <row r="467" spans="1:7" ht="15" customHeight="1" x14ac:dyDescent="0.3">
      <c r="A467" s="16">
        <v>459</v>
      </c>
      <c r="B467" s="10" t="s">
        <v>442</v>
      </c>
      <c r="C467" s="10" t="s">
        <v>300</v>
      </c>
      <c r="D467" s="10" t="s">
        <v>238</v>
      </c>
      <c r="E467" s="24" t="s">
        <v>33</v>
      </c>
      <c r="F467" s="25">
        <v>1000</v>
      </c>
      <c r="G467" s="10" t="s">
        <v>33</v>
      </c>
    </row>
    <row r="468" spans="1:7" ht="15" customHeight="1" x14ac:dyDescent="0.3">
      <c r="A468" s="16">
        <v>460</v>
      </c>
      <c r="B468" s="10" t="s">
        <v>442</v>
      </c>
      <c r="C468" s="10" t="s">
        <v>296</v>
      </c>
      <c r="D468" s="10" t="s">
        <v>238</v>
      </c>
      <c r="E468" s="24" t="s">
        <v>33</v>
      </c>
      <c r="F468" s="25">
        <v>1400</v>
      </c>
      <c r="G468" s="10" t="s">
        <v>33</v>
      </c>
    </row>
    <row r="469" spans="1:7" ht="15" customHeight="1" x14ac:dyDescent="0.3">
      <c r="A469" s="16">
        <v>461</v>
      </c>
      <c r="B469" s="10" t="s">
        <v>442</v>
      </c>
      <c r="C469" s="10" t="s">
        <v>301</v>
      </c>
      <c r="D469" s="10" t="s">
        <v>238</v>
      </c>
      <c r="E469" s="24" t="s">
        <v>33</v>
      </c>
      <c r="F469" s="25">
        <v>2500</v>
      </c>
      <c r="G469" s="10" t="s">
        <v>33</v>
      </c>
    </row>
    <row r="470" spans="1:7" ht="15" customHeight="1" x14ac:dyDescent="0.3">
      <c r="A470" s="16">
        <v>462</v>
      </c>
      <c r="B470" s="10" t="s">
        <v>442</v>
      </c>
      <c r="C470" s="10" t="s">
        <v>311</v>
      </c>
      <c r="D470" s="10" t="s">
        <v>238</v>
      </c>
      <c r="E470" s="24" t="s">
        <v>33</v>
      </c>
      <c r="F470" s="25">
        <v>2800</v>
      </c>
      <c r="G470" s="10" t="s">
        <v>33</v>
      </c>
    </row>
    <row r="471" spans="1:7" ht="15" customHeight="1" x14ac:dyDescent="0.3">
      <c r="A471" s="16">
        <v>463</v>
      </c>
      <c r="B471" s="10" t="s">
        <v>442</v>
      </c>
      <c r="C471" s="10" t="s">
        <v>303</v>
      </c>
      <c r="D471" s="10" t="s">
        <v>238</v>
      </c>
      <c r="E471" s="24" t="s">
        <v>33</v>
      </c>
      <c r="F471" s="25">
        <v>3500</v>
      </c>
      <c r="G471" s="10" t="s">
        <v>33</v>
      </c>
    </row>
    <row r="472" spans="1:7" ht="15" customHeight="1" x14ac:dyDescent="0.3">
      <c r="A472" s="16">
        <v>464</v>
      </c>
      <c r="B472" s="10" t="s">
        <v>442</v>
      </c>
      <c r="C472" s="10" t="s">
        <v>306</v>
      </c>
      <c r="D472" s="10" t="s">
        <v>238</v>
      </c>
      <c r="E472" s="24" t="s">
        <v>33</v>
      </c>
      <c r="F472" s="25">
        <v>3000</v>
      </c>
      <c r="G472" s="10" t="s">
        <v>33</v>
      </c>
    </row>
    <row r="473" spans="1:7" ht="15" customHeight="1" x14ac:dyDescent="0.3">
      <c r="A473" s="16">
        <v>465</v>
      </c>
      <c r="B473" s="10" t="s">
        <v>442</v>
      </c>
      <c r="C473" s="10" t="s">
        <v>312</v>
      </c>
      <c r="D473" s="10" t="s">
        <v>238</v>
      </c>
      <c r="E473" s="24" t="s">
        <v>33</v>
      </c>
      <c r="F473" s="25">
        <v>3300</v>
      </c>
      <c r="G473" s="10" t="s">
        <v>33</v>
      </c>
    </row>
    <row r="474" spans="1:7" ht="15" customHeight="1" x14ac:dyDescent="0.3">
      <c r="A474" s="16">
        <v>466</v>
      </c>
      <c r="B474" s="10" t="s">
        <v>442</v>
      </c>
      <c r="C474" s="10" t="s">
        <v>320</v>
      </c>
      <c r="D474" s="10" t="s">
        <v>238</v>
      </c>
      <c r="E474" s="24" t="s">
        <v>33</v>
      </c>
      <c r="F474" s="25">
        <v>2500</v>
      </c>
      <c r="G474" s="10" t="s">
        <v>33</v>
      </c>
    </row>
    <row r="475" spans="1:7" ht="15" customHeight="1" x14ac:dyDescent="0.3">
      <c r="A475" s="16">
        <v>467</v>
      </c>
      <c r="B475" s="10" t="s">
        <v>442</v>
      </c>
      <c r="C475" s="10" t="s">
        <v>443</v>
      </c>
      <c r="D475" s="10" t="s">
        <v>238</v>
      </c>
      <c r="E475" s="24" t="s">
        <v>33</v>
      </c>
      <c r="F475" s="25">
        <v>7000</v>
      </c>
      <c r="G475" s="10" t="s">
        <v>33</v>
      </c>
    </row>
    <row r="476" spans="1:7" ht="15" customHeight="1" x14ac:dyDescent="0.3">
      <c r="A476" s="16">
        <v>468</v>
      </c>
      <c r="B476" s="10" t="s">
        <v>442</v>
      </c>
      <c r="C476" s="10" t="s">
        <v>298</v>
      </c>
      <c r="D476" s="10" t="s">
        <v>238</v>
      </c>
      <c r="E476" s="24" t="s">
        <v>33</v>
      </c>
      <c r="F476" s="25">
        <v>3500</v>
      </c>
      <c r="G476" s="10" t="s">
        <v>33</v>
      </c>
    </row>
    <row r="477" spans="1:7" ht="15" customHeight="1" x14ac:dyDescent="0.3">
      <c r="A477" s="16">
        <v>469</v>
      </c>
      <c r="B477" s="10" t="s">
        <v>442</v>
      </c>
      <c r="C477" s="10" t="s">
        <v>444</v>
      </c>
      <c r="D477" s="10" t="s">
        <v>238</v>
      </c>
      <c r="E477" s="24" t="s">
        <v>33</v>
      </c>
      <c r="F477" s="25">
        <v>5000</v>
      </c>
      <c r="G477" s="10" t="s">
        <v>33</v>
      </c>
    </row>
    <row r="478" spans="1:7" ht="15" customHeight="1" x14ac:dyDescent="0.3">
      <c r="A478" s="16">
        <v>470</v>
      </c>
      <c r="B478" s="10" t="s">
        <v>442</v>
      </c>
      <c r="C478" s="10" t="s">
        <v>445</v>
      </c>
      <c r="D478" s="10" t="s">
        <v>238</v>
      </c>
      <c r="E478" s="24" t="s">
        <v>33</v>
      </c>
      <c r="F478" s="25">
        <v>4000</v>
      </c>
      <c r="G478" s="10" t="s">
        <v>33</v>
      </c>
    </row>
    <row r="479" spans="1:7" ht="15" customHeight="1" x14ac:dyDescent="0.3">
      <c r="A479" s="16">
        <v>471</v>
      </c>
      <c r="B479" s="10" t="s">
        <v>442</v>
      </c>
      <c r="C479" s="10" t="s">
        <v>317</v>
      </c>
      <c r="D479" s="10" t="s">
        <v>238</v>
      </c>
      <c r="E479" s="24" t="s">
        <v>33</v>
      </c>
      <c r="F479" s="25">
        <v>5500</v>
      </c>
      <c r="G479" s="10" t="s">
        <v>33</v>
      </c>
    </row>
    <row r="480" spans="1:7" ht="15" customHeight="1" x14ac:dyDescent="0.3">
      <c r="A480" s="16">
        <v>472</v>
      </c>
      <c r="B480" s="10" t="s">
        <v>446</v>
      </c>
      <c r="C480" s="10" t="s">
        <v>295</v>
      </c>
      <c r="D480" s="10" t="s">
        <v>238</v>
      </c>
      <c r="E480" s="24" t="s">
        <v>33</v>
      </c>
      <c r="F480" s="25">
        <v>350</v>
      </c>
      <c r="G480" s="10" t="s">
        <v>33</v>
      </c>
    </row>
    <row r="481" spans="1:7" ht="15" customHeight="1" x14ac:dyDescent="0.3">
      <c r="A481" s="16">
        <v>473</v>
      </c>
      <c r="B481" s="10" t="s">
        <v>446</v>
      </c>
      <c r="C481" s="10" t="s">
        <v>294</v>
      </c>
      <c r="D481" s="10" t="s">
        <v>238</v>
      </c>
      <c r="E481" s="24" t="s">
        <v>33</v>
      </c>
      <c r="F481" s="25">
        <v>500</v>
      </c>
      <c r="G481" s="10" t="s">
        <v>33</v>
      </c>
    </row>
    <row r="482" spans="1:7" ht="15" customHeight="1" x14ac:dyDescent="0.3">
      <c r="A482" s="16">
        <v>474</v>
      </c>
      <c r="B482" s="10" t="s">
        <v>446</v>
      </c>
      <c r="C482" s="10" t="s">
        <v>301</v>
      </c>
      <c r="D482" s="10" t="s">
        <v>238</v>
      </c>
      <c r="E482" s="24" t="s">
        <v>33</v>
      </c>
      <c r="F482" s="25">
        <v>1400</v>
      </c>
      <c r="G482" s="10" t="s">
        <v>33</v>
      </c>
    </row>
    <row r="483" spans="1:7" ht="15" customHeight="1" x14ac:dyDescent="0.3">
      <c r="A483" s="16">
        <v>475</v>
      </c>
      <c r="B483" s="10" t="s">
        <v>446</v>
      </c>
      <c r="C483" s="10" t="s">
        <v>299</v>
      </c>
      <c r="D483" s="10" t="s">
        <v>238</v>
      </c>
      <c r="E483" s="24" t="s">
        <v>33</v>
      </c>
      <c r="F483" s="25">
        <v>1600</v>
      </c>
      <c r="G483" s="10" t="s">
        <v>33</v>
      </c>
    </row>
    <row r="484" spans="1:7" ht="15" customHeight="1" x14ac:dyDescent="0.3">
      <c r="A484" s="16">
        <v>476</v>
      </c>
      <c r="B484" s="10" t="s">
        <v>446</v>
      </c>
      <c r="C484" s="10" t="s">
        <v>323</v>
      </c>
      <c r="D484" s="10" t="s">
        <v>238</v>
      </c>
      <c r="E484" s="24" t="s">
        <v>33</v>
      </c>
      <c r="F484" s="25">
        <v>2000</v>
      </c>
      <c r="G484" s="10" t="s">
        <v>33</v>
      </c>
    </row>
    <row r="485" spans="1:7" ht="15" customHeight="1" x14ac:dyDescent="0.3">
      <c r="A485" s="16">
        <v>477</v>
      </c>
      <c r="B485" s="10" t="s">
        <v>446</v>
      </c>
      <c r="C485" s="10" t="s">
        <v>443</v>
      </c>
      <c r="D485" s="10" t="s">
        <v>238</v>
      </c>
      <c r="E485" s="24" t="s">
        <v>33</v>
      </c>
      <c r="F485" s="25">
        <v>2000</v>
      </c>
      <c r="G485" s="10" t="s">
        <v>33</v>
      </c>
    </row>
    <row r="486" spans="1:7" ht="15" customHeight="1" x14ac:dyDescent="0.3">
      <c r="A486" s="16">
        <v>478</v>
      </c>
      <c r="B486" s="10" t="s">
        <v>446</v>
      </c>
      <c r="C486" s="10" t="s">
        <v>302</v>
      </c>
      <c r="D486" s="10" t="s">
        <v>238</v>
      </c>
      <c r="E486" s="24" t="s">
        <v>33</v>
      </c>
      <c r="F486" s="25">
        <v>1800</v>
      </c>
      <c r="G486" s="10" t="s">
        <v>33</v>
      </c>
    </row>
    <row r="487" spans="1:7" ht="15" customHeight="1" x14ac:dyDescent="0.3">
      <c r="A487" s="16">
        <v>479</v>
      </c>
      <c r="B487" s="10" t="s">
        <v>446</v>
      </c>
      <c r="C487" s="10" t="s">
        <v>296</v>
      </c>
      <c r="D487" s="10" t="s">
        <v>238</v>
      </c>
      <c r="E487" s="24" t="s">
        <v>33</v>
      </c>
      <c r="F487" s="25">
        <v>2200</v>
      </c>
      <c r="G487" s="10" t="s">
        <v>33</v>
      </c>
    </row>
    <row r="488" spans="1:7" ht="15" customHeight="1" x14ac:dyDescent="0.3">
      <c r="A488" s="16">
        <v>480</v>
      </c>
      <c r="B488" s="10" t="s">
        <v>446</v>
      </c>
      <c r="C488" s="10" t="s">
        <v>297</v>
      </c>
      <c r="D488" s="10" t="s">
        <v>238</v>
      </c>
      <c r="E488" s="24" t="s">
        <v>33</v>
      </c>
      <c r="F488" s="25">
        <v>3000</v>
      </c>
      <c r="G488" s="10" t="s">
        <v>33</v>
      </c>
    </row>
    <row r="489" spans="1:7" ht="15" customHeight="1" x14ac:dyDescent="0.3">
      <c r="A489" s="16">
        <v>481</v>
      </c>
      <c r="B489" s="10" t="s">
        <v>446</v>
      </c>
      <c r="C489" s="10" t="s">
        <v>308</v>
      </c>
      <c r="D489" s="10" t="s">
        <v>238</v>
      </c>
      <c r="E489" s="24" t="s">
        <v>33</v>
      </c>
      <c r="F489" s="25">
        <v>2500</v>
      </c>
      <c r="G489" s="10" t="s">
        <v>33</v>
      </c>
    </row>
    <row r="490" spans="1:7" ht="15" customHeight="1" x14ac:dyDescent="0.3">
      <c r="A490" s="16">
        <v>482</v>
      </c>
      <c r="B490" s="10" t="s">
        <v>446</v>
      </c>
      <c r="C490" s="10" t="s">
        <v>300</v>
      </c>
      <c r="D490" s="10" t="s">
        <v>238</v>
      </c>
      <c r="E490" s="24" t="s">
        <v>33</v>
      </c>
      <c r="F490" s="25">
        <v>3000</v>
      </c>
      <c r="G490" s="10" t="s">
        <v>33</v>
      </c>
    </row>
    <row r="491" spans="1:7" ht="15" customHeight="1" x14ac:dyDescent="0.3">
      <c r="A491" s="16">
        <v>483</v>
      </c>
      <c r="B491" s="10" t="s">
        <v>446</v>
      </c>
      <c r="C491" s="10" t="s">
        <v>386</v>
      </c>
      <c r="D491" s="10" t="s">
        <v>238</v>
      </c>
      <c r="E491" s="24" t="s">
        <v>33</v>
      </c>
      <c r="F491" s="25">
        <v>4000</v>
      </c>
      <c r="G491" s="10" t="s">
        <v>33</v>
      </c>
    </row>
    <row r="492" spans="1:7" ht="15" customHeight="1" x14ac:dyDescent="0.3">
      <c r="A492" s="16">
        <v>484</v>
      </c>
      <c r="B492" s="10" t="s">
        <v>446</v>
      </c>
      <c r="C492" s="10" t="s">
        <v>306</v>
      </c>
      <c r="D492" s="10" t="s">
        <v>238</v>
      </c>
      <c r="E492" s="24" t="s">
        <v>33</v>
      </c>
      <c r="F492" s="25">
        <v>4000</v>
      </c>
      <c r="G492" s="10" t="s">
        <v>33</v>
      </c>
    </row>
    <row r="493" spans="1:7" ht="15" customHeight="1" x14ac:dyDescent="0.3">
      <c r="A493" s="16">
        <v>485</v>
      </c>
      <c r="B493" s="10" t="s">
        <v>446</v>
      </c>
      <c r="C493" s="10" t="s">
        <v>318</v>
      </c>
      <c r="D493" s="10" t="s">
        <v>238</v>
      </c>
      <c r="E493" s="24" t="s">
        <v>33</v>
      </c>
      <c r="F493" s="25">
        <v>4000</v>
      </c>
      <c r="G493" s="10" t="s">
        <v>33</v>
      </c>
    </row>
    <row r="494" spans="1:7" ht="15" customHeight="1" x14ac:dyDescent="0.3">
      <c r="A494" s="16">
        <v>486</v>
      </c>
      <c r="B494" s="10" t="s">
        <v>446</v>
      </c>
      <c r="C494" s="10" t="s">
        <v>307</v>
      </c>
      <c r="D494" s="10" t="s">
        <v>238</v>
      </c>
      <c r="E494" s="24" t="s">
        <v>33</v>
      </c>
      <c r="F494" s="25">
        <v>4000</v>
      </c>
      <c r="G494" s="10" t="s">
        <v>33</v>
      </c>
    </row>
    <row r="495" spans="1:7" ht="15" customHeight="1" x14ac:dyDescent="0.3">
      <c r="A495" s="16">
        <v>487</v>
      </c>
      <c r="B495" s="10" t="s">
        <v>446</v>
      </c>
      <c r="C495" s="10" t="s">
        <v>298</v>
      </c>
      <c r="D495" s="10" t="s">
        <v>238</v>
      </c>
      <c r="E495" s="24" t="s">
        <v>33</v>
      </c>
      <c r="F495" s="25">
        <v>3500</v>
      </c>
      <c r="G495" s="10" t="s">
        <v>33</v>
      </c>
    </row>
    <row r="496" spans="1:7" ht="15" customHeight="1" x14ac:dyDescent="0.3">
      <c r="A496" s="16">
        <v>488</v>
      </c>
      <c r="B496" s="10" t="s">
        <v>446</v>
      </c>
      <c r="C496" s="10" t="s">
        <v>315</v>
      </c>
      <c r="D496" s="10" t="s">
        <v>238</v>
      </c>
      <c r="E496" s="24" t="s">
        <v>33</v>
      </c>
      <c r="F496" s="25">
        <v>5000</v>
      </c>
      <c r="G496" s="10" t="s">
        <v>33</v>
      </c>
    </row>
    <row r="497" spans="1:7" ht="15" customHeight="1" x14ac:dyDescent="0.3">
      <c r="A497" s="16">
        <v>489</v>
      </c>
      <c r="B497" s="10" t="s">
        <v>446</v>
      </c>
      <c r="C497" s="10" t="s">
        <v>316</v>
      </c>
      <c r="D497" s="10" t="s">
        <v>238</v>
      </c>
      <c r="E497" s="24" t="s">
        <v>33</v>
      </c>
      <c r="F497" s="25">
        <v>4500</v>
      </c>
      <c r="G497" s="10" t="s">
        <v>33</v>
      </c>
    </row>
    <row r="498" spans="1:7" ht="15" customHeight="1" x14ac:dyDescent="0.3">
      <c r="A498" s="16">
        <v>490</v>
      </c>
      <c r="B498" s="10" t="s">
        <v>446</v>
      </c>
      <c r="C498" s="10" t="s">
        <v>303</v>
      </c>
      <c r="D498" s="10" t="s">
        <v>238</v>
      </c>
      <c r="E498" s="24" t="s">
        <v>33</v>
      </c>
      <c r="F498" s="25">
        <v>3300</v>
      </c>
      <c r="G498" s="10" t="s">
        <v>33</v>
      </c>
    </row>
    <row r="499" spans="1:7" ht="15" customHeight="1" x14ac:dyDescent="0.3">
      <c r="A499" s="16">
        <v>491</v>
      </c>
      <c r="B499" s="10" t="s">
        <v>446</v>
      </c>
      <c r="C499" s="10" t="s">
        <v>310</v>
      </c>
      <c r="D499" s="10" t="s">
        <v>238</v>
      </c>
      <c r="E499" s="24" t="s">
        <v>33</v>
      </c>
      <c r="F499" s="25">
        <v>5000</v>
      </c>
      <c r="G499" s="10" t="s">
        <v>33</v>
      </c>
    </row>
    <row r="500" spans="1:7" ht="15" customHeight="1" x14ac:dyDescent="0.3">
      <c r="A500" s="16">
        <v>492</v>
      </c>
      <c r="B500" s="10" t="s">
        <v>446</v>
      </c>
      <c r="C500" s="10" t="s">
        <v>313</v>
      </c>
      <c r="D500" s="10" t="s">
        <v>238</v>
      </c>
      <c r="E500" s="24" t="s">
        <v>33</v>
      </c>
      <c r="F500" s="25">
        <v>5500</v>
      </c>
      <c r="G500" s="10" t="s">
        <v>33</v>
      </c>
    </row>
    <row r="501" spans="1:7" ht="15" customHeight="1" x14ac:dyDescent="0.3">
      <c r="A501" s="16">
        <v>493</v>
      </c>
      <c r="B501" s="10" t="s">
        <v>446</v>
      </c>
      <c r="C501" s="10" t="s">
        <v>317</v>
      </c>
      <c r="D501" s="10" t="s">
        <v>238</v>
      </c>
      <c r="E501" s="24" t="s">
        <v>33</v>
      </c>
      <c r="F501" s="25">
        <v>5000</v>
      </c>
      <c r="G501" s="10" t="s">
        <v>33</v>
      </c>
    </row>
    <row r="502" spans="1:7" ht="15" customHeight="1" x14ac:dyDescent="0.3">
      <c r="A502" s="16">
        <v>494</v>
      </c>
      <c r="B502" s="10" t="s">
        <v>446</v>
      </c>
      <c r="C502" s="10" t="s">
        <v>309</v>
      </c>
      <c r="D502" s="10" t="s">
        <v>238</v>
      </c>
      <c r="E502" s="24" t="s">
        <v>33</v>
      </c>
      <c r="F502" s="25">
        <v>5000</v>
      </c>
      <c r="G502" s="10" t="s">
        <v>33</v>
      </c>
    </row>
    <row r="503" spans="1:7" ht="15" customHeight="1" x14ac:dyDescent="0.3">
      <c r="A503" s="16">
        <v>495</v>
      </c>
      <c r="B503" s="10" t="s">
        <v>446</v>
      </c>
      <c r="C503" s="10" t="s">
        <v>447</v>
      </c>
      <c r="D503" s="10" t="s">
        <v>238</v>
      </c>
      <c r="E503" s="24" t="s">
        <v>33</v>
      </c>
      <c r="F503" s="25">
        <v>6000</v>
      </c>
      <c r="G503" s="10" t="s">
        <v>33</v>
      </c>
    </row>
    <row r="504" spans="1:7" ht="15" customHeight="1" x14ac:dyDescent="0.3">
      <c r="A504" s="16">
        <v>496</v>
      </c>
      <c r="B504" s="10" t="s">
        <v>446</v>
      </c>
      <c r="C504" s="10" t="s">
        <v>324</v>
      </c>
      <c r="D504" s="10" t="s">
        <v>238</v>
      </c>
      <c r="E504" s="24" t="s">
        <v>33</v>
      </c>
      <c r="F504" s="25">
        <v>6500</v>
      </c>
      <c r="G504" s="10" t="s">
        <v>33</v>
      </c>
    </row>
    <row r="505" spans="1:7" ht="15" customHeight="1" x14ac:dyDescent="0.3">
      <c r="A505" s="16">
        <v>497</v>
      </c>
      <c r="B505" s="10" t="s">
        <v>446</v>
      </c>
      <c r="C505" s="10" t="s">
        <v>312</v>
      </c>
      <c r="D505" s="10" t="s">
        <v>238</v>
      </c>
      <c r="E505" s="24" t="s">
        <v>33</v>
      </c>
      <c r="F505" s="25">
        <v>4000</v>
      </c>
      <c r="G505" s="10" t="s">
        <v>33</v>
      </c>
    </row>
    <row r="506" spans="1:7" ht="15" customHeight="1" x14ac:dyDescent="0.3">
      <c r="A506" s="16">
        <v>498</v>
      </c>
      <c r="B506" s="10" t="s">
        <v>446</v>
      </c>
      <c r="C506" s="10" t="s">
        <v>444</v>
      </c>
      <c r="D506" s="10" t="s">
        <v>238</v>
      </c>
      <c r="E506" s="24" t="s">
        <v>33</v>
      </c>
      <c r="F506" s="25">
        <v>6500</v>
      </c>
      <c r="G506" s="10" t="s">
        <v>33</v>
      </c>
    </row>
    <row r="507" spans="1:7" ht="15" customHeight="1" x14ac:dyDescent="0.3">
      <c r="A507" s="16">
        <v>499</v>
      </c>
      <c r="B507" s="10" t="s">
        <v>446</v>
      </c>
      <c r="C507" s="10" t="s">
        <v>448</v>
      </c>
      <c r="D507" s="10" t="s">
        <v>238</v>
      </c>
      <c r="E507" s="24" t="s">
        <v>33</v>
      </c>
      <c r="F507" s="25">
        <v>7000</v>
      </c>
      <c r="G507" s="10" t="s">
        <v>33</v>
      </c>
    </row>
    <row r="508" spans="1:7" ht="15" customHeight="1" x14ac:dyDescent="0.3">
      <c r="A508" s="16">
        <v>500</v>
      </c>
      <c r="B508" s="10" t="s">
        <v>446</v>
      </c>
      <c r="C508" s="10" t="s">
        <v>449</v>
      </c>
      <c r="D508" s="10" t="s">
        <v>238</v>
      </c>
      <c r="E508" s="24" t="s">
        <v>33</v>
      </c>
      <c r="F508" s="25">
        <v>7000</v>
      </c>
      <c r="G508" s="10" t="s">
        <v>33</v>
      </c>
    </row>
    <row r="509" spans="1:7" ht="15" customHeight="1" x14ac:dyDescent="0.3">
      <c r="A509" s="16">
        <v>501</v>
      </c>
      <c r="B509" s="10" t="s">
        <v>446</v>
      </c>
      <c r="C509" s="10" t="s">
        <v>450</v>
      </c>
      <c r="D509" s="10" t="s">
        <v>238</v>
      </c>
      <c r="E509" s="24" t="s">
        <v>33</v>
      </c>
      <c r="F509" s="25">
        <v>6000</v>
      </c>
      <c r="G509" s="10" t="s">
        <v>33</v>
      </c>
    </row>
    <row r="510" spans="1:7" ht="15" customHeight="1" x14ac:dyDescent="0.3">
      <c r="A510" s="16">
        <v>502</v>
      </c>
      <c r="B510" s="10" t="s">
        <v>446</v>
      </c>
      <c r="C510" s="10" t="s">
        <v>451</v>
      </c>
      <c r="D510" s="10" t="s">
        <v>238</v>
      </c>
      <c r="E510" s="24" t="s">
        <v>33</v>
      </c>
      <c r="F510" s="25">
        <v>7000</v>
      </c>
      <c r="G510" s="10" t="s">
        <v>33</v>
      </c>
    </row>
    <row r="511" spans="1:7" ht="15" customHeight="1" x14ac:dyDescent="0.3">
      <c r="A511" s="16">
        <v>503</v>
      </c>
      <c r="B511" s="10" t="s">
        <v>446</v>
      </c>
      <c r="C511" s="10" t="s">
        <v>452</v>
      </c>
      <c r="D511" s="10" t="s">
        <v>238</v>
      </c>
      <c r="E511" s="24" t="s">
        <v>33</v>
      </c>
      <c r="F511" s="25">
        <v>7000</v>
      </c>
      <c r="G511" s="10" t="s">
        <v>33</v>
      </c>
    </row>
    <row r="512" spans="1:7" ht="15" customHeight="1" x14ac:dyDescent="0.3">
      <c r="A512" s="16">
        <v>504</v>
      </c>
      <c r="B512" s="10" t="s">
        <v>446</v>
      </c>
      <c r="C512" s="10" t="s">
        <v>311</v>
      </c>
      <c r="D512" s="10" t="s">
        <v>238</v>
      </c>
      <c r="E512" s="24" t="s">
        <v>33</v>
      </c>
      <c r="F512" s="25">
        <v>7500</v>
      </c>
      <c r="G512" s="10" t="s">
        <v>33</v>
      </c>
    </row>
    <row r="513" spans="1:7" ht="15" customHeight="1" x14ac:dyDescent="0.3">
      <c r="A513" s="16">
        <v>505</v>
      </c>
      <c r="B513" s="10" t="s">
        <v>446</v>
      </c>
      <c r="C513" s="10" t="s">
        <v>314</v>
      </c>
      <c r="D513" s="10" t="s">
        <v>238</v>
      </c>
      <c r="E513" s="24" t="s">
        <v>33</v>
      </c>
      <c r="F513" s="25">
        <v>7200</v>
      </c>
      <c r="G513" s="10" t="s">
        <v>33</v>
      </c>
    </row>
    <row r="514" spans="1:7" ht="15" customHeight="1" x14ac:dyDescent="0.3">
      <c r="A514" s="16">
        <v>506</v>
      </c>
      <c r="B514" s="10" t="s">
        <v>446</v>
      </c>
      <c r="C514" s="10" t="s">
        <v>453</v>
      </c>
      <c r="D514" s="10" t="s">
        <v>238</v>
      </c>
      <c r="E514" s="24" t="s">
        <v>33</v>
      </c>
      <c r="F514" s="25">
        <v>8000</v>
      </c>
      <c r="G514" s="10" t="s">
        <v>33</v>
      </c>
    </row>
    <row r="515" spans="1:7" ht="15" customHeight="1" x14ac:dyDescent="0.3">
      <c r="A515" s="16">
        <v>507</v>
      </c>
      <c r="B515" s="10" t="s">
        <v>446</v>
      </c>
      <c r="C515" s="10" t="s">
        <v>454</v>
      </c>
      <c r="D515" s="10" t="s">
        <v>238</v>
      </c>
      <c r="E515" s="24" t="s">
        <v>33</v>
      </c>
      <c r="F515" s="25">
        <v>7000</v>
      </c>
      <c r="G515" s="10" t="s">
        <v>33</v>
      </c>
    </row>
    <row r="516" spans="1:7" ht="15" customHeight="1" x14ac:dyDescent="0.3">
      <c r="A516" s="16">
        <v>508</v>
      </c>
      <c r="B516" s="10" t="s">
        <v>446</v>
      </c>
      <c r="C516" s="10" t="s">
        <v>320</v>
      </c>
      <c r="D516" s="10" t="s">
        <v>238</v>
      </c>
      <c r="E516" s="24" t="s">
        <v>33</v>
      </c>
      <c r="F516" s="25">
        <v>9000</v>
      </c>
      <c r="G516" s="10" t="s">
        <v>33</v>
      </c>
    </row>
    <row r="517" spans="1:7" ht="15" customHeight="1" x14ac:dyDescent="0.3">
      <c r="A517" s="16">
        <v>509</v>
      </c>
      <c r="B517" s="10" t="s">
        <v>446</v>
      </c>
      <c r="C517" s="10" t="s">
        <v>304</v>
      </c>
      <c r="D517" s="10" t="s">
        <v>238</v>
      </c>
      <c r="E517" s="24" t="s">
        <v>33</v>
      </c>
      <c r="F517" s="25">
        <v>7000</v>
      </c>
      <c r="G517" s="10" t="s">
        <v>33</v>
      </c>
    </row>
    <row r="518" spans="1:7" ht="15" customHeight="1" x14ac:dyDescent="0.3">
      <c r="A518" s="16">
        <v>510</v>
      </c>
      <c r="B518" s="10" t="s">
        <v>446</v>
      </c>
      <c r="C518" s="10" t="s">
        <v>455</v>
      </c>
      <c r="D518" s="10" t="s">
        <v>238</v>
      </c>
      <c r="E518" s="24" t="s">
        <v>33</v>
      </c>
      <c r="F518" s="25">
        <v>8000</v>
      </c>
      <c r="G518" s="10" t="s">
        <v>33</v>
      </c>
    </row>
    <row r="519" spans="1:7" ht="15" customHeight="1" x14ac:dyDescent="0.3">
      <c r="A519" s="16">
        <v>511</v>
      </c>
      <c r="B519" s="10" t="s">
        <v>446</v>
      </c>
      <c r="C519" s="10" t="s">
        <v>329</v>
      </c>
      <c r="D519" s="10" t="s">
        <v>238</v>
      </c>
      <c r="E519" s="24" t="s">
        <v>33</v>
      </c>
      <c r="F519" s="25">
        <v>15000</v>
      </c>
      <c r="G519" s="10" t="s">
        <v>33</v>
      </c>
    </row>
    <row r="520" spans="1:7" ht="15" customHeight="1" x14ac:dyDescent="0.3">
      <c r="A520" s="16">
        <v>512</v>
      </c>
      <c r="B520" s="10" t="s">
        <v>456</v>
      </c>
      <c r="C520" s="10" t="s">
        <v>297</v>
      </c>
      <c r="D520" s="10" t="s">
        <v>238</v>
      </c>
      <c r="E520" s="24" t="s">
        <v>33</v>
      </c>
      <c r="F520" s="25">
        <v>-120</v>
      </c>
      <c r="G520" s="10" t="s">
        <v>33</v>
      </c>
    </row>
    <row r="521" spans="1:7" ht="15" customHeight="1" x14ac:dyDescent="0.3">
      <c r="A521" s="16">
        <v>513</v>
      </c>
      <c r="B521" s="10" t="s">
        <v>456</v>
      </c>
      <c r="C521" s="10" t="s">
        <v>295</v>
      </c>
      <c r="D521" s="10" t="s">
        <v>238</v>
      </c>
      <c r="E521" s="24" t="s">
        <v>33</v>
      </c>
      <c r="F521" s="25">
        <v>250</v>
      </c>
      <c r="G521" s="10" t="s">
        <v>33</v>
      </c>
    </row>
    <row r="522" spans="1:7" ht="15" customHeight="1" x14ac:dyDescent="0.3">
      <c r="A522" s="16">
        <v>514</v>
      </c>
      <c r="B522" s="10" t="s">
        <v>456</v>
      </c>
      <c r="C522" s="10" t="s">
        <v>300</v>
      </c>
      <c r="D522" s="10" t="s">
        <v>238</v>
      </c>
      <c r="E522" s="24" t="s">
        <v>33</v>
      </c>
      <c r="F522" s="25">
        <v>1150</v>
      </c>
      <c r="G522" s="10" t="s">
        <v>33</v>
      </c>
    </row>
    <row r="523" spans="1:7" ht="15" customHeight="1" x14ac:dyDescent="0.3">
      <c r="A523" s="16">
        <v>515</v>
      </c>
      <c r="B523" s="10" t="s">
        <v>456</v>
      </c>
      <c r="C523" s="10" t="s">
        <v>298</v>
      </c>
      <c r="D523" s="10" t="s">
        <v>238</v>
      </c>
      <c r="E523" s="24" t="s">
        <v>33</v>
      </c>
      <c r="F523" s="25">
        <v>1400</v>
      </c>
      <c r="G523" s="10" t="s">
        <v>33</v>
      </c>
    </row>
    <row r="524" spans="1:7" ht="15" customHeight="1" x14ac:dyDescent="0.3">
      <c r="A524" s="16">
        <v>516</v>
      </c>
      <c r="B524" s="10" t="s">
        <v>456</v>
      </c>
      <c r="C524" s="10" t="s">
        <v>301</v>
      </c>
      <c r="D524" s="10" t="s">
        <v>238</v>
      </c>
      <c r="E524" s="24" t="s">
        <v>33</v>
      </c>
      <c r="F524" s="25">
        <v>2500</v>
      </c>
      <c r="G524" s="10" t="s">
        <v>33</v>
      </c>
    </row>
    <row r="525" spans="1:7" ht="15" customHeight="1" x14ac:dyDescent="0.3">
      <c r="A525" s="16">
        <v>517</v>
      </c>
      <c r="B525" s="10" t="s">
        <v>456</v>
      </c>
      <c r="C525" s="10" t="s">
        <v>296</v>
      </c>
      <c r="D525" s="10" t="s">
        <v>238</v>
      </c>
      <c r="E525" s="24" t="s">
        <v>33</v>
      </c>
      <c r="F525" s="25">
        <v>3400</v>
      </c>
      <c r="G525" s="10" t="s">
        <v>33</v>
      </c>
    </row>
    <row r="526" spans="1:7" ht="15" customHeight="1" x14ac:dyDescent="0.3">
      <c r="A526" s="16">
        <v>518</v>
      </c>
      <c r="B526" s="10" t="s">
        <v>456</v>
      </c>
      <c r="C526" s="10" t="s">
        <v>294</v>
      </c>
      <c r="D526" s="10" t="s">
        <v>238</v>
      </c>
      <c r="E526" s="24" t="s">
        <v>33</v>
      </c>
      <c r="F526" s="25">
        <v>3900</v>
      </c>
      <c r="G526" s="10" t="s">
        <v>33</v>
      </c>
    </row>
    <row r="527" spans="1:7" ht="15" customHeight="1" x14ac:dyDescent="0.3">
      <c r="A527" s="16">
        <v>519</v>
      </c>
      <c r="B527" s="10" t="s">
        <v>456</v>
      </c>
      <c r="C527" s="10" t="s">
        <v>303</v>
      </c>
      <c r="D527" s="10" t="s">
        <v>238</v>
      </c>
      <c r="E527" s="24" t="s">
        <v>33</v>
      </c>
      <c r="F527" s="25">
        <v>4200</v>
      </c>
      <c r="G527" s="10" t="s">
        <v>33</v>
      </c>
    </row>
    <row r="528" spans="1:7" ht="15" customHeight="1" x14ac:dyDescent="0.3">
      <c r="A528" s="16">
        <v>520</v>
      </c>
      <c r="B528" s="10" t="s">
        <v>456</v>
      </c>
      <c r="C528" s="10" t="s">
        <v>302</v>
      </c>
      <c r="D528" s="10" t="s">
        <v>238</v>
      </c>
      <c r="E528" s="24" t="s">
        <v>33</v>
      </c>
      <c r="F528" s="25">
        <v>6900</v>
      </c>
      <c r="G528" s="10" t="s">
        <v>33</v>
      </c>
    </row>
    <row r="529" spans="1:7" ht="15" customHeight="1" x14ac:dyDescent="0.3">
      <c r="A529" s="16">
        <v>521</v>
      </c>
      <c r="B529" s="10" t="s">
        <v>456</v>
      </c>
      <c r="C529" s="10" t="s">
        <v>311</v>
      </c>
      <c r="D529" s="10" t="s">
        <v>238</v>
      </c>
      <c r="E529" s="24" t="s">
        <v>33</v>
      </c>
      <c r="F529" s="25">
        <v>8000</v>
      </c>
      <c r="G529" s="10" t="s">
        <v>33</v>
      </c>
    </row>
    <row r="530" spans="1:7" ht="15" customHeight="1" x14ac:dyDescent="0.3">
      <c r="A530" s="16">
        <v>522</v>
      </c>
      <c r="B530" s="10" t="s">
        <v>456</v>
      </c>
      <c r="C530" s="10" t="s">
        <v>306</v>
      </c>
      <c r="D530" s="10" t="s">
        <v>238</v>
      </c>
      <c r="E530" s="24" t="s">
        <v>33</v>
      </c>
      <c r="F530" s="25">
        <v>8500</v>
      </c>
      <c r="G530" s="10" t="s">
        <v>33</v>
      </c>
    </row>
    <row r="531" spans="1:7" ht="15" customHeight="1" x14ac:dyDescent="0.3">
      <c r="A531" s="16">
        <v>523</v>
      </c>
      <c r="B531" s="10" t="s">
        <v>456</v>
      </c>
      <c r="C531" s="10" t="s">
        <v>312</v>
      </c>
      <c r="D531" s="10" t="s">
        <v>238</v>
      </c>
      <c r="E531" s="24" t="s">
        <v>33</v>
      </c>
      <c r="F531" s="25">
        <v>13000</v>
      </c>
      <c r="G531" s="10" t="s">
        <v>33</v>
      </c>
    </row>
    <row r="532" spans="1:7" ht="15" customHeight="1" x14ac:dyDescent="0.3">
      <c r="A532" s="16">
        <v>524</v>
      </c>
      <c r="B532" s="10" t="s">
        <v>456</v>
      </c>
      <c r="C532" s="10" t="s">
        <v>310</v>
      </c>
      <c r="D532" s="10" t="s">
        <v>238</v>
      </c>
      <c r="E532" s="24" t="s">
        <v>33</v>
      </c>
      <c r="F532" s="25">
        <v>16000</v>
      </c>
      <c r="G532" s="10" t="s">
        <v>33</v>
      </c>
    </row>
    <row r="533" spans="1:7" ht="15" customHeight="1" x14ac:dyDescent="0.3">
      <c r="A533" s="16">
        <v>525</v>
      </c>
      <c r="B533" s="10" t="s">
        <v>456</v>
      </c>
      <c r="C533" s="10" t="s">
        <v>308</v>
      </c>
      <c r="D533" s="10" t="s">
        <v>238</v>
      </c>
      <c r="E533" s="24" t="s">
        <v>33</v>
      </c>
      <c r="F533" s="25">
        <v>16000</v>
      </c>
      <c r="G533" s="10" t="s">
        <v>33</v>
      </c>
    </row>
    <row r="534" spans="1:7" ht="15" customHeight="1" x14ac:dyDescent="0.3">
      <c r="A534" s="16">
        <v>526</v>
      </c>
      <c r="B534" s="10" t="s">
        <v>456</v>
      </c>
      <c r="C534" s="10" t="s">
        <v>307</v>
      </c>
      <c r="D534" s="10" t="s">
        <v>238</v>
      </c>
      <c r="E534" s="24" t="s">
        <v>33</v>
      </c>
      <c r="F534" s="25">
        <v>15000</v>
      </c>
      <c r="G534" s="10" t="s">
        <v>33</v>
      </c>
    </row>
    <row r="535" spans="1:7" ht="15" customHeight="1" x14ac:dyDescent="0.3">
      <c r="A535" s="16">
        <v>527</v>
      </c>
      <c r="B535" s="10" t="s">
        <v>456</v>
      </c>
      <c r="C535" s="10" t="s">
        <v>309</v>
      </c>
      <c r="D535" s="10" t="s">
        <v>238</v>
      </c>
      <c r="E535" s="24" t="s">
        <v>33</v>
      </c>
      <c r="F535" s="25">
        <v>20000</v>
      </c>
      <c r="G535" s="10" t="s">
        <v>33</v>
      </c>
    </row>
    <row r="536" spans="1:7" ht="15" customHeight="1" x14ac:dyDescent="0.3">
      <c r="A536" s="16">
        <v>528</v>
      </c>
      <c r="B536" s="10" t="s">
        <v>456</v>
      </c>
      <c r="C536" s="10" t="s">
        <v>299</v>
      </c>
      <c r="D536" s="10" t="s">
        <v>238</v>
      </c>
      <c r="E536" s="24" t="s">
        <v>33</v>
      </c>
      <c r="F536" s="25">
        <v>19000</v>
      </c>
      <c r="G536" s="10" t="s">
        <v>33</v>
      </c>
    </row>
    <row r="537" spans="1:7" ht="15" customHeight="1" x14ac:dyDescent="0.3">
      <c r="A537" s="16">
        <v>529</v>
      </c>
      <c r="B537" s="10" t="s">
        <v>456</v>
      </c>
      <c r="C537" s="10" t="s">
        <v>449</v>
      </c>
      <c r="D537" s="10" t="s">
        <v>238</v>
      </c>
      <c r="E537" s="24" t="s">
        <v>33</v>
      </c>
      <c r="F537" s="25">
        <v>20000</v>
      </c>
      <c r="G537" s="10" t="s">
        <v>33</v>
      </c>
    </row>
    <row r="538" spans="1:7" ht="15" customHeight="1" x14ac:dyDescent="0.3">
      <c r="A538" s="16">
        <v>530</v>
      </c>
      <c r="B538" s="10" t="s">
        <v>456</v>
      </c>
      <c r="C538" s="10" t="s">
        <v>457</v>
      </c>
      <c r="D538" s="10" t="s">
        <v>238</v>
      </c>
      <c r="E538" s="24" t="s">
        <v>33</v>
      </c>
      <c r="F538" s="25">
        <v>25000</v>
      </c>
      <c r="G538" s="10" t="s">
        <v>33</v>
      </c>
    </row>
    <row r="539" spans="1:7" ht="15" customHeight="1" x14ac:dyDescent="0.3">
      <c r="A539" s="16">
        <v>531</v>
      </c>
      <c r="B539" s="10" t="s">
        <v>456</v>
      </c>
      <c r="C539" s="10" t="s">
        <v>320</v>
      </c>
      <c r="D539" s="10" t="s">
        <v>238</v>
      </c>
      <c r="E539" s="24" t="s">
        <v>33</v>
      </c>
      <c r="F539" s="25">
        <v>25000</v>
      </c>
      <c r="G539" s="10" t="s">
        <v>33</v>
      </c>
    </row>
    <row r="540" spans="1:7" ht="15" customHeight="1" x14ac:dyDescent="0.3">
      <c r="A540" s="16">
        <v>532</v>
      </c>
      <c r="B540" s="10" t="s">
        <v>456</v>
      </c>
      <c r="C540" s="10" t="s">
        <v>314</v>
      </c>
      <c r="D540" s="10" t="s">
        <v>238</v>
      </c>
      <c r="E540" s="24" t="s">
        <v>33</v>
      </c>
      <c r="F540" s="25">
        <v>25000</v>
      </c>
      <c r="G540" s="10" t="s">
        <v>33</v>
      </c>
    </row>
    <row r="541" spans="1:7" ht="15" customHeight="1" x14ac:dyDescent="0.3">
      <c r="A541" s="16">
        <v>533</v>
      </c>
      <c r="B541" s="10" t="s">
        <v>458</v>
      </c>
      <c r="C541" s="10" t="s">
        <v>296</v>
      </c>
      <c r="D541" s="10" t="s">
        <v>238</v>
      </c>
      <c r="E541" s="24" t="s">
        <v>33</v>
      </c>
      <c r="F541" s="25">
        <v>280</v>
      </c>
      <c r="G541" s="10" t="s">
        <v>33</v>
      </c>
    </row>
    <row r="542" spans="1:7" ht="15" customHeight="1" x14ac:dyDescent="0.3">
      <c r="A542" s="16">
        <v>534</v>
      </c>
      <c r="B542" s="10" t="s">
        <v>458</v>
      </c>
      <c r="C542" s="10" t="s">
        <v>294</v>
      </c>
      <c r="D542" s="10" t="s">
        <v>238</v>
      </c>
      <c r="E542" s="24" t="s">
        <v>33</v>
      </c>
      <c r="F542" s="25">
        <v>690</v>
      </c>
      <c r="G542" s="10" t="s">
        <v>33</v>
      </c>
    </row>
    <row r="543" spans="1:7" ht="15" customHeight="1" x14ac:dyDescent="0.3">
      <c r="A543" s="16">
        <v>535</v>
      </c>
      <c r="B543" s="10" t="s">
        <v>458</v>
      </c>
      <c r="C543" s="10" t="s">
        <v>452</v>
      </c>
      <c r="D543" s="10" t="s">
        <v>238</v>
      </c>
      <c r="E543" s="24" t="s">
        <v>33</v>
      </c>
      <c r="F543" s="25">
        <v>700</v>
      </c>
      <c r="G543" s="10" t="s">
        <v>33</v>
      </c>
    </row>
    <row r="544" spans="1:7" ht="15" customHeight="1" x14ac:dyDescent="0.3">
      <c r="A544" s="16">
        <v>536</v>
      </c>
      <c r="B544" s="10" t="s">
        <v>458</v>
      </c>
      <c r="C544" s="10" t="s">
        <v>335</v>
      </c>
      <c r="D544" s="10" t="s">
        <v>238</v>
      </c>
      <c r="E544" s="24" t="s">
        <v>33</v>
      </c>
      <c r="F544" s="25">
        <v>770</v>
      </c>
      <c r="G544" s="10" t="s">
        <v>33</v>
      </c>
    </row>
    <row r="545" spans="1:7" ht="15" customHeight="1" x14ac:dyDescent="0.3">
      <c r="A545" s="26">
        <v>537</v>
      </c>
      <c r="B545" s="27" t="s">
        <v>458</v>
      </c>
      <c r="C545" s="27" t="s">
        <v>459</v>
      </c>
      <c r="D545" s="27" t="s">
        <v>238</v>
      </c>
      <c r="E545" s="28" t="s">
        <v>33</v>
      </c>
      <c r="F545" s="29">
        <v>900</v>
      </c>
      <c r="G545" s="27" t="s">
        <v>270</v>
      </c>
    </row>
    <row r="546" spans="1:7" ht="15" customHeight="1" x14ac:dyDescent="0.3">
      <c r="A546" s="16">
        <v>538</v>
      </c>
      <c r="B546" s="10" t="s">
        <v>458</v>
      </c>
      <c r="C546" s="10" t="s">
        <v>325</v>
      </c>
      <c r="D546" s="10" t="s">
        <v>238</v>
      </c>
      <c r="E546" s="24" t="s">
        <v>33</v>
      </c>
      <c r="F546" s="25">
        <v>990</v>
      </c>
      <c r="G546" s="10" t="s">
        <v>33</v>
      </c>
    </row>
    <row r="547" spans="1:7" ht="15" customHeight="1" x14ac:dyDescent="0.3">
      <c r="A547" s="16">
        <v>539</v>
      </c>
      <c r="B547" s="10" t="s">
        <v>458</v>
      </c>
      <c r="C547" s="10" t="s">
        <v>394</v>
      </c>
      <c r="D547" s="10" t="s">
        <v>238</v>
      </c>
      <c r="E547" s="24" t="s">
        <v>33</v>
      </c>
      <c r="F547" s="25">
        <v>1450</v>
      </c>
      <c r="G547" s="10" t="s">
        <v>33</v>
      </c>
    </row>
    <row r="548" spans="1:7" ht="15" customHeight="1" x14ac:dyDescent="0.3">
      <c r="A548" s="16">
        <v>540</v>
      </c>
      <c r="B548" s="10" t="s">
        <v>458</v>
      </c>
      <c r="C548" s="10" t="s">
        <v>333</v>
      </c>
      <c r="D548" s="10" t="s">
        <v>238</v>
      </c>
      <c r="E548" s="24" t="s">
        <v>33</v>
      </c>
      <c r="F548" s="25">
        <v>1700</v>
      </c>
      <c r="G548" s="10" t="s">
        <v>33</v>
      </c>
    </row>
    <row r="549" spans="1:7" ht="15" customHeight="1" x14ac:dyDescent="0.3">
      <c r="A549" s="16">
        <v>541</v>
      </c>
      <c r="B549" s="10" t="s">
        <v>458</v>
      </c>
      <c r="C549" s="10" t="s">
        <v>371</v>
      </c>
      <c r="D549" s="10" t="s">
        <v>238</v>
      </c>
      <c r="E549" s="24" t="s">
        <v>33</v>
      </c>
      <c r="F549" s="25">
        <v>2000</v>
      </c>
      <c r="G549" s="10" t="s">
        <v>33</v>
      </c>
    </row>
    <row r="550" spans="1:7" ht="15" customHeight="1" x14ac:dyDescent="0.3">
      <c r="A550" s="16">
        <v>542</v>
      </c>
      <c r="B550" s="10" t="s">
        <v>458</v>
      </c>
      <c r="C550" s="10" t="s">
        <v>321</v>
      </c>
      <c r="D550" s="10" t="s">
        <v>238</v>
      </c>
      <c r="E550" s="24" t="s">
        <v>33</v>
      </c>
      <c r="F550" s="25">
        <v>1900</v>
      </c>
      <c r="G550" s="10" t="s">
        <v>33</v>
      </c>
    </row>
    <row r="551" spans="1:7" ht="15" customHeight="1" x14ac:dyDescent="0.3">
      <c r="A551" s="16">
        <v>543</v>
      </c>
      <c r="B551" s="10" t="s">
        <v>458</v>
      </c>
      <c r="C551" s="10" t="s">
        <v>298</v>
      </c>
      <c r="D551" s="10" t="s">
        <v>238</v>
      </c>
      <c r="E551" s="24" t="s">
        <v>33</v>
      </c>
      <c r="F551" s="25">
        <v>2250</v>
      </c>
      <c r="G551" s="10" t="s">
        <v>33</v>
      </c>
    </row>
    <row r="552" spans="1:7" ht="15" customHeight="1" x14ac:dyDescent="0.3">
      <c r="A552" s="16">
        <v>544</v>
      </c>
      <c r="B552" s="10" t="s">
        <v>458</v>
      </c>
      <c r="C552" s="10" t="s">
        <v>334</v>
      </c>
      <c r="D552" s="10" t="s">
        <v>238</v>
      </c>
      <c r="E552" s="24" t="s">
        <v>33</v>
      </c>
      <c r="F552" s="25">
        <v>3600</v>
      </c>
      <c r="G552" s="10" t="s">
        <v>33</v>
      </c>
    </row>
    <row r="553" spans="1:7" ht="15" customHeight="1" x14ac:dyDescent="0.3">
      <c r="A553" s="16">
        <v>545</v>
      </c>
      <c r="B553" s="10" t="s">
        <v>458</v>
      </c>
      <c r="C553" s="10" t="s">
        <v>460</v>
      </c>
      <c r="D553" s="10" t="s">
        <v>238</v>
      </c>
      <c r="E553" s="24" t="s">
        <v>33</v>
      </c>
      <c r="F553" s="25">
        <v>6500</v>
      </c>
      <c r="G553" s="10" t="s">
        <v>33</v>
      </c>
    </row>
    <row r="554" spans="1:7" ht="15" customHeight="1" x14ac:dyDescent="0.3">
      <c r="A554" s="16">
        <v>546</v>
      </c>
      <c r="B554" s="10" t="s">
        <v>458</v>
      </c>
      <c r="C554" s="10" t="s">
        <v>316</v>
      </c>
      <c r="D554" s="10" t="s">
        <v>238</v>
      </c>
      <c r="E554" s="24" t="s">
        <v>33</v>
      </c>
      <c r="F554" s="25">
        <v>8100</v>
      </c>
      <c r="G554" s="10" t="s">
        <v>33</v>
      </c>
    </row>
    <row r="555" spans="1:7" ht="15" customHeight="1" x14ac:dyDescent="0.3">
      <c r="A555" s="16">
        <v>547</v>
      </c>
      <c r="B555" s="10" t="s">
        <v>458</v>
      </c>
      <c r="C555" s="10" t="s">
        <v>461</v>
      </c>
      <c r="D555" s="10" t="s">
        <v>238</v>
      </c>
      <c r="E555" s="24" t="s">
        <v>33</v>
      </c>
      <c r="F555" s="25">
        <v>9100</v>
      </c>
      <c r="G555" s="10" t="s">
        <v>33</v>
      </c>
    </row>
    <row r="556" spans="1:7" ht="15" customHeight="1" x14ac:dyDescent="0.3">
      <c r="A556" s="16">
        <v>548</v>
      </c>
      <c r="B556" s="10" t="s">
        <v>458</v>
      </c>
      <c r="C556" s="10" t="s">
        <v>450</v>
      </c>
      <c r="D556" s="10" t="s">
        <v>238</v>
      </c>
      <c r="E556" s="24" t="s">
        <v>33</v>
      </c>
      <c r="F556" s="25">
        <v>10000</v>
      </c>
      <c r="G556" s="10" t="s">
        <v>33</v>
      </c>
    </row>
    <row r="557" spans="1:7" ht="15" customHeight="1" x14ac:dyDescent="0.3">
      <c r="A557" s="16">
        <v>549</v>
      </c>
      <c r="B557" s="10" t="s">
        <v>458</v>
      </c>
      <c r="C557" s="10" t="s">
        <v>462</v>
      </c>
      <c r="D557" s="10" t="s">
        <v>238</v>
      </c>
      <c r="E557" s="24" t="s">
        <v>33</v>
      </c>
      <c r="F557" s="25">
        <v>13000</v>
      </c>
      <c r="G557" s="10" t="s">
        <v>33</v>
      </c>
    </row>
    <row r="558" spans="1:7" ht="15" customHeight="1" x14ac:dyDescent="0.3">
      <c r="A558" s="16">
        <v>550</v>
      </c>
      <c r="B558" s="10" t="s">
        <v>458</v>
      </c>
      <c r="C558" s="10" t="s">
        <v>327</v>
      </c>
      <c r="D558" s="10" t="s">
        <v>238</v>
      </c>
      <c r="E558" s="24" t="s">
        <v>33</v>
      </c>
      <c r="F558" s="25">
        <v>13000</v>
      </c>
      <c r="G558" s="10" t="s">
        <v>33</v>
      </c>
    </row>
    <row r="559" spans="1:7" ht="15" customHeight="1" x14ac:dyDescent="0.3">
      <c r="A559" s="16">
        <v>551</v>
      </c>
      <c r="B559" s="10" t="s">
        <v>458</v>
      </c>
      <c r="C559" s="10" t="s">
        <v>323</v>
      </c>
      <c r="D559" s="10" t="s">
        <v>238</v>
      </c>
      <c r="E559" s="24" t="s">
        <v>33</v>
      </c>
      <c r="F559" s="25">
        <v>16000</v>
      </c>
      <c r="G559" s="10" t="s">
        <v>33</v>
      </c>
    </row>
    <row r="560" spans="1:7" ht="15" customHeight="1" x14ac:dyDescent="0.3">
      <c r="A560" s="16">
        <v>552</v>
      </c>
      <c r="B560" s="10" t="s">
        <v>458</v>
      </c>
      <c r="C560" s="10" t="s">
        <v>463</v>
      </c>
      <c r="D560" s="10" t="s">
        <v>238</v>
      </c>
      <c r="E560" s="24" t="s">
        <v>33</v>
      </c>
      <c r="F560" s="25">
        <v>16000</v>
      </c>
      <c r="G560" s="10" t="s">
        <v>33</v>
      </c>
    </row>
    <row r="561" spans="1:7" ht="15" customHeight="1" x14ac:dyDescent="0.3">
      <c r="A561" s="16">
        <v>553</v>
      </c>
      <c r="B561" s="10" t="s">
        <v>458</v>
      </c>
      <c r="C561" s="10" t="s">
        <v>326</v>
      </c>
      <c r="D561" s="10" t="s">
        <v>238</v>
      </c>
      <c r="E561" s="24" t="s">
        <v>33</v>
      </c>
      <c r="F561" s="25">
        <v>16000</v>
      </c>
      <c r="G561" s="10" t="s">
        <v>33</v>
      </c>
    </row>
    <row r="562" spans="1:7" ht="15" customHeight="1" x14ac:dyDescent="0.3">
      <c r="A562" s="16">
        <v>554</v>
      </c>
      <c r="B562" s="10" t="s">
        <v>458</v>
      </c>
      <c r="C562" s="10" t="s">
        <v>464</v>
      </c>
      <c r="D562" s="10" t="s">
        <v>238</v>
      </c>
      <c r="E562" s="24" t="s">
        <v>33</v>
      </c>
      <c r="F562" s="25">
        <v>25000</v>
      </c>
      <c r="G562" s="10" t="s">
        <v>33</v>
      </c>
    </row>
    <row r="563" spans="1:7" ht="15" customHeight="1" x14ac:dyDescent="0.3">
      <c r="A563" s="16">
        <v>555</v>
      </c>
      <c r="B563" s="10" t="s">
        <v>458</v>
      </c>
      <c r="C563" s="10" t="s">
        <v>465</v>
      </c>
      <c r="D563" s="10" t="s">
        <v>238</v>
      </c>
      <c r="E563" s="24" t="s">
        <v>33</v>
      </c>
      <c r="F563" s="25">
        <v>25000</v>
      </c>
      <c r="G563" s="10" t="s">
        <v>33</v>
      </c>
    </row>
    <row r="564" spans="1:7" ht="15" customHeight="1" x14ac:dyDescent="0.3">
      <c r="A564" s="16">
        <v>556</v>
      </c>
      <c r="B564" s="10" t="s">
        <v>458</v>
      </c>
      <c r="C564" s="10" t="s">
        <v>466</v>
      </c>
      <c r="D564" s="10" t="s">
        <v>238</v>
      </c>
      <c r="E564" s="24" t="s">
        <v>33</v>
      </c>
      <c r="F564" s="25">
        <v>25000</v>
      </c>
      <c r="G564" s="10" t="s">
        <v>33</v>
      </c>
    </row>
    <row r="565" spans="1:7" ht="15" customHeight="1" x14ac:dyDescent="0.3">
      <c r="A565" s="16">
        <v>557</v>
      </c>
      <c r="B565" s="10" t="s">
        <v>467</v>
      </c>
      <c r="C565" s="10" t="s">
        <v>296</v>
      </c>
      <c r="D565" s="10" t="s">
        <v>238</v>
      </c>
      <c r="E565" s="24" t="s">
        <v>33</v>
      </c>
      <c r="F565" s="25">
        <v>200</v>
      </c>
      <c r="G565" s="10" t="s">
        <v>33</v>
      </c>
    </row>
    <row r="566" spans="1:7" ht="15" customHeight="1" x14ac:dyDescent="0.3">
      <c r="A566" s="16">
        <v>558</v>
      </c>
      <c r="B566" s="10" t="s">
        <v>467</v>
      </c>
      <c r="C566" s="10" t="s">
        <v>445</v>
      </c>
      <c r="D566" s="10" t="s">
        <v>238</v>
      </c>
      <c r="E566" s="24" t="s">
        <v>33</v>
      </c>
      <c r="F566" s="25">
        <v>280</v>
      </c>
      <c r="G566" s="10" t="s">
        <v>33</v>
      </c>
    </row>
    <row r="567" spans="1:7" ht="15" customHeight="1" x14ac:dyDescent="0.3">
      <c r="A567" s="16">
        <v>559</v>
      </c>
      <c r="B567" s="10" t="s">
        <v>467</v>
      </c>
      <c r="C567" s="10" t="s">
        <v>299</v>
      </c>
      <c r="D567" s="10" t="s">
        <v>238</v>
      </c>
      <c r="E567" s="24" t="s">
        <v>33</v>
      </c>
      <c r="F567" s="25">
        <v>360</v>
      </c>
      <c r="G567" s="10" t="s">
        <v>33</v>
      </c>
    </row>
    <row r="568" spans="1:7" ht="15" customHeight="1" x14ac:dyDescent="0.3">
      <c r="A568" s="16">
        <v>560</v>
      </c>
      <c r="B568" s="10" t="s">
        <v>467</v>
      </c>
      <c r="C568" s="10" t="s">
        <v>304</v>
      </c>
      <c r="D568" s="10" t="s">
        <v>238</v>
      </c>
      <c r="E568" s="24" t="s">
        <v>33</v>
      </c>
      <c r="F568" s="25">
        <v>780</v>
      </c>
      <c r="G568" s="10" t="s">
        <v>33</v>
      </c>
    </row>
    <row r="569" spans="1:7" ht="15" customHeight="1" x14ac:dyDescent="0.3">
      <c r="A569" s="16">
        <v>561</v>
      </c>
      <c r="B569" s="10" t="s">
        <v>467</v>
      </c>
      <c r="C569" s="10" t="s">
        <v>468</v>
      </c>
      <c r="D569" s="10" t="s">
        <v>238</v>
      </c>
      <c r="E569" s="24" t="s">
        <v>33</v>
      </c>
      <c r="F569" s="25">
        <v>900</v>
      </c>
      <c r="G569" s="10" t="s">
        <v>33</v>
      </c>
    </row>
    <row r="570" spans="1:7" ht="15" customHeight="1" x14ac:dyDescent="0.3">
      <c r="A570" s="16">
        <v>562</v>
      </c>
      <c r="B570" s="10" t="s">
        <v>467</v>
      </c>
      <c r="C570" s="10" t="s">
        <v>297</v>
      </c>
      <c r="D570" s="10" t="s">
        <v>238</v>
      </c>
      <c r="E570" s="24" t="s">
        <v>33</v>
      </c>
      <c r="F570" s="25">
        <v>2100</v>
      </c>
      <c r="G570" s="10" t="s">
        <v>33</v>
      </c>
    </row>
    <row r="571" spans="1:7" ht="15" customHeight="1" x14ac:dyDescent="0.3">
      <c r="A571" s="16">
        <v>563</v>
      </c>
      <c r="B571" s="10" t="s">
        <v>467</v>
      </c>
      <c r="C571" s="10" t="s">
        <v>453</v>
      </c>
      <c r="D571" s="10" t="s">
        <v>238</v>
      </c>
      <c r="E571" s="24" t="s">
        <v>33</v>
      </c>
      <c r="F571" s="25">
        <v>6000</v>
      </c>
      <c r="G571" s="10" t="s">
        <v>33</v>
      </c>
    </row>
    <row r="572" spans="1:7" ht="15" customHeight="1" x14ac:dyDescent="0.3">
      <c r="A572" s="16">
        <v>564</v>
      </c>
      <c r="B572" s="10" t="s">
        <v>467</v>
      </c>
      <c r="C572" s="10" t="s">
        <v>317</v>
      </c>
      <c r="D572" s="10" t="s">
        <v>238</v>
      </c>
      <c r="E572" s="24" t="s">
        <v>33</v>
      </c>
      <c r="F572" s="25">
        <v>7000</v>
      </c>
      <c r="G572" s="10" t="s">
        <v>33</v>
      </c>
    </row>
    <row r="573" spans="1:7" ht="15" customHeight="1" x14ac:dyDescent="0.3">
      <c r="A573" s="16">
        <v>565</v>
      </c>
      <c r="B573" s="10" t="s">
        <v>467</v>
      </c>
      <c r="C573" s="10" t="s">
        <v>315</v>
      </c>
      <c r="D573" s="10" t="s">
        <v>238</v>
      </c>
      <c r="E573" s="24" t="s">
        <v>33</v>
      </c>
      <c r="F573" s="25">
        <v>7000</v>
      </c>
      <c r="G573" s="10" t="s">
        <v>33</v>
      </c>
    </row>
    <row r="574" spans="1:7" ht="15" customHeight="1" x14ac:dyDescent="0.3">
      <c r="A574" s="16">
        <v>566</v>
      </c>
      <c r="B574" s="10" t="s">
        <v>467</v>
      </c>
      <c r="C574" s="10" t="s">
        <v>316</v>
      </c>
      <c r="D574" s="10" t="s">
        <v>238</v>
      </c>
      <c r="E574" s="24" t="s">
        <v>33</v>
      </c>
      <c r="F574" s="25">
        <v>15000</v>
      </c>
      <c r="G574" s="10" t="s">
        <v>33</v>
      </c>
    </row>
    <row r="575" spans="1:7" ht="15" customHeight="1" x14ac:dyDescent="0.3">
      <c r="A575" s="16">
        <v>567</v>
      </c>
      <c r="B575" s="10" t="s">
        <v>467</v>
      </c>
      <c r="C575" s="10" t="s">
        <v>320</v>
      </c>
      <c r="D575" s="10" t="s">
        <v>238</v>
      </c>
      <c r="E575" s="24" t="s">
        <v>33</v>
      </c>
      <c r="F575" s="25">
        <v>15000</v>
      </c>
      <c r="G575" s="10" t="s">
        <v>33</v>
      </c>
    </row>
    <row r="576" spans="1:7" ht="15" customHeight="1" x14ac:dyDescent="0.3">
      <c r="A576" s="16">
        <v>568</v>
      </c>
      <c r="B576" s="10" t="s">
        <v>467</v>
      </c>
      <c r="C576" s="10" t="s">
        <v>469</v>
      </c>
      <c r="D576" s="10" t="s">
        <v>238</v>
      </c>
      <c r="E576" s="24" t="s">
        <v>33</v>
      </c>
      <c r="F576" s="25">
        <v>17000</v>
      </c>
      <c r="G576" s="10" t="s">
        <v>33</v>
      </c>
    </row>
    <row r="577" spans="1:7" ht="15" customHeight="1" x14ac:dyDescent="0.3">
      <c r="A577" s="16">
        <v>569</v>
      </c>
      <c r="B577" s="10" t="s">
        <v>467</v>
      </c>
      <c r="C577" s="10" t="s">
        <v>386</v>
      </c>
      <c r="D577" s="10" t="s">
        <v>238</v>
      </c>
      <c r="E577" s="24" t="s">
        <v>33</v>
      </c>
      <c r="F577" s="25">
        <v>17000</v>
      </c>
      <c r="G577" s="10" t="s">
        <v>33</v>
      </c>
    </row>
    <row r="578" spans="1:7" ht="15" customHeight="1" x14ac:dyDescent="0.3">
      <c r="A578" s="16">
        <v>570</v>
      </c>
      <c r="B578" s="10" t="s">
        <v>467</v>
      </c>
      <c r="C578" s="10" t="s">
        <v>295</v>
      </c>
      <c r="D578" s="10" t="s">
        <v>238</v>
      </c>
      <c r="E578" s="24" t="s">
        <v>33</v>
      </c>
      <c r="F578" s="25">
        <v>15000</v>
      </c>
      <c r="G578" s="10" t="s">
        <v>33</v>
      </c>
    </row>
    <row r="579" spans="1:7" ht="15" customHeight="1" x14ac:dyDescent="0.3">
      <c r="A579" s="16">
        <v>571</v>
      </c>
      <c r="B579" s="10" t="s">
        <v>467</v>
      </c>
      <c r="C579" s="10" t="s">
        <v>470</v>
      </c>
      <c r="D579" s="10" t="s">
        <v>238</v>
      </c>
      <c r="E579" s="24" t="s">
        <v>33</v>
      </c>
      <c r="F579" s="25">
        <v>20000</v>
      </c>
      <c r="G579" s="10" t="s">
        <v>33</v>
      </c>
    </row>
    <row r="580" spans="1:7" ht="15" customHeight="1" x14ac:dyDescent="0.3">
      <c r="A580" s="16">
        <v>572</v>
      </c>
      <c r="B580" s="10" t="s">
        <v>467</v>
      </c>
      <c r="C580" s="10" t="s">
        <v>444</v>
      </c>
      <c r="D580" s="10" t="s">
        <v>238</v>
      </c>
      <c r="E580" s="24" t="s">
        <v>33</v>
      </c>
      <c r="F580" s="25">
        <v>21000</v>
      </c>
      <c r="G580" s="10" t="s">
        <v>33</v>
      </c>
    </row>
    <row r="581" spans="1:7" ht="15" customHeight="1" x14ac:dyDescent="0.3">
      <c r="A581" s="16">
        <v>573</v>
      </c>
      <c r="B581" s="10" t="s">
        <v>467</v>
      </c>
      <c r="C581" s="10" t="s">
        <v>306</v>
      </c>
      <c r="D581" s="10" t="s">
        <v>238</v>
      </c>
      <c r="E581" s="24" t="s">
        <v>33</v>
      </c>
      <c r="F581" s="25">
        <v>20000</v>
      </c>
      <c r="G581" s="10" t="s">
        <v>33</v>
      </c>
    </row>
    <row r="582" spans="1:7" ht="15" customHeight="1" x14ac:dyDescent="0.3">
      <c r="A582" s="16">
        <v>574</v>
      </c>
      <c r="B582" s="10" t="s">
        <v>467</v>
      </c>
      <c r="C582" s="10" t="s">
        <v>471</v>
      </c>
      <c r="D582" s="10" t="s">
        <v>238</v>
      </c>
      <c r="E582" s="24" t="s">
        <v>33</v>
      </c>
      <c r="F582" s="25">
        <v>25000</v>
      </c>
      <c r="G582" s="10" t="s">
        <v>33</v>
      </c>
    </row>
    <row r="583" spans="1:7" ht="15" customHeight="1" x14ac:dyDescent="0.3">
      <c r="A583" s="16">
        <v>575</v>
      </c>
      <c r="B583" s="10" t="s">
        <v>472</v>
      </c>
      <c r="C583" s="10" t="s">
        <v>324</v>
      </c>
      <c r="D583" s="10" t="s">
        <v>238</v>
      </c>
      <c r="E583" s="24" t="s">
        <v>33</v>
      </c>
      <c r="F583" s="25">
        <v>300</v>
      </c>
      <c r="G583" s="10" t="s">
        <v>33</v>
      </c>
    </row>
    <row r="584" spans="1:7" ht="15" customHeight="1" x14ac:dyDescent="0.3">
      <c r="A584" s="16">
        <v>576</v>
      </c>
      <c r="B584" s="10" t="s">
        <v>472</v>
      </c>
      <c r="C584" s="10" t="s">
        <v>336</v>
      </c>
      <c r="D584" s="10" t="s">
        <v>238</v>
      </c>
      <c r="E584" s="24" t="s">
        <v>33</v>
      </c>
      <c r="F584" s="25">
        <v>400</v>
      </c>
      <c r="G584" s="10" t="s">
        <v>33</v>
      </c>
    </row>
    <row r="585" spans="1:7" ht="15" customHeight="1" x14ac:dyDescent="0.3">
      <c r="A585" s="16">
        <v>577</v>
      </c>
      <c r="B585" s="10" t="s">
        <v>472</v>
      </c>
      <c r="C585" s="10" t="s">
        <v>332</v>
      </c>
      <c r="D585" s="10" t="s">
        <v>238</v>
      </c>
      <c r="E585" s="24" t="s">
        <v>33</v>
      </c>
      <c r="F585" s="25">
        <v>560</v>
      </c>
      <c r="G585" s="10" t="s">
        <v>33</v>
      </c>
    </row>
    <row r="586" spans="1:7" ht="15" customHeight="1" x14ac:dyDescent="0.3">
      <c r="A586" s="16">
        <v>578</v>
      </c>
      <c r="B586" s="10" t="s">
        <v>472</v>
      </c>
      <c r="C586" s="10" t="s">
        <v>473</v>
      </c>
      <c r="D586" s="10" t="s">
        <v>238</v>
      </c>
      <c r="E586" s="24" t="s">
        <v>33</v>
      </c>
      <c r="F586" s="25">
        <v>600</v>
      </c>
      <c r="G586" s="10" t="s">
        <v>33</v>
      </c>
    </row>
    <row r="587" spans="1:7" ht="15" customHeight="1" x14ac:dyDescent="0.3">
      <c r="A587" s="16">
        <v>579</v>
      </c>
      <c r="B587" s="10" t="s">
        <v>472</v>
      </c>
      <c r="C587" s="10" t="s">
        <v>306</v>
      </c>
      <c r="D587" s="10" t="s">
        <v>238</v>
      </c>
      <c r="E587" s="24" t="s">
        <v>33</v>
      </c>
      <c r="F587" s="25">
        <v>1850</v>
      </c>
      <c r="G587" s="10" t="s">
        <v>33</v>
      </c>
    </row>
    <row r="588" spans="1:7" ht="15" customHeight="1" x14ac:dyDescent="0.3">
      <c r="A588" s="16">
        <v>580</v>
      </c>
      <c r="B588" s="10" t="s">
        <v>472</v>
      </c>
      <c r="C588" s="10" t="s">
        <v>474</v>
      </c>
      <c r="D588" s="10" t="s">
        <v>238</v>
      </c>
      <c r="E588" s="24" t="s">
        <v>33</v>
      </c>
      <c r="F588" s="25">
        <v>2250</v>
      </c>
      <c r="G588" s="10" t="s">
        <v>33</v>
      </c>
    </row>
    <row r="589" spans="1:7" ht="15" customHeight="1" x14ac:dyDescent="0.3">
      <c r="A589" s="16">
        <v>581</v>
      </c>
      <c r="B589" s="10" t="s">
        <v>472</v>
      </c>
      <c r="C589" s="10" t="s">
        <v>475</v>
      </c>
      <c r="D589" s="10" t="s">
        <v>238</v>
      </c>
      <c r="E589" s="24" t="s">
        <v>33</v>
      </c>
      <c r="F589" s="25">
        <v>2150</v>
      </c>
      <c r="G589" s="10" t="s">
        <v>33</v>
      </c>
    </row>
    <row r="590" spans="1:7" ht="15" customHeight="1" x14ac:dyDescent="0.3">
      <c r="A590" s="16">
        <v>582</v>
      </c>
      <c r="B590" s="10" t="s">
        <v>472</v>
      </c>
      <c r="C590" s="10" t="s">
        <v>476</v>
      </c>
      <c r="D590" s="10" t="s">
        <v>238</v>
      </c>
      <c r="E590" s="24" t="s">
        <v>33</v>
      </c>
      <c r="F590" s="25">
        <v>2600</v>
      </c>
      <c r="G590" s="10" t="s">
        <v>33</v>
      </c>
    </row>
    <row r="591" spans="1:7" ht="15" customHeight="1" x14ac:dyDescent="0.3">
      <c r="A591" s="16">
        <v>583</v>
      </c>
      <c r="B591" s="10" t="s">
        <v>472</v>
      </c>
      <c r="C591" s="10" t="s">
        <v>330</v>
      </c>
      <c r="D591" s="10" t="s">
        <v>238</v>
      </c>
      <c r="E591" s="24" t="s">
        <v>33</v>
      </c>
      <c r="F591" s="25">
        <v>4100</v>
      </c>
      <c r="G591" s="10" t="s">
        <v>33</v>
      </c>
    </row>
    <row r="592" spans="1:7" ht="15" customHeight="1" x14ac:dyDescent="0.3">
      <c r="A592" s="16">
        <v>584</v>
      </c>
      <c r="B592" s="10" t="s">
        <v>472</v>
      </c>
      <c r="C592" s="10" t="s">
        <v>328</v>
      </c>
      <c r="D592" s="10" t="s">
        <v>238</v>
      </c>
      <c r="E592" s="24" t="s">
        <v>33</v>
      </c>
      <c r="F592" s="25">
        <v>4100</v>
      </c>
      <c r="G592" s="10" t="s">
        <v>33</v>
      </c>
    </row>
    <row r="593" spans="1:7" ht="15" customHeight="1" x14ac:dyDescent="0.3">
      <c r="A593" s="16">
        <v>585</v>
      </c>
      <c r="B593" s="10" t="s">
        <v>472</v>
      </c>
      <c r="C593" s="10" t="s">
        <v>308</v>
      </c>
      <c r="D593" s="10" t="s">
        <v>238</v>
      </c>
      <c r="E593" s="24" t="s">
        <v>33</v>
      </c>
      <c r="F593" s="25">
        <v>5100</v>
      </c>
      <c r="G593" s="10" t="s">
        <v>33</v>
      </c>
    </row>
    <row r="594" spans="1:7" ht="15" customHeight="1" x14ac:dyDescent="0.3">
      <c r="A594" s="16">
        <v>586</v>
      </c>
      <c r="B594" s="10" t="s">
        <v>472</v>
      </c>
      <c r="C594" s="10" t="s">
        <v>471</v>
      </c>
      <c r="D594" s="10" t="s">
        <v>238</v>
      </c>
      <c r="E594" s="24" t="s">
        <v>33</v>
      </c>
      <c r="F594" s="25">
        <v>5200</v>
      </c>
      <c r="G594" s="10" t="s">
        <v>33</v>
      </c>
    </row>
    <row r="595" spans="1:7" ht="15" customHeight="1" x14ac:dyDescent="0.3">
      <c r="A595" s="16">
        <v>587</v>
      </c>
      <c r="B595" s="10" t="s">
        <v>472</v>
      </c>
      <c r="C595" s="10" t="s">
        <v>356</v>
      </c>
      <c r="D595" s="10" t="s">
        <v>238</v>
      </c>
      <c r="E595" s="24" t="s">
        <v>33</v>
      </c>
      <c r="F595" s="25">
        <v>6600</v>
      </c>
      <c r="G595" s="10" t="s">
        <v>33</v>
      </c>
    </row>
    <row r="596" spans="1:7" ht="15" customHeight="1" x14ac:dyDescent="0.3">
      <c r="A596" s="16">
        <v>588</v>
      </c>
      <c r="B596" s="10" t="s">
        <v>472</v>
      </c>
      <c r="C596" s="10" t="s">
        <v>295</v>
      </c>
      <c r="D596" s="10" t="s">
        <v>238</v>
      </c>
      <c r="E596" s="24" t="s">
        <v>33</v>
      </c>
      <c r="F596" s="25">
        <v>7100</v>
      </c>
      <c r="G596" s="10" t="s">
        <v>33</v>
      </c>
    </row>
    <row r="597" spans="1:7" ht="15" customHeight="1" x14ac:dyDescent="0.3">
      <c r="A597" s="16">
        <v>589</v>
      </c>
      <c r="B597" s="10" t="s">
        <v>472</v>
      </c>
      <c r="C597" s="10" t="s">
        <v>477</v>
      </c>
      <c r="D597" s="10" t="s">
        <v>238</v>
      </c>
      <c r="E597" s="24" t="s">
        <v>33</v>
      </c>
      <c r="F597" s="25">
        <v>7200</v>
      </c>
      <c r="G597" s="10" t="s">
        <v>33</v>
      </c>
    </row>
    <row r="598" spans="1:7" ht="15" customHeight="1" x14ac:dyDescent="0.3">
      <c r="A598" s="16">
        <v>590</v>
      </c>
      <c r="B598" s="10" t="s">
        <v>472</v>
      </c>
      <c r="C598" s="10" t="s">
        <v>478</v>
      </c>
      <c r="D598" s="10" t="s">
        <v>238</v>
      </c>
      <c r="E598" s="24" t="s">
        <v>33</v>
      </c>
      <c r="F598" s="25">
        <v>7100</v>
      </c>
      <c r="G598" s="10" t="s">
        <v>33</v>
      </c>
    </row>
    <row r="599" spans="1:7" ht="15" customHeight="1" x14ac:dyDescent="0.3">
      <c r="A599" s="16">
        <v>591</v>
      </c>
      <c r="B599" s="10" t="s">
        <v>472</v>
      </c>
      <c r="C599" s="10" t="s">
        <v>479</v>
      </c>
      <c r="D599" s="10" t="s">
        <v>238</v>
      </c>
      <c r="E599" s="24" t="s">
        <v>33</v>
      </c>
      <c r="F599" s="25">
        <v>7600</v>
      </c>
      <c r="G599" s="10" t="s">
        <v>33</v>
      </c>
    </row>
    <row r="600" spans="1:7" ht="15" customHeight="1" x14ac:dyDescent="0.3">
      <c r="A600" s="16">
        <v>592</v>
      </c>
      <c r="B600" s="10" t="s">
        <v>472</v>
      </c>
      <c r="C600" s="10" t="s">
        <v>297</v>
      </c>
      <c r="D600" s="10" t="s">
        <v>238</v>
      </c>
      <c r="E600" s="24" t="s">
        <v>33</v>
      </c>
      <c r="F600" s="25">
        <v>7600</v>
      </c>
      <c r="G600" s="10" t="s">
        <v>33</v>
      </c>
    </row>
    <row r="601" spans="1:7" ht="15" customHeight="1" x14ac:dyDescent="0.3">
      <c r="A601" s="16">
        <v>593</v>
      </c>
      <c r="B601" s="10" t="s">
        <v>472</v>
      </c>
      <c r="C601" s="10" t="s">
        <v>296</v>
      </c>
      <c r="D601" s="10" t="s">
        <v>238</v>
      </c>
      <c r="E601" s="24" t="s">
        <v>33</v>
      </c>
      <c r="F601" s="25">
        <v>8500</v>
      </c>
      <c r="G601" s="10" t="s">
        <v>33</v>
      </c>
    </row>
    <row r="602" spans="1:7" ht="15" customHeight="1" x14ac:dyDescent="0.3">
      <c r="A602" s="16">
        <v>594</v>
      </c>
      <c r="B602" s="10" t="s">
        <v>472</v>
      </c>
      <c r="C602" s="10" t="s">
        <v>480</v>
      </c>
      <c r="D602" s="10" t="s">
        <v>238</v>
      </c>
      <c r="E602" s="24" t="s">
        <v>33</v>
      </c>
      <c r="F602" s="25">
        <v>8100</v>
      </c>
      <c r="G602" s="10" t="s">
        <v>33</v>
      </c>
    </row>
    <row r="603" spans="1:7" ht="15" customHeight="1" x14ac:dyDescent="0.3">
      <c r="A603" s="16">
        <v>595</v>
      </c>
      <c r="B603" s="10" t="s">
        <v>472</v>
      </c>
      <c r="C603" s="10" t="s">
        <v>481</v>
      </c>
      <c r="D603" s="10" t="s">
        <v>238</v>
      </c>
      <c r="E603" s="24" t="s">
        <v>33</v>
      </c>
      <c r="F603" s="25">
        <v>8500</v>
      </c>
      <c r="G603" s="10" t="s">
        <v>33</v>
      </c>
    </row>
    <row r="604" spans="1:7" ht="15" customHeight="1" x14ac:dyDescent="0.3">
      <c r="A604" s="16">
        <v>596</v>
      </c>
      <c r="B604" s="10" t="s">
        <v>472</v>
      </c>
      <c r="C604" s="10" t="s">
        <v>404</v>
      </c>
      <c r="D604" s="10" t="s">
        <v>238</v>
      </c>
      <c r="E604" s="24" t="s">
        <v>33</v>
      </c>
      <c r="F604" s="25">
        <v>9500</v>
      </c>
      <c r="G604" s="10" t="s">
        <v>33</v>
      </c>
    </row>
    <row r="605" spans="1:7" ht="15" customHeight="1" x14ac:dyDescent="0.3">
      <c r="A605" s="16">
        <v>597</v>
      </c>
      <c r="B605" s="10" t="s">
        <v>472</v>
      </c>
      <c r="C605" s="10" t="s">
        <v>443</v>
      </c>
      <c r="D605" s="10" t="s">
        <v>238</v>
      </c>
      <c r="E605" s="24" t="s">
        <v>33</v>
      </c>
      <c r="F605" s="25">
        <v>9100</v>
      </c>
      <c r="G605" s="10" t="s">
        <v>33</v>
      </c>
    </row>
    <row r="606" spans="1:7" ht="15" customHeight="1" x14ac:dyDescent="0.3">
      <c r="A606" s="16">
        <v>598</v>
      </c>
      <c r="B606" s="10" t="s">
        <v>472</v>
      </c>
      <c r="C606" s="10" t="s">
        <v>368</v>
      </c>
      <c r="D606" s="10" t="s">
        <v>238</v>
      </c>
      <c r="E606" s="24" t="s">
        <v>33</v>
      </c>
      <c r="F606" s="25">
        <v>9500</v>
      </c>
      <c r="G606" s="10" t="s">
        <v>33</v>
      </c>
    </row>
    <row r="607" spans="1:7" ht="15" customHeight="1" x14ac:dyDescent="0.3">
      <c r="A607" s="16">
        <v>599</v>
      </c>
      <c r="B607" s="10" t="s">
        <v>472</v>
      </c>
      <c r="C607" s="10" t="s">
        <v>313</v>
      </c>
      <c r="D607" s="10" t="s">
        <v>238</v>
      </c>
      <c r="E607" s="24" t="s">
        <v>33</v>
      </c>
      <c r="F607" s="25">
        <v>10000</v>
      </c>
      <c r="G607" s="10" t="s">
        <v>33</v>
      </c>
    </row>
    <row r="608" spans="1:7" ht="15" customHeight="1" x14ac:dyDescent="0.3">
      <c r="A608" s="16">
        <v>600</v>
      </c>
      <c r="B608" s="10" t="s">
        <v>472</v>
      </c>
      <c r="C608" s="10" t="s">
        <v>316</v>
      </c>
      <c r="D608" s="10" t="s">
        <v>238</v>
      </c>
      <c r="E608" s="24" t="s">
        <v>33</v>
      </c>
      <c r="F608" s="25">
        <v>12000</v>
      </c>
      <c r="G608" s="10" t="s">
        <v>33</v>
      </c>
    </row>
    <row r="609" spans="1:7" ht="15" customHeight="1" x14ac:dyDescent="0.3">
      <c r="A609" s="16">
        <v>601</v>
      </c>
      <c r="B609" s="10" t="s">
        <v>472</v>
      </c>
      <c r="C609" s="10" t="s">
        <v>331</v>
      </c>
      <c r="D609" s="10" t="s">
        <v>238</v>
      </c>
      <c r="E609" s="24" t="s">
        <v>33</v>
      </c>
      <c r="F609" s="25">
        <v>13000</v>
      </c>
      <c r="G609" s="10" t="s">
        <v>33</v>
      </c>
    </row>
    <row r="610" spans="1:7" ht="15" customHeight="1" x14ac:dyDescent="0.3">
      <c r="A610" s="16">
        <v>602</v>
      </c>
      <c r="B610" s="10" t="s">
        <v>472</v>
      </c>
      <c r="C610" s="10" t="s">
        <v>303</v>
      </c>
      <c r="D610" s="10" t="s">
        <v>238</v>
      </c>
      <c r="E610" s="24" t="s">
        <v>33</v>
      </c>
      <c r="F610" s="25">
        <v>11000</v>
      </c>
      <c r="G610" s="10" t="s">
        <v>33</v>
      </c>
    </row>
    <row r="611" spans="1:7" ht="15" customHeight="1" x14ac:dyDescent="0.3">
      <c r="A611" s="16">
        <v>603</v>
      </c>
      <c r="B611" s="10" t="s">
        <v>472</v>
      </c>
      <c r="C611" s="10" t="s">
        <v>300</v>
      </c>
      <c r="D611" s="10" t="s">
        <v>238</v>
      </c>
      <c r="E611" s="24" t="s">
        <v>33</v>
      </c>
      <c r="F611" s="25">
        <v>10000</v>
      </c>
      <c r="G611" s="10" t="s">
        <v>33</v>
      </c>
    </row>
    <row r="612" spans="1:7" ht="15" customHeight="1" x14ac:dyDescent="0.3">
      <c r="A612" s="16">
        <v>604</v>
      </c>
      <c r="B612" s="10" t="s">
        <v>472</v>
      </c>
      <c r="C612" s="10" t="s">
        <v>482</v>
      </c>
      <c r="D612" s="10" t="s">
        <v>238</v>
      </c>
      <c r="E612" s="24" t="s">
        <v>33</v>
      </c>
      <c r="F612" s="25">
        <v>15000</v>
      </c>
      <c r="G612" s="10" t="s">
        <v>33</v>
      </c>
    </row>
    <row r="613" spans="1:7" ht="15" customHeight="1" x14ac:dyDescent="0.3">
      <c r="A613" s="16">
        <v>605</v>
      </c>
      <c r="B613" s="10" t="s">
        <v>472</v>
      </c>
      <c r="C613" s="10" t="s">
        <v>483</v>
      </c>
      <c r="D613" s="10" t="s">
        <v>238</v>
      </c>
      <c r="E613" s="24" t="s">
        <v>33</v>
      </c>
      <c r="F613" s="25">
        <v>16000</v>
      </c>
      <c r="G613" s="10" t="s">
        <v>33</v>
      </c>
    </row>
    <row r="614" spans="1:7" ht="15" customHeight="1" x14ac:dyDescent="0.3">
      <c r="A614" s="16">
        <v>606</v>
      </c>
      <c r="B614" s="10" t="s">
        <v>472</v>
      </c>
      <c r="C614" s="10" t="s">
        <v>484</v>
      </c>
      <c r="D614" s="10" t="s">
        <v>238</v>
      </c>
      <c r="E614" s="24" t="s">
        <v>33</v>
      </c>
      <c r="F614" s="25">
        <v>15000</v>
      </c>
      <c r="G614" s="10" t="s">
        <v>33</v>
      </c>
    </row>
    <row r="615" spans="1:7" ht="15" customHeight="1" x14ac:dyDescent="0.3">
      <c r="A615" s="16">
        <v>607</v>
      </c>
      <c r="B615" s="10" t="s">
        <v>472</v>
      </c>
      <c r="C615" s="10" t="s">
        <v>485</v>
      </c>
      <c r="D615" s="10" t="s">
        <v>238</v>
      </c>
      <c r="E615" s="24" t="s">
        <v>33</v>
      </c>
      <c r="F615" s="25">
        <v>15000</v>
      </c>
      <c r="G615" s="10" t="s">
        <v>33</v>
      </c>
    </row>
    <row r="616" spans="1:7" ht="15" customHeight="1" x14ac:dyDescent="0.3">
      <c r="A616" s="16">
        <v>608</v>
      </c>
      <c r="B616" s="10" t="s">
        <v>472</v>
      </c>
      <c r="C616" s="10" t="s">
        <v>486</v>
      </c>
      <c r="D616" s="10" t="s">
        <v>238</v>
      </c>
      <c r="E616" s="24" t="s">
        <v>33</v>
      </c>
      <c r="F616" s="25">
        <v>15000</v>
      </c>
      <c r="G616" s="10" t="s">
        <v>33</v>
      </c>
    </row>
    <row r="617" spans="1:7" ht="15" customHeight="1" x14ac:dyDescent="0.3">
      <c r="A617" s="16">
        <v>609</v>
      </c>
      <c r="B617" s="10" t="s">
        <v>472</v>
      </c>
      <c r="C617" s="10" t="s">
        <v>487</v>
      </c>
      <c r="D617" s="10" t="s">
        <v>238</v>
      </c>
      <c r="E617" s="24" t="s">
        <v>33</v>
      </c>
      <c r="F617" s="25">
        <v>16000</v>
      </c>
      <c r="G617" s="10" t="s">
        <v>33</v>
      </c>
    </row>
    <row r="618" spans="1:7" ht="15" customHeight="1" x14ac:dyDescent="0.3">
      <c r="A618" s="16">
        <v>610</v>
      </c>
      <c r="B618" s="10" t="s">
        <v>472</v>
      </c>
      <c r="C618" s="10" t="s">
        <v>304</v>
      </c>
      <c r="D618" s="10" t="s">
        <v>238</v>
      </c>
      <c r="E618" s="24" t="s">
        <v>33</v>
      </c>
      <c r="F618" s="25">
        <v>13000</v>
      </c>
      <c r="G618" s="10" t="s">
        <v>33</v>
      </c>
    </row>
    <row r="619" spans="1:7" ht="15" customHeight="1" x14ac:dyDescent="0.3">
      <c r="A619" s="16">
        <v>611</v>
      </c>
      <c r="B619" s="10" t="s">
        <v>472</v>
      </c>
      <c r="C619" s="10" t="s">
        <v>488</v>
      </c>
      <c r="D619" s="10" t="s">
        <v>238</v>
      </c>
      <c r="E619" s="24" t="s">
        <v>33</v>
      </c>
      <c r="F619" s="25">
        <v>16000</v>
      </c>
      <c r="G619" s="10" t="s">
        <v>33</v>
      </c>
    </row>
    <row r="620" spans="1:7" ht="15" customHeight="1" x14ac:dyDescent="0.3">
      <c r="A620" s="16">
        <v>612</v>
      </c>
      <c r="B620" s="10" t="s">
        <v>472</v>
      </c>
      <c r="C620" s="10" t="s">
        <v>447</v>
      </c>
      <c r="D620" s="10" t="s">
        <v>238</v>
      </c>
      <c r="E620" s="24" t="s">
        <v>33</v>
      </c>
      <c r="F620" s="25">
        <v>16000</v>
      </c>
      <c r="G620" s="10" t="s">
        <v>33</v>
      </c>
    </row>
    <row r="621" spans="1:7" ht="15" customHeight="1" x14ac:dyDescent="0.3">
      <c r="A621" s="16">
        <v>613</v>
      </c>
      <c r="B621" s="10" t="s">
        <v>472</v>
      </c>
      <c r="C621" s="10" t="s">
        <v>329</v>
      </c>
      <c r="D621" s="10" t="s">
        <v>238</v>
      </c>
      <c r="E621" s="24" t="s">
        <v>33</v>
      </c>
      <c r="F621" s="25">
        <v>20000</v>
      </c>
      <c r="G621" s="10" t="s">
        <v>33</v>
      </c>
    </row>
    <row r="622" spans="1:7" ht="15" customHeight="1" x14ac:dyDescent="0.3">
      <c r="A622" s="16">
        <v>614</v>
      </c>
      <c r="B622" s="10" t="s">
        <v>472</v>
      </c>
      <c r="C622" s="10" t="s">
        <v>396</v>
      </c>
      <c r="D622" s="10" t="s">
        <v>238</v>
      </c>
      <c r="E622" s="24" t="s">
        <v>33</v>
      </c>
      <c r="F622" s="25">
        <v>18000</v>
      </c>
      <c r="G622" s="10" t="s">
        <v>33</v>
      </c>
    </row>
    <row r="623" spans="1:7" ht="15" customHeight="1" x14ac:dyDescent="0.3">
      <c r="A623" s="16">
        <v>615</v>
      </c>
      <c r="B623" s="10" t="s">
        <v>472</v>
      </c>
      <c r="C623" s="10" t="s">
        <v>489</v>
      </c>
      <c r="D623" s="10" t="s">
        <v>238</v>
      </c>
      <c r="E623" s="24" t="s">
        <v>33</v>
      </c>
      <c r="F623" s="25">
        <v>19000</v>
      </c>
      <c r="G623" s="10" t="s">
        <v>33</v>
      </c>
    </row>
    <row r="624" spans="1:7" ht="15" customHeight="1" x14ac:dyDescent="0.3">
      <c r="A624" s="16">
        <v>616</v>
      </c>
      <c r="B624" s="10" t="s">
        <v>472</v>
      </c>
      <c r="C624" s="10" t="s">
        <v>315</v>
      </c>
      <c r="D624" s="10" t="s">
        <v>238</v>
      </c>
      <c r="E624" s="24" t="s">
        <v>33</v>
      </c>
      <c r="F624" s="25">
        <v>20000</v>
      </c>
      <c r="G624" s="10" t="s">
        <v>33</v>
      </c>
    </row>
    <row r="625" spans="1:7" ht="15" customHeight="1" x14ac:dyDescent="0.3">
      <c r="A625" s="16">
        <v>617</v>
      </c>
      <c r="B625" s="10" t="s">
        <v>472</v>
      </c>
      <c r="C625" s="10" t="s">
        <v>299</v>
      </c>
      <c r="D625" s="10" t="s">
        <v>238</v>
      </c>
      <c r="E625" s="24" t="s">
        <v>33</v>
      </c>
      <c r="F625" s="25">
        <v>21000</v>
      </c>
      <c r="G625" s="10" t="s">
        <v>33</v>
      </c>
    </row>
    <row r="626" spans="1:7" ht="15" customHeight="1" x14ac:dyDescent="0.3">
      <c r="A626" s="16">
        <v>618</v>
      </c>
      <c r="B626" s="10" t="s">
        <v>472</v>
      </c>
      <c r="C626" s="10" t="s">
        <v>378</v>
      </c>
      <c r="D626" s="10" t="s">
        <v>238</v>
      </c>
      <c r="E626" s="24" t="s">
        <v>33</v>
      </c>
      <c r="F626" s="25">
        <v>21000</v>
      </c>
      <c r="G626" s="10" t="s">
        <v>33</v>
      </c>
    </row>
    <row r="627" spans="1:7" ht="15" customHeight="1" x14ac:dyDescent="0.3">
      <c r="A627" s="16">
        <v>619</v>
      </c>
      <c r="B627" s="10" t="s">
        <v>472</v>
      </c>
      <c r="C627" s="10" t="s">
        <v>454</v>
      </c>
      <c r="D627" s="10" t="s">
        <v>238</v>
      </c>
      <c r="E627" s="24" t="s">
        <v>33</v>
      </c>
      <c r="F627" s="25">
        <v>25000</v>
      </c>
      <c r="G627" s="10" t="s">
        <v>33</v>
      </c>
    </row>
    <row r="628" spans="1:7" ht="15" customHeight="1" x14ac:dyDescent="0.3">
      <c r="A628" s="16">
        <v>620</v>
      </c>
      <c r="B628" s="10" t="s">
        <v>472</v>
      </c>
      <c r="C628" s="10" t="s">
        <v>453</v>
      </c>
      <c r="D628" s="10" t="s">
        <v>238</v>
      </c>
      <c r="E628" s="24" t="s">
        <v>33</v>
      </c>
      <c r="F628" s="25">
        <v>21000</v>
      </c>
      <c r="G628" s="10" t="s">
        <v>33</v>
      </c>
    </row>
    <row r="629" spans="1:7" ht="15" customHeight="1" x14ac:dyDescent="0.3">
      <c r="A629" s="16">
        <v>621</v>
      </c>
      <c r="B629" s="10" t="s">
        <v>472</v>
      </c>
      <c r="C629" s="10" t="s">
        <v>301</v>
      </c>
      <c r="D629" s="10" t="s">
        <v>238</v>
      </c>
      <c r="E629" s="24" t="s">
        <v>33</v>
      </c>
      <c r="F629" s="25">
        <v>22000</v>
      </c>
      <c r="G629" s="10" t="s">
        <v>33</v>
      </c>
    </row>
    <row r="630" spans="1:7" ht="15" customHeight="1" x14ac:dyDescent="0.3">
      <c r="A630" s="16">
        <v>622</v>
      </c>
      <c r="B630" s="10" t="s">
        <v>472</v>
      </c>
      <c r="C630" s="10" t="s">
        <v>294</v>
      </c>
      <c r="D630" s="10" t="s">
        <v>238</v>
      </c>
      <c r="E630" s="24" t="s">
        <v>33</v>
      </c>
      <c r="F630" s="25">
        <v>21000</v>
      </c>
      <c r="G630" s="10" t="s">
        <v>33</v>
      </c>
    </row>
    <row r="631" spans="1:7" ht="15" customHeight="1" x14ac:dyDescent="0.3">
      <c r="A631" s="16">
        <v>623</v>
      </c>
      <c r="B631" s="10" t="s">
        <v>490</v>
      </c>
      <c r="C631" s="10" t="s">
        <v>294</v>
      </c>
      <c r="D631" s="10" t="s">
        <v>238</v>
      </c>
      <c r="E631" s="24" t="s">
        <v>33</v>
      </c>
      <c r="F631" s="25">
        <v>-600</v>
      </c>
      <c r="G631" s="10" t="s">
        <v>33</v>
      </c>
    </row>
    <row r="632" spans="1:7" ht="15" customHeight="1" x14ac:dyDescent="0.3">
      <c r="A632" s="16">
        <v>624</v>
      </c>
      <c r="B632" s="10" t="s">
        <v>490</v>
      </c>
      <c r="C632" s="10" t="s">
        <v>333</v>
      </c>
      <c r="D632" s="10" t="s">
        <v>238</v>
      </c>
      <c r="E632" s="24" t="s">
        <v>33</v>
      </c>
      <c r="F632" s="25">
        <v>1200</v>
      </c>
      <c r="G632" s="10" t="s">
        <v>33</v>
      </c>
    </row>
    <row r="633" spans="1:7" ht="15" customHeight="1" x14ac:dyDescent="0.3">
      <c r="A633" s="16">
        <v>625</v>
      </c>
      <c r="B633" s="10" t="s">
        <v>490</v>
      </c>
      <c r="C633" s="10" t="s">
        <v>323</v>
      </c>
      <c r="D633" s="10" t="s">
        <v>238</v>
      </c>
      <c r="E633" s="24" t="s">
        <v>33</v>
      </c>
      <c r="F633" s="25">
        <v>3100</v>
      </c>
      <c r="G633" s="10" t="s">
        <v>33</v>
      </c>
    </row>
    <row r="634" spans="1:7" ht="15" customHeight="1" x14ac:dyDescent="0.3">
      <c r="A634" s="16">
        <v>626</v>
      </c>
      <c r="B634" s="10" t="s">
        <v>490</v>
      </c>
      <c r="C634" s="10" t="s">
        <v>398</v>
      </c>
      <c r="D634" s="10" t="s">
        <v>238</v>
      </c>
      <c r="E634" s="24" t="s">
        <v>33</v>
      </c>
      <c r="F634" s="25">
        <v>3600</v>
      </c>
      <c r="G634" s="10" t="s">
        <v>33</v>
      </c>
    </row>
    <row r="635" spans="1:7" ht="15" customHeight="1" x14ac:dyDescent="0.3">
      <c r="A635" s="16">
        <v>627</v>
      </c>
      <c r="B635" s="10" t="s">
        <v>490</v>
      </c>
      <c r="C635" s="10" t="s">
        <v>394</v>
      </c>
      <c r="D635" s="10" t="s">
        <v>238</v>
      </c>
      <c r="E635" s="24" t="s">
        <v>33</v>
      </c>
      <c r="F635" s="25">
        <v>4100</v>
      </c>
      <c r="G635" s="10" t="s">
        <v>33</v>
      </c>
    </row>
    <row r="636" spans="1:7" ht="15" customHeight="1" x14ac:dyDescent="0.3">
      <c r="A636" s="16">
        <v>628</v>
      </c>
      <c r="B636" s="10" t="s">
        <v>490</v>
      </c>
      <c r="C636" s="10" t="s">
        <v>321</v>
      </c>
      <c r="D636" s="10" t="s">
        <v>238</v>
      </c>
      <c r="E636" s="24" t="s">
        <v>33</v>
      </c>
      <c r="F636" s="25">
        <v>5200</v>
      </c>
      <c r="G636" s="10" t="s">
        <v>33</v>
      </c>
    </row>
    <row r="637" spans="1:7" ht="15" customHeight="1" x14ac:dyDescent="0.3">
      <c r="A637" s="16">
        <v>629</v>
      </c>
      <c r="B637" s="10" t="s">
        <v>490</v>
      </c>
      <c r="C637" s="10" t="s">
        <v>335</v>
      </c>
      <c r="D637" s="10" t="s">
        <v>238</v>
      </c>
      <c r="E637" s="24" t="s">
        <v>33</v>
      </c>
      <c r="F637" s="25">
        <v>6500</v>
      </c>
      <c r="G637" s="10" t="s">
        <v>33</v>
      </c>
    </row>
    <row r="638" spans="1:7" ht="15" customHeight="1" x14ac:dyDescent="0.3">
      <c r="A638" s="16">
        <v>630</v>
      </c>
      <c r="B638" s="10" t="s">
        <v>490</v>
      </c>
      <c r="C638" s="10" t="s">
        <v>329</v>
      </c>
      <c r="D638" s="10" t="s">
        <v>238</v>
      </c>
      <c r="E638" s="24" t="s">
        <v>33</v>
      </c>
      <c r="F638" s="25">
        <v>8500</v>
      </c>
      <c r="G638" s="10" t="s">
        <v>33</v>
      </c>
    </row>
    <row r="639" spans="1:7" ht="15" customHeight="1" x14ac:dyDescent="0.3">
      <c r="A639" s="16">
        <v>631</v>
      </c>
      <c r="B639" s="10" t="s">
        <v>490</v>
      </c>
      <c r="C639" s="10" t="s">
        <v>325</v>
      </c>
      <c r="D639" s="10" t="s">
        <v>238</v>
      </c>
      <c r="E639" s="24" t="s">
        <v>33</v>
      </c>
      <c r="F639" s="25">
        <v>9500</v>
      </c>
      <c r="G639" s="10" t="s">
        <v>33</v>
      </c>
    </row>
    <row r="640" spans="1:7" ht="15" customHeight="1" x14ac:dyDescent="0.3">
      <c r="A640" s="16">
        <v>632</v>
      </c>
      <c r="B640" s="10" t="s">
        <v>490</v>
      </c>
      <c r="C640" s="10" t="s">
        <v>326</v>
      </c>
      <c r="D640" s="10" t="s">
        <v>238</v>
      </c>
      <c r="E640" s="24" t="s">
        <v>33</v>
      </c>
      <c r="F640" s="25">
        <v>10000</v>
      </c>
      <c r="G640" s="10" t="s">
        <v>33</v>
      </c>
    </row>
    <row r="641" spans="1:7" ht="15" customHeight="1" x14ac:dyDescent="0.3">
      <c r="A641" s="16">
        <v>633</v>
      </c>
      <c r="B641" s="10" t="s">
        <v>490</v>
      </c>
      <c r="C641" s="10" t="s">
        <v>491</v>
      </c>
      <c r="D641" s="10" t="s">
        <v>238</v>
      </c>
      <c r="E641" s="24" t="s">
        <v>33</v>
      </c>
      <c r="F641" s="25">
        <v>12500</v>
      </c>
      <c r="G641" s="10" t="s">
        <v>33</v>
      </c>
    </row>
    <row r="642" spans="1:7" ht="15" customHeight="1" x14ac:dyDescent="0.3">
      <c r="A642" s="16">
        <v>634</v>
      </c>
      <c r="B642" s="10" t="s">
        <v>490</v>
      </c>
      <c r="C642" s="10" t="s">
        <v>492</v>
      </c>
      <c r="D642" s="10" t="s">
        <v>238</v>
      </c>
      <c r="E642" s="24" t="s">
        <v>33</v>
      </c>
      <c r="F642" s="25">
        <v>13000</v>
      </c>
      <c r="G642" s="10" t="s">
        <v>33</v>
      </c>
    </row>
    <row r="643" spans="1:7" ht="15" customHeight="1" x14ac:dyDescent="0.3">
      <c r="A643" s="16">
        <v>635</v>
      </c>
      <c r="B643" s="10" t="s">
        <v>490</v>
      </c>
      <c r="C643" s="10" t="s">
        <v>493</v>
      </c>
      <c r="D643" s="10" t="s">
        <v>238</v>
      </c>
      <c r="E643" s="24" t="s">
        <v>33</v>
      </c>
      <c r="F643" s="25">
        <v>12000</v>
      </c>
      <c r="G643" s="10" t="s">
        <v>33</v>
      </c>
    </row>
    <row r="644" spans="1:7" ht="15" customHeight="1" x14ac:dyDescent="0.3">
      <c r="A644" s="16">
        <v>636</v>
      </c>
      <c r="B644" s="10" t="s">
        <v>490</v>
      </c>
      <c r="C644" s="10" t="s">
        <v>371</v>
      </c>
      <c r="D644" s="10" t="s">
        <v>238</v>
      </c>
      <c r="E644" s="24" t="s">
        <v>33</v>
      </c>
      <c r="F644" s="25">
        <v>13000</v>
      </c>
      <c r="G644" s="10" t="s">
        <v>33</v>
      </c>
    </row>
    <row r="645" spans="1:7" ht="15" customHeight="1" x14ac:dyDescent="0.3">
      <c r="A645" s="16">
        <v>637</v>
      </c>
      <c r="B645" s="10" t="s">
        <v>490</v>
      </c>
      <c r="C645" s="10" t="s">
        <v>494</v>
      </c>
      <c r="D645" s="10" t="s">
        <v>238</v>
      </c>
      <c r="E645" s="24" t="s">
        <v>33</v>
      </c>
      <c r="F645" s="25">
        <v>14000</v>
      </c>
      <c r="G645" s="10" t="s">
        <v>33</v>
      </c>
    </row>
    <row r="646" spans="1:7" ht="15" customHeight="1" x14ac:dyDescent="0.3">
      <c r="A646" s="16">
        <v>638</v>
      </c>
      <c r="B646" s="10" t="s">
        <v>490</v>
      </c>
      <c r="C646" s="10" t="s">
        <v>495</v>
      </c>
      <c r="D646" s="10" t="s">
        <v>238</v>
      </c>
      <c r="E646" s="24" t="s">
        <v>33</v>
      </c>
      <c r="F646" s="25">
        <v>16000</v>
      </c>
      <c r="G646" s="10" t="s">
        <v>33</v>
      </c>
    </row>
    <row r="647" spans="1:7" ht="15" customHeight="1" x14ac:dyDescent="0.3">
      <c r="A647" s="16">
        <v>639</v>
      </c>
      <c r="B647" s="10" t="s">
        <v>490</v>
      </c>
      <c r="C647" s="10" t="s">
        <v>496</v>
      </c>
      <c r="D647" s="10" t="s">
        <v>238</v>
      </c>
      <c r="E647" s="24" t="s">
        <v>33</v>
      </c>
      <c r="F647" s="25">
        <v>17000</v>
      </c>
      <c r="G647" s="10" t="s">
        <v>33</v>
      </c>
    </row>
    <row r="648" spans="1:7" ht="15" customHeight="1" x14ac:dyDescent="0.3">
      <c r="A648" s="16">
        <v>640</v>
      </c>
      <c r="B648" s="10" t="s">
        <v>490</v>
      </c>
      <c r="C648" s="10" t="s">
        <v>461</v>
      </c>
      <c r="D648" s="10" t="s">
        <v>238</v>
      </c>
      <c r="E648" s="24" t="s">
        <v>33</v>
      </c>
      <c r="F648" s="25">
        <v>17000</v>
      </c>
      <c r="G648" s="10" t="s">
        <v>33</v>
      </c>
    </row>
    <row r="649" spans="1:7" ht="15" customHeight="1" x14ac:dyDescent="0.3">
      <c r="A649" s="16">
        <v>641</v>
      </c>
      <c r="B649" s="10" t="s">
        <v>490</v>
      </c>
      <c r="C649" s="10" t="s">
        <v>334</v>
      </c>
      <c r="D649" s="10" t="s">
        <v>238</v>
      </c>
      <c r="E649" s="24" t="s">
        <v>33</v>
      </c>
      <c r="F649" s="25">
        <v>18000</v>
      </c>
      <c r="G649" s="10" t="s">
        <v>33</v>
      </c>
    </row>
    <row r="650" spans="1:7" ht="15" customHeight="1" x14ac:dyDescent="0.3">
      <c r="A650" s="16">
        <v>642</v>
      </c>
      <c r="B650" s="10" t="s">
        <v>490</v>
      </c>
      <c r="C650" s="10" t="s">
        <v>497</v>
      </c>
      <c r="D650" s="10" t="s">
        <v>238</v>
      </c>
      <c r="E650" s="24" t="s">
        <v>33</v>
      </c>
      <c r="F650" s="25">
        <v>21000</v>
      </c>
      <c r="G650" s="10" t="s">
        <v>33</v>
      </c>
    </row>
    <row r="651" spans="1:7" ht="15" customHeight="1" x14ac:dyDescent="0.3">
      <c r="A651" s="16">
        <v>643</v>
      </c>
      <c r="B651" s="10" t="s">
        <v>490</v>
      </c>
      <c r="C651" s="10" t="s">
        <v>498</v>
      </c>
      <c r="D651" s="10" t="s">
        <v>238</v>
      </c>
      <c r="E651" s="24" t="s">
        <v>33</v>
      </c>
      <c r="F651" s="25">
        <v>22000</v>
      </c>
      <c r="G651" s="10" t="s">
        <v>33</v>
      </c>
    </row>
    <row r="652" spans="1:7" ht="15" customHeight="1" x14ac:dyDescent="0.3">
      <c r="A652" s="16">
        <v>644</v>
      </c>
      <c r="B652" s="10" t="s">
        <v>490</v>
      </c>
      <c r="C652" s="10" t="s">
        <v>313</v>
      </c>
      <c r="D652" s="10" t="s">
        <v>238</v>
      </c>
      <c r="E652" s="24" t="s">
        <v>33</v>
      </c>
      <c r="F652" s="25">
        <v>23000</v>
      </c>
      <c r="G652" s="10" t="s">
        <v>33</v>
      </c>
    </row>
    <row r="653" spans="1:7" ht="15" customHeight="1" x14ac:dyDescent="0.3">
      <c r="A653" s="16">
        <v>645</v>
      </c>
      <c r="B653" s="10" t="s">
        <v>490</v>
      </c>
      <c r="C653" s="10" t="s">
        <v>391</v>
      </c>
      <c r="D653" s="10" t="s">
        <v>238</v>
      </c>
      <c r="E653" s="24" t="s">
        <v>33</v>
      </c>
      <c r="F653" s="25">
        <v>24000</v>
      </c>
      <c r="G653" s="10" t="s">
        <v>33</v>
      </c>
    </row>
    <row r="654" spans="1:7" ht="15" customHeight="1" x14ac:dyDescent="0.3">
      <c r="A654" s="16">
        <v>646</v>
      </c>
      <c r="B654" s="10" t="s">
        <v>490</v>
      </c>
      <c r="C654" s="10" t="s">
        <v>390</v>
      </c>
      <c r="D654" s="10" t="s">
        <v>238</v>
      </c>
      <c r="E654" s="24" t="s">
        <v>33</v>
      </c>
      <c r="F654" s="25">
        <v>24000</v>
      </c>
      <c r="G654" s="10" t="s">
        <v>33</v>
      </c>
    </row>
    <row r="655" spans="1:7" ht="15" customHeight="1" x14ac:dyDescent="0.3">
      <c r="A655" s="16">
        <v>647</v>
      </c>
      <c r="B655" s="10" t="s">
        <v>490</v>
      </c>
      <c r="C655" s="10" t="s">
        <v>499</v>
      </c>
      <c r="D655" s="10" t="s">
        <v>238</v>
      </c>
      <c r="E655" s="24" t="s">
        <v>33</v>
      </c>
      <c r="F655" s="25">
        <v>25000</v>
      </c>
      <c r="G655" s="10" t="s">
        <v>33</v>
      </c>
    </row>
    <row r="656" spans="1:7" ht="15" customHeight="1" x14ac:dyDescent="0.3">
      <c r="A656" s="16">
        <v>648</v>
      </c>
      <c r="B656" s="10" t="s">
        <v>490</v>
      </c>
      <c r="C656" s="10" t="s">
        <v>298</v>
      </c>
      <c r="D656" s="10" t="s">
        <v>238</v>
      </c>
      <c r="E656" s="24" t="s">
        <v>33</v>
      </c>
      <c r="F656" s="25">
        <v>25000</v>
      </c>
      <c r="G656" s="10" t="s">
        <v>33</v>
      </c>
    </row>
    <row r="657" spans="1:7" ht="15" customHeight="1" x14ac:dyDescent="0.3">
      <c r="A657" s="16">
        <v>649</v>
      </c>
      <c r="B657" s="10" t="s">
        <v>490</v>
      </c>
      <c r="C657" s="10" t="s">
        <v>500</v>
      </c>
      <c r="D657" s="10" t="s">
        <v>238</v>
      </c>
      <c r="E657" s="24" t="s">
        <v>33</v>
      </c>
      <c r="F657" s="25">
        <v>25000</v>
      </c>
      <c r="G657" s="10" t="s">
        <v>33</v>
      </c>
    </row>
    <row r="658" spans="1:7" ht="15" customHeight="1" x14ac:dyDescent="0.3">
      <c r="A658" s="16">
        <v>650</v>
      </c>
      <c r="B658" s="10" t="s">
        <v>490</v>
      </c>
      <c r="C658" s="10" t="s">
        <v>385</v>
      </c>
      <c r="D658" s="10" t="s">
        <v>238</v>
      </c>
      <c r="E658" s="24" t="s">
        <v>33</v>
      </c>
      <c r="F658" s="25">
        <v>25000</v>
      </c>
      <c r="G658" s="10" t="s">
        <v>33</v>
      </c>
    </row>
    <row r="659" spans="1:7" ht="15" customHeight="1" x14ac:dyDescent="0.3">
      <c r="A659" s="16">
        <v>651</v>
      </c>
      <c r="B659" s="10" t="s">
        <v>490</v>
      </c>
      <c r="C659" s="10" t="s">
        <v>501</v>
      </c>
      <c r="D659" s="10" t="s">
        <v>238</v>
      </c>
      <c r="E659" s="24" t="s">
        <v>33</v>
      </c>
      <c r="F659" s="25">
        <v>25000</v>
      </c>
      <c r="G659" s="10" t="s">
        <v>33</v>
      </c>
    </row>
    <row r="660" spans="1:7" ht="15" customHeight="1" x14ac:dyDescent="0.3">
      <c r="A660" s="16">
        <v>652</v>
      </c>
      <c r="B660" s="10" t="s">
        <v>490</v>
      </c>
      <c r="C660" s="10" t="s">
        <v>309</v>
      </c>
      <c r="D660" s="10" t="s">
        <v>238</v>
      </c>
      <c r="E660" s="24" t="s">
        <v>33</v>
      </c>
      <c r="F660" s="25">
        <v>25000</v>
      </c>
      <c r="G660" s="10" t="s">
        <v>33</v>
      </c>
    </row>
    <row r="661" spans="1:7" ht="15" customHeight="1" x14ac:dyDescent="0.3">
      <c r="A661" s="16">
        <v>653</v>
      </c>
      <c r="B661" s="10" t="s">
        <v>490</v>
      </c>
      <c r="C661" s="10" t="s">
        <v>393</v>
      </c>
      <c r="D661" s="10" t="s">
        <v>238</v>
      </c>
      <c r="E661" s="24" t="s">
        <v>33</v>
      </c>
      <c r="F661" s="25">
        <v>25000</v>
      </c>
      <c r="G661" s="10" t="s">
        <v>33</v>
      </c>
    </row>
    <row r="662" spans="1:7" ht="15" customHeight="1" x14ac:dyDescent="0.3">
      <c r="A662" s="16">
        <v>654</v>
      </c>
      <c r="B662" s="10" t="s">
        <v>502</v>
      </c>
      <c r="C662" s="10" t="s">
        <v>310</v>
      </c>
      <c r="D662" s="10" t="s">
        <v>238</v>
      </c>
      <c r="E662" s="24" t="s">
        <v>33</v>
      </c>
      <c r="F662" s="25">
        <v>-125</v>
      </c>
      <c r="G662" s="10" t="s">
        <v>33</v>
      </c>
    </row>
    <row r="663" spans="1:7" ht="15" customHeight="1" x14ac:dyDescent="0.3">
      <c r="A663" s="16">
        <v>655</v>
      </c>
      <c r="B663" s="10" t="s">
        <v>502</v>
      </c>
      <c r="C663" s="10" t="s">
        <v>297</v>
      </c>
      <c r="D663" s="10" t="s">
        <v>238</v>
      </c>
      <c r="E663" s="24" t="s">
        <v>33</v>
      </c>
      <c r="F663" s="25">
        <v>350</v>
      </c>
      <c r="G663" s="10" t="s">
        <v>33</v>
      </c>
    </row>
    <row r="664" spans="1:7" ht="15" customHeight="1" x14ac:dyDescent="0.3">
      <c r="A664" s="16">
        <v>656</v>
      </c>
      <c r="B664" s="10" t="s">
        <v>502</v>
      </c>
      <c r="C664" s="10" t="s">
        <v>315</v>
      </c>
      <c r="D664" s="10" t="s">
        <v>238</v>
      </c>
      <c r="E664" s="24" t="s">
        <v>33</v>
      </c>
      <c r="F664" s="25">
        <v>1100</v>
      </c>
      <c r="G664" s="10" t="s">
        <v>33</v>
      </c>
    </row>
    <row r="665" spans="1:7" ht="15" customHeight="1" x14ac:dyDescent="0.3">
      <c r="A665" s="16">
        <v>657</v>
      </c>
      <c r="B665" s="10" t="s">
        <v>502</v>
      </c>
      <c r="C665" s="10" t="s">
        <v>405</v>
      </c>
      <c r="D665" s="10" t="s">
        <v>238</v>
      </c>
      <c r="E665" s="24" t="s">
        <v>33</v>
      </c>
      <c r="F665" s="25">
        <v>2000</v>
      </c>
      <c r="G665" s="10" t="s">
        <v>33</v>
      </c>
    </row>
    <row r="666" spans="1:7" ht="15" customHeight="1" x14ac:dyDescent="0.3">
      <c r="A666" s="16">
        <v>658</v>
      </c>
      <c r="B666" s="10" t="s">
        <v>502</v>
      </c>
      <c r="C666" s="10" t="s">
        <v>300</v>
      </c>
      <c r="D666" s="10" t="s">
        <v>238</v>
      </c>
      <c r="E666" s="24" t="s">
        <v>33</v>
      </c>
      <c r="F666" s="25">
        <v>1900</v>
      </c>
      <c r="G666" s="10" t="s">
        <v>33</v>
      </c>
    </row>
    <row r="667" spans="1:7" ht="15" customHeight="1" x14ac:dyDescent="0.3">
      <c r="A667" s="16">
        <v>659</v>
      </c>
      <c r="B667" s="10" t="s">
        <v>502</v>
      </c>
      <c r="C667" s="10" t="s">
        <v>383</v>
      </c>
      <c r="D667" s="10" t="s">
        <v>238</v>
      </c>
      <c r="E667" s="24" t="s">
        <v>33</v>
      </c>
      <c r="F667" s="25">
        <v>3500</v>
      </c>
      <c r="G667" s="10" t="s">
        <v>33</v>
      </c>
    </row>
    <row r="668" spans="1:7" ht="15" customHeight="1" x14ac:dyDescent="0.3">
      <c r="A668" s="16">
        <v>660</v>
      </c>
      <c r="B668" s="10" t="s">
        <v>502</v>
      </c>
      <c r="C668" s="10" t="s">
        <v>457</v>
      </c>
      <c r="D668" s="10" t="s">
        <v>238</v>
      </c>
      <c r="E668" s="24" t="s">
        <v>33</v>
      </c>
      <c r="F668" s="25">
        <v>3800</v>
      </c>
      <c r="G668" s="10" t="s">
        <v>33</v>
      </c>
    </row>
    <row r="669" spans="1:7" ht="15" customHeight="1" x14ac:dyDescent="0.3">
      <c r="A669" s="16">
        <v>661</v>
      </c>
      <c r="B669" s="10" t="s">
        <v>502</v>
      </c>
      <c r="C669" s="10" t="s">
        <v>301</v>
      </c>
      <c r="D669" s="10" t="s">
        <v>238</v>
      </c>
      <c r="E669" s="24" t="s">
        <v>33</v>
      </c>
      <c r="F669" s="25">
        <v>6500</v>
      </c>
      <c r="G669" s="10" t="s">
        <v>33</v>
      </c>
    </row>
    <row r="670" spans="1:7" ht="15" customHeight="1" x14ac:dyDescent="0.3">
      <c r="A670" s="16">
        <v>662</v>
      </c>
      <c r="B670" s="10" t="s">
        <v>502</v>
      </c>
      <c r="C670" s="10" t="s">
        <v>482</v>
      </c>
      <c r="D670" s="10" t="s">
        <v>238</v>
      </c>
      <c r="E670" s="24" t="s">
        <v>33</v>
      </c>
      <c r="F670" s="25">
        <v>8000</v>
      </c>
      <c r="G670" s="10" t="s">
        <v>33</v>
      </c>
    </row>
    <row r="671" spans="1:7" ht="15" customHeight="1" x14ac:dyDescent="0.3">
      <c r="A671" s="16">
        <v>663</v>
      </c>
      <c r="B671" s="10" t="s">
        <v>502</v>
      </c>
      <c r="C671" s="10" t="s">
        <v>320</v>
      </c>
      <c r="D671" s="10" t="s">
        <v>238</v>
      </c>
      <c r="E671" s="24" t="s">
        <v>33</v>
      </c>
      <c r="F671" s="25">
        <v>8500</v>
      </c>
      <c r="G671" s="10" t="s">
        <v>33</v>
      </c>
    </row>
    <row r="672" spans="1:7" ht="15" customHeight="1" x14ac:dyDescent="0.3">
      <c r="A672" s="16">
        <v>664</v>
      </c>
      <c r="B672" s="10" t="s">
        <v>502</v>
      </c>
      <c r="C672" s="10" t="s">
        <v>303</v>
      </c>
      <c r="D672" s="10" t="s">
        <v>238</v>
      </c>
      <c r="E672" s="24" t="s">
        <v>33</v>
      </c>
      <c r="F672" s="25">
        <v>6900</v>
      </c>
      <c r="G672" s="10" t="s">
        <v>33</v>
      </c>
    </row>
    <row r="673" spans="1:7" ht="15" customHeight="1" x14ac:dyDescent="0.3">
      <c r="A673" s="16">
        <v>665</v>
      </c>
      <c r="B673" s="10" t="s">
        <v>502</v>
      </c>
      <c r="C673" s="10" t="s">
        <v>503</v>
      </c>
      <c r="D673" s="10" t="s">
        <v>238</v>
      </c>
      <c r="E673" s="24" t="s">
        <v>33</v>
      </c>
      <c r="F673" s="25">
        <v>7900</v>
      </c>
      <c r="G673" s="10" t="s">
        <v>33</v>
      </c>
    </row>
    <row r="674" spans="1:7" ht="15" customHeight="1" x14ac:dyDescent="0.3">
      <c r="A674" s="16">
        <v>666</v>
      </c>
      <c r="B674" s="10" t="s">
        <v>502</v>
      </c>
      <c r="C674" s="10" t="s">
        <v>504</v>
      </c>
      <c r="D674" s="10" t="s">
        <v>238</v>
      </c>
      <c r="E674" s="24" t="s">
        <v>33</v>
      </c>
      <c r="F674" s="25">
        <v>7950</v>
      </c>
      <c r="G674" s="10" t="s">
        <v>33</v>
      </c>
    </row>
    <row r="675" spans="1:7" ht="15" customHeight="1" x14ac:dyDescent="0.3">
      <c r="A675" s="26">
        <v>667</v>
      </c>
      <c r="B675" s="27" t="s">
        <v>502</v>
      </c>
      <c r="C675" s="27" t="s">
        <v>445</v>
      </c>
      <c r="D675" s="27" t="s">
        <v>238</v>
      </c>
      <c r="E675" s="28" t="s">
        <v>33</v>
      </c>
      <c r="F675" s="29">
        <v>9100</v>
      </c>
      <c r="G675" s="27" t="s">
        <v>270</v>
      </c>
    </row>
    <row r="676" spans="1:7" ht="15" customHeight="1" x14ac:dyDescent="0.3">
      <c r="A676" s="16">
        <v>668</v>
      </c>
      <c r="B676" s="10" t="s">
        <v>502</v>
      </c>
      <c r="C676" s="10" t="s">
        <v>306</v>
      </c>
      <c r="D676" s="10" t="s">
        <v>238</v>
      </c>
      <c r="E676" s="24" t="s">
        <v>33</v>
      </c>
      <c r="F676" s="25">
        <v>15000</v>
      </c>
      <c r="G676" s="10" t="s">
        <v>33</v>
      </c>
    </row>
    <row r="677" spans="1:7" ht="15" customHeight="1" x14ac:dyDescent="0.3">
      <c r="A677" s="16">
        <v>669</v>
      </c>
      <c r="B677" s="10" t="s">
        <v>502</v>
      </c>
      <c r="C677" s="10" t="s">
        <v>304</v>
      </c>
      <c r="D677" s="10" t="s">
        <v>238</v>
      </c>
      <c r="E677" s="24" t="s">
        <v>33</v>
      </c>
      <c r="F677" s="25">
        <v>11000</v>
      </c>
      <c r="G677" s="10" t="s">
        <v>33</v>
      </c>
    </row>
    <row r="678" spans="1:7" ht="15" customHeight="1" x14ac:dyDescent="0.3">
      <c r="A678" s="16">
        <v>670</v>
      </c>
      <c r="B678" s="10" t="s">
        <v>502</v>
      </c>
      <c r="C678" s="10" t="s">
        <v>505</v>
      </c>
      <c r="D678" s="10" t="s">
        <v>238</v>
      </c>
      <c r="E678" s="24" t="s">
        <v>33</v>
      </c>
      <c r="F678" s="25">
        <v>13000</v>
      </c>
      <c r="G678" s="10" t="s">
        <v>33</v>
      </c>
    </row>
    <row r="679" spans="1:7" ht="15" customHeight="1" x14ac:dyDescent="0.3">
      <c r="A679" s="16">
        <v>671</v>
      </c>
      <c r="B679" s="10" t="s">
        <v>502</v>
      </c>
      <c r="C679" s="10" t="s">
        <v>384</v>
      </c>
      <c r="D679" s="10" t="s">
        <v>238</v>
      </c>
      <c r="E679" s="24" t="s">
        <v>33</v>
      </c>
      <c r="F679" s="25">
        <v>10000</v>
      </c>
      <c r="G679" s="10" t="s">
        <v>33</v>
      </c>
    </row>
    <row r="680" spans="1:7" ht="15" customHeight="1" x14ac:dyDescent="0.3">
      <c r="A680" s="16">
        <v>672</v>
      </c>
      <c r="B680" s="10" t="s">
        <v>502</v>
      </c>
      <c r="C680" s="10" t="s">
        <v>448</v>
      </c>
      <c r="D680" s="10" t="s">
        <v>238</v>
      </c>
      <c r="E680" s="24" t="s">
        <v>33</v>
      </c>
      <c r="F680" s="25">
        <v>10000</v>
      </c>
      <c r="G680" s="10" t="s">
        <v>33</v>
      </c>
    </row>
    <row r="681" spans="1:7" ht="15" customHeight="1" x14ac:dyDescent="0.3">
      <c r="A681" s="16">
        <v>673</v>
      </c>
      <c r="B681" s="10" t="s">
        <v>502</v>
      </c>
      <c r="C681" s="10" t="s">
        <v>469</v>
      </c>
      <c r="D681" s="10" t="s">
        <v>238</v>
      </c>
      <c r="E681" s="24" t="s">
        <v>33</v>
      </c>
      <c r="F681" s="25">
        <v>12000</v>
      </c>
      <c r="G681" s="10" t="s">
        <v>33</v>
      </c>
    </row>
    <row r="682" spans="1:7" ht="15" customHeight="1" x14ac:dyDescent="0.3">
      <c r="A682" s="16">
        <v>674</v>
      </c>
      <c r="B682" s="10" t="s">
        <v>502</v>
      </c>
      <c r="C682" s="10" t="s">
        <v>356</v>
      </c>
      <c r="D682" s="10" t="s">
        <v>238</v>
      </c>
      <c r="E682" s="24" t="s">
        <v>33</v>
      </c>
      <c r="F682" s="25">
        <v>15000</v>
      </c>
      <c r="G682" s="10" t="s">
        <v>33</v>
      </c>
    </row>
    <row r="683" spans="1:7" ht="15" customHeight="1" x14ac:dyDescent="0.3">
      <c r="A683" s="16">
        <v>675</v>
      </c>
      <c r="B683" s="10" t="s">
        <v>502</v>
      </c>
      <c r="C683" s="10" t="s">
        <v>484</v>
      </c>
      <c r="D683" s="10" t="s">
        <v>238</v>
      </c>
      <c r="E683" s="24" t="s">
        <v>33</v>
      </c>
      <c r="F683" s="25">
        <v>16000</v>
      </c>
      <c r="G683" s="10" t="s">
        <v>33</v>
      </c>
    </row>
    <row r="684" spans="1:7" ht="15" customHeight="1" x14ac:dyDescent="0.3">
      <c r="A684" s="16">
        <v>676</v>
      </c>
      <c r="B684" s="10" t="s">
        <v>502</v>
      </c>
      <c r="C684" s="10" t="s">
        <v>506</v>
      </c>
      <c r="D684" s="10" t="s">
        <v>238</v>
      </c>
      <c r="E684" s="24" t="s">
        <v>33</v>
      </c>
      <c r="F684" s="25">
        <v>16000</v>
      </c>
      <c r="G684" s="10" t="s">
        <v>33</v>
      </c>
    </row>
    <row r="685" spans="1:7" ht="15" customHeight="1" x14ac:dyDescent="0.3">
      <c r="A685" s="16">
        <v>677</v>
      </c>
      <c r="B685" s="10" t="s">
        <v>502</v>
      </c>
      <c r="C685" s="10" t="s">
        <v>507</v>
      </c>
      <c r="D685" s="10" t="s">
        <v>238</v>
      </c>
      <c r="E685" s="24" t="s">
        <v>33</v>
      </c>
      <c r="F685" s="25">
        <v>17000</v>
      </c>
      <c r="G685" s="10" t="s">
        <v>33</v>
      </c>
    </row>
    <row r="686" spans="1:7" ht="15" customHeight="1" x14ac:dyDescent="0.3">
      <c r="A686" s="16">
        <v>678</v>
      </c>
      <c r="B686" s="10" t="s">
        <v>502</v>
      </c>
      <c r="C686" s="10" t="s">
        <v>508</v>
      </c>
      <c r="D686" s="10" t="s">
        <v>238</v>
      </c>
      <c r="E686" s="24" t="s">
        <v>33</v>
      </c>
      <c r="F686" s="25">
        <v>20000</v>
      </c>
      <c r="G686" s="10" t="s">
        <v>33</v>
      </c>
    </row>
    <row r="687" spans="1:7" ht="15" customHeight="1" x14ac:dyDescent="0.3">
      <c r="A687" s="16">
        <v>679</v>
      </c>
      <c r="B687" s="10" t="s">
        <v>502</v>
      </c>
      <c r="C687" s="10" t="s">
        <v>509</v>
      </c>
      <c r="D687" s="10" t="s">
        <v>238</v>
      </c>
      <c r="E687" s="24" t="s">
        <v>33</v>
      </c>
      <c r="F687" s="25">
        <v>14000</v>
      </c>
      <c r="G687" s="10" t="s">
        <v>33</v>
      </c>
    </row>
    <row r="688" spans="1:7" ht="15" customHeight="1" x14ac:dyDescent="0.3">
      <c r="A688" s="16">
        <v>680</v>
      </c>
      <c r="B688" s="10" t="s">
        <v>502</v>
      </c>
      <c r="C688" s="10" t="s">
        <v>453</v>
      </c>
      <c r="D688" s="10" t="s">
        <v>238</v>
      </c>
      <c r="E688" s="24" t="s">
        <v>33</v>
      </c>
      <c r="F688" s="25">
        <v>15000</v>
      </c>
      <c r="G688" s="10" t="s">
        <v>33</v>
      </c>
    </row>
    <row r="689" spans="1:7" ht="15" customHeight="1" x14ac:dyDescent="0.3">
      <c r="A689" s="16">
        <v>681</v>
      </c>
      <c r="B689" s="10" t="s">
        <v>502</v>
      </c>
      <c r="C689" s="10" t="s">
        <v>370</v>
      </c>
      <c r="D689" s="10" t="s">
        <v>238</v>
      </c>
      <c r="E689" s="24" t="s">
        <v>33</v>
      </c>
      <c r="F689" s="25">
        <v>20000</v>
      </c>
      <c r="G689" s="10" t="s">
        <v>33</v>
      </c>
    </row>
    <row r="690" spans="1:7" ht="15" customHeight="1" x14ac:dyDescent="0.3">
      <c r="A690" s="16">
        <v>682</v>
      </c>
      <c r="B690" s="10" t="s">
        <v>502</v>
      </c>
      <c r="C690" s="10" t="s">
        <v>510</v>
      </c>
      <c r="D690" s="10" t="s">
        <v>238</v>
      </c>
      <c r="E690" s="24" t="s">
        <v>33</v>
      </c>
      <c r="F690" s="25">
        <v>20000</v>
      </c>
      <c r="G690" s="10" t="s">
        <v>33</v>
      </c>
    </row>
    <row r="691" spans="1:7" ht="15" customHeight="1" x14ac:dyDescent="0.3">
      <c r="A691" s="16">
        <v>683</v>
      </c>
      <c r="B691" s="10" t="s">
        <v>502</v>
      </c>
      <c r="C691" s="10" t="s">
        <v>511</v>
      </c>
      <c r="D691" s="10" t="s">
        <v>238</v>
      </c>
      <c r="E691" s="24" t="s">
        <v>33</v>
      </c>
      <c r="F691" s="25">
        <v>25000</v>
      </c>
      <c r="G691" s="10" t="s">
        <v>33</v>
      </c>
    </row>
    <row r="692" spans="1:7" ht="15" customHeight="1" x14ac:dyDescent="0.3">
      <c r="A692" s="16">
        <v>684</v>
      </c>
      <c r="B692" s="10" t="s">
        <v>502</v>
      </c>
      <c r="C692" s="10" t="s">
        <v>375</v>
      </c>
      <c r="D692" s="10" t="s">
        <v>238</v>
      </c>
      <c r="E692" s="24" t="s">
        <v>33</v>
      </c>
      <c r="F692" s="25">
        <v>26000</v>
      </c>
      <c r="G692" s="10" t="s">
        <v>33</v>
      </c>
    </row>
    <row r="693" spans="1:7" ht="15" customHeight="1" x14ac:dyDescent="0.3">
      <c r="A693" s="16">
        <v>685</v>
      </c>
      <c r="B693" s="10" t="s">
        <v>502</v>
      </c>
      <c r="C693" s="10" t="s">
        <v>512</v>
      </c>
      <c r="D693" s="10" t="s">
        <v>238</v>
      </c>
      <c r="E693" s="24" t="s">
        <v>33</v>
      </c>
      <c r="F693" s="25">
        <v>25000</v>
      </c>
      <c r="G693" s="10" t="s">
        <v>33</v>
      </c>
    </row>
    <row r="694" spans="1:7" ht="15" customHeight="1" x14ac:dyDescent="0.3">
      <c r="A694" s="16">
        <v>686</v>
      </c>
      <c r="B694" s="10" t="s">
        <v>502</v>
      </c>
      <c r="C694" s="10" t="s">
        <v>408</v>
      </c>
      <c r="D694" s="10" t="s">
        <v>238</v>
      </c>
      <c r="E694" s="24" t="s">
        <v>33</v>
      </c>
      <c r="F694" s="25">
        <v>25000</v>
      </c>
      <c r="G694" s="10" t="s">
        <v>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KB694"/>
  <sheetViews>
    <sheetView showGridLines="0" workbookViewId="0">
      <pane xSplit="3" ySplit="7" topLeftCell="D8" activePane="bottomRight" state="frozen"/>
      <selection pane="topRight"/>
      <selection pane="bottomLeft"/>
      <selection pane="bottomRight"/>
    </sheetView>
  </sheetViews>
  <sheetFormatPr defaultRowHeight="14.4" outlineLevelCol="1" x14ac:dyDescent="0.3"/>
  <cols>
    <col min="1" max="2" width="14" customWidth="1"/>
    <col min="3" max="3" width="28" customWidth="1"/>
    <col min="4" max="6" width="14" customWidth="1"/>
    <col min="7" max="7" width="34" customWidth="1"/>
    <col min="8" max="23" width="14" customWidth="1"/>
    <col min="24" max="24" width="14" customWidth="1" outlineLevel="1"/>
    <col min="25" max="288" width="14" customWidth="1"/>
  </cols>
  <sheetData>
    <row r="1" spans="1:288" ht="15" customHeight="1" x14ac:dyDescent="0.3">
      <c r="A1" s="1" t="s">
        <v>0</v>
      </c>
      <c r="B1" s="2"/>
      <c r="C1" s="2"/>
      <c r="D1" s="2"/>
      <c r="E1" s="2"/>
      <c r="F1" s="2"/>
      <c r="G1" s="2"/>
      <c r="H1" s="2"/>
    </row>
    <row r="2" spans="1:288" ht="15" customHeight="1" x14ac:dyDescent="0.3">
      <c r="A2" s="3" t="s">
        <v>513</v>
      </c>
    </row>
    <row r="3" spans="1:288" ht="15" customHeight="1" x14ac:dyDescent="0.3">
      <c r="A3" s="4" t="s">
        <v>2</v>
      </c>
    </row>
    <row r="4" spans="1:288" ht="6" customHeight="1" x14ac:dyDescent="0.3"/>
    <row r="5" spans="1:288" ht="15" customHeight="1" x14ac:dyDescent="0.3">
      <c r="A5" s="4" t="s">
        <v>514</v>
      </c>
    </row>
    <row r="6" spans="1:288" ht="15" customHeight="1" x14ac:dyDescent="0.3"/>
    <row r="7" spans="1:288" ht="30" customHeight="1" x14ac:dyDescent="0.3">
      <c r="A7" s="11" t="s">
        <v>229</v>
      </c>
      <c r="B7" s="11" t="s">
        <v>230</v>
      </c>
      <c r="C7" s="11" t="s">
        <v>231</v>
      </c>
      <c r="D7" s="11" t="s">
        <v>232</v>
      </c>
      <c r="E7" s="11" t="s">
        <v>233</v>
      </c>
      <c r="F7" s="11" t="s">
        <v>515</v>
      </c>
      <c r="G7" s="11" t="s">
        <v>516</v>
      </c>
      <c r="H7" s="11" t="s">
        <v>517</v>
      </c>
      <c r="I7" s="11" t="s">
        <v>518</v>
      </c>
      <c r="J7" s="11" t="s">
        <v>519</v>
      </c>
      <c r="K7" s="11" t="s">
        <v>520</v>
      </c>
      <c r="L7" s="11" t="s">
        <v>521</v>
      </c>
      <c r="M7" s="11" t="s">
        <v>522</v>
      </c>
      <c r="N7" s="11" t="s">
        <v>523</v>
      </c>
      <c r="O7" s="11" t="s">
        <v>524</v>
      </c>
      <c r="P7" s="11" t="s">
        <v>525</v>
      </c>
      <c r="Q7" s="11" t="s">
        <v>526</v>
      </c>
      <c r="R7" s="11" t="s">
        <v>527</v>
      </c>
      <c r="S7" s="11" t="s">
        <v>528</v>
      </c>
      <c r="X7" s="11" t="s">
        <v>529</v>
      </c>
      <c r="Y7" s="11" t="s">
        <v>530</v>
      </c>
      <c r="Z7" s="11" t="s">
        <v>531</v>
      </c>
      <c r="AA7" s="11" t="s">
        <v>532</v>
      </c>
      <c r="AB7" s="11" t="s">
        <v>533</v>
      </c>
      <c r="AC7" s="11" t="s">
        <v>534</v>
      </c>
      <c r="AD7" s="11" t="s">
        <v>535</v>
      </c>
      <c r="AE7" s="11" t="s">
        <v>536</v>
      </c>
      <c r="AF7" s="11" t="s">
        <v>537</v>
      </c>
      <c r="AG7" s="11" t="s">
        <v>538</v>
      </c>
      <c r="AH7" s="11" t="s">
        <v>539</v>
      </c>
      <c r="AI7" s="11" t="s">
        <v>540</v>
      </c>
      <c r="AJ7" s="11" t="s">
        <v>541</v>
      </c>
      <c r="AK7" s="11" t="s">
        <v>542</v>
      </c>
      <c r="AL7" s="11" t="s">
        <v>543</v>
      </c>
      <c r="AM7" s="11" t="s">
        <v>544</v>
      </c>
      <c r="AN7" s="11" t="s">
        <v>545</v>
      </c>
      <c r="AO7" s="11" t="s">
        <v>546</v>
      </c>
      <c r="AP7" s="11" t="s">
        <v>547</v>
      </c>
      <c r="AQ7" s="11" t="s">
        <v>548</v>
      </c>
      <c r="AR7" s="11" t="s">
        <v>549</v>
      </c>
      <c r="AS7" s="11" t="s">
        <v>550</v>
      </c>
      <c r="AT7" s="11" t="s">
        <v>551</v>
      </c>
      <c r="AU7" s="11" t="s">
        <v>552</v>
      </c>
      <c r="AV7" s="11" t="s">
        <v>553</v>
      </c>
      <c r="AW7" s="11" t="s">
        <v>554</v>
      </c>
      <c r="AX7" s="11" t="s">
        <v>555</v>
      </c>
      <c r="AY7" s="11" t="s">
        <v>556</v>
      </c>
      <c r="AZ7" s="11" t="s">
        <v>557</v>
      </c>
      <c r="BA7" s="11" t="s">
        <v>558</v>
      </c>
      <c r="BB7" s="11" t="s">
        <v>559</v>
      </c>
      <c r="BC7" s="11" t="s">
        <v>560</v>
      </c>
      <c r="BD7" s="11" t="s">
        <v>561</v>
      </c>
      <c r="BE7" s="11" t="s">
        <v>562</v>
      </c>
      <c r="BF7" s="11" t="s">
        <v>563</v>
      </c>
      <c r="BG7" s="11" t="s">
        <v>564</v>
      </c>
      <c r="BH7" s="11" t="s">
        <v>565</v>
      </c>
      <c r="BI7" s="11" t="s">
        <v>566</v>
      </c>
      <c r="BJ7" s="11" t="s">
        <v>567</v>
      </c>
      <c r="BK7" s="11" t="s">
        <v>568</v>
      </c>
      <c r="BL7" s="11" t="s">
        <v>569</v>
      </c>
      <c r="BM7" s="11" t="s">
        <v>570</v>
      </c>
      <c r="BN7" s="11" t="s">
        <v>571</v>
      </c>
      <c r="BO7" s="11" t="s">
        <v>572</v>
      </c>
      <c r="BP7" s="11" t="s">
        <v>573</v>
      </c>
      <c r="BQ7" s="11" t="s">
        <v>574</v>
      </c>
      <c r="BR7" s="11" t="s">
        <v>575</v>
      </c>
      <c r="BS7" s="11" t="s">
        <v>576</v>
      </c>
      <c r="BT7" s="11" t="s">
        <v>577</v>
      </c>
      <c r="BU7" s="11" t="s">
        <v>578</v>
      </c>
      <c r="BV7" s="11" t="s">
        <v>579</v>
      </c>
      <c r="BW7" s="11" t="s">
        <v>580</v>
      </c>
      <c r="BX7" s="11" t="s">
        <v>581</v>
      </c>
      <c r="BY7" s="11" t="s">
        <v>582</v>
      </c>
      <c r="BZ7" s="11" t="s">
        <v>583</v>
      </c>
      <c r="CA7" s="11" t="s">
        <v>584</v>
      </c>
      <c r="CB7" s="11" t="s">
        <v>585</v>
      </c>
      <c r="CC7" s="11" t="s">
        <v>586</v>
      </c>
      <c r="CD7" s="11" t="s">
        <v>587</v>
      </c>
      <c r="CE7" s="11" t="s">
        <v>588</v>
      </c>
      <c r="CF7" s="11" t="s">
        <v>589</v>
      </c>
      <c r="CG7" s="11" t="s">
        <v>590</v>
      </c>
      <c r="CH7" s="11" t="s">
        <v>591</v>
      </c>
      <c r="CI7" s="11" t="s">
        <v>592</v>
      </c>
      <c r="CJ7" s="11" t="s">
        <v>593</v>
      </c>
      <c r="CK7" s="11" t="s">
        <v>594</v>
      </c>
      <c r="CL7" s="11" t="s">
        <v>595</v>
      </c>
      <c r="CM7" s="11" t="s">
        <v>596</v>
      </c>
      <c r="CN7" s="11" t="s">
        <v>597</v>
      </c>
      <c r="CO7" s="11" t="s">
        <v>598</v>
      </c>
      <c r="CP7" s="11" t="s">
        <v>599</v>
      </c>
      <c r="CQ7" s="11" t="s">
        <v>600</v>
      </c>
      <c r="CR7" s="11" t="s">
        <v>601</v>
      </c>
      <c r="CS7" s="11" t="s">
        <v>602</v>
      </c>
      <c r="CT7" s="11" t="s">
        <v>603</v>
      </c>
      <c r="CU7" s="11" t="s">
        <v>604</v>
      </c>
      <c r="CV7" s="11" t="s">
        <v>605</v>
      </c>
      <c r="CW7" s="11" t="s">
        <v>606</v>
      </c>
      <c r="CX7" s="11" t="s">
        <v>607</v>
      </c>
      <c r="CY7" s="11" t="s">
        <v>608</v>
      </c>
      <c r="CZ7" s="11" t="s">
        <v>609</v>
      </c>
      <c r="DA7" s="11" t="s">
        <v>610</v>
      </c>
      <c r="DB7" s="11" t="s">
        <v>611</v>
      </c>
      <c r="DC7" s="11" t="s">
        <v>612</v>
      </c>
      <c r="DD7" s="11" t="s">
        <v>613</v>
      </c>
      <c r="DE7" s="11" t="s">
        <v>614</v>
      </c>
      <c r="DF7" s="11" t="s">
        <v>615</v>
      </c>
      <c r="DG7" s="11" t="s">
        <v>616</v>
      </c>
      <c r="DH7" s="11" t="s">
        <v>617</v>
      </c>
      <c r="DI7" s="11" t="s">
        <v>618</v>
      </c>
      <c r="DJ7" s="11" t="s">
        <v>619</v>
      </c>
      <c r="DK7" s="11" t="s">
        <v>620</v>
      </c>
      <c r="DL7" s="11" t="s">
        <v>621</v>
      </c>
      <c r="DM7" s="11" t="s">
        <v>622</v>
      </c>
      <c r="DN7" s="11" t="s">
        <v>623</v>
      </c>
      <c r="DO7" s="11" t="s">
        <v>624</v>
      </c>
      <c r="DP7" s="11" t="s">
        <v>625</v>
      </c>
      <c r="DQ7" s="11" t="s">
        <v>626</v>
      </c>
      <c r="DR7" s="11" t="s">
        <v>627</v>
      </c>
      <c r="DS7" s="11" t="s">
        <v>628</v>
      </c>
      <c r="DT7" s="11" t="s">
        <v>629</v>
      </c>
      <c r="DU7" s="11" t="s">
        <v>630</v>
      </c>
      <c r="DV7" s="11" t="s">
        <v>631</v>
      </c>
      <c r="DW7" s="11" t="s">
        <v>632</v>
      </c>
      <c r="DX7" s="11" t="s">
        <v>633</v>
      </c>
      <c r="DY7" s="11" t="s">
        <v>634</v>
      </c>
      <c r="DZ7" s="11" t="s">
        <v>635</v>
      </c>
      <c r="EA7" s="11" t="s">
        <v>636</v>
      </c>
      <c r="EB7" s="11" t="s">
        <v>637</v>
      </c>
      <c r="EC7" s="11" t="s">
        <v>638</v>
      </c>
      <c r="ED7" s="11" t="s">
        <v>639</v>
      </c>
      <c r="EE7" s="11" t="s">
        <v>640</v>
      </c>
      <c r="EF7" s="11" t="s">
        <v>641</v>
      </c>
      <c r="EG7" s="11" t="s">
        <v>642</v>
      </c>
      <c r="EH7" s="11" t="s">
        <v>643</v>
      </c>
      <c r="EI7" s="11" t="s">
        <v>644</v>
      </c>
      <c r="EJ7" s="11" t="s">
        <v>645</v>
      </c>
      <c r="EK7" s="11" t="s">
        <v>646</v>
      </c>
      <c r="EL7" s="11" t="s">
        <v>647</v>
      </c>
      <c r="EM7" s="11" t="s">
        <v>648</v>
      </c>
      <c r="EN7" s="11" t="s">
        <v>649</v>
      </c>
      <c r="EO7" s="11" t="s">
        <v>650</v>
      </c>
      <c r="EP7" s="11" t="s">
        <v>651</v>
      </c>
      <c r="EQ7" s="11" t="s">
        <v>652</v>
      </c>
      <c r="ER7" s="11" t="s">
        <v>653</v>
      </c>
      <c r="ES7" s="11" t="s">
        <v>654</v>
      </c>
      <c r="ET7" s="11" t="s">
        <v>655</v>
      </c>
      <c r="EU7" s="11" t="s">
        <v>656</v>
      </c>
      <c r="EV7" s="11" t="s">
        <v>657</v>
      </c>
      <c r="EW7" s="11" t="s">
        <v>658</v>
      </c>
      <c r="EX7" s="11" t="s">
        <v>659</v>
      </c>
      <c r="EY7" s="11" t="s">
        <v>660</v>
      </c>
      <c r="EZ7" s="11" t="s">
        <v>661</v>
      </c>
      <c r="FA7" s="11" t="s">
        <v>662</v>
      </c>
      <c r="FB7" s="11" t="s">
        <v>663</v>
      </c>
      <c r="FC7" s="11" t="s">
        <v>664</v>
      </c>
      <c r="FD7" s="11" t="s">
        <v>665</v>
      </c>
      <c r="FE7" s="11" t="s">
        <v>666</v>
      </c>
      <c r="FF7" s="11" t="s">
        <v>667</v>
      </c>
      <c r="FG7" s="11" t="s">
        <v>668</v>
      </c>
      <c r="FH7" s="11" t="s">
        <v>669</v>
      </c>
      <c r="FI7" s="11" t="s">
        <v>670</v>
      </c>
      <c r="FJ7" s="11" t="s">
        <v>671</v>
      </c>
      <c r="FK7" s="11" t="s">
        <v>672</v>
      </c>
      <c r="FL7" s="11" t="s">
        <v>673</v>
      </c>
      <c r="FM7" s="11" t="s">
        <v>674</v>
      </c>
      <c r="FN7" s="11" t="s">
        <v>675</v>
      </c>
      <c r="FO7" s="11" t="s">
        <v>676</v>
      </c>
      <c r="FP7" s="11" t="s">
        <v>677</v>
      </c>
      <c r="FQ7" s="11" t="s">
        <v>678</v>
      </c>
      <c r="FR7" s="11" t="s">
        <v>679</v>
      </c>
      <c r="FS7" s="11" t="s">
        <v>680</v>
      </c>
      <c r="FT7" s="11" t="s">
        <v>681</v>
      </c>
      <c r="FU7" s="11" t="s">
        <v>682</v>
      </c>
      <c r="FV7" s="11" t="s">
        <v>683</v>
      </c>
      <c r="FW7" s="11" t="s">
        <v>684</v>
      </c>
      <c r="FX7" s="11" t="s">
        <v>685</v>
      </c>
      <c r="FY7" s="11" t="s">
        <v>686</v>
      </c>
      <c r="FZ7" s="11" t="s">
        <v>687</v>
      </c>
      <c r="GA7" s="11" t="s">
        <v>688</v>
      </c>
      <c r="GB7" s="11" t="s">
        <v>689</v>
      </c>
      <c r="GC7" s="11" t="s">
        <v>690</v>
      </c>
      <c r="GD7" s="11" t="s">
        <v>691</v>
      </c>
      <c r="GE7" s="11" t="s">
        <v>692</v>
      </c>
      <c r="GF7" s="11" t="s">
        <v>693</v>
      </c>
      <c r="GG7" s="11" t="s">
        <v>694</v>
      </c>
      <c r="GH7" s="11" t="s">
        <v>695</v>
      </c>
      <c r="GI7" s="11" t="s">
        <v>696</v>
      </c>
      <c r="GJ7" s="11" t="s">
        <v>697</v>
      </c>
      <c r="GK7" s="11" t="s">
        <v>698</v>
      </c>
      <c r="GL7" s="11" t="s">
        <v>699</v>
      </c>
      <c r="GM7" s="11" t="s">
        <v>700</v>
      </c>
      <c r="GN7" s="11" t="s">
        <v>701</v>
      </c>
      <c r="GO7" s="11" t="s">
        <v>702</v>
      </c>
      <c r="GP7" s="11" t="s">
        <v>703</v>
      </c>
      <c r="GQ7" s="11" t="s">
        <v>704</v>
      </c>
      <c r="GR7" s="11" t="s">
        <v>705</v>
      </c>
      <c r="GS7" s="11" t="s">
        <v>706</v>
      </c>
      <c r="GT7" s="11" t="s">
        <v>707</v>
      </c>
      <c r="GU7" s="11" t="s">
        <v>708</v>
      </c>
      <c r="GV7" s="11" t="s">
        <v>709</v>
      </c>
      <c r="GW7" s="11" t="s">
        <v>710</v>
      </c>
      <c r="GX7" s="11" t="s">
        <v>711</v>
      </c>
      <c r="GY7" s="11" t="s">
        <v>712</v>
      </c>
      <c r="GZ7" s="11" t="s">
        <v>713</v>
      </c>
      <c r="HA7" s="11" t="s">
        <v>714</v>
      </c>
      <c r="HB7" s="11" t="s">
        <v>715</v>
      </c>
      <c r="HC7" s="11" t="s">
        <v>716</v>
      </c>
      <c r="HD7" s="11" t="s">
        <v>717</v>
      </c>
      <c r="HE7" s="11" t="s">
        <v>718</v>
      </c>
      <c r="HF7" s="11" t="s">
        <v>719</v>
      </c>
      <c r="HG7" s="11" t="s">
        <v>720</v>
      </c>
      <c r="HH7" s="11" t="s">
        <v>721</v>
      </c>
      <c r="HI7" s="11" t="s">
        <v>722</v>
      </c>
      <c r="HJ7" s="11" t="s">
        <v>723</v>
      </c>
      <c r="HK7" s="11" t="s">
        <v>724</v>
      </c>
      <c r="HL7" s="11" t="s">
        <v>725</v>
      </c>
      <c r="HM7" s="11" t="s">
        <v>726</v>
      </c>
      <c r="HN7" s="11" t="s">
        <v>727</v>
      </c>
      <c r="HO7" s="11" t="s">
        <v>728</v>
      </c>
      <c r="HP7" s="11" t="s">
        <v>729</v>
      </c>
      <c r="HQ7" s="11" t="s">
        <v>730</v>
      </c>
      <c r="HR7" s="11" t="s">
        <v>731</v>
      </c>
      <c r="HS7" s="11" t="s">
        <v>732</v>
      </c>
      <c r="HT7" s="11" t="s">
        <v>733</v>
      </c>
      <c r="HU7" s="11" t="s">
        <v>734</v>
      </c>
      <c r="HV7" s="11" t="s">
        <v>735</v>
      </c>
      <c r="HW7" s="11" t="s">
        <v>736</v>
      </c>
      <c r="HX7" s="11" t="s">
        <v>737</v>
      </c>
      <c r="HY7" s="11" t="s">
        <v>738</v>
      </c>
      <c r="HZ7" s="11" t="s">
        <v>739</v>
      </c>
      <c r="IA7" s="11" t="s">
        <v>740</v>
      </c>
      <c r="IB7" s="11" t="s">
        <v>741</v>
      </c>
      <c r="IC7" s="11" t="s">
        <v>742</v>
      </c>
      <c r="ID7" s="11" t="s">
        <v>743</v>
      </c>
      <c r="IE7" s="11" t="s">
        <v>744</v>
      </c>
      <c r="IF7" s="11" t="s">
        <v>745</v>
      </c>
      <c r="IG7" s="11" t="s">
        <v>746</v>
      </c>
      <c r="IH7" s="11" t="s">
        <v>747</v>
      </c>
      <c r="II7" s="11" t="s">
        <v>748</v>
      </c>
      <c r="IJ7" s="11" t="s">
        <v>749</v>
      </c>
      <c r="IK7" s="11" t="s">
        <v>750</v>
      </c>
      <c r="IL7" s="11" t="s">
        <v>751</v>
      </c>
      <c r="IM7" s="11" t="s">
        <v>752</v>
      </c>
      <c r="IN7" s="11" t="s">
        <v>753</v>
      </c>
      <c r="IO7" s="11" t="s">
        <v>754</v>
      </c>
      <c r="IP7" s="11" t="s">
        <v>755</v>
      </c>
      <c r="IQ7" s="11" t="s">
        <v>756</v>
      </c>
      <c r="IR7" s="11" t="s">
        <v>757</v>
      </c>
      <c r="IS7" s="11" t="s">
        <v>758</v>
      </c>
      <c r="IT7" s="11" t="s">
        <v>759</v>
      </c>
      <c r="IU7" s="11" t="s">
        <v>760</v>
      </c>
      <c r="IV7" s="11" t="s">
        <v>761</v>
      </c>
      <c r="IW7" s="11" t="s">
        <v>762</v>
      </c>
      <c r="IX7" s="11" t="s">
        <v>763</v>
      </c>
      <c r="IY7" s="11" t="s">
        <v>764</v>
      </c>
      <c r="IZ7" s="11" t="s">
        <v>765</v>
      </c>
      <c r="JA7" s="11" t="s">
        <v>766</v>
      </c>
      <c r="JB7" s="11" t="s">
        <v>767</v>
      </c>
      <c r="JC7" s="11" t="s">
        <v>768</v>
      </c>
      <c r="JD7" s="11" t="s">
        <v>769</v>
      </c>
      <c r="JE7" s="11" t="s">
        <v>770</v>
      </c>
      <c r="JF7" s="11" t="s">
        <v>771</v>
      </c>
      <c r="JG7" s="11" t="s">
        <v>772</v>
      </c>
      <c r="JH7" s="11" t="s">
        <v>773</v>
      </c>
      <c r="JI7" s="11" t="s">
        <v>774</v>
      </c>
      <c r="JJ7" s="11" t="s">
        <v>775</v>
      </c>
      <c r="JK7" s="11" t="s">
        <v>776</v>
      </c>
      <c r="JL7" s="11" t="s">
        <v>777</v>
      </c>
      <c r="JM7" s="11" t="s">
        <v>778</v>
      </c>
      <c r="JN7" s="11" t="s">
        <v>779</v>
      </c>
      <c r="JO7" s="11" t="s">
        <v>780</v>
      </c>
      <c r="JP7" s="11" t="s">
        <v>781</v>
      </c>
      <c r="JQ7" s="11" t="s">
        <v>782</v>
      </c>
      <c r="JR7" s="11" t="s">
        <v>783</v>
      </c>
      <c r="JS7" s="11" t="s">
        <v>784</v>
      </c>
      <c r="JT7" s="11" t="s">
        <v>785</v>
      </c>
      <c r="JU7" s="11" t="s">
        <v>786</v>
      </c>
      <c r="JV7" s="11" t="s">
        <v>787</v>
      </c>
      <c r="JW7" s="11" t="s">
        <v>788</v>
      </c>
      <c r="JX7" s="11" t="s">
        <v>789</v>
      </c>
      <c r="JY7" s="11" t="s">
        <v>790</v>
      </c>
      <c r="JZ7" s="11" t="s">
        <v>791</v>
      </c>
      <c r="KA7" s="11" t="s">
        <v>792</v>
      </c>
      <c r="KB7" s="11" t="s">
        <v>793</v>
      </c>
    </row>
    <row r="8" spans="1:288" ht="15" customHeight="1" x14ac:dyDescent="0.3">
      <c r="A8" s="30">
        <f>Odds_Input!A8</f>
        <v>0</v>
      </c>
      <c r="B8" s="7" t="str">
        <f>Odds_Input!B8</f>
        <v>TITLE</v>
      </c>
      <c r="C8" s="7" t="str">
        <f>Odds_Input!C8</f>
        <v>Atlanta Hawks</v>
      </c>
      <c r="D8" s="7" t="str">
        <f>Odds_Input!D8</f>
        <v>YES</v>
      </c>
      <c r="E8" s="31" t="str">
        <f>Odds_Input!E8</f>
        <v>-</v>
      </c>
      <c r="F8" s="32">
        <f>Odds_Input!F8</f>
        <v>6200</v>
      </c>
      <c r="G8" s="6" t="str">
        <f t="shared" ref="G8:G71" si="0">IF(OR(B8="WINS",B8="PLAYOFFS"),B8&amp;"|"&amp;C8&amp;IF(B8="WINS","|"&amp;TEXT(E8,"0.0"),""),B8)</f>
        <v>TITLE</v>
      </c>
      <c r="H8" s="14">
        <f t="shared" ref="H8:H71" si="1">IF(F8&gt;0,1+F8/100,1+100/ABS(F8))</f>
        <v>63</v>
      </c>
      <c r="I8" s="33">
        <f t="shared" ref="I8:I71" si="2">1/H8</f>
        <v>1.5873015873015872E-2</v>
      </c>
      <c r="J8" s="17">
        <f t="shared" ref="J8:J71" si="3">IF(LEFT(B8,6)="PLAYIN",A_playin_slots,1)</f>
        <v>1</v>
      </c>
      <c r="K8" s="17">
        <f t="shared" ref="K8:K71" si="4">COUNTIF($G$8:$G$694,G8)</f>
        <v>30</v>
      </c>
      <c r="L8" s="18">
        <f t="shared" ref="L8:L71" si="5">SUMIF($G$8:$G$694,G8,$I$8:$I$694)</f>
        <v>1.252565192422864</v>
      </c>
      <c r="M8" s="34">
        <f t="shared" ref="M8:M71" si="6">L8/J8-1</f>
        <v>0.25256519242286402</v>
      </c>
      <c r="N8" s="33">
        <f t="shared" ref="N8:N71" si="7">I8*J8/L8</f>
        <v>1.267240696854457E-2</v>
      </c>
      <c r="O8" s="33">
        <f t="shared" ref="O8:O71" si="8">I8^R8</f>
        <v>1.0522944660062422E-2</v>
      </c>
      <c r="P8" s="33">
        <f t="shared" ref="P8:P71" si="9">IF(J8&lt;&gt;1,O8,IF(L8&lt;=1,I8/L8,(SQRT(S8^2+4*(1-S8)*I8^2/L8)-S8)/(2*(1-S8))))</f>
        <v>9.7295800994913507E-3</v>
      </c>
      <c r="Q8" s="33">
        <f t="shared" ref="Q8:Q71" si="10">IF(A_devig="Multiplicative",N8,IF(A_devig="Power",O8,P8))</f>
        <v>9.7295800994913507E-3</v>
      </c>
      <c r="R8" s="35">
        <f t="shared" ref="R8:R71" si="11">INDEX($KA$8:$KA$96,MATCH(G8,$X$8:$X$96,0))</f>
        <v>1.0992153287166726</v>
      </c>
      <c r="S8" s="35">
        <f t="shared" ref="S8:S71" si="12">INDEX($KB$8:$KB$96,MATCH(G8,$X$8:$X$96,0))</f>
        <v>1.1051948455485863E-2</v>
      </c>
      <c r="X8" s="6" t="s">
        <v>236</v>
      </c>
      <c r="Y8" s="6">
        <f t="shared" ref="Y8:Y39" si="13">IF(LEFT(X8,6)="PLAYIN",A_playin_slots,1)</f>
        <v>1</v>
      </c>
      <c r="Z8" s="18">
        <f t="shared" ref="Z8:Z39" si="14">SUMIF($G$8:$G$694,X8,$I$8:$I$694)</f>
        <v>1.252565192422864</v>
      </c>
      <c r="AA8" s="10">
        <v>0.2</v>
      </c>
      <c r="AB8" s="10">
        <v>10</v>
      </c>
      <c r="AC8" s="35">
        <f t="shared" ref="AC8:AC39" si="15">(AA8+AB8)/2</f>
        <v>5.0999999999999996</v>
      </c>
      <c r="AD8" s="35">
        <f t="shared" ref="AD8:AD39" si="16">SUMPRODUCT(($G$8:$G$694=X8)*($I$8:$I$694^AC8))-Y8</f>
        <v>-0.99662179978285215</v>
      </c>
      <c r="AE8" s="35">
        <f t="shared" ref="AE8:AE39" si="17">IF(AD8&gt;0,AC8,AA8)</f>
        <v>0.2</v>
      </c>
      <c r="AF8" s="35">
        <f t="shared" ref="AF8:AF39" si="18">IF(AD8&gt;0,AB8,AC8)</f>
        <v>5.0999999999999996</v>
      </c>
      <c r="AG8" s="35">
        <f t="shared" ref="AG8:AG39" si="19">(AE8+AF8)/2</f>
        <v>2.65</v>
      </c>
      <c r="AH8" s="35">
        <f t="shared" ref="AH8:AH39" si="20">SUMPRODUCT(($G$8:$G$694=X8)*($I$8:$I$694^AG8))-Y8</f>
        <v>-0.92110950443906803</v>
      </c>
      <c r="AI8" s="35">
        <f t="shared" ref="AI8:AI39" si="21">IF(AH8&gt;0,AG8,AE8)</f>
        <v>0.2</v>
      </c>
      <c r="AJ8" s="35">
        <f t="shared" ref="AJ8:AJ39" si="22">IF(AH8&gt;0,AF8,AG8)</f>
        <v>2.65</v>
      </c>
      <c r="AK8" s="35">
        <f t="shared" ref="AK8:AK39" si="23">(AI8+AJ8)/2</f>
        <v>1.425</v>
      </c>
      <c r="AL8" s="35">
        <f t="shared" ref="AL8:AL39" si="24">SUMPRODUCT(($G$8:$G$694=X8)*($I$8:$I$694^AK8))-Y8</f>
        <v>-0.48196858089815053</v>
      </c>
      <c r="AM8" s="35">
        <f t="shared" ref="AM8:AM39" si="25">IF(AL8&gt;0,AK8,AI8)</f>
        <v>0.2</v>
      </c>
      <c r="AN8" s="35">
        <f t="shared" ref="AN8:AN39" si="26">IF(AL8&gt;0,AJ8,AK8)</f>
        <v>1.425</v>
      </c>
      <c r="AO8" s="35">
        <f t="shared" ref="AO8:AO39" si="27">(AM8+AN8)/2</f>
        <v>0.8125</v>
      </c>
      <c r="AP8" s="35">
        <f t="shared" ref="AP8:AP39" si="28">SUMPRODUCT(($G$8:$G$694=X8)*($I$8:$I$694^AO8))-Y8</f>
        <v>0.99289234479113553</v>
      </c>
      <c r="AQ8" s="35">
        <f t="shared" ref="AQ8:AQ39" si="29">IF(AP8&gt;0,AO8,AM8)</f>
        <v>0.8125</v>
      </c>
      <c r="AR8" s="35">
        <f t="shared" ref="AR8:AR39" si="30">IF(AP8&gt;0,AN8,AO8)</f>
        <v>1.425</v>
      </c>
      <c r="AS8" s="35">
        <f t="shared" ref="AS8:AS39" si="31">(AQ8+AR8)/2</f>
        <v>1.1187499999999999</v>
      </c>
      <c r="AT8" s="35">
        <f t="shared" ref="AT8:AT39" si="32">SUMPRODUCT(($G$8:$G$694=X8)*($I$8:$I$694^AS8))-Y8</f>
        <v>-4.1910903243430164E-2</v>
      </c>
      <c r="AU8" s="35">
        <f t="shared" ref="AU8:AU39" si="33">IF(AT8&gt;0,AS8,AQ8)</f>
        <v>0.8125</v>
      </c>
      <c r="AV8" s="35">
        <f t="shared" ref="AV8:AV39" si="34">IF(AT8&gt;0,AR8,AS8)</f>
        <v>1.1187499999999999</v>
      </c>
      <c r="AW8" s="35">
        <f t="shared" ref="AW8:AW39" si="35">(AU8+AV8)/2</f>
        <v>0.96562499999999996</v>
      </c>
      <c r="AX8" s="35">
        <f t="shared" ref="AX8:AX39" si="36">SUMPRODUCT(($G$8:$G$694=X8)*($I$8:$I$694^AW8))-Y8</f>
        <v>0.35850665687685823</v>
      </c>
      <c r="AY8" s="35">
        <f t="shared" ref="AY8:AY39" si="37">IF(AX8&gt;0,AW8,AU8)</f>
        <v>0.96562499999999996</v>
      </c>
      <c r="AZ8" s="35">
        <f t="shared" ref="AZ8:AZ39" si="38">IF(AX8&gt;0,AV8,AW8)</f>
        <v>1.1187499999999999</v>
      </c>
      <c r="BA8" s="35">
        <f t="shared" ref="BA8:BA39" si="39">(AY8+AZ8)/2</f>
        <v>1.0421874999999998</v>
      </c>
      <c r="BB8" s="35">
        <f t="shared" ref="BB8:BB39" si="40">SUMPRODUCT(($G$8:$G$694=X8)*($I$8:$I$694^BA8))-Y8</f>
        <v>0.13634575110786051</v>
      </c>
      <c r="BC8" s="35">
        <f t="shared" ref="BC8:BC39" si="41">IF(BB8&gt;0,BA8,AY8)</f>
        <v>1.0421874999999998</v>
      </c>
      <c r="BD8" s="35">
        <f t="shared" ref="BD8:BD39" si="42">IF(BB8&gt;0,AZ8,BA8)</f>
        <v>1.1187499999999999</v>
      </c>
      <c r="BE8" s="35">
        <f t="shared" ref="BE8:BE39" si="43">(BC8+BD8)/2</f>
        <v>1.0804687499999999</v>
      </c>
      <c r="BF8" s="35">
        <f t="shared" ref="BF8:BF39" si="44">SUMPRODUCT(($G$8:$G$694=X8)*($I$8:$I$694^BE8))-Y8</f>
        <v>4.2421244519105006E-2</v>
      </c>
      <c r="BG8" s="35">
        <f t="shared" ref="BG8:BG39" si="45">IF(BF8&gt;0,BE8,BC8)</f>
        <v>1.0804687499999999</v>
      </c>
      <c r="BH8" s="35">
        <f t="shared" ref="BH8:BH39" si="46">IF(BF8&gt;0,BD8,BE8)</f>
        <v>1.1187499999999999</v>
      </c>
      <c r="BI8" s="35">
        <f t="shared" ref="BI8:BI39" si="47">(BG8+BH8)/2</f>
        <v>1.099609375</v>
      </c>
      <c r="BJ8" s="35">
        <f t="shared" ref="BJ8:BJ39" si="48">SUMPRODUCT(($G$8:$G$694=X8)*($I$8:$I$694^BI8))-Y8</f>
        <v>-8.6805203839390721E-4</v>
      </c>
      <c r="BK8" s="35">
        <f t="shared" ref="BK8:BK39" si="49">IF(BJ8&gt;0,BI8,BG8)</f>
        <v>1.0804687499999999</v>
      </c>
      <c r="BL8" s="35">
        <f t="shared" ref="BL8:BL39" si="50">IF(BJ8&gt;0,BH8,BI8)</f>
        <v>1.099609375</v>
      </c>
      <c r="BM8" s="35">
        <f t="shared" ref="BM8:BM39" si="51">(BK8+BL8)/2</f>
        <v>1.0900390624999998</v>
      </c>
      <c r="BN8" s="35">
        <f t="shared" ref="BN8:BN39" si="52">SUMPRODUCT(($G$8:$G$694=X8)*($I$8:$I$694^BM8))-Y8</f>
        <v>2.0486740671753711E-2</v>
      </c>
      <c r="BO8" s="35">
        <f t="shared" ref="BO8:BO39" si="53">IF(BN8&gt;0,BM8,BK8)</f>
        <v>1.0900390624999998</v>
      </c>
      <c r="BP8" s="35">
        <f t="shared" ref="BP8:BP39" si="54">IF(BN8&gt;0,BL8,BM8)</f>
        <v>1.099609375</v>
      </c>
      <c r="BQ8" s="35">
        <f t="shared" ref="BQ8:BQ39" si="55">(BO8+BP8)/2</f>
        <v>1.0948242187499999</v>
      </c>
      <c r="BR8" s="35">
        <f t="shared" ref="BR8:BR39" si="56">SUMPRODUCT(($G$8:$G$694=X8)*($I$8:$I$694^BQ8))-Y8</f>
        <v>9.7380372528073078E-3</v>
      </c>
      <c r="BS8" s="35">
        <f t="shared" ref="BS8:BS39" si="57">IF(BR8&gt;0,BQ8,BO8)</f>
        <v>1.0948242187499999</v>
      </c>
      <c r="BT8" s="35">
        <f t="shared" ref="BT8:BT39" si="58">IF(BR8&gt;0,BP8,BQ8)</f>
        <v>1.099609375</v>
      </c>
      <c r="BU8" s="35">
        <f t="shared" ref="BU8:BU39" si="59">(BS8+BT8)/2</f>
        <v>1.097216796875</v>
      </c>
      <c r="BV8" s="35">
        <f t="shared" ref="BV8:BV39" si="60">SUMPRODUCT(($G$8:$G$694=X8)*($I$8:$I$694^BU8))-Y8</f>
        <v>4.4173081660101587E-3</v>
      </c>
      <c r="BW8" s="35">
        <f t="shared" ref="BW8:BW39" si="61">IF(BV8&gt;0,BU8,BS8)</f>
        <v>1.097216796875</v>
      </c>
      <c r="BX8" s="35">
        <f t="shared" ref="BX8:BX39" si="62">IF(BV8&gt;0,BT8,BU8)</f>
        <v>1.099609375</v>
      </c>
      <c r="BY8" s="35">
        <f t="shared" ref="BY8:BY39" si="63">(BW8+BX8)/2</f>
        <v>1.0984130859375001</v>
      </c>
      <c r="BZ8" s="35">
        <f t="shared" ref="BZ8:BZ39" si="64">SUMPRODUCT(($G$8:$G$694=X8)*($I$8:$I$694^BY8))-Y8</f>
        <v>1.7702246037734071E-3</v>
      </c>
      <c r="CA8" s="35">
        <f t="shared" ref="CA8:CA39" si="65">IF(BZ8&gt;0,BY8,BW8)</f>
        <v>1.0984130859375001</v>
      </c>
      <c r="CB8" s="35">
        <f t="shared" ref="CB8:CB39" si="66">IF(BZ8&gt;0,BX8,BY8)</f>
        <v>1.099609375</v>
      </c>
      <c r="CC8" s="35">
        <f t="shared" ref="CC8:CC39" si="67">(CA8+CB8)/2</f>
        <v>1.09901123046875</v>
      </c>
      <c r="CD8" s="35">
        <f t="shared" ref="CD8:CD39" si="68">SUMPRODUCT(($G$8:$G$694=X8)*($I$8:$I$694^CC8))-Y8</f>
        <v>4.4998761525816278E-4</v>
      </c>
      <c r="CE8" s="35">
        <f t="shared" ref="CE8:CE39" si="69">IF(CD8&gt;0,CC8,CA8)</f>
        <v>1.09901123046875</v>
      </c>
      <c r="CF8" s="35">
        <f t="shared" ref="CF8:CF39" si="70">IF(CD8&gt;0,CB8,CC8)</f>
        <v>1.099609375</v>
      </c>
      <c r="CG8" s="35">
        <f t="shared" ref="CG8:CG39" si="71">(CE8+CF8)/2</f>
        <v>1.0993103027343749</v>
      </c>
      <c r="CH8" s="35">
        <f t="shared" ref="CH8:CH39" si="72">SUMPRODUCT(($G$8:$G$694=X8)*($I$8:$I$694^CG8))-Y8</f>
        <v>-2.0930660427054271E-4</v>
      </c>
      <c r="CI8" s="35">
        <f t="shared" ref="CI8:CI39" si="73">IF(CH8&gt;0,CG8,CE8)</f>
        <v>1.09901123046875</v>
      </c>
      <c r="CJ8" s="35">
        <f t="shared" ref="CJ8:CJ39" si="74">IF(CH8&gt;0,CF8,CG8)</f>
        <v>1.0993103027343749</v>
      </c>
      <c r="CK8" s="35">
        <f t="shared" ref="CK8:CK39" si="75">(CI8+CJ8)/2</f>
        <v>1.0991607666015626</v>
      </c>
      <c r="CL8" s="35">
        <f t="shared" ref="CL8:CL39" si="76">SUMPRODUCT(($G$8:$G$694=X8)*($I$8:$I$694^CK8))-Y8</f>
        <v>1.2027187307261933E-4</v>
      </c>
      <c r="CM8" s="35">
        <f t="shared" ref="CM8:CM39" si="77">IF(CL8&gt;0,CK8,CI8)</f>
        <v>1.0991607666015626</v>
      </c>
      <c r="CN8" s="35">
        <f t="shared" ref="CN8:CN39" si="78">IF(CL8&gt;0,CJ8,CK8)</f>
        <v>1.0993103027343749</v>
      </c>
      <c r="CO8" s="35">
        <f t="shared" ref="CO8:CO39" si="79">(CM8+CN8)/2</f>
        <v>1.0992355346679688</v>
      </c>
      <c r="CP8" s="35">
        <f t="shared" ref="CP8:CP39" si="80">SUMPRODUCT(($G$8:$G$694=X8)*($I$8:$I$694^CO8))-Y8</f>
        <v>-4.4534519422101404E-5</v>
      </c>
      <c r="CQ8" s="35">
        <f t="shared" ref="CQ8:CQ39" si="81">IF(CP8&gt;0,CO8,CM8)</f>
        <v>1.0991607666015626</v>
      </c>
      <c r="CR8" s="35">
        <f t="shared" ref="CR8:CR39" si="82">IF(CP8&gt;0,CN8,CO8)</f>
        <v>1.0992355346679688</v>
      </c>
      <c r="CS8" s="35">
        <f t="shared" ref="CS8:CS39" si="83">(CQ8+CR8)/2</f>
        <v>1.0991981506347657</v>
      </c>
      <c r="CT8" s="35">
        <f t="shared" ref="CT8:CT39" si="84">SUMPRODUCT(($G$8:$G$694=X8)*($I$8:$I$694^CS8))-Y8</f>
        <v>3.7864387834263269E-5</v>
      </c>
      <c r="CU8" s="35">
        <f t="shared" ref="CU8:CU39" si="85">IF(CT8&gt;0,CS8,CQ8)</f>
        <v>1.0991981506347657</v>
      </c>
      <c r="CV8" s="35">
        <f t="shared" ref="CV8:CV39" si="86">IF(CT8&gt;0,CR8,CS8)</f>
        <v>1.0992355346679688</v>
      </c>
      <c r="CW8" s="35">
        <f t="shared" ref="CW8:CW39" si="87">(CU8+CV8)/2</f>
        <v>1.0992168426513671</v>
      </c>
      <c r="CX8" s="35">
        <f t="shared" ref="CX8:CX39" si="88">SUMPRODUCT(($G$8:$G$694=X8)*($I$8:$I$694^CW8))-Y8</f>
        <v>-3.336137974430109E-6</v>
      </c>
      <c r="CY8" s="35">
        <f t="shared" ref="CY8:CY39" si="89">IF(CX8&gt;0,CW8,CU8)</f>
        <v>1.0991981506347657</v>
      </c>
      <c r="CZ8" s="35">
        <f t="shared" ref="CZ8:CZ39" si="90">IF(CX8&gt;0,CV8,CW8)</f>
        <v>1.0992168426513671</v>
      </c>
      <c r="DA8" s="35">
        <f t="shared" ref="DA8:DA39" si="91">(CY8+CZ8)/2</f>
        <v>1.0992074966430665</v>
      </c>
      <c r="DB8" s="35">
        <f t="shared" ref="DB8:DB39" si="92">SUMPRODUCT(($G$8:$G$694=X8)*($I$8:$I$694^DA8))-Y8</f>
        <v>1.7263856876059691E-5</v>
      </c>
      <c r="DC8" s="35">
        <f t="shared" ref="DC8:DC39" si="93">IF(DB8&gt;0,DA8,CY8)</f>
        <v>1.0992074966430665</v>
      </c>
      <c r="DD8" s="35">
        <f t="shared" ref="DD8:DD39" si="94">IF(DB8&gt;0,CZ8,DA8)</f>
        <v>1.0992168426513671</v>
      </c>
      <c r="DE8" s="35">
        <f t="shared" ref="DE8:DE39" si="95">(DC8+DD8)/2</f>
        <v>1.0992121696472168</v>
      </c>
      <c r="DF8" s="35">
        <f t="shared" ref="DF8:DF39" si="96">SUMPRODUCT(($G$8:$G$694=X8)*($I$8:$I$694^DE8))-Y8</f>
        <v>6.9637924380305805E-6</v>
      </c>
      <c r="DG8" s="35">
        <f t="shared" ref="DG8:DG39" si="97">IF(DF8&gt;0,DE8,DC8)</f>
        <v>1.0992121696472168</v>
      </c>
      <c r="DH8" s="35">
        <f t="shared" ref="DH8:DH39" si="98">IF(DF8&gt;0,DD8,DE8)</f>
        <v>1.0992168426513671</v>
      </c>
      <c r="DI8" s="35">
        <f t="shared" ref="DI8:DI39" si="99">(DG8+DH8)/2</f>
        <v>1.0992145061492919</v>
      </c>
      <c r="DJ8" s="35">
        <f t="shared" ref="DJ8:DJ39" si="100">SUMPRODUCT(($G$8:$G$694=X8)*($I$8:$I$694^DI8))-Y8</f>
        <v>1.8138104789233722E-6</v>
      </c>
      <c r="DK8" s="35">
        <f t="shared" ref="DK8:DK39" si="101">IF(DJ8&gt;0,DI8,DG8)</f>
        <v>1.0992145061492919</v>
      </c>
      <c r="DL8" s="35">
        <f t="shared" ref="DL8:DL39" si="102">IF(DJ8&gt;0,DH8,DI8)</f>
        <v>1.0992168426513671</v>
      </c>
      <c r="DM8" s="35">
        <f t="shared" ref="DM8:DM39" si="103">(DK8+DL8)/2</f>
        <v>1.0992156744003294</v>
      </c>
      <c r="DN8" s="35">
        <f t="shared" ref="DN8:DN39" si="104">SUMPRODUCT(($G$8:$G$694=X8)*($I$8:$I$694^DM8))-Y8</f>
        <v>-7.6116793590319531E-7</v>
      </c>
      <c r="DO8" s="35">
        <f t="shared" ref="DO8:DO39" si="105">IF(DN8&gt;0,DM8,DK8)</f>
        <v>1.0992145061492919</v>
      </c>
      <c r="DP8" s="35">
        <f t="shared" ref="DP8:DP39" si="106">IF(DN8&gt;0,DL8,DM8)</f>
        <v>1.0992156744003294</v>
      </c>
      <c r="DQ8" s="35">
        <f t="shared" ref="DQ8:DQ39" si="107">(DO8+DP8)/2</f>
        <v>1.0992150902748108</v>
      </c>
      <c r="DR8" s="35">
        <f t="shared" ref="DR8:DR39" si="108">SUMPRODUCT(($G$8:$G$694=X8)*($I$8:$I$694^DQ8))-Y8</f>
        <v>5.2632022429222047E-7</v>
      </c>
      <c r="DS8" s="35">
        <f t="shared" ref="DS8:DS39" si="109">IF(DR8&gt;0,DQ8,DO8)</f>
        <v>1.0992150902748108</v>
      </c>
      <c r="DT8" s="35">
        <f t="shared" ref="DT8:DT39" si="110">IF(DR8&gt;0,DP8,DQ8)</f>
        <v>1.0992156744003294</v>
      </c>
      <c r="DU8" s="35">
        <f t="shared" ref="DU8:DU39" si="111">(DS8+DT8)/2</f>
        <v>1.0992153823375701</v>
      </c>
      <c r="DV8" s="35">
        <f t="shared" ref="DV8:DV39" si="112">SUMPRODUCT(($G$8:$G$694=X8)*($I$8:$I$694^DU8))-Y8</f>
        <v>-1.1742411742954317E-7</v>
      </c>
      <c r="DW8" s="35">
        <f t="shared" ref="DW8:DW39" si="113">IF(DV8&gt;0,DU8,DS8)</f>
        <v>1.0992150902748108</v>
      </c>
      <c r="DX8" s="35">
        <f t="shared" ref="DX8:DX39" si="114">IF(DV8&gt;0,DT8,DU8)</f>
        <v>1.0992153823375701</v>
      </c>
      <c r="DY8" s="35">
        <f t="shared" ref="DY8:DY39" si="115">(DW8+DX8)/2</f>
        <v>1.0992152363061904</v>
      </c>
      <c r="DZ8" s="35">
        <f t="shared" ref="DZ8:DZ39" si="116">SUMPRODUCT(($G$8:$G$694=X8)*($I$8:$I$694^DY8))-Y8</f>
        <v>2.0444798809471365E-7</v>
      </c>
      <c r="EA8" s="35">
        <f t="shared" ref="EA8:EA39" si="117">IF(DZ8&gt;0,DY8,DW8)</f>
        <v>1.0992152363061904</v>
      </c>
      <c r="EB8" s="35">
        <f t="shared" ref="EB8:EB39" si="118">IF(DZ8&gt;0,DX8,DY8)</f>
        <v>1.0992153823375701</v>
      </c>
      <c r="EC8" s="35">
        <f t="shared" ref="EC8:EC39" si="119">(EA8+EB8)/2</f>
        <v>1.0992153093218802</v>
      </c>
      <c r="ED8" s="35">
        <f t="shared" ref="ED8:ED39" si="120">SUMPRODUCT(($G$8:$G$694=X8)*($I$8:$I$694^EC8))-Y8</f>
        <v>4.351191917884023E-8</v>
      </c>
      <c r="EE8" s="35">
        <f t="shared" ref="EE8:EE39" si="121">IF(ED8&gt;0,EC8,EA8)</f>
        <v>1.0992153093218802</v>
      </c>
      <c r="EF8" s="35">
        <f t="shared" ref="EF8:EF39" si="122">IF(ED8&gt;0,EB8,EC8)</f>
        <v>1.0992153823375701</v>
      </c>
      <c r="EG8" s="35">
        <f t="shared" ref="EG8:EG39" si="123">(EE8+EF8)/2</f>
        <v>1.0992153458297251</v>
      </c>
      <c r="EH8" s="35">
        <f t="shared" ref="EH8:EH39" si="124">SUMPRODUCT(($G$8:$G$694=X8)*($I$8:$I$694^EG8))-Y8</f>
        <v>-3.6956103066643209E-8</v>
      </c>
      <c r="EI8" s="35">
        <f t="shared" ref="EI8:EI39" si="125">IF(EH8&gt;0,EG8,EE8)</f>
        <v>1.0992153093218802</v>
      </c>
      <c r="EJ8" s="35">
        <f t="shared" ref="EJ8:EJ39" si="126">IF(EH8&gt;0,EF8,EG8)</f>
        <v>1.0992153458297251</v>
      </c>
      <c r="EK8" s="35">
        <f t="shared" ref="EK8:EK39" si="127">(EI8+EJ8)/2</f>
        <v>1.0992153275758025</v>
      </c>
      <c r="EL8" s="35">
        <f t="shared" ref="EL8:EL39" si="128">SUMPRODUCT(($G$8:$G$694=X8)*($I$8:$I$694^EK8))-Y8</f>
        <v>3.2779070568977886E-9</v>
      </c>
      <c r="EM8" s="35">
        <f t="shared" ref="EM8:EM39" si="129">IF(EL8&gt;0,EK8,EI8)</f>
        <v>1.0992153275758025</v>
      </c>
      <c r="EN8" s="35">
        <f t="shared" ref="EN8:EN39" si="130">IF(EL8&gt;0,EJ8,EK8)</f>
        <v>1.0992153458297251</v>
      </c>
      <c r="EO8" s="35">
        <f t="shared" ref="EO8:EO39" si="131">(EM8+EN8)/2</f>
        <v>1.0992153367027639</v>
      </c>
      <c r="EP8" s="35">
        <f t="shared" ref="EP8:EP39" si="132">SUMPRODUCT(($G$8:$G$694=X8)*($I$8:$I$694^EO8))-Y8</f>
        <v>-1.683909844896192E-8</v>
      </c>
      <c r="EQ8" s="35">
        <f t="shared" ref="EQ8:EQ39" si="133">IF(EP8&gt;0,EO8,EM8)</f>
        <v>1.0992153275758025</v>
      </c>
      <c r="ER8" s="35">
        <f t="shared" ref="ER8:ER39" si="134">IF(EP8&gt;0,EN8,EO8)</f>
        <v>1.0992153367027639</v>
      </c>
      <c r="ES8" s="35">
        <f t="shared" ref="ES8:ES39" si="135">(EQ8+ER8)/2</f>
        <v>1.0992153321392832</v>
      </c>
      <c r="ET8" s="35">
        <f t="shared" ref="ET8:ET39" si="136">SUMPRODUCT(($G$8:$G$694=X8)*($I$8:$I$694^ES8))-Y8</f>
        <v>-6.7805957515432169E-9</v>
      </c>
      <c r="EU8" s="35">
        <f t="shared" ref="EU8:EU39" si="137">IF(ET8&gt;0,ES8,EQ8)</f>
        <v>1.0992153275758025</v>
      </c>
      <c r="EV8" s="35">
        <f t="shared" ref="EV8:EV39" si="138">IF(ET8&gt;0,ER8,ES8)</f>
        <v>1.0992153321392832</v>
      </c>
      <c r="EW8" s="35">
        <f t="shared" ref="EW8:EW39" si="139">(EU8+EV8)/2</f>
        <v>1.0992153298575429</v>
      </c>
      <c r="EX8" s="35">
        <f t="shared" ref="EX8:EX39" si="140">SUMPRODUCT(($G$8:$G$694=X8)*($I$8:$I$694^EW8))-Y8</f>
        <v>-1.7513444028338654E-9</v>
      </c>
      <c r="EY8" s="35">
        <f t="shared" ref="EY8:EY39" si="141">IF(EX8&gt;0,EW8,EU8)</f>
        <v>1.0992153275758025</v>
      </c>
      <c r="EZ8" s="35">
        <f t="shared" ref="EZ8:EZ39" si="142">IF(EX8&gt;0,EV8,EW8)</f>
        <v>1.0992153298575429</v>
      </c>
      <c r="FA8" s="10">
        <v>9.9999999999999995E-7</v>
      </c>
      <c r="FB8" s="10">
        <v>0.99990000000000001</v>
      </c>
      <c r="FC8" s="35">
        <f t="shared" ref="FC8:FC39" si="143">(FA8+FB8)/2</f>
        <v>0.49995050000000002</v>
      </c>
      <c r="FD8" s="35">
        <f t="shared" ref="FD8:FD39" si="144">(SUMPRODUCT(($G$8:$G$694=X8)*SQRT(FC8^2+4*(1-FC8)*$I$8:$I$694^2/Z8))-COUNTIF($G$8:$G$694,X8)*FC8)/(2*(1-FC8))-1</f>
        <v>-0.70979199341136545</v>
      </c>
      <c r="FE8" s="35">
        <f t="shared" ref="FE8:FE39" si="145">IF(FD8&gt;0,FC8,FA8)</f>
        <v>9.9999999999999995E-7</v>
      </c>
      <c r="FF8" s="35">
        <f t="shared" ref="FF8:FF39" si="146">IF(FD8&gt;0,FB8,FC8)</f>
        <v>0.49995050000000002</v>
      </c>
      <c r="FG8" s="35">
        <f t="shared" ref="FG8:FG39" si="147">(FE8+FF8)/2</f>
        <v>0.24997575</v>
      </c>
      <c r="FH8" s="35">
        <f t="shared" ref="FH8:FH39" si="148">(SUMPRODUCT(($G$8:$G$694=X8)*SQRT(FG8^2+4*(1-FG8)*$I$8:$I$694^2/Z8))-COUNTIF($G$8:$G$694,X8)*FG8)/(2*(1-FG8))-1</f>
        <v>-0.54773388581629101</v>
      </c>
      <c r="FI8" s="35">
        <f t="shared" ref="FI8:FI39" si="149">IF(FH8&gt;0,FG8,FE8)</f>
        <v>9.9999999999999995E-7</v>
      </c>
      <c r="FJ8" s="35">
        <f t="shared" ref="FJ8:FJ39" si="150">IF(FH8&gt;0,FF8,FG8)</f>
        <v>0.24997575</v>
      </c>
      <c r="FK8" s="35">
        <f t="shared" ref="FK8:FK39" si="151">(FI8+FJ8)/2</f>
        <v>0.124988375</v>
      </c>
      <c r="FL8" s="35">
        <f t="shared" ref="FL8:FL39" si="152">(SUMPRODUCT(($G$8:$G$694=X8)*SQRT(FK8^2+4*(1-FK8)*$I$8:$I$694^2/Z8))-COUNTIF($G$8:$G$694,X8)*FK8)/(2*(1-FK8))-1</f>
        <v>-0.39008223803765518</v>
      </c>
      <c r="FM8" s="35">
        <f t="shared" ref="FM8:FM39" si="153">IF(FL8&gt;0,FK8,FI8)</f>
        <v>9.9999999999999995E-7</v>
      </c>
      <c r="FN8" s="35">
        <f t="shared" ref="FN8:FN39" si="154">IF(FL8&gt;0,FJ8,FK8)</f>
        <v>0.124988375</v>
      </c>
      <c r="FO8" s="35">
        <f t="shared" ref="FO8:FO39" si="155">(FM8+FN8)/2</f>
        <v>6.24946875E-2</v>
      </c>
      <c r="FP8" s="35">
        <f t="shared" ref="FP8:FP39" si="156">(SUMPRODUCT(($G$8:$G$694=X8)*SQRT(FO8^2+4*(1-FO8)*$I$8:$I$694^2/Z8))-COUNTIF($G$8:$G$694,X8)*FO8)/(2*(1-FO8))-1</f>
        <v>-0.24780342549664547</v>
      </c>
      <c r="FQ8" s="35">
        <f t="shared" ref="FQ8:FQ39" si="157">IF(FP8&gt;0,FO8,FM8)</f>
        <v>9.9999999999999995E-7</v>
      </c>
      <c r="FR8" s="35">
        <f t="shared" ref="FR8:FR39" si="158">IF(FP8&gt;0,FN8,FO8)</f>
        <v>6.24946875E-2</v>
      </c>
      <c r="FS8" s="35">
        <f t="shared" ref="FS8:FS39" si="159">(FQ8+FR8)/2</f>
        <v>3.124784375E-2</v>
      </c>
      <c r="FT8" s="35">
        <f t="shared" ref="FT8:FT39" si="160">(SUMPRODUCT(($G$8:$G$694=X8)*SQRT(FS8^2+4*(1-FS8)*$I$8:$I$694^2/Z8))-COUNTIF($G$8:$G$694,X8)*FS8)/(2*(1-FS8))-1</f>
        <v>-0.12712393069862093</v>
      </c>
      <c r="FU8" s="35">
        <f t="shared" ref="FU8:FU39" si="161">IF(FT8&gt;0,FS8,FQ8)</f>
        <v>9.9999999999999995E-7</v>
      </c>
      <c r="FV8" s="35">
        <f t="shared" ref="FV8:FV39" si="162">IF(FT8&gt;0,FR8,FS8)</f>
        <v>3.124784375E-2</v>
      </c>
      <c r="FW8" s="35">
        <f t="shared" ref="FW8:FW39" si="163">(FU8+FV8)/2</f>
        <v>1.5624421875000001E-2</v>
      </c>
      <c r="FX8" s="35">
        <f t="shared" ref="FX8:FX39" si="164">(SUMPRODUCT(($G$8:$G$694=X8)*SQRT(FW8^2+4*(1-FW8)*$I$8:$I$694^2/Z8))-COUNTIF($G$8:$G$694,X8)*FW8)/(2*(1-FW8))-1</f>
        <v>-3.4998897908484983E-2</v>
      </c>
      <c r="FY8" s="35">
        <f t="shared" ref="FY8:FY39" si="165">IF(FX8&gt;0,FW8,FU8)</f>
        <v>9.9999999999999995E-7</v>
      </c>
      <c r="FZ8" s="35">
        <f t="shared" ref="FZ8:FZ39" si="166">IF(FX8&gt;0,FV8,FW8)</f>
        <v>1.5624421875000001E-2</v>
      </c>
      <c r="GA8" s="35">
        <f t="shared" ref="GA8:GA39" si="167">(FY8+FZ8)/2</f>
        <v>7.8127109375E-3</v>
      </c>
      <c r="GB8" s="35">
        <f t="shared" ref="GB8:GB39" si="168">(SUMPRODUCT(($G$8:$G$694=X8)*SQRT(GA8^2+4*(1-GA8)*$I$8:$I$694^2/Z8))-COUNTIF($G$8:$G$694,X8)*GA8)/(2*(1-GA8))-1</f>
        <v>2.8479549051222852E-2</v>
      </c>
      <c r="GC8" s="35">
        <f t="shared" ref="GC8:GC39" si="169">IF(GB8&gt;0,GA8,FY8)</f>
        <v>7.8127109375E-3</v>
      </c>
      <c r="GD8" s="35">
        <f t="shared" ref="GD8:GD39" si="170">IF(GB8&gt;0,FZ8,GA8)</f>
        <v>1.5624421875000001E-2</v>
      </c>
      <c r="GE8" s="35">
        <f t="shared" ref="GE8:GE39" si="171">(GC8+GD8)/2</f>
        <v>1.171856640625E-2</v>
      </c>
      <c r="GF8" s="35">
        <f t="shared" ref="GF8:GF39" si="172">(SUMPRODUCT(($G$8:$G$694=X8)*SQRT(GE8^2+4*(1-GE8)*$I$8:$I$694^2/Z8))-COUNTIF($G$8:$G$694,X8)*GE8)/(2*(1-GE8))-1</f>
        <v>-5.4378737270995847E-3</v>
      </c>
      <c r="GG8" s="35">
        <f t="shared" ref="GG8:GG39" si="173">IF(GF8&gt;0,GE8,GC8)</f>
        <v>7.8127109375E-3</v>
      </c>
      <c r="GH8" s="35">
        <f t="shared" ref="GH8:GH39" si="174">IF(GF8&gt;0,GD8,GE8)</f>
        <v>1.171856640625E-2</v>
      </c>
      <c r="GI8" s="35">
        <f t="shared" ref="GI8:GI39" si="175">(GG8+GH8)/2</f>
        <v>9.7656386718750002E-3</v>
      </c>
      <c r="GJ8" s="35">
        <f t="shared" ref="GJ8:GJ39" si="176">(SUMPRODUCT(($G$8:$G$694=X8)*SQRT(GI8^2+4*(1-GI8)*$I$8:$I$694^2/Z8))-COUNTIF($G$8:$G$694,X8)*GI8)/(2*(1-GI8))-1</f>
        <v>1.0874827987622959E-2</v>
      </c>
      <c r="GK8" s="35">
        <f t="shared" ref="GK8:GK39" si="177">IF(GJ8&gt;0,GI8,GG8)</f>
        <v>9.7656386718750002E-3</v>
      </c>
      <c r="GL8" s="35">
        <f t="shared" ref="GL8:GL39" si="178">IF(GJ8&gt;0,GH8,GI8)</f>
        <v>1.171856640625E-2</v>
      </c>
      <c r="GM8" s="35">
        <f t="shared" ref="GM8:GM39" si="179">(GK8+GL8)/2</f>
        <v>1.0742102539062499E-2</v>
      </c>
      <c r="GN8" s="35">
        <f t="shared" ref="GN8:GN39" si="180">(SUMPRODUCT(($G$8:$G$694=X8)*SQRT(GM8^2+4*(1-GM8)*$I$8:$I$694^2/Z8))-COUNTIF($G$8:$G$694,X8)*GM8)/(2*(1-GM8))-1</f>
        <v>2.5721335116075661E-3</v>
      </c>
      <c r="GO8" s="35">
        <f t="shared" ref="GO8:GO39" si="181">IF(GN8&gt;0,GM8,GK8)</f>
        <v>1.0742102539062499E-2</v>
      </c>
      <c r="GP8" s="35">
        <f t="shared" ref="GP8:GP39" si="182">IF(GN8&gt;0,GL8,GM8)</f>
        <v>1.171856640625E-2</v>
      </c>
      <c r="GQ8" s="35">
        <f t="shared" ref="GQ8:GQ39" si="183">(GO8+GP8)/2</f>
        <v>1.1230334472656249E-2</v>
      </c>
      <c r="GR8" s="35">
        <f t="shared" ref="GR8:GR39" si="184">(SUMPRODUCT(($G$8:$G$694=X8)*SQRT(GQ8^2+4*(1-GQ8)*$I$8:$I$694^2/Z8))-COUNTIF($G$8:$G$694,X8)*GQ8)/(2*(1-GQ8))-1</f>
        <v>-1.4678140605361989E-3</v>
      </c>
      <c r="GS8" s="35">
        <f t="shared" ref="GS8:GS39" si="185">IF(GR8&gt;0,GQ8,GO8)</f>
        <v>1.0742102539062499E-2</v>
      </c>
      <c r="GT8" s="35">
        <f t="shared" ref="GT8:GT39" si="186">IF(GR8&gt;0,GP8,GQ8)</f>
        <v>1.1230334472656249E-2</v>
      </c>
      <c r="GU8" s="35">
        <f t="shared" ref="GU8:GU39" si="187">(GS8+GT8)/2</f>
        <v>1.0986218505859374E-2</v>
      </c>
      <c r="GV8" s="35">
        <f t="shared" ref="GV8:GV39" si="188">(SUMPRODUCT(($G$8:$G$694=X8)*SQRT(GU8^2+4*(1-GU8)*$I$8:$I$694^2/Z8))-COUNTIF($G$8:$G$694,X8)*GU8)/(2*(1-GU8))-1</f>
        <v>5.4322847198151614E-4</v>
      </c>
      <c r="GW8" s="35">
        <f t="shared" ref="GW8:GW39" si="189">IF(GV8&gt;0,GU8,GS8)</f>
        <v>1.0986218505859374E-2</v>
      </c>
      <c r="GX8" s="35">
        <f t="shared" ref="GX8:GX39" si="190">IF(GV8&gt;0,GT8,GU8)</f>
        <v>1.1230334472656249E-2</v>
      </c>
      <c r="GY8" s="35">
        <f t="shared" ref="GY8:GY39" si="191">(GW8+GX8)/2</f>
        <v>1.1108276489257812E-2</v>
      </c>
      <c r="GZ8" s="35">
        <f t="shared" ref="GZ8:GZ39" si="192">(SUMPRODUCT(($G$8:$G$694=X8)*SQRT(GY8^2+4*(1-GY8)*$I$8:$I$694^2/Z8))-COUNTIF($G$8:$G$694,X8)*GY8)/(2*(1-GY8))-1</f>
        <v>-4.6450060799652082E-4</v>
      </c>
      <c r="HA8" s="35">
        <f t="shared" ref="HA8:HA39" si="193">IF(GZ8&gt;0,GY8,GW8)</f>
        <v>1.0986218505859374E-2</v>
      </c>
      <c r="HB8" s="35">
        <f t="shared" ref="HB8:HB39" si="194">IF(GZ8&gt;0,GX8,GY8)</f>
        <v>1.1108276489257812E-2</v>
      </c>
      <c r="HC8" s="35">
        <f t="shared" ref="HC8:HC39" si="195">(HA8+HB8)/2</f>
        <v>1.1047247497558593E-2</v>
      </c>
      <c r="HD8" s="35">
        <f t="shared" ref="HD8:HD39" si="196">(SUMPRODUCT(($G$8:$G$694=X8)*SQRT(HC8^2+4*(1-HC8)*$I$8:$I$694^2/Z8))-COUNTIF($G$8:$G$694,X8)*HC8)/(2*(1-HC8))-1</f>
        <v>3.8808891543951063E-5</v>
      </c>
      <c r="HE8" s="35">
        <f t="shared" ref="HE8:HE39" si="197">IF(HD8&gt;0,HC8,HA8)</f>
        <v>1.1047247497558593E-2</v>
      </c>
      <c r="HF8" s="35">
        <f t="shared" ref="HF8:HF39" si="198">IF(HD8&gt;0,HB8,HC8)</f>
        <v>1.1108276489257812E-2</v>
      </c>
      <c r="HG8" s="35">
        <f t="shared" ref="HG8:HG39" si="199">(HE8+HF8)/2</f>
        <v>1.1077761993408201E-2</v>
      </c>
      <c r="HH8" s="35">
        <f t="shared" ref="HH8:HH39" si="200">(SUMPRODUCT(($G$8:$G$694=X8)*SQRT(HG8^2+4*(1-HG8)*$I$8:$I$694^2/Z8))-COUNTIF($G$8:$G$694,X8)*HG8)/(2*(1-HG8))-1</f>
        <v>-2.1298423012083845E-4</v>
      </c>
      <c r="HI8" s="35">
        <f t="shared" ref="HI8:HI39" si="201">IF(HH8&gt;0,HG8,HE8)</f>
        <v>1.1047247497558593E-2</v>
      </c>
      <c r="HJ8" s="35">
        <f t="shared" ref="HJ8:HJ39" si="202">IF(HH8&gt;0,HF8,HG8)</f>
        <v>1.1077761993408201E-2</v>
      </c>
      <c r="HK8" s="35">
        <f t="shared" ref="HK8:HK39" si="203">(HI8+HJ8)/2</f>
        <v>1.1062504745483398E-2</v>
      </c>
      <c r="HL8" s="35">
        <f t="shared" ref="HL8:HL39" si="204">(SUMPRODUCT(($G$8:$G$694=X8)*SQRT(HK8^2+4*(1-HK8)*$I$8:$I$694^2/Z8))-COUNTIF($G$8:$G$694,X8)*HK8)/(2*(1-HK8))-1</f>
        <v>-8.7122310642340217E-5</v>
      </c>
      <c r="HM8" s="35">
        <f t="shared" ref="HM8:HM39" si="205">IF(HL8&gt;0,HK8,HI8)</f>
        <v>1.1047247497558593E-2</v>
      </c>
      <c r="HN8" s="35">
        <f t="shared" ref="HN8:HN39" si="206">IF(HL8&gt;0,HJ8,HK8)</f>
        <v>1.1062504745483398E-2</v>
      </c>
      <c r="HO8" s="35">
        <f t="shared" ref="HO8:HO39" si="207">(HM8+HN8)/2</f>
        <v>1.1054876121520996E-2</v>
      </c>
      <c r="HP8" s="35">
        <f t="shared" ref="HP8:HP39" si="208">(SUMPRODUCT(($G$8:$G$694=X8)*SQRT(HO8^2+4*(1-HO8)*$I$8:$I$694^2/Z8))-COUNTIF($G$8:$G$694,X8)*HO8)/(2*(1-HO8))-1</f>
        <v>-2.4165375947848844E-5</v>
      </c>
      <c r="HQ8" s="35">
        <f t="shared" ref="HQ8:HQ39" si="209">IF(HP8&gt;0,HO8,HM8)</f>
        <v>1.1047247497558593E-2</v>
      </c>
      <c r="HR8" s="35">
        <f t="shared" ref="HR8:HR39" si="210">IF(HP8&gt;0,HN8,HO8)</f>
        <v>1.1054876121520996E-2</v>
      </c>
      <c r="HS8" s="35">
        <f t="shared" ref="HS8:HS39" si="211">(HQ8+HR8)/2</f>
        <v>1.1051061809539794E-2</v>
      </c>
      <c r="HT8" s="35">
        <f t="shared" ref="HT8:HT39" si="212">(SUMPRODUCT(($G$8:$G$694=X8)*SQRT(HS8^2+4*(1-HS8)*$I$8:$I$694^2/Z8))-COUNTIF($G$8:$G$694,X8)*HS8)/(2*(1-HS8))-1</f>
        <v>7.3195904397582723E-6</v>
      </c>
      <c r="HU8" s="35">
        <f t="shared" ref="HU8:HU39" si="213">IF(HT8&gt;0,HS8,HQ8)</f>
        <v>1.1051061809539794E-2</v>
      </c>
      <c r="HV8" s="35">
        <f t="shared" ref="HV8:HV39" si="214">IF(HT8&gt;0,HR8,HS8)</f>
        <v>1.1054876121520996E-2</v>
      </c>
      <c r="HW8" s="35">
        <f t="shared" ref="HW8:HW39" si="215">(HU8+HV8)/2</f>
        <v>1.1052968965530395E-2</v>
      </c>
      <c r="HX8" s="35">
        <f t="shared" ref="HX8:HX39" si="216">(SUMPRODUCT(($G$8:$G$694=X8)*SQRT(HW8^2+4*(1-HW8)*$I$8:$I$694^2/Z8))-COUNTIF($G$8:$G$694,X8)*HW8)/(2*(1-HW8))-1</f>
        <v>-8.4234344989164711E-6</v>
      </c>
      <c r="HY8" s="35">
        <f t="shared" ref="HY8:HY39" si="217">IF(HX8&gt;0,HW8,HU8)</f>
        <v>1.1051061809539794E-2</v>
      </c>
      <c r="HZ8" s="35">
        <f t="shared" ref="HZ8:HZ39" si="218">IF(HX8&gt;0,HV8,HW8)</f>
        <v>1.1052968965530395E-2</v>
      </c>
      <c r="IA8" s="35">
        <f t="shared" ref="IA8:IA39" si="219">(HY8+HZ8)/2</f>
        <v>1.1052015387535094E-2</v>
      </c>
      <c r="IB8" s="35">
        <f t="shared" ref="IB8:IB39" si="220">(SUMPRODUCT(($G$8:$G$694=X8)*SQRT(IA8^2+4*(1-IA8)*$I$8:$I$694^2/Z8))-COUNTIF($G$8:$G$694,X8)*IA8)/(2*(1-IA8))-1</f>
        <v>-5.5205747750974865E-7</v>
      </c>
      <c r="IC8" s="35">
        <f t="shared" ref="IC8:IC39" si="221">IF(IB8&gt;0,IA8,HY8)</f>
        <v>1.1051061809539794E-2</v>
      </c>
      <c r="ID8" s="35">
        <f t="shared" ref="ID8:ID39" si="222">IF(IB8&gt;0,HZ8,IA8)</f>
        <v>1.1052015387535094E-2</v>
      </c>
      <c r="IE8" s="35">
        <f t="shared" ref="IE8:IE39" si="223">(IC8+ID8)/2</f>
        <v>1.1051538598537445E-2</v>
      </c>
      <c r="IF8" s="35">
        <f t="shared" ref="IF8:IF39" si="224">(SUMPRODUCT(($G$8:$G$694=X8)*SQRT(IE8^2+4*(1-IE8)*$I$8:$I$694^2/Z8))-COUNTIF($G$8:$G$694,X8)*IE8)/(2*(1-IE8))-1</f>
        <v>3.3837326176566762E-6</v>
      </c>
      <c r="IG8" s="35">
        <f t="shared" ref="IG8:IG39" si="225">IF(IF8&gt;0,IE8,IC8)</f>
        <v>1.1051538598537445E-2</v>
      </c>
      <c r="IH8" s="35">
        <f t="shared" ref="IH8:IH39" si="226">IF(IF8&gt;0,ID8,IE8)</f>
        <v>1.1052015387535094E-2</v>
      </c>
      <c r="II8" s="35">
        <f t="shared" ref="II8:II39" si="227">(IG8+IH8)/2</f>
        <v>1.1051776993036271E-2</v>
      </c>
      <c r="IJ8" s="35">
        <f t="shared" ref="IJ8:IJ39" si="228">(SUMPRODUCT(($G$8:$G$694=X8)*SQRT(II8^2+4*(1-II8)*$I$8:$I$694^2/Z8))-COUNTIF($G$8:$G$694,X8)*II8)/(2*(1-II8))-1</f>
        <v>1.4158291041788118E-6</v>
      </c>
      <c r="IK8" s="35">
        <f t="shared" ref="IK8:IK39" si="229">IF(IJ8&gt;0,II8,IG8)</f>
        <v>1.1051776993036271E-2</v>
      </c>
      <c r="IL8" s="35">
        <f t="shared" ref="IL8:IL39" si="230">IF(IJ8&gt;0,IH8,II8)</f>
        <v>1.1052015387535094E-2</v>
      </c>
      <c r="IM8" s="35">
        <f t="shared" ref="IM8:IM39" si="231">(IK8+IL8)/2</f>
        <v>1.1051896190285682E-2</v>
      </c>
      <c r="IN8" s="35">
        <f t="shared" ref="IN8:IN39" si="232">(SUMPRODUCT(($G$8:$G$694=X8)*SQRT(IM8^2+4*(1-IM8)*$I$8:$I$694^2/Z8))-COUNTIF($G$8:$G$694,X8)*IM8)/(2*(1-IM8))-1</f>
        <v>4.3188369702740204E-7</v>
      </c>
      <c r="IO8" s="35">
        <f t="shared" ref="IO8:IO39" si="233">IF(IN8&gt;0,IM8,IK8)</f>
        <v>1.1051896190285682E-2</v>
      </c>
      <c r="IP8" s="35">
        <f t="shared" ref="IP8:IP39" si="234">IF(IN8&gt;0,IL8,IM8)</f>
        <v>1.1052015387535094E-2</v>
      </c>
      <c r="IQ8" s="35">
        <f t="shared" ref="IQ8:IQ39" si="235">(IO8+IP8)/2</f>
        <v>1.1051955788910387E-2</v>
      </c>
      <c r="IR8" s="35">
        <f t="shared" ref="IR8:IR39" si="236">(SUMPRODUCT(($G$8:$G$694=X8)*SQRT(IQ8^2+4*(1-IQ8)*$I$8:$I$694^2/Z8))-COUNTIF($G$8:$G$694,X8)*IQ8)/(2*(1-IQ8))-1</f>
        <v>-6.0087419484489146E-8</v>
      </c>
      <c r="IS8" s="35">
        <f t="shared" ref="IS8:IS39" si="237">IF(IR8&gt;0,IQ8,IO8)</f>
        <v>1.1051896190285682E-2</v>
      </c>
      <c r="IT8" s="35">
        <f t="shared" ref="IT8:IT39" si="238">IF(IR8&gt;0,IP8,IQ8)</f>
        <v>1.1051955788910387E-2</v>
      </c>
      <c r="IU8" s="35">
        <f t="shared" ref="IU8:IU39" si="239">(IS8+IT8)/2</f>
        <v>1.1051925989598034E-2</v>
      </c>
      <c r="IV8" s="35">
        <f t="shared" ref="IV8:IV39" si="240">(SUMPRODUCT(($G$8:$G$694=X8)*SQRT(IU8^2+4*(1-IU8)*$I$8:$I$694^2/Z8))-COUNTIF($G$8:$G$694,X8)*IU8)/(2*(1-IU8))-1</f>
        <v>1.8589800676593882E-7</v>
      </c>
      <c r="IW8" s="35">
        <f t="shared" ref="IW8:IW39" si="241">IF(IV8&gt;0,IU8,IS8)</f>
        <v>1.1051925989598034E-2</v>
      </c>
      <c r="IX8" s="35">
        <f t="shared" ref="IX8:IX39" si="242">IF(IV8&gt;0,IT8,IU8)</f>
        <v>1.1051955788910387E-2</v>
      </c>
      <c r="IY8" s="35">
        <f t="shared" ref="IY8:IY39" si="243">(IW8+IX8)/2</f>
        <v>1.1051940889254212E-2</v>
      </c>
      <c r="IZ8" s="35">
        <f t="shared" ref="IZ8:IZ39" si="244">(SUMPRODUCT(($G$8:$G$694=X8)*SQRT(IY8^2+4*(1-IY8)*$I$8:$I$694^2/Z8))-COUNTIF($G$8:$G$694,X8)*IY8)/(2*(1-IY8))-1</f>
        <v>6.2905260556078701E-8</v>
      </c>
      <c r="JA8" s="35">
        <f t="shared" ref="JA8:JA39" si="245">IF(IZ8&gt;0,IY8,IW8)</f>
        <v>1.1051940889254212E-2</v>
      </c>
      <c r="JB8" s="35">
        <f t="shared" ref="JB8:JB39" si="246">IF(IZ8&gt;0,IX8,IY8)</f>
        <v>1.1051955788910387E-2</v>
      </c>
      <c r="JC8" s="35">
        <f t="shared" ref="JC8:JC39" si="247">(JA8+JB8)/2</f>
        <v>1.1051948339082299E-2</v>
      </c>
      <c r="JD8" s="35">
        <f t="shared" ref="JD8:JD39" si="248">(SUMPRODUCT(($G$8:$G$694=X8)*SQRT(JC8^2+4*(1-JC8)*$I$8:$I$694^2/Z8))-COUNTIF($G$8:$G$694,X8)*JC8)/(2*(1-JC8))-1</f>
        <v>1.4089123201443954E-9</v>
      </c>
      <c r="JE8" s="35">
        <f t="shared" ref="JE8:JE39" si="249">IF(JD8&gt;0,JC8,JA8)</f>
        <v>1.1051948339082299E-2</v>
      </c>
      <c r="JF8" s="35">
        <f t="shared" ref="JF8:JF39" si="250">IF(JD8&gt;0,JB8,JC8)</f>
        <v>1.1051955788910387E-2</v>
      </c>
      <c r="JG8" s="35">
        <f t="shared" ref="JG8:JG39" si="251">(JE8+JF8)/2</f>
        <v>1.1051952063996343E-2</v>
      </c>
      <c r="JH8" s="35">
        <f t="shared" ref="JH8:JH39" si="252">(SUMPRODUCT(($G$8:$G$694=X8)*SQRT(JG8^2+4*(1-JG8)*$I$8:$I$694^2/Z8))-COUNTIF($G$8:$G$694,X8)*JG8)/(2*(1-JG8))-1</f>
        <v>-2.9339255691596122E-8</v>
      </c>
      <c r="JI8" s="35">
        <f t="shared" ref="JI8:JI39" si="253">IF(JH8&gt;0,JG8,JE8)</f>
        <v>1.1051948339082299E-2</v>
      </c>
      <c r="JJ8" s="35">
        <f t="shared" ref="JJ8:JJ39" si="254">IF(JH8&gt;0,JF8,JG8)</f>
        <v>1.1051952063996343E-2</v>
      </c>
      <c r="JK8" s="35">
        <f t="shared" ref="JK8:JK39" si="255">(JI8+JJ8)/2</f>
        <v>1.1051950201539321E-2</v>
      </c>
      <c r="JL8" s="35">
        <f t="shared" ref="JL8:JL39" si="256">(SUMPRODUCT(($G$8:$G$694=X8)*SQRT(JK8^2+4*(1-JK8)*$I$8:$I$694^2/Z8))-COUNTIF($G$8:$G$694,X8)*JK8)/(2*(1-JK8))-1</f>
        <v>-1.3965172351859678E-8</v>
      </c>
      <c r="JM8" s="35">
        <f t="shared" ref="JM8:JM39" si="257">IF(JL8&gt;0,JK8,JI8)</f>
        <v>1.1051948339082299E-2</v>
      </c>
      <c r="JN8" s="35">
        <f t="shared" ref="JN8:JN39" si="258">IF(JL8&gt;0,JJ8,JK8)</f>
        <v>1.1051950201539321E-2</v>
      </c>
      <c r="JO8" s="35">
        <f t="shared" ref="JO8:JO39" si="259">(JM8+JN8)/2</f>
        <v>1.105194927031081E-2</v>
      </c>
      <c r="JP8" s="35">
        <f t="shared" ref="JP8:JP39" si="260">(SUMPRODUCT(($G$8:$G$694=X8)*SQRT(JO8^2+4*(1-JO8)*$I$8:$I$694^2/Z8))-COUNTIF($G$8:$G$694,X8)*JO8)/(2*(1-JO8))-1</f>
        <v>-6.2781301268799439E-9</v>
      </c>
      <c r="JQ8" s="35">
        <f t="shared" ref="JQ8:JQ39" si="261">IF(JP8&gt;0,JO8,JM8)</f>
        <v>1.1051948339082299E-2</v>
      </c>
      <c r="JR8" s="35">
        <f t="shared" ref="JR8:JR39" si="262">IF(JP8&gt;0,JN8,JO8)</f>
        <v>1.105194927031081E-2</v>
      </c>
      <c r="JS8" s="35">
        <f t="shared" ref="JS8:JS39" si="263">(JQ8+JR8)/2</f>
        <v>1.1051948804696555E-2</v>
      </c>
      <c r="JT8" s="35">
        <f t="shared" ref="JT8:JT39" si="264">(SUMPRODUCT(($G$8:$G$694=X8)*SQRT(JS8^2+4*(1-JS8)*$I$8:$I$694^2/Z8))-COUNTIF($G$8:$G$694,X8)*JS8)/(2*(1-JS8))-1</f>
        <v>-2.4346091809235304E-9</v>
      </c>
      <c r="JU8" s="35">
        <f t="shared" ref="JU8:JU39" si="265">IF(JT8&gt;0,JS8,JQ8)</f>
        <v>1.1051948339082299E-2</v>
      </c>
      <c r="JV8" s="35">
        <f t="shared" ref="JV8:JV39" si="266">IF(JT8&gt;0,JR8,JS8)</f>
        <v>1.1051948804696555E-2</v>
      </c>
      <c r="JW8" s="35">
        <f t="shared" ref="JW8:JW39" si="267">(JU8+JV8)/2</f>
        <v>1.1051948571889427E-2</v>
      </c>
      <c r="JX8" s="35">
        <f t="shared" ref="JX8:JX39" si="268">(SUMPRODUCT(($G$8:$G$694=X8)*SQRT(JW8^2+4*(1-JW8)*$I$8:$I$694^2/Z8))-COUNTIF($G$8:$G$694,X8)*JW8)/(2*(1-JW8))-1</f>
        <v>-5.1284820834496259E-10</v>
      </c>
      <c r="JY8" s="35">
        <f t="shared" ref="JY8:JY39" si="269">IF(JX8&gt;0,JW8,JU8)</f>
        <v>1.1051948339082299E-2</v>
      </c>
      <c r="JZ8" s="35">
        <f t="shared" ref="JZ8:JZ39" si="270">IF(JX8&gt;0,JV8,JW8)</f>
        <v>1.1051948571889427E-2</v>
      </c>
      <c r="KA8" s="35">
        <f t="shared" ref="KA8:KA39" si="271">(EY8+EZ8)/2</f>
        <v>1.0992153287166726</v>
      </c>
      <c r="KB8" s="35">
        <f t="shared" ref="KB8:KB39" si="272">(JY8+JZ8)/2</f>
        <v>1.1051948455485863E-2</v>
      </c>
    </row>
    <row r="9" spans="1:288" ht="15" customHeight="1" x14ac:dyDescent="0.3">
      <c r="A9" s="30">
        <f>Odds_Input!A9</f>
        <v>1</v>
      </c>
      <c r="B9" s="7" t="str">
        <f>Odds_Input!B9</f>
        <v>TITLE</v>
      </c>
      <c r="C9" s="7" t="str">
        <f>Odds_Input!C9</f>
        <v>Boston Celtics</v>
      </c>
      <c r="D9" s="7" t="str">
        <f>Odds_Input!D9</f>
        <v>YES</v>
      </c>
      <c r="E9" s="31" t="str">
        <f>Odds_Input!E9</f>
        <v>-</v>
      </c>
      <c r="F9" s="32">
        <f>Odds_Input!F9</f>
        <v>1400</v>
      </c>
      <c r="G9" s="6" t="str">
        <f t="shared" si="0"/>
        <v>TITLE</v>
      </c>
      <c r="H9" s="14">
        <f t="shared" si="1"/>
        <v>15</v>
      </c>
      <c r="I9" s="33">
        <f t="shared" si="2"/>
        <v>6.6666666666666666E-2</v>
      </c>
      <c r="J9" s="17">
        <f t="shared" si="3"/>
        <v>1</v>
      </c>
      <c r="K9" s="17">
        <f t="shared" si="4"/>
        <v>30</v>
      </c>
      <c r="L9" s="18">
        <f t="shared" si="5"/>
        <v>1.252565192422864</v>
      </c>
      <c r="M9" s="34">
        <f t="shared" si="6"/>
        <v>0.25256519242286402</v>
      </c>
      <c r="N9" s="33">
        <f t="shared" si="7"/>
        <v>5.3224109267887197E-2</v>
      </c>
      <c r="O9" s="33">
        <f t="shared" si="8"/>
        <v>5.0959183409866361E-2</v>
      </c>
      <c r="P9" s="33">
        <f t="shared" si="9"/>
        <v>5.4571644329192905E-2</v>
      </c>
      <c r="Q9" s="33">
        <f t="shared" si="10"/>
        <v>5.4571644329192905E-2</v>
      </c>
      <c r="R9" s="35">
        <f t="shared" si="11"/>
        <v>1.0992153287166726</v>
      </c>
      <c r="S9" s="35">
        <f t="shared" si="12"/>
        <v>1.1051948455485863E-2</v>
      </c>
      <c r="X9" s="6" t="s">
        <v>268</v>
      </c>
      <c r="Y9" s="6">
        <f t="shared" si="13"/>
        <v>1</v>
      </c>
      <c r="Z9" s="18">
        <f t="shared" si="14"/>
        <v>1.2088752212862357</v>
      </c>
      <c r="AA9" s="10">
        <v>0.2</v>
      </c>
      <c r="AB9" s="10">
        <v>10</v>
      </c>
      <c r="AC9" s="35">
        <f t="shared" si="15"/>
        <v>5.0999999999999996</v>
      </c>
      <c r="AD9" s="35">
        <f t="shared" si="16"/>
        <v>-0.99890685871186125</v>
      </c>
      <c r="AE9" s="35">
        <f t="shared" si="17"/>
        <v>0.2</v>
      </c>
      <c r="AF9" s="35">
        <f t="shared" si="18"/>
        <v>5.0999999999999996</v>
      </c>
      <c r="AG9" s="35">
        <f t="shared" si="19"/>
        <v>2.65</v>
      </c>
      <c r="AH9" s="35">
        <f t="shared" si="20"/>
        <v>-0.94506434966085784</v>
      </c>
      <c r="AI9" s="35">
        <f t="shared" si="21"/>
        <v>0.2</v>
      </c>
      <c r="AJ9" s="35">
        <f t="shared" si="22"/>
        <v>2.65</v>
      </c>
      <c r="AK9" s="35">
        <f t="shared" si="23"/>
        <v>1.425</v>
      </c>
      <c r="AL9" s="35">
        <f t="shared" si="24"/>
        <v>-0.49229823997305877</v>
      </c>
      <c r="AM9" s="35">
        <f t="shared" si="25"/>
        <v>0.2</v>
      </c>
      <c r="AN9" s="35">
        <f t="shared" si="26"/>
        <v>1.425</v>
      </c>
      <c r="AO9" s="35">
        <f t="shared" si="27"/>
        <v>0.8125</v>
      </c>
      <c r="AP9" s="35">
        <f t="shared" si="28"/>
        <v>0.81849267919212076</v>
      </c>
      <c r="AQ9" s="35">
        <f t="shared" si="29"/>
        <v>0.8125</v>
      </c>
      <c r="AR9" s="35">
        <f t="shared" si="30"/>
        <v>1.425</v>
      </c>
      <c r="AS9" s="35">
        <f t="shared" si="31"/>
        <v>1.1187499999999999</v>
      </c>
      <c r="AT9" s="35">
        <f t="shared" si="32"/>
        <v>-5.8207617507166742E-2</v>
      </c>
      <c r="AU9" s="35">
        <f t="shared" si="33"/>
        <v>0.8125</v>
      </c>
      <c r="AV9" s="35">
        <f t="shared" si="34"/>
        <v>1.1187499999999999</v>
      </c>
      <c r="AW9" s="35">
        <f t="shared" si="35"/>
        <v>0.96562499999999996</v>
      </c>
      <c r="AX9" s="35">
        <f t="shared" si="36"/>
        <v>0.30106108372152152</v>
      </c>
      <c r="AY9" s="35">
        <f t="shared" si="37"/>
        <v>0.96562499999999996</v>
      </c>
      <c r="AZ9" s="35">
        <f t="shared" si="38"/>
        <v>1.1187499999999999</v>
      </c>
      <c r="BA9" s="35">
        <f t="shared" si="39"/>
        <v>1.0421874999999998</v>
      </c>
      <c r="BB9" s="35">
        <f t="shared" si="40"/>
        <v>0.1054661436718487</v>
      </c>
      <c r="BC9" s="35">
        <f t="shared" si="41"/>
        <v>1.0421874999999998</v>
      </c>
      <c r="BD9" s="35">
        <f t="shared" si="42"/>
        <v>1.1187499999999999</v>
      </c>
      <c r="BE9" s="35">
        <f t="shared" si="43"/>
        <v>1.0804687499999999</v>
      </c>
      <c r="BF9" s="35">
        <f t="shared" si="44"/>
        <v>2.0025116610610461E-2</v>
      </c>
      <c r="BG9" s="35">
        <f t="shared" si="45"/>
        <v>1.0804687499999999</v>
      </c>
      <c r="BH9" s="35">
        <f t="shared" si="46"/>
        <v>1.1187499999999999</v>
      </c>
      <c r="BI9" s="35">
        <f t="shared" si="47"/>
        <v>1.099609375</v>
      </c>
      <c r="BJ9" s="35">
        <f t="shared" si="48"/>
        <v>-1.9948631457526567E-2</v>
      </c>
      <c r="BK9" s="35">
        <f t="shared" si="49"/>
        <v>1.0804687499999999</v>
      </c>
      <c r="BL9" s="35">
        <f t="shared" si="50"/>
        <v>1.099609375</v>
      </c>
      <c r="BM9" s="35">
        <f t="shared" si="51"/>
        <v>1.0900390624999998</v>
      </c>
      <c r="BN9" s="35">
        <f t="shared" si="52"/>
        <v>-1.8137124831252294E-4</v>
      </c>
      <c r="BO9" s="35">
        <f t="shared" si="53"/>
        <v>1.0804687499999999</v>
      </c>
      <c r="BP9" s="35">
        <f t="shared" si="54"/>
        <v>1.0900390624999998</v>
      </c>
      <c r="BQ9" s="35">
        <f t="shared" si="55"/>
        <v>1.0852539062499997</v>
      </c>
      <c r="BR9" s="35">
        <f t="shared" si="56"/>
        <v>9.8662946391452344E-3</v>
      </c>
      <c r="BS9" s="35">
        <f t="shared" si="57"/>
        <v>1.0852539062499997</v>
      </c>
      <c r="BT9" s="35">
        <f t="shared" si="58"/>
        <v>1.0900390624999998</v>
      </c>
      <c r="BU9" s="35">
        <f t="shared" si="59"/>
        <v>1.0876464843749998</v>
      </c>
      <c r="BV9" s="35">
        <f t="shared" si="60"/>
        <v>4.8286522377476437E-3</v>
      </c>
      <c r="BW9" s="35">
        <f t="shared" si="61"/>
        <v>1.0876464843749998</v>
      </c>
      <c r="BX9" s="35">
        <f t="shared" si="62"/>
        <v>1.0900390624999998</v>
      </c>
      <c r="BY9" s="35">
        <f t="shared" si="63"/>
        <v>1.0888427734374999</v>
      </c>
      <c r="BZ9" s="35">
        <f t="shared" si="64"/>
        <v>2.3201986976100208E-3</v>
      </c>
      <c r="CA9" s="35">
        <f t="shared" si="65"/>
        <v>1.0888427734374999</v>
      </c>
      <c r="CB9" s="35">
        <f t="shared" si="66"/>
        <v>1.0900390624999998</v>
      </c>
      <c r="CC9" s="35">
        <f t="shared" si="67"/>
        <v>1.0894409179687499</v>
      </c>
      <c r="CD9" s="35">
        <f t="shared" si="68"/>
        <v>1.0685545922910489E-3</v>
      </c>
      <c r="CE9" s="35">
        <f t="shared" si="69"/>
        <v>1.0894409179687499</v>
      </c>
      <c r="CF9" s="35">
        <f t="shared" si="70"/>
        <v>1.0900390624999998</v>
      </c>
      <c r="CG9" s="35">
        <f t="shared" si="71"/>
        <v>1.0897399902343747</v>
      </c>
      <c r="CH9" s="35">
        <f t="shared" si="72"/>
        <v>4.4337705326591426E-4</v>
      </c>
      <c r="CI9" s="35">
        <f t="shared" si="73"/>
        <v>1.0897399902343747</v>
      </c>
      <c r="CJ9" s="35">
        <f t="shared" si="74"/>
        <v>1.0900390624999998</v>
      </c>
      <c r="CK9" s="35">
        <f t="shared" si="75"/>
        <v>1.0898895263671873</v>
      </c>
      <c r="CL9" s="35">
        <f t="shared" si="76"/>
        <v>1.3094926832613041E-4</v>
      </c>
      <c r="CM9" s="35">
        <f t="shared" si="77"/>
        <v>1.0898895263671873</v>
      </c>
      <c r="CN9" s="35">
        <f t="shared" si="78"/>
        <v>1.0900390624999998</v>
      </c>
      <c r="CO9" s="35">
        <f t="shared" si="79"/>
        <v>1.0899642944335937</v>
      </c>
      <c r="CP9" s="35">
        <f t="shared" si="80"/>
        <v>-2.522439596597259E-5</v>
      </c>
      <c r="CQ9" s="35">
        <f t="shared" si="81"/>
        <v>1.0898895263671873</v>
      </c>
      <c r="CR9" s="35">
        <f t="shared" si="82"/>
        <v>1.0899642944335937</v>
      </c>
      <c r="CS9" s="35">
        <f t="shared" si="83"/>
        <v>1.0899269104003904</v>
      </c>
      <c r="CT9" s="35">
        <f t="shared" si="84"/>
        <v>5.2859084366474463E-5</v>
      </c>
      <c r="CU9" s="35">
        <f t="shared" si="85"/>
        <v>1.0899269104003904</v>
      </c>
      <c r="CV9" s="35">
        <f t="shared" si="86"/>
        <v>1.0899642944335937</v>
      </c>
      <c r="CW9" s="35">
        <f t="shared" si="87"/>
        <v>1.089945602416992</v>
      </c>
      <c r="CX9" s="35">
        <f t="shared" si="88"/>
        <v>1.3816506286845609E-5</v>
      </c>
      <c r="CY9" s="35">
        <f t="shared" si="89"/>
        <v>1.089945602416992</v>
      </c>
      <c r="CZ9" s="35">
        <f t="shared" si="90"/>
        <v>1.0899642944335937</v>
      </c>
      <c r="DA9" s="35">
        <f t="shared" si="91"/>
        <v>1.0899549484252928</v>
      </c>
      <c r="DB9" s="35">
        <f t="shared" si="92"/>
        <v>-5.7041543127800409E-6</v>
      </c>
      <c r="DC9" s="35">
        <f t="shared" si="93"/>
        <v>1.089945602416992</v>
      </c>
      <c r="DD9" s="35">
        <f t="shared" si="94"/>
        <v>1.0899549484252928</v>
      </c>
      <c r="DE9" s="35">
        <f t="shared" si="95"/>
        <v>1.0899502754211423</v>
      </c>
      <c r="DF9" s="35">
        <f t="shared" si="96"/>
        <v>4.0561236183123128E-6</v>
      </c>
      <c r="DG9" s="35">
        <f t="shared" si="97"/>
        <v>1.0899502754211423</v>
      </c>
      <c r="DH9" s="35">
        <f t="shared" si="98"/>
        <v>1.0899549484252928</v>
      </c>
      <c r="DI9" s="35">
        <f t="shared" si="99"/>
        <v>1.0899526119232177</v>
      </c>
      <c r="DJ9" s="35">
        <f t="shared" si="100"/>
        <v>-8.2402843959439309E-7</v>
      </c>
      <c r="DK9" s="35">
        <f t="shared" si="101"/>
        <v>1.0899502754211423</v>
      </c>
      <c r="DL9" s="35">
        <f t="shared" si="102"/>
        <v>1.0899526119232177</v>
      </c>
      <c r="DM9" s="35">
        <f t="shared" si="103"/>
        <v>1.08995144367218</v>
      </c>
      <c r="DN9" s="35">
        <f t="shared" si="104"/>
        <v>1.6160443163659721E-6</v>
      </c>
      <c r="DO9" s="35">
        <f t="shared" si="105"/>
        <v>1.08995144367218</v>
      </c>
      <c r="DP9" s="35">
        <f t="shared" si="106"/>
        <v>1.0899526119232177</v>
      </c>
      <c r="DQ9" s="35">
        <f t="shared" si="107"/>
        <v>1.0899520277976988</v>
      </c>
      <c r="DR9" s="35">
        <f t="shared" si="108"/>
        <v>3.9600712020693152E-7</v>
      </c>
      <c r="DS9" s="35">
        <f t="shared" si="109"/>
        <v>1.0899520277976988</v>
      </c>
      <c r="DT9" s="35">
        <f t="shared" si="110"/>
        <v>1.0899526119232177</v>
      </c>
      <c r="DU9" s="35">
        <f t="shared" si="111"/>
        <v>1.0899523198604584</v>
      </c>
      <c r="DV9" s="35">
        <f t="shared" si="112"/>
        <v>-2.1401086469641228E-7</v>
      </c>
      <c r="DW9" s="35">
        <f t="shared" si="113"/>
        <v>1.0899520277976988</v>
      </c>
      <c r="DX9" s="35">
        <f t="shared" si="114"/>
        <v>1.0899523198604584</v>
      </c>
      <c r="DY9" s="35">
        <f t="shared" si="115"/>
        <v>1.0899521738290785</v>
      </c>
      <c r="DZ9" s="35">
        <f t="shared" si="116"/>
        <v>9.0998076851533938E-8</v>
      </c>
      <c r="EA9" s="35">
        <f t="shared" si="117"/>
        <v>1.0899521738290785</v>
      </c>
      <c r="EB9" s="35">
        <f t="shared" si="118"/>
        <v>1.0899523198604584</v>
      </c>
      <c r="EC9" s="35">
        <f t="shared" si="119"/>
        <v>1.0899522468447684</v>
      </c>
      <c r="ED9" s="35">
        <f t="shared" si="120"/>
        <v>-6.150640685653741E-8</v>
      </c>
      <c r="EE9" s="35">
        <f t="shared" si="121"/>
        <v>1.0899521738290785</v>
      </c>
      <c r="EF9" s="35">
        <f t="shared" si="122"/>
        <v>1.0899522468447684</v>
      </c>
      <c r="EG9" s="35">
        <f t="shared" si="123"/>
        <v>1.0899522103369235</v>
      </c>
      <c r="EH9" s="35">
        <f t="shared" si="124"/>
        <v>1.4745831888873795E-8</v>
      </c>
      <c r="EI9" s="35">
        <f t="shared" si="125"/>
        <v>1.0899522103369235</v>
      </c>
      <c r="EJ9" s="35">
        <f t="shared" si="126"/>
        <v>1.0899522468447684</v>
      </c>
      <c r="EK9" s="35">
        <f t="shared" si="127"/>
        <v>1.0899522285908461</v>
      </c>
      <c r="EL9" s="35">
        <f t="shared" si="128"/>
        <v>-2.3380288372010227E-8</v>
      </c>
      <c r="EM9" s="35">
        <f t="shared" si="129"/>
        <v>1.0899522103369235</v>
      </c>
      <c r="EN9" s="35">
        <f t="shared" si="130"/>
        <v>1.0899522285908461</v>
      </c>
      <c r="EO9" s="35">
        <f t="shared" si="131"/>
        <v>1.0899522194638847</v>
      </c>
      <c r="EP9" s="35">
        <f t="shared" si="132"/>
        <v>-4.3172282415682162E-9</v>
      </c>
      <c r="EQ9" s="35">
        <f t="shared" si="133"/>
        <v>1.0899522103369235</v>
      </c>
      <c r="ER9" s="35">
        <f t="shared" si="134"/>
        <v>1.0899522194638847</v>
      </c>
      <c r="ES9" s="35">
        <f t="shared" si="135"/>
        <v>1.0899522149004039</v>
      </c>
      <c r="ET9" s="35">
        <f t="shared" si="136"/>
        <v>5.2143018791639406E-9</v>
      </c>
      <c r="EU9" s="35">
        <f t="shared" si="137"/>
        <v>1.0899522149004039</v>
      </c>
      <c r="EV9" s="35">
        <f t="shared" si="138"/>
        <v>1.0899522194638847</v>
      </c>
      <c r="EW9" s="35">
        <f t="shared" si="139"/>
        <v>1.0899522171821443</v>
      </c>
      <c r="EX9" s="35">
        <f t="shared" si="140"/>
        <v>4.4853698533131592E-10</v>
      </c>
      <c r="EY9" s="35">
        <f t="shared" si="141"/>
        <v>1.0899522171821443</v>
      </c>
      <c r="EZ9" s="35">
        <f t="shared" si="142"/>
        <v>1.0899522194638847</v>
      </c>
      <c r="FA9" s="10">
        <v>9.9999999999999995E-7</v>
      </c>
      <c r="FB9" s="10">
        <v>0.99990000000000001</v>
      </c>
      <c r="FC9" s="35">
        <f t="shared" si="143"/>
        <v>0.49995050000000002</v>
      </c>
      <c r="FD9" s="35">
        <f t="shared" si="144"/>
        <v>-0.73014450012164223</v>
      </c>
      <c r="FE9" s="35">
        <f t="shared" si="145"/>
        <v>9.9999999999999995E-7</v>
      </c>
      <c r="FF9" s="35">
        <f t="shared" si="146"/>
        <v>0.49995050000000002</v>
      </c>
      <c r="FG9" s="35">
        <f t="shared" si="147"/>
        <v>0.24997575</v>
      </c>
      <c r="FH9" s="35">
        <f t="shared" si="148"/>
        <v>-0.54469486476401574</v>
      </c>
      <c r="FI9" s="35">
        <f t="shared" si="149"/>
        <v>9.9999999999999995E-7</v>
      </c>
      <c r="FJ9" s="35">
        <f t="shared" si="150"/>
        <v>0.24997575</v>
      </c>
      <c r="FK9" s="35">
        <f t="shared" si="151"/>
        <v>0.124988375</v>
      </c>
      <c r="FL9" s="35">
        <f t="shared" si="152"/>
        <v>-0.34461459791540305</v>
      </c>
      <c r="FM9" s="35">
        <f t="shared" si="153"/>
        <v>9.9999999999999995E-7</v>
      </c>
      <c r="FN9" s="35">
        <f t="shared" si="154"/>
        <v>0.124988375</v>
      </c>
      <c r="FO9" s="35">
        <f t="shared" si="155"/>
        <v>6.24946875E-2</v>
      </c>
      <c r="FP9" s="35">
        <f t="shared" si="156"/>
        <v>-0.17673886405148043</v>
      </c>
      <c r="FQ9" s="35">
        <f t="shared" si="157"/>
        <v>9.9999999999999995E-7</v>
      </c>
      <c r="FR9" s="35">
        <f t="shared" si="158"/>
        <v>6.24946875E-2</v>
      </c>
      <c r="FS9" s="35">
        <f t="shared" si="159"/>
        <v>3.124784375E-2</v>
      </c>
      <c r="FT9" s="35">
        <f t="shared" si="160"/>
        <v>-6.0210911930236088E-2</v>
      </c>
      <c r="FU9" s="35">
        <f t="shared" si="161"/>
        <v>9.9999999999999995E-7</v>
      </c>
      <c r="FV9" s="35">
        <f t="shared" si="162"/>
        <v>3.124784375E-2</v>
      </c>
      <c r="FW9" s="35">
        <f t="shared" si="163"/>
        <v>1.5624421875000001E-2</v>
      </c>
      <c r="FX9" s="35">
        <f t="shared" si="164"/>
        <v>1.0915881156634111E-2</v>
      </c>
      <c r="FY9" s="35">
        <f t="shared" si="165"/>
        <v>1.5624421875000001E-2</v>
      </c>
      <c r="FZ9" s="35">
        <f t="shared" si="166"/>
        <v>3.124784375E-2</v>
      </c>
      <c r="GA9" s="35">
        <f t="shared" si="167"/>
        <v>2.34361328125E-2</v>
      </c>
      <c r="GB9" s="35">
        <f t="shared" si="168"/>
        <v>-2.599670260996112E-2</v>
      </c>
      <c r="GC9" s="35">
        <f t="shared" si="169"/>
        <v>1.5624421875000001E-2</v>
      </c>
      <c r="GD9" s="35">
        <f t="shared" si="170"/>
        <v>2.34361328125E-2</v>
      </c>
      <c r="GE9" s="35">
        <f t="shared" si="171"/>
        <v>1.9530277343749999E-2</v>
      </c>
      <c r="GF9" s="35">
        <f t="shared" si="172"/>
        <v>-7.9156879942891001E-3</v>
      </c>
      <c r="GG9" s="35">
        <f t="shared" si="173"/>
        <v>1.5624421875000001E-2</v>
      </c>
      <c r="GH9" s="35">
        <f t="shared" si="174"/>
        <v>1.9530277343749999E-2</v>
      </c>
      <c r="GI9" s="35">
        <f t="shared" si="175"/>
        <v>1.7577349609375001E-2</v>
      </c>
      <c r="GJ9" s="35">
        <f t="shared" si="176"/>
        <v>1.3995783975704335E-3</v>
      </c>
      <c r="GK9" s="35">
        <f t="shared" si="177"/>
        <v>1.7577349609375001E-2</v>
      </c>
      <c r="GL9" s="35">
        <f t="shared" si="178"/>
        <v>1.9530277343749999E-2</v>
      </c>
      <c r="GM9" s="35">
        <f t="shared" si="179"/>
        <v>1.85538134765625E-2</v>
      </c>
      <c r="GN9" s="35">
        <f t="shared" si="180"/>
        <v>-3.2822130959532236E-3</v>
      </c>
      <c r="GO9" s="35">
        <f t="shared" si="181"/>
        <v>1.7577349609375001E-2</v>
      </c>
      <c r="GP9" s="35">
        <f t="shared" si="182"/>
        <v>1.85538134765625E-2</v>
      </c>
      <c r="GQ9" s="35">
        <f t="shared" si="183"/>
        <v>1.8065581542968751E-2</v>
      </c>
      <c r="GR9" s="35">
        <f t="shared" si="184"/>
        <v>-9.4746802037781741E-4</v>
      </c>
      <c r="GS9" s="35">
        <f t="shared" si="185"/>
        <v>1.7577349609375001E-2</v>
      </c>
      <c r="GT9" s="35">
        <f t="shared" si="186"/>
        <v>1.8065581542968751E-2</v>
      </c>
      <c r="GU9" s="35">
        <f t="shared" si="187"/>
        <v>1.7821465576171876E-2</v>
      </c>
      <c r="GV9" s="35">
        <f t="shared" si="188"/>
        <v>2.2450281766439595E-4</v>
      </c>
      <c r="GW9" s="35">
        <f t="shared" si="189"/>
        <v>1.7821465576171876E-2</v>
      </c>
      <c r="GX9" s="35">
        <f t="shared" si="190"/>
        <v>1.8065581542968751E-2</v>
      </c>
      <c r="GY9" s="35">
        <f t="shared" si="191"/>
        <v>1.7943523559570313E-2</v>
      </c>
      <c r="GZ9" s="35">
        <f t="shared" si="192"/>
        <v>-3.6186881726119058E-4</v>
      </c>
      <c r="HA9" s="35">
        <f t="shared" si="193"/>
        <v>1.7821465576171876E-2</v>
      </c>
      <c r="HB9" s="35">
        <f t="shared" si="194"/>
        <v>1.7943523559570313E-2</v>
      </c>
      <c r="HC9" s="35">
        <f t="shared" si="195"/>
        <v>1.7882494567871096E-2</v>
      </c>
      <c r="HD9" s="35">
        <f t="shared" si="196"/>
        <v>-6.8779785873274157E-5</v>
      </c>
      <c r="HE9" s="35">
        <f t="shared" si="197"/>
        <v>1.7821465576171876E-2</v>
      </c>
      <c r="HF9" s="35">
        <f t="shared" si="198"/>
        <v>1.7882494567871096E-2</v>
      </c>
      <c r="HG9" s="35">
        <f t="shared" si="199"/>
        <v>1.7851980072021486E-2</v>
      </c>
      <c r="HH9" s="35">
        <f t="shared" si="200"/>
        <v>7.7837290147986238E-5</v>
      </c>
      <c r="HI9" s="35">
        <f t="shared" si="201"/>
        <v>1.7851980072021486E-2</v>
      </c>
      <c r="HJ9" s="35">
        <f t="shared" si="202"/>
        <v>1.7882494567871096E-2</v>
      </c>
      <c r="HK9" s="35">
        <f t="shared" si="203"/>
        <v>1.7867237319946293E-2</v>
      </c>
      <c r="HL9" s="35">
        <f t="shared" si="204"/>
        <v>4.5226993636848789E-6</v>
      </c>
      <c r="HM9" s="35">
        <f t="shared" si="205"/>
        <v>1.7867237319946293E-2</v>
      </c>
      <c r="HN9" s="35">
        <f t="shared" si="206"/>
        <v>1.7882494567871096E-2</v>
      </c>
      <c r="HO9" s="35">
        <f t="shared" si="207"/>
        <v>1.7874865943908694E-2</v>
      </c>
      <c r="HP9" s="35">
        <f t="shared" si="208"/>
        <v>-3.2130055991341777E-5</v>
      </c>
      <c r="HQ9" s="35">
        <f t="shared" si="209"/>
        <v>1.7867237319946293E-2</v>
      </c>
      <c r="HR9" s="35">
        <f t="shared" si="210"/>
        <v>1.7874865943908694E-2</v>
      </c>
      <c r="HS9" s="35">
        <f t="shared" si="211"/>
        <v>1.7871051631927495E-2</v>
      </c>
      <c r="HT9" s="35">
        <f t="shared" si="212"/>
        <v>-1.3804056554933553E-5</v>
      </c>
      <c r="HU9" s="35">
        <f t="shared" si="213"/>
        <v>1.7867237319946293E-2</v>
      </c>
      <c r="HV9" s="35">
        <f t="shared" si="214"/>
        <v>1.7871051631927495E-2</v>
      </c>
      <c r="HW9" s="35">
        <f t="shared" si="215"/>
        <v>1.7869144475936894E-2</v>
      </c>
      <c r="HX9" s="35">
        <f t="shared" si="216"/>
        <v>-4.6407731629782845E-6</v>
      </c>
      <c r="HY9" s="35">
        <f t="shared" si="217"/>
        <v>1.7867237319946293E-2</v>
      </c>
      <c r="HZ9" s="35">
        <f t="shared" si="218"/>
        <v>1.7869144475936894E-2</v>
      </c>
      <c r="IA9" s="35">
        <f t="shared" si="219"/>
        <v>1.7868190897941595E-2</v>
      </c>
      <c r="IB9" s="35">
        <f t="shared" si="220"/>
        <v>-5.906054267867944E-8</v>
      </c>
      <c r="IC9" s="35">
        <f t="shared" si="221"/>
        <v>1.7867237319946293E-2</v>
      </c>
      <c r="ID9" s="35">
        <f t="shared" si="222"/>
        <v>1.7868190897941595E-2</v>
      </c>
      <c r="IE9" s="35">
        <f t="shared" si="223"/>
        <v>1.7867714108943944E-2</v>
      </c>
      <c r="IF9" s="35">
        <f t="shared" si="224"/>
        <v>2.2318134997867389E-6</v>
      </c>
      <c r="IG9" s="35">
        <f t="shared" si="225"/>
        <v>1.7867714108943944E-2</v>
      </c>
      <c r="IH9" s="35">
        <f t="shared" si="226"/>
        <v>1.7868190897941595E-2</v>
      </c>
      <c r="II9" s="35">
        <f t="shared" si="227"/>
        <v>1.786795250344277E-2</v>
      </c>
      <c r="IJ9" s="35">
        <f t="shared" si="228"/>
        <v>1.0863750010692286E-6</v>
      </c>
      <c r="IK9" s="35">
        <f t="shared" si="229"/>
        <v>1.786795250344277E-2</v>
      </c>
      <c r="IL9" s="35">
        <f t="shared" si="230"/>
        <v>1.7868190897941595E-2</v>
      </c>
      <c r="IM9" s="35">
        <f t="shared" si="231"/>
        <v>1.7868071700692184E-2</v>
      </c>
      <c r="IN9" s="35">
        <f t="shared" si="232"/>
        <v>5.1365685971305197E-7</v>
      </c>
      <c r="IO9" s="35">
        <f t="shared" si="233"/>
        <v>1.7868071700692184E-2</v>
      </c>
      <c r="IP9" s="35">
        <f t="shared" si="234"/>
        <v>1.7868190897941595E-2</v>
      </c>
      <c r="IQ9" s="35">
        <f t="shared" si="235"/>
        <v>1.786813129931689E-2</v>
      </c>
      <c r="IR9" s="35">
        <f t="shared" si="236"/>
        <v>2.2729806614663062E-7</v>
      </c>
      <c r="IS9" s="35">
        <f t="shared" si="237"/>
        <v>1.786813129931689E-2</v>
      </c>
      <c r="IT9" s="35">
        <f t="shared" si="238"/>
        <v>1.7868190897941595E-2</v>
      </c>
      <c r="IU9" s="35">
        <f t="shared" si="239"/>
        <v>1.7868161098629244E-2</v>
      </c>
      <c r="IV9" s="35">
        <f t="shared" si="240"/>
        <v>8.4118738641336677E-8</v>
      </c>
      <c r="IW9" s="35">
        <f t="shared" si="241"/>
        <v>1.7868161098629244E-2</v>
      </c>
      <c r="IX9" s="35">
        <f t="shared" si="242"/>
        <v>1.7868190897941595E-2</v>
      </c>
      <c r="IY9" s="35">
        <f t="shared" si="243"/>
        <v>1.786817599828542E-2</v>
      </c>
      <c r="IZ9" s="35">
        <f t="shared" si="244"/>
        <v>1.2529092430213495E-8</v>
      </c>
      <c r="JA9" s="35">
        <f t="shared" si="245"/>
        <v>1.786817599828542E-2</v>
      </c>
      <c r="JB9" s="35">
        <f t="shared" si="246"/>
        <v>1.7868190897941595E-2</v>
      </c>
      <c r="JC9" s="35">
        <f t="shared" si="247"/>
        <v>1.7868183448113507E-2</v>
      </c>
      <c r="JD9" s="35">
        <f t="shared" si="248"/>
        <v>-2.3265726567522904E-8</v>
      </c>
      <c r="JE9" s="35">
        <f t="shared" si="249"/>
        <v>1.786817599828542E-2</v>
      </c>
      <c r="JF9" s="35">
        <f t="shared" si="250"/>
        <v>1.7868183448113507E-2</v>
      </c>
      <c r="JG9" s="35">
        <f t="shared" si="251"/>
        <v>1.7868179723199464E-2</v>
      </c>
      <c r="JH9" s="35">
        <f t="shared" si="252"/>
        <v>-5.3683172351881581E-9</v>
      </c>
      <c r="JI9" s="35">
        <f t="shared" si="253"/>
        <v>1.786817599828542E-2</v>
      </c>
      <c r="JJ9" s="35">
        <f t="shared" si="254"/>
        <v>1.7868179723199464E-2</v>
      </c>
      <c r="JK9" s="35">
        <f t="shared" si="255"/>
        <v>1.7868177860742442E-2</v>
      </c>
      <c r="JL9" s="35">
        <f t="shared" si="256"/>
        <v>3.5803875420015174E-9</v>
      </c>
      <c r="JM9" s="35">
        <f t="shared" si="257"/>
        <v>1.7868177860742442E-2</v>
      </c>
      <c r="JN9" s="35">
        <f t="shared" si="258"/>
        <v>1.7868179723199464E-2</v>
      </c>
      <c r="JO9" s="35">
        <f t="shared" si="259"/>
        <v>1.7868178791970953E-2</v>
      </c>
      <c r="JP9" s="35">
        <f t="shared" si="260"/>
        <v>-8.9396512414907647E-10</v>
      </c>
      <c r="JQ9" s="35">
        <f t="shared" si="261"/>
        <v>1.7868177860742442E-2</v>
      </c>
      <c r="JR9" s="35">
        <f t="shared" si="262"/>
        <v>1.7868178791970953E-2</v>
      </c>
      <c r="JS9" s="35">
        <f t="shared" si="263"/>
        <v>1.7868178326356697E-2</v>
      </c>
      <c r="JT9" s="35">
        <f t="shared" si="264"/>
        <v>1.343211097903918E-9</v>
      </c>
      <c r="JU9" s="35">
        <f t="shared" si="265"/>
        <v>1.7868178326356697E-2</v>
      </c>
      <c r="JV9" s="35">
        <f t="shared" si="266"/>
        <v>1.7868178791970953E-2</v>
      </c>
      <c r="JW9" s="35">
        <f t="shared" si="267"/>
        <v>1.7868178559163825E-2</v>
      </c>
      <c r="JX9" s="35">
        <f t="shared" si="268"/>
        <v>2.246232089220257E-10</v>
      </c>
      <c r="JY9" s="35">
        <f t="shared" si="269"/>
        <v>1.7868178559163825E-2</v>
      </c>
      <c r="JZ9" s="35">
        <f t="shared" si="270"/>
        <v>1.7868178791970953E-2</v>
      </c>
      <c r="KA9" s="35">
        <f t="shared" si="271"/>
        <v>1.0899522183230146</v>
      </c>
      <c r="KB9" s="35">
        <f t="shared" si="272"/>
        <v>1.7868178675567389E-2</v>
      </c>
    </row>
    <row r="10" spans="1:288" ht="15" customHeight="1" x14ac:dyDescent="0.3">
      <c r="A10" s="30">
        <f>Odds_Input!A10</f>
        <v>2</v>
      </c>
      <c r="B10" s="7" t="str">
        <f>Odds_Input!B10</f>
        <v>TITLE</v>
      </c>
      <c r="C10" s="7" t="str">
        <f>Odds_Input!C10</f>
        <v>Brooklyn Nets</v>
      </c>
      <c r="D10" s="7" t="str">
        <f>Odds_Input!D10</f>
        <v>YES</v>
      </c>
      <c r="E10" s="31" t="str">
        <f>Odds_Input!E10</f>
        <v>-</v>
      </c>
      <c r="F10" s="32">
        <f>Odds_Input!F10</f>
        <v>25000</v>
      </c>
      <c r="G10" s="6" t="str">
        <f t="shared" si="0"/>
        <v>TITLE</v>
      </c>
      <c r="H10" s="14">
        <f t="shared" si="1"/>
        <v>251</v>
      </c>
      <c r="I10" s="33">
        <f t="shared" si="2"/>
        <v>3.9840637450199202E-3</v>
      </c>
      <c r="J10" s="17">
        <f t="shared" si="3"/>
        <v>1</v>
      </c>
      <c r="K10" s="17">
        <f t="shared" si="4"/>
        <v>30</v>
      </c>
      <c r="L10" s="18">
        <f t="shared" si="5"/>
        <v>1.252565192422864</v>
      </c>
      <c r="M10" s="34">
        <f t="shared" si="6"/>
        <v>0.25256519242286402</v>
      </c>
      <c r="N10" s="33">
        <f t="shared" si="7"/>
        <v>3.1807236614275216E-3</v>
      </c>
      <c r="O10" s="33">
        <f t="shared" si="8"/>
        <v>2.3027238623231816E-3</v>
      </c>
      <c r="P10" s="33">
        <f t="shared" si="9"/>
        <v>1.0482741504970515E-3</v>
      </c>
      <c r="Q10" s="33">
        <f t="shared" si="10"/>
        <v>1.0482741504970515E-3</v>
      </c>
      <c r="R10" s="35">
        <f t="shared" si="11"/>
        <v>1.0992153287166726</v>
      </c>
      <c r="S10" s="35">
        <f t="shared" si="12"/>
        <v>1.1051948455485863E-2</v>
      </c>
      <c r="X10" s="6" t="s">
        <v>269</v>
      </c>
      <c r="Y10" s="6">
        <f t="shared" si="13"/>
        <v>1</v>
      </c>
      <c r="Z10" s="18">
        <f t="shared" si="14"/>
        <v>1.1953442022676133</v>
      </c>
      <c r="AA10" s="10">
        <v>0.2</v>
      </c>
      <c r="AB10" s="10">
        <v>10</v>
      </c>
      <c r="AC10" s="35">
        <f t="shared" si="15"/>
        <v>5.0999999999999996</v>
      </c>
      <c r="AD10" s="35">
        <f t="shared" si="16"/>
        <v>-0.97466254330412661</v>
      </c>
      <c r="AE10" s="35">
        <f t="shared" si="17"/>
        <v>0.2</v>
      </c>
      <c r="AF10" s="35">
        <f t="shared" si="18"/>
        <v>5.0999999999999996</v>
      </c>
      <c r="AG10" s="35">
        <f t="shared" si="19"/>
        <v>2.65</v>
      </c>
      <c r="AH10" s="35">
        <f t="shared" si="20"/>
        <v>-0.79248432213652442</v>
      </c>
      <c r="AI10" s="35">
        <f t="shared" si="21"/>
        <v>0.2</v>
      </c>
      <c r="AJ10" s="35">
        <f t="shared" si="22"/>
        <v>2.65</v>
      </c>
      <c r="AK10" s="35">
        <f t="shared" si="23"/>
        <v>1.425</v>
      </c>
      <c r="AL10" s="35">
        <f t="shared" si="24"/>
        <v>-0.32042074861317127</v>
      </c>
      <c r="AM10" s="35">
        <f t="shared" si="25"/>
        <v>0.2</v>
      </c>
      <c r="AN10" s="35">
        <f t="shared" si="26"/>
        <v>1.425</v>
      </c>
      <c r="AO10" s="35">
        <f t="shared" si="27"/>
        <v>0.8125</v>
      </c>
      <c r="AP10" s="35">
        <f t="shared" si="28"/>
        <v>0.63946768693366707</v>
      </c>
      <c r="AQ10" s="35">
        <f t="shared" si="29"/>
        <v>0.8125</v>
      </c>
      <c r="AR10" s="35">
        <f t="shared" si="30"/>
        <v>1.425</v>
      </c>
      <c r="AS10" s="35">
        <f t="shared" si="31"/>
        <v>1.1187499999999999</v>
      </c>
      <c r="AT10" s="35">
        <f t="shared" si="32"/>
        <v>3.0769074904577476E-3</v>
      </c>
      <c r="AU10" s="35">
        <f t="shared" si="33"/>
        <v>1.1187499999999999</v>
      </c>
      <c r="AV10" s="35">
        <f t="shared" si="34"/>
        <v>1.425</v>
      </c>
      <c r="AW10" s="35">
        <f t="shared" si="35"/>
        <v>1.2718750000000001</v>
      </c>
      <c r="AX10" s="35">
        <f t="shared" si="36"/>
        <v>-0.1822109146263976</v>
      </c>
      <c r="AY10" s="35">
        <f t="shared" si="37"/>
        <v>1.1187499999999999</v>
      </c>
      <c r="AZ10" s="35">
        <f t="shared" si="38"/>
        <v>1.2718750000000001</v>
      </c>
      <c r="BA10" s="35">
        <f t="shared" si="39"/>
        <v>1.1953125</v>
      </c>
      <c r="BB10" s="35">
        <f t="shared" si="40"/>
        <v>-9.6769241604354295E-2</v>
      </c>
      <c r="BC10" s="35">
        <f t="shared" si="41"/>
        <v>1.1187499999999999</v>
      </c>
      <c r="BD10" s="35">
        <f t="shared" si="42"/>
        <v>1.1953125</v>
      </c>
      <c r="BE10" s="35">
        <f t="shared" si="43"/>
        <v>1.15703125</v>
      </c>
      <c r="BF10" s="35">
        <f t="shared" si="44"/>
        <v>-4.8851726851192323E-2</v>
      </c>
      <c r="BG10" s="35">
        <f t="shared" si="45"/>
        <v>1.1187499999999999</v>
      </c>
      <c r="BH10" s="35">
        <f t="shared" si="46"/>
        <v>1.15703125</v>
      </c>
      <c r="BI10" s="35">
        <f t="shared" si="47"/>
        <v>1.1378906249999998</v>
      </c>
      <c r="BJ10" s="35">
        <f t="shared" si="48"/>
        <v>-2.3417534869753176E-2</v>
      </c>
      <c r="BK10" s="35">
        <f t="shared" si="49"/>
        <v>1.1187499999999999</v>
      </c>
      <c r="BL10" s="35">
        <f t="shared" si="50"/>
        <v>1.1378906249999998</v>
      </c>
      <c r="BM10" s="35">
        <f t="shared" si="51"/>
        <v>1.1283203124999999</v>
      </c>
      <c r="BN10" s="35">
        <f t="shared" si="52"/>
        <v>-1.0306653740245308E-2</v>
      </c>
      <c r="BO10" s="35">
        <f t="shared" si="53"/>
        <v>1.1187499999999999</v>
      </c>
      <c r="BP10" s="35">
        <f t="shared" si="54"/>
        <v>1.1283203124999999</v>
      </c>
      <c r="BQ10" s="35">
        <f t="shared" si="55"/>
        <v>1.12353515625</v>
      </c>
      <c r="BR10" s="35">
        <f t="shared" si="56"/>
        <v>-3.6494485616813677E-3</v>
      </c>
      <c r="BS10" s="35">
        <f t="shared" si="57"/>
        <v>1.1187499999999999</v>
      </c>
      <c r="BT10" s="35">
        <f t="shared" si="58"/>
        <v>1.12353515625</v>
      </c>
      <c r="BU10" s="35">
        <f t="shared" si="59"/>
        <v>1.121142578125</v>
      </c>
      <c r="BV10" s="35">
        <f t="shared" si="60"/>
        <v>-2.9497661901922712E-4</v>
      </c>
      <c r="BW10" s="35">
        <f t="shared" si="61"/>
        <v>1.1187499999999999</v>
      </c>
      <c r="BX10" s="35">
        <f t="shared" si="62"/>
        <v>1.121142578125</v>
      </c>
      <c r="BY10" s="35">
        <f t="shared" si="63"/>
        <v>1.1199462890624998</v>
      </c>
      <c r="BZ10" s="35">
        <f t="shared" si="64"/>
        <v>1.3887810784465326E-3</v>
      </c>
      <c r="CA10" s="35">
        <f t="shared" si="65"/>
        <v>1.1199462890624998</v>
      </c>
      <c r="CB10" s="35">
        <f t="shared" si="66"/>
        <v>1.121142578125</v>
      </c>
      <c r="CC10" s="35">
        <f t="shared" si="67"/>
        <v>1.12054443359375</v>
      </c>
      <c r="CD10" s="35">
        <f t="shared" si="68"/>
        <v>5.4635712257100622E-4</v>
      </c>
      <c r="CE10" s="35">
        <f t="shared" si="69"/>
        <v>1.12054443359375</v>
      </c>
      <c r="CF10" s="35">
        <f t="shared" si="70"/>
        <v>1.121142578125</v>
      </c>
      <c r="CG10" s="35">
        <f t="shared" si="71"/>
        <v>1.1208435058593751</v>
      </c>
      <c r="CH10" s="35">
        <f t="shared" si="72"/>
        <v>1.2555409753201019E-4</v>
      </c>
      <c r="CI10" s="35">
        <f t="shared" si="73"/>
        <v>1.1208435058593751</v>
      </c>
      <c r="CJ10" s="35">
        <f t="shared" si="74"/>
        <v>1.121142578125</v>
      </c>
      <c r="CK10" s="35">
        <f t="shared" si="75"/>
        <v>1.1209930419921874</v>
      </c>
      <c r="CL10" s="35">
        <f t="shared" si="76"/>
        <v>-8.4745284000931065E-5</v>
      </c>
      <c r="CM10" s="35">
        <f t="shared" si="77"/>
        <v>1.1208435058593751</v>
      </c>
      <c r="CN10" s="35">
        <f t="shared" si="78"/>
        <v>1.1209930419921874</v>
      </c>
      <c r="CO10" s="35">
        <f t="shared" si="79"/>
        <v>1.1209182739257813</v>
      </c>
      <c r="CP10" s="35">
        <f t="shared" si="80"/>
        <v>2.0395899038794241E-5</v>
      </c>
      <c r="CQ10" s="35">
        <f t="shared" si="81"/>
        <v>1.1209182739257813</v>
      </c>
      <c r="CR10" s="35">
        <f t="shared" si="82"/>
        <v>1.1209930419921874</v>
      </c>
      <c r="CS10" s="35">
        <f t="shared" si="83"/>
        <v>1.1209556579589843</v>
      </c>
      <c r="CT10" s="35">
        <f t="shared" si="84"/>
        <v>-3.2176819173668214E-5</v>
      </c>
      <c r="CU10" s="35">
        <f t="shared" si="85"/>
        <v>1.1209182739257813</v>
      </c>
      <c r="CV10" s="35">
        <f t="shared" si="86"/>
        <v>1.1209556579589843</v>
      </c>
      <c r="CW10" s="35">
        <f t="shared" si="87"/>
        <v>1.1209369659423829</v>
      </c>
      <c r="CX10" s="35">
        <f t="shared" si="88"/>
        <v>-5.89099177061847E-6</v>
      </c>
      <c r="CY10" s="35">
        <f t="shared" si="89"/>
        <v>1.1209182739257813</v>
      </c>
      <c r="CZ10" s="35">
        <f t="shared" si="90"/>
        <v>1.1209369659423829</v>
      </c>
      <c r="DA10" s="35">
        <f t="shared" si="91"/>
        <v>1.1209276199340821</v>
      </c>
      <c r="DB10" s="35">
        <f t="shared" si="92"/>
        <v>7.2523207046426563E-6</v>
      </c>
      <c r="DC10" s="35">
        <f t="shared" si="93"/>
        <v>1.1209276199340821</v>
      </c>
      <c r="DD10" s="35">
        <f t="shared" si="94"/>
        <v>1.1209369659423829</v>
      </c>
      <c r="DE10" s="35">
        <f t="shared" si="95"/>
        <v>1.1209322929382326</v>
      </c>
      <c r="DF10" s="35">
        <f t="shared" si="96"/>
        <v>6.8063123492834166E-7</v>
      </c>
      <c r="DG10" s="35">
        <f t="shared" si="97"/>
        <v>1.1209322929382326</v>
      </c>
      <c r="DH10" s="35">
        <f t="shared" si="98"/>
        <v>1.1209369659423829</v>
      </c>
      <c r="DI10" s="35">
        <f t="shared" si="99"/>
        <v>1.1209346294403078</v>
      </c>
      <c r="DJ10" s="35">
        <f t="shared" si="100"/>
        <v>-2.6051885756439574E-6</v>
      </c>
      <c r="DK10" s="35">
        <f t="shared" si="101"/>
        <v>1.1209322929382326</v>
      </c>
      <c r="DL10" s="35">
        <f t="shared" si="102"/>
        <v>1.1209346294403078</v>
      </c>
      <c r="DM10" s="35">
        <f t="shared" si="103"/>
        <v>1.1209334611892703</v>
      </c>
      <c r="DN10" s="35">
        <f t="shared" si="104"/>
        <v>-9.6228074764059812E-7</v>
      </c>
      <c r="DO10" s="35">
        <f t="shared" si="105"/>
        <v>1.1209322929382326</v>
      </c>
      <c r="DP10" s="35">
        <f t="shared" si="106"/>
        <v>1.1209334611892703</v>
      </c>
      <c r="DQ10" s="35">
        <f t="shared" si="107"/>
        <v>1.1209328770637514</v>
      </c>
      <c r="DR10" s="35">
        <f t="shared" si="108"/>
        <v>-1.408252755519257E-7</v>
      </c>
      <c r="DS10" s="35">
        <f t="shared" si="109"/>
        <v>1.1209322929382326</v>
      </c>
      <c r="DT10" s="35">
        <f t="shared" si="110"/>
        <v>1.1209328770637514</v>
      </c>
      <c r="DU10" s="35">
        <f t="shared" si="111"/>
        <v>1.1209325850009919</v>
      </c>
      <c r="DV10" s="35">
        <f t="shared" si="112"/>
        <v>2.6990285006966985E-7</v>
      </c>
      <c r="DW10" s="35">
        <f t="shared" si="113"/>
        <v>1.1209325850009919</v>
      </c>
      <c r="DX10" s="35">
        <f t="shared" si="114"/>
        <v>1.1209328770637514</v>
      </c>
      <c r="DY10" s="35">
        <f t="shared" si="115"/>
        <v>1.1209327310323718</v>
      </c>
      <c r="DZ10" s="35">
        <f t="shared" si="116"/>
        <v>6.4538754784848607E-8</v>
      </c>
      <c r="EA10" s="35">
        <f t="shared" si="117"/>
        <v>1.1209327310323718</v>
      </c>
      <c r="EB10" s="35">
        <f t="shared" si="118"/>
        <v>1.1209328770637514</v>
      </c>
      <c r="EC10" s="35">
        <f t="shared" si="119"/>
        <v>1.1209328040480617</v>
      </c>
      <c r="ED10" s="35">
        <f t="shared" si="120"/>
        <v>-3.8143268765722382E-8</v>
      </c>
      <c r="EE10" s="35">
        <f t="shared" si="121"/>
        <v>1.1209327310323718</v>
      </c>
      <c r="EF10" s="35">
        <f t="shared" si="122"/>
        <v>1.1209328040480617</v>
      </c>
      <c r="EG10" s="35">
        <f t="shared" si="123"/>
        <v>1.1209327675402168</v>
      </c>
      <c r="EH10" s="35">
        <f t="shared" si="124"/>
        <v>1.319774112218397E-8</v>
      </c>
      <c r="EI10" s="35">
        <f t="shared" si="125"/>
        <v>1.1209327675402168</v>
      </c>
      <c r="EJ10" s="35">
        <f t="shared" si="126"/>
        <v>1.1209328040480617</v>
      </c>
      <c r="EK10" s="35">
        <f t="shared" si="127"/>
        <v>1.1209327857941394</v>
      </c>
      <c r="EL10" s="35">
        <f t="shared" si="128"/>
        <v>-1.2472764709947626E-8</v>
      </c>
      <c r="EM10" s="35">
        <f t="shared" si="129"/>
        <v>1.1209327675402168</v>
      </c>
      <c r="EN10" s="35">
        <f t="shared" si="130"/>
        <v>1.1209327857941394</v>
      </c>
      <c r="EO10" s="35">
        <f t="shared" si="131"/>
        <v>1.1209327766671779</v>
      </c>
      <c r="EP10" s="35">
        <f t="shared" si="132"/>
        <v>3.6248826162932346E-10</v>
      </c>
      <c r="EQ10" s="35">
        <f t="shared" si="133"/>
        <v>1.1209327766671779</v>
      </c>
      <c r="ER10" s="35">
        <f t="shared" si="134"/>
        <v>1.1209327857941394</v>
      </c>
      <c r="ES10" s="35">
        <f t="shared" si="135"/>
        <v>1.1209327812306586</v>
      </c>
      <c r="ET10" s="35">
        <f t="shared" si="136"/>
        <v>-6.0551382796703024E-9</v>
      </c>
      <c r="EU10" s="35">
        <f t="shared" si="137"/>
        <v>1.1209327766671779</v>
      </c>
      <c r="EV10" s="35">
        <f t="shared" si="138"/>
        <v>1.1209327812306586</v>
      </c>
      <c r="EW10" s="35">
        <f t="shared" si="139"/>
        <v>1.1209327789489183</v>
      </c>
      <c r="EX10" s="35">
        <f t="shared" si="140"/>
        <v>-2.8463249535093382E-9</v>
      </c>
      <c r="EY10" s="35">
        <f t="shared" si="141"/>
        <v>1.1209327766671779</v>
      </c>
      <c r="EZ10" s="35">
        <f t="shared" si="142"/>
        <v>1.1209327789489183</v>
      </c>
      <c r="FA10" s="10">
        <v>9.9999999999999995E-7</v>
      </c>
      <c r="FB10" s="10">
        <v>0.99990000000000001</v>
      </c>
      <c r="FC10" s="35">
        <f t="shared" si="143"/>
        <v>0.49995050000000002</v>
      </c>
      <c r="FD10" s="35">
        <f t="shared" si="144"/>
        <v>-0.48991479563750973</v>
      </c>
      <c r="FE10" s="35">
        <f t="shared" si="145"/>
        <v>9.9999999999999995E-7</v>
      </c>
      <c r="FF10" s="35">
        <f t="shared" si="146"/>
        <v>0.49995050000000002</v>
      </c>
      <c r="FG10" s="35">
        <f t="shared" si="147"/>
        <v>0.24997575</v>
      </c>
      <c r="FH10" s="35">
        <f t="shared" si="148"/>
        <v>-0.32543789792748345</v>
      </c>
      <c r="FI10" s="35">
        <f t="shared" si="149"/>
        <v>9.9999999999999995E-7</v>
      </c>
      <c r="FJ10" s="35">
        <f t="shared" si="150"/>
        <v>0.24997575</v>
      </c>
      <c r="FK10" s="35">
        <f t="shared" si="151"/>
        <v>0.124988375</v>
      </c>
      <c r="FL10" s="35">
        <f t="shared" si="152"/>
        <v>-0.2043559629320808</v>
      </c>
      <c r="FM10" s="35">
        <f t="shared" si="153"/>
        <v>9.9999999999999995E-7</v>
      </c>
      <c r="FN10" s="35">
        <f t="shared" si="154"/>
        <v>0.124988375</v>
      </c>
      <c r="FO10" s="35">
        <f t="shared" si="155"/>
        <v>6.24946875E-2</v>
      </c>
      <c r="FP10" s="35">
        <f t="shared" si="156"/>
        <v>-0.10855846116333956</v>
      </c>
      <c r="FQ10" s="35">
        <f t="shared" si="157"/>
        <v>9.9999999999999995E-7</v>
      </c>
      <c r="FR10" s="35">
        <f t="shared" si="158"/>
        <v>6.24946875E-2</v>
      </c>
      <c r="FS10" s="35">
        <f t="shared" si="159"/>
        <v>3.124784375E-2</v>
      </c>
      <c r="FT10" s="35">
        <f t="shared" si="160"/>
        <v>-3.5457590290760899E-2</v>
      </c>
      <c r="FU10" s="35">
        <f t="shared" si="161"/>
        <v>9.9999999999999995E-7</v>
      </c>
      <c r="FV10" s="35">
        <f t="shared" si="162"/>
        <v>3.124784375E-2</v>
      </c>
      <c r="FW10" s="35">
        <f t="shared" si="163"/>
        <v>1.5624421875000001E-2</v>
      </c>
      <c r="FX10" s="35">
        <f t="shared" si="164"/>
        <v>1.550056534440114E-2</v>
      </c>
      <c r="FY10" s="35">
        <f t="shared" si="165"/>
        <v>1.5624421875000001E-2</v>
      </c>
      <c r="FZ10" s="35">
        <f t="shared" si="166"/>
        <v>3.124784375E-2</v>
      </c>
      <c r="GA10" s="35">
        <f t="shared" si="167"/>
        <v>2.34361328125E-2</v>
      </c>
      <c r="GB10" s="35">
        <f t="shared" si="168"/>
        <v>-1.1814835766158938E-2</v>
      </c>
      <c r="GC10" s="35">
        <f t="shared" si="169"/>
        <v>1.5624421875000001E-2</v>
      </c>
      <c r="GD10" s="35">
        <f t="shared" si="170"/>
        <v>2.34361328125E-2</v>
      </c>
      <c r="GE10" s="35">
        <f t="shared" si="171"/>
        <v>1.9530277343749999E-2</v>
      </c>
      <c r="GF10" s="35">
        <f t="shared" si="172"/>
        <v>1.2927043514328052E-3</v>
      </c>
      <c r="GG10" s="35">
        <f t="shared" si="173"/>
        <v>1.9530277343749999E-2</v>
      </c>
      <c r="GH10" s="35">
        <f t="shared" si="174"/>
        <v>2.34361328125E-2</v>
      </c>
      <c r="GI10" s="35">
        <f t="shared" si="175"/>
        <v>2.1483205078124998E-2</v>
      </c>
      <c r="GJ10" s="35">
        <f t="shared" si="176"/>
        <v>-5.3847605407864041E-3</v>
      </c>
      <c r="GK10" s="35">
        <f t="shared" si="177"/>
        <v>1.9530277343749999E-2</v>
      </c>
      <c r="GL10" s="35">
        <f t="shared" si="178"/>
        <v>2.1483205078124998E-2</v>
      </c>
      <c r="GM10" s="35">
        <f t="shared" si="179"/>
        <v>2.0506741210937499E-2</v>
      </c>
      <c r="GN10" s="35">
        <f t="shared" si="180"/>
        <v>-2.0784840213035061E-3</v>
      </c>
      <c r="GO10" s="35">
        <f t="shared" si="181"/>
        <v>1.9530277343749999E-2</v>
      </c>
      <c r="GP10" s="35">
        <f t="shared" si="182"/>
        <v>2.0506741210937499E-2</v>
      </c>
      <c r="GQ10" s="35">
        <f t="shared" si="183"/>
        <v>2.0018509277343749E-2</v>
      </c>
      <c r="GR10" s="35">
        <f t="shared" si="184"/>
        <v>-4.0121051713193356E-4</v>
      </c>
      <c r="GS10" s="35">
        <f t="shared" si="185"/>
        <v>1.9530277343749999E-2</v>
      </c>
      <c r="GT10" s="35">
        <f t="shared" si="186"/>
        <v>2.0018509277343749E-2</v>
      </c>
      <c r="GU10" s="35">
        <f t="shared" si="187"/>
        <v>1.9774393310546874E-2</v>
      </c>
      <c r="GV10" s="35">
        <f t="shared" si="188"/>
        <v>4.4363986295370417E-4</v>
      </c>
      <c r="GW10" s="35">
        <f t="shared" si="189"/>
        <v>1.9774393310546874E-2</v>
      </c>
      <c r="GX10" s="35">
        <f t="shared" si="190"/>
        <v>2.0018509277343749E-2</v>
      </c>
      <c r="GY10" s="35">
        <f t="shared" si="191"/>
        <v>1.9896451293945312E-2</v>
      </c>
      <c r="GZ10" s="35">
        <f t="shared" si="192"/>
        <v>2.0691318634691314E-5</v>
      </c>
      <c r="HA10" s="35">
        <f t="shared" si="193"/>
        <v>1.9896451293945312E-2</v>
      </c>
      <c r="HB10" s="35">
        <f t="shared" si="194"/>
        <v>2.0018509277343749E-2</v>
      </c>
      <c r="HC10" s="35">
        <f t="shared" si="195"/>
        <v>1.9957480285644529E-2</v>
      </c>
      <c r="HD10" s="35">
        <f t="shared" si="196"/>
        <v>-1.9039001599763239E-4</v>
      </c>
      <c r="HE10" s="35">
        <f t="shared" si="197"/>
        <v>1.9896451293945312E-2</v>
      </c>
      <c r="HF10" s="35">
        <f t="shared" si="198"/>
        <v>1.9957480285644529E-2</v>
      </c>
      <c r="HG10" s="35">
        <f t="shared" si="199"/>
        <v>1.9926965789794922E-2</v>
      </c>
      <c r="HH10" s="35">
        <f t="shared" si="200"/>
        <v>-8.4882005404463001E-5</v>
      </c>
      <c r="HI10" s="35">
        <f t="shared" si="201"/>
        <v>1.9896451293945312E-2</v>
      </c>
      <c r="HJ10" s="35">
        <f t="shared" si="202"/>
        <v>1.9926965789794922E-2</v>
      </c>
      <c r="HK10" s="35">
        <f t="shared" si="203"/>
        <v>1.9911708541870118E-2</v>
      </c>
      <c r="HL10" s="35">
        <f t="shared" si="204"/>
        <v>-3.2103514149395274E-5</v>
      </c>
      <c r="HM10" s="35">
        <f t="shared" si="205"/>
        <v>1.9896451293945312E-2</v>
      </c>
      <c r="HN10" s="35">
        <f t="shared" si="206"/>
        <v>1.9911708541870118E-2</v>
      </c>
      <c r="HO10" s="35">
        <f t="shared" si="207"/>
        <v>1.9904079917907713E-2</v>
      </c>
      <c r="HP10" s="35">
        <f t="shared" si="208"/>
        <v>-5.7081412725423775E-6</v>
      </c>
      <c r="HQ10" s="35">
        <f t="shared" si="209"/>
        <v>1.9896451293945312E-2</v>
      </c>
      <c r="HR10" s="35">
        <f t="shared" si="210"/>
        <v>1.9904079917907713E-2</v>
      </c>
      <c r="HS10" s="35">
        <f t="shared" si="211"/>
        <v>1.9900265605926511E-2</v>
      </c>
      <c r="HT10" s="35">
        <f t="shared" si="212"/>
        <v>7.4910776990400052E-6</v>
      </c>
      <c r="HU10" s="35">
        <f t="shared" si="213"/>
        <v>1.9900265605926511E-2</v>
      </c>
      <c r="HV10" s="35">
        <f t="shared" si="214"/>
        <v>1.9904079917907713E-2</v>
      </c>
      <c r="HW10" s="35">
        <f t="shared" si="215"/>
        <v>1.9902172761917112E-2</v>
      </c>
      <c r="HX10" s="35">
        <f t="shared" si="216"/>
        <v>8.9134048097960772E-7</v>
      </c>
      <c r="HY10" s="35">
        <f t="shared" si="217"/>
        <v>1.9902172761917112E-2</v>
      </c>
      <c r="HZ10" s="35">
        <f t="shared" si="218"/>
        <v>1.9904079917907713E-2</v>
      </c>
      <c r="IA10" s="35">
        <f t="shared" si="219"/>
        <v>1.9903126339912411E-2</v>
      </c>
      <c r="IB10" s="35">
        <f t="shared" si="220"/>
        <v>-2.4084323275719299E-6</v>
      </c>
      <c r="IC10" s="35">
        <f t="shared" si="221"/>
        <v>1.9902172761917112E-2</v>
      </c>
      <c r="ID10" s="35">
        <f t="shared" si="222"/>
        <v>1.9903126339912411E-2</v>
      </c>
      <c r="IE10" s="35">
        <f t="shared" si="223"/>
        <v>1.990264955091476E-2</v>
      </c>
      <c r="IF10" s="35">
        <f t="shared" si="224"/>
        <v>-7.5855390635481967E-7</v>
      </c>
      <c r="IG10" s="35">
        <f t="shared" si="225"/>
        <v>1.9902172761917112E-2</v>
      </c>
      <c r="IH10" s="35">
        <f t="shared" si="226"/>
        <v>1.990264955091476E-2</v>
      </c>
      <c r="II10" s="35">
        <f t="shared" si="227"/>
        <v>1.9902411156415938E-2</v>
      </c>
      <c r="IJ10" s="35">
        <f t="shared" si="228"/>
        <v>6.6391291575484956E-8</v>
      </c>
      <c r="IK10" s="35">
        <f t="shared" si="229"/>
        <v>1.9902411156415938E-2</v>
      </c>
      <c r="IL10" s="35">
        <f t="shared" si="230"/>
        <v>1.990264955091476E-2</v>
      </c>
      <c r="IM10" s="35">
        <f t="shared" si="231"/>
        <v>1.9902530353665349E-2</v>
      </c>
      <c r="IN10" s="35">
        <f t="shared" si="232"/>
        <v>-3.4608180654593923E-7</v>
      </c>
      <c r="IO10" s="35">
        <f t="shared" si="233"/>
        <v>1.9902411156415938E-2</v>
      </c>
      <c r="IP10" s="35">
        <f t="shared" si="234"/>
        <v>1.9902530353665349E-2</v>
      </c>
      <c r="IQ10" s="35">
        <f t="shared" si="235"/>
        <v>1.9902470755040643E-2</v>
      </c>
      <c r="IR10" s="35">
        <f t="shared" si="236"/>
        <v>-1.398453822742951E-7</v>
      </c>
      <c r="IS10" s="35">
        <f t="shared" si="237"/>
        <v>1.9902411156415938E-2</v>
      </c>
      <c r="IT10" s="35">
        <f t="shared" si="238"/>
        <v>1.9902470755040643E-2</v>
      </c>
      <c r="IU10" s="35">
        <f t="shared" si="239"/>
        <v>1.9902440955728289E-2</v>
      </c>
      <c r="IV10" s="35">
        <f t="shared" si="240"/>
        <v>-3.6727076602183217E-8</v>
      </c>
      <c r="IW10" s="35">
        <f t="shared" si="241"/>
        <v>1.9902411156415938E-2</v>
      </c>
      <c r="IX10" s="35">
        <f t="shared" si="242"/>
        <v>1.9902440955728289E-2</v>
      </c>
      <c r="IY10" s="35">
        <f t="shared" si="243"/>
        <v>1.9902426056072113E-2</v>
      </c>
      <c r="IZ10" s="35">
        <f t="shared" si="244"/>
        <v>1.4832099548556243E-8</v>
      </c>
      <c r="JA10" s="35">
        <f t="shared" si="245"/>
        <v>1.9902426056072113E-2</v>
      </c>
      <c r="JB10" s="35">
        <f t="shared" si="246"/>
        <v>1.9902440955728289E-2</v>
      </c>
      <c r="JC10" s="35">
        <f t="shared" si="247"/>
        <v>1.9902433505900201E-2</v>
      </c>
      <c r="JD10" s="35">
        <f t="shared" si="248"/>
        <v>-1.0947490358681478E-8</v>
      </c>
      <c r="JE10" s="35">
        <f t="shared" si="249"/>
        <v>1.9902426056072113E-2</v>
      </c>
      <c r="JF10" s="35">
        <f t="shared" si="250"/>
        <v>1.9902433505900201E-2</v>
      </c>
      <c r="JG10" s="35">
        <f t="shared" si="251"/>
        <v>1.9902429780986157E-2</v>
      </c>
      <c r="JH10" s="35">
        <f t="shared" si="252"/>
        <v>1.9423040953370219E-9</v>
      </c>
      <c r="JI10" s="35">
        <f t="shared" si="253"/>
        <v>1.9902429780986157E-2</v>
      </c>
      <c r="JJ10" s="35">
        <f t="shared" si="254"/>
        <v>1.9902433505900201E-2</v>
      </c>
      <c r="JK10" s="35">
        <f t="shared" si="255"/>
        <v>1.9902431643443179E-2</v>
      </c>
      <c r="JL10" s="35">
        <f t="shared" si="256"/>
        <v>-4.5025932982056815E-9</v>
      </c>
      <c r="JM10" s="35">
        <f t="shared" si="257"/>
        <v>1.9902429780986157E-2</v>
      </c>
      <c r="JN10" s="35">
        <f t="shared" si="258"/>
        <v>1.9902431643443179E-2</v>
      </c>
      <c r="JO10" s="35">
        <f t="shared" si="259"/>
        <v>1.9902430712214668E-2</v>
      </c>
      <c r="JP10" s="35">
        <f t="shared" si="260"/>
        <v>-1.2801445459231786E-9</v>
      </c>
      <c r="JQ10" s="35">
        <f t="shared" si="261"/>
        <v>1.9902429780986157E-2</v>
      </c>
      <c r="JR10" s="35">
        <f t="shared" si="262"/>
        <v>1.9902430712214668E-2</v>
      </c>
      <c r="JS10" s="35">
        <f t="shared" si="263"/>
        <v>1.9902430246600412E-2</v>
      </c>
      <c r="JT10" s="35">
        <f t="shared" si="264"/>
        <v>3.3107983021807286E-10</v>
      </c>
      <c r="JU10" s="35">
        <f t="shared" si="265"/>
        <v>1.9902430246600412E-2</v>
      </c>
      <c r="JV10" s="35">
        <f t="shared" si="266"/>
        <v>1.9902430712214668E-2</v>
      </c>
      <c r="JW10" s="35">
        <f t="shared" si="267"/>
        <v>1.990243047940754E-2</v>
      </c>
      <c r="JX10" s="35">
        <f t="shared" si="268"/>
        <v>-4.7453241336370411E-10</v>
      </c>
      <c r="JY10" s="35">
        <f t="shared" si="269"/>
        <v>1.9902430246600412E-2</v>
      </c>
      <c r="JZ10" s="35">
        <f t="shared" si="270"/>
        <v>1.990243047940754E-2</v>
      </c>
      <c r="KA10" s="35">
        <f t="shared" si="271"/>
        <v>1.120932777808048</v>
      </c>
      <c r="KB10" s="35">
        <f t="shared" si="272"/>
        <v>1.9902430363003976E-2</v>
      </c>
    </row>
    <row r="11" spans="1:288" ht="15" customHeight="1" x14ac:dyDescent="0.3">
      <c r="A11" s="30">
        <f>Odds_Input!A11</f>
        <v>3</v>
      </c>
      <c r="B11" s="7" t="str">
        <f>Odds_Input!B11</f>
        <v>TITLE</v>
      </c>
      <c r="C11" s="7" t="str">
        <f>Odds_Input!C11</f>
        <v>Charlotte Hornets</v>
      </c>
      <c r="D11" s="7" t="str">
        <f>Odds_Input!D11</f>
        <v>YES</v>
      </c>
      <c r="E11" s="31" t="str">
        <f>Odds_Input!E11</f>
        <v>-</v>
      </c>
      <c r="F11" s="32">
        <f>Odds_Input!F11</f>
        <v>8600</v>
      </c>
      <c r="G11" s="6" t="str">
        <f t="shared" si="0"/>
        <v>TITLE</v>
      </c>
      <c r="H11" s="14">
        <f t="shared" si="1"/>
        <v>87</v>
      </c>
      <c r="I11" s="33">
        <f t="shared" si="2"/>
        <v>1.1494252873563218E-2</v>
      </c>
      <c r="J11" s="17">
        <f t="shared" si="3"/>
        <v>1</v>
      </c>
      <c r="K11" s="17">
        <f t="shared" si="4"/>
        <v>30</v>
      </c>
      <c r="L11" s="18">
        <f t="shared" si="5"/>
        <v>1.252565192422864</v>
      </c>
      <c r="M11" s="34">
        <f t="shared" si="6"/>
        <v>0.25256519242286402</v>
      </c>
      <c r="N11" s="33">
        <f t="shared" si="7"/>
        <v>9.1765705634288264E-3</v>
      </c>
      <c r="O11" s="33">
        <f t="shared" si="8"/>
        <v>7.3799039108440332E-3</v>
      </c>
      <c r="P11" s="33">
        <f t="shared" si="9"/>
        <v>6.1544724355321713E-3</v>
      </c>
      <c r="Q11" s="33">
        <f t="shared" si="10"/>
        <v>6.1544724355321713E-3</v>
      </c>
      <c r="R11" s="35">
        <f t="shared" si="11"/>
        <v>1.0992153287166726</v>
      </c>
      <c r="S11" s="35">
        <f t="shared" si="12"/>
        <v>1.1051948455485863E-2</v>
      </c>
      <c r="X11" s="6" t="s">
        <v>271</v>
      </c>
      <c r="Y11" s="6">
        <f t="shared" si="13"/>
        <v>1</v>
      </c>
      <c r="Z11" s="18">
        <f t="shared" si="14"/>
        <v>1.1462829306340507</v>
      </c>
      <c r="AA11" s="10">
        <v>0.2</v>
      </c>
      <c r="AB11" s="10">
        <v>10</v>
      </c>
      <c r="AC11" s="35">
        <f t="shared" si="15"/>
        <v>5.0999999999999996</v>
      </c>
      <c r="AD11" s="35">
        <f t="shared" si="16"/>
        <v>-0.98795520143225779</v>
      </c>
      <c r="AE11" s="35">
        <f t="shared" si="17"/>
        <v>0.2</v>
      </c>
      <c r="AF11" s="35">
        <f t="shared" si="18"/>
        <v>5.0999999999999996</v>
      </c>
      <c r="AG11" s="35">
        <f t="shared" si="19"/>
        <v>2.65</v>
      </c>
      <c r="AH11" s="35">
        <f t="shared" si="20"/>
        <v>-0.82681144081664915</v>
      </c>
      <c r="AI11" s="35">
        <f t="shared" si="21"/>
        <v>0.2</v>
      </c>
      <c r="AJ11" s="35">
        <f t="shared" si="22"/>
        <v>2.65</v>
      </c>
      <c r="AK11" s="35">
        <f t="shared" si="23"/>
        <v>1.425</v>
      </c>
      <c r="AL11" s="35">
        <f t="shared" si="24"/>
        <v>-0.30736844300434929</v>
      </c>
      <c r="AM11" s="35">
        <f t="shared" si="25"/>
        <v>0.2</v>
      </c>
      <c r="AN11" s="35">
        <f t="shared" si="26"/>
        <v>1.425</v>
      </c>
      <c r="AO11" s="35">
        <f t="shared" si="27"/>
        <v>0.8125</v>
      </c>
      <c r="AP11" s="35">
        <f t="shared" si="28"/>
        <v>0.44313062543434056</v>
      </c>
      <c r="AQ11" s="35">
        <f t="shared" si="29"/>
        <v>0.8125</v>
      </c>
      <c r="AR11" s="35">
        <f t="shared" si="30"/>
        <v>1.425</v>
      </c>
      <c r="AS11" s="35">
        <f t="shared" si="31"/>
        <v>1.1187499999999999</v>
      </c>
      <c r="AT11" s="35">
        <f t="shared" si="32"/>
        <v>-6.2712775996526249E-3</v>
      </c>
      <c r="AU11" s="35">
        <f t="shared" si="33"/>
        <v>0.8125</v>
      </c>
      <c r="AV11" s="35">
        <f t="shared" si="34"/>
        <v>1.1187499999999999</v>
      </c>
      <c r="AW11" s="35">
        <f t="shared" si="35"/>
        <v>0.96562499999999996</v>
      </c>
      <c r="AX11" s="35">
        <f t="shared" si="36"/>
        <v>0.19512969307070893</v>
      </c>
      <c r="AY11" s="35">
        <f t="shared" si="37"/>
        <v>0.96562499999999996</v>
      </c>
      <c r="AZ11" s="35">
        <f t="shared" si="38"/>
        <v>1.1187499999999999</v>
      </c>
      <c r="BA11" s="35">
        <f t="shared" si="39"/>
        <v>1.0421874999999998</v>
      </c>
      <c r="BB11" s="35">
        <f t="shared" si="40"/>
        <v>8.9328253039755445E-2</v>
      </c>
      <c r="BC11" s="35">
        <f t="shared" si="41"/>
        <v>1.0421874999999998</v>
      </c>
      <c r="BD11" s="35">
        <f t="shared" si="42"/>
        <v>1.1187499999999999</v>
      </c>
      <c r="BE11" s="35">
        <f t="shared" si="43"/>
        <v>1.0804687499999999</v>
      </c>
      <c r="BF11" s="35">
        <f t="shared" si="44"/>
        <v>4.0329900824332965E-2</v>
      </c>
      <c r="BG11" s="35">
        <f t="shared" si="45"/>
        <v>1.0804687499999999</v>
      </c>
      <c r="BH11" s="35">
        <f t="shared" si="46"/>
        <v>1.1187499999999999</v>
      </c>
      <c r="BI11" s="35">
        <f t="shared" si="47"/>
        <v>1.099609375</v>
      </c>
      <c r="BJ11" s="35">
        <f t="shared" si="48"/>
        <v>1.673854694637833E-2</v>
      </c>
      <c r="BK11" s="35">
        <f t="shared" si="49"/>
        <v>1.099609375</v>
      </c>
      <c r="BL11" s="35">
        <f t="shared" si="50"/>
        <v>1.1187499999999999</v>
      </c>
      <c r="BM11" s="35">
        <f t="shared" si="51"/>
        <v>1.1091796875</v>
      </c>
      <c r="BN11" s="35">
        <f t="shared" si="52"/>
        <v>5.1620141387818119E-3</v>
      </c>
      <c r="BO11" s="35">
        <f t="shared" si="53"/>
        <v>1.1091796875</v>
      </c>
      <c r="BP11" s="35">
        <f t="shared" si="54"/>
        <v>1.1187499999999999</v>
      </c>
      <c r="BQ11" s="35">
        <f t="shared" si="55"/>
        <v>1.1139648437499998</v>
      </c>
      <c r="BR11" s="35">
        <f t="shared" si="56"/>
        <v>-5.7240539764691345E-4</v>
      </c>
      <c r="BS11" s="35">
        <f t="shared" si="57"/>
        <v>1.1091796875</v>
      </c>
      <c r="BT11" s="35">
        <f t="shared" si="58"/>
        <v>1.1139648437499998</v>
      </c>
      <c r="BU11" s="35">
        <f t="shared" si="59"/>
        <v>1.111572265625</v>
      </c>
      <c r="BV11" s="35">
        <f t="shared" si="60"/>
        <v>2.2903446238367042E-3</v>
      </c>
      <c r="BW11" s="35">
        <f t="shared" si="61"/>
        <v>1.111572265625</v>
      </c>
      <c r="BX11" s="35">
        <f t="shared" si="62"/>
        <v>1.1139648437499998</v>
      </c>
      <c r="BY11" s="35">
        <f t="shared" si="63"/>
        <v>1.1127685546874999</v>
      </c>
      <c r="BZ11" s="35">
        <f t="shared" si="64"/>
        <v>8.5785672406024638E-4</v>
      </c>
      <c r="CA11" s="35">
        <f t="shared" si="65"/>
        <v>1.1127685546874999</v>
      </c>
      <c r="CB11" s="35">
        <f t="shared" si="66"/>
        <v>1.1139648437499998</v>
      </c>
      <c r="CC11" s="35">
        <f t="shared" si="67"/>
        <v>1.1133666992187499</v>
      </c>
      <c r="CD11" s="35">
        <f t="shared" si="68"/>
        <v>1.4244769634141896E-4</v>
      </c>
      <c r="CE11" s="35">
        <f t="shared" si="69"/>
        <v>1.1133666992187499</v>
      </c>
      <c r="CF11" s="35">
        <f t="shared" si="70"/>
        <v>1.1139648437499998</v>
      </c>
      <c r="CG11" s="35">
        <f t="shared" si="71"/>
        <v>1.1136657714843747</v>
      </c>
      <c r="CH11" s="35">
        <f t="shared" si="72"/>
        <v>-2.1504831047980399E-4</v>
      </c>
      <c r="CI11" s="35">
        <f t="shared" si="73"/>
        <v>1.1133666992187499</v>
      </c>
      <c r="CJ11" s="35">
        <f t="shared" si="74"/>
        <v>1.1136657714843747</v>
      </c>
      <c r="CK11" s="35">
        <f t="shared" si="75"/>
        <v>1.1135162353515624</v>
      </c>
      <c r="CL11" s="35">
        <f t="shared" si="76"/>
        <v>-3.6317676010866329E-5</v>
      </c>
      <c r="CM11" s="35">
        <f t="shared" si="77"/>
        <v>1.1133666992187499</v>
      </c>
      <c r="CN11" s="35">
        <f t="shared" si="78"/>
        <v>1.1135162353515624</v>
      </c>
      <c r="CO11" s="35">
        <f t="shared" si="79"/>
        <v>1.1134414672851563</v>
      </c>
      <c r="CP11" s="35">
        <f t="shared" si="80"/>
        <v>5.3060667431603648E-5</v>
      </c>
      <c r="CQ11" s="35">
        <f t="shared" si="81"/>
        <v>1.1134414672851563</v>
      </c>
      <c r="CR11" s="35">
        <f t="shared" si="82"/>
        <v>1.1135162353515624</v>
      </c>
      <c r="CS11" s="35">
        <f t="shared" si="83"/>
        <v>1.1134788513183593</v>
      </c>
      <c r="CT11" s="35">
        <f t="shared" si="84"/>
        <v>8.3704100892756372E-6</v>
      </c>
      <c r="CU11" s="35">
        <f t="shared" si="85"/>
        <v>1.1134788513183593</v>
      </c>
      <c r="CV11" s="35">
        <f t="shared" si="86"/>
        <v>1.1135162353515624</v>
      </c>
      <c r="CW11" s="35">
        <f t="shared" si="87"/>
        <v>1.1134975433349608</v>
      </c>
      <c r="CX11" s="35">
        <f t="shared" si="88"/>
        <v>-1.3973904358088873E-5</v>
      </c>
      <c r="CY11" s="35">
        <f t="shared" si="89"/>
        <v>1.1134788513183593</v>
      </c>
      <c r="CZ11" s="35">
        <f t="shared" si="90"/>
        <v>1.1134975433349608</v>
      </c>
      <c r="DA11" s="35">
        <f t="shared" si="91"/>
        <v>1.1134881973266602</v>
      </c>
      <c r="DB11" s="35">
        <f t="shared" si="92"/>
        <v>-2.8018149847985896E-6</v>
      </c>
      <c r="DC11" s="35">
        <f t="shared" si="93"/>
        <v>1.1134788513183593</v>
      </c>
      <c r="DD11" s="35">
        <f t="shared" si="94"/>
        <v>1.1134881973266602</v>
      </c>
      <c r="DE11" s="35">
        <f t="shared" si="95"/>
        <v>1.1134835243225099</v>
      </c>
      <c r="DF11" s="35">
        <f t="shared" si="96"/>
        <v>2.7842805894184863E-6</v>
      </c>
      <c r="DG11" s="35">
        <f t="shared" si="97"/>
        <v>1.1134835243225099</v>
      </c>
      <c r="DH11" s="35">
        <f t="shared" si="98"/>
        <v>1.1134881973266602</v>
      </c>
      <c r="DI11" s="35">
        <f t="shared" si="99"/>
        <v>1.113485860824585</v>
      </c>
      <c r="DJ11" s="35">
        <f t="shared" si="100"/>
        <v>-8.7714385754722457E-9</v>
      </c>
      <c r="DK11" s="35">
        <f t="shared" si="101"/>
        <v>1.1134835243225099</v>
      </c>
      <c r="DL11" s="35">
        <f t="shared" si="102"/>
        <v>1.113485860824585</v>
      </c>
      <c r="DM11" s="35">
        <f t="shared" si="103"/>
        <v>1.1134846925735475</v>
      </c>
      <c r="DN11" s="35">
        <f t="shared" si="104"/>
        <v>1.3877535152140297E-6</v>
      </c>
      <c r="DO11" s="35">
        <f t="shared" si="105"/>
        <v>1.1134846925735475</v>
      </c>
      <c r="DP11" s="35">
        <f t="shared" si="106"/>
        <v>1.113485860824585</v>
      </c>
      <c r="DQ11" s="35">
        <f t="shared" si="107"/>
        <v>1.1134852766990662</v>
      </c>
      <c r="DR11" s="35">
        <f t="shared" si="108"/>
        <v>6.8949077358659849E-7</v>
      </c>
      <c r="DS11" s="35">
        <f t="shared" si="109"/>
        <v>1.1134852766990662</v>
      </c>
      <c r="DT11" s="35">
        <f t="shared" si="110"/>
        <v>1.113485860824585</v>
      </c>
      <c r="DU11" s="35">
        <f t="shared" si="111"/>
        <v>1.1134855687618255</v>
      </c>
      <c r="DV11" s="35">
        <f t="shared" si="112"/>
        <v>3.4035960139178201E-7</v>
      </c>
      <c r="DW11" s="35">
        <f t="shared" si="113"/>
        <v>1.1134855687618255</v>
      </c>
      <c r="DX11" s="35">
        <f t="shared" si="114"/>
        <v>1.113485860824585</v>
      </c>
      <c r="DY11" s="35">
        <f t="shared" si="115"/>
        <v>1.1134857147932054</v>
      </c>
      <c r="DZ11" s="35">
        <f t="shared" si="116"/>
        <v>1.6579406469929836E-7</v>
      </c>
      <c r="EA11" s="35">
        <f t="shared" si="117"/>
        <v>1.1134857147932054</v>
      </c>
      <c r="EB11" s="35">
        <f t="shared" si="118"/>
        <v>1.113485860824585</v>
      </c>
      <c r="EC11" s="35">
        <f t="shared" si="119"/>
        <v>1.1134857878088953</v>
      </c>
      <c r="ED11" s="35">
        <f t="shared" si="120"/>
        <v>7.8511309009599017E-8</v>
      </c>
      <c r="EE11" s="35">
        <f t="shared" si="121"/>
        <v>1.1134857878088953</v>
      </c>
      <c r="EF11" s="35">
        <f t="shared" si="122"/>
        <v>1.113485860824585</v>
      </c>
      <c r="EG11" s="35">
        <f t="shared" si="123"/>
        <v>1.11348582431674</v>
      </c>
      <c r="EH11" s="35">
        <f t="shared" si="124"/>
        <v>3.486993449541842E-8</v>
      </c>
      <c r="EI11" s="35">
        <f t="shared" si="125"/>
        <v>1.11348582431674</v>
      </c>
      <c r="EJ11" s="35">
        <f t="shared" si="126"/>
        <v>1.113485860824585</v>
      </c>
      <c r="EK11" s="35">
        <f t="shared" si="127"/>
        <v>1.1134858425706624</v>
      </c>
      <c r="EL11" s="35">
        <f t="shared" si="128"/>
        <v>1.3049247904461936E-8</v>
      </c>
      <c r="EM11" s="35">
        <f t="shared" si="129"/>
        <v>1.1134858425706624</v>
      </c>
      <c r="EN11" s="35">
        <f t="shared" si="130"/>
        <v>1.113485860824585</v>
      </c>
      <c r="EO11" s="35">
        <f t="shared" si="131"/>
        <v>1.1134858516976238</v>
      </c>
      <c r="EP11" s="35">
        <f t="shared" si="132"/>
        <v>2.1389046089836938E-9</v>
      </c>
      <c r="EQ11" s="35">
        <f t="shared" si="133"/>
        <v>1.1134858516976238</v>
      </c>
      <c r="ER11" s="35">
        <f t="shared" si="134"/>
        <v>1.113485860824585</v>
      </c>
      <c r="ES11" s="35">
        <f t="shared" si="135"/>
        <v>1.1134858562611045</v>
      </c>
      <c r="ET11" s="35">
        <f t="shared" si="136"/>
        <v>-3.3162669277331247E-9</v>
      </c>
      <c r="EU11" s="35">
        <f t="shared" si="137"/>
        <v>1.1134858516976238</v>
      </c>
      <c r="EV11" s="35">
        <f t="shared" si="138"/>
        <v>1.1134858562611045</v>
      </c>
      <c r="EW11" s="35">
        <f t="shared" si="139"/>
        <v>1.1134858539793642</v>
      </c>
      <c r="EX11" s="35">
        <f t="shared" si="140"/>
        <v>-5.8868132590816913E-10</v>
      </c>
      <c r="EY11" s="35">
        <f t="shared" si="141"/>
        <v>1.1134858516976238</v>
      </c>
      <c r="EZ11" s="35">
        <f t="shared" si="142"/>
        <v>1.1134858539793642</v>
      </c>
      <c r="FA11" s="10">
        <v>9.9999999999999995E-7</v>
      </c>
      <c r="FB11" s="10">
        <v>0.99990000000000001</v>
      </c>
      <c r="FC11" s="35">
        <f t="shared" si="143"/>
        <v>0.49995050000000002</v>
      </c>
      <c r="FD11" s="35">
        <f t="shared" si="144"/>
        <v>-0.46244549774382093</v>
      </c>
      <c r="FE11" s="35">
        <f t="shared" si="145"/>
        <v>9.9999999999999995E-7</v>
      </c>
      <c r="FF11" s="35">
        <f t="shared" si="146"/>
        <v>0.49995050000000002</v>
      </c>
      <c r="FG11" s="35">
        <f t="shared" si="147"/>
        <v>0.24997575</v>
      </c>
      <c r="FH11" s="35">
        <f t="shared" si="148"/>
        <v>-0.24861480266148839</v>
      </c>
      <c r="FI11" s="35">
        <f t="shared" si="149"/>
        <v>9.9999999999999995E-7</v>
      </c>
      <c r="FJ11" s="35">
        <f t="shared" si="150"/>
        <v>0.24997575</v>
      </c>
      <c r="FK11" s="35">
        <f t="shared" si="151"/>
        <v>0.124988375</v>
      </c>
      <c r="FL11" s="35">
        <f t="shared" si="152"/>
        <v>-0.10443824368010923</v>
      </c>
      <c r="FM11" s="35">
        <f t="shared" si="153"/>
        <v>9.9999999999999995E-7</v>
      </c>
      <c r="FN11" s="35">
        <f t="shared" si="154"/>
        <v>0.124988375</v>
      </c>
      <c r="FO11" s="35">
        <f t="shared" si="155"/>
        <v>6.24946875E-2</v>
      </c>
      <c r="FP11" s="35">
        <f t="shared" si="156"/>
        <v>-2.180005803759455E-2</v>
      </c>
      <c r="FQ11" s="35">
        <f t="shared" si="157"/>
        <v>9.9999999999999995E-7</v>
      </c>
      <c r="FR11" s="35">
        <f t="shared" si="158"/>
        <v>6.24946875E-2</v>
      </c>
      <c r="FS11" s="35">
        <f t="shared" si="159"/>
        <v>3.124784375E-2</v>
      </c>
      <c r="FT11" s="35">
        <f t="shared" si="160"/>
        <v>2.2170737518582229E-2</v>
      </c>
      <c r="FU11" s="35">
        <f t="shared" si="161"/>
        <v>3.124784375E-2</v>
      </c>
      <c r="FV11" s="35">
        <f t="shared" si="162"/>
        <v>6.24946875E-2</v>
      </c>
      <c r="FW11" s="35">
        <f t="shared" si="163"/>
        <v>4.6871265624999998E-2</v>
      </c>
      <c r="FX11" s="35">
        <f t="shared" si="164"/>
        <v>-4.3197327096011762E-5</v>
      </c>
      <c r="FY11" s="35">
        <f t="shared" si="165"/>
        <v>3.124784375E-2</v>
      </c>
      <c r="FZ11" s="35">
        <f t="shared" si="166"/>
        <v>4.6871265624999998E-2</v>
      </c>
      <c r="GA11" s="35">
        <f t="shared" si="167"/>
        <v>3.9059554687499998E-2</v>
      </c>
      <c r="GB11" s="35">
        <f t="shared" si="168"/>
        <v>1.1003026019849926E-2</v>
      </c>
      <c r="GC11" s="35">
        <f t="shared" si="169"/>
        <v>3.9059554687499998E-2</v>
      </c>
      <c r="GD11" s="35">
        <f t="shared" si="170"/>
        <v>4.6871265624999998E-2</v>
      </c>
      <c r="GE11" s="35">
        <f t="shared" si="171"/>
        <v>4.2965410156249995E-2</v>
      </c>
      <c r="GF11" s="35">
        <f t="shared" si="172"/>
        <v>5.4654476167133037E-3</v>
      </c>
      <c r="GG11" s="35">
        <f t="shared" si="173"/>
        <v>4.2965410156249995E-2</v>
      </c>
      <c r="GH11" s="35">
        <f t="shared" si="174"/>
        <v>4.6871265624999998E-2</v>
      </c>
      <c r="GI11" s="35">
        <f t="shared" si="175"/>
        <v>4.4918337890624993E-2</v>
      </c>
      <c r="GJ11" s="35">
        <f t="shared" si="176"/>
        <v>2.7075656944395288E-3</v>
      </c>
      <c r="GK11" s="35">
        <f t="shared" si="177"/>
        <v>4.4918337890624993E-2</v>
      </c>
      <c r="GL11" s="35">
        <f t="shared" si="178"/>
        <v>4.6871265624999998E-2</v>
      </c>
      <c r="GM11" s="35">
        <f t="shared" si="179"/>
        <v>4.5894801757812492E-2</v>
      </c>
      <c r="GN11" s="35">
        <f t="shared" si="180"/>
        <v>1.3313000784596074E-3</v>
      </c>
      <c r="GO11" s="35">
        <f t="shared" si="181"/>
        <v>4.5894801757812492E-2</v>
      </c>
      <c r="GP11" s="35">
        <f t="shared" si="182"/>
        <v>4.6871265624999998E-2</v>
      </c>
      <c r="GQ11" s="35">
        <f t="shared" si="183"/>
        <v>4.6383033691406242E-2</v>
      </c>
      <c r="GR11" s="35">
        <f t="shared" si="184"/>
        <v>6.4383099568332547E-4</v>
      </c>
      <c r="GS11" s="35">
        <f t="shared" si="185"/>
        <v>4.6383033691406242E-2</v>
      </c>
      <c r="GT11" s="35">
        <f t="shared" si="186"/>
        <v>4.6871265624999998E-2</v>
      </c>
      <c r="GU11" s="35">
        <f t="shared" si="187"/>
        <v>4.6627149658203124E-2</v>
      </c>
      <c r="GV11" s="35">
        <f t="shared" si="188"/>
        <v>3.0026181586428891E-4</v>
      </c>
      <c r="GW11" s="35">
        <f t="shared" si="189"/>
        <v>4.6627149658203124E-2</v>
      </c>
      <c r="GX11" s="35">
        <f t="shared" si="190"/>
        <v>4.6871265624999998E-2</v>
      </c>
      <c r="GY11" s="35">
        <f t="shared" si="191"/>
        <v>4.6749207641601565E-2</v>
      </c>
      <c r="GZ11" s="35">
        <f t="shared" si="192"/>
        <v>1.2851849909512048E-4</v>
      </c>
      <c r="HA11" s="35">
        <f t="shared" si="193"/>
        <v>4.6749207641601565E-2</v>
      </c>
      <c r="HB11" s="35">
        <f t="shared" si="194"/>
        <v>4.6871265624999998E-2</v>
      </c>
      <c r="HC11" s="35">
        <f t="shared" si="195"/>
        <v>4.6810236633300778E-2</v>
      </c>
      <c r="HD11" s="35">
        <f t="shared" si="196"/>
        <v>4.2657150826297396E-5</v>
      </c>
      <c r="HE11" s="35">
        <f t="shared" si="197"/>
        <v>4.6810236633300778E-2</v>
      </c>
      <c r="HF11" s="35">
        <f t="shared" si="198"/>
        <v>4.6871265624999998E-2</v>
      </c>
      <c r="HG11" s="35">
        <f t="shared" si="199"/>
        <v>4.6840751129150385E-2</v>
      </c>
      <c r="HH11" s="35">
        <f t="shared" si="200"/>
        <v>-2.7094678523020832E-7</v>
      </c>
      <c r="HI11" s="35">
        <f t="shared" si="201"/>
        <v>4.6810236633300778E-2</v>
      </c>
      <c r="HJ11" s="35">
        <f t="shared" si="202"/>
        <v>4.6840751129150385E-2</v>
      </c>
      <c r="HK11" s="35">
        <f t="shared" si="203"/>
        <v>4.6825493881225581E-2</v>
      </c>
      <c r="HL11" s="35">
        <f t="shared" si="204"/>
        <v>2.1192887340371058E-5</v>
      </c>
      <c r="HM11" s="35">
        <f t="shared" si="205"/>
        <v>4.6825493881225581E-2</v>
      </c>
      <c r="HN11" s="35">
        <f t="shared" si="206"/>
        <v>4.6840751129150385E-2</v>
      </c>
      <c r="HO11" s="35">
        <f t="shared" si="207"/>
        <v>4.683312250518798E-2</v>
      </c>
      <c r="HP11" s="35">
        <f t="shared" si="208"/>
        <v>1.0460916609611459E-5</v>
      </c>
      <c r="HQ11" s="35">
        <f t="shared" si="209"/>
        <v>4.683312250518798E-2</v>
      </c>
      <c r="HR11" s="35">
        <f t="shared" si="210"/>
        <v>4.6840751129150385E-2</v>
      </c>
      <c r="HS11" s="35">
        <f t="shared" si="211"/>
        <v>4.6836936817169182E-2</v>
      </c>
      <c r="HT11" s="35">
        <f t="shared" si="212"/>
        <v>5.0949714953674174E-6</v>
      </c>
      <c r="HU11" s="35">
        <f t="shared" si="213"/>
        <v>4.6836936817169182E-2</v>
      </c>
      <c r="HV11" s="35">
        <f t="shared" si="214"/>
        <v>4.6840751129150385E-2</v>
      </c>
      <c r="HW11" s="35">
        <f t="shared" si="215"/>
        <v>4.683884397315978E-2</v>
      </c>
      <c r="HX11" s="35">
        <f t="shared" si="216"/>
        <v>2.4120090009738249E-6</v>
      </c>
      <c r="HY11" s="35">
        <f t="shared" si="217"/>
        <v>4.683884397315978E-2</v>
      </c>
      <c r="HZ11" s="35">
        <f t="shared" si="218"/>
        <v>4.6840751129150385E-2</v>
      </c>
      <c r="IA11" s="35">
        <f t="shared" si="219"/>
        <v>4.6839797551155082E-2</v>
      </c>
      <c r="IB11" s="35">
        <f t="shared" si="220"/>
        <v>1.0705302693203578E-6</v>
      </c>
      <c r="IC11" s="35">
        <f t="shared" si="221"/>
        <v>4.6839797551155082E-2</v>
      </c>
      <c r="ID11" s="35">
        <f t="shared" si="222"/>
        <v>4.6840751129150385E-2</v>
      </c>
      <c r="IE11" s="35">
        <f t="shared" si="223"/>
        <v>4.6840274340152734E-2</v>
      </c>
      <c r="IF11" s="35">
        <f t="shared" si="224"/>
        <v>3.9979153232394538E-7</v>
      </c>
      <c r="IG11" s="35">
        <f t="shared" si="225"/>
        <v>4.6840274340152734E-2</v>
      </c>
      <c r="IH11" s="35">
        <f t="shared" si="226"/>
        <v>4.6840751129150385E-2</v>
      </c>
      <c r="II11" s="35">
        <f t="shared" si="227"/>
        <v>4.6840512734651563E-2</v>
      </c>
      <c r="IJ11" s="35">
        <f t="shared" si="228"/>
        <v>6.4422321255364068E-8</v>
      </c>
      <c r="IK11" s="35">
        <f t="shared" si="229"/>
        <v>4.6840512734651563E-2</v>
      </c>
      <c r="IL11" s="35">
        <f t="shared" si="230"/>
        <v>4.6840751129150385E-2</v>
      </c>
      <c r="IM11" s="35">
        <f t="shared" si="231"/>
        <v>4.6840631931900974E-2</v>
      </c>
      <c r="IN11" s="35">
        <f t="shared" si="232"/>
        <v>-1.0326224497703151E-7</v>
      </c>
      <c r="IO11" s="35">
        <f t="shared" si="233"/>
        <v>4.6840512734651563E-2</v>
      </c>
      <c r="IP11" s="35">
        <f t="shared" si="234"/>
        <v>4.6840631931900974E-2</v>
      </c>
      <c r="IQ11" s="35">
        <f t="shared" si="235"/>
        <v>4.6840572333276265E-2</v>
      </c>
      <c r="IR11" s="35">
        <f t="shared" si="236"/>
        <v>-1.9419965191502797E-8</v>
      </c>
      <c r="IS11" s="35">
        <f t="shared" si="237"/>
        <v>4.6840512734651563E-2</v>
      </c>
      <c r="IT11" s="35">
        <f t="shared" si="238"/>
        <v>4.6840572333276265E-2</v>
      </c>
      <c r="IU11" s="35">
        <f t="shared" si="239"/>
        <v>4.6840542533963914E-2</v>
      </c>
      <c r="IV11" s="35">
        <f t="shared" si="240"/>
        <v>2.2501176921707611E-8</v>
      </c>
      <c r="IW11" s="35">
        <f t="shared" si="241"/>
        <v>4.6840542533963914E-2</v>
      </c>
      <c r="IX11" s="35">
        <f t="shared" si="242"/>
        <v>4.6840572333276265E-2</v>
      </c>
      <c r="IY11" s="35">
        <f t="shared" si="243"/>
        <v>4.6840557433620089E-2</v>
      </c>
      <c r="IZ11" s="35">
        <f t="shared" si="244"/>
        <v>1.5406058651024068E-9</v>
      </c>
      <c r="JA11" s="35">
        <f t="shared" si="245"/>
        <v>4.6840557433620089E-2</v>
      </c>
      <c r="JB11" s="35">
        <f t="shared" si="246"/>
        <v>4.6840572333276265E-2</v>
      </c>
      <c r="JC11" s="35">
        <f t="shared" si="247"/>
        <v>4.6840564883448177E-2</v>
      </c>
      <c r="JD11" s="35">
        <f t="shared" si="248"/>
        <v>-8.9396797742224976E-9</v>
      </c>
      <c r="JE11" s="35">
        <f t="shared" si="249"/>
        <v>4.6840557433620089E-2</v>
      </c>
      <c r="JF11" s="35">
        <f t="shared" si="250"/>
        <v>4.6840564883448177E-2</v>
      </c>
      <c r="JG11" s="35">
        <f t="shared" si="251"/>
        <v>4.6840561158534133E-2</v>
      </c>
      <c r="JH11" s="35">
        <f t="shared" si="252"/>
        <v>-3.6995370100711966E-9</v>
      </c>
      <c r="JI11" s="35">
        <f t="shared" si="253"/>
        <v>4.6840557433620089E-2</v>
      </c>
      <c r="JJ11" s="35">
        <f t="shared" si="254"/>
        <v>4.6840561158534133E-2</v>
      </c>
      <c r="JK11" s="35">
        <f t="shared" si="255"/>
        <v>4.6840559296077111E-2</v>
      </c>
      <c r="JL11" s="35">
        <f t="shared" si="256"/>
        <v>-1.0794656279955461E-9</v>
      </c>
      <c r="JM11" s="35">
        <f t="shared" si="257"/>
        <v>4.6840557433620089E-2</v>
      </c>
      <c r="JN11" s="35">
        <f t="shared" si="258"/>
        <v>4.6840559296077111E-2</v>
      </c>
      <c r="JO11" s="35">
        <f t="shared" si="259"/>
        <v>4.68405583648486E-2</v>
      </c>
      <c r="JP11" s="35">
        <f t="shared" si="260"/>
        <v>2.3056978548652296E-10</v>
      </c>
      <c r="JQ11" s="35">
        <f t="shared" si="261"/>
        <v>4.68405583648486E-2</v>
      </c>
      <c r="JR11" s="35">
        <f t="shared" si="262"/>
        <v>4.6840559296077111E-2</v>
      </c>
      <c r="JS11" s="35">
        <f t="shared" si="263"/>
        <v>4.6840558830462856E-2</v>
      </c>
      <c r="JT11" s="35">
        <f t="shared" si="264"/>
        <v>-4.2444792125451158E-10</v>
      </c>
      <c r="JU11" s="35">
        <f t="shared" si="265"/>
        <v>4.68405583648486E-2</v>
      </c>
      <c r="JV11" s="35">
        <f t="shared" si="266"/>
        <v>4.6840558830462856E-2</v>
      </c>
      <c r="JW11" s="35">
        <f t="shared" si="267"/>
        <v>4.6840558597655728E-2</v>
      </c>
      <c r="JX11" s="35">
        <f t="shared" si="268"/>
        <v>-9.6938901350540618E-11</v>
      </c>
      <c r="JY11" s="35">
        <f t="shared" si="269"/>
        <v>4.68405583648486E-2</v>
      </c>
      <c r="JZ11" s="35">
        <f t="shared" si="270"/>
        <v>4.6840558597655728E-2</v>
      </c>
      <c r="KA11" s="35">
        <f t="shared" si="271"/>
        <v>1.1134858528384939</v>
      </c>
      <c r="KB11" s="35">
        <f t="shared" si="272"/>
        <v>4.6840558481252167E-2</v>
      </c>
    </row>
    <row r="12" spans="1:288" ht="15" customHeight="1" x14ac:dyDescent="0.3">
      <c r="A12" s="30">
        <f>Odds_Input!A12</f>
        <v>4</v>
      </c>
      <c r="B12" s="7" t="str">
        <f>Odds_Input!B12</f>
        <v>TITLE</v>
      </c>
      <c r="C12" s="7" t="str">
        <f>Odds_Input!C12</f>
        <v>Chicago Bulls</v>
      </c>
      <c r="D12" s="7" t="str">
        <f>Odds_Input!D12</f>
        <v>YES</v>
      </c>
      <c r="E12" s="31" t="str">
        <f>Odds_Input!E12</f>
        <v>-</v>
      </c>
      <c r="F12" s="32">
        <f>Odds_Input!F12</f>
        <v>25000</v>
      </c>
      <c r="G12" s="6" t="str">
        <f t="shared" si="0"/>
        <v>TITLE</v>
      </c>
      <c r="H12" s="14">
        <f t="shared" si="1"/>
        <v>251</v>
      </c>
      <c r="I12" s="33">
        <f t="shared" si="2"/>
        <v>3.9840637450199202E-3</v>
      </c>
      <c r="J12" s="17">
        <f t="shared" si="3"/>
        <v>1</v>
      </c>
      <c r="K12" s="17">
        <f t="shared" si="4"/>
        <v>30</v>
      </c>
      <c r="L12" s="18">
        <f t="shared" si="5"/>
        <v>1.252565192422864</v>
      </c>
      <c r="M12" s="34">
        <f t="shared" si="6"/>
        <v>0.25256519242286402</v>
      </c>
      <c r="N12" s="33">
        <f t="shared" si="7"/>
        <v>3.1807236614275216E-3</v>
      </c>
      <c r="O12" s="33">
        <f t="shared" si="8"/>
        <v>2.3027238623231816E-3</v>
      </c>
      <c r="P12" s="33">
        <f t="shared" si="9"/>
        <v>1.0482741504970515E-3</v>
      </c>
      <c r="Q12" s="33">
        <f t="shared" si="10"/>
        <v>1.0482741504970515E-3</v>
      </c>
      <c r="R12" s="35">
        <f t="shared" si="11"/>
        <v>1.0992153287166726</v>
      </c>
      <c r="S12" s="35">
        <f t="shared" si="12"/>
        <v>1.1051948455485863E-2</v>
      </c>
      <c r="X12" s="6" t="s">
        <v>272</v>
      </c>
      <c r="Y12" s="6">
        <f t="shared" si="13"/>
        <v>1</v>
      </c>
      <c r="Z12" s="18">
        <f t="shared" si="14"/>
        <v>1.1224660395565</v>
      </c>
      <c r="AA12" s="10">
        <v>0.2</v>
      </c>
      <c r="AB12" s="10">
        <v>10</v>
      </c>
      <c r="AC12" s="35">
        <f t="shared" si="15"/>
        <v>5.0999999999999996</v>
      </c>
      <c r="AD12" s="35">
        <f t="shared" si="16"/>
        <v>-0.97064484766519088</v>
      </c>
      <c r="AE12" s="35">
        <f t="shared" si="17"/>
        <v>0.2</v>
      </c>
      <c r="AF12" s="35">
        <f t="shared" si="18"/>
        <v>5.0999999999999996</v>
      </c>
      <c r="AG12" s="35">
        <f t="shared" si="19"/>
        <v>2.65</v>
      </c>
      <c r="AH12" s="35">
        <f t="shared" si="20"/>
        <v>-0.75913843584582907</v>
      </c>
      <c r="AI12" s="35">
        <f t="shared" si="21"/>
        <v>0.2</v>
      </c>
      <c r="AJ12" s="35">
        <f t="shared" si="22"/>
        <v>2.65</v>
      </c>
      <c r="AK12" s="35">
        <f t="shared" si="23"/>
        <v>1.425</v>
      </c>
      <c r="AL12" s="35">
        <f t="shared" si="24"/>
        <v>-0.26252323128014698</v>
      </c>
      <c r="AM12" s="35">
        <f t="shared" si="25"/>
        <v>0.2</v>
      </c>
      <c r="AN12" s="35">
        <f t="shared" si="26"/>
        <v>1.425</v>
      </c>
      <c r="AO12" s="35">
        <f t="shared" si="27"/>
        <v>0.8125</v>
      </c>
      <c r="AP12" s="35">
        <f t="shared" si="28"/>
        <v>0.37128639032520439</v>
      </c>
      <c r="AQ12" s="35">
        <f t="shared" si="29"/>
        <v>0.8125</v>
      </c>
      <c r="AR12" s="35">
        <f t="shared" si="30"/>
        <v>1.425</v>
      </c>
      <c r="AS12" s="35">
        <f t="shared" si="31"/>
        <v>1.1187499999999999</v>
      </c>
      <c r="AT12" s="35">
        <f t="shared" si="32"/>
        <v>-5.3660778384202468E-3</v>
      </c>
      <c r="AU12" s="35">
        <f t="shared" si="33"/>
        <v>0.8125</v>
      </c>
      <c r="AV12" s="35">
        <f t="shared" si="34"/>
        <v>1.1187499999999999</v>
      </c>
      <c r="AW12" s="35">
        <f t="shared" si="35"/>
        <v>0.96562499999999996</v>
      </c>
      <c r="AX12" s="35">
        <f t="shared" si="36"/>
        <v>0.16330302894262516</v>
      </c>
      <c r="AY12" s="35">
        <f t="shared" si="37"/>
        <v>0.96562499999999996</v>
      </c>
      <c r="AZ12" s="35">
        <f t="shared" si="38"/>
        <v>1.1187499999999999</v>
      </c>
      <c r="BA12" s="35">
        <f t="shared" si="39"/>
        <v>1.0421874999999998</v>
      </c>
      <c r="BB12" s="35">
        <f t="shared" si="40"/>
        <v>7.4819168354352872E-2</v>
      </c>
      <c r="BC12" s="35">
        <f t="shared" si="41"/>
        <v>1.0421874999999998</v>
      </c>
      <c r="BD12" s="35">
        <f t="shared" si="42"/>
        <v>1.1187499999999999</v>
      </c>
      <c r="BE12" s="35">
        <f t="shared" si="43"/>
        <v>1.0804687499999999</v>
      </c>
      <c r="BF12" s="35">
        <f t="shared" si="44"/>
        <v>3.3765406125664699E-2</v>
      </c>
      <c r="BG12" s="35">
        <f t="shared" si="45"/>
        <v>1.0804687499999999</v>
      </c>
      <c r="BH12" s="35">
        <f t="shared" si="46"/>
        <v>1.1187499999999999</v>
      </c>
      <c r="BI12" s="35">
        <f t="shared" si="47"/>
        <v>1.099609375</v>
      </c>
      <c r="BJ12" s="35">
        <f t="shared" si="48"/>
        <v>1.39679532050625E-2</v>
      </c>
      <c r="BK12" s="35">
        <f t="shared" si="49"/>
        <v>1.099609375</v>
      </c>
      <c r="BL12" s="35">
        <f t="shared" si="50"/>
        <v>1.1187499999999999</v>
      </c>
      <c r="BM12" s="35">
        <f t="shared" si="51"/>
        <v>1.1091796875</v>
      </c>
      <c r="BN12" s="35">
        <f t="shared" si="52"/>
        <v>4.2440288940090998E-3</v>
      </c>
      <c r="BO12" s="35">
        <f t="shared" si="53"/>
        <v>1.1091796875</v>
      </c>
      <c r="BP12" s="35">
        <f t="shared" si="54"/>
        <v>1.1187499999999999</v>
      </c>
      <c r="BQ12" s="35">
        <f t="shared" si="55"/>
        <v>1.1139648437499998</v>
      </c>
      <c r="BR12" s="35">
        <f t="shared" si="56"/>
        <v>-5.75127417018928E-4</v>
      </c>
      <c r="BS12" s="35">
        <f t="shared" si="57"/>
        <v>1.1091796875</v>
      </c>
      <c r="BT12" s="35">
        <f t="shared" si="58"/>
        <v>1.1139648437499998</v>
      </c>
      <c r="BU12" s="35">
        <f t="shared" si="59"/>
        <v>1.111572265625</v>
      </c>
      <c r="BV12" s="35">
        <f t="shared" si="60"/>
        <v>1.8309096064488273E-3</v>
      </c>
      <c r="BW12" s="35">
        <f t="shared" si="61"/>
        <v>1.111572265625</v>
      </c>
      <c r="BX12" s="35">
        <f t="shared" si="62"/>
        <v>1.1139648437499998</v>
      </c>
      <c r="BY12" s="35">
        <f t="shared" si="63"/>
        <v>1.1127685546874999</v>
      </c>
      <c r="BZ12" s="35">
        <f t="shared" si="64"/>
        <v>6.2700774457935537E-4</v>
      </c>
      <c r="CA12" s="35">
        <f t="shared" si="65"/>
        <v>1.1127685546874999</v>
      </c>
      <c r="CB12" s="35">
        <f t="shared" si="66"/>
        <v>1.1139648437499998</v>
      </c>
      <c r="CC12" s="35">
        <f t="shared" si="67"/>
        <v>1.1133666992187499</v>
      </c>
      <c r="CD12" s="35">
        <f t="shared" si="68"/>
        <v>2.5719567118276387E-5</v>
      </c>
      <c r="CE12" s="35">
        <f t="shared" si="69"/>
        <v>1.1133666992187499</v>
      </c>
      <c r="CF12" s="35">
        <f t="shared" si="70"/>
        <v>1.1139648437499998</v>
      </c>
      <c r="CG12" s="35">
        <f t="shared" si="71"/>
        <v>1.1136657714843747</v>
      </c>
      <c r="CH12" s="35">
        <f t="shared" si="72"/>
        <v>-2.747590440526082E-4</v>
      </c>
      <c r="CI12" s="35">
        <f t="shared" si="73"/>
        <v>1.1133666992187499</v>
      </c>
      <c r="CJ12" s="35">
        <f t="shared" si="74"/>
        <v>1.1136657714843747</v>
      </c>
      <c r="CK12" s="35">
        <f t="shared" si="75"/>
        <v>1.1135162353515624</v>
      </c>
      <c r="CL12" s="35">
        <f t="shared" si="76"/>
        <v>-1.2453352199870427E-4</v>
      </c>
      <c r="CM12" s="35">
        <f t="shared" si="77"/>
        <v>1.1133666992187499</v>
      </c>
      <c r="CN12" s="35">
        <f t="shared" si="78"/>
        <v>1.1135162353515624</v>
      </c>
      <c r="CO12" s="35">
        <f t="shared" si="79"/>
        <v>1.1134414672851563</v>
      </c>
      <c r="CP12" s="35">
        <f t="shared" si="80"/>
        <v>-4.941042379302818E-5</v>
      </c>
      <c r="CQ12" s="35">
        <f t="shared" si="81"/>
        <v>1.1133666992187499</v>
      </c>
      <c r="CR12" s="35">
        <f t="shared" si="82"/>
        <v>1.1134414672851563</v>
      </c>
      <c r="CS12" s="35">
        <f t="shared" si="83"/>
        <v>1.1134040832519529</v>
      </c>
      <c r="CT12" s="35">
        <f t="shared" si="84"/>
        <v>-1.1846289984074332E-5</v>
      </c>
      <c r="CU12" s="35">
        <f t="shared" si="85"/>
        <v>1.1133666992187499</v>
      </c>
      <c r="CV12" s="35">
        <f t="shared" si="86"/>
        <v>1.1134040832519529</v>
      </c>
      <c r="CW12" s="35">
        <f t="shared" si="87"/>
        <v>1.1133853912353513</v>
      </c>
      <c r="CX12" s="35">
        <f t="shared" si="88"/>
        <v>6.9364231480850691E-6</v>
      </c>
      <c r="CY12" s="35">
        <f t="shared" si="89"/>
        <v>1.1133853912353513</v>
      </c>
      <c r="CZ12" s="35">
        <f t="shared" si="90"/>
        <v>1.1134040832519529</v>
      </c>
      <c r="DA12" s="35">
        <f t="shared" si="91"/>
        <v>1.1133947372436521</v>
      </c>
      <c r="DB12" s="35">
        <f t="shared" si="92"/>
        <v>-2.4549872718049315E-6</v>
      </c>
      <c r="DC12" s="35">
        <f t="shared" si="93"/>
        <v>1.1133853912353513</v>
      </c>
      <c r="DD12" s="35">
        <f t="shared" si="94"/>
        <v>1.1133947372436521</v>
      </c>
      <c r="DE12" s="35">
        <f t="shared" si="95"/>
        <v>1.1133900642395016</v>
      </c>
      <c r="DF12" s="35">
        <f t="shared" si="96"/>
        <v>2.2407044746319826E-6</v>
      </c>
      <c r="DG12" s="35">
        <f t="shared" si="97"/>
        <v>1.1133900642395016</v>
      </c>
      <c r="DH12" s="35">
        <f t="shared" si="98"/>
        <v>1.1133947372436521</v>
      </c>
      <c r="DI12" s="35">
        <f t="shared" si="99"/>
        <v>1.113392400741577</v>
      </c>
      <c r="DJ12" s="35">
        <f t="shared" si="100"/>
        <v>-1.0714476450512933E-7</v>
      </c>
      <c r="DK12" s="35">
        <f t="shared" si="101"/>
        <v>1.1133900642395016</v>
      </c>
      <c r="DL12" s="35">
        <f t="shared" si="102"/>
        <v>1.113392400741577</v>
      </c>
      <c r="DM12" s="35">
        <f t="shared" si="103"/>
        <v>1.1133912324905393</v>
      </c>
      <c r="DN12" s="35">
        <f t="shared" si="104"/>
        <v>1.0667790135698851E-6</v>
      </c>
      <c r="DO12" s="35">
        <f t="shared" si="105"/>
        <v>1.1133912324905393</v>
      </c>
      <c r="DP12" s="35">
        <f t="shared" si="106"/>
        <v>1.113392400741577</v>
      </c>
      <c r="DQ12" s="35">
        <f t="shared" si="107"/>
        <v>1.1133918166160581</v>
      </c>
      <c r="DR12" s="35">
        <f t="shared" si="108"/>
        <v>4.7981691420062589E-7</v>
      </c>
      <c r="DS12" s="35">
        <f t="shared" si="109"/>
        <v>1.1133918166160581</v>
      </c>
      <c r="DT12" s="35">
        <f t="shared" si="110"/>
        <v>1.113392400741577</v>
      </c>
      <c r="DU12" s="35">
        <f t="shared" si="111"/>
        <v>1.1133921086788177</v>
      </c>
      <c r="DV12" s="35">
        <f t="shared" si="112"/>
        <v>1.8633602194562116E-7</v>
      </c>
      <c r="DW12" s="35">
        <f t="shared" si="113"/>
        <v>1.1133921086788177</v>
      </c>
      <c r="DX12" s="35">
        <f t="shared" si="114"/>
        <v>1.113392400741577</v>
      </c>
      <c r="DY12" s="35">
        <f t="shared" si="115"/>
        <v>1.1133922547101973</v>
      </c>
      <c r="DZ12" s="35">
        <f t="shared" si="116"/>
        <v>3.9595615675125373E-8</v>
      </c>
      <c r="EA12" s="35">
        <f t="shared" si="117"/>
        <v>1.1133922547101973</v>
      </c>
      <c r="EB12" s="35">
        <f t="shared" si="118"/>
        <v>1.113392400741577</v>
      </c>
      <c r="EC12" s="35">
        <f t="shared" si="119"/>
        <v>1.113392327725887</v>
      </c>
      <c r="ED12" s="35">
        <f t="shared" si="120"/>
        <v>-3.3774577690159902E-8</v>
      </c>
      <c r="EE12" s="35">
        <f t="shared" si="121"/>
        <v>1.1133922547101973</v>
      </c>
      <c r="EF12" s="35">
        <f t="shared" si="122"/>
        <v>1.113392327725887</v>
      </c>
      <c r="EG12" s="35">
        <f t="shared" si="123"/>
        <v>1.1133922912180423</v>
      </c>
      <c r="EH12" s="35">
        <f t="shared" si="124"/>
        <v>2.9105180487931648E-9</v>
      </c>
      <c r="EI12" s="35">
        <f t="shared" si="125"/>
        <v>1.1133922912180423</v>
      </c>
      <c r="EJ12" s="35">
        <f t="shared" si="126"/>
        <v>1.113392327725887</v>
      </c>
      <c r="EK12" s="35">
        <f t="shared" si="127"/>
        <v>1.1133923094719647</v>
      </c>
      <c r="EL12" s="35">
        <f t="shared" si="128"/>
        <v>-1.5432029987216822E-8</v>
      </c>
      <c r="EM12" s="35">
        <f t="shared" si="129"/>
        <v>1.1133922912180423</v>
      </c>
      <c r="EN12" s="35">
        <f t="shared" si="130"/>
        <v>1.1133923094719647</v>
      </c>
      <c r="EO12" s="35">
        <f t="shared" si="131"/>
        <v>1.1133923003450035</v>
      </c>
      <c r="EP12" s="35">
        <f t="shared" si="132"/>
        <v>-6.2607560247229799E-9</v>
      </c>
      <c r="EQ12" s="35">
        <f t="shared" si="133"/>
        <v>1.1133922912180423</v>
      </c>
      <c r="ER12" s="35">
        <f t="shared" si="134"/>
        <v>1.1133923003450035</v>
      </c>
      <c r="ES12" s="35">
        <f t="shared" si="135"/>
        <v>1.113392295781523</v>
      </c>
      <c r="ET12" s="35">
        <f t="shared" si="136"/>
        <v>-1.6751191544983612E-9</v>
      </c>
      <c r="EU12" s="35">
        <f t="shared" si="137"/>
        <v>1.1133922912180423</v>
      </c>
      <c r="EV12" s="35">
        <f t="shared" si="138"/>
        <v>1.113392295781523</v>
      </c>
      <c r="EW12" s="35">
        <f t="shared" si="139"/>
        <v>1.1133922934997826</v>
      </c>
      <c r="EX12" s="35">
        <f t="shared" si="140"/>
        <v>6.1769944714740177E-10</v>
      </c>
      <c r="EY12" s="35">
        <f t="shared" si="141"/>
        <v>1.1133922934997826</v>
      </c>
      <c r="EZ12" s="35">
        <f t="shared" si="142"/>
        <v>1.113392295781523</v>
      </c>
      <c r="FA12" s="10">
        <v>9.9999999999999995E-7</v>
      </c>
      <c r="FB12" s="10">
        <v>0.99990000000000001</v>
      </c>
      <c r="FC12" s="35">
        <f t="shared" si="143"/>
        <v>0.49995050000000002</v>
      </c>
      <c r="FD12" s="35">
        <f t="shared" si="144"/>
        <v>-0.38017578362266702</v>
      </c>
      <c r="FE12" s="35">
        <f t="shared" si="145"/>
        <v>9.9999999999999995E-7</v>
      </c>
      <c r="FF12" s="35">
        <f t="shared" si="146"/>
        <v>0.49995050000000002</v>
      </c>
      <c r="FG12" s="35">
        <f t="shared" si="147"/>
        <v>0.24997575</v>
      </c>
      <c r="FH12" s="35">
        <f t="shared" si="148"/>
        <v>-0.19287951214638799</v>
      </c>
      <c r="FI12" s="35">
        <f t="shared" si="149"/>
        <v>9.9999999999999995E-7</v>
      </c>
      <c r="FJ12" s="35">
        <f t="shared" si="150"/>
        <v>0.24997575</v>
      </c>
      <c r="FK12" s="35">
        <f t="shared" si="151"/>
        <v>0.124988375</v>
      </c>
      <c r="FL12" s="35">
        <f t="shared" si="152"/>
        <v>-8.0001319224383916E-2</v>
      </c>
      <c r="FM12" s="35">
        <f t="shared" si="153"/>
        <v>9.9999999999999995E-7</v>
      </c>
      <c r="FN12" s="35">
        <f t="shared" si="154"/>
        <v>0.124988375</v>
      </c>
      <c r="FO12" s="35">
        <f t="shared" si="155"/>
        <v>6.24946875E-2</v>
      </c>
      <c r="FP12" s="35">
        <f t="shared" si="156"/>
        <v>-1.8558157148932941E-2</v>
      </c>
      <c r="FQ12" s="35">
        <f t="shared" si="157"/>
        <v>9.9999999999999995E-7</v>
      </c>
      <c r="FR12" s="35">
        <f t="shared" si="158"/>
        <v>6.24946875E-2</v>
      </c>
      <c r="FS12" s="35">
        <f t="shared" si="159"/>
        <v>3.124784375E-2</v>
      </c>
      <c r="FT12" s="35">
        <f t="shared" si="160"/>
        <v>1.5027348875282787E-2</v>
      </c>
      <c r="FU12" s="35">
        <f t="shared" si="161"/>
        <v>3.124784375E-2</v>
      </c>
      <c r="FV12" s="35">
        <f t="shared" si="162"/>
        <v>6.24946875E-2</v>
      </c>
      <c r="FW12" s="35">
        <f t="shared" si="163"/>
        <v>4.6871265624999998E-2</v>
      </c>
      <c r="FX12" s="35">
        <f t="shared" si="164"/>
        <v>-2.2347786581649043E-3</v>
      </c>
      <c r="FY12" s="35">
        <f t="shared" si="165"/>
        <v>3.124784375E-2</v>
      </c>
      <c r="FZ12" s="35">
        <f t="shared" si="166"/>
        <v>4.6871265624999998E-2</v>
      </c>
      <c r="GA12" s="35">
        <f t="shared" si="167"/>
        <v>3.9059554687499998E-2</v>
      </c>
      <c r="GB12" s="35">
        <f t="shared" si="168"/>
        <v>6.2351831607443398E-3</v>
      </c>
      <c r="GC12" s="35">
        <f t="shared" si="169"/>
        <v>3.9059554687499998E-2</v>
      </c>
      <c r="GD12" s="35">
        <f t="shared" si="170"/>
        <v>4.6871265624999998E-2</v>
      </c>
      <c r="GE12" s="35">
        <f t="shared" si="171"/>
        <v>4.2965410156249995E-2</v>
      </c>
      <c r="GF12" s="35">
        <f t="shared" si="172"/>
        <v>1.9670595416196868E-3</v>
      </c>
      <c r="GG12" s="35">
        <f t="shared" si="173"/>
        <v>4.2965410156249995E-2</v>
      </c>
      <c r="GH12" s="35">
        <f t="shared" si="174"/>
        <v>4.6871265624999998E-2</v>
      </c>
      <c r="GI12" s="35">
        <f t="shared" si="175"/>
        <v>4.4918337890624993E-2</v>
      </c>
      <c r="GJ12" s="35">
        <f t="shared" si="176"/>
        <v>-1.4143455297077612E-4</v>
      </c>
      <c r="GK12" s="35">
        <f t="shared" si="177"/>
        <v>4.2965410156249995E-2</v>
      </c>
      <c r="GL12" s="35">
        <f t="shared" si="178"/>
        <v>4.4918337890624993E-2</v>
      </c>
      <c r="GM12" s="35">
        <f t="shared" si="179"/>
        <v>4.3941874023437494E-2</v>
      </c>
      <c r="GN12" s="35">
        <f t="shared" si="180"/>
        <v>9.1083656473855967E-4</v>
      </c>
      <c r="GO12" s="35">
        <f t="shared" si="181"/>
        <v>4.3941874023437494E-2</v>
      </c>
      <c r="GP12" s="35">
        <f t="shared" si="182"/>
        <v>4.4918337890624993E-2</v>
      </c>
      <c r="GQ12" s="35">
        <f t="shared" si="183"/>
        <v>4.4430105957031243E-2</v>
      </c>
      <c r="GR12" s="35">
        <f t="shared" si="184"/>
        <v>3.842176809161213E-4</v>
      </c>
      <c r="GS12" s="35">
        <f t="shared" si="185"/>
        <v>4.4430105957031243E-2</v>
      </c>
      <c r="GT12" s="35">
        <f t="shared" si="186"/>
        <v>4.4918337890624993E-2</v>
      </c>
      <c r="GU12" s="35">
        <f t="shared" si="187"/>
        <v>4.4674221923828118E-2</v>
      </c>
      <c r="GV12" s="35">
        <f t="shared" si="188"/>
        <v>1.2127203020706467E-4</v>
      </c>
      <c r="GW12" s="35">
        <f t="shared" si="189"/>
        <v>4.4674221923828118E-2</v>
      </c>
      <c r="GX12" s="35">
        <f t="shared" si="190"/>
        <v>4.4918337890624993E-2</v>
      </c>
      <c r="GY12" s="35">
        <f t="shared" si="191"/>
        <v>4.4796279907226552E-2</v>
      </c>
      <c r="GZ12" s="35">
        <f t="shared" si="192"/>
        <v>-1.0110984752675911E-5</v>
      </c>
      <c r="HA12" s="35">
        <f t="shared" si="193"/>
        <v>4.4674221923828118E-2</v>
      </c>
      <c r="HB12" s="35">
        <f t="shared" si="194"/>
        <v>4.4796279907226552E-2</v>
      </c>
      <c r="HC12" s="35">
        <f t="shared" si="195"/>
        <v>4.4735250915527339E-2</v>
      </c>
      <c r="HD12" s="35">
        <f t="shared" si="196"/>
        <v>5.5573071969128307E-5</v>
      </c>
      <c r="HE12" s="35">
        <f t="shared" si="197"/>
        <v>4.4735250915527339E-2</v>
      </c>
      <c r="HF12" s="35">
        <f t="shared" si="198"/>
        <v>4.4796279907226552E-2</v>
      </c>
      <c r="HG12" s="35">
        <f t="shared" si="199"/>
        <v>4.4765765411376945E-2</v>
      </c>
      <c r="HH12" s="35">
        <f t="shared" si="200"/>
        <v>2.2729183413838783E-5</v>
      </c>
      <c r="HI12" s="35">
        <f t="shared" si="201"/>
        <v>4.4765765411376945E-2</v>
      </c>
      <c r="HJ12" s="35">
        <f t="shared" si="202"/>
        <v>4.4796279907226552E-2</v>
      </c>
      <c r="HK12" s="35">
        <f t="shared" si="203"/>
        <v>4.4781022659301749E-2</v>
      </c>
      <c r="HL12" s="35">
        <f t="shared" si="204"/>
        <v>6.3086345933882626E-6</v>
      </c>
      <c r="HM12" s="35">
        <f t="shared" si="205"/>
        <v>4.4781022659301749E-2</v>
      </c>
      <c r="HN12" s="35">
        <f t="shared" si="206"/>
        <v>4.4796279907226552E-2</v>
      </c>
      <c r="HO12" s="35">
        <f t="shared" si="207"/>
        <v>4.4788651283264147E-2</v>
      </c>
      <c r="HP12" s="35">
        <f t="shared" si="208"/>
        <v>-1.9012912249039005E-6</v>
      </c>
      <c r="HQ12" s="35">
        <f t="shared" si="209"/>
        <v>4.4781022659301749E-2</v>
      </c>
      <c r="HR12" s="35">
        <f t="shared" si="210"/>
        <v>4.4788651283264147E-2</v>
      </c>
      <c r="HS12" s="35">
        <f t="shared" si="211"/>
        <v>4.4784836971282951E-2</v>
      </c>
      <c r="HT12" s="35">
        <f t="shared" si="212"/>
        <v>2.2036426432503475E-6</v>
      </c>
      <c r="HU12" s="35">
        <f t="shared" si="213"/>
        <v>4.4784836971282951E-2</v>
      </c>
      <c r="HV12" s="35">
        <f t="shared" si="214"/>
        <v>4.4788651283264147E-2</v>
      </c>
      <c r="HW12" s="35">
        <f t="shared" si="215"/>
        <v>4.4786744127273549E-2</v>
      </c>
      <c r="HX12" s="35">
        <f t="shared" si="216"/>
        <v>1.5116844953588782E-7</v>
      </c>
      <c r="HY12" s="35">
        <f t="shared" si="217"/>
        <v>4.4786744127273549E-2</v>
      </c>
      <c r="HZ12" s="35">
        <f t="shared" si="218"/>
        <v>4.4788651283264147E-2</v>
      </c>
      <c r="IA12" s="35">
        <f t="shared" si="219"/>
        <v>4.4787697705268845E-2</v>
      </c>
      <c r="IB12" s="35">
        <f t="shared" si="220"/>
        <v>-8.7506320267660698E-7</v>
      </c>
      <c r="IC12" s="35">
        <f t="shared" si="221"/>
        <v>4.4786744127273549E-2</v>
      </c>
      <c r="ID12" s="35">
        <f t="shared" si="222"/>
        <v>4.4787697705268845E-2</v>
      </c>
      <c r="IE12" s="35">
        <f t="shared" si="223"/>
        <v>4.47872209162712E-2</v>
      </c>
      <c r="IF12" s="35">
        <f t="shared" si="224"/>
        <v>-3.619478303740209E-7</v>
      </c>
      <c r="IG12" s="35">
        <f t="shared" si="225"/>
        <v>4.4786744127273549E-2</v>
      </c>
      <c r="IH12" s="35">
        <f t="shared" si="226"/>
        <v>4.47872209162712E-2</v>
      </c>
      <c r="II12" s="35">
        <f t="shared" si="227"/>
        <v>4.4786982521772378E-2</v>
      </c>
      <c r="IJ12" s="35">
        <f t="shared" si="228"/>
        <v>-1.0538980377283735E-7</v>
      </c>
      <c r="IK12" s="35">
        <f t="shared" si="229"/>
        <v>4.4786744127273549E-2</v>
      </c>
      <c r="IL12" s="35">
        <f t="shared" si="230"/>
        <v>4.4786982521772378E-2</v>
      </c>
      <c r="IM12" s="35">
        <f t="shared" si="231"/>
        <v>4.478686332452296E-2</v>
      </c>
      <c r="IN12" s="35">
        <f t="shared" si="232"/>
        <v>2.2889294237771196E-8</v>
      </c>
      <c r="IO12" s="35">
        <f t="shared" si="233"/>
        <v>4.478686332452296E-2</v>
      </c>
      <c r="IP12" s="35">
        <f t="shared" si="234"/>
        <v>4.4786982521772378E-2</v>
      </c>
      <c r="IQ12" s="35">
        <f t="shared" si="235"/>
        <v>4.4786922923147669E-2</v>
      </c>
      <c r="IR12" s="35">
        <f t="shared" si="236"/>
        <v>-4.1250261650915832E-8</v>
      </c>
      <c r="IS12" s="35">
        <f t="shared" si="237"/>
        <v>4.478686332452296E-2</v>
      </c>
      <c r="IT12" s="35">
        <f t="shared" si="238"/>
        <v>4.4786922923147669E-2</v>
      </c>
      <c r="IU12" s="35">
        <f t="shared" si="239"/>
        <v>4.4786893123835311E-2</v>
      </c>
      <c r="IV12" s="35">
        <f t="shared" si="240"/>
        <v>-9.1804854829291571E-9</v>
      </c>
      <c r="IW12" s="35">
        <f t="shared" si="241"/>
        <v>4.478686332452296E-2</v>
      </c>
      <c r="IX12" s="35">
        <f t="shared" si="242"/>
        <v>4.4786893123835311E-2</v>
      </c>
      <c r="IY12" s="35">
        <f t="shared" si="243"/>
        <v>4.4786878224179136E-2</v>
      </c>
      <c r="IZ12" s="35">
        <f t="shared" si="244"/>
        <v>6.8544041553764146E-9</v>
      </c>
      <c r="JA12" s="35">
        <f t="shared" si="245"/>
        <v>4.4786878224179136E-2</v>
      </c>
      <c r="JB12" s="35">
        <f t="shared" si="246"/>
        <v>4.4786893123835311E-2</v>
      </c>
      <c r="JC12" s="35">
        <f t="shared" si="247"/>
        <v>4.4786885674007224E-2</v>
      </c>
      <c r="JD12" s="35">
        <f t="shared" si="248"/>
        <v>-1.1630407747986737E-9</v>
      </c>
      <c r="JE12" s="35">
        <f t="shared" si="249"/>
        <v>4.4786878224179136E-2</v>
      </c>
      <c r="JF12" s="35">
        <f t="shared" si="250"/>
        <v>4.4786885674007224E-2</v>
      </c>
      <c r="JG12" s="35">
        <f t="shared" si="251"/>
        <v>4.478688194909318E-2</v>
      </c>
      <c r="JH12" s="35">
        <f t="shared" si="252"/>
        <v>2.8456816902888704E-9</v>
      </c>
      <c r="JI12" s="35">
        <f t="shared" si="253"/>
        <v>4.478688194909318E-2</v>
      </c>
      <c r="JJ12" s="35">
        <f t="shared" si="254"/>
        <v>4.4786885674007224E-2</v>
      </c>
      <c r="JK12" s="35">
        <f t="shared" si="255"/>
        <v>4.4786883811550202E-2</v>
      </c>
      <c r="JL12" s="35">
        <f t="shared" si="256"/>
        <v>8.4132034672279588E-10</v>
      </c>
      <c r="JM12" s="35">
        <f t="shared" si="257"/>
        <v>4.4786883811550202E-2</v>
      </c>
      <c r="JN12" s="35">
        <f t="shared" si="258"/>
        <v>4.4786885674007224E-2</v>
      </c>
      <c r="JO12" s="35">
        <f t="shared" si="259"/>
        <v>4.4786884742778713E-2</v>
      </c>
      <c r="JP12" s="35">
        <f t="shared" si="260"/>
        <v>-1.6086032506024139E-10</v>
      </c>
      <c r="JQ12" s="35">
        <f t="shared" si="261"/>
        <v>4.4786883811550202E-2</v>
      </c>
      <c r="JR12" s="35">
        <f t="shared" si="262"/>
        <v>4.4786884742778713E-2</v>
      </c>
      <c r="JS12" s="35">
        <f t="shared" si="263"/>
        <v>4.4786884277164457E-2</v>
      </c>
      <c r="JT12" s="35">
        <f t="shared" si="264"/>
        <v>3.402302883870334E-10</v>
      </c>
      <c r="JU12" s="35">
        <f t="shared" si="265"/>
        <v>4.4786884277164457E-2</v>
      </c>
      <c r="JV12" s="35">
        <f t="shared" si="266"/>
        <v>4.4786884742778713E-2</v>
      </c>
      <c r="JW12" s="35">
        <f t="shared" si="267"/>
        <v>4.4786884509971585E-2</v>
      </c>
      <c r="JX12" s="35">
        <f t="shared" si="268"/>
        <v>8.968492615224477E-11</v>
      </c>
      <c r="JY12" s="35">
        <f t="shared" si="269"/>
        <v>4.4786884509971585E-2</v>
      </c>
      <c r="JZ12" s="35">
        <f t="shared" si="270"/>
        <v>4.4786884742778713E-2</v>
      </c>
      <c r="KA12" s="35">
        <f t="shared" si="271"/>
        <v>1.1133922946406529</v>
      </c>
      <c r="KB12" s="35">
        <f t="shared" si="272"/>
        <v>4.4786884626375145E-2</v>
      </c>
    </row>
    <row r="13" spans="1:288" ht="15" customHeight="1" x14ac:dyDescent="0.3">
      <c r="A13" s="30">
        <f>Odds_Input!A13</f>
        <v>5</v>
      </c>
      <c r="B13" s="7" t="str">
        <f>Odds_Input!B13</f>
        <v>TITLE</v>
      </c>
      <c r="C13" s="7" t="str">
        <f>Odds_Input!C13</f>
        <v>Cleveland Cavaliers</v>
      </c>
      <c r="D13" s="7" t="str">
        <f>Odds_Input!D13</f>
        <v>YES</v>
      </c>
      <c r="E13" s="31" t="str">
        <f>Odds_Input!E13</f>
        <v>-</v>
      </c>
      <c r="F13" s="32">
        <f>Odds_Input!F13</f>
        <v>2400</v>
      </c>
      <c r="G13" s="6" t="str">
        <f t="shared" si="0"/>
        <v>TITLE</v>
      </c>
      <c r="H13" s="14">
        <f t="shared" si="1"/>
        <v>25</v>
      </c>
      <c r="I13" s="33">
        <f t="shared" si="2"/>
        <v>0.04</v>
      </c>
      <c r="J13" s="17">
        <f t="shared" si="3"/>
        <v>1</v>
      </c>
      <c r="K13" s="17">
        <f t="shared" si="4"/>
        <v>30</v>
      </c>
      <c r="L13" s="18">
        <f t="shared" si="5"/>
        <v>1.252565192422864</v>
      </c>
      <c r="M13" s="34">
        <f t="shared" si="6"/>
        <v>0.25256519242286402</v>
      </c>
      <c r="N13" s="33">
        <f t="shared" si="7"/>
        <v>3.1934465560732317E-2</v>
      </c>
      <c r="O13" s="33">
        <f t="shared" si="8"/>
        <v>2.9064503861724992E-2</v>
      </c>
      <c r="P13" s="33">
        <f t="shared" si="9"/>
        <v>3.0783641580231089E-2</v>
      </c>
      <c r="Q13" s="33">
        <f t="shared" si="10"/>
        <v>3.0783641580231089E-2</v>
      </c>
      <c r="R13" s="35">
        <f t="shared" si="11"/>
        <v>1.0992153287166726</v>
      </c>
      <c r="S13" s="35">
        <f t="shared" si="12"/>
        <v>1.1051948455485863E-2</v>
      </c>
      <c r="X13" s="6" t="s">
        <v>273</v>
      </c>
      <c r="Y13" s="6">
        <f t="shared" si="13"/>
        <v>1</v>
      </c>
      <c r="Z13" s="18">
        <f t="shared" si="14"/>
        <v>1.118450515002239</v>
      </c>
      <c r="AA13" s="10">
        <v>0.2</v>
      </c>
      <c r="AB13" s="10">
        <v>10</v>
      </c>
      <c r="AC13" s="35">
        <f t="shared" si="15"/>
        <v>5.0999999999999996</v>
      </c>
      <c r="AD13" s="35">
        <f t="shared" si="16"/>
        <v>-0.99149822078703609</v>
      </c>
      <c r="AE13" s="35">
        <f t="shared" si="17"/>
        <v>0.2</v>
      </c>
      <c r="AF13" s="35">
        <f t="shared" si="18"/>
        <v>5.0999999999999996</v>
      </c>
      <c r="AG13" s="35">
        <f t="shared" si="19"/>
        <v>2.65</v>
      </c>
      <c r="AH13" s="35">
        <f t="shared" si="20"/>
        <v>-0.86107276172299041</v>
      </c>
      <c r="AI13" s="35">
        <f t="shared" si="21"/>
        <v>0.2</v>
      </c>
      <c r="AJ13" s="35">
        <f t="shared" si="22"/>
        <v>2.65</v>
      </c>
      <c r="AK13" s="35">
        <f t="shared" si="23"/>
        <v>1.425</v>
      </c>
      <c r="AL13" s="35">
        <f t="shared" si="24"/>
        <v>-0.36650913492826576</v>
      </c>
      <c r="AM13" s="35">
        <f t="shared" si="25"/>
        <v>0.2</v>
      </c>
      <c r="AN13" s="35">
        <f t="shared" si="26"/>
        <v>1.425</v>
      </c>
      <c r="AO13" s="35">
        <f t="shared" si="27"/>
        <v>0.8125</v>
      </c>
      <c r="AP13" s="35">
        <f t="shared" si="28"/>
        <v>0.45251685812536802</v>
      </c>
      <c r="AQ13" s="35">
        <f t="shared" si="29"/>
        <v>0.8125</v>
      </c>
      <c r="AR13" s="35">
        <f t="shared" si="30"/>
        <v>1.425</v>
      </c>
      <c r="AS13" s="35">
        <f t="shared" si="31"/>
        <v>1.1187499999999999</v>
      </c>
      <c r="AT13" s="35">
        <f t="shared" si="32"/>
        <v>-4.875726148016013E-2</v>
      </c>
      <c r="AU13" s="35">
        <f t="shared" si="33"/>
        <v>0.8125</v>
      </c>
      <c r="AV13" s="35">
        <f t="shared" si="34"/>
        <v>1.1187499999999999</v>
      </c>
      <c r="AW13" s="35">
        <f t="shared" si="35"/>
        <v>0.96562499999999996</v>
      </c>
      <c r="AX13" s="35">
        <f t="shared" si="36"/>
        <v>0.17271296426757488</v>
      </c>
      <c r="AY13" s="35">
        <f t="shared" si="37"/>
        <v>0.96562499999999996</v>
      </c>
      <c r="AZ13" s="35">
        <f t="shared" si="38"/>
        <v>1.1187499999999999</v>
      </c>
      <c r="BA13" s="35">
        <f t="shared" si="39"/>
        <v>1.0421874999999998</v>
      </c>
      <c r="BB13" s="35">
        <f t="shared" si="40"/>
        <v>5.5605615827437171E-2</v>
      </c>
      <c r="BC13" s="35">
        <f t="shared" si="41"/>
        <v>1.0421874999999998</v>
      </c>
      <c r="BD13" s="35">
        <f t="shared" si="42"/>
        <v>1.1187499999999999</v>
      </c>
      <c r="BE13" s="35">
        <f t="shared" si="43"/>
        <v>1.0804687499999999</v>
      </c>
      <c r="BF13" s="35">
        <f t="shared" si="44"/>
        <v>1.9319494903882184E-3</v>
      </c>
      <c r="BG13" s="35">
        <f t="shared" si="45"/>
        <v>1.0804687499999999</v>
      </c>
      <c r="BH13" s="35">
        <f t="shared" si="46"/>
        <v>1.1187499999999999</v>
      </c>
      <c r="BI13" s="35">
        <f t="shared" si="47"/>
        <v>1.099609375</v>
      </c>
      <c r="BJ13" s="35">
        <f t="shared" si="48"/>
        <v>-2.3773888272145549E-2</v>
      </c>
      <c r="BK13" s="35">
        <f t="shared" si="49"/>
        <v>1.0804687499999999</v>
      </c>
      <c r="BL13" s="35">
        <f t="shared" si="50"/>
        <v>1.099609375</v>
      </c>
      <c r="BM13" s="35">
        <f t="shared" si="51"/>
        <v>1.0900390624999998</v>
      </c>
      <c r="BN13" s="35">
        <f t="shared" si="52"/>
        <v>-1.1012722528470076E-2</v>
      </c>
      <c r="BO13" s="35">
        <f t="shared" si="53"/>
        <v>1.0804687499999999</v>
      </c>
      <c r="BP13" s="35">
        <f t="shared" si="54"/>
        <v>1.0900390624999998</v>
      </c>
      <c r="BQ13" s="35">
        <f t="shared" si="55"/>
        <v>1.0852539062499997</v>
      </c>
      <c r="BR13" s="35">
        <f t="shared" si="56"/>
        <v>-4.5635082741227739E-3</v>
      </c>
      <c r="BS13" s="35">
        <f t="shared" si="57"/>
        <v>1.0804687499999999</v>
      </c>
      <c r="BT13" s="35">
        <f t="shared" si="58"/>
        <v>1.0852539062499997</v>
      </c>
      <c r="BU13" s="35">
        <f t="shared" si="59"/>
        <v>1.0828613281249999</v>
      </c>
      <c r="BV13" s="35">
        <f t="shared" si="60"/>
        <v>-1.321582944432742E-3</v>
      </c>
      <c r="BW13" s="35">
        <f t="shared" si="61"/>
        <v>1.0804687499999999</v>
      </c>
      <c r="BX13" s="35">
        <f t="shared" si="62"/>
        <v>1.0828613281249999</v>
      </c>
      <c r="BY13" s="35">
        <f t="shared" si="63"/>
        <v>1.0816650390625</v>
      </c>
      <c r="BZ13" s="35">
        <f t="shared" si="64"/>
        <v>3.037294842809235E-4</v>
      </c>
      <c r="CA13" s="35">
        <f t="shared" si="65"/>
        <v>1.0816650390625</v>
      </c>
      <c r="CB13" s="35">
        <f t="shared" si="66"/>
        <v>1.0828613281249999</v>
      </c>
      <c r="CC13" s="35">
        <f t="shared" si="67"/>
        <v>1.08226318359375</v>
      </c>
      <c r="CD13" s="35">
        <f t="shared" si="68"/>
        <v>-5.0928981417308616E-4</v>
      </c>
      <c r="CE13" s="35">
        <f t="shared" si="69"/>
        <v>1.0816650390625</v>
      </c>
      <c r="CF13" s="35">
        <f t="shared" si="70"/>
        <v>1.08226318359375</v>
      </c>
      <c r="CG13" s="35">
        <f t="shared" si="71"/>
        <v>1.0819641113281251</v>
      </c>
      <c r="CH13" s="35">
        <f t="shared" si="72"/>
        <v>-1.0287098132333306E-4</v>
      </c>
      <c r="CI13" s="35">
        <f t="shared" si="73"/>
        <v>1.0816650390625</v>
      </c>
      <c r="CJ13" s="35">
        <f t="shared" si="74"/>
        <v>1.0819641113281251</v>
      </c>
      <c r="CK13" s="35">
        <f t="shared" si="75"/>
        <v>1.0818145751953125</v>
      </c>
      <c r="CL13" s="35">
        <f t="shared" si="76"/>
        <v>1.0040654171272756E-4</v>
      </c>
      <c r="CM13" s="35">
        <f t="shared" si="77"/>
        <v>1.0818145751953125</v>
      </c>
      <c r="CN13" s="35">
        <f t="shared" si="78"/>
        <v>1.0819641113281251</v>
      </c>
      <c r="CO13" s="35">
        <f t="shared" si="79"/>
        <v>1.0818893432617189</v>
      </c>
      <c r="CP13" s="35">
        <f t="shared" si="80"/>
        <v>-1.2378965379422624E-6</v>
      </c>
      <c r="CQ13" s="35">
        <f t="shared" si="81"/>
        <v>1.0818145751953125</v>
      </c>
      <c r="CR13" s="35">
        <f t="shared" si="82"/>
        <v>1.0818893432617189</v>
      </c>
      <c r="CS13" s="35">
        <f t="shared" si="83"/>
        <v>1.0818519592285156</v>
      </c>
      <c r="CT13" s="35">
        <f t="shared" si="84"/>
        <v>4.9582903315803506E-5</v>
      </c>
      <c r="CU13" s="35">
        <f t="shared" si="85"/>
        <v>1.0818519592285156</v>
      </c>
      <c r="CV13" s="35">
        <f t="shared" si="86"/>
        <v>1.0818893432617189</v>
      </c>
      <c r="CW13" s="35">
        <f t="shared" si="87"/>
        <v>1.0818706512451173</v>
      </c>
      <c r="CX13" s="35">
        <f t="shared" si="88"/>
        <v>2.4172148582080055E-5</v>
      </c>
      <c r="CY13" s="35">
        <f t="shared" si="89"/>
        <v>1.0818706512451173</v>
      </c>
      <c r="CZ13" s="35">
        <f t="shared" si="90"/>
        <v>1.0818893432617189</v>
      </c>
      <c r="DA13" s="35">
        <f t="shared" si="91"/>
        <v>1.0818799972534181</v>
      </c>
      <c r="DB13" s="35">
        <f t="shared" si="92"/>
        <v>1.1467037321910567E-5</v>
      </c>
      <c r="DC13" s="35">
        <f t="shared" si="93"/>
        <v>1.0818799972534181</v>
      </c>
      <c r="DD13" s="35">
        <f t="shared" si="94"/>
        <v>1.0818893432617189</v>
      </c>
      <c r="DE13" s="35">
        <f t="shared" si="95"/>
        <v>1.0818846702575686</v>
      </c>
      <c r="DF13" s="35">
        <f t="shared" si="96"/>
        <v>5.11454821694457E-6</v>
      </c>
      <c r="DG13" s="35">
        <f t="shared" si="97"/>
        <v>1.0818846702575686</v>
      </c>
      <c r="DH13" s="35">
        <f t="shared" si="98"/>
        <v>1.0818893432617189</v>
      </c>
      <c r="DI13" s="35">
        <f t="shared" si="99"/>
        <v>1.0818870067596438</v>
      </c>
      <c r="DJ13" s="35">
        <f t="shared" si="100"/>
        <v>1.9383202958245249E-6</v>
      </c>
      <c r="DK13" s="35">
        <f t="shared" si="101"/>
        <v>1.0818870067596438</v>
      </c>
      <c r="DL13" s="35">
        <f t="shared" si="102"/>
        <v>1.0818893432617189</v>
      </c>
      <c r="DM13" s="35">
        <f t="shared" si="103"/>
        <v>1.0818881750106812</v>
      </c>
      <c r="DN13" s="35">
        <f t="shared" si="104"/>
        <v>3.5021049304972962E-7</v>
      </c>
      <c r="DO13" s="35">
        <f t="shared" si="105"/>
        <v>1.0818881750106812</v>
      </c>
      <c r="DP13" s="35">
        <f t="shared" si="106"/>
        <v>1.0818893432617189</v>
      </c>
      <c r="DQ13" s="35">
        <f t="shared" si="107"/>
        <v>1.0818887591362001</v>
      </c>
      <c r="DR13" s="35">
        <f t="shared" si="108"/>
        <v>-4.4384336883585007E-7</v>
      </c>
      <c r="DS13" s="35">
        <f t="shared" si="109"/>
        <v>1.0818881750106812</v>
      </c>
      <c r="DT13" s="35">
        <f t="shared" si="110"/>
        <v>1.0818887591362001</v>
      </c>
      <c r="DU13" s="35">
        <f t="shared" si="111"/>
        <v>1.0818884670734406</v>
      </c>
      <c r="DV13" s="35">
        <f t="shared" si="112"/>
        <v>-4.6816524434944995E-8</v>
      </c>
      <c r="DW13" s="35">
        <f t="shared" si="113"/>
        <v>1.0818881750106812</v>
      </c>
      <c r="DX13" s="35">
        <f t="shared" si="114"/>
        <v>1.0818884670734406</v>
      </c>
      <c r="DY13" s="35">
        <f t="shared" si="115"/>
        <v>1.0818883210420609</v>
      </c>
      <c r="DZ13" s="35">
        <f t="shared" si="116"/>
        <v>1.5169696276906564E-7</v>
      </c>
      <c r="EA13" s="35">
        <f t="shared" si="117"/>
        <v>1.0818883210420609</v>
      </c>
      <c r="EB13" s="35">
        <f t="shared" si="118"/>
        <v>1.0818884670734406</v>
      </c>
      <c r="EC13" s="35">
        <f t="shared" si="119"/>
        <v>1.0818883940577506</v>
      </c>
      <c r="ED13" s="35">
        <f t="shared" si="120"/>
        <v>5.2440213949012104E-8</v>
      </c>
      <c r="EE13" s="35">
        <f t="shared" si="121"/>
        <v>1.0818883940577506</v>
      </c>
      <c r="EF13" s="35">
        <f t="shared" si="122"/>
        <v>1.0818884670734406</v>
      </c>
      <c r="EG13" s="35">
        <f t="shared" si="123"/>
        <v>1.0818884305655956</v>
      </c>
      <c r="EH13" s="35">
        <f t="shared" si="124"/>
        <v>2.8118434247659252E-9</v>
      </c>
      <c r="EI13" s="35">
        <f t="shared" si="125"/>
        <v>1.0818884305655956</v>
      </c>
      <c r="EJ13" s="35">
        <f t="shared" si="126"/>
        <v>1.0818884670734406</v>
      </c>
      <c r="EK13" s="35">
        <f t="shared" si="127"/>
        <v>1.0818884488195182</v>
      </c>
      <c r="EL13" s="35">
        <f t="shared" si="128"/>
        <v>-2.2002340949178745E-8</v>
      </c>
      <c r="EM13" s="35">
        <f t="shared" si="129"/>
        <v>1.0818884305655956</v>
      </c>
      <c r="EN13" s="35">
        <f t="shared" si="130"/>
        <v>1.0818884488195182</v>
      </c>
      <c r="EO13" s="35">
        <f t="shared" si="131"/>
        <v>1.0818884396925568</v>
      </c>
      <c r="EP13" s="35">
        <f t="shared" si="132"/>
        <v>-9.595248817717561E-9</v>
      </c>
      <c r="EQ13" s="35">
        <f t="shared" si="133"/>
        <v>1.0818884305655956</v>
      </c>
      <c r="ER13" s="35">
        <f t="shared" si="134"/>
        <v>1.0818884396925568</v>
      </c>
      <c r="ES13" s="35">
        <f t="shared" si="135"/>
        <v>1.0818884351290761</v>
      </c>
      <c r="ET13" s="35">
        <f t="shared" si="136"/>
        <v>-3.3917026964758179E-9</v>
      </c>
      <c r="EU13" s="35">
        <f t="shared" si="137"/>
        <v>1.0818884305655956</v>
      </c>
      <c r="EV13" s="35">
        <f t="shared" si="138"/>
        <v>1.0818884351290761</v>
      </c>
      <c r="EW13" s="35">
        <f t="shared" si="139"/>
        <v>1.0818884328473359</v>
      </c>
      <c r="EX13" s="35">
        <f t="shared" si="140"/>
        <v>-2.8992974687724882E-10</v>
      </c>
      <c r="EY13" s="35">
        <f t="shared" si="141"/>
        <v>1.0818884305655956</v>
      </c>
      <c r="EZ13" s="35">
        <f t="shared" si="142"/>
        <v>1.0818884328473359</v>
      </c>
      <c r="FA13" s="10">
        <v>9.9999999999999995E-7</v>
      </c>
      <c r="FB13" s="10">
        <v>0.99990000000000001</v>
      </c>
      <c r="FC13" s="35">
        <f t="shared" si="143"/>
        <v>0.49995050000000002</v>
      </c>
      <c r="FD13" s="35">
        <f t="shared" si="144"/>
        <v>-0.52246075949944837</v>
      </c>
      <c r="FE13" s="35">
        <f t="shared" si="145"/>
        <v>9.9999999999999995E-7</v>
      </c>
      <c r="FF13" s="35">
        <f t="shared" si="146"/>
        <v>0.49995050000000002</v>
      </c>
      <c r="FG13" s="35">
        <f t="shared" si="147"/>
        <v>0.24997575</v>
      </c>
      <c r="FH13" s="35">
        <f t="shared" si="148"/>
        <v>-0.31143899099669681</v>
      </c>
      <c r="FI13" s="35">
        <f t="shared" si="149"/>
        <v>9.9999999999999995E-7</v>
      </c>
      <c r="FJ13" s="35">
        <f t="shared" si="150"/>
        <v>0.24997575</v>
      </c>
      <c r="FK13" s="35">
        <f t="shared" si="151"/>
        <v>0.124988375</v>
      </c>
      <c r="FL13" s="35">
        <f t="shared" si="152"/>
        <v>-0.15482552621293644</v>
      </c>
      <c r="FM13" s="35">
        <f t="shared" si="153"/>
        <v>9.9999999999999995E-7</v>
      </c>
      <c r="FN13" s="35">
        <f t="shared" si="154"/>
        <v>0.124988375</v>
      </c>
      <c r="FO13" s="35">
        <f t="shared" si="155"/>
        <v>6.24946875E-2</v>
      </c>
      <c r="FP13" s="35">
        <f t="shared" si="156"/>
        <v>-5.7061784895190204E-2</v>
      </c>
      <c r="FQ13" s="35">
        <f t="shared" si="157"/>
        <v>9.9999999999999995E-7</v>
      </c>
      <c r="FR13" s="35">
        <f t="shared" si="158"/>
        <v>6.24946875E-2</v>
      </c>
      <c r="FS13" s="35">
        <f t="shared" si="159"/>
        <v>3.124784375E-2</v>
      </c>
      <c r="FT13" s="35">
        <f t="shared" si="160"/>
        <v>-1.9364543797109057E-3</v>
      </c>
      <c r="FU13" s="35">
        <f t="shared" si="161"/>
        <v>9.9999999999999995E-7</v>
      </c>
      <c r="FV13" s="35">
        <f t="shared" si="162"/>
        <v>3.124784375E-2</v>
      </c>
      <c r="FW13" s="35">
        <f t="shared" si="163"/>
        <v>1.5624421875000001E-2</v>
      </c>
      <c r="FX13" s="35">
        <f t="shared" si="164"/>
        <v>2.7281263264078426E-2</v>
      </c>
      <c r="FY13" s="35">
        <f t="shared" si="165"/>
        <v>1.5624421875000001E-2</v>
      </c>
      <c r="FZ13" s="35">
        <f t="shared" si="166"/>
        <v>3.124784375E-2</v>
      </c>
      <c r="GA13" s="35">
        <f t="shared" si="167"/>
        <v>2.34361328125E-2</v>
      </c>
      <c r="GB13" s="35">
        <f t="shared" si="168"/>
        <v>1.2535865919794054E-2</v>
      </c>
      <c r="GC13" s="35">
        <f t="shared" si="169"/>
        <v>2.34361328125E-2</v>
      </c>
      <c r="GD13" s="35">
        <f t="shared" si="170"/>
        <v>3.124784375E-2</v>
      </c>
      <c r="GE13" s="35">
        <f t="shared" si="171"/>
        <v>2.734198828125E-2</v>
      </c>
      <c r="GF13" s="35">
        <f t="shared" si="172"/>
        <v>5.2653119447403363E-3</v>
      </c>
      <c r="GG13" s="35">
        <f t="shared" si="173"/>
        <v>2.734198828125E-2</v>
      </c>
      <c r="GH13" s="35">
        <f t="shared" si="174"/>
        <v>3.124784375E-2</v>
      </c>
      <c r="GI13" s="35">
        <f t="shared" si="175"/>
        <v>2.9294916015624999E-2</v>
      </c>
      <c r="GJ13" s="35">
        <f t="shared" si="176"/>
        <v>1.6558060313542899E-3</v>
      </c>
      <c r="GK13" s="35">
        <f t="shared" si="177"/>
        <v>2.9294916015624999E-2</v>
      </c>
      <c r="GL13" s="35">
        <f t="shared" si="178"/>
        <v>3.124784375E-2</v>
      </c>
      <c r="GM13" s="35">
        <f t="shared" si="179"/>
        <v>3.0271379882812498E-2</v>
      </c>
      <c r="GN13" s="35">
        <f t="shared" si="180"/>
        <v>-1.4248240278147417E-4</v>
      </c>
      <c r="GO13" s="35">
        <f t="shared" si="181"/>
        <v>2.9294916015624999E-2</v>
      </c>
      <c r="GP13" s="35">
        <f t="shared" si="182"/>
        <v>3.0271379882812498E-2</v>
      </c>
      <c r="GQ13" s="35">
        <f t="shared" si="183"/>
        <v>2.9783147949218748E-2</v>
      </c>
      <c r="GR13" s="35">
        <f t="shared" si="184"/>
        <v>7.5612255284074337E-4</v>
      </c>
      <c r="GS13" s="35">
        <f t="shared" si="185"/>
        <v>2.9783147949218748E-2</v>
      </c>
      <c r="GT13" s="35">
        <f t="shared" si="186"/>
        <v>3.0271379882812498E-2</v>
      </c>
      <c r="GU13" s="35">
        <f t="shared" si="187"/>
        <v>3.0027263916015623E-2</v>
      </c>
      <c r="GV13" s="35">
        <f t="shared" si="188"/>
        <v>3.0668522134380538E-4</v>
      </c>
      <c r="GW13" s="35">
        <f t="shared" si="189"/>
        <v>3.0027263916015623E-2</v>
      </c>
      <c r="GX13" s="35">
        <f t="shared" si="190"/>
        <v>3.0271379882812498E-2</v>
      </c>
      <c r="GY13" s="35">
        <f t="shared" si="191"/>
        <v>3.014932189941406E-2</v>
      </c>
      <c r="GZ13" s="35">
        <f t="shared" si="192"/>
        <v>8.206769118834778E-5</v>
      </c>
      <c r="HA13" s="35">
        <f t="shared" si="193"/>
        <v>3.014932189941406E-2</v>
      </c>
      <c r="HB13" s="35">
        <f t="shared" si="194"/>
        <v>3.0271379882812498E-2</v>
      </c>
      <c r="HC13" s="35">
        <f t="shared" si="195"/>
        <v>3.0210350891113277E-2</v>
      </c>
      <c r="HD13" s="35">
        <f t="shared" si="196"/>
        <v>-3.0215785896015035E-5</v>
      </c>
      <c r="HE13" s="35">
        <f t="shared" si="197"/>
        <v>3.014932189941406E-2</v>
      </c>
      <c r="HF13" s="35">
        <f t="shared" si="198"/>
        <v>3.0210350891113277E-2</v>
      </c>
      <c r="HG13" s="35">
        <f t="shared" si="199"/>
        <v>3.0179836395263671E-2</v>
      </c>
      <c r="HH13" s="35">
        <f t="shared" si="200"/>
        <v>2.5923845192954431E-5</v>
      </c>
      <c r="HI13" s="35">
        <f t="shared" si="201"/>
        <v>3.0179836395263671E-2</v>
      </c>
      <c r="HJ13" s="35">
        <f t="shared" si="202"/>
        <v>3.0210350891113277E-2</v>
      </c>
      <c r="HK13" s="35">
        <f t="shared" si="203"/>
        <v>3.0195093643188474E-2</v>
      </c>
      <c r="HL13" s="35">
        <f t="shared" si="204"/>
        <v>-2.146497223742827E-6</v>
      </c>
      <c r="HM13" s="35">
        <f t="shared" si="205"/>
        <v>3.0179836395263671E-2</v>
      </c>
      <c r="HN13" s="35">
        <f t="shared" si="206"/>
        <v>3.0195093643188474E-2</v>
      </c>
      <c r="HO13" s="35">
        <f t="shared" si="207"/>
        <v>3.0187465019226072E-2</v>
      </c>
      <c r="HP13" s="35">
        <f t="shared" si="208"/>
        <v>1.1888542267746161E-5</v>
      </c>
      <c r="HQ13" s="35">
        <f t="shared" si="209"/>
        <v>3.0187465019226072E-2</v>
      </c>
      <c r="HR13" s="35">
        <f t="shared" si="210"/>
        <v>3.0195093643188474E-2</v>
      </c>
      <c r="HS13" s="35">
        <f t="shared" si="211"/>
        <v>3.0191279331207271E-2</v>
      </c>
      <c r="HT13" s="35">
        <f t="shared" si="212"/>
        <v>4.8709895925647118E-6</v>
      </c>
      <c r="HU13" s="35">
        <f t="shared" si="213"/>
        <v>3.0191279331207271E-2</v>
      </c>
      <c r="HV13" s="35">
        <f t="shared" si="214"/>
        <v>3.0195093643188474E-2</v>
      </c>
      <c r="HW13" s="35">
        <f t="shared" si="215"/>
        <v>3.0193186487197873E-2</v>
      </c>
      <c r="HX13" s="35">
        <f t="shared" si="216"/>
        <v>1.3622379522182371E-6</v>
      </c>
      <c r="HY13" s="35">
        <f t="shared" si="217"/>
        <v>3.0193186487197873E-2</v>
      </c>
      <c r="HZ13" s="35">
        <f t="shared" si="218"/>
        <v>3.0195093643188474E-2</v>
      </c>
      <c r="IA13" s="35">
        <f t="shared" si="219"/>
        <v>3.0194140065193172E-2</v>
      </c>
      <c r="IB13" s="35">
        <f t="shared" si="220"/>
        <v>-3.9213169389373803E-7</v>
      </c>
      <c r="IC13" s="35">
        <f t="shared" si="221"/>
        <v>3.0193186487197873E-2</v>
      </c>
      <c r="ID13" s="35">
        <f t="shared" si="222"/>
        <v>3.0194140065193172E-2</v>
      </c>
      <c r="IE13" s="35">
        <f t="shared" si="223"/>
        <v>3.019366327619552E-2</v>
      </c>
      <c r="IF13" s="35">
        <f t="shared" si="224"/>
        <v>4.8505261451836645E-7</v>
      </c>
      <c r="IG13" s="35">
        <f t="shared" si="225"/>
        <v>3.019366327619552E-2</v>
      </c>
      <c r="IH13" s="35">
        <f t="shared" si="226"/>
        <v>3.0194140065193172E-2</v>
      </c>
      <c r="II13" s="35">
        <f t="shared" si="227"/>
        <v>3.0193901670694346E-2</v>
      </c>
      <c r="IJ13" s="35">
        <f t="shared" si="228"/>
        <v>4.6460331803999111E-8</v>
      </c>
      <c r="IK13" s="35">
        <f t="shared" si="229"/>
        <v>3.0193901670694346E-2</v>
      </c>
      <c r="IL13" s="35">
        <f t="shared" si="230"/>
        <v>3.0194140065193172E-2</v>
      </c>
      <c r="IM13" s="35">
        <f t="shared" si="231"/>
        <v>3.019402086794376E-2</v>
      </c>
      <c r="IN13" s="35">
        <f t="shared" si="232"/>
        <v>-1.7283571318582602E-7</v>
      </c>
      <c r="IO13" s="35">
        <f t="shared" si="233"/>
        <v>3.0193901670694346E-2</v>
      </c>
      <c r="IP13" s="35">
        <f t="shared" si="234"/>
        <v>3.019402086794376E-2</v>
      </c>
      <c r="IQ13" s="35">
        <f t="shared" si="235"/>
        <v>3.0193961269319051E-2</v>
      </c>
      <c r="IR13" s="35">
        <f t="shared" si="236"/>
        <v>-6.318769896207499E-8</v>
      </c>
      <c r="IS13" s="35">
        <f t="shared" si="237"/>
        <v>3.0193901670694346E-2</v>
      </c>
      <c r="IT13" s="35">
        <f t="shared" si="238"/>
        <v>3.0193961269319051E-2</v>
      </c>
      <c r="IU13" s="35">
        <f t="shared" si="239"/>
        <v>3.01939314700067E-2</v>
      </c>
      <c r="IV13" s="35">
        <f t="shared" si="240"/>
        <v>-8.3636855219282324E-9</v>
      </c>
      <c r="IW13" s="35">
        <f t="shared" si="241"/>
        <v>3.0193901670694346E-2</v>
      </c>
      <c r="IX13" s="35">
        <f t="shared" si="242"/>
        <v>3.01939314700067E-2</v>
      </c>
      <c r="IY13" s="35">
        <f t="shared" si="243"/>
        <v>3.0193916570350525E-2</v>
      </c>
      <c r="IZ13" s="35">
        <f t="shared" si="244"/>
        <v>1.9048322474901624E-8</v>
      </c>
      <c r="JA13" s="35">
        <f t="shared" si="245"/>
        <v>3.0193916570350525E-2</v>
      </c>
      <c r="JB13" s="35">
        <f t="shared" si="246"/>
        <v>3.01939314700067E-2</v>
      </c>
      <c r="JC13" s="35">
        <f t="shared" si="247"/>
        <v>3.0193924020178613E-2</v>
      </c>
      <c r="JD13" s="35">
        <f t="shared" si="248"/>
        <v>5.3423185875089985E-9</v>
      </c>
      <c r="JE13" s="35">
        <f t="shared" si="249"/>
        <v>3.0193924020178613E-2</v>
      </c>
      <c r="JF13" s="35">
        <f t="shared" si="250"/>
        <v>3.01939314700067E-2</v>
      </c>
      <c r="JG13" s="35">
        <f t="shared" si="251"/>
        <v>3.0193927745092657E-2</v>
      </c>
      <c r="JH13" s="35">
        <f t="shared" si="252"/>
        <v>-1.5106836892542219E-9</v>
      </c>
      <c r="JI13" s="35">
        <f t="shared" si="253"/>
        <v>3.0193924020178613E-2</v>
      </c>
      <c r="JJ13" s="35">
        <f t="shared" si="254"/>
        <v>3.0193927745092657E-2</v>
      </c>
      <c r="JK13" s="35">
        <f t="shared" si="255"/>
        <v>3.0193925882635635E-2</v>
      </c>
      <c r="JL13" s="35">
        <f t="shared" si="256"/>
        <v>1.9158175046385395E-9</v>
      </c>
      <c r="JM13" s="35">
        <f t="shared" si="257"/>
        <v>3.0193925882635635E-2</v>
      </c>
      <c r="JN13" s="35">
        <f t="shared" si="258"/>
        <v>3.0193927745092657E-2</v>
      </c>
      <c r="JO13" s="35">
        <f t="shared" si="259"/>
        <v>3.0193926813864146E-2</v>
      </c>
      <c r="JP13" s="35">
        <f t="shared" si="260"/>
        <v>2.0256685218100756E-10</v>
      </c>
      <c r="JQ13" s="35">
        <f t="shared" si="261"/>
        <v>3.0193926813864146E-2</v>
      </c>
      <c r="JR13" s="35">
        <f t="shared" si="262"/>
        <v>3.0193927745092657E-2</v>
      </c>
      <c r="JS13" s="35">
        <f t="shared" si="263"/>
        <v>3.0193927279478401E-2</v>
      </c>
      <c r="JT13" s="35">
        <f t="shared" si="264"/>
        <v>-6.5405858507006087E-10</v>
      </c>
      <c r="JU13" s="35">
        <f t="shared" si="265"/>
        <v>3.0193926813864146E-2</v>
      </c>
      <c r="JV13" s="35">
        <f t="shared" si="266"/>
        <v>3.0193927279478401E-2</v>
      </c>
      <c r="JW13" s="35">
        <f t="shared" si="267"/>
        <v>3.0193927046671273E-2</v>
      </c>
      <c r="JX13" s="35">
        <f t="shared" si="268"/>
        <v>-2.2574575542222419E-10</v>
      </c>
      <c r="JY13" s="35">
        <f t="shared" si="269"/>
        <v>3.0193926813864146E-2</v>
      </c>
      <c r="JZ13" s="35">
        <f t="shared" si="270"/>
        <v>3.0193927046671273E-2</v>
      </c>
      <c r="KA13" s="35">
        <f t="shared" si="271"/>
        <v>1.0818884317064659</v>
      </c>
      <c r="KB13" s="35">
        <f t="shared" si="272"/>
        <v>3.0193926930267709E-2</v>
      </c>
    </row>
    <row r="14" spans="1:288" ht="15" customHeight="1" x14ac:dyDescent="0.3">
      <c r="A14" s="30">
        <f>Odds_Input!A14</f>
        <v>6</v>
      </c>
      <c r="B14" s="7" t="str">
        <f>Odds_Input!B14</f>
        <v>TITLE</v>
      </c>
      <c r="C14" s="7" t="str">
        <f>Odds_Input!C14</f>
        <v>Dallas Mavericks</v>
      </c>
      <c r="D14" s="7" t="str">
        <f>Odds_Input!D14</f>
        <v>YES</v>
      </c>
      <c r="E14" s="31" t="str">
        <f>Odds_Input!E14</f>
        <v>-</v>
      </c>
      <c r="F14" s="32">
        <f>Odds_Input!F14</f>
        <v>16000</v>
      </c>
      <c r="G14" s="6" t="str">
        <f t="shared" si="0"/>
        <v>TITLE</v>
      </c>
      <c r="H14" s="14">
        <f t="shared" si="1"/>
        <v>161</v>
      </c>
      <c r="I14" s="33">
        <f t="shared" si="2"/>
        <v>6.2111801242236021E-3</v>
      </c>
      <c r="J14" s="17">
        <f t="shared" si="3"/>
        <v>1</v>
      </c>
      <c r="K14" s="17">
        <f t="shared" si="4"/>
        <v>30</v>
      </c>
      <c r="L14" s="18">
        <f t="shared" si="5"/>
        <v>1.252565192422864</v>
      </c>
      <c r="M14" s="34">
        <f t="shared" si="6"/>
        <v>0.25256519242286402</v>
      </c>
      <c r="N14" s="33">
        <f t="shared" si="7"/>
        <v>4.9587679442130925E-3</v>
      </c>
      <c r="O14" s="33">
        <f t="shared" si="8"/>
        <v>3.7516573771493966E-3</v>
      </c>
      <c r="P14" s="33">
        <f t="shared" si="9"/>
        <v>2.3095310156766853E-3</v>
      </c>
      <c r="Q14" s="33">
        <f t="shared" si="10"/>
        <v>2.3095310156766853E-3</v>
      </c>
      <c r="R14" s="35">
        <f t="shared" si="11"/>
        <v>1.0992153287166726</v>
      </c>
      <c r="S14" s="35">
        <f t="shared" si="12"/>
        <v>1.1051948455485863E-2</v>
      </c>
      <c r="X14" s="6" t="s">
        <v>274</v>
      </c>
      <c r="Y14" s="6">
        <f t="shared" si="13"/>
        <v>1</v>
      </c>
      <c r="Z14" s="18">
        <f t="shared" si="14"/>
        <v>1.1129211191777471</v>
      </c>
      <c r="AA14" s="10">
        <v>0.2</v>
      </c>
      <c r="AB14" s="10">
        <v>10</v>
      </c>
      <c r="AC14" s="35">
        <f t="shared" si="15"/>
        <v>5.0999999999999996</v>
      </c>
      <c r="AD14" s="35">
        <f t="shared" si="16"/>
        <v>-0.51798546159800729</v>
      </c>
      <c r="AE14" s="35">
        <f t="shared" si="17"/>
        <v>0.2</v>
      </c>
      <c r="AF14" s="35">
        <f t="shared" si="18"/>
        <v>5.0999999999999996</v>
      </c>
      <c r="AG14" s="35">
        <f t="shared" si="19"/>
        <v>2.65</v>
      </c>
      <c r="AH14" s="35">
        <f t="shared" si="20"/>
        <v>-0.31101962180190346</v>
      </c>
      <c r="AI14" s="35">
        <f t="shared" si="21"/>
        <v>0.2</v>
      </c>
      <c r="AJ14" s="35">
        <f t="shared" si="22"/>
        <v>2.65</v>
      </c>
      <c r="AK14" s="35">
        <f t="shared" si="23"/>
        <v>1.425</v>
      </c>
      <c r="AL14" s="35">
        <f t="shared" si="24"/>
        <v>-9.991872430343951E-2</v>
      </c>
      <c r="AM14" s="35">
        <f t="shared" si="25"/>
        <v>0.2</v>
      </c>
      <c r="AN14" s="35">
        <f t="shared" si="26"/>
        <v>1.425</v>
      </c>
      <c r="AO14" s="35">
        <f t="shared" si="27"/>
        <v>0.8125</v>
      </c>
      <c r="AP14" s="35">
        <f t="shared" si="28"/>
        <v>0.2918632963704213</v>
      </c>
      <c r="AQ14" s="35">
        <f t="shared" si="29"/>
        <v>0.8125</v>
      </c>
      <c r="AR14" s="35">
        <f t="shared" si="30"/>
        <v>1.425</v>
      </c>
      <c r="AS14" s="35">
        <f t="shared" si="31"/>
        <v>1.1187499999999999</v>
      </c>
      <c r="AT14" s="35">
        <f t="shared" si="32"/>
        <v>3.3819102534637935E-2</v>
      </c>
      <c r="AU14" s="35">
        <f t="shared" si="33"/>
        <v>1.1187499999999999</v>
      </c>
      <c r="AV14" s="35">
        <f t="shared" si="34"/>
        <v>1.425</v>
      </c>
      <c r="AW14" s="35">
        <f t="shared" si="35"/>
        <v>1.2718750000000001</v>
      </c>
      <c r="AX14" s="35">
        <f t="shared" si="36"/>
        <v>-4.2800201544194505E-2</v>
      </c>
      <c r="AY14" s="35">
        <f t="shared" si="37"/>
        <v>1.1187499999999999</v>
      </c>
      <c r="AZ14" s="35">
        <f t="shared" si="38"/>
        <v>1.2718750000000001</v>
      </c>
      <c r="BA14" s="35">
        <f t="shared" si="39"/>
        <v>1.1953125</v>
      </c>
      <c r="BB14" s="35">
        <f t="shared" si="40"/>
        <v>-7.4543924104630843E-3</v>
      </c>
      <c r="BC14" s="35">
        <f t="shared" si="41"/>
        <v>1.1187499999999999</v>
      </c>
      <c r="BD14" s="35">
        <f t="shared" si="42"/>
        <v>1.1953125</v>
      </c>
      <c r="BE14" s="35">
        <f t="shared" si="43"/>
        <v>1.15703125</v>
      </c>
      <c r="BF14" s="35">
        <f t="shared" si="44"/>
        <v>1.2362065799734978E-2</v>
      </c>
      <c r="BG14" s="35">
        <f t="shared" si="45"/>
        <v>1.15703125</v>
      </c>
      <c r="BH14" s="35">
        <f t="shared" si="46"/>
        <v>1.1953125</v>
      </c>
      <c r="BI14" s="35">
        <f t="shared" si="47"/>
        <v>1.1761718750000001</v>
      </c>
      <c r="BJ14" s="35">
        <f t="shared" si="48"/>
        <v>2.2593812390123702E-3</v>
      </c>
      <c r="BK14" s="35">
        <f t="shared" si="49"/>
        <v>1.1761718750000001</v>
      </c>
      <c r="BL14" s="35">
        <f t="shared" si="50"/>
        <v>1.1953125</v>
      </c>
      <c r="BM14" s="35">
        <f t="shared" si="51"/>
        <v>1.1857421875</v>
      </c>
      <c r="BN14" s="35">
        <f t="shared" si="52"/>
        <v>-2.6448569546738687E-3</v>
      </c>
      <c r="BO14" s="35">
        <f t="shared" si="53"/>
        <v>1.1761718750000001</v>
      </c>
      <c r="BP14" s="35">
        <f t="shared" si="54"/>
        <v>1.1857421875</v>
      </c>
      <c r="BQ14" s="35">
        <f t="shared" si="55"/>
        <v>1.1809570312500002</v>
      </c>
      <c r="BR14" s="35">
        <f t="shared" si="56"/>
        <v>-2.0473073893234606E-4</v>
      </c>
      <c r="BS14" s="35">
        <f t="shared" si="57"/>
        <v>1.1761718750000001</v>
      </c>
      <c r="BT14" s="35">
        <f t="shared" si="58"/>
        <v>1.1809570312500002</v>
      </c>
      <c r="BU14" s="35">
        <f t="shared" si="59"/>
        <v>1.1785644531250001</v>
      </c>
      <c r="BV14" s="35">
        <f t="shared" si="60"/>
        <v>1.0243074105347194E-3</v>
      </c>
      <c r="BW14" s="35">
        <f t="shared" si="61"/>
        <v>1.1785644531250001</v>
      </c>
      <c r="BX14" s="35">
        <f t="shared" si="62"/>
        <v>1.1809570312500002</v>
      </c>
      <c r="BY14" s="35">
        <f t="shared" si="63"/>
        <v>1.1797607421875003</v>
      </c>
      <c r="BZ14" s="35">
        <f t="shared" si="64"/>
        <v>4.0903633911870685E-4</v>
      </c>
      <c r="CA14" s="35">
        <f t="shared" si="65"/>
        <v>1.1797607421875003</v>
      </c>
      <c r="CB14" s="35">
        <f t="shared" si="66"/>
        <v>1.1809570312500002</v>
      </c>
      <c r="CC14" s="35">
        <f t="shared" si="67"/>
        <v>1.1803588867187502</v>
      </c>
      <c r="CD14" s="35">
        <f t="shared" si="68"/>
        <v>1.0196510787441326E-4</v>
      </c>
      <c r="CE14" s="35">
        <f t="shared" si="69"/>
        <v>1.1803588867187502</v>
      </c>
      <c r="CF14" s="35">
        <f t="shared" si="70"/>
        <v>1.1809570312500002</v>
      </c>
      <c r="CG14" s="35">
        <f t="shared" si="71"/>
        <v>1.1806579589843751</v>
      </c>
      <c r="CH14" s="35">
        <f t="shared" si="72"/>
        <v>-5.1429700273608603E-5</v>
      </c>
      <c r="CI14" s="35">
        <f t="shared" si="73"/>
        <v>1.1803588867187502</v>
      </c>
      <c r="CJ14" s="35">
        <f t="shared" si="74"/>
        <v>1.1806579589843751</v>
      </c>
      <c r="CK14" s="35">
        <f t="shared" si="75"/>
        <v>1.1805084228515628</v>
      </c>
      <c r="CL14" s="35">
        <f t="shared" si="76"/>
        <v>2.5255977828209097E-5</v>
      </c>
      <c r="CM14" s="35">
        <f t="shared" si="77"/>
        <v>1.1805084228515628</v>
      </c>
      <c r="CN14" s="35">
        <f t="shared" si="78"/>
        <v>1.1806579589843751</v>
      </c>
      <c r="CO14" s="35">
        <f t="shared" si="79"/>
        <v>1.1805831909179689</v>
      </c>
      <c r="CP14" s="35">
        <f t="shared" si="80"/>
        <v>-1.3089792117226828E-5</v>
      </c>
      <c r="CQ14" s="35">
        <f t="shared" si="81"/>
        <v>1.1805084228515628</v>
      </c>
      <c r="CR14" s="35">
        <f t="shared" si="82"/>
        <v>1.1805831909179689</v>
      </c>
      <c r="CS14" s="35">
        <f t="shared" si="83"/>
        <v>1.1805458068847658</v>
      </c>
      <c r="CT14" s="35">
        <f t="shared" si="84"/>
        <v>6.0823600569470671E-6</v>
      </c>
      <c r="CU14" s="35">
        <f t="shared" si="85"/>
        <v>1.1805458068847658</v>
      </c>
      <c r="CV14" s="35">
        <f t="shared" si="86"/>
        <v>1.1805831909179689</v>
      </c>
      <c r="CW14" s="35">
        <f t="shared" si="87"/>
        <v>1.1805644989013673</v>
      </c>
      <c r="CX14" s="35">
        <f t="shared" si="88"/>
        <v>-3.5038992204361463E-6</v>
      </c>
      <c r="CY14" s="35">
        <f t="shared" si="89"/>
        <v>1.1805458068847658</v>
      </c>
      <c r="CZ14" s="35">
        <f t="shared" si="90"/>
        <v>1.1805644989013673</v>
      </c>
      <c r="DA14" s="35">
        <f t="shared" si="91"/>
        <v>1.1805551528930667</v>
      </c>
      <c r="DB14" s="35">
        <f t="shared" si="92"/>
        <v>1.289184619501782E-6</v>
      </c>
      <c r="DC14" s="35">
        <f t="shared" si="93"/>
        <v>1.1805551528930667</v>
      </c>
      <c r="DD14" s="35">
        <f t="shared" si="94"/>
        <v>1.1805644989013673</v>
      </c>
      <c r="DE14" s="35">
        <f t="shared" si="95"/>
        <v>1.180559825897217</v>
      </c>
      <c r="DF14" s="35">
        <f t="shared" si="96"/>
        <v>-1.1073687500307017E-6</v>
      </c>
      <c r="DG14" s="35">
        <f t="shared" si="97"/>
        <v>1.1805551528930667</v>
      </c>
      <c r="DH14" s="35">
        <f t="shared" si="98"/>
        <v>1.180559825897217</v>
      </c>
      <c r="DI14" s="35">
        <f t="shared" si="99"/>
        <v>1.1805574893951418</v>
      </c>
      <c r="DJ14" s="35">
        <f t="shared" si="100"/>
        <v>9.0905072358538064E-8</v>
      </c>
      <c r="DK14" s="35">
        <f t="shared" si="101"/>
        <v>1.1805574893951418</v>
      </c>
      <c r="DL14" s="35">
        <f t="shared" si="102"/>
        <v>1.180559825897217</v>
      </c>
      <c r="DM14" s="35">
        <f t="shared" si="103"/>
        <v>1.1805586576461793</v>
      </c>
      <c r="DN14" s="35">
        <f t="shared" si="104"/>
        <v>-5.0823255448584348E-7</v>
      </c>
      <c r="DO14" s="35">
        <f t="shared" si="105"/>
        <v>1.1805574893951418</v>
      </c>
      <c r="DP14" s="35">
        <f t="shared" si="106"/>
        <v>1.1805586576461793</v>
      </c>
      <c r="DQ14" s="35">
        <f t="shared" si="107"/>
        <v>1.1805580735206607</v>
      </c>
      <c r="DR14" s="35">
        <f t="shared" si="108"/>
        <v>-2.0866391992058198E-7</v>
      </c>
      <c r="DS14" s="35">
        <f t="shared" si="109"/>
        <v>1.1805574893951418</v>
      </c>
      <c r="DT14" s="35">
        <f t="shared" si="110"/>
        <v>1.1805580735206607</v>
      </c>
      <c r="DU14" s="35">
        <f t="shared" si="111"/>
        <v>1.1805577814579014</v>
      </c>
      <c r="DV14" s="35">
        <f t="shared" si="112"/>
        <v>-5.887946863403215E-8</v>
      </c>
      <c r="DW14" s="35">
        <f t="shared" si="113"/>
        <v>1.1805574893951418</v>
      </c>
      <c r="DX14" s="35">
        <f t="shared" si="114"/>
        <v>1.1805577814579014</v>
      </c>
      <c r="DY14" s="35">
        <f t="shared" si="115"/>
        <v>1.1805576354265215</v>
      </c>
      <c r="DZ14" s="35">
        <f t="shared" si="116"/>
        <v>1.6012790649000408E-8</v>
      </c>
      <c r="EA14" s="35">
        <f t="shared" si="117"/>
        <v>1.1805576354265215</v>
      </c>
      <c r="EB14" s="35">
        <f t="shared" si="118"/>
        <v>1.1805577814579014</v>
      </c>
      <c r="EC14" s="35">
        <f t="shared" si="119"/>
        <v>1.1805577084422114</v>
      </c>
      <c r="ED14" s="35">
        <f t="shared" si="120"/>
        <v>-2.143334165705113E-8</v>
      </c>
      <c r="EE14" s="35">
        <f t="shared" si="121"/>
        <v>1.1805576354265215</v>
      </c>
      <c r="EF14" s="35">
        <f t="shared" si="122"/>
        <v>1.1805577084422114</v>
      </c>
      <c r="EG14" s="35">
        <f t="shared" si="123"/>
        <v>1.1805576719343664</v>
      </c>
      <c r="EH14" s="35">
        <f t="shared" si="124"/>
        <v>-2.7102763366926297E-9</v>
      </c>
      <c r="EI14" s="35">
        <f t="shared" si="125"/>
        <v>1.1805576354265215</v>
      </c>
      <c r="EJ14" s="35">
        <f t="shared" si="126"/>
        <v>1.1805576719343664</v>
      </c>
      <c r="EK14" s="35">
        <f t="shared" si="127"/>
        <v>1.1805576536804439</v>
      </c>
      <c r="EL14" s="35">
        <f t="shared" si="128"/>
        <v>6.6512571006427379E-9</v>
      </c>
      <c r="EM14" s="35">
        <f t="shared" si="129"/>
        <v>1.1805576536804439</v>
      </c>
      <c r="EN14" s="35">
        <f t="shared" si="130"/>
        <v>1.1805576719343664</v>
      </c>
      <c r="EO14" s="35">
        <f t="shared" si="131"/>
        <v>1.1805576628074053</v>
      </c>
      <c r="EP14" s="35">
        <f t="shared" si="132"/>
        <v>1.9704902154416004E-9</v>
      </c>
      <c r="EQ14" s="35">
        <f t="shared" si="133"/>
        <v>1.1805576628074053</v>
      </c>
      <c r="ER14" s="35">
        <f t="shared" si="134"/>
        <v>1.1805576719343664</v>
      </c>
      <c r="ES14" s="35">
        <f t="shared" si="135"/>
        <v>1.180557667370886</v>
      </c>
      <c r="ET14" s="35">
        <f t="shared" si="136"/>
        <v>-3.6989289409206094E-10</v>
      </c>
      <c r="EU14" s="35">
        <f t="shared" si="137"/>
        <v>1.1805576628074053</v>
      </c>
      <c r="EV14" s="35">
        <f t="shared" si="138"/>
        <v>1.180557667370886</v>
      </c>
      <c r="EW14" s="35">
        <f t="shared" si="139"/>
        <v>1.1805576650891456</v>
      </c>
      <c r="EX14" s="35">
        <f t="shared" si="140"/>
        <v>8.0029849414131604E-10</v>
      </c>
      <c r="EY14" s="35">
        <f t="shared" si="141"/>
        <v>1.1805576650891456</v>
      </c>
      <c r="EZ14" s="35">
        <f t="shared" si="142"/>
        <v>1.180557667370886</v>
      </c>
      <c r="FA14" s="10">
        <v>9.9999999999999995E-7</v>
      </c>
      <c r="FB14" s="10">
        <v>0.99990000000000001</v>
      </c>
      <c r="FC14" s="35">
        <f t="shared" si="143"/>
        <v>0.49995050000000002</v>
      </c>
      <c r="FD14" s="35">
        <f t="shared" si="144"/>
        <v>-0.1978590394638986</v>
      </c>
      <c r="FE14" s="35">
        <f t="shared" si="145"/>
        <v>9.9999999999999995E-7</v>
      </c>
      <c r="FF14" s="35">
        <f t="shared" si="146"/>
        <v>0.49995050000000002</v>
      </c>
      <c r="FG14" s="35">
        <f t="shared" si="147"/>
        <v>0.24997575</v>
      </c>
      <c r="FH14" s="35">
        <f t="shared" si="148"/>
        <v>-0.13414292357359647</v>
      </c>
      <c r="FI14" s="35">
        <f t="shared" si="149"/>
        <v>9.9999999999999995E-7</v>
      </c>
      <c r="FJ14" s="35">
        <f t="shared" si="150"/>
        <v>0.24997575</v>
      </c>
      <c r="FK14" s="35">
        <f t="shared" si="151"/>
        <v>0.124988375</v>
      </c>
      <c r="FL14" s="35">
        <f t="shared" si="152"/>
        <v>-7.7577308430754277E-2</v>
      </c>
      <c r="FM14" s="35">
        <f t="shared" si="153"/>
        <v>9.9999999999999995E-7</v>
      </c>
      <c r="FN14" s="35">
        <f t="shared" si="154"/>
        <v>0.124988375</v>
      </c>
      <c r="FO14" s="35">
        <f t="shared" si="155"/>
        <v>6.24946875E-2</v>
      </c>
      <c r="FP14" s="35">
        <f t="shared" si="156"/>
        <v>-3.0029938512334931E-2</v>
      </c>
      <c r="FQ14" s="35">
        <f t="shared" si="157"/>
        <v>9.9999999999999995E-7</v>
      </c>
      <c r="FR14" s="35">
        <f t="shared" si="158"/>
        <v>6.24946875E-2</v>
      </c>
      <c r="FS14" s="35">
        <f t="shared" si="159"/>
        <v>3.124784375E-2</v>
      </c>
      <c r="FT14" s="35">
        <f t="shared" si="160"/>
        <v>4.5236781677340243E-3</v>
      </c>
      <c r="FU14" s="35">
        <f t="shared" si="161"/>
        <v>3.124784375E-2</v>
      </c>
      <c r="FV14" s="35">
        <f t="shared" si="162"/>
        <v>6.24946875E-2</v>
      </c>
      <c r="FW14" s="35">
        <f t="shared" si="163"/>
        <v>4.6871265624999998E-2</v>
      </c>
      <c r="FX14" s="35">
        <f t="shared" si="164"/>
        <v>-1.411876343948526E-2</v>
      </c>
      <c r="FY14" s="35">
        <f t="shared" si="165"/>
        <v>3.124784375E-2</v>
      </c>
      <c r="FZ14" s="35">
        <f t="shared" si="166"/>
        <v>4.6871265624999998E-2</v>
      </c>
      <c r="GA14" s="35">
        <f t="shared" si="167"/>
        <v>3.9059554687499998E-2</v>
      </c>
      <c r="GB14" s="35">
        <f t="shared" si="168"/>
        <v>-5.2020471077577346E-3</v>
      </c>
      <c r="GC14" s="35">
        <f t="shared" si="169"/>
        <v>3.124784375E-2</v>
      </c>
      <c r="GD14" s="35">
        <f t="shared" si="170"/>
        <v>3.9059554687499998E-2</v>
      </c>
      <c r="GE14" s="35">
        <f t="shared" si="171"/>
        <v>3.5153699218750001E-2</v>
      </c>
      <c r="GF14" s="35">
        <f t="shared" si="172"/>
        <v>-4.4991886954393046E-4</v>
      </c>
      <c r="GG14" s="35">
        <f t="shared" si="173"/>
        <v>3.124784375E-2</v>
      </c>
      <c r="GH14" s="35">
        <f t="shared" si="174"/>
        <v>3.5153699218750001E-2</v>
      </c>
      <c r="GI14" s="35">
        <f t="shared" si="175"/>
        <v>3.3200771484375002E-2</v>
      </c>
      <c r="GJ14" s="35">
        <f t="shared" si="176"/>
        <v>2.0078853266791707E-3</v>
      </c>
      <c r="GK14" s="35">
        <f t="shared" si="177"/>
        <v>3.3200771484375002E-2</v>
      </c>
      <c r="GL14" s="35">
        <f t="shared" si="178"/>
        <v>3.5153699218750001E-2</v>
      </c>
      <c r="GM14" s="35">
        <f t="shared" si="179"/>
        <v>3.4177235351562502E-2</v>
      </c>
      <c r="GN14" s="35">
        <f t="shared" si="180"/>
        <v>7.7190315380404328E-4</v>
      </c>
      <c r="GO14" s="35">
        <f t="shared" si="181"/>
        <v>3.4177235351562502E-2</v>
      </c>
      <c r="GP14" s="35">
        <f t="shared" si="182"/>
        <v>3.5153699218750001E-2</v>
      </c>
      <c r="GQ14" s="35">
        <f t="shared" si="183"/>
        <v>3.4665467285156251E-2</v>
      </c>
      <c r="GR14" s="35">
        <f t="shared" si="184"/>
        <v>1.5924279084034154E-4</v>
      </c>
      <c r="GS14" s="35">
        <f t="shared" si="185"/>
        <v>3.4665467285156251E-2</v>
      </c>
      <c r="GT14" s="35">
        <f t="shared" si="186"/>
        <v>3.5153699218750001E-2</v>
      </c>
      <c r="GU14" s="35">
        <f t="shared" si="187"/>
        <v>3.4909583251953126E-2</v>
      </c>
      <c r="GV14" s="35">
        <f t="shared" si="188"/>
        <v>-1.4577281924688101E-4</v>
      </c>
      <c r="GW14" s="35">
        <f t="shared" si="189"/>
        <v>3.4665467285156251E-2</v>
      </c>
      <c r="GX14" s="35">
        <f t="shared" si="190"/>
        <v>3.4909583251953126E-2</v>
      </c>
      <c r="GY14" s="35">
        <f t="shared" si="191"/>
        <v>3.4787525268554692E-2</v>
      </c>
      <c r="GZ14" s="35">
        <f t="shared" si="192"/>
        <v>6.6259722331096782E-6</v>
      </c>
      <c r="HA14" s="35">
        <f t="shared" si="193"/>
        <v>3.4787525268554692E-2</v>
      </c>
      <c r="HB14" s="35">
        <f t="shared" si="194"/>
        <v>3.4909583251953126E-2</v>
      </c>
      <c r="HC14" s="35">
        <f t="shared" si="195"/>
        <v>3.4848554260253906E-2</v>
      </c>
      <c r="HD14" s="35">
        <f t="shared" si="196"/>
        <v>-6.9600637001787646E-5</v>
      </c>
      <c r="HE14" s="35">
        <f t="shared" si="197"/>
        <v>3.4787525268554692E-2</v>
      </c>
      <c r="HF14" s="35">
        <f t="shared" si="198"/>
        <v>3.4848554260253906E-2</v>
      </c>
      <c r="HG14" s="35">
        <f t="shared" si="199"/>
        <v>3.4818039764404299E-2</v>
      </c>
      <c r="HH14" s="35">
        <f t="shared" si="200"/>
        <v>-3.1494140740662147E-5</v>
      </c>
      <c r="HI14" s="35">
        <f t="shared" si="201"/>
        <v>3.4787525268554692E-2</v>
      </c>
      <c r="HJ14" s="35">
        <f t="shared" si="202"/>
        <v>3.4818039764404299E-2</v>
      </c>
      <c r="HK14" s="35">
        <f t="shared" si="203"/>
        <v>3.4802782516479495E-2</v>
      </c>
      <c r="HL14" s="35">
        <f t="shared" si="204"/>
        <v>-1.2435786965969697E-5</v>
      </c>
      <c r="HM14" s="35">
        <f t="shared" si="205"/>
        <v>3.4787525268554692E-2</v>
      </c>
      <c r="HN14" s="35">
        <f t="shared" si="206"/>
        <v>3.4802782516479495E-2</v>
      </c>
      <c r="HO14" s="35">
        <f t="shared" si="207"/>
        <v>3.4795153892517097E-2</v>
      </c>
      <c r="HP14" s="35">
        <f t="shared" si="208"/>
        <v>-2.9053331226380763E-6</v>
      </c>
      <c r="HQ14" s="35">
        <f t="shared" si="209"/>
        <v>3.4787525268554692E-2</v>
      </c>
      <c r="HR14" s="35">
        <f t="shared" si="210"/>
        <v>3.4795153892517097E-2</v>
      </c>
      <c r="HS14" s="35">
        <f t="shared" si="211"/>
        <v>3.4791339580535895E-2</v>
      </c>
      <c r="HT14" s="35">
        <f t="shared" si="212"/>
        <v>1.8602131064415772E-6</v>
      </c>
      <c r="HU14" s="35">
        <f t="shared" si="213"/>
        <v>3.4791339580535895E-2</v>
      </c>
      <c r="HV14" s="35">
        <f t="shared" si="214"/>
        <v>3.4795153892517097E-2</v>
      </c>
      <c r="HW14" s="35">
        <f t="shared" si="215"/>
        <v>3.4793246736526492E-2</v>
      </c>
      <c r="HX14" s="35">
        <f t="shared" si="216"/>
        <v>-5.2258661886739333E-7</v>
      </c>
      <c r="HY14" s="35">
        <f t="shared" si="217"/>
        <v>3.4791339580535895E-2</v>
      </c>
      <c r="HZ14" s="35">
        <f t="shared" si="218"/>
        <v>3.4793246736526492E-2</v>
      </c>
      <c r="IA14" s="35">
        <f t="shared" si="219"/>
        <v>3.479229315853119E-2</v>
      </c>
      <c r="IB14" s="35">
        <f t="shared" si="220"/>
        <v>6.6880659099766149E-7</v>
      </c>
      <c r="IC14" s="35">
        <f t="shared" si="221"/>
        <v>3.479229315853119E-2</v>
      </c>
      <c r="ID14" s="35">
        <f t="shared" si="222"/>
        <v>3.4793246736526492E-2</v>
      </c>
      <c r="IE14" s="35">
        <f t="shared" si="223"/>
        <v>3.4792769947528841E-2</v>
      </c>
      <c r="IF14" s="35">
        <f t="shared" si="224"/>
        <v>7.3108322951043192E-8</v>
      </c>
      <c r="IG14" s="35">
        <f t="shared" si="225"/>
        <v>3.4792769947528841E-2</v>
      </c>
      <c r="IH14" s="35">
        <f t="shared" si="226"/>
        <v>3.4793246736526492E-2</v>
      </c>
      <c r="II14" s="35">
        <f t="shared" si="227"/>
        <v>3.479300834202767E-2</v>
      </c>
      <c r="IJ14" s="35">
        <f t="shared" si="228"/>
        <v>-2.2473956362567549E-7</v>
      </c>
      <c r="IK14" s="35">
        <f t="shared" si="229"/>
        <v>3.4792769947528841E-2</v>
      </c>
      <c r="IL14" s="35">
        <f t="shared" si="230"/>
        <v>3.479300834202767E-2</v>
      </c>
      <c r="IM14" s="35">
        <f t="shared" si="231"/>
        <v>3.4792889144778252E-2</v>
      </c>
      <c r="IN14" s="35">
        <f t="shared" si="232"/>
        <v>-7.581572458725816E-8</v>
      </c>
      <c r="IO14" s="35">
        <f t="shared" si="233"/>
        <v>3.4792769947528841E-2</v>
      </c>
      <c r="IP14" s="35">
        <f t="shared" si="234"/>
        <v>3.4792889144778252E-2</v>
      </c>
      <c r="IQ14" s="35">
        <f t="shared" si="235"/>
        <v>3.479282954615355E-2</v>
      </c>
      <c r="IR14" s="35">
        <f t="shared" si="236"/>
        <v>-1.3537266863039576E-9</v>
      </c>
      <c r="IS14" s="35">
        <f t="shared" si="237"/>
        <v>3.4792769947528841E-2</v>
      </c>
      <c r="IT14" s="35">
        <f t="shared" si="238"/>
        <v>3.479282954615355E-2</v>
      </c>
      <c r="IU14" s="35">
        <f t="shared" si="239"/>
        <v>3.4792799746841199E-2</v>
      </c>
      <c r="IV14" s="35">
        <f t="shared" si="240"/>
        <v>3.5877291582053772E-8</v>
      </c>
      <c r="IW14" s="35">
        <f t="shared" si="241"/>
        <v>3.4792799746841199E-2</v>
      </c>
      <c r="IX14" s="35">
        <f t="shared" si="242"/>
        <v>3.479282954615355E-2</v>
      </c>
      <c r="IY14" s="35">
        <f t="shared" si="243"/>
        <v>3.4792814646497375E-2</v>
      </c>
      <c r="IZ14" s="35">
        <f t="shared" si="244"/>
        <v>1.7261780893562673E-8</v>
      </c>
      <c r="JA14" s="35">
        <f t="shared" si="245"/>
        <v>3.4792814646497375E-2</v>
      </c>
      <c r="JB14" s="35">
        <f t="shared" si="246"/>
        <v>3.479282954615355E-2</v>
      </c>
      <c r="JC14" s="35">
        <f t="shared" si="247"/>
        <v>3.4792822096325463E-2</v>
      </c>
      <c r="JD14" s="35">
        <f t="shared" si="248"/>
        <v>7.9540265485178452E-9</v>
      </c>
      <c r="JE14" s="35">
        <f t="shared" si="249"/>
        <v>3.4792822096325463E-2</v>
      </c>
      <c r="JF14" s="35">
        <f t="shared" si="250"/>
        <v>3.479282954615355E-2</v>
      </c>
      <c r="JG14" s="35">
        <f t="shared" si="251"/>
        <v>3.4792825821239506E-2</v>
      </c>
      <c r="JH14" s="35">
        <f t="shared" si="252"/>
        <v>3.3001499311069438E-9</v>
      </c>
      <c r="JI14" s="35">
        <f t="shared" si="253"/>
        <v>3.4792825821239506E-2</v>
      </c>
      <c r="JJ14" s="35">
        <f t="shared" si="254"/>
        <v>3.479282954615355E-2</v>
      </c>
      <c r="JK14" s="35">
        <f t="shared" si="255"/>
        <v>3.4792827683696528E-2</v>
      </c>
      <c r="JL14" s="35">
        <f t="shared" si="256"/>
        <v>9.7321128933458567E-10</v>
      </c>
      <c r="JM14" s="35">
        <f t="shared" si="257"/>
        <v>3.4792827683696528E-2</v>
      </c>
      <c r="JN14" s="35">
        <f t="shared" si="258"/>
        <v>3.479282954615355E-2</v>
      </c>
      <c r="JO14" s="35">
        <f t="shared" si="259"/>
        <v>3.4792828614925039E-2</v>
      </c>
      <c r="JP14" s="35">
        <f t="shared" si="260"/>
        <v>-1.9025758746238353E-10</v>
      </c>
      <c r="JQ14" s="35">
        <f t="shared" si="261"/>
        <v>3.4792827683696528E-2</v>
      </c>
      <c r="JR14" s="35">
        <f t="shared" si="262"/>
        <v>3.4792828614925039E-2</v>
      </c>
      <c r="JS14" s="35">
        <f t="shared" si="263"/>
        <v>3.4792828149310784E-2</v>
      </c>
      <c r="JT14" s="35">
        <f t="shared" si="264"/>
        <v>3.9147685093610107E-10</v>
      </c>
      <c r="JU14" s="35">
        <f t="shared" si="265"/>
        <v>3.4792828149310784E-2</v>
      </c>
      <c r="JV14" s="35">
        <f t="shared" si="266"/>
        <v>3.4792828614925039E-2</v>
      </c>
      <c r="JW14" s="35">
        <f t="shared" si="267"/>
        <v>3.4792828382117912E-2</v>
      </c>
      <c r="JX14" s="35">
        <f t="shared" si="268"/>
        <v>1.0060974275916124E-10</v>
      </c>
      <c r="JY14" s="35">
        <f t="shared" si="269"/>
        <v>3.4792828382117912E-2</v>
      </c>
      <c r="JZ14" s="35">
        <f t="shared" si="270"/>
        <v>3.4792828614925039E-2</v>
      </c>
      <c r="KA14" s="35">
        <f t="shared" si="271"/>
        <v>1.1805576662300159</v>
      </c>
      <c r="KB14" s="35">
        <f t="shared" si="272"/>
        <v>3.4792828498521472E-2</v>
      </c>
    </row>
    <row r="15" spans="1:288" ht="15" customHeight="1" x14ac:dyDescent="0.3">
      <c r="A15" s="30">
        <f>Odds_Input!A15</f>
        <v>7</v>
      </c>
      <c r="B15" s="7" t="str">
        <f>Odds_Input!B15</f>
        <v>TITLE</v>
      </c>
      <c r="C15" s="7" t="str">
        <f>Odds_Input!C15</f>
        <v>Denver Nuggets</v>
      </c>
      <c r="D15" s="7" t="str">
        <f>Odds_Input!D15</f>
        <v>YES</v>
      </c>
      <c r="E15" s="31" t="str">
        <f>Odds_Input!E15</f>
        <v>-</v>
      </c>
      <c r="F15" s="32">
        <f>Odds_Input!F15</f>
        <v>2700</v>
      </c>
      <c r="G15" s="6" t="str">
        <f t="shared" si="0"/>
        <v>TITLE</v>
      </c>
      <c r="H15" s="14">
        <f t="shared" si="1"/>
        <v>28</v>
      </c>
      <c r="I15" s="33">
        <f t="shared" si="2"/>
        <v>3.5714285714285712E-2</v>
      </c>
      <c r="J15" s="17">
        <f t="shared" si="3"/>
        <v>1</v>
      </c>
      <c r="K15" s="17">
        <f t="shared" si="4"/>
        <v>30</v>
      </c>
      <c r="L15" s="18">
        <f t="shared" si="5"/>
        <v>1.252565192422864</v>
      </c>
      <c r="M15" s="34">
        <f t="shared" si="6"/>
        <v>0.25256519242286402</v>
      </c>
      <c r="N15" s="33">
        <f t="shared" si="7"/>
        <v>2.8512915679225283E-2</v>
      </c>
      <c r="O15" s="33">
        <f t="shared" si="8"/>
        <v>2.566029878142246E-2</v>
      </c>
      <c r="P15" s="33">
        <f t="shared" si="9"/>
        <v>2.6984057562211648E-2</v>
      </c>
      <c r="Q15" s="33">
        <f t="shared" si="10"/>
        <v>2.6984057562211648E-2</v>
      </c>
      <c r="R15" s="35">
        <f t="shared" si="11"/>
        <v>1.0992153287166726</v>
      </c>
      <c r="S15" s="35">
        <f t="shared" si="12"/>
        <v>1.1051948455485863E-2</v>
      </c>
      <c r="X15" s="6" t="s">
        <v>275</v>
      </c>
      <c r="Y15" s="6">
        <f t="shared" si="13"/>
        <v>1</v>
      </c>
      <c r="Z15" s="18">
        <f t="shared" si="14"/>
        <v>1.1183220337576816</v>
      </c>
      <c r="AA15" s="10">
        <v>0.2</v>
      </c>
      <c r="AB15" s="10">
        <v>10</v>
      </c>
      <c r="AC15" s="35">
        <f t="shared" si="15"/>
        <v>5.0999999999999996</v>
      </c>
      <c r="AD15" s="35">
        <f t="shared" si="16"/>
        <v>-0.89935702490630609</v>
      </c>
      <c r="AE15" s="35">
        <f t="shared" si="17"/>
        <v>0.2</v>
      </c>
      <c r="AF15" s="35">
        <f t="shared" si="18"/>
        <v>5.0999999999999996</v>
      </c>
      <c r="AG15" s="35">
        <f t="shared" si="19"/>
        <v>2.65</v>
      </c>
      <c r="AH15" s="35">
        <f t="shared" si="20"/>
        <v>-0.66225359046278354</v>
      </c>
      <c r="AI15" s="35">
        <f t="shared" si="21"/>
        <v>0.2</v>
      </c>
      <c r="AJ15" s="35">
        <f t="shared" si="22"/>
        <v>2.65</v>
      </c>
      <c r="AK15" s="35">
        <f t="shared" si="23"/>
        <v>1.425</v>
      </c>
      <c r="AL15" s="35">
        <f t="shared" si="24"/>
        <v>-0.23557945309746986</v>
      </c>
      <c r="AM15" s="35">
        <f t="shared" si="25"/>
        <v>0.2</v>
      </c>
      <c r="AN15" s="35">
        <f t="shared" si="26"/>
        <v>1.425</v>
      </c>
      <c r="AO15" s="35">
        <f t="shared" si="27"/>
        <v>0.8125</v>
      </c>
      <c r="AP15" s="35">
        <f t="shared" si="28"/>
        <v>0.36141075783337384</v>
      </c>
      <c r="AQ15" s="35">
        <f t="shared" si="29"/>
        <v>0.8125</v>
      </c>
      <c r="AR15" s="35">
        <f t="shared" si="30"/>
        <v>1.425</v>
      </c>
      <c r="AS15" s="35">
        <f t="shared" si="31"/>
        <v>1.1187499999999999</v>
      </c>
      <c r="AT15" s="35">
        <f t="shared" si="32"/>
        <v>-2.4441805791322047E-3</v>
      </c>
      <c r="AU15" s="35">
        <f t="shared" si="33"/>
        <v>0.8125</v>
      </c>
      <c r="AV15" s="35">
        <f t="shared" si="34"/>
        <v>1.1187499999999999</v>
      </c>
      <c r="AW15" s="35">
        <f t="shared" si="35"/>
        <v>0.96562499999999996</v>
      </c>
      <c r="AX15" s="35">
        <f t="shared" si="36"/>
        <v>0.15753658225442879</v>
      </c>
      <c r="AY15" s="35">
        <f t="shared" si="37"/>
        <v>0.96562499999999996</v>
      </c>
      <c r="AZ15" s="35">
        <f t="shared" si="38"/>
        <v>1.1187499999999999</v>
      </c>
      <c r="BA15" s="35">
        <f t="shared" si="39"/>
        <v>1.0421874999999998</v>
      </c>
      <c r="BB15" s="35">
        <f t="shared" si="40"/>
        <v>7.2947826220467249E-2</v>
      </c>
      <c r="BC15" s="35">
        <f t="shared" si="41"/>
        <v>1.0421874999999998</v>
      </c>
      <c r="BD15" s="35">
        <f t="shared" si="42"/>
        <v>1.1187499999999999</v>
      </c>
      <c r="BE15" s="35">
        <f t="shared" si="43"/>
        <v>1.0804687499999999</v>
      </c>
      <c r="BF15" s="35">
        <f t="shared" si="44"/>
        <v>3.4193029842731759E-2</v>
      </c>
      <c r="BG15" s="35">
        <f t="shared" si="45"/>
        <v>1.0804687499999999</v>
      </c>
      <c r="BH15" s="35">
        <f t="shared" si="46"/>
        <v>1.1187499999999999</v>
      </c>
      <c r="BI15" s="35">
        <f t="shared" si="47"/>
        <v>1.099609375</v>
      </c>
      <c r="BJ15" s="35">
        <f t="shared" si="48"/>
        <v>1.5620053680843515E-2</v>
      </c>
      <c r="BK15" s="35">
        <f t="shared" si="49"/>
        <v>1.099609375</v>
      </c>
      <c r="BL15" s="35">
        <f t="shared" si="50"/>
        <v>1.1187499999999999</v>
      </c>
      <c r="BM15" s="35">
        <f t="shared" si="51"/>
        <v>1.1091796875</v>
      </c>
      <c r="BN15" s="35">
        <f t="shared" si="52"/>
        <v>6.5255769249021878E-3</v>
      </c>
      <c r="BO15" s="35">
        <f t="shared" si="53"/>
        <v>1.1091796875</v>
      </c>
      <c r="BP15" s="35">
        <f t="shared" si="54"/>
        <v>1.1187499999999999</v>
      </c>
      <c r="BQ15" s="35">
        <f t="shared" si="55"/>
        <v>1.1139648437499998</v>
      </c>
      <c r="BR15" s="35">
        <f t="shared" si="56"/>
        <v>2.0252589658782405E-3</v>
      </c>
      <c r="BS15" s="35">
        <f t="shared" si="57"/>
        <v>1.1139648437499998</v>
      </c>
      <c r="BT15" s="35">
        <f t="shared" si="58"/>
        <v>1.1187499999999999</v>
      </c>
      <c r="BU15" s="35">
        <f t="shared" si="59"/>
        <v>1.1163574218749999</v>
      </c>
      <c r="BV15" s="35">
        <f t="shared" si="60"/>
        <v>-2.1330198076618956E-4</v>
      </c>
      <c r="BW15" s="35">
        <f t="shared" si="61"/>
        <v>1.1139648437499998</v>
      </c>
      <c r="BX15" s="35">
        <f t="shared" si="62"/>
        <v>1.1163574218749999</v>
      </c>
      <c r="BY15" s="35">
        <f t="shared" si="63"/>
        <v>1.1151611328124997</v>
      </c>
      <c r="BZ15" s="35">
        <f t="shared" si="64"/>
        <v>9.0501587983959908E-4</v>
      </c>
      <c r="CA15" s="35">
        <f t="shared" si="65"/>
        <v>1.1151611328124997</v>
      </c>
      <c r="CB15" s="35">
        <f t="shared" si="66"/>
        <v>1.1163574218749999</v>
      </c>
      <c r="CC15" s="35">
        <f t="shared" si="67"/>
        <v>1.1157592773437499</v>
      </c>
      <c r="CD15" s="35">
        <f t="shared" si="68"/>
        <v>3.4561658683207597E-4</v>
      </c>
      <c r="CE15" s="35">
        <f t="shared" si="69"/>
        <v>1.1157592773437499</v>
      </c>
      <c r="CF15" s="35">
        <f t="shared" si="70"/>
        <v>1.1163574218749999</v>
      </c>
      <c r="CG15" s="35">
        <f t="shared" si="71"/>
        <v>1.116058349609375</v>
      </c>
      <c r="CH15" s="35">
        <f t="shared" si="72"/>
        <v>6.6097248615282211E-5</v>
      </c>
      <c r="CI15" s="35">
        <f t="shared" si="73"/>
        <v>1.116058349609375</v>
      </c>
      <c r="CJ15" s="35">
        <f t="shared" si="74"/>
        <v>1.1163574218749999</v>
      </c>
      <c r="CK15" s="35">
        <f t="shared" si="75"/>
        <v>1.1162078857421873</v>
      </c>
      <c r="CL15" s="35">
        <f t="shared" si="76"/>
        <v>-7.3617375150436537E-5</v>
      </c>
      <c r="CM15" s="35">
        <f t="shared" si="77"/>
        <v>1.116058349609375</v>
      </c>
      <c r="CN15" s="35">
        <f t="shared" si="78"/>
        <v>1.1162078857421873</v>
      </c>
      <c r="CO15" s="35">
        <f t="shared" si="79"/>
        <v>1.1161331176757812</v>
      </c>
      <c r="CP15" s="35">
        <f t="shared" si="80"/>
        <v>-3.7638161023423322E-6</v>
      </c>
      <c r="CQ15" s="35">
        <f t="shared" si="81"/>
        <v>1.116058349609375</v>
      </c>
      <c r="CR15" s="35">
        <f t="shared" si="82"/>
        <v>1.1161331176757812</v>
      </c>
      <c r="CS15" s="35">
        <f t="shared" si="83"/>
        <v>1.1160957336425781</v>
      </c>
      <c r="CT15" s="35">
        <f t="shared" si="84"/>
        <v>3.1165777977015807E-5</v>
      </c>
      <c r="CU15" s="35">
        <f t="shared" si="85"/>
        <v>1.1160957336425781</v>
      </c>
      <c r="CV15" s="35">
        <f t="shared" si="86"/>
        <v>1.1161331176757812</v>
      </c>
      <c r="CW15" s="35">
        <f t="shared" si="87"/>
        <v>1.1161144256591795</v>
      </c>
      <c r="CX15" s="35">
        <f t="shared" si="88"/>
        <v>1.3700746376521522E-5</v>
      </c>
      <c r="CY15" s="35">
        <f t="shared" si="89"/>
        <v>1.1161144256591795</v>
      </c>
      <c r="CZ15" s="35">
        <f t="shared" si="90"/>
        <v>1.1161331176757812</v>
      </c>
      <c r="DA15" s="35">
        <f t="shared" si="91"/>
        <v>1.1161237716674803</v>
      </c>
      <c r="DB15" s="35">
        <f t="shared" si="92"/>
        <v>4.9684064979960141E-6</v>
      </c>
      <c r="DC15" s="35">
        <f t="shared" si="93"/>
        <v>1.1161237716674803</v>
      </c>
      <c r="DD15" s="35">
        <f t="shared" si="94"/>
        <v>1.1161331176757812</v>
      </c>
      <c r="DE15" s="35">
        <f t="shared" si="95"/>
        <v>1.1161284446716309</v>
      </c>
      <c r="DF15" s="35">
        <f t="shared" si="96"/>
        <v>6.0228053810895688E-7</v>
      </c>
      <c r="DG15" s="35">
        <f t="shared" si="97"/>
        <v>1.1161284446716309</v>
      </c>
      <c r="DH15" s="35">
        <f t="shared" si="98"/>
        <v>1.1161331176757812</v>
      </c>
      <c r="DI15" s="35">
        <f t="shared" si="99"/>
        <v>1.116130781173706</v>
      </c>
      <c r="DJ15" s="35">
        <f t="shared" si="100"/>
        <v>-1.580771446962892E-6</v>
      </c>
      <c r="DK15" s="35">
        <f t="shared" si="101"/>
        <v>1.1161284446716309</v>
      </c>
      <c r="DL15" s="35">
        <f t="shared" si="102"/>
        <v>1.116130781173706</v>
      </c>
      <c r="DM15" s="35">
        <f t="shared" si="103"/>
        <v>1.1161296129226685</v>
      </c>
      <c r="DN15" s="35">
        <f t="shared" si="104"/>
        <v>-4.8924637074954092E-7</v>
      </c>
      <c r="DO15" s="35">
        <f t="shared" si="105"/>
        <v>1.1161284446716309</v>
      </c>
      <c r="DP15" s="35">
        <f t="shared" si="106"/>
        <v>1.1161296129226685</v>
      </c>
      <c r="DQ15" s="35">
        <f t="shared" si="107"/>
        <v>1.1161290287971497</v>
      </c>
      <c r="DR15" s="35">
        <f t="shared" si="108"/>
        <v>5.6516854529675697E-8</v>
      </c>
      <c r="DS15" s="35">
        <f t="shared" si="109"/>
        <v>1.1161290287971497</v>
      </c>
      <c r="DT15" s="35">
        <f t="shared" si="110"/>
        <v>1.1161296129226685</v>
      </c>
      <c r="DU15" s="35">
        <f t="shared" si="111"/>
        <v>1.1161293208599092</v>
      </c>
      <c r="DV15" s="35">
        <f t="shared" si="112"/>
        <v>-2.1636481550846298E-7</v>
      </c>
      <c r="DW15" s="35">
        <f t="shared" si="113"/>
        <v>1.1161290287971497</v>
      </c>
      <c r="DX15" s="35">
        <f t="shared" si="114"/>
        <v>1.1161293208599092</v>
      </c>
      <c r="DY15" s="35">
        <f t="shared" si="115"/>
        <v>1.1161291748285294</v>
      </c>
      <c r="DZ15" s="35">
        <f t="shared" si="116"/>
        <v>-7.9923994644737206E-8</v>
      </c>
      <c r="EA15" s="35">
        <f t="shared" si="117"/>
        <v>1.1161290287971497</v>
      </c>
      <c r="EB15" s="35">
        <f t="shared" si="118"/>
        <v>1.1161291748285294</v>
      </c>
      <c r="EC15" s="35">
        <f t="shared" si="119"/>
        <v>1.1161291018128394</v>
      </c>
      <c r="ED15" s="35">
        <f t="shared" si="120"/>
        <v>-1.1703573665755584E-8</v>
      </c>
      <c r="EE15" s="35">
        <f t="shared" si="121"/>
        <v>1.1161290287971497</v>
      </c>
      <c r="EF15" s="35">
        <f t="shared" si="122"/>
        <v>1.1161291018128394</v>
      </c>
      <c r="EG15" s="35">
        <f t="shared" si="123"/>
        <v>1.1161290653049947</v>
      </c>
      <c r="EH15" s="35">
        <f t="shared" si="124"/>
        <v>2.2406639654803939E-8</v>
      </c>
      <c r="EI15" s="35">
        <f t="shared" si="125"/>
        <v>1.1161290653049947</v>
      </c>
      <c r="EJ15" s="35">
        <f t="shared" si="126"/>
        <v>1.1161291018128394</v>
      </c>
      <c r="EK15" s="35">
        <f t="shared" si="127"/>
        <v>1.116129083558917</v>
      </c>
      <c r="EL15" s="35">
        <f t="shared" si="128"/>
        <v>5.3515327724795725E-9</v>
      </c>
      <c r="EM15" s="35">
        <f t="shared" si="129"/>
        <v>1.116129083558917</v>
      </c>
      <c r="EN15" s="35">
        <f t="shared" si="130"/>
        <v>1.1161291018128394</v>
      </c>
      <c r="EO15" s="35">
        <f t="shared" si="131"/>
        <v>1.1161290926858782</v>
      </c>
      <c r="EP15" s="35">
        <f t="shared" si="132"/>
        <v>-3.176020446638006E-9</v>
      </c>
      <c r="EQ15" s="35">
        <f t="shared" si="133"/>
        <v>1.116129083558917</v>
      </c>
      <c r="ER15" s="35">
        <f t="shared" si="134"/>
        <v>1.1161290926858782</v>
      </c>
      <c r="ES15" s="35">
        <f t="shared" si="135"/>
        <v>1.1161290881223978</v>
      </c>
      <c r="ET15" s="35">
        <f t="shared" si="136"/>
        <v>1.087756107409632E-9</v>
      </c>
      <c r="EU15" s="35">
        <f t="shared" si="137"/>
        <v>1.1161290881223978</v>
      </c>
      <c r="EV15" s="35">
        <f t="shared" si="138"/>
        <v>1.1161290926858782</v>
      </c>
      <c r="EW15" s="35">
        <f t="shared" si="139"/>
        <v>1.1161290904041379</v>
      </c>
      <c r="EX15" s="35">
        <f t="shared" si="140"/>
        <v>-1.0441321141030357E-9</v>
      </c>
      <c r="EY15" s="35">
        <f t="shared" si="141"/>
        <v>1.1161290881223978</v>
      </c>
      <c r="EZ15" s="35">
        <f t="shared" si="142"/>
        <v>1.1161290904041379</v>
      </c>
      <c r="FA15" s="10">
        <v>9.9999999999999995E-7</v>
      </c>
      <c r="FB15" s="10">
        <v>0.99990000000000001</v>
      </c>
      <c r="FC15" s="35">
        <f t="shared" si="143"/>
        <v>0.49995050000000002</v>
      </c>
      <c r="FD15" s="35">
        <f t="shared" si="144"/>
        <v>-0.35210132080839918</v>
      </c>
      <c r="FE15" s="35">
        <f t="shared" si="145"/>
        <v>9.9999999999999995E-7</v>
      </c>
      <c r="FF15" s="35">
        <f t="shared" si="146"/>
        <v>0.49995050000000002</v>
      </c>
      <c r="FG15" s="35">
        <f t="shared" si="147"/>
        <v>0.24997575</v>
      </c>
      <c r="FH15" s="35">
        <f t="shared" si="148"/>
        <v>-0.19848554571204657</v>
      </c>
      <c r="FI15" s="35">
        <f t="shared" si="149"/>
        <v>9.9999999999999995E-7</v>
      </c>
      <c r="FJ15" s="35">
        <f t="shared" si="150"/>
        <v>0.24997575</v>
      </c>
      <c r="FK15" s="35">
        <f t="shared" si="151"/>
        <v>0.124988375</v>
      </c>
      <c r="FL15" s="35">
        <f t="shared" si="152"/>
        <v>-9.2926292111026876E-2</v>
      </c>
      <c r="FM15" s="35">
        <f t="shared" si="153"/>
        <v>9.9999999999999995E-7</v>
      </c>
      <c r="FN15" s="35">
        <f t="shared" si="154"/>
        <v>0.124988375</v>
      </c>
      <c r="FO15" s="35">
        <f t="shared" si="155"/>
        <v>6.24946875E-2</v>
      </c>
      <c r="FP15" s="35">
        <f t="shared" si="156"/>
        <v>-2.814144127600704E-2</v>
      </c>
      <c r="FQ15" s="35">
        <f t="shared" si="157"/>
        <v>9.9999999999999995E-7</v>
      </c>
      <c r="FR15" s="35">
        <f t="shared" si="158"/>
        <v>6.24946875E-2</v>
      </c>
      <c r="FS15" s="35">
        <f t="shared" si="159"/>
        <v>3.124784375E-2</v>
      </c>
      <c r="FT15" s="35">
        <f t="shared" si="160"/>
        <v>9.8980413643359189E-3</v>
      </c>
      <c r="FU15" s="35">
        <f t="shared" si="161"/>
        <v>3.124784375E-2</v>
      </c>
      <c r="FV15" s="35">
        <f t="shared" si="162"/>
        <v>6.24946875E-2</v>
      </c>
      <c r="FW15" s="35">
        <f t="shared" si="163"/>
        <v>4.6871265624999998E-2</v>
      </c>
      <c r="FX15" s="35">
        <f t="shared" si="164"/>
        <v>-9.7857062543745821E-3</v>
      </c>
      <c r="FY15" s="35">
        <f t="shared" si="165"/>
        <v>3.124784375E-2</v>
      </c>
      <c r="FZ15" s="35">
        <f t="shared" si="166"/>
        <v>4.6871265624999998E-2</v>
      </c>
      <c r="GA15" s="35">
        <f t="shared" si="167"/>
        <v>3.9059554687499998E-2</v>
      </c>
      <c r="GB15" s="35">
        <f t="shared" si="168"/>
        <v>-1.3365994483827137E-4</v>
      </c>
      <c r="GC15" s="35">
        <f t="shared" si="169"/>
        <v>3.124784375E-2</v>
      </c>
      <c r="GD15" s="35">
        <f t="shared" si="170"/>
        <v>3.9059554687499998E-2</v>
      </c>
      <c r="GE15" s="35">
        <f t="shared" si="171"/>
        <v>3.5153699218750001E-2</v>
      </c>
      <c r="GF15" s="35">
        <f t="shared" si="172"/>
        <v>4.8308882689735988E-3</v>
      </c>
      <c r="GG15" s="35">
        <f t="shared" si="173"/>
        <v>3.5153699218750001E-2</v>
      </c>
      <c r="GH15" s="35">
        <f t="shared" si="174"/>
        <v>3.9059554687499998E-2</v>
      </c>
      <c r="GI15" s="35">
        <f t="shared" si="175"/>
        <v>3.7106626953124999E-2</v>
      </c>
      <c r="GJ15" s="35">
        <f t="shared" si="176"/>
        <v>2.3363289965316891E-3</v>
      </c>
      <c r="GK15" s="35">
        <f t="shared" si="177"/>
        <v>3.7106626953124999E-2</v>
      </c>
      <c r="GL15" s="35">
        <f t="shared" si="178"/>
        <v>3.9059554687499998E-2</v>
      </c>
      <c r="GM15" s="35">
        <f t="shared" si="179"/>
        <v>3.8083090820312498E-2</v>
      </c>
      <c r="GN15" s="35">
        <f t="shared" si="180"/>
        <v>1.0983245288396226E-3</v>
      </c>
      <c r="GO15" s="35">
        <f t="shared" si="181"/>
        <v>3.8083090820312498E-2</v>
      </c>
      <c r="GP15" s="35">
        <f t="shared" si="182"/>
        <v>3.9059554687499998E-2</v>
      </c>
      <c r="GQ15" s="35">
        <f t="shared" si="183"/>
        <v>3.8571322753906248E-2</v>
      </c>
      <c r="GR15" s="35">
        <f t="shared" si="184"/>
        <v>4.8158712792445435E-4</v>
      </c>
      <c r="GS15" s="35">
        <f t="shared" si="185"/>
        <v>3.8571322753906248E-2</v>
      </c>
      <c r="GT15" s="35">
        <f t="shared" si="186"/>
        <v>3.9059554687499998E-2</v>
      </c>
      <c r="GU15" s="35">
        <f t="shared" si="187"/>
        <v>3.8815438720703123E-2</v>
      </c>
      <c r="GV15" s="35">
        <f t="shared" si="188"/>
        <v>1.7377819866282174E-4</v>
      </c>
      <c r="GW15" s="35">
        <f t="shared" si="189"/>
        <v>3.8815438720703123E-2</v>
      </c>
      <c r="GX15" s="35">
        <f t="shared" si="190"/>
        <v>3.9059554687499998E-2</v>
      </c>
      <c r="GY15" s="35">
        <f t="shared" si="191"/>
        <v>3.8937496704101557E-2</v>
      </c>
      <c r="GZ15" s="35">
        <f t="shared" si="192"/>
        <v>2.0012889834442049E-5</v>
      </c>
      <c r="HA15" s="35">
        <f t="shared" si="193"/>
        <v>3.8937496704101557E-2</v>
      </c>
      <c r="HB15" s="35">
        <f t="shared" si="194"/>
        <v>3.9059554687499998E-2</v>
      </c>
      <c r="HC15" s="35">
        <f t="shared" si="195"/>
        <v>3.8998525695800777E-2</v>
      </c>
      <c r="HD15" s="35">
        <f t="shared" si="196"/>
        <v>-5.6835072947736265E-5</v>
      </c>
      <c r="HE15" s="35">
        <f t="shared" si="197"/>
        <v>3.8937496704101557E-2</v>
      </c>
      <c r="HF15" s="35">
        <f t="shared" si="198"/>
        <v>3.8998525695800777E-2</v>
      </c>
      <c r="HG15" s="35">
        <f t="shared" si="199"/>
        <v>3.8968011199951164E-2</v>
      </c>
      <c r="HH15" s="35">
        <f t="shared" si="200"/>
        <v>-1.8413979643083778E-5</v>
      </c>
      <c r="HI15" s="35">
        <f t="shared" si="201"/>
        <v>3.8937496704101557E-2</v>
      </c>
      <c r="HJ15" s="35">
        <f t="shared" si="202"/>
        <v>3.8968011199951164E-2</v>
      </c>
      <c r="HK15" s="35">
        <f t="shared" si="203"/>
        <v>3.895275395202636E-2</v>
      </c>
      <c r="HL15" s="35">
        <f t="shared" si="204"/>
        <v>7.9873285785403425E-7</v>
      </c>
      <c r="HM15" s="35">
        <f t="shared" si="205"/>
        <v>3.895275395202636E-2</v>
      </c>
      <c r="HN15" s="35">
        <f t="shared" si="206"/>
        <v>3.8968011199951164E-2</v>
      </c>
      <c r="HO15" s="35">
        <f t="shared" si="207"/>
        <v>3.8960382575988758E-2</v>
      </c>
      <c r="HP15" s="35">
        <f t="shared" si="208"/>
        <v>-8.8078039249817053E-6</v>
      </c>
      <c r="HQ15" s="35">
        <f t="shared" si="209"/>
        <v>3.895275395202636E-2</v>
      </c>
      <c r="HR15" s="35">
        <f t="shared" si="210"/>
        <v>3.8960382575988758E-2</v>
      </c>
      <c r="HS15" s="35">
        <f t="shared" si="211"/>
        <v>3.8956568264007563E-2</v>
      </c>
      <c r="HT15" s="35">
        <f t="shared" si="212"/>
        <v>-4.0045806698474351E-6</v>
      </c>
      <c r="HU15" s="35">
        <f t="shared" si="213"/>
        <v>3.895275395202636E-2</v>
      </c>
      <c r="HV15" s="35">
        <f t="shared" si="214"/>
        <v>3.8956568264007563E-2</v>
      </c>
      <c r="HW15" s="35">
        <f t="shared" si="215"/>
        <v>3.8954661108016958E-2</v>
      </c>
      <c r="HX15" s="35">
        <f t="shared" si="216"/>
        <v>-1.6029351903590339E-6</v>
      </c>
      <c r="HY15" s="35">
        <f t="shared" si="217"/>
        <v>3.895275395202636E-2</v>
      </c>
      <c r="HZ15" s="35">
        <f t="shared" si="218"/>
        <v>3.8954661108016958E-2</v>
      </c>
      <c r="IA15" s="35">
        <f t="shared" si="219"/>
        <v>3.8953707530021656E-2</v>
      </c>
      <c r="IB15" s="35">
        <f t="shared" si="220"/>
        <v>-4.0210398755124999E-7</v>
      </c>
      <c r="IC15" s="35">
        <f t="shared" si="221"/>
        <v>3.895275395202636E-2</v>
      </c>
      <c r="ID15" s="35">
        <f t="shared" si="222"/>
        <v>3.8953707530021656E-2</v>
      </c>
      <c r="IE15" s="35">
        <f t="shared" si="223"/>
        <v>3.8953230741024011E-2</v>
      </c>
      <c r="IF15" s="35">
        <f t="shared" si="224"/>
        <v>1.9831373010426034E-7</v>
      </c>
      <c r="IG15" s="35">
        <f t="shared" si="225"/>
        <v>3.8953230741024011E-2</v>
      </c>
      <c r="IH15" s="35">
        <f t="shared" si="226"/>
        <v>3.8953707530021656E-2</v>
      </c>
      <c r="II15" s="35">
        <f t="shared" si="227"/>
        <v>3.8953469135522834E-2</v>
      </c>
      <c r="IJ15" s="35">
        <f t="shared" si="228"/>
        <v>-1.0189530486037768E-7</v>
      </c>
      <c r="IK15" s="35">
        <f t="shared" si="229"/>
        <v>3.8953230741024011E-2</v>
      </c>
      <c r="IL15" s="35">
        <f t="shared" si="230"/>
        <v>3.8953469135522834E-2</v>
      </c>
      <c r="IM15" s="35">
        <f t="shared" si="231"/>
        <v>3.8953349938273422E-2</v>
      </c>
      <c r="IN15" s="35">
        <f t="shared" si="232"/>
        <v>4.8209168435064953E-8</v>
      </c>
      <c r="IO15" s="35">
        <f t="shared" si="233"/>
        <v>3.8953349938273422E-2</v>
      </c>
      <c r="IP15" s="35">
        <f t="shared" si="234"/>
        <v>3.8953469135522834E-2</v>
      </c>
      <c r="IQ15" s="35">
        <f t="shared" si="235"/>
        <v>3.8953409536898131E-2</v>
      </c>
      <c r="IR15" s="35">
        <f t="shared" si="236"/>
        <v>-2.6843079425908911E-8</v>
      </c>
      <c r="IS15" s="35">
        <f t="shared" si="237"/>
        <v>3.8953349938273422E-2</v>
      </c>
      <c r="IT15" s="35">
        <f t="shared" si="238"/>
        <v>3.8953409536898131E-2</v>
      </c>
      <c r="IU15" s="35">
        <f t="shared" si="239"/>
        <v>3.895337973758578E-2</v>
      </c>
      <c r="IV15" s="35">
        <f t="shared" si="240"/>
        <v>1.0683042006576215E-8</v>
      </c>
      <c r="IW15" s="35">
        <f t="shared" si="241"/>
        <v>3.895337973758578E-2</v>
      </c>
      <c r="IX15" s="35">
        <f t="shared" si="242"/>
        <v>3.8953409536898131E-2</v>
      </c>
      <c r="IY15" s="35">
        <f t="shared" si="243"/>
        <v>3.8953394637241956E-2</v>
      </c>
      <c r="IZ15" s="35">
        <f t="shared" si="244"/>
        <v>-8.0800195423336163E-9</v>
      </c>
      <c r="JA15" s="35">
        <f t="shared" si="245"/>
        <v>3.895337973758578E-2</v>
      </c>
      <c r="JB15" s="35">
        <f t="shared" si="246"/>
        <v>3.8953394637241956E-2</v>
      </c>
      <c r="JC15" s="35">
        <f t="shared" si="247"/>
        <v>3.8953387187413868E-2</v>
      </c>
      <c r="JD15" s="35">
        <f t="shared" si="248"/>
        <v>1.3015108990543922E-9</v>
      </c>
      <c r="JE15" s="35">
        <f t="shared" si="249"/>
        <v>3.8953387187413868E-2</v>
      </c>
      <c r="JF15" s="35">
        <f t="shared" si="250"/>
        <v>3.8953394637241956E-2</v>
      </c>
      <c r="JG15" s="35">
        <f t="shared" si="251"/>
        <v>3.8953390912327912E-2</v>
      </c>
      <c r="JH15" s="35">
        <f t="shared" si="252"/>
        <v>-3.3892540995950071E-9</v>
      </c>
      <c r="JI15" s="35">
        <f t="shared" si="253"/>
        <v>3.8953387187413868E-2</v>
      </c>
      <c r="JJ15" s="35">
        <f t="shared" si="254"/>
        <v>3.8953390912327912E-2</v>
      </c>
      <c r="JK15" s="35">
        <f t="shared" si="255"/>
        <v>3.895338904987089E-2</v>
      </c>
      <c r="JL15" s="35">
        <f t="shared" si="256"/>
        <v>-1.0438715447591562E-9</v>
      </c>
      <c r="JM15" s="35">
        <f t="shared" si="257"/>
        <v>3.8953387187413868E-2</v>
      </c>
      <c r="JN15" s="35">
        <f t="shared" si="258"/>
        <v>3.895338904987089E-2</v>
      </c>
      <c r="JO15" s="35">
        <f t="shared" si="259"/>
        <v>3.8953388118642379E-2</v>
      </c>
      <c r="JP15" s="35">
        <f t="shared" si="260"/>
        <v>1.2881939959186184E-10</v>
      </c>
      <c r="JQ15" s="35">
        <f t="shared" si="261"/>
        <v>3.8953388118642379E-2</v>
      </c>
      <c r="JR15" s="35">
        <f t="shared" si="262"/>
        <v>3.895338904987089E-2</v>
      </c>
      <c r="JS15" s="35">
        <f t="shared" si="263"/>
        <v>3.8953388584256635E-2</v>
      </c>
      <c r="JT15" s="35">
        <f t="shared" si="264"/>
        <v>-4.575259060501935E-10</v>
      </c>
      <c r="JU15" s="35">
        <f t="shared" si="265"/>
        <v>3.8953388118642379E-2</v>
      </c>
      <c r="JV15" s="35">
        <f t="shared" si="266"/>
        <v>3.8953388584256635E-2</v>
      </c>
      <c r="JW15" s="35">
        <f t="shared" si="267"/>
        <v>3.8953388351449507E-2</v>
      </c>
      <c r="JX15" s="35">
        <f t="shared" si="268"/>
        <v>-1.643531977180146E-10</v>
      </c>
      <c r="JY15" s="35">
        <f t="shared" si="269"/>
        <v>3.8953388118642379E-2</v>
      </c>
      <c r="JZ15" s="35">
        <f t="shared" si="270"/>
        <v>3.8953388351449507E-2</v>
      </c>
      <c r="KA15" s="35">
        <f t="shared" si="271"/>
        <v>1.1161290892632678</v>
      </c>
      <c r="KB15" s="35">
        <f t="shared" si="272"/>
        <v>3.8953388235045946E-2</v>
      </c>
    </row>
    <row r="16" spans="1:288" ht="15" customHeight="1" x14ac:dyDescent="0.3">
      <c r="A16" s="30">
        <f>Odds_Input!A16</f>
        <v>8</v>
      </c>
      <c r="B16" s="7" t="str">
        <f>Odds_Input!B16</f>
        <v>TITLE</v>
      </c>
      <c r="C16" s="7" t="str">
        <f>Odds_Input!C16</f>
        <v>Detroit Pistons</v>
      </c>
      <c r="D16" s="7" t="str">
        <f>Odds_Input!D16</f>
        <v>YES</v>
      </c>
      <c r="E16" s="31" t="str">
        <f>Odds_Input!E16</f>
        <v>-</v>
      </c>
      <c r="F16" s="32">
        <f>Odds_Input!F16</f>
        <v>3000</v>
      </c>
      <c r="G16" s="6" t="str">
        <f t="shared" si="0"/>
        <v>TITLE</v>
      </c>
      <c r="H16" s="14">
        <f t="shared" si="1"/>
        <v>31</v>
      </c>
      <c r="I16" s="33">
        <f t="shared" si="2"/>
        <v>3.2258064516129031E-2</v>
      </c>
      <c r="J16" s="17">
        <f t="shared" si="3"/>
        <v>1</v>
      </c>
      <c r="K16" s="17">
        <f t="shared" si="4"/>
        <v>30</v>
      </c>
      <c r="L16" s="18">
        <f t="shared" si="5"/>
        <v>1.252565192422864</v>
      </c>
      <c r="M16" s="34">
        <f t="shared" si="6"/>
        <v>0.25256519242286402</v>
      </c>
      <c r="N16" s="33">
        <f t="shared" si="7"/>
        <v>2.5753601258655095E-2</v>
      </c>
      <c r="O16" s="33">
        <f t="shared" si="8"/>
        <v>2.2944170721844192E-2</v>
      </c>
      <c r="P16" s="33">
        <f t="shared" si="9"/>
        <v>2.3929522910412789E-2</v>
      </c>
      <c r="Q16" s="33">
        <f t="shared" si="10"/>
        <v>2.3929522910412789E-2</v>
      </c>
      <c r="R16" s="35">
        <f t="shared" si="11"/>
        <v>1.0992153287166726</v>
      </c>
      <c r="S16" s="35">
        <f t="shared" si="12"/>
        <v>1.1051948455485863E-2</v>
      </c>
      <c r="X16" s="6" t="s">
        <v>276</v>
      </c>
      <c r="Y16" s="6">
        <f t="shared" si="13"/>
        <v>1</v>
      </c>
      <c r="Z16" s="18">
        <f t="shared" si="14"/>
        <v>1.1290383371509995</v>
      </c>
      <c r="AA16" s="10">
        <v>0.2</v>
      </c>
      <c r="AB16" s="10">
        <v>10</v>
      </c>
      <c r="AC16" s="35">
        <f t="shared" si="15"/>
        <v>5.0999999999999996</v>
      </c>
      <c r="AD16" s="35">
        <f t="shared" si="16"/>
        <v>-0.384801012461224</v>
      </c>
      <c r="AE16" s="35">
        <f t="shared" si="17"/>
        <v>0.2</v>
      </c>
      <c r="AF16" s="35">
        <f t="shared" si="18"/>
        <v>5.0999999999999996</v>
      </c>
      <c r="AG16" s="35">
        <f t="shared" si="19"/>
        <v>2.65</v>
      </c>
      <c r="AH16" s="35">
        <f t="shared" si="20"/>
        <v>-0.21220743696897104</v>
      </c>
      <c r="AI16" s="35">
        <f t="shared" si="21"/>
        <v>0.2</v>
      </c>
      <c r="AJ16" s="35">
        <f t="shared" si="22"/>
        <v>2.65</v>
      </c>
      <c r="AK16" s="35">
        <f t="shared" si="23"/>
        <v>1.425</v>
      </c>
      <c r="AL16" s="35">
        <f t="shared" si="24"/>
        <v>-3.1733296350920925E-2</v>
      </c>
      <c r="AM16" s="35">
        <f t="shared" si="25"/>
        <v>0.2</v>
      </c>
      <c r="AN16" s="35">
        <f t="shared" si="26"/>
        <v>1.425</v>
      </c>
      <c r="AO16" s="35">
        <f t="shared" si="27"/>
        <v>0.8125</v>
      </c>
      <c r="AP16" s="35">
        <f t="shared" si="28"/>
        <v>0.25793836989282437</v>
      </c>
      <c r="AQ16" s="35">
        <f t="shared" si="29"/>
        <v>0.8125</v>
      </c>
      <c r="AR16" s="35">
        <f t="shared" si="30"/>
        <v>1.425</v>
      </c>
      <c r="AS16" s="35">
        <f t="shared" si="31"/>
        <v>1.1187499999999999</v>
      </c>
      <c r="AT16" s="35">
        <f t="shared" si="32"/>
        <v>7.1048588679556435E-2</v>
      </c>
      <c r="AU16" s="35">
        <f t="shared" si="33"/>
        <v>1.1187499999999999</v>
      </c>
      <c r="AV16" s="35">
        <f t="shared" si="34"/>
        <v>1.425</v>
      </c>
      <c r="AW16" s="35">
        <f t="shared" si="35"/>
        <v>1.2718750000000001</v>
      </c>
      <c r="AX16" s="35">
        <f t="shared" si="36"/>
        <v>1.3177383834319656E-2</v>
      </c>
      <c r="AY16" s="35">
        <f t="shared" si="37"/>
        <v>1.2718750000000001</v>
      </c>
      <c r="AZ16" s="35">
        <f t="shared" si="38"/>
        <v>1.425</v>
      </c>
      <c r="BA16" s="35">
        <f t="shared" si="39"/>
        <v>1.3484375000000002</v>
      </c>
      <c r="BB16" s="35">
        <f t="shared" si="40"/>
        <v>-1.0595576506679749E-2</v>
      </c>
      <c r="BC16" s="35">
        <f t="shared" si="41"/>
        <v>1.2718750000000001</v>
      </c>
      <c r="BD16" s="35">
        <f t="shared" si="42"/>
        <v>1.3484375000000002</v>
      </c>
      <c r="BE16" s="35">
        <f t="shared" si="43"/>
        <v>1.3101562500000001</v>
      </c>
      <c r="BF16" s="35">
        <f t="shared" si="44"/>
        <v>9.2941957063086278E-4</v>
      </c>
      <c r="BG16" s="35">
        <f t="shared" si="45"/>
        <v>1.3101562500000001</v>
      </c>
      <c r="BH16" s="35">
        <f t="shared" si="46"/>
        <v>1.3484375000000002</v>
      </c>
      <c r="BI16" s="35">
        <f t="shared" si="47"/>
        <v>1.3292968750000003</v>
      </c>
      <c r="BJ16" s="35">
        <f t="shared" si="48"/>
        <v>-4.9191380675328578E-3</v>
      </c>
      <c r="BK16" s="35">
        <f t="shared" si="49"/>
        <v>1.3101562500000001</v>
      </c>
      <c r="BL16" s="35">
        <f t="shared" si="50"/>
        <v>1.3292968750000003</v>
      </c>
      <c r="BM16" s="35">
        <f t="shared" si="51"/>
        <v>1.3197265625000001</v>
      </c>
      <c r="BN16" s="35">
        <f t="shared" si="52"/>
        <v>-2.01689271898986E-3</v>
      </c>
      <c r="BO16" s="35">
        <f t="shared" si="53"/>
        <v>1.3101562500000001</v>
      </c>
      <c r="BP16" s="35">
        <f t="shared" si="54"/>
        <v>1.3197265625000001</v>
      </c>
      <c r="BQ16" s="35">
        <f t="shared" si="55"/>
        <v>1.31494140625</v>
      </c>
      <c r="BR16" s="35">
        <f t="shared" si="56"/>
        <v>-5.4931148604908664E-4</v>
      </c>
      <c r="BS16" s="35">
        <f t="shared" si="57"/>
        <v>1.3101562500000001</v>
      </c>
      <c r="BT16" s="35">
        <f t="shared" si="58"/>
        <v>1.31494140625</v>
      </c>
      <c r="BU16" s="35">
        <f t="shared" si="59"/>
        <v>1.3125488281250002</v>
      </c>
      <c r="BV16" s="35">
        <f t="shared" si="60"/>
        <v>1.8865188566152824E-4</v>
      </c>
      <c r="BW16" s="35">
        <f t="shared" si="61"/>
        <v>1.3125488281250002</v>
      </c>
      <c r="BX16" s="35">
        <f t="shared" si="62"/>
        <v>1.31494140625</v>
      </c>
      <c r="BY16" s="35">
        <f t="shared" si="63"/>
        <v>1.3137451171875001</v>
      </c>
      <c r="BZ16" s="35">
        <f t="shared" si="64"/>
        <v>-1.8067928077081241E-4</v>
      </c>
      <c r="CA16" s="35">
        <f t="shared" si="65"/>
        <v>1.3125488281250002</v>
      </c>
      <c r="CB16" s="35">
        <f t="shared" si="66"/>
        <v>1.3137451171875001</v>
      </c>
      <c r="CC16" s="35">
        <f t="shared" si="67"/>
        <v>1.3131469726562501</v>
      </c>
      <c r="CD16" s="35">
        <f t="shared" si="68"/>
        <v>3.8988002923900922E-6</v>
      </c>
      <c r="CE16" s="35">
        <f t="shared" si="69"/>
        <v>1.3131469726562501</v>
      </c>
      <c r="CF16" s="35">
        <f t="shared" si="70"/>
        <v>1.3137451171875001</v>
      </c>
      <c r="CG16" s="35">
        <f t="shared" si="71"/>
        <v>1.313446044921875</v>
      </c>
      <c r="CH16" s="35">
        <f t="shared" si="72"/>
        <v>-8.8412099256696131E-5</v>
      </c>
      <c r="CI16" s="35">
        <f t="shared" si="73"/>
        <v>1.3131469726562501</v>
      </c>
      <c r="CJ16" s="35">
        <f t="shared" si="74"/>
        <v>1.313446044921875</v>
      </c>
      <c r="CK16" s="35">
        <f t="shared" si="75"/>
        <v>1.3132965087890627</v>
      </c>
      <c r="CL16" s="35">
        <f t="shared" si="76"/>
        <v>-4.2262116300428865E-5</v>
      </c>
      <c r="CM16" s="35">
        <f t="shared" si="77"/>
        <v>1.3131469726562501</v>
      </c>
      <c r="CN16" s="35">
        <f t="shared" si="78"/>
        <v>1.3132965087890627</v>
      </c>
      <c r="CO16" s="35">
        <f t="shared" si="79"/>
        <v>1.3132217407226565</v>
      </c>
      <c r="CP16" s="35">
        <f t="shared" si="80"/>
        <v>-1.9183024966729079E-5</v>
      </c>
      <c r="CQ16" s="35">
        <f t="shared" si="81"/>
        <v>1.3131469726562501</v>
      </c>
      <c r="CR16" s="35">
        <f t="shared" si="82"/>
        <v>1.3132217407226565</v>
      </c>
      <c r="CS16" s="35">
        <f t="shared" si="83"/>
        <v>1.3131843566894532</v>
      </c>
      <c r="CT16" s="35">
        <f t="shared" si="84"/>
        <v>-7.6424541100017507E-6</v>
      </c>
      <c r="CU16" s="35">
        <f t="shared" si="85"/>
        <v>1.3131469726562501</v>
      </c>
      <c r="CV16" s="35">
        <f t="shared" si="86"/>
        <v>1.3131843566894532</v>
      </c>
      <c r="CW16" s="35">
        <f t="shared" si="87"/>
        <v>1.3131656646728516</v>
      </c>
      <c r="CX16" s="35">
        <f t="shared" si="88"/>
        <v>-1.8719123560106965E-6</v>
      </c>
      <c r="CY16" s="35">
        <f t="shared" si="89"/>
        <v>1.3131469726562501</v>
      </c>
      <c r="CZ16" s="35">
        <f t="shared" si="90"/>
        <v>1.3131656646728516</v>
      </c>
      <c r="DA16" s="35">
        <f t="shared" si="91"/>
        <v>1.313156318664551</v>
      </c>
      <c r="DB16" s="35">
        <f t="shared" si="92"/>
        <v>1.0134226058333695E-6</v>
      </c>
      <c r="DC16" s="35">
        <f t="shared" si="93"/>
        <v>1.313156318664551</v>
      </c>
      <c r="DD16" s="35">
        <f t="shared" si="94"/>
        <v>1.3131656646728516</v>
      </c>
      <c r="DE16" s="35">
        <f t="shared" si="95"/>
        <v>1.3131609916687013</v>
      </c>
      <c r="DF16" s="35">
        <f t="shared" si="96"/>
        <v>-4.2925021559447885E-7</v>
      </c>
      <c r="DG16" s="35">
        <f t="shared" si="97"/>
        <v>1.313156318664551</v>
      </c>
      <c r="DH16" s="35">
        <f t="shared" si="98"/>
        <v>1.3131609916687013</v>
      </c>
      <c r="DI16" s="35">
        <f t="shared" si="99"/>
        <v>1.3131586551666261</v>
      </c>
      <c r="DJ16" s="35">
        <f t="shared" si="100"/>
        <v>2.9208486007625822E-7</v>
      </c>
      <c r="DK16" s="35">
        <f t="shared" si="101"/>
        <v>1.3131586551666261</v>
      </c>
      <c r="DL16" s="35">
        <f t="shared" si="102"/>
        <v>1.3131609916687013</v>
      </c>
      <c r="DM16" s="35">
        <f t="shared" si="103"/>
        <v>1.3131598234176636</v>
      </c>
      <c r="DN16" s="35">
        <f t="shared" si="104"/>
        <v>-6.8583011492151513E-8</v>
      </c>
      <c r="DO16" s="35">
        <f t="shared" si="105"/>
        <v>1.3131586551666261</v>
      </c>
      <c r="DP16" s="35">
        <f t="shared" si="106"/>
        <v>1.3131598234176636</v>
      </c>
      <c r="DQ16" s="35">
        <f t="shared" si="107"/>
        <v>1.313159239292145</v>
      </c>
      <c r="DR16" s="35">
        <f t="shared" si="108"/>
        <v>1.117508408032819E-7</v>
      </c>
      <c r="DS16" s="35">
        <f t="shared" si="109"/>
        <v>1.313159239292145</v>
      </c>
      <c r="DT16" s="35">
        <f t="shared" si="110"/>
        <v>1.3131598234176636</v>
      </c>
      <c r="DU16" s="35">
        <f t="shared" si="111"/>
        <v>1.3131595313549043</v>
      </c>
      <c r="DV16" s="35">
        <f t="shared" si="112"/>
        <v>2.1583893783372332E-8</v>
      </c>
      <c r="DW16" s="35">
        <f t="shared" si="113"/>
        <v>1.3131595313549043</v>
      </c>
      <c r="DX16" s="35">
        <f t="shared" si="114"/>
        <v>1.3131598234176636</v>
      </c>
      <c r="DY16" s="35">
        <f t="shared" si="115"/>
        <v>1.3131596773862839</v>
      </c>
      <c r="DZ16" s="35">
        <f t="shared" si="116"/>
        <v>-2.3499564183460109E-8</v>
      </c>
      <c r="EA16" s="35">
        <f t="shared" si="117"/>
        <v>1.3131595313549043</v>
      </c>
      <c r="EB16" s="35">
        <f t="shared" si="118"/>
        <v>1.3131596773862839</v>
      </c>
      <c r="EC16" s="35">
        <f t="shared" si="119"/>
        <v>1.3131596043705942</v>
      </c>
      <c r="ED16" s="35">
        <f t="shared" si="120"/>
        <v>-9.5783647680036665E-10</v>
      </c>
      <c r="EE16" s="35">
        <f t="shared" si="121"/>
        <v>1.3131595313549043</v>
      </c>
      <c r="EF16" s="35">
        <f t="shared" si="122"/>
        <v>1.3131596043705942</v>
      </c>
      <c r="EG16" s="35">
        <f t="shared" si="123"/>
        <v>1.3131595678627492</v>
      </c>
      <c r="EH16" s="35">
        <f t="shared" si="124"/>
        <v>1.0313028209196773E-8</v>
      </c>
      <c r="EI16" s="35">
        <f t="shared" si="125"/>
        <v>1.3131595678627492</v>
      </c>
      <c r="EJ16" s="35">
        <f t="shared" si="126"/>
        <v>1.3131596043705942</v>
      </c>
      <c r="EK16" s="35">
        <f t="shared" si="127"/>
        <v>1.3131595861166718</v>
      </c>
      <c r="EL16" s="35">
        <f t="shared" si="128"/>
        <v>4.6775958661982031E-9</v>
      </c>
      <c r="EM16" s="35">
        <f t="shared" si="129"/>
        <v>1.3131595861166718</v>
      </c>
      <c r="EN16" s="35">
        <f t="shared" si="130"/>
        <v>1.3131596043705942</v>
      </c>
      <c r="EO16" s="35">
        <f t="shared" si="131"/>
        <v>1.313159595243633</v>
      </c>
      <c r="EP16" s="35">
        <f t="shared" si="132"/>
        <v>1.8598795836766158E-9</v>
      </c>
      <c r="EQ16" s="35">
        <f t="shared" si="133"/>
        <v>1.313159595243633</v>
      </c>
      <c r="ER16" s="35">
        <f t="shared" si="134"/>
        <v>1.3131596043705942</v>
      </c>
      <c r="ES16" s="35">
        <f t="shared" si="135"/>
        <v>1.3131595998071135</v>
      </c>
      <c r="ET16" s="35">
        <f t="shared" si="136"/>
        <v>4.5102166446042702E-10</v>
      </c>
      <c r="EU16" s="35">
        <f t="shared" si="137"/>
        <v>1.3131595998071135</v>
      </c>
      <c r="EV16" s="35">
        <f t="shared" si="138"/>
        <v>1.3131596043705942</v>
      </c>
      <c r="EW16" s="35">
        <f t="shared" si="139"/>
        <v>1.3131596020888539</v>
      </c>
      <c r="EX16" s="35">
        <f t="shared" si="140"/>
        <v>-2.5340751719227228E-10</v>
      </c>
      <c r="EY16" s="35">
        <f t="shared" si="141"/>
        <v>1.3131595998071135</v>
      </c>
      <c r="EZ16" s="35">
        <f t="shared" si="142"/>
        <v>1.3131596020888539</v>
      </c>
      <c r="FA16" s="10">
        <v>9.9999999999999995E-7</v>
      </c>
      <c r="FB16" s="10">
        <v>0.99990000000000001</v>
      </c>
      <c r="FC16" s="35">
        <f t="shared" si="143"/>
        <v>0.49995050000000002</v>
      </c>
      <c r="FD16" s="35">
        <f t="shared" si="144"/>
        <v>-0.13385657209987101</v>
      </c>
      <c r="FE16" s="35">
        <f t="shared" si="145"/>
        <v>9.9999999999999995E-7</v>
      </c>
      <c r="FF16" s="35">
        <f t="shared" si="146"/>
        <v>0.49995050000000002</v>
      </c>
      <c r="FG16" s="35">
        <f t="shared" si="147"/>
        <v>0.24997575</v>
      </c>
      <c r="FH16" s="35">
        <f t="shared" si="148"/>
        <v>-7.0052164993561705E-2</v>
      </c>
      <c r="FI16" s="35">
        <f t="shared" si="149"/>
        <v>9.9999999999999995E-7</v>
      </c>
      <c r="FJ16" s="35">
        <f t="shared" si="150"/>
        <v>0.24997575</v>
      </c>
      <c r="FK16" s="35">
        <f t="shared" si="151"/>
        <v>0.124988375</v>
      </c>
      <c r="FL16" s="35">
        <f t="shared" si="152"/>
        <v>-2.33988856725732E-2</v>
      </c>
      <c r="FM16" s="35">
        <f t="shared" si="153"/>
        <v>9.9999999999999995E-7</v>
      </c>
      <c r="FN16" s="35">
        <f t="shared" si="154"/>
        <v>0.124988375</v>
      </c>
      <c r="FO16" s="35">
        <f t="shared" si="155"/>
        <v>6.24946875E-2</v>
      </c>
      <c r="FP16" s="35">
        <f t="shared" si="156"/>
        <v>7.7484469760142893E-3</v>
      </c>
      <c r="FQ16" s="35">
        <f t="shared" si="157"/>
        <v>6.24946875E-2</v>
      </c>
      <c r="FR16" s="35">
        <f t="shared" si="158"/>
        <v>0.124988375</v>
      </c>
      <c r="FS16" s="35">
        <f t="shared" si="159"/>
        <v>9.3741531249999996E-2</v>
      </c>
      <c r="FT16" s="35">
        <f t="shared" si="160"/>
        <v>-8.8439541442724146E-3</v>
      </c>
      <c r="FU16" s="35">
        <f t="shared" si="161"/>
        <v>6.24946875E-2</v>
      </c>
      <c r="FV16" s="35">
        <f t="shared" si="162"/>
        <v>9.3741531249999996E-2</v>
      </c>
      <c r="FW16" s="35">
        <f t="shared" si="163"/>
        <v>7.8118109374999994E-2</v>
      </c>
      <c r="FX16" s="35">
        <f t="shared" si="164"/>
        <v>-8.7066342284114473E-4</v>
      </c>
      <c r="FY16" s="35">
        <f t="shared" si="165"/>
        <v>6.24946875E-2</v>
      </c>
      <c r="FZ16" s="35">
        <f t="shared" si="166"/>
        <v>7.8118109374999994E-2</v>
      </c>
      <c r="GA16" s="35">
        <f t="shared" si="167"/>
        <v>7.0306398437500001E-2</v>
      </c>
      <c r="GB16" s="35">
        <f t="shared" si="168"/>
        <v>3.345289425713327E-3</v>
      </c>
      <c r="GC16" s="35">
        <f t="shared" si="169"/>
        <v>7.0306398437500001E-2</v>
      </c>
      <c r="GD16" s="35">
        <f t="shared" si="170"/>
        <v>7.8118109374999994E-2</v>
      </c>
      <c r="GE16" s="35">
        <f t="shared" si="171"/>
        <v>7.4212253906249998E-2</v>
      </c>
      <c r="GF16" s="35">
        <f t="shared" si="172"/>
        <v>1.2157973431987656E-3</v>
      </c>
      <c r="GG16" s="35">
        <f t="shared" si="173"/>
        <v>7.4212253906249998E-2</v>
      </c>
      <c r="GH16" s="35">
        <f t="shared" si="174"/>
        <v>7.8118109374999994E-2</v>
      </c>
      <c r="GI16" s="35">
        <f t="shared" si="175"/>
        <v>7.6165181640624996E-2</v>
      </c>
      <c r="GJ16" s="35">
        <f t="shared" si="176"/>
        <v>1.6739620550509926E-4</v>
      </c>
      <c r="GK16" s="35">
        <f t="shared" si="177"/>
        <v>7.6165181640624996E-2</v>
      </c>
      <c r="GL16" s="35">
        <f t="shared" si="178"/>
        <v>7.8118109374999994E-2</v>
      </c>
      <c r="GM16" s="35">
        <f t="shared" si="179"/>
        <v>7.7141645507812495E-2</v>
      </c>
      <c r="GN16" s="35">
        <f t="shared" si="180"/>
        <v>-3.5290179861036108E-4</v>
      </c>
      <c r="GO16" s="35">
        <f t="shared" si="181"/>
        <v>7.6165181640624996E-2</v>
      </c>
      <c r="GP16" s="35">
        <f t="shared" si="182"/>
        <v>7.7141645507812495E-2</v>
      </c>
      <c r="GQ16" s="35">
        <f t="shared" si="183"/>
        <v>7.6653413574218746E-2</v>
      </c>
      <c r="GR16" s="35">
        <f t="shared" si="184"/>
        <v>-9.3072841852226418E-5</v>
      </c>
      <c r="GS16" s="35">
        <f t="shared" si="185"/>
        <v>7.6165181640624996E-2</v>
      </c>
      <c r="GT16" s="35">
        <f t="shared" si="186"/>
        <v>7.6653413574218746E-2</v>
      </c>
      <c r="GU16" s="35">
        <f t="shared" si="187"/>
        <v>7.6409297607421878E-2</v>
      </c>
      <c r="GV16" s="35">
        <f t="shared" si="188"/>
        <v>3.7081290227058972E-5</v>
      </c>
      <c r="GW16" s="35">
        <f t="shared" si="189"/>
        <v>7.6409297607421878E-2</v>
      </c>
      <c r="GX16" s="35">
        <f t="shared" si="190"/>
        <v>7.6653413574218746E-2</v>
      </c>
      <c r="GY16" s="35">
        <f t="shared" si="191"/>
        <v>7.6531355590820305E-2</v>
      </c>
      <c r="GZ16" s="35">
        <f t="shared" si="192"/>
        <v>-2.8015825927596438E-5</v>
      </c>
      <c r="HA16" s="35">
        <f t="shared" si="193"/>
        <v>7.6409297607421878E-2</v>
      </c>
      <c r="HB16" s="35">
        <f t="shared" si="194"/>
        <v>7.6531355590820305E-2</v>
      </c>
      <c r="HC16" s="35">
        <f t="shared" si="195"/>
        <v>7.6470326599121091E-2</v>
      </c>
      <c r="HD16" s="35">
        <f t="shared" si="196"/>
        <v>4.5277136635490933E-6</v>
      </c>
      <c r="HE16" s="35">
        <f t="shared" si="197"/>
        <v>7.6470326599121091E-2</v>
      </c>
      <c r="HF16" s="35">
        <f t="shared" si="198"/>
        <v>7.6531355590820305E-2</v>
      </c>
      <c r="HG16" s="35">
        <f t="shared" si="199"/>
        <v>7.6500841094970698E-2</v>
      </c>
      <c r="HH16" s="35">
        <f t="shared" si="200"/>
        <v>-1.1745310007915677E-5</v>
      </c>
      <c r="HI16" s="35">
        <f t="shared" si="201"/>
        <v>7.6470326599121091E-2</v>
      </c>
      <c r="HJ16" s="35">
        <f t="shared" si="202"/>
        <v>7.6500841094970698E-2</v>
      </c>
      <c r="HK16" s="35">
        <f t="shared" si="203"/>
        <v>7.6485583847045902E-2</v>
      </c>
      <c r="HL16" s="35">
        <f t="shared" si="204"/>
        <v>-3.6091117341374712E-6</v>
      </c>
      <c r="HM16" s="35">
        <f t="shared" si="205"/>
        <v>7.6470326599121091E-2</v>
      </c>
      <c r="HN16" s="35">
        <f t="shared" si="206"/>
        <v>7.6485583847045902E-2</v>
      </c>
      <c r="HO16" s="35">
        <f t="shared" si="207"/>
        <v>7.6477955223083496E-2</v>
      </c>
      <c r="HP16" s="35">
        <f t="shared" si="208"/>
        <v>4.5922256242114656E-7</v>
      </c>
      <c r="HQ16" s="35">
        <f t="shared" si="209"/>
        <v>7.6477955223083496E-2</v>
      </c>
      <c r="HR16" s="35">
        <f t="shared" si="210"/>
        <v>7.6485583847045902E-2</v>
      </c>
      <c r="HS16" s="35">
        <f t="shared" si="211"/>
        <v>7.6481769535064692E-2</v>
      </c>
      <c r="HT16" s="35">
        <f t="shared" si="212"/>
        <v>-1.5749641849582829E-6</v>
      </c>
      <c r="HU16" s="35">
        <f t="shared" si="213"/>
        <v>7.6477955223083496E-2</v>
      </c>
      <c r="HV16" s="35">
        <f t="shared" si="214"/>
        <v>7.6481769535064692E-2</v>
      </c>
      <c r="HW16" s="35">
        <f t="shared" si="215"/>
        <v>7.6479862379074087E-2</v>
      </c>
      <c r="HX16" s="35">
        <f t="shared" si="216"/>
        <v>-5.5787571118237622E-7</v>
      </c>
      <c r="HY16" s="35">
        <f t="shared" si="217"/>
        <v>7.6477955223083496E-2</v>
      </c>
      <c r="HZ16" s="35">
        <f t="shared" si="218"/>
        <v>7.6479862379074087E-2</v>
      </c>
      <c r="IA16" s="35">
        <f t="shared" si="219"/>
        <v>7.6478908801078799E-2</v>
      </c>
      <c r="IB16" s="35">
        <f t="shared" si="220"/>
        <v>-4.9327799400700201E-8</v>
      </c>
      <c r="IC16" s="35">
        <f t="shared" si="221"/>
        <v>7.6477955223083496E-2</v>
      </c>
      <c r="ID16" s="35">
        <f t="shared" si="222"/>
        <v>7.6478908801078799E-2</v>
      </c>
      <c r="IE16" s="35">
        <f t="shared" si="223"/>
        <v>7.6478432012081154E-2</v>
      </c>
      <c r="IF16" s="35">
        <f t="shared" si="224"/>
        <v>2.0494707508866838E-7</v>
      </c>
      <c r="IG16" s="35">
        <f t="shared" si="225"/>
        <v>7.6478432012081154E-2</v>
      </c>
      <c r="IH16" s="35">
        <f t="shared" si="226"/>
        <v>7.6478908801078799E-2</v>
      </c>
      <c r="II16" s="35">
        <f t="shared" si="227"/>
        <v>7.6478670406579977E-2</v>
      </c>
      <c r="IJ16" s="35">
        <f t="shared" si="228"/>
        <v>7.7809561238595393E-8</v>
      </c>
      <c r="IK16" s="35">
        <f t="shared" si="229"/>
        <v>7.6478670406579977E-2</v>
      </c>
      <c r="IL16" s="35">
        <f t="shared" si="230"/>
        <v>7.6478908801078799E-2</v>
      </c>
      <c r="IM16" s="35">
        <f t="shared" si="231"/>
        <v>7.6478789603829395E-2</v>
      </c>
      <c r="IN16" s="35">
        <f t="shared" si="232"/>
        <v>1.4240861823111572E-8</v>
      </c>
      <c r="IO16" s="35">
        <f t="shared" si="233"/>
        <v>7.6478789603829395E-2</v>
      </c>
      <c r="IP16" s="35">
        <f t="shared" si="234"/>
        <v>7.6478908801078799E-2</v>
      </c>
      <c r="IQ16" s="35">
        <f t="shared" si="235"/>
        <v>7.6478849202454097E-2</v>
      </c>
      <c r="IR16" s="35">
        <f t="shared" si="236"/>
        <v>-1.7543473673775623E-8</v>
      </c>
      <c r="IS16" s="35">
        <f t="shared" si="237"/>
        <v>7.6478789603829395E-2</v>
      </c>
      <c r="IT16" s="35">
        <f t="shared" si="238"/>
        <v>7.6478849202454097E-2</v>
      </c>
      <c r="IU16" s="35">
        <f t="shared" si="239"/>
        <v>7.6478819403141746E-2</v>
      </c>
      <c r="IV16" s="35">
        <f t="shared" si="240"/>
        <v>-1.6513069800438984E-9</v>
      </c>
      <c r="IW16" s="35">
        <f t="shared" si="241"/>
        <v>7.6478789603829395E-2</v>
      </c>
      <c r="IX16" s="35">
        <f t="shared" si="242"/>
        <v>7.6478819403141746E-2</v>
      </c>
      <c r="IY16" s="35">
        <f t="shared" si="243"/>
        <v>7.647880450348557E-2</v>
      </c>
      <c r="IZ16" s="35">
        <f t="shared" si="244"/>
        <v>6.2947771439780809E-9</v>
      </c>
      <c r="JA16" s="35">
        <f t="shared" si="245"/>
        <v>7.647880450348557E-2</v>
      </c>
      <c r="JB16" s="35">
        <f t="shared" si="246"/>
        <v>7.6478819403141746E-2</v>
      </c>
      <c r="JC16" s="35">
        <f t="shared" si="247"/>
        <v>7.6478811953313658E-2</v>
      </c>
      <c r="JD16" s="35">
        <f t="shared" si="248"/>
        <v>2.32173502645594E-9</v>
      </c>
      <c r="JE16" s="35">
        <f t="shared" si="249"/>
        <v>7.6478811953313658E-2</v>
      </c>
      <c r="JF16" s="35">
        <f t="shared" si="250"/>
        <v>7.6478819403141746E-2</v>
      </c>
      <c r="JG16" s="35">
        <f t="shared" si="251"/>
        <v>7.6478815678227702E-2</v>
      </c>
      <c r="JH16" s="35">
        <f t="shared" si="252"/>
        <v>3.3521407871717201E-10</v>
      </c>
      <c r="JI16" s="35">
        <f t="shared" si="253"/>
        <v>7.6478815678227702E-2</v>
      </c>
      <c r="JJ16" s="35">
        <f t="shared" si="254"/>
        <v>7.6478819403141746E-2</v>
      </c>
      <c r="JK16" s="35">
        <f t="shared" si="255"/>
        <v>7.6478817540684724E-2</v>
      </c>
      <c r="JL16" s="35">
        <f t="shared" si="256"/>
        <v>-6.5804672821911936E-10</v>
      </c>
      <c r="JM16" s="35">
        <f t="shared" si="257"/>
        <v>7.6478815678227702E-2</v>
      </c>
      <c r="JN16" s="35">
        <f t="shared" si="258"/>
        <v>7.6478817540684724E-2</v>
      </c>
      <c r="JO16" s="35">
        <f t="shared" si="259"/>
        <v>7.6478816609456213E-2</v>
      </c>
      <c r="JP16" s="35">
        <f t="shared" si="260"/>
        <v>-1.6141621372867121E-10</v>
      </c>
      <c r="JQ16" s="35">
        <f t="shared" si="261"/>
        <v>7.6478815678227702E-2</v>
      </c>
      <c r="JR16" s="35">
        <f t="shared" si="262"/>
        <v>7.6478816609456213E-2</v>
      </c>
      <c r="JS16" s="35">
        <f t="shared" si="263"/>
        <v>7.6478816143841957E-2</v>
      </c>
      <c r="JT16" s="35">
        <f t="shared" si="264"/>
        <v>8.6898932494250403E-11</v>
      </c>
      <c r="JU16" s="35">
        <f t="shared" si="265"/>
        <v>7.6478816143841957E-2</v>
      </c>
      <c r="JV16" s="35">
        <f t="shared" si="266"/>
        <v>7.6478816609456213E-2</v>
      </c>
      <c r="JW16" s="35">
        <f t="shared" si="267"/>
        <v>7.6478816376649078E-2</v>
      </c>
      <c r="JX16" s="35">
        <f t="shared" si="268"/>
        <v>-3.7258640617210403E-11</v>
      </c>
      <c r="JY16" s="35">
        <f t="shared" si="269"/>
        <v>7.6478816143841957E-2</v>
      </c>
      <c r="JZ16" s="35">
        <f t="shared" si="270"/>
        <v>7.6478816376649078E-2</v>
      </c>
      <c r="KA16" s="35">
        <f t="shared" si="271"/>
        <v>1.3131596009479836</v>
      </c>
      <c r="KB16" s="35">
        <f t="shared" si="272"/>
        <v>7.6478816260245525E-2</v>
      </c>
    </row>
    <row r="17" spans="1:288" ht="15" customHeight="1" x14ac:dyDescent="0.3">
      <c r="A17" s="30">
        <f>Odds_Input!A17</f>
        <v>9</v>
      </c>
      <c r="B17" s="7" t="str">
        <f>Odds_Input!B17</f>
        <v>TITLE</v>
      </c>
      <c r="C17" s="7" t="str">
        <f>Odds_Input!C17</f>
        <v>Golden State Warriors</v>
      </c>
      <c r="D17" s="7" t="str">
        <f>Odds_Input!D17</f>
        <v>YES</v>
      </c>
      <c r="E17" s="31" t="str">
        <f>Odds_Input!E17</f>
        <v>-</v>
      </c>
      <c r="F17" s="32">
        <f>Odds_Input!F17</f>
        <v>5300</v>
      </c>
      <c r="G17" s="6" t="str">
        <f t="shared" si="0"/>
        <v>TITLE</v>
      </c>
      <c r="H17" s="14">
        <f t="shared" si="1"/>
        <v>54</v>
      </c>
      <c r="I17" s="33">
        <f t="shared" si="2"/>
        <v>1.8518518518518517E-2</v>
      </c>
      <c r="J17" s="17">
        <f t="shared" si="3"/>
        <v>1</v>
      </c>
      <c r="K17" s="17">
        <f t="shared" si="4"/>
        <v>30</v>
      </c>
      <c r="L17" s="18">
        <f t="shared" si="5"/>
        <v>1.252565192422864</v>
      </c>
      <c r="M17" s="34">
        <f t="shared" si="6"/>
        <v>0.25256519242286402</v>
      </c>
      <c r="N17" s="33">
        <f t="shared" si="7"/>
        <v>1.4784474796635331E-2</v>
      </c>
      <c r="O17" s="33">
        <f t="shared" si="8"/>
        <v>1.2465974202958172E-2</v>
      </c>
      <c r="P17" s="33">
        <f t="shared" si="9"/>
        <v>1.1964164450396957E-2</v>
      </c>
      <c r="Q17" s="33">
        <f t="shared" si="10"/>
        <v>1.1964164450396957E-2</v>
      </c>
      <c r="R17" s="35">
        <f t="shared" si="11"/>
        <v>1.0992153287166726</v>
      </c>
      <c r="S17" s="35">
        <f t="shared" si="12"/>
        <v>1.1051948455485863E-2</v>
      </c>
      <c r="X17" s="6" t="s">
        <v>277</v>
      </c>
      <c r="Y17" s="6">
        <f t="shared" si="13"/>
        <v>4</v>
      </c>
      <c r="Z17" s="18">
        <f t="shared" si="14"/>
        <v>4.3710401539609496</v>
      </c>
      <c r="AA17" s="10">
        <v>0.2</v>
      </c>
      <c r="AB17" s="10">
        <v>10</v>
      </c>
      <c r="AC17" s="35">
        <f t="shared" si="15"/>
        <v>5.0999999999999996</v>
      </c>
      <c r="AD17" s="35">
        <f t="shared" si="16"/>
        <v>-3.9055105806155543</v>
      </c>
      <c r="AE17" s="35">
        <f t="shared" si="17"/>
        <v>0.2</v>
      </c>
      <c r="AF17" s="35">
        <f t="shared" si="18"/>
        <v>5.0999999999999996</v>
      </c>
      <c r="AG17" s="35">
        <f t="shared" si="19"/>
        <v>2.65</v>
      </c>
      <c r="AH17" s="35">
        <f t="shared" si="20"/>
        <v>-3.1722974452849324</v>
      </c>
      <c r="AI17" s="35">
        <f t="shared" si="21"/>
        <v>0.2</v>
      </c>
      <c r="AJ17" s="35">
        <f t="shared" si="22"/>
        <v>2.65</v>
      </c>
      <c r="AK17" s="35">
        <f t="shared" si="23"/>
        <v>1.425</v>
      </c>
      <c r="AL17" s="35">
        <f t="shared" si="24"/>
        <v>-1.2342469466054506</v>
      </c>
      <c r="AM17" s="35">
        <f t="shared" si="25"/>
        <v>0.2</v>
      </c>
      <c r="AN17" s="35">
        <f t="shared" si="26"/>
        <v>1.425</v>
      </c>
      <c r="AO17" s="35">
        <f t="shared" si="27"/>
        <v>0.8125</v>
      </c>
      <c r="AP17" s="35">
        <f t="shared" si="28"/>
        <v>1.4023172736101559</v>
      </c>
      <c r="AQ17" s="35">
        <f t="shared" si="29"/>
        <v>0.8125</v>
      </c>
      <c r="AR17" s="35">
        <f t="shared" si="30"/>
        <v>1.425</v>
      </c>
      <c r="AS17" s="35">
        <f t="shared" si="31"/>
        <v>1.1187499999999999</v>
      </c>
      <c r="AT17" s="35">
        <f t="shared" si="32"/>
        <v>-0.16474532664622155</v>
      </c>
      <c r="AU17" s="35">
        <f t="shared" si="33"/>
        <v>0.8125</v>
      </c>
      <c r="AV17" s="35">
        <f t="shared" si="34"/>
        <v>1.1187499999999999</v>
      </c>
      <c r="AW17" s="35">
        <f t="shared" si="35"/>
        <v>0.96562499999999996</v>
      </c>
      <c r="AX17" s="35">
        <f t="shared" si="36"/>
        <v>0.54180565472772102</v>
      </c>
      <c r="AY17" s="35">
        <f t="shared" si="37"/>
        <v>0.96562499999999996</v>
      </c>
      <c r="AZ17" s="35">
        <f t="shared" si="38"/>
        <v>1.1187499999999999</v>
      </c>
      <c r="BA17" s="35">
        <f t="shared" si="39"/>
        <v>1.0421874999999998</v>
      </c>
      <c r="BB17" s="35">
        <f t="shared" si="40"/>
        <v>0.17144350132211539</v>
      </c>
      <c r="BC17" s="35">
        <f t="shared" si="41"/>
        <v>1.0421874999999998</v>
      </c>
      <c r="BD17" s="35">
        <f t="shared" si="42"/>
        <v>1.1187499999999999</v>
      </c>
      <c r="BE17" s="35">
        <f t="shared" si="43"/>
        <v>1.0804687499999999</v>
      </c>
      <c r="BF17" s="35">
        <f t="shared" si="44"/>
        <v>-6.8363087456013716E-4</v>
      </c>
      <c r="BG17" s="35">
        <f t="shared" si="45"/>
        <v>1.0421874999999998</v>
      </c>
      <c r="BH17" s="35">
        <f t="shared" si="46"/>
        <v>1.0804687499999999</v>
      </c>
      <c r="BI17" s="35">
        <f t="shared" si="47"/>
        <v>1.0613281249999997</v>
      </c>
      <c r="BJ17" s="35">
        <f t="shared" si="48"/>
        <v>8.434312922738485E-2</v>
      </c>
      <c r="BK17" s="35">
        <f t="shared" si="49"/>
        <v>1.0613281249999997</v>
      </c>
      <c r="BL17" s="35">
        <f t="shared" si="50"/>
        <v>1.0804687499999999</v>
      </c>
      <c r="BM17" s="35">
        <f t="shared" si="51"/>
        <v>1.0708984374999999</v>
      </c>
      <c r="BN17" s="35">
        <f t="shared" si="52"/>
        <v>4.1574200360703806E-2</v>
      </c>
      <c r="BO17" s="35">
        <f t="shared" si="53"/>
        <v>1.0708984374999999</v>
      </c>
      <c r="BP17" s="35">
        <f t="shared" si="54"/>
        <v>1.0804687499999999</v>
      </c>
      <c r="BQ17" s="35">
        <f t="shared" si="55"/>
        <v>1.07568359375</v>
      </c>
      <c r="BR17" s="35">
        <f t="shared" si="56"/>
        <v>2.0381847504953754E-2</v>
      </c>
      <c r="BS17" s="35">
        <f t="shared" si="57"/>
        <v>1.07568359375</v>
      </c>
      <c r="BT17" s="35">
        <f t="shared" si="58"/>
        <v>1.0804687499999999</v>
      </c>
      <c r="BU17" s="35">
        <f t="shared" si="59"/>
        <v>1.0780761718749998</v>
      </c>
      <c r="BV17" s="35">
        <f t="shared" si="60"/>
        <v>9.8333048435641501E-3</v>
      </c>
      <c r="BW17" s="35">
        <f t="shared" si="61"/>
        <v>1.0780761718749998</v>
      </c>
      <c r="BX17" s="35">
        <f t="shared" si="62"/>
        <v>1.0804687499999999</v>
      </c>
      <c r="BY17" s="35">
        <f t="shared" si="63"/>
        <v>1.0792724609374997</v>
      </c>
      <c r="BZ17" s="35">
        <f t="shared" si="64"/>
        <v>4.5708930710235407E-3</v>
      </c>
      <c r="CA17" s="35">
        <f t="shared" si="65"/>
        <v>1.0792724609374997</v>
      </c>
      <c r="CB17" s="35">
        <f t="shared" si="66"/>
        <v>1.0804687499999999</v>
      </c>
      <c r="CC17" s="35">
        <f t="shared" si="67"/>
        <v>1.0798706054687499</v>
      </c>
      <c r="CD17" s="35">
        <f t="shared" si="68"/>
        <v>1.9426459875901969E-3</v>
      </c>
      <c r="CE17" s="35">
        <f t="shared" si="69"/>
        <v>1.0798706054687499</v>
      </c>
      <c r="CF17" s="35">
        <f t="shared" si="70"/>
        <v>1.0804687499999999</v>
      </c>
      <c r="CG17" s="35">
        <f t="shared" si="71"/>
        <v>1.080169677734375</v>
      </c>
      <c r="CH17" s="35">
        <f t="shared" si="72"/>
        <v>6.2926138722119163E-4</v>
      </c>
      <c r="CI17" s="35">
        <f t="shared" si="73"/>
        <v>1.080169677734375</v>
      </c>
      <c r="CJ17" s="35">
        <f t="shared" si="74"/>
        <v>1.0804687499999999</v>
      </c>
      <c r="CK17" s="35">
        <f t="shared" si="75"/>
        <v>1.0803192138671873</v>
      </c>
      <c r="CL17" s="35">
        <f t="shared" si="76"/>
        <v>-2.7246272451986187E-5</v>
      </c>
      <c r="CM17" s="35">
        <f t="shared" si="77"/>
        <v>1.080169677734375</v>
      </c>
      <c r="CN17" s="35">
        <f t="shared" si="78"/>
        <v>1.0803192138671873</v>
      </c>
      <c r="CO17" s="35">
        <f t="shared" si="79"/>
        <v>1.0802444458007812</v>
      </c>
      <c r="CP17" s="35">
        <f t="shared" si="80"/>
        <v>3.0099217349555119E-4</v>
      </c>
      <c r="CQ17" s="35">
        <f t="shared" si="81"/>
        <v>1.0802444458007812</v>
      </c>
      <c r="CR17" s="35">
        <f t="shared" si="82"/>
        <v>1.0803192138671873</v>
      </c>
      <c r="CS17" s="35">
        <f t="shared" si="83"/>
        <v>1.0802818298339842</v>
      </c>
      <c r="CT17" s="35">
        <f t="shared" si="84"/>
        <v>1.3686910476096159E-4</v>
      </c>
      <c r="CU17" s="35">
        <f t="shared" si="85"/>
        <v>1.0802818298339842</v>
      </c>
      <c r="CV17" s="35">
        <f t="shared" si="86"/>
        <v>1.0803192138671873</v>
      </c>
      <c r="CW17" s="35">
        <f t="shared" si="87"/>
        <v>1.0803005218505857</v>
      </c>
      <c r="CX17" s="35">
        <f t="shared" si="88"/>
        <v>5.4810454741094361E-5</v>
      </c>
      <c r="CY17" s="35">
        <f t="shared" si="89"/>
        <v>1.0803005218505857</v>
      </c>
      <c r="CZ17" s="35">
        <f t="shared" si="90"/>
        <v>1.0803192138671873</v>
      </c>
      <c r="DA17" s="35">
        <f t="shared" si="91"/>
        <v>1.0803098678588865</v>
      </c>
      <c r="DB17" s="35">
        <f t="shared" si="92"/>
        <v>1.3781850793925798E-5</v>
      </c>
      <c r="DC17" s="35">
        <f t="shared" si="93"/>
        <v>1.0803098678588865</v>
      </c>
      <c r="DD17" s="35">
        <f t="shared" si="94"/>
        <v>1.0803192138671873</v>
      </c>
      <c r="DE17" s="35">
        <f t="shared" si="95"/>
        <v>1.080314540863037</v>
      </c>
      <c r="DF17" s="35">
        <f t="shared" si="96"/>
        <v>-6.7322709162986882E-6</v>
      </c>
      <c r="DG17" s="35">
        <f t="shared" si="97"/>
        <v>1.0803098678588865</v>
      </c>
      <c r="DH17" s="35">
        <f t="shared" si="98"/>
        <v>1.080314540863037</v>
      </c>
      <c r="DI17" s="35">
        <f t="shared" si="99"/>
        <v>1.0803122043609616</v>
      </c>
      <c r="DJ17" s="35">
        <f t="shared" si="100"/>
        <v>3.5247749172739873E-6</v>
      </c>
      <c r="DK17" s="35">
        <f t="shared" si="101"/>
        <v>1.0803122043609616</v>
      </c>
      <c r="DL17" s="35">
        <f t="shared" si="102"/>
        <v>1.080314540863037</v>
      </c>
      <c r="DM17" s="35">
        <f t="shared" si="103"/>
        <v>1.0803133726119993</v>
      </c>
      <c r="DN17" s="35">
        <f t="shared" si="104"/>
        <v>-1.6037517553968428E-6</v>
      </c>
      <c r="DO17" s="35">
        <f t="shared" si="105"/>
        <v>1.0803122043609616</v>
      </c>
      <c r="DP17" s="35">
        <f t="shared" si="106"/>
        <v>1.0803133726119993</v>
      </c>
      <c r="DQ17" s="35">
        <f t="shared" si="107"/>
        <v>1.0803127884864805</v>
      </c>
      <c r="DR17" s="35">
        <f t="shared" si="108"/>
        <v>9.6051064257807184E-7</v>
      </c>
      <c r="DS17" s="35">
        <f t="shared" si="109"/>
        <v>1.0803127884864805</v>
      </c>
      <c r="DT17" s="35">
        <f t="shared" si="110"/>
        <v>1.0803133726119993</v>
      </c>
      <c r="DU17" s="35">
        <f t="shared" si="111"/>
        <v>1.08031308054924</v>
      </c>
      <c r="DV17" s="35">
        <f t="shared" si="112"/>
        <v>-3.216207922207559E-7</v>
      </c>
      <c r="DW17" s="35">
        <f t="shared" si="113"/>
        <v>1.0803127884864805</v>
      </c>
      <c r="DX17" s="35">
        <f t="shared" si="114"/>
        <v>1.08031308054924</v>
      </c>
      <c r="DY17" s="35">
        <f t="shared" si="115"/>
        <v>1.0803129345178601</v>
      </c>
      <c r="DZ17" s="35">
        <f t="shared" si="116"/>
        <v>3.1944486700297148E-7</v>
      </c>
      <c r="EA17" s="35">
        <f t="shared" si="117"/>
        <v>1.0803129345178601</v>
      </c>
      <c r="EB17" s="35">
        <f t="shared" si="118"/>
        <v>1.08031308054924</v>
      </c>
      <c r="EC17" s="35">
        <f t="shared" si="119"/>
        <v>1.0803130075335501</v>
      </c>
      <c r="ED17" s="35">
        <f t="shared" si="120"/>
        <v>-1.0879772638361374E-9</v>
      </c>
      <c r="EE17" s="35">
        <f t="shared" si="121"/>
        <v>1.0803129345178601</v>
      </c>
      <c r="EF17" s="35">
        <f t="shared" si="122"/>
        <v>1.0803130075335501</v>
      </c>
      <c r="EG17" s="35">
        <f t="shared" si="123"/>
        <v>1.0803129710257051</v>
      </c>
      <c r="EH17" s="35">
        <f t="shared" si="124"/>
        <v>1.5917844198298781E-7</v>
      </c>
      <c r="EI17" s="35">
        <f t="shared" si="125"/>
        <v>1.0803129710257051</v>
      </c>
      <c r="EJ17" s="35">
        <f t="shared" si="126"/>
        <v>1.0803130075335501</v>
      </c>
      <c r="EK17" s="35">
        <f t="shared" si="127"/>
        <v>1.0803129892796277</v>
      </c>
      <c r="EL17" s="35">
        <f t="shared" si="128"/>
        <v>7.90452308052636E-8</v>
      </c>
      <c r="EM17" s="35">
        <f t="shared" si="129"/>
        <v>1.0803129892796277</v>
      </c>
      <c r="EN17" s="35">
        <f t="shared" si="130"/>
        <v>1.0803130075335501</v>
      </c>
      <c r="EO17" s="35">
        <f t="shared" si="131"/>
        <v>1.0803129984065889</v>
      </c>
      <c r="EP17" s="35">
        <f t="shared" si="132"/>
        <v>3.8978627436847546E-8</v>
      </c>
      <c r="EQ17" s="35">
        <f t="shared" si="133"/>
        <v>1.0803129984065889</v>
      </c>
      <c r="ER17" s="35">
        <f t="shared" si="134"/>
        <v>1.0803130075335501</v>
      </c>
      <c r="ES17" s="35">
        <f t="shared" si="135"/>
        <v>1.0803130029700694</v>
      </c>
      <c r="ET17" s="35">
        <f t="shared" si="136"/>
        <v>1.8945325308550309E-8</v>
      </c>
      <c r="EU17" s="35">
        <f t="shared" si="137"/>
        <v>1.0803130029700694</v>
      </c>
      <c r="EV17" s="35">
        <f t="shared" si="138"/>
        <v>1.0803130075335501</v>
      </c>
      <c r="EW17" s="35">
        <f t="shared" si="139"/>
        <v>1.0803130052518097</v>
      </c>
      <c r="EX17" s="35">
        <f t="shared" si="140"/>
        <v>8.9286746884909007E-9</v>
      </c>
      <c r="EY17" s="35">
        <f t="shared" si="141"/>
        <v>1.0803130052518097</v>
      </c>
      <c r="EZ17" s="35">
        <f t="shared" si="142"/>
        <v>1.0803130075335501</v>
      </c>
      <c r="FA17" s="10">
        <v>9.9999999999999995E-7</v>
      </c>
      <c r="FB17" s="10">
        <v>0.99990000000000001</v>
      </c>
      <c r="FC17" s="35">
        <f t="shared" si="143"/>
        <v>0.49995050000000002</v>
      </c>
      <c r="FD17" s="35">
        <f t="shared" si="144"/>
        <v>-0.33725413029358309</v>
      </c>
      <c r="FE17" s="35">
        <f t="shared" si="145"/>
        <v>9.9999999999999995E-7</v>
      </c>
      <c r="FF17" s="35">
        <f t="shared" si="146"/>
        <v>0.49995050000000002</v>
      </c>
      <c r="FG17" s="35">
        <f t="shared" si="147"/>
        <v>0.24997575</v>
      </c>
      <c r="FH17" s="35">
        <f t="shared" si="148"/>
        <v>7.9058657764066176E-2</v>
      </c>
      <c r="FI17" s="35">
        <f t="shared" si="149"/>
        <v>0.24997575</v>
      </c>
      <c r="FJ17" s="35">
        <f t="shared" si="150"/>
        <v>0.49995050000000002</v>
      </c>
      <c r="FK17" s="35">
        <f t="shared" si="151"/>
        <v>0.37496312500000001</v>
      </c>
      <c r="FL17" s="35">
        <f t="shared" si="152"/>
        <v>-0.1707311480715703</v>
      </c>
      <c r="FM17" s="35">
        <f t="shared" si="153"/>
        <v>0.24997575</v>
      </c>
      <c r="FN17" s="35">
        <f t="shared" si="154"/>
        <v>0.37496312500000001</v>
      </c>
      <c r="FO17" s="35">
        <f t="shared" si="155"/>
        <v>0.3124694375</v>
      </c>
      <c r="FP17" s="35">
        <f t="shared" si="156"/>
        <v>-5.898143504677289E-2</v>
      </c>
      <c r="FQ17" s="35">
        <f t="shared" si="157"/>
        <v>0.24997575</v>
      </c>
      <c r="FR17" s="35">
        <f t="shared" si="158"/>
        <v>0.3124694375</v>
      </c>
      <c r="FS17" s="35">
        <f t="shared" si="159"/>
        <v>0.28122259375000003</v>
      </c>
      <c r="FT17" s="35">
        <f t="shared" si="160"/>
        <v>6.3306128458011646E-3</v>
      </c>
      <c r="FU17" s="35">
        <f t="shared" si="161"/>
        <v>0.28122259375000003</v>
      </c>
      <c r="FV17" s="35">
        <f t="shared" si="162"/>
        <v>0.3124694375</v>
      </c>
      <c r="FW17" s="35">
        <f t="shared" si="163"/>
        <v>0.29684601562500001</v>
      </c>
      <c r="FX17" s="35">
        <f t="shared" si="164"/>
        <v>-2.7195674335186659E-2</v>
      </c>
      <c r="FY17" s="35">
        <f t="shared" si="165"/>
        <v>0.28122259375000003</v>
      </c>
      <c r="FZ17" s="35">
        <f t="shared" si="166"/>
        <v>0.29684601562500001</v>
      </c>
      <c r="GA17" s="35">
        <f t="shared" si="167"/>
        <v>0.28903430468750002</v>
      </c>
      <c r="GB17" s="35">
        <f t="shared" si="168"/>
        <v>-1.0656923513468253E-2</v>
      </c>
      <c r="GC17" s="35">
        <f t="shared" si="169"/>
        <v>0.28122259375000003</v>
      </c>
      <c r="GD17" s="35">
        <f t="shared" si="170"/>
        <v>0.28903430468750002</v>
      </c>
      <c r="GE17" s="35">
        <f t="shared" si="171"/>
        <v>0.28512844921875002</v>
      </c>
      <c r="GF17" s="35">
        <f t="shared" si="172"/>
        <v>-2.2201295644055374E-3</v>
      </c>
      <c r="GG17" s="35">
        <f t="shared" si="173"/>
        <v>0.28122259375000003</v>
      </c>
      <c r="GH17" s="35">
        <f t="shared" si="174"/>
        <v>0.28512844921875002</v>
      </c>
      <c r="GI17" s="35">
        <f t="shared" si="175"/>
        <v>0.28317552148437503</v>
      </c>
      <c r="GJ17" s="35">
        <f t="shared" si="176"/>
        <v>2.0408871352235458E-3</v>
      </c>
      <c r="GK17" s="35">
        <f t="shared" si="177"/>
        <v>0.28317552148437503</v>
      </c>
      <c r="GL17" s="35">
        <f t="shared" si="178"/>
        <v>0.28512844921875002</v>
      </c>
      <c r="GM17" s="35">
        <f t="shared" si="179"/>
        <v>0.2841519853515625</v>
      </c>
      <c r="GN17" s="35">
        <f t="shared" si="180"/>
        <v>-9.3195907534537881E-5</v>
      </c>
      <c r="GO17" s="35">
        <f t="shared" si="181"/>
        <v>0.28317552148437503</v>
      </c>
      <c r="GP17" s="35">
        <f t="shared" si="182"/>
        <v>0.2841519853515625</v>
      </c>
      <c r="GQ17" s="35">
        <f t="shared" si="183"/>
        <v>0.28366375341796879</v>
      </c>
      <c r="GR17" s="35">
        <f t="shared" si="184"/>
        <v>9.7295020300292023E-4</v>
      </c>
      <c r="GS17" s="35">
        <f t="shared" si="185"/>
        <v>0.28366375341796879</v>
      </c>
      <c r="GT17" s="35">
        <f t="shared" si="186"/>
        <v>0.2841519853515625</v>
      </c>
      <c r="GU17" s="35">
        <f t="shared" si="187"/>
        <v>0.28390786938476564</v>
      </c>
      <c r="GV17" s="35">
        <f t="shared" si="188"/>
        <v>4.3965351247909901E-4</v>
      </c>
      <c r="GW17" s="35">
        <f t="shared" si="189"/>
        <v>0.28390786938476564</v>
      </c>
      <c r="GX17" s="35">
        <f t="shared" si="190"/>
        <v>0.2841519853515625</v>
      </c>
      <c r="GY17" s="35">
        <f t="shared" si="191"/>
        <v>0.28402992736816407</v>
      </c>
      <c r="GZ17" s="35">
        <f t="shared" si="192"/>
        <v>1.7317292081764357E-4</v>
      </c>
      <c r="HA17" s="35">
        <f t="shared" si="193"/>
        <v>0.28402992736816407</v>
      </c>
      <c r="HB17" s="35">
        <f t="shared" si="194"/>
        <v>0.2841519853515625</v>
      </c>
      <c r="HC17" s="35">
        <f t="shared" si="195"/>
        <v>0.28409095635986326</v>
      </c>
      <c r="HD17" s="35">
        <f t="shared" si="196"/>
        <v>3.9974539621345784E-5</v>
      </c>
      <c r="HE17" s="35">
        <f t="shared" si="197"/>
        <v>0.28409095635986326</v>
      </c>
      <c r="HF17" s="35">
        <f t="shared" si="198"/>
        <v>0.2841519853515625</v>
      </c>
      <c r="HG17" s="35">
        <f t="shared" si="199"/>
        <v>0.28412147085571288</v>
      </c>
      <c r="HH17" s="35">
        <f t="shared" si="200"/>
        <v>-2.6614175287820174E-5</v>
      </c>
      <c r="HI17" s="35">
        <f t="shared" si="201"/>
        <v>0.28409095635986326</v>
      </c>
      <c r="HJ17" s="35">
        <f t="shared" si="202"/>
        <v>0.28412147085571288</v>
      </c>
      <c r="HK17" s="35">
        <f t="shared" si="203"/>
        <v>0.28410621360778809</v>
      </c>
      <c r="HL17" s="35">
        <f t="shared" si="204"/>
        <v>6.6793092812211796E-6</v>
      </c>
      <c r="HM17" s="35">
        <f t="shared" si="205"/>
        <v>0.28410621360778809</v>
      </c>
      <c r="HN17" s="35">
        <f t="shared" si="206"/>
        <v>0.28412147085571288</v>
      </c>
      <c r="HO17" s="35">
        <f t="shared" si="207"/>
        <v>0.28411384223175051</v>
      </c>
      <c r="HP17" s="35">
        <f t="shared" si="208"/>
        <v>-9.9676512176349874E-6</v>
      </c>
      <c r="HQ17" s="35">
        <f t="shared" si="209"/>
        <v>0.28410621360778809</v>
      </c>
      <c r="HR17" s="35">
        <f t="shared" si="210"/>
        <v>0.28411384223175051</v>
      </c>
      <c r="HS17" s="35">
        <f t="shared" si="211"/>
        <v>0.2841100279197693</v>
      </c>
      <c r="HT17" s="35">
        <f t="shared" si="212"/>
        <v>-1.6442255221793545E-6</v>
      </c>
      <c r="HU17" s="35">
        <f t="shared" si="213"/>
        <v>0.28410621360778809</v>
      </c>
      <c r="HV17" s="35">
        <f t="shared" si="214"/>
        <v>0.2841100279197693</v>
      </c>
      <c r="HW17" s="35">
        <f t="shared" si="215"/>
        <v>0.28410812076377867</v>
      </c>
      <c r="HX17" s="35">
        <f t="shared" si="216"/>
        <v>2.5175282405420774E-6</v>
      </c>
      <c r="HY17" s="35">
        <f t="shared" si="217"/>
        <v>0.28410812076377867</v>
      </c>
      <c r="HZ17" s="35">
        <f t="shared" si="218"/>
        <v>0.2841100279197693</v>
      </c>
      <c r="IA17" s="35">
        <f t="shared" si="219"/>
        <v>0.28410907434177401</v>
      </c>
      <c r="IB17" s="35">
        <f t="shared" si="220"/>
        <v>4.3664794979747512E-7</v>
      </c>
      <c r="IC17" s="35">
        <f t="shared" si="221"/>
        <v>0.28410907434177401</v>
      </c>
      <c r="ID17" s="35">
        <f t="shared" si="222"/>
        <v>0.2841100279197693</v>
      </c>
      <c r="IE17" s="35">
        <f t="shared" si="223"/>
        <v>0.28410955113077163</v>
      </c>
      <c r="IF17" s="35">
        <f t="shared" si="224"/>
        <v>-6.0378963917528949E-7</v>
      </c>
      <c r="IG17" s="35">
        <f t="shared" si="225"/>
        <v>0.28410907434177401</v>
      </c>
      <c r="IH17" s="35">
        <f t="shared" si="226"/>
        <v>0.28410955113077163</v>
      </c>
      <c r="II17" s="35">
        <f t="shared" si="227"/>
        <v>0.28410931273627282</v>
      </c>
      <c r="IJ17" s="35">
        <f t="shared" si="228"/>
        <v>-8.3571056963549495E-8</v>
      </c>
      <c r="IK17" s="35">
        <f t="shared" si="229"/>
        <v>0.28410907434177401</v>
      </c>
      <c r="IL17" s="35">
        <f t="shared" si="230"/>
        <v>0.28410931273627282</v>
      </c>
      <c r="IM17" s="35">
        <f t="shared" si="231"/>
        <v>0.28410919353902342</v>
      </c>
      <c r="IN17" s="35">
        <f t="shared" si="232"/>
        <v>1.7653839323727993E-7</v>
      </c>
      <c r="IO17" s="35">
        <f t="shared" si="233"/>
        <v>0.28410919353902342</v>
      </c>
      <c r="IP17" s="35">
        <f t="shared" si="234"/>
        <v>0.28410931273627282</v>
      </c>
      <c r="IQ17" s="35">
        <f t="shared" si="235"/>
        <v>0.28410925313764812</v>
      </c>
      <c r="IR17" s="35">
        <f t="shared" si="236"/>
        <v>4.6483654037032807E-8</v>
      </c>
      <c r="IS17" s="35">
        <f t="shared" si="237"/>
        <v>0.28410925313764812</v>
      </c>
      <c r="IT17" s="35">
        <f t="shared" si="238"/>
        <v>0.28410931273627282</v>
      </c>
      <c r="IU17" s="35">
        <f t="shared" si="239"/>
        <v>0.28410928293696047</v>
      </c>
      <c r="IV17" s="35">
        <f t="shared" si="240"/>
        <v>-1.8543706126195048E-8</v>
      </c>
      <c r="IW17" s="35">
        <f t="shared" si="241"/>
        <v>0.28410925313764812</v>
      </c>
      <c r="IX17" s="35">
        <f t="shared" si="242"/>
        <v>0.28410928293696047</v>
      </c>
      <c r="IY17" s="35">
        <f t="shared" si="243"/>
        <v>0.2841092680373043</v>
      </c>
      <c r="IZ17" s="35">
        <f t="shared" si="244"/>
        <v>1.3969973178262762E-8</v>
      </c>
      <c r="JA17" s="35">
        <f t="shared" si="245"/>
        <v>0.2841092680373043</v>
      </c>
      <c r="JB17" s="35">
        <f t="shared" si="246"/>
        <v>0.28410928293696047</v>
      </c>
      <c r="JC17" s="35">
        <f t="shared" si="247"/>
        <v>0.28410927548713238</v>
      </c>
      <c r="JD17" s="35">
        <f t="shared" si="248"/>
        <v>-2.2868660298769328E-9</v>
      </c>
      <c r="JE17" s="35">
        <f t="shared" si="249"/>
        <v>0.2841092680373043</v>
      </c>
      <c r="JF17" s="35">
        <f t="shared" si="250"/>
        <v>0.28410927548713238</v>
      </c>
      <c r="JG17" s="35">
        <f t="shared" si="251"/>
        <v>0.28410927176221834</v>
      </c>
      <c r="JH17" s="35">
        <f t="shared" si="252"/>
        <v>5.8415532411260074E-9</v>
      </c>
      <c r="JI17" s="35">
        <f t="shared" si="253"/>
        <v>0.28410927176221834</v>
      </c>
      <c r="JJ17" s="35">
        <f t="shared" si="254"/>
        <v>0.28410927548713238</v>
      </c>
      <c r="JK17" s="35">
        <f t="shared" si="255"/>
        <v>0.28410927362467536</v>
      </c>
      <c r="JL17" s="35">
        <f t="shared" si="256"/>
        <v>1.7773431615353275E-9</v>
      </c>
      <c r="JM17" s="35">
        <f t="shared" si="257"/>
        <v>0.28410927362467536</v>
      </c>
      <c r="JN17" s="35">
        <f t="shared" si="258"/>
        <v>0.28410927548713238</v>
      </c>
      <c r="JO17" s="35">
        <f t="shared" si="259"/>
        <v>0.28410927455590385</v>
      </c>
      <c r="JP17" s="35">
        <f t="shared" si="260"/>
        <v>-2.5476176723771005E-10</v>
      </c>
      <c r="JQ17" s="35">
        <f t="shared" si="261"/>
        <v>0.28410927362467536</v>
      </c>
      <c r="JR17" s="35">
        <f t="shared" si="262"/>
        <v>0.28410927455590385</v>
      </c>
      <c r="JS17" s="35">
        <f t="shared" si="263"/>
        <v>0.28410927409028963</v>
      </c>
      <c r="JT17" s="35">
        <f t="shared" si="264"/>
        <v>7.6129147430492594E-10</v>
      </c>
      <c r="JU17" s="35">
        <f t="shared" si="265"/>
        <v>0.28410927409028963</v>
      </c>
      <c r="JV17" s="35">
        <f t="shared" si="266"/>
        <v>0.28410927455590385</v>
      </c>
      <c r="JW17" s="35">
        <f t="shared" si="267"/>
        <v>0.28410927432309674</v>
      </c>
      <c r="JX17" s="35">
        <f t="shared" si="268"/>
        <v>2.5326452046670056E-10</v>
      </c>
      <c r="JY17" s="35">
        <f t="shared" si="269"/>
        <v>0.28410927432309674</v>
      </c>
      <c r="JZ17" s="35">
        <f t="shared" si="270"/>
        <v>0.28410927455590385</v>
      </c>
      <c r="KA17" s="35">
        <f t="shared" si="271"/>
        <v>1.08031300639268</v>
      </c>
      <c r="KB17" s="35">
        <f t="shared" si="272"/>
        <v>0.28410927443950029</v>
      </c>
    </row>
    <row r="18" spans="1:288" ht="15" customHeight="1" x14ac:dyDescent="0.3">
      <c r="A18" s="30">
        <f>Odds_Input!A18</f>
        <v>10</v>
      </c>
      <c r="B18" s="7" t="str">
        <f>Odds_Input!B18</f>
        <v>TITLE</v>
      </c>
      <c r="C18" s="7" t="str">
        <f>Odds_Input!C18</f>
        <v>Houston Rockets</v>
      </c>
      <c r="D18" s="7" t="str">
        <f>Odds_Input!D18</f>
        <v>YES</v>
      </c>
      <c r="E18" s="31" t="str">
        <f>Odds_Input!E18</f>
        <v>-</v>
      </c>
      <c r="F18" s="32">
        <f>Odds_Input!F18</f>
        <v>4900</v>
      </c>
      <c r="G18" s="6" t="str">
        <f t="shared" si="0"/>
        <v>TITLE</v>
      </c>
      <c r="H18" s="14">
        <f t="shared" si="1"/>
        <v>50</v>
      </c>
      <c r="I18" s="33">
        <f t="shared" si="2"/>
        <v>0.02</v>
      </c>
      <c r="J18" s="17">
        <f t="shared" si="3"/>
        <v>1</v>
      </c>
      <c r="K18" s="17">
        <f t="shared" si="4"/>
        <v>30</v>
      </c>
      <c r="L18" s="18">
        <f t="shared" si="5"/>
        <v>1.252565192422864</v>
      </c>
      <c r="M18" s="34">
        <f t="shared" si="6"/>
        <v>0.25256519242286402</v>
      </c>
      <c r="N18" s="33">
        <f t="shared" si="7"/>
        <v>1.5967232780366158E-2</v>
      </c>
      <c r="O18" s="33">
        <f t="shared" si="8"/>
        <v>1.3566447177993015E-2</v>
      </c>
      <c r="P18" s="33">
        <f t="shared" si="9"/>
        <v>1.3230777321611098E-2</v>
      </c>
      <c r="Q18" s="33">
        <f t="shared" si="10"/>
        <v>1.3230777321611098E-2</v>
      </c>
      <c r="R18" s="35">
        <f t="shared" si="11"/>
        <v>1.0992153287166726</v>
      </c>
      <c r="S18" s="35">
        <f t="shared" si="12"/>
        <v>1.1051948455485863E-2</v>
      </c>
      <c r="X18" s="6" t="s">
        <v>278</v>
      </c>
      <c r="Y18" s="6">
        <f t="shared" si="13"/>
        <v>4</v>
      </c>
      <c r="Z18" s="18">
        <f t="shared" si="14"/>
        <v>4.4014551789036798</v>
      </c>
      <c r="AA18" s="10">
        <v>0.2</v>
      </c>
      <c r="AB18" s="10">
        <v>10</v>
      </c>
      <c r="AC18" s="35">
        <f t="shared" si="15"/>
        <v>5.0999999999999996</v>
      </c>
      <c r="AD18" s="35">
        <f t="shared" si="16"/>
        <v>-3.8631550370481391</v>
      </c>
      <c r="AE18" s="35">
        <f t="shared" si="17"/>
        <v>0.2</v>
      </c>
      <c r="AF18" s="35">
        <f t="shared" si="18"/>
        <v>5.0999999999999996</v>
      </c>
      <c r="AG18" s="35">
        <f t="shared" si="19"/>
        <v>2.65</v>
      </c>
      <c r="AH18" s="35">
        <f t="shared" si="20"/>
        <v>-3.0440317605237674</v>
      </c>
      <c r="AI18" s="35">
        <f t="shared" si="21"/>
        <v>0.2</v>
      </c>
      <c r="AJ18" s="35">
        <f t="shared" si="22"/>
        <v>2.65</v>
      </c>
      <c r="AK18" s="35">
        <f t="shared" si="23"/>
        <v>1.425</v>
      </c>
      <c r="AL18" s="35">
        <f t="shared" si="24"/>
        <v>-1.1196940231891137</v>
      </c>
      <c r="AM18" s="35">
        <f t="shared" si="25"/>
        <v>0.2</v>
      </c>
      <c r="AN18" s="35">
        <f t="shared" si="26"/>
        <v>1.425</v>
      </c>
      <c r="AO18" s="35">
        <f t="shared" si="27"/>
        <v>0.8125</v>
      </c>
      <c r="AP18" s="35">
        <f t="shared" si="28"/>
        <v>1.3691402306743274</v>
      </c>
      <c r="AQ18" s="35">
        <f t="shared" si="29"/>
        <v>0.8125</v>
      </c>
      <c r="AR18" s="35">
        <f t="shared" si="30"/>
        <v>1.425</v>
      </c>
      <c r="AS18" s="35">
        <f t="shared" si="31"/>
        <v>1.1187499999999999</v>
      </c>
      <c r="AT18" s="35">
        <f t="shared" si="32"/>
        <v>-0.10298182824154711</v>
      </c>
      <c r="AU18" s="35">
        <f t="shared" si="33"/>
        <v>0.8125</v>
      </c>
      <c r="AV18" s="35">
        <f t="shared" si="34"/>
        <v>1.1187499999999999</v>
      </c>
      <c r="AW18" s="35">
        <f t="shared" si="35"/>
        <v>0.96562499999999996</v>
      </c>
      <c r="AX18" s="35">
        <f t="shared" si="36"/>
        <v>0.56185957477504811</v>
      </c>
      <c r="AY18" s="35">
        <f t="shared" si="37"/>
        <v>0.96562499999999996</v>
      </c>
      <c r="AZ18" s="35">
        <f t="shared" si="38"/>
        <v>1.1187499999999999</v>
      </c>
      <c r="BA18" s="35">
        <f t="shared" si="39"/>
        <v>1.0421874999999998</v>
      </c>
      <c r="BB18" s="35">
        <f t="shared" si="40"/>
        <v>0.21377538145838582</v>
      </c>
      <c r="BC18" s="35">
        <f t="shared" si="41"/>
        <v>1.0421874999999998</v>
      </c>
      <c r="BD18" s="35">
        <f t="shared" si="42"/>
        <v>1.1187499999999999</v>
      </c>
      <c r="BE18" s="35">
        <f t="shared" si="43"/>
        <v>1.0804687499999999</v>
      </c>
      <c r="BF18" s="35">
        <f t="shared" si="44"/>
        <v>5.1712022014805292E-2</v>
      </c>
      <c r="BG18" s="35">
        <f t="shared" si="45"/>
        <v>1.0804687499999999</v>
      </c>
      <c r="BH18" s="35">
        <f t="shared" si="46"/>
        <v>1.1187499999999999</v>
      </c>
      <c r="BI18" s="35">
        <f t="shared" si="47"/>
        <v>1.099609375</v>
      </c>
      <c r="BJ18" s="35">
        <f t="shared" si="48"/>
        <v>-2.6529152916875187E-2</v>
      </c>
      <c r="BK18" s="35">
        <f t="shared" si="49"/>
        <v>1.0804687499999999</v>
      </c>
      <c r="BL18" s="35">
        <f t="shared" si="50"/>
        <v>1.099609375</v>
      </c>
      <c r="BM18" s="35">
        <f t="shared" si="51"/>
        <v>1.0900390624999998</v>
      </c>
      <c r="BN18" s="35">
        <f t="shared" si="52"/>
        <v>1.2364586265594113E-2</v>
      </c>
      <c r="BO18" s="35">
        <f t="shared" si="53"/>
        <v>1.0900390624999998</v>
      </c>
      <c r="BP18" s="35">
        <f t="shared" si="54"/>
        <v>1.099609375</v>
      </c>
      <c r="BQ18" s="35">
        <f t="shared" si="55"/>
        <v>1.0948242187499999</v>
      </c>
      <c r="BR18" s="35">
        <f t="shared" si="56"/>
        <v>-7.1385797100793624E-3</v>
      </c>
      <c r="BS18" s="35">
        <f t="shared" si="57"/>
        <v>1.0900390624999998</v>
      </c>
      <c r="BT18" s="35">
        <f t="shared" si="58"/>
        <v>1.0948242187499999</v>
      </c>
      <c r="BU18" s="35">
        <f t="shared" si="59"/>
        <v>1.0924316406249999</v>
      </c>
      <c r="BV18" s="35">
        <f t="shared" si="60"/>
        <v>2.5988775348801951E-3</v>
      </c>
      <c r="BW18" s="35">
        <f t="shared" si="61"/>
        <v>1.0924316406249999</v>
      </c>
      <c r="BX18" s="35">
        <f t="shared" si="62"/>
        <v>1.0948242187499999</v>
      </c>
      <c r="BY18" s="35">
        <f t="shared" si="63"/>
        <v>1.0936279296875</v>
      </c>
      <c r="BZ18" s="35">
        <f t="shared" si="64"/>
        <v>-2.2733760479787257E-3</v>
      </c>
      <c r="CA18" s="35">
        <f t="shared" si="65"/>
        <v>1.0924316406249999</v>
      </c>
      <c r="CB18" s="35">
        <f t="shared" si="66"/>
        <v>1.0936279296875</v>
      </c>
      <c r="CC18" s="35">
        <f t="shared" si="67"/>
        <v>1.0930297851562498</v>
      </c>
      <c r="CD18" s="35">
        <f t="shared" si="68"/>
        <v>1.6186869516054969E-4</v>
      </c>
      <c r="CE18" s="35">
        <f t="shared" si="69"/>
        <v>1.0930297851562498</v>
      </c>
      <c r="CF18" s="35">
        <f t="shared" si="70"/>
        <v>1.0936279296875</v>
      </c>
      <c r="CG18" s="35">
        <f t="shared" si="71"/>
        <v>1.0933288574218749</v>
      </c>
      <c r="CH18" s="35">
        <f t="shared" si="72"/>
        <v>-1.0559740873805623E-3</v>
      </c>
      <c r="CI18" s="35">
        <f t="shared" si="73"/>
        <v>1.0930297851562498</v>
      </c>
      <c r="CJ18" s="35">
        <f t="shared" si="74"/>
        <v>1.0933288574218749</v>
      </c>
      <c r="CK18" s="35">
        <f t="shared" si="75"/>
        <v>1.0931793212890624</v>
      </c>
      <c r="CL18" s="35">
        <f t="shared" si="76"/>
        <v>-4.4710781148493695E-4</v>
      </c>
      <c r="CM18" s="35">
        <f t="shared" si="77"/>
        <v>1.0930297851562498</v>
      </c>
      <c r="CN18" s="35">
        <f t="shared" si="78"/>
        <v>1.0931793212890624</v>
      </c>
      <c r="CO18" s="35">
        <f t="shared" si="79"/>
        <v>1.093104553222656</v>
      </c>
      <c r="CP18" s="35">
        <f t="shared" si="80"/>
        <v>-1.4263333858544058E-4</v>
      </c>
      <c r="CQ18" s="35">
        <f t="shared" si="81"/>
        <v>1.0930297851562498</v>
      </c>
      <c r="CR18" s="35">
        <f t="shared" si="82"/>
        <v>1.093104553222656</v>
      </c>
      <c r="CS18" s="35">
        <f t="shared" si="83"/>
        <v>1.0930671691894529</v>
      </c>
      <c r="CT18" s="35">
        <f t="shared" si="84"/>
        <v>9.6142329848447616E-6</v>
      </c>
      <c r="CU18" s="35">
        <f t="shared" si="85"/>
        <v>1.0930671691894529</v>
      </c>
      <c r="CV18" s="35">
        <f t="shared" si="86"/>
        <v>1.093104553222656</v>
      </c>
      <c r="CW18" s="35">
        <f t="shared" si="87"/>
        <v>1.0930858612060543</v>
      </c>
      <c r="CX18" s="35">
        <f t="shared" si="88"/>
        <v>-6.6510414101550452E-5</v>
      </c>
      <c r="CY18" s="35">
        <f t="shared" si="89"/>
        <v>1.0930671691894529</v>
      </c>
      <c r="CZ18" s="35">
        <f t="shared" si="90"/>
        <v>1.0930858612060543</v>
      </c>
      <c r="DA18" s="35">
        <f t="shared" si="91"/>
        <v>1.0930765151977537</v>
      </c>
      <c r="DB18" s="35">
        <f t="shared" si="92"/>
        <v>-2.8448305886552561E-5</v>
      </c>
      <c r="DC18" s="35">
        <f t="shared" si="93"/>
        <v>1.0930671691894529</v>
      </c>
      <c r="DD18" s="35">
        <f t="shared" si="94"/>
        <v>1.0930765151977537</v>
      </c>
      <c r="DE18" s="35">
        <f t="shared" si="95"/>
        <v>1.0930718421936034</v>
      </c>
      <c r="DF18" s="35">
        <f t="shared" si="96"/>
        <v>-9.4170902844581406E-6</v>
      </c>
      <c r="DG18" s="35">
        <f t="shared" si="97"/>
        <v>1.0930671691894529</v>
      </c>
      <c r="DH18" s="35">
        <f t="shared" si="98"/>
        <v>1.0930718421936034</v>
      </c>
      <c r="DI18" s="35">
        <f t="shared" si="99"/>
        <v>1.0930695056915281</v>
      </c>
      <c r="DJ18" s="35">
        <f t="shared" si="100"/>
        <v>9.855789340207366E-8</v>
      </c>
      <c r="DK18" s="35">
        <f t="shared" si="101"/>
        <v>1.0930695056915281</v>
      </c>
      <c r="DL18" s="35">
        <f t="shared" si="102"/>
        <v>1.0930718421936034</v>
      </c>
      <c r="DM18" s="35">
        <f t="shared" si="103"/>
        <v>1.0930706739425657</v>
      </c>
      <c r="DN18" s="35">
        <f t="shared" si="104"/>
        <v>-4.6592695599478873E-6</v>
      </c>
      <c r="DO18" s="35">
        <f t="shared" si="105"/>
        <v>1.0930695056915281</v>
      </c>
      <c r="DP18" s="35">
        <f t="shared" si="106"/>
        <v>1.0930706739425657</v>
      </c>
      <c r="DQ18" s="35">
        <f t="shared" si="107"/>
        <v>1.0930700898170469</v>
      </c>
      <c r="DR18" s="35">
        <f t="shared" si="108"/>
        <v>-2.2803566750440041E-6</v>
      </c>
      <c r="DS18" s="35">
        <f t="shared" si="109"/>
        <v>1.0930695056915281</v>
      </c>
      <c r="DT18" s="35">
        <f t="shared" si="110"/>
        <v>1.0930700898170469</v>
      </c>
      <c r="DU18" s="35">
        <f t="shared" si="111"/>
        <v>1.0930697977542874</v>
      </c>
      <c r="DV18" s="35">
        <f t="shared" si="112"/>
        <v>-1.0908996008751615E-6</v>
      </c>
      <c r="DW18" s="35">
        <f t="shared" si="113"/>
        <v>1.0930695056915281</v>
      </c>
      <c r="DX18" s="35">
        <f t="shared" si="114"/>
        <v>1.0930697977542874</v>
      </c>
      <c r="DY18" s="35">
        <f t="shared" si="115"/>
        <v>1.0930696517229077</v>
      </c>
      <c r="DZ18" s="35">
        <f t="shared" si="116"/>
        <v>-4.9617090702724909E-7</v>
      </c>
      <c r="EA18" s="35">
        <f t="shared" si="117"/>
        <v>1.0930695056915281</v>
      </c>
      <c r="EB18" s="35">
        <f t="shared" si="118"/>
        <v>1.0930696517229077</v>
      </c>
      <c r="EC18" s="35">
        <f t="shared" si="119"/>
        <v>1.093069578707218</v>
      </c>
      <c r="ED18" s="35">
        <f t="shared" si="120"/>
        <v>-1.988065196911748E-7</v>
      </c>
      <c r="EE18" s="35">
        <f t="shared" si="121"/>
        <v>1.0930695056915281</v>
      </c>
      <c r="EF18" s="35">
        <f t="shared" si="122"/>
        <v>1.093069578707218</v>
      </c>
      <c r="EG18" s="35">
        <f t="shared" si="123"/>
        <v>1.093069542199373</v>
      </c>
      <c r="EH18" s="35">
        <f t="shared" si="124"/>
        <v>-5.0124316697264248E-8</v>
      </c>
      <c r="EI18" s="35">
        <f t="shared" si="125"/>
        <v>1.0930695056915281</v>
      </c>
      <c r="EJ18" s="35">
        <f t="shared" si="126"/>
        <v>1.093069542199373</v>
      </c>
      <c r="EK18" s="35">
        <f t="shared" si="127"/>
        <v>1.0930695239454504</v>
      </c>
      <c r="EL18" s="35">
        <f t="shared" si="128"/>
        <v>2.4216787686270891E-8</v>
      </c>
      <c r="EM18" s="35">
        <f t="shared" si="129"/>
        <v>1.0930695239454504</v>
      </c>
      <c r="EN18" s="35">
        <f t="shared" si="130"/>
        <v>1.093069542199373</v>
      </c>
      <c r="EO18" s="35">
        <f t="shared" si="131"/>
        <v>1.0930695330724118</v>
      </c>
      <c r="EP18" s="35">
        <f t="shared" si="132"/>
        <v>-1.2953765171630494E-8</v>
      </c>
      <c r="EQ18" s="35">
        <f t="shared" si="133"/>
        <v>1.0930695239454504</v>
      </c>
      <c r="ER18" s="35">
        <f t="shared" si="134"/>
        <v>1.0930695330724118</v>
      </c>
      <c r="ES18" s="35">
        <f t="shared" si="135"/>
        <v>1.0930695285089311</v>
      </c>
      <c r="ET18" s="35">
        <f t="shared" si="136"/>
        <v>5.6315112573201986E-9</v>
      </c>
      <c r="EU18" s="35">
        <f t="shared" si="137"/>
        <v>1.0930695285089311</v>
      </c>
      <c r="EV18" s="35">
        <f t="shared" si="138"/>
        <v>1.0930695330724118</v>
      </c>
      <c r="EW18" s="35">
        <f t="shared" si="139"/>
        <v>1.0930695307906715</v>
      </c>
      <c r="EX18" s="35">
        <f t="shared" si="140"/>
        <v>-3.6611274012443573E-9</v>
      </c>
      <c r="EY18" s="35">
        <f t="shared" si="141"/>
        <v>1.0930695285089311</v>
      </c>
      <c r="EZ18" s="35">
        <f t="shared" si="142"/>
        <v>1.0930695307906715</v>
      </c>
      <c r="FA18" s="10">
        <v>9.9999999999999995E-7</v>
      </c>
      <c r="FB18" s="10">
        <v>0.99990000000000001</v>
      </c>
      <c r="FC18" s="35">
        <f t="shared" si="143"/>
        <v>0.49995050000000002</v>
      </c>
      <c r="FD18" s="35">
        <f t="shared" si="144"/>
        <v>-0.28840216652944495</v>
      </c>
      <c r="FE18" s="35">
        <f t="shared" si="145"/>
        <v>9.9999999999999995E-7</v>
      </c>
      <c r="FF18" s="35">
        <f t="shared" si="146"/>
        <v>0.49995050000000002</v>
      </c>
      <c r="FG18" s="35">
        <f t="shared" si="147"/>
        <v>0.24997575</v>
      </c>
      <c r="FH18" s="35">
        <f t="shared" si="148"/>
        <v>0.13478945929076835</v>
      </c>
      <c r="FI18" s="35">
        <f t="shared" si="149"/>
        <v>0.24997575</v>
      </c>
      <c r="FJ18" s="35">
        <f t="shared" si="150"/>
        <v>0.49995050000000002</v>
      </c>
      <c r="FK18" s="35">
        <f t="shared" si="151"/>
        <v>0.37496312500000001</v>
      </c>
      <c r="FL18" s="35">
        <f t="shared" si="152"/>
        <v>-0.11667192291046735</v>
      </c>
      <c r="FM18" s="35">
        <f t="shared" si="153"/>
        <v>0.24997575</v>
      </c>
      <c r="FN18" s="35">
        <f t="shared" si="154"/>
        <v>0.37496312500000001</v>
      </c>
      <c r="FO18" s="35">
        <f t="shared" si="155"/>
        <v>0.3124694375</v>
      </c>
      <c r="FP18" s="35">
        <f t="shared" si="156"/>
        <v>-3.3308089748921299E-3</v>
      </c>
      <c r="FQ18" s="35">
        <f t="shared" si="157"/>
        <v>0.24997575</v>
      </c>
      <c r="FR18" s="35">
        <f t="shared" si="158"/>
        <v>0.3124694375</v>
      </c>
      <c r="FS18" s="35">
        <f t="shared" si="159"/>
        <v>0.28122259375000003</v>
      </c>
      <c r="FT18" s="35">
        <f t="shared" si="160"/>
        <v>6.2264561745645208E-2</v>
      </c>
      <c r="FU18" s="35">
        <f t="shared" si="161"/>
        <v>0.28122259375000003</v>
      </c>
      <c r="FV18" s="35">
        <f t="shared" si="162"/>
        <v>0.3124694375</v>
      </c>
      <c r="FW18" s="35">
        <f t="shared" si="163"/>
        <v>0.29684601562500001</v>
      </c>
      <c r="FX18" s="35">
        <f t="shared" si="164"/>
        <v>2.8649778316994556E-2</v>
      </c>
      <c r="FY18" s="35">
        <f t="shared" si="165"/>
        <v>0.29684601562500001</v>
      </c>
      <c r="FZ18" s="35">
        <f t="shared" si="166"/>
        <v>0.3124694375</v>
      </c>
      <c r="GA18" s="35">
        <f t="shared" si="167"/>
        <v>0.30465772656250001</v>
      </c>
      <c r="GB18" s="35">
        <f t="shared" si="168"/>
        <v>1.2461062467790551E-2</v>
      </c>
      <c r="GC18" s="35">
        <f t="shared" si="169"/>
        <v>0.30465772656250001</v>
      </c>
      <c r="GD18" s="35">
        <f t="shared" si="170"/>
        <v>0.3124694375</v>
      </c>
      <c r="GE18" s="35">
        <f t="shared" si="171"/>
        <v>0.30856358203125001</v>
      </c>
      <c r="GF18" s="35">
        <f t="shared" si="172"/>
        <v>4.5162352466807665E-3</v>
      </c>
      <c r="GG18" s="35">
        <f t="shared" si="173"/>
        <v>0.30856358203125001</v>
      </c>
      <c r="GH18" s="35">
        <f t="shared" si="174"/>
        <v>0.3124694375</v>
      </c>
      <c r="GI18" s="35">
        <f t="shared" si="175"/>
        <v>0.310516509765625</v>
      </c>
      <c r="GJ18" s="35">
        <f t="shared" si="176"/>
        <v>5.80578435630974E-4</v>
      </c>
      <c r="GK18" s="35">
        <f t="shared" si="177"/>
        <v>0.310516509765625</v>
      </c>
      <c r="GL18" s="35">
        <f t="shared" si="178"/>
        <v>0.3124694375</v>
      </c>
      <c r="GM18" s="35">
        <f t="shared" si="179"/>
        <v>0.31149297363281248</v>
      </c>
      <c r="GN18" s="35">
        <f t="shared" si="180"/>
        <v>-1.3781379900809076E-3</v>
      </c>
      <c r="GO18" s="35">
        <f t="shared" si="181"/>
        <v>0.310516509765625</v>
      </c>
      <c r="GP18" s="35">
        <f t="shared" si="182"/>
        <v>0.31149297363281248</v>
      </c>
      <c r="GQ18" s="35">
        <f t="shared" si="183"/>
        <v>0.31100474169921877</v>
      </c>
      <c r="GR18" s="35">
        <f t="shared" si="184"/>
        <v>-3.9953682367177557E-4</v>
      </c>
      <c r="GS18" s="35">
        <f t="shared" si="185"/>
        <v>0.310516509765625</v>
      </c>
      <c r="GT18" s="35">
        <f t="shared" si="186"/>
        <v>0.31100474169921877</v>
      </c>
      <c r="GU18" s="35">
        <f t="shared" si="187"/>
        <v>0.31076062573242191</v>
      </c>
      <c r="GV18" s="35">
        <f t="shared" si="188"/>
        <v>9.0331373315155616E-5</v>
      </c>
      <c r="GW18" s="35">
        <f t="shared" si="189"/>
        <v>0.31076062573242191</v>
      </c>
      <c r="GX18" s="35">
        <f t="shared" si="190"/>
        <v>0.31100474169921877</v>
      </c>
      <c r="GY18" s="35">
        <f t="shared" si="191"/>
        <v>0.31088268371582034</v>
      </c>
      <c r="GZ18" s="35">
        <f t="shared" si="192"/>
        <v>-1.5465006195181097E-4</v>
      </c>
      <c r="HA18" s="35">
        <f t="shared" si="193"/>
        <v>0.31076062573242191</v>
      </c>
      <c r="HB18" s="35">
        <f t="shared" si="194"/>
        <v>0.31088268371582034</v>
      </c>
      <c r="HC18" s="35">
        <f t="shared" si="195"/>
        <v>0.31082165472412115</v>
      </c>
      <c r="HD18" s="35">
        <f t="shared" si="196"/>
        <v>-3.2171181184925679E-5</v>
      </c>
      <c r="HE18" s="35">
        <f t="shared" si="197"/>
        <v>0.31076062573242191</v>
      </c>
      <c r="HF18" s="35">
        <f t="shared" si="198"/>
        <v>0.31082165472412115</v>
      </c>
      <c r="HG18" s="35">
        <f t="shared" si="199"/>
        <v>0.31079114022827153</v>
      </c>
      <c r="HH18" s="35">
        <f t="shared" si="200"/>
        <v>2.9077136514787938E-5</v>
      </c>
      <c r="HI18" s="35">
        <f t="shared" si="201"/>
        <v>0.31079114022827153</v>
      </c>
      <c r="HJ18" s="35">
        <f t="shared" si="202"/>
        <v>0.31082165472412115</v>
      </c>
      <c r="HK18" s="35">
        <f t="shared" si="203"/>
        <v>0.31080639747619632</v>
      </c>
      <c r="HL18" s="35">
        <f t="shared" si="204"/>
        <v>-1.5477621814197207E-6</v>
      </c>
      <c r="HM18" s="35">
        <f t="shared" si="205"/>
        <v>0.31079114022827153</v>
      </c>
      <c r="HN18" s="35">
        <f t="shared" si="206"/>
        <v>0.31080639747619632</v>
      </c>
      <c r="HO18" s="35">
        <f t="shared" si="207"/>
        <v>0.3107987688522339</v>
      </c>
      <c r="HP18" s="35">
        <f t="shared" si="208"/>
        <v>1.3764502199586914E-5</v>
      </c>
      <c r="HQ18" s="35">
        <f t="shared" si="209"/>
        <v>0.3107987688522339</v>
      </c>
      <c r="HR18" s="35">
        <f t="shared" si="210"/>
        <v>0.31080639747619632</v>
      </c>
      <c r="HS18" s="35">
        <f t="shared" si="211"/>
        <v>0.31080258316421511</v>
      </c>
      <c r="HT18" s="35">
        <f t="shared" si="212"/>
        <v>6.1083237687942216E-6</v>
      </c>
      <c r="HU18" s="35">
        <f t="shared" si="213"/>
        <v>0.31080258316421511</v>
      </c>
      <c r="HV18" s="35">
        <f t="shared" si="214"/>
        <v>0.31080639747619632</v>
      </c>
      <c r="HW18" s="35">
        <f t="shared" si="215"/>
        <v>0.31080449032020574</v>
      </c>
      <c r="HX18" s="35">
        <f t="shared" si="216"/>
        <v>2.2802692341006292E-6</v>
      </c>
      <c r="HY18" s="35">
        <f t="shared" si="217"/>
        <v>0.31080449032020574</v>
      </c>
      <c r="HZ18" s="35">
        <f t="shared" si="218"/>
        <v>0.31080639747619632</v>
      </c>
      <c r="IA18" s="35">
        <f t="shared" si="219"/>
        <v>0.31080544389820103</v>
      </c>
      <c r="IB18" s="35">
        <f t="shared" si="220"/>
        <v>3.6625063515316469E-7</v>
      </c>
      <c r="IC18" s="35">
        <f t="shared" si="221"/>
        <v>0.31080544389820103</v>
      </c>
      <c r="ID18" s="35">
        <f t="shared" si="222"/>
        <v>0.31080639747619632</v>
      </c>
      <c r="IE18" s="35">
        <f t="shared" si="223"/>
        <v>0.3108059206871987</v>
      </c>
      <c r="IF18" s="35">
        <f t="shared" si="224"/>
        <v>-5.9075649450068823E-7</v>
      </c>
      <c r="IG18" s="35">
        <f t="shared" si="225"/>
        <v>0.31080544389820103</v>
      </c>
      <c r="IH18" s="35">
        <f t="shared" si="226"/>
        <v>0.3108059206871987</v>
      </c>
      <c r="II18" s="35">
        <f t="shared" si="227"/>
        <v>0.31080568229269989</v>
      </c>
      <c r="IJ18" s="35">
        <f t="shared" si="228"/>
        <v>-1.1225310958540291E-7</v>
      </c>
      <c r="IK18" s="35">
        <f t="shared" si="229"/>
        <v>0.31080544389820103</v>
      </c>
      <c r="IL18" s="35">
        <f t="shared" si="230"/>
        <v>0.31080568229269989</v>
      </c>
      <c r="IM18" s="35">
        <f t="shared" si="231"/>
        <v>0.31080556309545049</v>
      </c>
      <c r="IN18" s="35">
        <f t="shared" si="232"/>
        <v>1.2699871643206961E-7</v>
      </c>
      <c r="IO18" s="35">
        <f t="shared" si="233"/>
        <v>0.31080556309545049</v>
      </c>
      <c r="IP18" s="35">
        <f t="shared" si="234"/>
        <v>0.31080568229269989</v>
      </c>
      <c r="IQ18" s="35">
        <f t="shared" si="235"/>
        <v>0.31080562269407519</v>
      </c>
      <c r="IR18" s="35">
        <f t="shared" si="236"/>
        <v>7.3727921545696518E-9</v>
      </c>
      <c r="IS18" s="35">
        <f t="shared" si="237"/>
        <v>0.31080562269407519</v>
      </c>
      <c r="IT18" s="35">
        <f t="shared" si="238"/>
        <v>0.31080568229269989</v>
      </c>
      <c r="IU18" s="35">
        <f t="shared" si="239"/>
        <v>0.31080565249338754</v>
      </c>
      <c r="IV18" s="35">
        <f t="shared" si="240"/>
        <v>-5.244016054728462E-8</v>
      </c>
      <c r="IW18" s="35">
        <f t="shared" si="241"/>
        <v>0.31080562269407519</v>
      </c>
      <c r="IX18" s="35">
        <f t="shared" si="242"/>
        <v>0.31080565249338754</v>
      </c>
      <c r="IY18" s="35">
        <f t="shared" si="243"/>
        <v>0.31080563759373137</v>
      </c>
      <c r="IZ18" s="35">
        <f t="shared" si="244"/>
        <v>-2.2533685140047055E-8</v>
      </c>
      <c r="JA18" s="35">
        <f t="shared" si="245"/>
        <v>0.31080562269407519</v>
      </c>
      <c r="JB18" s="35">
        <f t="shared" si="246"/>
        <v>0.31080563759373137</v>
      </c>
      <c r="JC18" s="35">
        <f t="shared" si="247"/>
        <v>0.31080563014390328</v>
      </c>
      <c r="JD18" s="35">
        <f t="shared" si="248"/>
        <v>-7.580445382515677E-9</v>
      </c>
      <c r="JE18" s="35">
        <f t="shared" si="249"/>
        <v>0.31080562269407519</v>
      </c>
      <c r="JF18" s="35">
        <f t="shared" si="250"/>
        <v>0.31080563014390328</v>
      </c>
      <c r="JG18" s="35">
        <f t="shared" si="251"/>
        <v>0.31080562641898923</v>
      </c>
      <c r="JH18" s="35">
        <f t="shared" si="252"/>
        <v>-1.0382650295071016E-10</v>
      </c>
      <c r="JI18" s="35">
        <f t="shared" si="253"/>
        <v>0.31080562269407519</v>
      </c>
      <c r="JJ18" s="35">
        <f t="shared" si="254"/>
        <v>0.31080562641898923</v>
      </c>
      <c r="JK18" s="35">
        <f t="shared" si="255"/>
        <v>0.31080562455653221</v>
      </c>
      <c r="JL18" s="35">
        <f t="shared" si="256"/>
        <v>3.6344827147871683E-9</v>
      </c>
      <c r="JM18" s="35">
        <f t="shared" si="257"/>
        <v>0.31080562455653221</v>
      </c>
      <c r="JN18" s="35">
        <f t="shared" si="258"/>
        <v>0.31080562641898923</v>
      </c>
      <c r="JO18" s="35">
        <f t="shared" si="259"/>
        <v>0.31080562548776069</v>
      </c>
      <c r="JP18" s="35">
        <f t="shared" si="260"/>
        <v>1.7653267736505995E-9</v>
      </c>
      <c r="JQ18" s="35">
        <f t="shared" si="261"/>
        <v>0.31080562548776069</v>
      </c>
      <c r="JR18" s="35">
        <f t="shared" si="262"/>
        <v>0.31080562641898923</v>
      </c>
      <c r="JS18" s="35">
        <f t="shared" si="263"/>
        <v>0.31080562595337496</v>
      </c>
      <c r="JT18" s="35">
        <f t="shared" si="264"/>
        <v>8.3075035739454961E-10</v>
      </c>
      <c r="JU18" s="35">
        <f t="shared" si="265"/>
        <v>0.31080562595337496</v>
      </c>
      <c r="JV18" s="35">
        <f t="shared" si="266"/>
        <v>0.31080562641898923</v>
      </c>
      <c r="JW18" s="35">
        <f t="shared" si="267"/>
        <v>0.31080562618618213</v>
      </c>
      <c r="JX18" s="35">
        <f t="shared" si="268"/>
        <v>3.6346192722191972E-10</v>
      </c>
      <c r="JY18" s="35">
        <f t="shared" si="269"/>
        <v>0.31080562618618213</v>
      </c>
      <c r="JZ18" s="35">
        <f t="shared" si="270"/>
        <v>0.31080562641898923</v>
      </c>
      <c r="KA18" s="35">
        <f t="shared" si="271"/>
        <v>1.0930695296498012</v>
      </c>
      <c r="KB18" s="35">
        <f t="shared" si="272"/>
        <v>0.31080562630258568</v>
      </c>
    </row>
    <row r="19" spans="1:288" ht="15" customHeight="1" x14ac:dyDescent="0.3">
      <c r="A19" s="30">
        <f>Odds_Input!A19</f>
        <v>11</v>
      </c>
      <c r="B19" s="7" t="str">
        <f>Odds_Input!B19</f>
        <v>TITLE</v>
      </c>
      <c r="C19" s="7" t="str">
        <f>Odds_Input!C19</f>
        <v>Indiana Pacers</v>
      </c>
      <c r="D19" s="7" t="str">
        <f>Odds_Input!D19</f>
        <v>YES</v>
      </c>
      <c r="E19" s="31" t="str">
        <f>Odds_Input!E19</f>
        <v>-</v>
      </c>
      <c r="F19" s="32">
        <f>Odds_Input!F19</f>
        <v>5000</v>
      </c>
      <c r="G19" s="6" t="str">
        <f t="shared" si="0"/>
        <v>TITLE</v>
      </c>
      <c r="H19" s="14">
        <f t="shared" si="1"/>
        <v>51</v>
      </c>
      <c r="I19" s="33">
        <f t="shared" si="2"/>
        <v>1.9607843137254902E-2</v>
      </c>
      <c r="J19" s="17">
        <f t="shared" si="3"/>
        <v>1</v>
      </c>
      <c r="K19" s="17">
        <f t="shared" si="4"/>
        <v>30</v>
      </c>
      <c r="L19" s="18">
        <f t="shared" si="5"/>
        <v>1.252565192422864</v>
      </c>
      <c r="M19" s="34">
        <f t="shared" si="6"/>
        <v>0.25256519242286402</v>
      </c>
      <c r="N19" s="33">
        <f t="shared" si="7"/>
        <v>1.5654149784672704E-2</v>
      </c>
      <c r="O19" s="33">
        <f t="shared" si="8"/>
        <v>1.3274332370874031E-2</v>
      </c>
      <c r="P19" s="33">
        <f t="shared" si="9"/>
        <v>1.2894615456174987E-2</v>
      </c>
      <c r="Q19" s="33">
        <f t="shared" si="10"/>
        <v>1.2894615456174987E-2</v>
      </c>
      <c r="R19" s="35">
        <f t="shared" si="11"/>
        <v>1.0992153287166726</v>
      </c>
      <c r="S19" s="35">
        <f t="shared" si="12"/>
        <v>1.1051948455485863E-2</v>
      </c>
      <c r="X19" s="6" t="s">
        <v>794</v>
      </c>
      <c r="Y19" s="6">
        <f t="shared" si="13"/>
        <v>1</v>
      </c>
      <c r="Z19" s="18">
        <f t="shared" si="14"/>
        <v>1.0414078674948239</v>
      </c>
      <c r="AA19" s="10">
        <v>0.2</v>
      </c>
      <c r="AB19" s="10">
        <v>10</v>
      </c>
      <c r="AC19" s="35">
        <f t="shared" si="15"/>
        <v>5.0999999999999996</v>
      </c>
      <c r="AD19" s="35">
        <f t="shared" si="16"/>
        <v>-0.9227779170415481</v>
      </c>
      <c r="AE19" s="35">
        <f t="shared" si="17"/>
        <v>0.2</v>
      </c>
      <c r="AF19" s="35">
        <f t="shared" si="18"/>
        <v>5.0999999999999996</v>
      </c>
      <c r="AG19" s="35">
        <f t="shared" si="19"/>
        <v>2.65</v>
      </c>
      <c r="AH19" s="35">
        <f t="shared" si="20"/>
        <v>-0.63952198128139504</v>
      </c>
      <c r="AI19" s="35">
        <f t="shared" si="21"/>
        <v>0.2</v>
      </c>
      <c r="AJ19" s="35">
        <f t="shared" si="22"/>
        <v>2.65</v>
      </c>
      <c r="AK19" s="35">
        <f t="shared" si="23"/>
        <v>1.425</v>
      </c>
      <c r="AL19" s="35">
        <f t="shared" si="24"/>
        <v>-0.20908007523557948</v>
      </c>
      <c r="AM19" s="35">
        <f t="shared" si="25"/>
        <v>0.2</v>
      </c>
      <c r="AN19" s="35">
        <f t="shared" si="26"/>
        <v>1.425</v>
      </c>
      <c r="AO19" s="35">
        <f t="shared" si="27"/>
        <v>0.8125</v>
      </c>
      <c r="AP19" s="35">
        <f t="shared" si="28"/>
        <v>0.17629935696471266</v>
      </c>
      <c r="AQ19" s="35">
        <f t="shared" si="29"/>
        <v>0.8125</v>
      </c>
      <c r="AR19" s="35">
        <f t="shared" si="30"/>
        <v>1.425</v>
      </c>
      <c r="AS19" s="35">
        <f t="shared" si="31"/>
        <v>1.1187499999999999</v>
      </c>
      <c r="AT19" s="35">
        <f t="shared" si="32"/>
        <v>-3.5778067505578326E-2</v>
      </c>
      <c r="AU19" s="35">
        <f t="shared" si="33"/>
        <v>0.8125</v>
      </c>
      <c r="AV19" s="35">
        <f t="shared" si="34"/>
        <v>1.1187499999999999</v>
      </c>
      <c r="AW19" s="35">
        <f t="shared" si="35"/>
        <v>0.96562499999999996</v>
      </c>
      <c r="AX19" s="35">
        <f t="shared" si="36"/>
        <v>6.4903605363057393E-2</v>
      </c>
      <c r="AY19" s="35">
        <f t="shared" si="37"/>
        <v>0.96562499999999996</v>
      </c>
      <c r="AZ19" s="35">
        <f t="shared" si="38"/>
        <v>1.1187499999999999</v>
      </c>
      <c r="BA19" s="35">
        <f t="shared" si="39"/>
        <v>1.0421874999999998</v>
      </c>
      <c r="BB19" s="35">
        <f t="shared" si="40"/>
        <v>1.3291449743261685E-2</v>
      </c>
      <c r="BC19" s="35">
        <f t="shared" si="41"/>
        <v>1.0421874999999998</v>
      </c>
      <c r="BD19" s="35">
        <f t="shared" si="42"/>
        <v>1.1187499999999999</v>
      </c>
      <c r="BE19" s="35">
        <f t="shared" si="43"/>
        <v>1.0804687499999999</v>
      </c>
      <c r="BF19" s="35">
        <f t="shared" si="44"/>
        <v>-1.1553028933059428E-2</v>
      </c>
      <c r="BG19" s="35">
        <f t="shared" si="45"/>
        <v>1.0421874999999998</v>
      </c>
      <c r="BH19" s="35">
        <f t="shared" si="46"/>
        <v>1.0804687499999999</v>
      </c>
      <c r="BI19" s="35">
        <f t="shared" si="47"/>
        <v>1.0613281249999997</v>
      </c>
      <c r="BJ19" s="35">
        <f t="shared" si="48"/>
        <v>7.9078318075542775E-4</v>
      </c>
      <c r="BK19" s="35">
        <f t="shared" si="49"/>
        <v>1.0613281249999997</v>
      </c>
      <c r="BL19" s="35">
        <f t="shared" si="50"/>
        <v>1.0804687499999999</v>
      </c>
      <c r="BM19" s="35">
        <f t="shared" si="51"/>
        <v>1.0708984374999999</v>
      </c>
      <c r="BN19" s="35">
        <f t="shared" si="52"/>
        <v>-5.4006040141354461E-3</v>
      </c>
      <c r="BO19" s="35">
        <f t="shared" si="53"/>
        <v>1.0613281249999997</v>
      </c>
      <c r="BP19" s="35">
        <f t="shared" si="54"/>
        <v>1.0708984374999999</v>
      </c>
      <c r="BQ19" s="35">
        <f t="shared" si="55"/>
        <v>1.0661132812499998</v>
      </c>
      <c r="BR19" s="35">
        <f t="shared" si="56"/>
        <v>-2.3097963456932824E-3</v>
      </c>
      <c r="BS19" s="35">
        <f t="shared" si="57"/>
        <v>1.0613281249999997</v>
      </c>
      <c r="BT19" s="35">
        <f t="shared" si="58"/>
        <v>1.0661132812499998</v>
      </c>
      <c r="BU19" s="35">
        <f t="shared" si="59"/>
        <v>1.0637207031249998</v>
      </c>
      <c r="BV19" s="35">
        <f t="shared" si="60"/>
        <v>-7.6073002586696248E-4</v>
      </c>
      <c r="BW19" s="35">
        <f t="shared" si="61"/>
        <v>1.0613281249999997</v>
      </c>
      <c r="BX19" s="35">
        <f t="shared" si="62"/>
        <v>1.0637207031249998</v>
      </c>
      <c r="BY19" s="35">
        <f t="shared" si="63"/>
        <v>1.0625244140624996</v>
      </c>
      <c r="BZ19" s="35">
        <f t="shared" si="64"/>
        <v>1.4720471101625776E-5</v>
      </c>
      <c r="CA19" s="35">
        <f t="shared" si="65"/>
        <v>1.0625244140624996</v>
      </c>
      <c r="CB19" s="35">
        <f t="shared" si="66"/>
        <v>1.0637207031249998</v>
      </c>
      <c r="CC19" s="35">
        <f t="shared" si="67"/>
        <v>1.0631225585937498</v>
      </c>
      <c r="CD19" s="35">
        <f t="shared" si="68"/>
        <v>-3.7308127326629581E-4</v>
      </c>
      <c r="CE19" s="35">
        <f t="shared" si="69"/>
        <v>1.0625244140624996</v>
      </c>
      <c r="CF19" s="35">
        <f t="shared" si="70"/>
        <v>1.0631225585937498</v>
      </c>
      <c r="CG19" s="35">
        <f t="shared" si="71"/>
        <v>1.0628234863281247</v>
      </c>
      <c r="CH19" s="35">
        <f t="shared" si="72"/>
        <v>-1.7919952889000612E-4</v>
      </c>
      <c r="CI19" s="35">
        <f t="shared" si="73"/>
        <v>1.0625244140624996</v>
      </c>
      <c r="CJ19" s="35">
        <f t="shared" si="74"/>
        <v>1.0628234863281247</v>
      </c>
      <c r="CK19" s="35">
        <f t="shared" si="75"/>
        <v>1.0626739501953122</v>
      </c>
      <c r="CL19" s="35">
        <f t="shared" si="76"/>
        <v>-8.2244311325974095E-5</v>
      </c>
      <c r="CM19" s="35">
        <f t="shared" si="77"/>
        <v>1.0625244140624996</v>
      </c>
      <c r="CN19" s="35">
        <f t="shared" si="78"/>
        <v>1.0626739501953122</v>
      </c>
      <c r="CO19" s="35">
        <f t="shared" si="79"/>
        <v>1.0625991821289058</v>
      </c>
      <c r="CP19" s="35">
        <f t="shared" si="80"/>
        <v>-3.3763115779961161E-5</v>
      </c>
      <c r="CQ19" s="35">
        <f t="shared" si="81"/>
        <v>1.0625244140624996</v>
      </c>
      <c r="CR19" s="35">
        <f t="shared" si="82"/>
        <v>1.0625991821289058</v>
      </c>
      <c r="CS19" s="35">
        <f t="shared" si="83"/>
        <v>1.0625617980957027</v>
      </c>
      <c r="CT19" s="35">
        <f t="shared" si="84"/>
        <v>-9.521621263774982E-6</v>
      </c>
      <c r="CU19" s="35">
        <f t="shared" si="85"/>
        <v>1.0625244140624996</v>
      </c>
      <c r="CV19" s="35">
        <f t="shared" si="86"/>
        <v>1.0625617980957027</v>
      </c>
      <c r="CW19" s="35">
        <f t="shared" si="87"/>
        <v>1.0625431060791013</v>
      </c>
      <c r="CX19" s="35">
        <f t="shared" si="88"/>
        <v>2.5993501868715185E-6</v>
      </c>
      <c r="CY19" s="35">
        <f t="shared" si="89"/>
        <v>1.0625431060791013</v>
      </c>
      <c r="CZ19" s="35">
        <f t="shared" si="90"/>
        <v>1.0625617980957027</v>
      </c>
      <c r="DA19" s="35">
        <f t="shared" si="91"/>
        <v>1.0625524520874019</v>
      </c>
      <c r="DB19" s="35">
        <f t="shared" si="92"/>
        <v>-3.4611542214513236E-6</v>
      </c>
      <c r="DC19" s="35">
        <f t="shared" si="93"/>
        <v>1.0625431060791013</v>
      </c>
      <c r="DD19" s="35">
        <f t="shared" si="94"/>
        <v>1.0625524520874019</v>
      </c>
      <c r="DE19" s="35">
        <f t="shared" si="95"/>
        <v>1.0625477790832516</v>
      </c>
      <c r="DF19" s="35">
        <f t="shared" si="96"/>
        <v>-4.3090668799816711E-7</v>
      </c>
      <c r="DG19" s="35">
        <f t="shared" si="97"/>
        <v>1.0625431060791013</v>
      </c>
      <c r="DH19" s="35">
        <f t="shared" si="98"/>
        <v>1.0625477790832516</v>
      </c>
      <c r="DI19" s="35">
        <f t="shared" si="99"/>
        <v>1.0625454425811764</v>
      </c>
      <c r="DJ19" s="35">
        <f t="shared" si="100"/>
        <v>1.0842205817596096E-6</v>
      </c>
      <c r="DK19" s="35">
        <f t="shared" si="101"/>
        <v>1.0625454425811764</v>
      </c>
      <c r="DL19" s="35">
        <f t="shared" si="102"/>
        <v>1.0625477790832516</v>
      </c>
      <c r="DM19" s="35">
        <f t="shared" si="103"/>
        <v>1.0625466108322139</v>
      </c>
      <c r="DN19" s="35">
        <f t="shared" si="104"/>
        <v>3.266566550585992E-7</v>
      </c>
      <c r="DO19" s="35">
        <f t="shared" si="105"/>
        <v>1.0625466108322139</v>
      </c>
      <c r="DP19" s="35">
        <f t="shared" si="106"/>
        <v>1.0625477790832516</v>
      </c>
      <c r="DQ19" s="35">
        <f t="shared" si="107"/>
        <v>1.0625471949577328</v>
      </c>
      <c r="DR19" s="35">
        <f t="shared" si="108"/>
        <v>-5.212508957797013E-8</v>
      </c>
      <c r="DS19" s="35">
        <f t="shared" si="109"/>
        <v>1.0625466108322139</v>
      </c>
      <c r="DT19" s="35">
        <f t="shared" si="110"/>
        <v>1.0625471949577328</v>
      </c>
      <c r="DU19" s="35">
        <f t="shared" si="111"/>
        <v>1.0625469028949732</v>
      </c>
      <c r="DV19" s="35">
        <f t="shared" si="112"/>
        <v>1.3726576453265693E-7</v>
      </c>
      <c r="DW19" s="35">
        <f t="shared" si="113"/>
        <v>1.0625469028949732</v>
      </c>
      <c r="DX19" s="35">
        <f t="shared" si="114"/>
        <v>1.0625471949577328</v>
      </c>
      <c r="DY19" s="35">
        <f t="shared" si="115"/>
        <v>1.0625470489263531</v>
      </c>
      <c r="DZ19" s="35">
        <f t="shared" si="116"/>
        <v>4.2570333036451302E-8</v>
      </c>
      <c r="EA19" s="35">
        <f t="shared" si="117"/>
        <v>1.0625470489263531</v>
      </c>
      <c r="EB19" s="35">
        <f t="shared" si="118"/>
        <v>1.0625471949577328</v>
      </c>
      <c r="EC19" s="35">
        <f t="shared" si="119"/>
        <v>1.062547121942043</v>
      </c>
      <c r="ED19" s="35">
        <f t="shared" si="120"/>
        <v>-4.7773796030270432E-9</v>
      </c>
      <c r="EE19" s="35">
        <f t="shared" si="121"/>
        <v>1.0625470489263531</v>
      </c>
      <c r="EF19" s="35">
        <f t="shared" si="122"/>
        <v>1.062547121942043</v>
      </c>
      <c r="EG19" s="35">
        <f t="shared" si="123"/>
        <v>1.0625470854341981</v>
      </c>
      <c r="EH19" s="35">
        <f t="shared" si="124"/>
        <v>1.8896476383645222E-8</v>
      </c>
      <c r="EI19" s="35">
        <f t="shared" si="125"/>
        <v>1.0625470854341981</v>
      </c>
      <c r="EJ19" s="35">
        <f t="shared" si="126"/>
        <v>1.062547121942043</v>
      </c>
      <c r="EK19" s="35">
        <f t="shared" si="127"/>
        <v>1.0625471036881207</v>
      </c>
      <c r="EL19" s="35">
        <f t="shared" si="128"/>
        <v>7.059548279286787E-9</v>
      </c>
      <c r="EM19" s="35">
        <f t="shared" si="129"/>
        <v>1.0625471036881207</v>
      </c>
      <c r="EN19" s="35">
        <f t="shared" si="130"/>
        <v>1.062547121942043</v>
      </c>
      <c r="EO19" s="35">
        <f t="shared" si="131"/>
        <v>1.0625471128150819</v>
      </c>
      <c r="EP19" s="35">
        <f t="shared" si="132"/>
        <v>1.1410843381298719E-9</v>
      </c>
      <c r="EQ19" s="35">
        <f t="shared" si="133"/>
        <v>1.0625471128150819</v>
      </c>
      <c r="ER19" s="35">
        <f t="shared" si="134"/>
        <v>1.062547121942043</v>
      </c>
      <c r="ES19" s="35">
        <f t="shared" si="135"/>
        <v>1.0625471173785623</v>
      </c>
      <c r="ET19" s="35">
        <f t="shared" si="136"/>
        <v>-1.8181474104039808E-9</v>
      </c>
      <c r="EU19" s="35">
        <f t="shared" si="137"/>
        <v>1.0625471128150819</v>
      </c>
      <c r="EV19" s="35">
        <f t="shared" si="138"/>
        <v>1.0625471173785623</v>
      </c>
      <c r="EW19" s="35">
        <f t="shared" si="139"/>
        <v>1.0625471150968222</v>
      </c>
      <c r="EX19" s="35">
        <f t="shared" si="140"/>
        <v>-3.3853164715935691E-10</v>
      </c>
      <c r="EY19" s="35">
        <f t="shared" si="141"/>
        <v>1.0625471128150819</v>
      </c>
      <c r="EZ19" s="35">
        <f t="shared" si="142"/>
        <v>1.0625471150968222</v>
      </c>
      <c r="FA19" s="10">
        <v>9.9999999999999995E-7</v>
      </c>
      <c r="FB19" s="10">
        <v>0.99990000000000001</v>
      </c>
      <c r="FC19" s="35">
        <f t="shared" si="143"/>
        <v>0.49995050000000002</v>
      </c>
      <c r="FD19" s="35">
        <f t="shared" si="144"/>
        <v>-0.24276869028367398</v>
      </c>
      <c r="FE19" s="35">
        <f t="shared" si="145"/>
        <v>9.9999999999999995E-7</v>
      </c>
      <c r="FF19" s="35">
        <f t="shared" si="146"/>
        <v>0.49995050000000002</v>
      </c>
      <c r="FG19" s="35">
        <f t="shared" si="147"/>
        <v>0.24997575</v>
      </c>
      <c r="FH19" s="35">
        <f t="shared" si="148"/>
        <v>-0.10840749503390235</v>
      </c>
      <c r="FI19" s="35">
        <f t="shared" si="149"/>
        <v>9.9999999999999995E-7</v>
      </c>
      <c r="FJ19" s="35">
        <f t="shared" si="150"/>
        <v>0.24997575</v>
      </c>
      <c r="FK19" s="35">
        <f t="shared" si="151"/>
        <v>0.124988375</v>
      </c>
      <c r="FL19" s="35">
        <f t="shared" si="152"/>
        <v>-4.2516519035160294E-2</v>
      </c>
      <c r="FM19" s="35">
        <f t="shared" si="153"/>
        <v>9.9999999999999995E-7</v>
      </c>
      <c r="FN19" s="35">
        <f t="shared" si="154"/>
        <v>0.124988375</v>
      </c>
      <c r="FO19" s="35">
        <f t="shared" si="155"/>
        <v>6.24946875E-2</v>
      </c>
      <c r="FP19" s="35">
        <f t="shared" si="156"/>
        <v>-1.0580614099340302E-2</v>
      </c>
      <c r="FQ19" s="35">
        <f t="shared" si="157"/>
        <v>9.9999999999999995E-7</v>
      </c>
      <c r="FR19" s="35">
        <f t="shared" si="158"/>
        <v>6.24946875E-2</v>
      </c>
      <c r="FS19" s="35">
        <f t="shared" si="159"/>
        <v>3.124784375E-2</v>
      </c>
      <c r="FT19" s="35">
        <f t="shared" si="160"/>
        <v>5.0712612829186821E-3</v>
      </c>
      <c r="FU19" s="35">
        <f t="shared" si="161"/>
        <v>3.124784375E-2</v>
      </c>
      <c r="FV19" s="35">
        <f t="shared" si="162"/>
        <v>6.24946875E-2</v>
      </c>
      <c r="FW19" s="35">
        <f t="shared" si="163"/>
        <v>4.6871265624999998E-2</v>
      </c>
      <c r="FX19" s="35">
        <f t="shared" si="164"/>
        <v>-2.7267771400811824E-3</v>
      </c>
      <c r="FY19" s="35">
        <f t="shared" si="165"/>
        <v>3.124784375E-2</v>
      </c>
      <c r="FZ19" s="35">
        <f t="shared" si="166"/>
        <v>4.6871265624999998E-2</v>
      </c>
      <c r="GA19" s="35">
        <f t="shared" si="167"/>
        <v>3.9059554687499998E-2</v>
      </c>
      <c r="GB19" s="35">
        <f t="shared" si="168"/>
        <v>1.1793231954251304E-3</v>
      </c>
      <c r="GC19" s="35">
        <f t="shared" si="169"/>
        <v>3.9059554687499998E-2</v>
      </c>
      <c r="GD19" s="35">
        <f t="shared" si="170"/>
        <v>4.6871265624999998E-2</v>
      </c>
      <c r="GE19" s="35">
        <f t="shared" si="171"/>
        <v>4.2965410156249995E-2</v>
      </c>
      <c r="GF19" s="35">
        <f t="shared" si="172"/>
        <v>-7.7196967997916754E-4</v>
      </c>
      <c r="GG19" s="35">
        <f t="shared" si="173"/>
        <v>3.9059554687499998E-2</v>
      </c>
      <c r="GH19" s="35">
        <f t="shared" si="174"/>
        <v>4.2965410156249995E-2</v>
      </c>
      <c r="GI19" s="35">
        <f t="shared" si="175"/>
        <v>4.1012482421874996E-2</v>
      </c>
      <c r="GJ19" s="35">
        <f t="shared" si="176"/>
        <v>2.0411772305739539E-4</v>
      </c>
      <c r="GK19" s="35">
        <f t="shared" si="177"/>
        <v>4.1012482421874996E-2</v>
      </c>
      <c r="GL19" s="35">
        <f t="shared" si="178"/>
        <v>4.2965410156249995E-2</v>
      </c>
      <c r="GM19" s="35">
        <f t="shared" si="179"/>
        <v>4.1988946289062495E-2</v>
      </c>
      <c r="GN19" s="35">
        <f t="shared" si="180"/>
        <v>-2.8381594123927378E-4</v>
      </c>
      <c r="GO19" s="35">
        <f t="shared" si="181"/>
        <v>4.1012482421874996E-2</v>
      </c>
      <c r="GP19" s="35">
        <f t="shared" si="182"/>
        <v>4.1988946289062495E-2</v>
      </c>
      <c r="GQ19" s="35">
        <f t="shared" si="183"/>
        <v>4.1500714355468746E-2</v>
      </c>
      <c r="GR19" s="35">
        <f t="shared" si="184"/>
        <v>-3.9821574198795062E-5</v>
      </c>
      <c r="GS19" s="35">
        <f t="shared" si="185"/>
        <v>4.1012482421874996E-2</v>
      </c>
      <c r="GT19" s="35">
        <f t="shared" si="186"/>
        <v>4.1500714355468746E-2</v>
      </c>
      <c r="GU19" s="35">
        <f t="shared" si="187"/>
        <v>4.1256598388671871E-2</v>
      </c>
      <c r="GV19" s="35">
        <f t="shared" si="188"/>
        <v>8.2154961344782507E-5</v>
      </c>
      <c r="GW19" s="35">
        <f t="shared" si="189"/>
        <v>4.1256598388671871E-2</v>
      </c>
      <c r="GX19" s="35">
        <f t="shared" si="190"/>
        <v>4.1500714355468746E-2</v>
      </c>
      <c r="GY19" s="35">
        <f t="shared" si="191"/>
        <v>4.1378656372070305E-2</v>
      </c>
      <c r="GZ19" s="35">
        <f t="shared" si="192"/>
        <v>2.1168414903183219E-5</v>
      </c>
      <c r="HA19" s="35">
        <f t="shared" si="193"/>
        <v>4.1378656372070305E-2</v>
      </c>
      <c r="HB19" s="35">
        <f t="shared" si="194"/>
        <v>4.1500714355468746E-2</v>
      </c>
      <c r="HC19" s="35">
        <f t="shared" si="195"/>
        <v>4.1439685363769525E-2</v>
      </c>
      <c r="HD19" s="35">
        <f t="shared" si="196"/>
        <v>-9.3261493652185834E-6</v>
      </c>
      <c r="HE19" s="35">
        <f t="shared" si="197"/>
        <v>4.1378656372070305E-2</v>
      </c>
      <c r="HF19" s="35">
        <f t="shared" si="198"/>
        <v>4.1439685363769525E-2</v>
      </c>
      <c r="HG19" s="35">
        <f t="shared" si="199"/>
        <v>4.1409170867919912E-2</v>
      </c>
      <c r="HH19" s="35">
        <f t="shared" si="200"/>
        <v>5.9212403458186458E-6</v>
      </c>
      <c r="HI19" s="35">
        <f t="shared" si="201"/>
        <v>4.1409170867919912E-2</v>
      </c>
      <c r="HJ19" s="35">
        <f t="shared" si="202"/>
        <v>4.1439685363769525E-2</v>
      </c>
      <c r="HK19" s="35">
        <f t="shared" si="203"/>
        <v>4.1424428115844722E-2</v>
      </c>
      <c r="HL19" s="35">
        <f t="shared" si="204"/>
        <v>-1.7024276161015095E-6</v>
      </c>
      <c r="HM19" s="35">
        <f t="shared" si="205"/>
        <v>4.1409170867919912E-2</v>
      </c>
      <c r="HN19" s="35">
        <f t="shared" si="206"/>
        <v>4.1424428115844722E-2</v>
      </c>
      <c r="HO19" s="35">
        <f t="shared" si="207"/>
        <v>4.1416799491882317E-2</v>
      </c>
      <c r="HP19" s="35">
        <f t="shared" si="208"/>
        <v>2.1094130884247164E-6</v>
      </c>
      <c r="HQ19" s="35">
        <f t="shared" si="209"/>
        <v>4.1416799491882317E-2</v>
      </c>
      <c r="HR19" s="35">
        <f t="shared" si="210"/>
        <v>4.1424428115844722E-2</v>
      </c>
      <c r="HS19" s="35">
        <f t="shared" si="211"/>
        <v>4.1420613803863519E-2</v>
      </c>
      <c r="HT19" s="35">
        <f t="shared" si="212"/>
        <v>2.0349441687272929E-7</v>
      </c>
      <c r="HU19" s="35">
        <f t="shared" si="213"/>
        <v>4.1420613803863519E-2</v>
      </c>
      <c r="HV19" s="35">
        <f t="shared" si="214"/>
        <v>4.1424428115844722E-2</v>
      </c>
      <c r="HW19" s="35">
        <f t="shared" si="215"/>
        <v>4.1422520959854117E-2</v>
      </c>
      <c r="HX19" s="35">
        <f t="shared" si="216"/>
        <v>-7.4946617956150874E-7</v>
      </c>
      <c r="HY19" s="35">
        <f t="shared" si="217"/>
        <v>4.1420613803863519E-2</v>
      </c>
      <c r="HZ19" s="35">
        <f t="shared" si="218"/>
        <v>4.1422520959854117E-2</v>
      </c>
      <c r="IA19" s="35">
        <f t="shared" si="219"/>
        <v>4.1421567381858815E-2</v>
      </c>
      <c r="IB19" s="35">
        <f t="shared" si="220"/>
        <v>-2.7298577620626929E-7</v>
      </c>
      <c r="IC19" s="35">
        <f t="shared" si="221"/>
        <v>4.1420613803863519E-2</v>
      </c>
      <c r="ID19" s="35">
        <f t="shared" si="222"/>
        <v>4.1421567381858815E-2</v>
      </c>
      <c r="IE19" s="35">
        <f t="shared" si="223"/>
        <v>4.1421090592861171E-2</v>
      </c>
      <c r="IF19" s="35">
        <f t="shared" si="224"/>
        <v>-3.4745653354484318E-8</v>
      </c>
      <c r="IG19" s="35">
        <f t="shared" si="225"/>
        <v>4.1420613803863519E-2</v>
      </c>
      <c r="IH19" s="35">
        <f t="shared" si="226"/>
        <v>4.1421090592861171E-2</v>
      </c>
      <c r="II19" s="35">
        <f t="shared" si="227"/>
        <v>4.1420852198362348E-2</v>
      </c>
      <c r="IJ19" s="35">
        <f t="shared" si="228"/>
        <v>8.4374388364949482E-8</v>
      </c>
      <c r="IK19" s="35">
        <f t="shared" si="229"/>
        <v>4.1420852198362348E-2</v>
      </c>
      <c r="IL19" s="35">
        <f t="shared" si="230"/>
        <v>4.1421090592861171E-2</v>
      </c>
      <c r="IM19" s="35">
        <f t="shared" si="231"/>
        <v>4.142097139561176E-2</v>
      </c>
      <c r="IN19" s="35">
        <f t="shared" si="232"/>
        <v>2.4814369004033665E-8</v>
      </c>
      <c r="IO19" s="35">
        <f t="shared" si="233"/>
        <v>4.142097139561176E-2</v>
      </c>
      <c r="IP19" s="35">
        <f t="shared" si="234"/>
        <v>4.1421090592861171E-2</v>
      </c>
      <c r="IQ19" s="35">
        <f t="shared" si="235"/>
        <v>4.1421030994236469E-2</v>
      </c>
      <c r="IR19" s="35">
        <f t="shared" si="236"/>
        <v>-4.965641786647268E-9</v>
      </c>
      <c r="IS19" s="35">
        <f t="shared" si="237"/>
        <v>4.142097139561176E-2</v>
      </c>
      <c r="IT19" s="35">
        <f t="shared" si="238"/>
        <v>4.1421030994236469E-2</v>
      </c>
      <c r="IU19" s="35">
        <f t="shared" si="239"/>
        <v>4.1421001194924117E-2</v>
      </c>
      <c r="IV19" s="35">
        <f t="shared" si="240"/>
        <v>9.9243637752266523E-9</v>
      </c>
      <c r="IW19" s="35">
        <f t="shared" si="241"/>
        <v>4.1421001194924117E-2</v>
      </c>
      <c r="IX19" s="35">
        <f t="shared" si="242"/>
        <v>4.1421030994236469E-2</v>
      </c>
      <c r="IY19" s="35">
        <f t="shared" si="243"/>
        <v>4.1421016094580293E-2</v>
      </c>
      <c r="IZ19" s="35">
        <f t="shared" si="244"/>
        <v>2.4793609387785409E-9</v>
      </c>
      <c r="JA19" s="35">
        <f t="shared" si="245"/>
        <v>4.1421016094580293E-2</v>
      </c>
      <c r="JB19" s="35">
        <f t="shared" si="246"/>
        <v>4.1421030994236469E-2</v>
      </c>
      <c r="JC19" s="35">
        <f t="shared" si="247"/>
        <v>4.1421023544408381E-2</v>
      </c>
      <c r="JD19" s="35">
        <f t="shared" si="248"/>
        <v>-1.2431403684232123E-9</v>
      </c>
      <c r="JE19" s="35">
        <f t="shared" si="249"/>
        <v>4.1421016094580293E-2</v>
      </c>
      <c r="JF19" s="35">
        <f t="shared" si="250"/>
        <v>4.1421023544408381E-2</v>
      </c>
      <c r="JG19" s="35">
        <f t="shared" si="251"/>
        <v>4.1421019819494337E-2</v>
      </c>
      <c r="JH19" s="35">
        <f t="shared" si="252"/>
        <v>6.18110451711118E-10</v>
      </c>
      <c r="JI19" s="35">
        <f t="shared" si="253"/>
        <v>4.1421019819494337E-2</v>
      </c>
      <c r="JJ19" s="35">
        <f t="shared" si="254"/>
        <v>4.1421023544408381E-2</v>
      </c>
      <c r="JK19" s="35">
        <f t="shared" si="255"/>
        <v>4.1421021681951359E-2</v>
      </c>
      <c r="JL19" s="35">
        <f t="shared" si="256"/>
        <v>-3.1251501386719838E-10</v>
      </c>
      <c r="JM19" s="35">
        <f t="shared" si="257"/>
        <v>4.1421019819494337E-2</v>
      </c>
      <c r="JN19" s="35">
        <f t="shared" si="258"/>
        <v>4.1421021681951359E-2</v>
      </c>
      <c r="JO19" s="35">
        <f t="shared" si="259"/>
        <v>4.1421020750722848E-2</v>
      </c>
      <c r="JP19" s="35">
        <f t="shared" si="260"/>
        <v>1.5279755238850612E-10</v>
      </c>
      <c r="JQ19" s="35">
        <f t="shared" si="261"/>
        <v>4.1421020750722848E-2</v>
      </c>
      <c r="JR19" s="35">
        <f t="shared" si="262"/>
        <v>4.1421021681951359E-2</v>
      </c>
      <c r="JS19" s="35">
        <f t="shared" si="263"/>
        <v>4.1421021216337103E-2</v>
      </c>
      <c r="JT19" s="35">
        <f t="shared" si="264"/>
        <v>-7.9858564205892435E-11</v>
      </c>
      <c r="JU19" s="35">
        <f t="shared" si="265"/>
        <v>4.1421020750722848E-2</v>
      </c>
      <c r="JV19" s="35">
        <f t="shared" si="266"/>
        <v>4.1421021216337103E-2</v>
      </c>
      <c r="JW19" s="35">
        <f t="shared" si="267"/>
        <v>4.1421020983529976E-2</v>
      </c>
      <c r="JX19" s="35">
        <f t="shared" si="268"/>
        <v>3.6469494091306842E-11</v>
      </c>
      <c r="JY19" s="35">
        <f t="shared" si="269"/>
        <v>4.1421020983529976E-2</v>
      </c>
      <c r="JZ19" s="35">
        <f t="shared" si="270"/>
        <v>4.1421021216337103E-2</v>
      </c>
      <c r="KA19" s="35">
        <f t="shared" si="271"/>
        <v>1.0625471139559521</v>
      </c>
      <c r="KB19" s="35">
        <f t="shared" si="272"/>
        <v>4.1421021099933536E-2</v>
      </c>
    </row>
    <row r="20" spans="1:288" ht="15" customHeight="1" x14ac:dyDescent="0.3">
      <c r="A20" s="30">
        <f>Odds_Input!A20</f>
        <v>12</v>
      </c>
      <c r="B20" s="7" t="str">
        <f>Odds_Input!B20</f>
        <v>TITLE</v>
      </c>
      <c r="C20" s="7" t="str">
        <f>Odds_Input!C20</f>
        <v>Los Angeles Clippers</v>
      </c>
      <c r="D20" s="7" t="str">
        <f>Odds_Input!D20</f>
        <v>YES</v>
      </c>
      <c r="E20" s="31" t="str">
        <f>Odds_Input!E20</f>
        <v>-</v>
      </c>
      <c r="F20" s="32">
        <f>Odds_Input!F20</f>
        <v>25000</v>
      </c>
      <c r="G20" s="6" t="str">
        <f t="shared" si="0"/>
        <v>TITLE</v>
      </c>
      <c r="H20" s="14">
        <f t="shared" si="1"/>
        <v>251</v>
      </c>
      <c r="I20" s="33">
        <f t="shared" si="2"/>
        <v>3.9840637450199202E-3</v>
      </c>
      <c r="J20" s="17">
        <f t="shared" si="3"/>
        <v>1</v>
      </c>
      <c r="K20" s="17">
        <f t="shared" si="4"/>
        <v>30</v>
      </c>
      <c r="L20" s="18">
        <f t="shared" si="5"/>
        <v>1.252565192422864</v>
      </c>
      <c r="M20" s="34">
        <f t="shared" si="6"/>
        <v>0.25256519242286402</v>
      </c>
      <c r="N20" s="33">
        <f t="shared" si="7"/>
        <v>3.1807236614275216E-3</v>
      </c>
      <c r="O20" s="33">
        <f t="shared" si="8"/>
        <v>2.3027238623231816E-3</v>
      </c>
      <c r="P20" s="33">
        <f t="shared" si="9"/>
        <v>1.0482741504970515E-3</v>
      </c>
      <c r="Q20" s="33">
        <f t="shared" si="10"/>
        <v>1.0482741504970515E-3</v>
      </c>
      <c r="R20" s="35">
        <f t="shared" si="11"/>
        <v>1.0992153287166726</v>
      </c>
      <c r="S20" s="35">
        <f t="shared" si="12"/>
        <v>1.1051948455485863E-2</v>
      </c>
      <c r="X20" s="6" t="s">
        <v>795</v>
      </c>
      <c r="Y20" s="6">
        <f t="shared" si="13"/>
        <v>1</v>
      </c>
      <c r="Z20" s="18">
        <f t="shared" si="14"/>
        <v>1.0395843641761504</v>
      </c>
      <c r="AA20" s="10">
        <v>0.2</v>
      </c>
      <c r="AB20" s="10">
        <v>10</v>
      </c>
      <c r="AC20" s="35">
        <f t="shared" si="15"/>
        <v>5.0999999999999996</v>
      </c>
      <c r="AD20" s="35">
        <f t="shared" si="16"/>
        <v>-0.92064553529415616</v>
      </c>
      <c r="AE20" s="35">
        <f t="shared" si="17"/>
        <v>0.2</v>
      </c>
      <c r="AF20" s="35">
        <f t="shared" si="18"/>
        <v>5.0999999999999996</v>
      </c>
      <c r="AG20" s="35">
        <f t="shared" si="19"/>
        <v>2.65</v>
      </c>
      <c r="AH20" s="35">
        <f t="shared" si="20"/>
        <v>-0.63829283885202392</v>
      </c>
      <c r="AI20" s="35">
        <f t="shared" si="21"/>
        <v>0.2</v>
      </c>
      <c r="AJ20" s="35">
        <f t="shared" si="22"/>
        <v>2.65</v>
      </c>
      <c r="AK20" s="35">
        <f t="shared" si="23"/>
        <v>1.425</v>
      </c>
      <c r="AL20" s="35">
        <f t="shared" si="24"/>
        <v>-0.21015612438115294</v>
      </c>
      <c r="AM20" s="35">
        <f t="shared" si="25"/>
        <v>0.2</v>
      </c>
      <c r="AN20" s="35">
        <f t="shared" si="26"/>
        <v>1.425</v>
      </c>
      <c r="AO20" s="35">
        <f t="shared" si="27"/>
        <v>0.8125</v>
      </c>
      <c r="AP20" s="35">
        <f t="shared" si="28"/>
        <v>0.17428793920463548</v>
      </c>
      <c r="AQ20" s="35">
        <f t="shared" si="29"/>
        <v>0.8125</v>
      </c>
      <c r="AR20" s="35">
        <f t="shared" si="30"/>
        <v>1.425</v>
      </c>
      <c r="AS20" s="35">
        <f t="shared" si="31"/>
        <v>1.1187499999999999</v>
      </c>
      <c r="AT20" s="35">
        <f t="shared" si="32"/>
        <v>-3.742608980533646E-2</v>
      </c>
      <c r="AU20" s="35">
        <f t="shared" si="33"/>
        <v>0.8125</v>
      </c>
      <c r="AV20" s="35">
        <f t="shared" si="34"/>
        <v>1.1187499999999999</v>
      </c>
      <c r="AW20" s="35">
        <f t="shared" si="35"/>
        <v>0.96562499999999996</v>
      </c>
      <c r="AX20" s="35">
        <f t="shared" si="36"/>
        <v>6.3036501947349777E-2</v>
      </c>
      <c r="AY20" s="35">
        <f t="shared" si="37"/>
        <v>0.96562499999999996</v>
      </c>
      <c r="AZ20" s="35">
        <f t="shared" si="38"/>
        <v>1.1187499999999999</v>
      </c>
      <c r="BA20" s="35">
        <f t="shared" si="39"/>
        <v>1.0421874999999998</v>
      </c>
      <c r="BB20" s="35">
        <f t="shared" si="40"/>
        <v>1.1526148082855681E-2</v>
      </c>
      <c r="BC20" s="35">
        <f t="shared" si="41"/>
        <v>1.0421874999999998</v>
      </c>
      <c r="BD20" s="35">
        <f t="shared" si="42"/>
        <v>1.1187499999999999</v>
      </c>
      <c r="BE20" s="35">
        <f t="shared" si="43"/>
        <v>1.0804687499999999</v>
      </c>
      <c r="BF20" s="35">
        <f t="shared" si="44"/>
        <v>-1.3261442965462944E-2</v>
      </c>
      <c r="BG20" s="35">
        <f t="shared" si="45"/>
        <v>1.0421874999999998</v>
      </c>
      <c r="BH20" s="35">
        <f t="shared" si="46"/>
        <v>1.0804687499999999</v>
      </c>
      <c r="BI20" s="35">
        <f t="shared" si="47"/>
        <v>1.0613281249999997</v>
      </c>
      <c r="BJ20" s="35">
        <f t="shared" si="48"/>
        <v>-9.4653474145145466E-4</v>
      </c>
      <c r="BK20" s="35">
        <f t="shared" si="49"/>
        <v>1.0421874999999998</v>
      </c>
      <c r="BL20" s="35">
        <f t="shared" si="50"/>
        <v>1.0613281249999997</v>
      </c>
      <c r="BM20" s="35">
        <f t="shared" si="51"/>
        <v>1.0517578124999998</v>
      </c>
      <c r="BN20" s="35">
        <f t="shared" si="52"/>
        <v>5.2699559433702081E-3</v>
      </c>
      <c r="BO20" s="35">
        <f t="shared" si="53"/>
        <v>1.0517578124999998</v>
      </c>
      <c r="BP20" s="35">
        <f t="shared" si="54"/>
        <v>1.0613281249999997</v>
      </c>
      <c r="BQ20" s="35">
        <f t="shared" si="55"/>
        <v>1.0565429687499996</v>
      </c>
      <c r="BR20" s="35">
        <f t="shared" si="56"/>
        <v>2.1567640991575487E-3</v>
      </c>
      <c r="BS20" s="35">
        <f t="shared" si="57"/>
        <v>1.0565429687499996</v>
      </c>
      <c r="BT20" s="35">
        <f t="shared" si="58"/>
        <v>1.0613281249999997</v>
      </c>
      <c r="BU20" s="35">
        <f t="shared" si="59"/>
        <v>1.0589355468749997</v>
      </c>
      <c r="BV20" s="35">
        <f t="shared" si="60"/>
        <v>6.0388007000455879E-4</v>
      </c>
      <c r="BW20" s="35">
        <f t="shared" si="61"/>
        <v>1.0589355468749997</v>
      </c>
      <c r="BX20" s="35">
        <f t="shared" si="62"/>
        <v>1.0613281249999997</v>
      </c>
      <c r="BY20" s="35">
        <f t="shared" si="63"/>
        <v>1.0601318359374998</v>
      </c>
      <c r="BZ20" s="35">
        <f t="shared" si="64"/>
        <v>-1.7163573622824835E-4</v>
      </c>
      <c r="CA20" s="35">
        <f t="shared" si="65"/>
        <v>1.0589355468749997</v>
      </c>
      <c r="CB20" s="35">
        <f t="shared" si="66"/>
        <v>1.0601318359374998</v>
      </c>
      <c r="CC20" s="35">
        <f t="shared" si="67"/>
        <v>1.0595336914062496</v>
      </c>
      <c r="CD20" s="35">
        <f t="shared" si="68"/>
        <v>2.1604503531502672E-4</v>
      </c>
      <c r="CE20" s="35">
        <f t="shared" si="69"/>
        <v>1.0595336914062496</v>
      </c>
      <c r="CF20" s="35">
        <f t="shared" si="70"/>
        <v>1.0601318359374998</v>
      </c>
      <c r="CG20" s="35">
        <f t="shared" si="71"/>
        <v>1.0598327636718747</v>
      </c>
      <c r="CH20" s="35">
        <f t="shared" si="72"/>
        <v>2.2185370581961905E-5</v>
      </c>
      <c r="CI20" s="35">
        <f t="shared" si="73"/>
        <v>1.0598327636718747</v>
      </c>
      <c r="CJ20" s="35">
        <f t="shared" si="74"/>
        <v>1.0601318359374998</v>
      </c>
      <c r="CK20" s="35">
        <f t="shared" si="75"/>
        <v>1.0599822998046873</v>
      </c>
      <c r="CL20" s="35">
        <f t="shared" si="76"/>
        <v>-7.4730002072032065E-5</v>
      </c>
      <c r="CM20" s="35">
        <f t="shared" si="77"/>
        <v>1.0598327636718747</v>
      </c>
      <c r="CN20" s="35">
        <f t="shared" si="78"/>
        <v>1.0599822998046873</v>
      </c>
      <c r="CO20" s="35">
        <f t="shared" si="79"/>
        <v>1.0599075317382809</v>
      </c>
      <c r="CP20" s="35">
        <f t="shared" si="80"/>
        <v>-2.6273520618791402E-5</v>
      </c>
      <c r="CQ20" s="35">
        <f t="shared" si="81"/>
        <v>1.0598327636718747</v>
      </c>
      <c r="CR20" s="35">
        <f t="shared" si="82"/>
        <v>1.0599075317382809</v>
      </c>
      <c r="CS20" s="35">
        <f t="shared" si="83"/>
        <v>1.0598701477050778</v>
      </c>
      <c r="CT20" s="35">
        <f t="shared" si="84"/>
        <v>-2.0443762445143676E-6</v>
      </c>
      <c r="CU20" s="35">
        <f t="shared" si="85"/>
        <v>1.0598327636718747</v>
      </c>
      <c r="CV20" s="35">
        <f t="shared" si="86"/>
        <v>1.0598701477050778</v>
      </c>
      <c r="CW20" s="35">
        <f t="shared" si="87"/>
        <v>1.0598514556884764</v>
      </c>
      <c r="CX20" s="35">
        <f t="shared" si="88"/>
        <v>1.0070421861296808E-5</v>
      </c>
      <c r="CY20" s="35">
        <f t="shared" si="89"/>
        <v>1.0598514556884764</v>
      </c>
      <c r="CZ20" s="35">
        <f t="shared" si="90"/>
        <v>1.0598701477050778</v>
      </c>
      <c r="DA20" s="35">
        <f t="shared" si="91"/>
        <v>1.059860801696777</v>
      </c>
      <c r="DB20" s="35">
        <f t="shared" si="92"/>
        <v>4.0130039815622354E-6</v>
      </c>
      <c r="DC20" s="35">
        <f t="shared" si="93"/>
        <v>1.059860801696777</v>
      </c>
      <c r="DD20" s="35">
        <f t="shared" si="94"/>
        <v>1.0598701477050778</v>
      </c>
      <c r="DE20" s="35">
        <f t="shared" si="95"/>
        <v>1.0598654747009273</v>
      </c>
      <c r="DF20" s="35">
        <f t="shared" si="96"/>
        <v>9.8430916217751019E-7</v>
      </c>
      <c r="DG20" s="35">
        <f t="shared" si="97"/>
        <v>1.0598654747009273</v>
      </c>
      <c r="DH20" s="35">
        <f t="shared" si="98"/>
        <v>1.0598701477050778</v>
      </c>
      <c r="DI20" s="35">
        <f t="shared" si="99"/>
        <v>1.0598678112030027</v>
      </c>
      <c r="DJ20" s="35">
        <f t="shared" si="100"/>
        <v>-5.3003471789381251E-7</v>
      </c>
      <c r="DK20" s="35">
        <f t="shared" si="101"/>
        <v>1.0598654747009273</v>
      </c>
      <c r="DL20" s="35">
        <f t="shared" si="102"/>
        <v>1.0598678112030027</v>
      </c>
      <c r="DM20" s="35">
        <f t="shared" si="103"/>
        <v>1.059866642951965</v>
      </c>
      <c r="DN20" s="35">
        <f t="shared" si="104"/>
        <v>2.2713692793274731E-7</v>
      </c>
      <c r="DO20" s="35">
        <f t="shared" si="105"/>
        <v>1.059866642951965</v>
      </c>
      <c r="DP20" s="35">
        <f t="shared" si="106"/>
        <v>1.0598678112030027</v>
      </c>
      <c r="DQ20" s="35">
        <f t="shared" si="107"/>
        <v>1.0598672270774838</v>
      </c>
      <c r="DR20" s="35">
        <f t="shared" si="108"/>
        <v>-1.5144896858831913E-7</v>
      </c>
      <c r="DS20" s="35">
        <f t="shared" si="109"/>
        <v>1.059866642951965</v>
      </c>
      <c r="DT20" s="35">
        <f t="shared" si="110"/>
        <v>1.0598672270774838</v>
      </c>
      <c r="DU20" s="35">
        <f t="shared" si="111"/>
        <v>1.0598669350147243</v>
      </c>
      <c r="DV20" s="35">
        <f t="shared" si="112"/>
        <v>3.7843961298023032E-8</v>
      </c>
      <c r="DW20" s="35">
        <f t="shared" si="113"/>
        <v>1.0598669350147243</v>
      </c>
      <c r="DX20" s="35">
        <f t="shared" si="114"/>
        <v>1.0598672270774838</v>
      </c>
      <c r="DY20" s="35">
        <f t="shared" si="115"/>
        <v>1.0598670810461042</v>
      </c>
      <c r="DZ20" s="35">
        <f t="shared" si="116"/>
        <v>-5.6802508363595905E-8</v>
      </c>
      <c r="EA20" s="35">
        <f t="shared" si="117"/>
        <v>1.0598669350147243</v>
      </c>
      <c r="EB20" s="35">
        <f t="shared" si="118"/>
        <v>1.0598670810461042</v>
      </c>
      <c r="EC20" s="35">
        <f t="shared" si="119"/>
        <v>1.0598670080304142</v>
      </c>
      <c r="ED20" s="35">
        <f t="shared" si="120"/>
        <v>-9.4792746985206122E-9</v>
      </c>
      <c r="EE20" s="35">
        <f t="shared" si="121"/>
        <v>1.0598669350147243</v>
      </c>
      <c r="EF20" s="35">
        <f t="shared" si="122"/>
        <v>1.0598670080304142</v>
      </c>
      <c r="EG20" s="35">
        <f t="shared" si="123"/>
        <v>1.0598669715225693</v>
      </c>
      <c r="EH20" s="35">
        <f t="shared" si="124"/>
        <v>1.4182343077706605E-8</v>
      </c>
      <c r="EI20" s="35">
        <f t="shared" si="125"/>
        <v>1.0598669715225693</v>
      </c>
      <c r="EJ20" s="35">
        <f t="shared" si="126"/>
        <v>1.0598670080304142</v>
      </c>
      <c r="EK20" s="35">
        <f t="shared" si="127"/>
        <v>1.0598669897764919</v>
      </c>
      <c r="EL20" s="35">
        <f t="shared" si="128"/>
        <v>2.351534078570694E-9</v>
      </c>
      <c r="EM20" s="35">
        <f t="shared" si="129"/>
        <v>1.0598669897764919</v>
      </c>
      <c r="EN20" s="35">
        <f t="shared" si="130"/>
        <v>1.0598670080304142</v>
      </c>
      <c r="EO20" s="35">
        <f t="shared" si="131"/>
        <v>1.059866998903453</v>
      </c>
      <c r="EP20" s="35">
        <f t="shared" si="132"/>
        <v>-3.5638703099749591E-9</v>
      </c>
      <c r="EQ20" s="35">
        <f t="shared" si="133"/>
        <v>1.0598669897764919</v>
      </c>
      <c r="ER20" s="35">
        <f t="shared" si="134"/>
        <v>1.059866998903453</v>
      </c>
      <c r="ES20" s="35">
        <f t="shared" si="135"/>
        <v>1.0598669943399726</v>
      </c>
      <c r="ET20" s="35">
        <f t="shared" si="136"/>
        <v>-6.0616811570213258E-10</v>
      </c>
      <c r="EU20" s="35">
        <f t="shared" si="137"/>
        <v>1.0598669897764919</v>
      </c>
      <c r="EV20" s="35">
        <f t="shared" si="138"/>
        <v>1.0598669943399726</v>
      </c>
      <c r="EW20" s="35">
        <f t="shared" si="139"/>
        <v>1.0598669920582322</v>
      </c>
      <c r="EX20" s="35">
        <f t="shared" si="140"/>
        <v>8.72682814900827E-10</v>
      </c>
      <c r="EY20" s="35">
        <f t="shared" si="141"/>
        <v>1.0598669920582322</v>
      </c>
      <c r="EZ20" s="35">
        <f t="shared" si="142"/>
        <v>1.0598669943399726</v>
      </c>
      <c r="FA20" s="10">
        <v>9.9999999999999995E-7</v>
      </c>
      <c r="FB20" s="10">
        <v>0.99990000000000001</v>
      </c>
      <c r="FC20" s="35">
        <f t="shared" si="143"/>
        <v>0.49995050000000002</v>
      </c>
      <c r="FD20" s="35">
        <f t="shared" si="144"/>
        <v>-0.24307958617037484</v>
      </c>
      <c r="FE20" s="35">
        <f t="shared" si="145"/>
        <v>9.9999999999999995E-7</v>
      </c>
      <c r="FF20" s="35">
        <f t="shared" si="146"/>
        <v>0.49995050000000002</v>
      </c>
      <c r="FG20" s="35">
        <f t="shared" si="147"/>
        <v>0.24997575</v>
      </c>
      <c r="FH20" s="35">
        <f t="shared" si="148"/>
        <v>-0.10924005749607935</v>
      </c>
      <c r="FI20" s="35">
        <f t="shared" si="149"/>
        <v>9.9999999999999995E-7</v>
      </c>
      <c r="FJ20" s="35">
        <f t="shared" si="150"/>
        <v>0.24997575</v>
      </c>
      <c r="FK20" s="35">
        <f t="shared" si="151"/>
        <v>0.124988375</v>
      </c>
      <c r="FL20" s="35">
        <f t="shared" si="152"/>
        <v>-4.3429023960915969E-2</v>
      </c>
      <c r="FM20" s="35">
        <f t="shared" si="153"/>
        <v>9.9999999999999995E-7</v>
      </c>
      <c r="FN20" s="35">
        <f t="shared" si="154"/>
        <v>0.124988375</v>
      </c>
      <c r="FO20" s="35">
        <f t="shared" si="155"/>
        <v>6.24946875E-2</v>
      </c>
      <c r="FP20" s="35">
        <f t="shared" si="156"/>
        <v>-1.1493878432796811E-2</v>
      </c>
      <c r="FQ20" s="35">
        <f t="shared" si="157"/>
        <v>9.9999999999999995E-7</v>
      </c>
      <c r="FR20" s="35">
        <f t="shared" si="158"/>
        <v>6.24946875E-2</v>
      </c>
      <c r="FS20" s="35">
        <f t="shared" si="159"/>
        <v>3.124784375E-2</v>
      </c>
      <c r="FT20" s="35">
        <f t="shared" si="160"/>
        <v>4.1654885550326259E-3</v>
      </c>
      <c r="FU20" s="35">
        <f t="shared" si="161"/>
        <v>3.124784375E-2</v>
      </c>
      <c r="FV20" s="35">
        <f t="shared" si="162"/>
        <v>6.24946875E-2</v>
      </c>
      <c r="FW20" s="35">
        <f t="shared" si="163"/>
        <v>4.6871265624999998E-2</v>
      </c>
      <c r="FX20" s="35">
        <f t="shared" si="164"/>
        <v>-3.6368891329645603E-3</v>
      </c>
      <c r="FY20" s="35">
        <f t="shared" si="165"/>
        <v>3.124784375E-2</v>
      </c>
      <c r="FZ20" s="35">
        <f t="shared" si="166"/>
        <v>4.6871265624999998E-2</v>
      </c>
      <c r="GA20" s="35">
        <f t="shared" si="167"/>
        <v>3.9059554687499998E-2</v>
      </c>
      <c r="GB20" s="35">
        <f t="shared" si="168"/>
        <v>2.7123717707744355E-4</v>
      </c>
      <c r="GC20" s="35">
        <f t="shared" si="169"/>
        <v>3.9059554687499998E-2</v>
      </c>
      <c r="GD20" s="35">
        <f t="shared" si="170"/>
        <v>4.6871265624999998E-2</v>
      </c>
      <c r="GE20" s="35">
        <f t="shared" si="171"/>
        <v>4.2965410156249995E-2</v>
      </c>
      <c r="GF20" s="35">
        <f t="shared" si="172"/>
        <v>-1.6811051878646843E-3</v>
      </c>
      <c r="GG20" s="35">
        <f t="shared" si="173"/>
        <v>3.9059554687499998E-2</v>
      </c>
      <c r="GH20" s="35">
        <f t="shared" si="174"/>
        <v>4.2965410156249995E-2</v>
      </c>
      <c r="GI20" s="35">
        <f t="shared" si="175"/>
        <v>4.1012482421874996E-2</v>
      </c>
      <c r="GJ20" s="35">
        <f t="shared" si="176"/>
        <v>-7.0450209209305115E-4</v>
      </c>
      <c r="GK20" s="35">
        <f t="shared" si="177"/>
        <v>3.9059554687499998E-2</v>
      </c>
      <c r="GL20" s="35">
        <f t="shared" si="178"/>
        <v>4.1012482421874996E-2</v>
      </c>
      <c r="GM20" s="35">
        <f t="shared" si="179"/>
        <v>4.0036018554687497E-2</v>
      </c>
      <c r="GN20" s="35">
        <f t="shared" si="180"/>
        <v>-2.1652426635054844E-4</v>
      </c>
      <c r="GO20" s="35">
        <f t="shared" si="181"/>
        <v>3.9059554687499998E-2</v>
      </c>
      <c r="GP20" s="35">
        <f t="shared" si="182"/>
        <v>4.0036018554687497E-2</v>
      </c>
      <c r="GQ20" s="35">
        <f t="shared" si="183"/>
        <v>3.9547786621093747E-2</v>
      </c>
      <c r="GR20" s="35">
        <f t="shared" si="184"/>
        <v>2.7383529654256833E-5</v>
      </c>
      <c r="GS20" s="35">
        <f t="shared" si="185"/>
        <v>3.9547786621093747E-2</v>
      </c>
      <c r="GT20" s="35">
        <f t="shared" si="186"/>
        <v>4.0036018554687497E-2</v>
      </c>
      <c r="GU20" s="35">
        <f t="shared" si="187"/>
        <v>3.9791902587890622E-2</v>
      </c>
      <c r="GV20" s="35">
        <f t="shared" si="188"/>
        <v>-9.4563603083575032E-5</v>
      </c>
      <c r="GW20" s="35">
        <f t="shared" si="189"/>
        <v>3.9547786621093747E-2</v>
      </c>
      <c r="GX20" s="35">
        <f t="shared" si="190"/>
        <v>3.9791902587890622E-2</v>
      </c>
      <c r="GY20" s="35">
        <f t="shared" si="191"/>
        <v>3.9669844604492188E-2</v>
      </c>
      <c r="GZ20" s="35">
        <f t="shared" si="192"/>
        <v>-3.3588344984569751E-5</v>
      </c>
      <c r="HA20" s="35">
        <f t="shared" si="193"/>
        <v>3.9547786621093747E-2</v>
      </c>
      <c r="HB20" s="35">
        <f t="shared" si="194"/>
        <v>3.9669844604492188E-2</v>
      </c>
      <c r="HC20" s="35">
        <f t="shared" si="195"/>
        <v>3.9608815612792968E-2</v>
      </c>
      <c r="HD20" s="35">
        <f t="shared" si="196"/>
        <v>-3.1019846810087515E-6</v>
      </c>
      <c r="HE20" s="35">
        <f t="shared" si="197"/>
        <v>3.9547786621093747E-2</v>
      </c>
      <c r="HF20" s="35">
        <f t="shared" si="198"/>
        <v>3.9608815612792968E-2</v>
      </c>
      <c r="HG20" s="35">
        <f t="shared" si="199"/>
        <v>3.9578301116943354E-2</v>
      </c>
      <c r="HH20" s="35">
        <f t="shared" si="200"/>
        <v>1.2140878239197406E-5</v>
      </c>
      <c r="HI20" s="35">
        <f t="shared" si="201"/>
        <v>3.9578301116943354E-2</v>
      </c>
      <c r="HJ20" s="35">
        <f t="shared" si="202"/>
        <v>3.9608815612792968E-2</v>
      </c>
      <c r="HK20" s="35">
        <f t="shared" si="203"/>
        <v>3.9593558364868164E-2</v>
      </c>
      <c r="HL20" s="35">
        <f t="shared" si="204"/>
        <v>4.5194732165576568E-6</v>
      </c>
      <c r="HM20" s="35">
        <f t="shared" si="205"/>
        <v>3.9593558364868164E-2</v>
      </c>
      <c r="HN20" s="35">
        <f t="shared" si="206"/>
        <v>3.9608815612792968E-2</v>
      </c>
      <c r="HO20" s="35">
        <f t="shared" si="207"/>
        <v>3.960118698883057E-2</v>
      </c>
      <c r="HP20" s="35">
        <f t="shared" si="208"/>
        <v>7.0875087687660709E-7</v>
      </c>
      <c r="HQ20" s="35">
        <f t="shared" si="209"/>
        <v>3.960118698883057E-2</v>
      </c>
      <c r="HR20" s="35">
        <f t="shared" si="210"/>
        <v>3.9608815612792968E-2</v>
      </c>
      <c r="HS20" s="35">
        <f t="shared" si="211"/>
        <v>3.9605001300811765E-2</v>
      </c>
      <c r="HT20" s="35">
        <f t="shared" si="212"/>
        <v>-1.1966152496656335E-6</v>
      </c>
      <c r="HU20" s="35">
        <f t="shared" si="213"/>
        <v>3.960118698883057E-2</v>
      </c>
      <c r="HV20" s="35">
        <f t="shared" si="214"/>
        <v>3.9605001300811765E-2</v>
      </c>
      <c r="HW20" s="35">
        <f t="shared" si="215"/>
        <v>3.9603094144821167E-2</v>
      </c>
      <c r="HX20" s="35">
        <f t="shared" si="216"/>
        <v>-2.4393177333603688E-7</v>
      </c>
      <c r="HY20" s="35">
        <f t="shared" si="217"/>
        <v>3.960118698883057E-2</v>
      </c>
      <c r="HZ20" s="35">
        <f t="shared" si="218"/>
        <v>3.9603094144821167E-2</v>
      </c>
      <c r="IA20" s="35">
        <f t="shared" si="219"/>
        <v>3.9602140566825872E-2</v>
      </c>
      <c r="IB20" s="35">
        <f t="shared" si="220"/>
        <v>2.3240965507653755E-7</v>
      </c>
      <c r="IC20" s="35">
        <f t="shared" si="221"/>
        <v>3.9602140566825872E-2</v>
      </c>
      <c r="ID20" s="35">
        <f t="shared" si="222"/>
        <v>3.9603094144821167E-2</v>
      </c>
      <c r="IE20" s="35">
        <f t="shared" si="223"/>
        <v>3.9602617355823516E-2</v>
      </c>
      <c r="IF20" s="35">
        <f t="shared" si="224"/>
        <v>-5.7610332060420433E-9</v>
      </c>
      <c r="IG20" s="35">
        <f t="shared" si="225"/>
        <v>3.9602140566825872E-2</v>
      </c>
      <c r="IH20" s="35">
        <f t="shared" si="226"/>
        <v>3.9602617355823516E-2</v>
      </c>
      <c r="II20" s="35">
        <f t="shared" si="227"/>
        <v>3.9602378961324694E-2</v>
      </c>
      <c r="IJ20" s="35">
        <f t="shared" si="228"/>
        <v>1.1332431726351899E-7</v>
      </c>
      <c r="IK20" s="35">
        <f t="shared" si="229"/>
        <v>3.9602378961324694E-2</v>
      </c>
      <c r="IL20" s="35">
        <f t="shared" si="230"/>
        <v>3.9602617355823516E-2</v>
      </c>
      <c r="IM20" s="35">
        <f t="shared" si="231"/>
        <v>3.9602498158574105E-2</v>
      </c>
      <c r="IN20" s="35">
        <f t="shared" si="232"/>
        <v>5.3781643583050709E-8</v>
      </c>
      <c r="IO20" s="35">
        <f t="shared" si="233"/>
        <v>3.9602498158574105E-2</v>
      </c>
      <c r="IP20" s="35">
        <f t="shared" si="234"/>
        <v>3.9602617355823516E-2</v>
      </c>
      <c r="IQ20" s="35">
        <f t="shared" si="235"/>
        <v>3.9602557757198814E-2</v>
      </c>
      <c r="IR20" s="35">
        <f t="shared" si="236"/>
        <v>2.4010305743615845E-8</v>
      </c>
      <c r="IS20" s="35">
        <f t="shared" si="237"/>
        <v>3.9602557757198814E-2</v>
      </c>
      <c r="IT20" s="35">
        <f t="shared" si="238"/>
        <v>3.9602617355823516E-2</v>
      </c>
      <c r="IU20" s="35">
        <f t="shared" si="239"/>
        <v>3.9602587556511165E-2</v>
      </c>
      <c r="IV20" s="35">
        <f t="shared" si="240"/>
        <v>9.1246361577645985E-9</v>
      </c>
      <c r="IW20" s="35">
        <f t="shared" si="241"/>
        <v>3.9602587556511165E-2</v>
      </c>
      <c r="IX20" s="35">
        <f t="shared" si="242"/>
        <v>3.9602617355823516E-2</v>
      </c>
      <c r="IY20" s="35">
        <f t="shared" si="243"/>
        <v>3.9602602456167341E-2</v>
      </c>
      <c r="IZ20" s="35">
        <f t="shared" si="244"/>
        <v>1.681801808928185E-9</v>
      </c>
      <c r="JA20" s="35">
        <f t="shared" si="245"/>
        <v>3.9602602456167341E-2</v>
      </c>
      <c r="JB20" s="35">
        <f t="shared" si="246"/>
        <v>3.9602617355823516E-2</v>
      </c>
      <c r="JC20" s="35">
        <f t="shared" si="247"/>
        <v>3.9602609905995428E-2</v>
      </c>
      <c r="JD20" s="35">
        <f t="shared" si="248"/>
        <v>-2.0396159206015341E-9</v>
      </c>
      <c r="JE20" s="35">
        <f t="shared" si="249"/>
        <v>3.9602602456167341E-2</v>
      </c>
      <c r="JF20" s="35">
        <f t="shared" si="250"/>
        <v>3.9602609905995428E-2</v>
      </c>
      <c r="JG20" s="35">
        <f t="shared" si="251"/>
        <v>3.9602606181081385E-2</v>
      </c>
      <c r="JH20" s="35">
        <f t="shared" si="252"/>
        <v>-1.7890711134782578E-10</v>
      </c>
      <c r="JI20" s="35">
        <f t="shared" si="253"/>
        <v>3.9602602456167341E-2</v>
      </c>
      <c r="JJ20" s="35">
        <f t="shared" si="254"/>
        <v>3.9602606181081385E-2</v>
      </c>
      <c r="JK20" s="35">
        <f t="shared" si="255"/>
        <v>3.9602604318624363E-2</v>
      </c>
      <c r="JL20" s="35">
        <f t="shared" si="256"/>
        <v>7.5144712674557468E-10</v>
      </c>
      <c r="JM20" s="35">
        <f t="shared" si="257"/>
        <v>3.9602604318624363E-2</v>
      </c>
      <c r="JN20" s="35">
        <f t="shared" si="258"/>
        <v>3.9602606181081385E-2</v>
      </c>
      <c r="JO20" s="35">
        <f t="shared" si="259"/>
        <v>3.9602605249852874E-2</v>
      </c>
      <c r="JP20" s="35">
        <f t="shared" si="260"/>
        <v>2.8626989667657199E-10</v>
      </c>
      <c r="JQ20" s="35">
        <f t="shared" si="261"/>
        <v>3.9602605249852874E-2</v>
      </c>
      <c r="JR20" s="35">
        <f t="shared" si="262"/>
        <v>3.9602606181081385E-2</v>
      </c>
      <c r="JS20" s="35">
        <f t="shared" si="263"/>
        <v>3.9602605715467129E-2</v>
      </c>
      <c r="JT20" s="35">
        <f t="shared" si="264"/>
        <v>5.3681503686675569E-11</v>
      </c>
      <c r="JU20" s="35">
        <f t="shared" si="265"/>
        <v>3.9602605715467129E-2</v>
      </c>
      <c r="JV20" s="35">
        <f t="shared" si="266"/>
        <v>3.9602606181081385E-2</v>
      </c>
      <c r="JW20" s="35">
        <f t="shared" si="267"/>
        <v>3.9602605948274257E-2</v>
      </c>
      <c r="JX20" s="35">
        <f t="shared" si="268"/>
        <v>-6.2612914852877566E-11</v>
      </c>
      <c r="JY20" s="35">
        <f t="shared" si="269"/>
        <v>3.9602605715467129E-2</v>
      </c>
      <c r="JZ20" s="35">
        <f t="shared" si="270"/>
        <v>3.9602605948274257E-2</v>
      </c>
      <c r="KA20" s="35">
        <f t="shared" si="271"/>
        <v>1.0598669931991025</v>
      </c>
      <c r="KB20" s="35">
        <f t="shared" si="272"/>
        <v>3.9602605831870696E-2</v>
      </c>
    </row>
    <row r="21" spans="1:288" ht="15" customHeight="1" x14ac:dyDescent="0.3">
      <c r="A21" s="30">
        <f>Odds_Input!A21</f>
        <v>13</v>
      </c>
      <c r="B21" s="7" t="str">
        <f>Odds_Input!B21</f>
        <v>TITLE</v>
      </c>
      <c r="C21" s="7" t="str">
        <f>Odds_Input!C21</f>
        <v>Los Angeles Lakers</v>
      </c>
      <c r="D21" s="7" t="str">
        <f>Odds_Input!D21</f>
        <v>YES</v>
      </c>
      <c r="E21" s="31" t="str">
        <f>Odds_Input!E21</f>
        <v>-</v>
      </c>
      <c r="F21" s="32">
        <f>Odds_Input!F21</f>
        <v>3800</v>
      </c>
      <c r="G21" s="6" t="str">
        <f t="shared" si="0"/>
        <v>TITLE</v>
      </c>
      <c r="H21" s="14">
        <f t="shared" si="1"/>
        <v>39</v>
      </c>
      <c r="I21" s="33">
        <f t="shared" si="2"/>
        <v>2.564102564102564E-2</v>
      </c>
      <c r="J21" s="17">
        <f t="shared" si="3"/>
        <v>1</v>
      </c>
      <c r="K21" s="17">
        <f t="shared" si="4"/>
        <v>30</v>
      </c>
      <c r="L21" s="18">
        <f t="shared" si="5"/>
        <v>1.252565192422864</v>
      </c>
      <c r="M21" s="34">
        <f t="shared" si="6"/>
        <v>0.25256519242286402</v>
      </c>
      <c r="N21" s="33">
        <f t="shared" si="7"/>
        <v>2.047081125687969E-2</v>
      </c>
      <c r="O21" s="33">
        <f t="shared" si="8"/>
        <v>1.7826964308389016E-2</v>
      </c>
      <c r="P21" s="33">
        <f t="shared" si="9"/>
        <v>1.8118413839951487E-2</v>
      </c>
      <c r="Q21" s="33">
        <f t="shared" si="10"/>
        <v>1.8118413839951487E-2</v>
      </c>
      <c r="R21" s="35">
        <f t="shared" si="11"/>
        <v>1.0992153287166726</v>
      </c>
      <c r="S21" s="35">
        <f t="shared" si="12"/>
        <v>1.1051948455485863E-2</v>
      </c>
      <c r="X21" s="6" t="s">
        <v>796</v>
      </c>
      <c r="Y21" s="6">
        <f t="shared" si="13"/>
        <v>1</v>
      </c>
      <c r="Z21" s="18">
        <f t="shared" si="14"/>
        <v>1.033375052148519</v>
      </c>
      <c r="AA21" s="10">
        <v>0.2</v>
      </c>
      <c r="AB21" s="10">
        <v>10</v>
      </c>
      <c r="AC21" s="35">
        <f t="shared" si="15"/>
        <v>5.0999999999999996</v>
      </c>
      <c r="AD21" s="35">
        <f t="shared" si="16"/>
        <v>-0.90824265761554324</v>
      </c>
      <c r="AE21" s="35">
        <f t="shared" si="17"/>
        <v>0.2</v>
      </c>
      <c r="AF21" s="35">
        <f t="shared" si="18"/>
        <v>5.0999999999999996</v>
      </c>
      <c r="AG21" s="35">
        <f t="shared" si="19"/>
        <v>2.65</v>
      </c>
      <c r="AH21" s="35">
        <f t="shared" si="20"/>
        <v>-0.62875704115763242</v>
      </c>
      <c r="AI21" s="35">
        <f t="shared" si="21"/>
        <v>0.2</v>
      </c>
      <c r="AJ21" s="35">
        <f t="shared" si="22"/>
        <v>2.65</v>
      </c>
      <c r="AK21" s="35">
        <f t="shared" si="23"/>
        <v>1.425</v>
      </c>
      <c r="AL21" s="35">
        <f t="shared" si="24"/>
        <v>-0.21211366641140483</v>
      </c>
      <c r="AM21" s="35">
        <f t="shared" si="25"/>
        <v>0.2</v>
      </c>
      <c r="AN21" s="35">
        <f t="shared" si="26"/>
        <v>1.425</v>
      </c>
      <c r="AO21" s="35">
        <f t="shared" si="27"/>
        <v>0.8125</v>
      </c>
      <c r="AP21" s="35">
        <f t="shared" si="28"/>
        <v>0.16678221822526762</v>
      </c>
      <c r="AQ21" s="35">
        <f t="shared" si="29"/>
        <v>0.8125</v>
      </c>
      <c r="AR21" s="35">
        <f t="shared" si="30"/>
        <v>1.425</v>
      </c>
      <c r="AS21" s="35">
        <f t="shared" si="31"/>
        <v>1.1187499999999999</v>
      </c>
      <c r="AT21" s="35">
        <f t="shared" si="32"/>
        <v>-4.2575196378175084E-2</v>
      </c>
      <c r="AU21" s="35">
        <f t="shared" si="33"/>
        <v>0.8125</v>
      </c>
      <c r="AV21" s="35">
        <f t="shared" si="34"/>
        <v>1.1187499999999999</v>
      </c>
      <c r="AW21" s="35">
        <f t="shared" si="35"/>
        <v>0.96562499999999996</v>
      </c>
      <c r="AX21" s="35">
        <f t="shared" si="36"/>
        <v>5.6550152241093166E-2</v>
      </c>
      <c r="AY21" s="35">
        <f t="shared" si="37"/>
        <v>0.96562499999999996</v>
      </c>
      <c r="AZ21" s="35">
        <f t="shared" si="38"/>
        <v>1.1187499999999999</v>
      </c>
      <c r="BA21" s="35">
        <f t="shared" si="39"/>
        <v>1.0421874999999998</v>
      </c>
      <c r="BB21" s="35">
        <f t="shared" si="40"/>
        <v>5.6764989414344047E-3</v>
      </c>
      <c r="BC21" s="35">
        <f t="shared" si="41"/>
        <v>1.0421874999999998</v>
      </c>
      <c r="BD21" s="35">
        <f t="shared" si="42"/>
        <v>1.1187499999999999</v>
      </c>
      <c r="BE21" s="35">
        <f t="shared" si="43"/>
        <v>1.0804687499999999</v>
      </c>
      <c r="BF21" s="35">
        <f t="shared" si="44"/>
        <v>-1.8767918456356947E-2</v>
      </c>
      <c r="BG21" s="35">
        <f t="shared" si="45"/>
        <v>1.0421874999999998</v>
      </c>
      <c r="BH21" s="35">
        <f t="shared" si="46"/>
        <v>1.0804687499999999</v>
      </c>
      <c r="BI21" s="35">
        <f t="shared" si="47"/>
        <v>1.0613281249999997</v>
      </c>
      <c r="BJ21" s="35">
        <f t="shared" si="48"/>
        <v>-6.62647784375614E-3</v>
      </c>
      <c r="BK21" s="35">
        <f t="shared" si="49"/>
        <v>1.0421874999999998</v>
      </c>
      <c r="BL21" s="35">
        <f t="shared" si="50"/>
        <v>1.0613281249999997</v>
      </c>
      <c r="BM21" s="35">
        <f t="shared" si="51"/>
        <v>1.0517578124999998</v>
      </c>
      <c r="BN21" s="35">
        <f t="shared" si="52"/>
        <v>-4.953240106425616E-4</v>
      </c>
      <c r="BO21" s="35">
        <f t="shared" si="53"/>
        <v>1.0421874999999998</v>
      </c>
      <c r="BP21" s="35">
        <f t="shared" si="54"/>
        <v>1.0517578124999998</v>
      </c>
      <c r="BQ21" s="35">
        <f t="shared" si="55"/>
        <v>1.0469726562499999</v>
      </c>
      <c r="BR21" s="35">
        <f t="shared" si="56"/>
        <v>2.5854858924987401E-3</v>
      </c>
      <c r="BS21" s="35">
        <f t="shared" si="57"/>
        <v>1.0469726562499999</v>
      </c>
      <c r="BT21" s="35">
        <f t="shared" si="58"/>
        <v>1.0517578124999998</v>
      </c>
      <c r="BU21" s="35">
        <f t="shared" si="59"/>
        <v>1.0493652343749997</v>
      </c>
      <c r="BV21" s="35">
        <f t="shared" si="60"/>
        <v>1.043807794527174E-3</v>
      </c>
      <c r="BW21" s="35">
        <f t="shared" si="61"/>
        <v>1.0493652343749997</v>
      </c>
      <c r="BX21" s="35">
        <f t="shared" si="62"/>
        <v>1.0517578124999998</v>
      </c>
      <c r="BY21" s="35">
        <f t="shared" si="63"/>
        <v>1.0505615234374996</v>
      </c>
      <c r="BZ21" s="35">
        <f t="shared" si="64"/>
        <v>2.7392388573965754E-4</v>
      </c>
      <c r="CA21" s="35">
        <f t="shared" si="65"/>
        <v>1.0505615234374996</v>
      </c>
      <c r="CB21" s="35">
        <f t="shared" si="66"/>
        <v>1.0517578124999998</v>
      </c>
      <c r="CC21" s="35">
        <f t="shared" si="67"/>
        <v>1.0511596679687498</v>
      </c>
      <c r="CD21" s="35">
        <f t="shared" si="68"/>
        <v>-1.1077952898097543E-4</v>
      </c>
      <c r="CE21" s="35">
        <f t="shared" si="69"/>
        <v>1.0505615234374996</v>
      </c>
      <c r="CF21" s="35">
        <f t="shared" si="70"/>
        <v>1.0511596679687498</v>
      </c>
      <c r="CG21" s="35">
        <f t="shared" si="71"/>
        <v>1.0508605957031247</v>
      </c>
      <c r="CH21" s="35">
        <f t="shared" si="72"/>
        <v>8.1552307370724719E-5</v>
      </c>
      <c r="CI21" s="35">
        <f t="shared" si="73"/>
        <v>1.0508605957031247</v>
      </c>
      <c r="CJ21" s="35">
        <f t="shared" si="74"/>
        <v>1.0511596679687498</v>
      </c>
      <c r="CK21" s="35">
        <f t="shared" si="75"/>
        <v>1.0510101318359373</v>
      </c>
      <c r="CL21" s="35">
        <f t="shared" si="76"/>
        <v>-1.4618578010217043E-5</v>
      </c>
      <c r="CM21" s="35">
        <f t="shared" si="77"/>
        <v>1.0508605957031247</v>
      </c>
      <c r="CN21" s="35">
        <f t="shared" si="78"/>
        <v>1.0510101318359373</v>
      </c>
      <c r="CO21" s="35">
        <f t="shared" si="79"/>
        <v>1.0509353637695309</v>
      </c>
      <c r="CP21" s="35">
        <f t="shared" si="80"/>
        <v>3.34656228107022E-5</v>
      </c>
      <c r="CQ21" s="35">
        <f t="shared" si="81"/>
        <v>1.0509353637695309</v>
      </c>
      <c r="CR21" s="35">
        <f t="shared" si="82"/>
        <v>1.0510101318359373</v>
      </c>
      <c r="CS21" s="35">
        <f t="shared" si="83"/>
        <v>1.0509727478027342</v>
      </c>
      <c r="CT21" s="35">
        <f t="shared" si="84"/>
        <v>9.4232119414172644E-6</v>
      </c>
      <c r="CU21" s="35">
        <f t="shared" si="85"/>
        <v>1.0509727478027342</v>
      </c>
      <c r="CV21" s="35">
        <f t="shared" si="86"/>
        <v>1.0510101318359373</v>
      </c>
      <c r="CW21" s="35">
        <f t="shared" si="87"/>
        <v>1.0509914398193358</v>
      </c>
      <c r="CX21" s="35">
        <f t="shared" si="88"/>
        <v>-2.5977606481486504E-6</v>
      </c>
      <c r="CY21" s="35">
        <f t="shared" si="89"/>
        <v>1.0509727478027342</v>
      </c>
      <c r="CZ21" s="35">
        <f t="shared" si="90"/>
        <v>1.0509914398193358</v>
      </c>
      <c r="DA21" s="35">
        <f t="shared" si="91"/>
        <v>1.050982093811035</v>
      </c>
      <c r="DB21" s="35">
        <f t="shared" si="92"/>
        <v>3.4127062429334387E-6</v>
      </c>
      <c r="DC21" s="35">
        <f t="shared" si="93"/>
        <v>1.050982093811035</v>
      </c>
      <c r="DD21" s="35">
        <f t="shared" si="94"/>
        <v>1.0509914398193358</v>
      </c>
      <c r="DE21" s="35">
        <f t="shared" si="95"/>
        <v>1.0509867668151855</v>
      </c>
      <c r="DF21" s="35">
        <f t="shared" si="96"/>
        <v>4.0746794649493268E-7</v>
      </c>
      <c r="DG21" s="35">
        <f t="shared" si="97"/>
        <v>1.0509867668151855</v>
      </c>
      <c r="DH21" s="35">
        <f t="shared" si="98"/>
        <v>1.0509914398193358</v>
      </c>
      <c r="DI21" s="35">
        <f t="shared" si="99"/>
        <v>1.0509891033172607</v>
      </c>
      <c r="DJ21" s="35">
        <f t="shared" si="100"/>
        <v>-1.0951475635234686E-6</v>
      </c>
      <c r="DK21" s="35">
        <f t="shared" si="101"/>
        <v>1.0509867668151855</v>
      </c>
      <c r="DL21" s="35">
        <f t="shared" si="102"/>
        <v>1.0509891033172607</v>
      </c>
      <c r="DM21" s="35">
        <f t="shared" si="103"/>
        <v>1.0509879350662232</v>
      </c>
      <c r="DN21" s="35">
        <f t="shared" si="104"/>
        <v>-3.4384011171617601E-7</v>
      </c>
      <c r="DO21" s="35">
        <f t="shared" si="105"/>
        <v>1.0509867668151855</v>
      </c>
      <c r="DP21" s="35">
        <f t="shared" si="106"/>
        <v>1.0509879350662232</v>
      </c>
      <c r="DQ21" s="35">
        <f t="shared" si="107"/>
        <v>1.0509873509407044</v>
      </c>
      <c r="DR21" s="35">
        <f t="shared" si="108"/>
        <v>3.181384156114575E-8</v>
      </c>
      <c r="DS21" s="35">
        <f t="shared" si="109"/>
        <v>1.0509873509407044</v>
      </c>
      <c r="DT21" s="35">
        <f t="shared" si="110"/>
        <v>1.0509879350662232</v>
      </c>
      <c r="DU21" s="35">
        <f t="shared" si="111"/>
        <v>1.0509876430034639</v>
      </c>
      <c r="DV21" s="35">
        <f t="shared" si="112"/>
        <v>-1.5601315417335115E-7</v>
      </c>
      <c r="DW21" s="35">
        <f t="shared" si="113"/>
        <v>1.0509873509407044</v>
      </c>
      <c r="DX21" s="35">
        <f t="shared" si="114"/>
        <v>1.0509876430034639</v>
      </c>
      <c r="DY21" s="35">
        <f t="shared" si="115"/>
        <v>1.050987496972084</v>
      </c>
      <c r="DZ21" s="35">
        <f t="shared" si="116"/>
        <v>-6.2099660969039405E-8</v>
      </c>
      <c r="EA21" s="35">
        <f t="shared" si="117"/>
        <v>1.0509873509407044</v>
      </c>
      <c r="EB21" s="35">
        <f t="shared" si="118"/>
        <v>1.050987496972084</v>
      </c>
      <c r="EC21" s="35">
        <f t="shared" si="119"/>
        <v>1.0509874239563941</v>
      </c>
      <c r="ED21" s="35">
        <f t="shared" si="120"/>
        <v>-1.514291070314755E-8</v>
      </c>
      <c r="EE21" s="35">
        <f t="shared" si="121"/>
        <v>1.0509873509407044</v>
      </c>
      <c r="EF21" s="35">
        <f t="shared" si="122"/>
        <v>1.0509874239563941</v>
      </c>
      <c r="EG21" s="35">
        <f t="shared" si="123"/>
        <v>1.0509873874485494</v>
      </c>
      <c r="EH21" s="35">
        <f t="shared" si="124"/>
        <v>8.3354649849098905E-9</v>
      </c>
      <c r="EI21" s="35">
        <f t="shared" si="125"/>
        <v>1.0509873874485494</v>
      </c>
      <c r="EJ21" s="35">
        <f t="shared" si="126"/>
        <v>1.0509874239563941</v>
      </c>
      <c r="EK21" s="35">
        <f t="shared" si="127"/>
        <v>1.0509874057024717</v>
      </c>
      <c r="EL21" s="35">
        <f t="shared" si="128"/>
        <v>-3.403722970141132E-9</v>
      </c>
      <c r="EM21" s="35">
        <f t="shared" si="129"/>
        <v>1.0509873874485494</v>
      </c>
      <c r="EN21" s="35">
        <f t="shared" si="130"/>
        <v>1.0509874057024717</v>
      </c>
      <c r="EO21" s="35">
        <f t="shared" si="131"/>
        <v>1.0509873965755105</v>
      </c>
      <c r="EP21" s="35">
        <f t="shared" si="132"/>
        <v>2.4658710628955305E-9</v>
      </c>
      <c r="EQ21" s="35">
        <f t="shared" si="133"/>
        <v>1.0509873965755105</v>
      </c>
      <c r="ER21" s="35">
        <f t="shared" si="134"/>
        <v>1.0509874057024717</v>
      </c>
      <c r="ES21" s="35">
        <f t="shared" si="135"/>
        <v>1.050987401138991</v>
      </c>
      <c r="ET21" s="35">
        <f t="shared" si="136"/>
        <v>-4.6892600913395199E-10</v>
      </c>
      <c r="EU21" s="35">
        <f t="shared" si="137"/>
        <v>1.0509873965755105</v>
      </c>
      <c r="EV21" s="35">
        <f t="shared" si="138"/>
        <v>1.050987401138991</v>
      </c>
      <c r="EW21" s="35">
        <f t="shared" si="139"/>
        <v>1.0509873988572509</v>
      </c>
      <c r="EX21" s="35">
        <f t="shared" si="140"/>
        <v>9.9847241585848678E-10</v>
      </c>
      <c r="EY21" s="35">
        <f t="shared" si="141"/>
        <v>1.0509873988572509</v>
      </c>
      <c r="EZ21" s="35">
        <f t="shared" si="142"/>
        <v>1.050987401138991</v>
      </c>
      <c r="FA21" s="10">
        <v>9.9999999999999995E-7</v>
      </c>
      <c r="FB21" s="10">
        <v>0.99990000000000001</v>
      </c>
      <c r="FC21" s="35">
        <f t="shared" si="143"/>
        <v>0.49995050000000002</v>
      </c>
      <c r="FD21" s="35">
        <f t="shared" si="144"/>
        <v>-0.24269705696294908</v>
      </c>
      <c r="FE21" s="35">
        <f t="shared" si="145"/>
        <v>9.9999999999999995E-7</v>
      </c>
      <c r="FF21" s="35">
        <f t="shared" si="146"/>
        <v>0.49995050000000002</v>
      </c>
      <c r="FG21" s="35">
        <f t="shared" si="147"/>
        <v>0.24997575</v>
      </c>
      <c r="FH21" s="35">
        <f t="shared" si="148"/>
        <v>-0.11175097350644592</v>
      </c>
      <c r="FI21" s="35">
        <f t="shared" si="149"/>
        <v>9.9999999999999995E-7</v>
      </c>
      <c r="FJ21" s="35">
        <f t="shared" si="150"/>
        <v>0.24997575</v>
      </c>
      <c r="FK21" s="35">
        <f t="shared" si="151"/>
        <v>0.124988375</v>
      </c>
      <c r="FL21" s="35">
        <f t="shared" si="152"/>
        <v>-4.6469838092348392E-2</v>
      </c>
      <c r="FM21" s="35">
        <f t="shared" si="153"/>
        <v>9.9999999999999995E-7</v>
      </c>
      <c r="FN21" s="35">
        <f t="shared" si="154"/>
        <v>0.124988375</v>
      </c>
      <c r="FO21" s="35">
        <f t="shared" si="155"/>
        <v>6.24946875E-2</v>
      </c>
      <c r="FP21" s="35">
        <f t="shared" si="156"/>
        <v>-1.4593012142867234E-2</v>
      </c>
      <c r="FQ21" s="35">
        <f t="shared" si="157"/>
        <v>9.9999999999999995E-7</v>
      </c>
      <c r="FR21" s="35">
        <f t="shared" si="158"/>
        <v>6.24946875E-2</v>
      </c>
      <c r="FS21" s="35">
        <f t="shared" si="159"/>
        <v>3.124784375E-2</v>
      </c>
      <c r="FT21" s="35">
        <f t="shared" si="160"/>
        <v>1.0792130088908003E-3</v>
      </c>
      <c r="FU21" s="35">
        <f t="shared" si="161"/>
        <v>3.124784375E-2</v>
      </c>
      <c r="FV21" s="35">
        <f t="shared" si="162"/>
        <v>6.24946875E-2</v>
      </c>
      <c r="FW21" s="35">
        <f t="shared" si="163"/>
        <v>4.6871265624999998E-2</v>
      </c>
      <c r="FX21" s="35">
        <f t="shared" si="164"/>
        <v>-6.7327739888249916E-3</v>
      </c>
      <c r="FY21" s="35">
        <f t="shared" si="165"/>
        <v>3.124784375E-2</v>
      </c>
      <c r="FZ21" s="35">
        <f t="shared" si="166"/>
        <v>4.6871265624999998E-2</v>
      </c>
      <c r="GA21" s="35">
        <f t="shared" si="167"/>
        <v>3.9059554687499998E-2</v>
      </c>
      <c r="GB21" s="35">
        <f t="shared" si="168"/>
        <v>-2.8206136668474935E-3</v>
      </c>
      <c r="GC21" s="35">
        <f t="shared" si="169"/>
        <v>3.124784375E-2</v>
      </c>
      <c r="GD21" s="35">
        <f t="shared" si="170"/>
        <v>3.9059554687499998E-2</v>
      </c>
      <c r="GE21" s="35">
        <f t="shared" si="171"/>
        <v>3.5153699218750001E-2</v>
      </c>
      <c r="GF21" s="35">
        <f t="shared" si="172"/>
        <v>-8.6914211340338721E-4</v>
      </c>
      <c r="GG21" s="35">
        <f t="shared" si="173"/>
        <v>3.124784375E-2</v>
      </c>
      <c r="GH21" s="35">
        <f t="shared" si="174"/>
        <v>3.5153699218750001E-2</v>
      </c>
      <c r="GI21" s="35">
        <f t="shared" si="175"/>
        <v>3.3200771484375002E-2</v>
      </c>
      <c r="GJ21" s="35">
        <f t="shared" si="176"/>
        <v>1.0542703907368001E-4</v>
      </c>
      <c r="GK21" s="35">
        <f t="shared" si="177"/>
        <v>3.3200771484375002E-2</v>
      </c>
      <c r="GL21" s="35">
        <f t="shared" si="178"/>
        <v>3.5153699218750001E-2</v>
      </c>
      <c r="GM21" s="35">
        <f t="shared" si="179"/>
        <v>3.4177235351562502E-2</v>
      </c>
      <c r="GN21" s="35">
        <f t="shared" si="180"/>
        <v>-3.8175989283650846E-4</v>
      </c>
      <c r="GO21" s="35">
        <f t="shared" si="181"/>
        <v>3.3200771484375002E-2</v>
      </c>
      <c r="GP21" s="35">
        <f t="shared" si="182"/>
        <v>3.4177235351562502E-2</v>
      </c>
      <c r="GQ21" s="35">
        <f t="shared" si="183"/>
        <v>3.3689003417968752E-2</v>
      </c>
      <c r="GR21" s="35">
        <f t="shared" si="184"/>
        <v>-1.3814198403794276E-4</v>
      </c>
      <c r="GS21" s="35">
        <f t="shared" si="185"/>
        <v>3.3200771484375002E-2</v>
      </c>
      <c r="GT21" s="35">
        <f t="shared" si="186"/>
        <v>3.3689003417968752E-2</v>
      </c>
      <c r="GU21" s="35">
        <f t="shared" si="187"/>
        <v>3.3444887451171877E-2</v>
      </c>
      <c r="GV21" s="35">
        <f t="shared" si="188"/>
        <v>-1.6351357807531386E-5</v>
      </c>
      <c r="GW21" s="35">
        <f t="shared" si="189"/>
        <v>3.3200771484375002E-2</v>
      </c>
      <c r="GX21" s="35">
        <f t="shared" si="190"/>
        <v>3.3444887451171877E-2</v>
      </c>
      <c r="GY21" s="35">
        <f t="shared" si="191"/>
        <v>3.3322829467773443E-2</v>
      </c>
      <c r="GZ21" s="35">
        <f t="shared" si="192"/>
        <v>4.4539369796980921E-5</v>
      </c>
      <c r="HA21" s="35">
        <f t="shared" si="193"/>
        <v>3.3322829467773443E-2</v>
      </c>
      <c r="HB21" s="35">
        <f t="shared" si="194"/>
        <v>3.3444887451171877E-2</v>
      </c>
      <c r="HC21" s="35">
        <f t="shared" si="195"/>
        <v>3.3383858459472657E-2</v>
      </c>
      <c r="HD21" s="35">
        <f t="shared" si="196"/>
        <v>1.4094388223639953E-5</v>
      </c>
      <c r="HE21" s="35">
        <f t="shared" si="197"/>
        <v>3.3383858459472657E-2</v>
      </c>
      <c r="HF21" s="35">
        <f t="shared" si="198"/>
        <v>3.3444887451171877E-2</v>
      </c>
      <c r="HG21" s="35">
        <f t="shared" si="199"/>
        <v>3.3414372955322263E-2</v>
      </c>
      <c r="HH21" s="35">
        <f t="shared" si="200"/>
        <v>-1.1283892423774589E-6</v>
      </c>
      <c r="HI21" s="35">
        <f t="shared" si="201"/>
        <v>3.3383858459472657E-2</v>
      </c>
      <c r="HJ21" s="35">
        <f t="shared" si="202"/>
        <v>3.3414372955322263E-2</v>
      </c>
      <c r="HK21" s="35">
        <f t="shared" si="203"/>
        <v>3.339911570739746E-2</v>
      </c>
      <c r="HL21" s="35">
        <f t="shared" si="204"/>
        <v>6.4830233788004676E-6</v>
      </c>
      <c r="HM21" s="35">
        <f t="shared" si="205"/>
        <v>3.339911570739746E-2</v>
      </c>
      <c r="HN21" s="35">
        <f t="shared" si="206"/>
        <v>3.3414372955322263E-2</v>
      </c>
      <c r="HO21" s="35">
        <f t="shared" si="207"/>
        <v>3.3406744331359858E-2</v>
      </c>
      <c r="HP21" s="35">
        <f t="shared" si="208"/>
        <v>2.677323040156665E-6</v>
      </c>
      <c r="HQ21" s="35">
        <f t="shared" si="209"/>
        <v>3.3406744331359858E-2</v>
      </c>
      <c r="HR21" s="35">
        <f t="shared" si="210"/>
        <v>3.3414372955322263E-2</v>
      </c>
      <c r="HS21" s="35">
        <f t="shared" si="211"/>
        <v>3.3410558643341061E-2</v>
      </c>
      <c r="HT21" s="35">
        <f t="shared" si="212"/>
        <v>7.7446839186201544E-7</v>
      </c>
      <c r="HU21" s="35">
        <f t="shared" si="213"/>
        <v>3.3410558643341061E-2</v>
      </c>
      <c r="HV21" s="35">
        <f t="shared" si="214"/>
        <v>3.3414372955322263E-2</v>
      </c>
      <c r="HW21" s="35">
        <f t="shared" si="215"/>
        <v>3.3412465799331659E-2</v>
      </c>
      <c r="HX21" s="35">
        <f t="shared" si="216"/>
        <v>-1.7696005194522968E-7</v>
      </c>
      <c r="HY21" s="35">
        <f t="shared" si="217"/>
        <v>3.3410558643341061E-2</v>
      </c>
      <c r="HZ21" s="35">
        <f t="shared" si="218"/>
        <v>3.3412465799331659E-2</v>
      </c>
      <c r="IA21" s="35">
        <f t="shared" si="219"/>
        <v>3.3411512221336356E-2</v>
      </c>
      <c r="IB21" s="35">
        <f t="shared" si="220"/>
        <v>2.9875426332814925E-7</v>
      </c>
      <c r="IC21" s="35">
        <f t="shared" si="221"/>
        <v>3.3411512221336356E-2</v>
      </c>
      <c r="ID21" s="35">
        <f t="shared" si="222"/>
        <v>3.3412465799331659E-2</v>
      </c>
      <c r="IE21" s="35">
        <f t="shared" si="223"/>
        <v>3.3411989010334008E-2</v>
      </c>
      <c r="IF21" s="35">
        <f t="shared" si="224"/>
        <v>6.0897128895121E-8</v>
      </c>
      <c r="IG21" s="35">
        <f t="shared" si="225"/>
        <v>3.3411989010334008E-2</v>
      </c>
      <c r="IH21" s="35">
        <f t="shared" si="226"/>
        <v>3.3412465799331659E-2</v>
      </c>
      <c r="II21" s="35">
        <f t="shared" si="227"/>
        <v>3.3412227404832837E-2</v>
      </c>
      <c r="IJ21" s="35">
        <f t="shared" si="228"/>
        <v>-5.8031455751894612E-8</v>
      </c>
      <c r="IK21" s="35">
        <f t="shared" si="229"/>
        <v>3.3411989010334008E-2</v>
      </c>
      <c r="IL21" s="35">
        <f t="shared" si="230"/>
        <v>3.3412227404832837E-2</v>
      </c>
      <c r="IM21" s="35">
        <f t="shared" si="231"/>
        <v>3.3412108207583419E-2</v>
      </c>
      <c r="IN21" s="35">
        <f t="shared" si="232"/>
        <v>1.4328380704142774E-9</v>
      </c>
      <c r="IO21" s="35">
        <f t="shared" si="233"/>
        <v>3.3412108207583419E-2</v>
      </c>
      <c r="IP21" s="35">
        <f t="shared" si="234"/>
        <v>3.3412227404832837E-2</v>
      </c>
      <c r="IQ21" s="35">
        <f t="shared" si="235"/>
        <v>3.3412167806208128E-2</v>
      </c>
      <c r="IR21" s="35">
        <f t="shared" si="236"/>
        <v>-2.8299308452162109E-8</v>
      </c>
      <c r="IS21" s="35">
        <f t="shared" si="237"/>
        <v>3.3412108207583419E-2</v>
      </c>
      <c r="IT21" s="35">
        <f t="shared" si="238"/>
        <v>3.3412167806208128E-2</v>
      </c>
      <c r="IU21" s="35">
        <f t="shared" si="239"/>
        <v>3.341213800689577E-2</v>
      </c>
      <c r="IV21" s="35">
        <f t="shared" si="240"/>
        <v>-1.3433235079851613E-8</v>
      </c>
      <c r="IW21" s="35">
        <f t="shared" si="241"/>
        <v>3.3412108207583419E-2</v>
      </c>
      <c r="IX21" s="35">
        <f t="shared" si="242"/>
        <v>3.341213800689577E-2</v>
      </c>
      <c r="IY21" s="35">
        <f t="shared" si="243"/>
        <v>3.3412123107239594E-2</v>
      </c>
      <c r="IZ21" s="35">
        <f t="shared" si="244"/>
        <v>-6.0001985602298191E-9</v>
      </c>
      <c r="JA21" s="35">
        <f t="shared" si="245"/>
        <v>3.3412108207583419E-2</v>
      </c>
      <c r="JB21" s="35">
        <f t="shared" si="246"/>
        <v>3.3412123107239594E-2</v>
      </c>
      <c r="JC21" s="35">
        <f t="shared" si="247"/>
        <v>3.3412115657411506E-2</v>
      </c>
      <c r="JD21" s="35">
        <f t="shared" si="248"/>
        <v>-2.2836802449077709E-9</v>
      </c>
      <c r="JE21" s="35">
        <f t="shared" si="249"/>
        <v>3.3412108207583419E-2</v>
      </c>
      <c r="JF21" s="35">
        <f t="shared" si="250"/>
        <v>3.3412115657411506E-2</v>
      </c>
      <c r="JG21" s="35">
        <f t="shared" si="251"/>
        <v>3.3412111932497462E-2</v>
      </c>
      <c r="JH21" s="35">
        <f t="shared" si="252"/>
        <v>-4.2542103173559553E-10</v>
      </c>
      <c r="JI21" s="35">
        <f t="shared" si="253"/>
        <v>3.3412108207583419E-2</v>
      </c>
      <c r="JJ21" s="35">
        <f t="shared" si="254"/>
        <v>3.3412111932497462E-2</v>
      </c>
      <c r="JK21" s="35">
        <f t="shared" si="255"/>
        <v>3.3412110070040441E-2</v>
      </c>
      <c r="JL21" s="35">
        <f t="shared" si="256"/>
        <v>5.0370840831703845E-10</v>
      </c>
      <c r="JM21" s="35">
        <f t="shared" si="257"/>
        <v>3.3412110070040441E-2</v>
      </c>
      <c r="JN21" s="35">
        <f t="shared" si="258"/>
        <v>3.3412111932497462E-2</v>
      </c>
      <c r="JO21" s="35">
        <f t="shared" si="259"/>
        <v>3.3412111001268952E-2</v>
      </c>
      <c r="JP21" s="35">
        <f t="shared" si="260"/>
        <v>3.9143577268418994E-11</v>
      </c>
      <c r="JQ21" s="35">
        <f t="shared" si="261"/>
        <v>3.3412111001268952E-2</v>
      </c>
      <c r="JR21" s="35">
        <f t="shared" si="262"/>
        <v>3.3412111932497462E-2</v>
      </c>
      <c r="JS21" s="35">
        <f t="shared" si="263"/>
        <v>3.3412111466883207E-2</v>
      </c>
      <c r="JT21" s="35">
        <f t="shared" si="264"/>
        <v>-1.9313861621128581E-10</v>
      </c>
      <c r="JU21" s="35">
        <f t="shared" si="265"/>
        <v>3.3412111001268952E-2</v>
      </c>
      <c r="JV21" s="35">
        <f t="shared" si="266"/>
        <v>3.3412111466883207E-2</v>
      </c>
      <c r="JW21" s="35">
        <f t="shared" si="267"/>
        <v>3.3412111234076079E-2</v>
      </c>
      <c r="JX21" s="35">
        <f t="shared" si="268"/>
        <v>-7.6997408449130944E-11</v>
      </c>
      <c r="JY21" s="35">
        <f t="shared" si="269"/>
        <v>3.3412111001268952E-2</v>
      </c>
      <c r="JZ21" s="35">
        <f t="shared" si="270"/>
        <v>3.3412111234076079E-2</v>
      </c>
      <c r="KA21" s="35">
        <f t="shared" si="271"/>
        <v>1.050987399998121</v>
      </c>
      <c r="KB21" s="35">
        <f t="shared" si="272"/>
        <v>3.3412111117672519E-2</v>
      </c>
    </row>
    <row r="22" spans="1:288" ht="15" customHeight="1" x14ac:dyDescent="0.3">
      <c r="A22" s="30">
        <f>Odds_Input!A22</f>
        <v>14</v>
      </c>
      <c r="B22" s="7" t="str">
        <f>Odds_Input!B22</f>
        <v>TITLE</v>
      </c>
      <c r="C22" s="7" t="str">
        <f>Odds_Input!C22</f>
        <v>Memphis Grizzlies</v>
      </c>
      <c r="D22" s="7" t="str">
        <f>Odds_Input!D22</f>
        <v>YES</v>
      </c>
      <c r="E22" s="31" t="str">
        <f>Odds_Input!E22</f>
        <v>-</v>
      </c>
      <c r="F22" s="32">
        <f>Odds_Input!F22</f>
        <v>25000</v>
      </c>
      <c r="G22" s="6" t="str">
        <f t="shared" si="0"/>
        <v>TITLE</v>
      </c>
      <c r="H22" s="14">
        <f t="shared" si="1"/>
        <v>251</v>
      </c>
      <c r="I22" s="33">
        <f t="shared" si="2"/>
        <v>3.9840637450199202E-3</v>
      </c>
      <c r="J22" s="17">
        <f t="shared" si="3"/>
        <v>1</v>
      </c>
      <c r="K22" s="17">
        <f t="shared" si="4"/>
        <v>30</v>
      </c>
      <c r="L22" s="18">
        <f t="shared" si="5"/>
        <v>1.252565192422864</v>
      </c>
      <c r="M22" s="34">
        <f t="shared" si="6"/>
        <v>0.25256519242286402</v>
      </c>
      <c r="N22" s="33">
        <f t="shared" si="7"/>
        <v>3.1807236614275216E-3</v>
      </c>
      <c r="O22" s="33">
        <f t="shared" si="8"/>
        <v>2.3027238623231816E-3</v>
      </c>
      <c r="P22" s="33">
        <f t="shared" si="9"/>
        <v>1.0482741504970515E-3</v>
      </c>
      <c r="Q22" s="33">
        <f t="shared" si="10"/>
        <v>1.0482741504970515E-3</v>
      </c>
      <c r="R22" s="35">
        <f t="shared" si="11"/>
        <v>1.0992153287166726</v>
      </c>
      <c r="S22" s="35">
        <f t="shared" si="12"/>
        <v>1.1051948455485863E-2</v>
      </c>
      <c r="X22" s="6" t="s">
        <v>797</v>
      </c>
      <c r="Y22" s="6">
        <f t="shared" si="13"/>
        <v>1</v>
      </c>
      <c r="Z22" s="18">
        <f t="shared" si="14"/>
        <v>1.0454545454545454</v>
      </c>
      <c r="AA22" s="10">
        <v>0.2</v>
      </c>
      <c r="AB22" s="10">
        <v>10</v>
      </c>
      <c r="AC22" s="35">
        <f t="shared" si="15"/>
        <v>5.0999999999999996</v>
      </c>
      <c r="AD22" s="35">
        <f t="shared" si="16"/>
        <v>-0.92539954235841471</v>
      </c>
      <c r="AE22" s="35">
        <f t="shared" si="17"/>
        <v>0.2</v>
      </c>
      <c r="AF22" s="35">
        <f t="shared" si="18"/>
        <v>5.0999999999999996</v>
      </c>
      <c r="AG22" s="35">
        <f t="shared" si="19"/>
        <v>2.65</v>
      </c>
      <c r="AH22" s="35">
        <f t="shared" si="20"/>
        <v>-0.64004330393040465</v>
      </c>
      <c r="AI22" s="35">
        <f t="shared" si="21"/>
        <v>0.2</v>
      </c>
      <c r="AJ22" s="35">
        <f t="shared" si="22"/>
        <v>2.65</v>
      </c>
      <c r="AK22" s="35">
        <f t="shared" si="23"/>
        <v>1.425</v>
      </c>
      <c r="AL22" s="35">
        <f t="shared" si="24"/>
        <v>-0.20599970626899999</v>
      </c>
      <c r="AM22" s="35">
        <f t="shared" si="25"/>
        <v>0.2</v>
      </c>
      <c r="AN22" s="35">
        <f t="shared" si="26"/>
        <v>1.425</v>
      </c>
      <c r="AO22" s="35">
        <f t="shared" si="27"/>
        <v>0.8125</v>
      </c>
      <c r="AP22" s="35">
        <f t="shared" si="28"/>
        <v>0.18050001693930851</v>
      </c>
      <c r="AQ22" s="35">
        <f t="shared" si="29"/>
        <v>0.8125</v>
      </c>
      <c r="AR22" s="35">
        <f t="shared" si="30"/>
        <v>1.425</v>
      </c>
      <c r="AS22" s="35">
        <f t="shared" si="31"/>
        <v>1.1187499999999999</v>
      </c>
      <c r="AT22" s="35">
        <f t="shared" si="32"/>
        <v>-3.1934205800687954E-2</v>
      </c>
      <c r="AU22" s="35">
        <f t="shared" si="33"/>
        <v>0.8125</v>
      </c>
      <c r="AV22" s="35">
        <f t="shared" si="34"/>
        <v>1.1187499999999999</v>
      </c>
      <c r="AW22" s="35">
        <f t="shared" si="35"/>
        <v>0.96562499999999996</v>
      </c>
      <c r="AX22" s="35">
        <f t="shared" si="36"/>
        <v>6.8995350859696325E-2</v>
      </c>
      <c r="AY22" s="35">
        <f t="shared" si="37"/>
        <v>0.96562499999999996</v>
      </c>
      <c r="AZ22" s="35">
        <f t="shared" si="38"/>
        <v>1.1187499999999999</v>
      </c>
      <c r="BA22" s="35">
        <f t="shared" si="39"/>
        <v>1.0421874999999998</v>
      </c>
      <c r="BB22" s="35">
        <f t="shared" si="40"/>
        <v>1.7273992252547554E-2</v>
      </c>
      <c r="BC22" s="35">
        <f t="shared" si="41"/>
        <v>1.0421874999999998</v>
      </c>
      <c r="BD22" s="35">
        <f t="shared" si="42"/>
        <v>1.1187499999999999</v>
      </c>
      <c r="BE22" s="35">
        <f t="shared" si="43"/>
        <v>1.0804687499999999</v>
      </c>
      <c r="BF22" s="35">
        <f t="shared" si="44"/>
        <v>-7.6364427676745006E-3</v>
      </c>
      <c r="BG22" s="35">
        <f t="shared" si="45"/>
        <v>1.0421874999999998</v>
      </c>
      <c r="BH22" s="35">
        <f t="shared" si="46"/>
        <v>1.0804687499999999</v>
      </c>
      <c r="BI22" s="35">
        <f t="shared" si="47"/>
        <v>1.0613281249999997</v>
      </c>
      <c r="BJ22" s="35">
        <f t="shared" si="48"/>
        <v>4.7412299184854678E-3</v>
      </c>
      <c r="BK22" s="35">
        <f t="shared" si="49"/>
        <v>1.0613281249999997</v>
      </c>
      <c r="BL22" s="35">
        <f t="shared" si="50"/>
        <v>1.0804687499999999</v>
      </c>
      <c r="BM22" s="35">
        <f t="shared" si="51"/>
        <v>1.0708984374999999</v>
      </c>
      <c r="BN22" s="35">
        <f t="shared" si="52"/>
        <v>-1.4668715838355162E-3</v>
      </c>
      <c r="BO22" s="35">
        <f t="shared" si="53"/>
        <v>1.0613281249999997</v>
      </c>
      <c r="BP22" s="35">
        <f t="shared" si="54"/>
        <v>1.0708984374999999</v>
      </c>
      <c r="BQ22" s="35">
        <f t="shared" si="55"/>
        <v>1.0661132812499998</v>
      </c>
      <c r="BR22" s="35">
        <f t="shared" si="56"/>
        <v>1.6323478060529251E-3</v>
      </c>
      <c r="BS22" s="35">
        <f t="shared" si="57"/>
        <v>1.0661132812499998</v>
      </c>
      <c r="BT22" s="35">
        <f t="shared" si="58"/>
        <v>1.0708984374999999</v>
      </c>
      <c r="BU22" s="35">
        <f t="shared" si="59"/>
        <v>1.0685058593749999</v>
      </c>
      <c r="BV22" s="35">
        <f t="shared" si="60"/>
        <v>8.1532158421993017E-5</v>
      </c>
      <c r="BW22" s="35">
        <f t="shared" si="61"/>
        <v>1.0685058593749999</v>
      </c>
      <c r="BX22" s="35">
        <f t="shared" si="62"/>
        <v>1.0708984374999999</v>
      </c>
      <c r="BY22" s="35">
        <f t="shared" si="63"/>
        <v>1.0697021484375</v>
      </c>
      <c r="BZ22" s="35">
        <f t="shared" si="64"/>
        <v>-6.9297096524878476E-4</v>
      </c>
      <c r="CA22" s="35">
        <f t="shared" si="65"/>
        <v>1.0685058593749999</v>
      </c>
      <c r="CB22" s="35">
        <f t="shared" si="66"/>
        <v>1.0697021484375</v>
      </c>
      <c r="CC22" s="35">
        <f t="shared" si="67"/>
        <v>1.0691040039062498</v>
      </c>
      <c r="CD22" s="35">
        <f t="shared" si="68"/>
        <v>-3.057947459881305E-4</v>
      </c>
      <c r="CE22" s="35">
        <f t="shared" si="69"/>
        <v>1.0685058593749999</v>
      </c>
      <c r="CF22" s="35">
        <f t="shared" si="70"/>
        <v>1.0691040039062498</v>
      </c>
      <c r="CG22" s="35">
        <f t="shared" si="71"/>
        <v>1.0688049316406247</v>
      </c>
      <c r="CH22" s="35">
        <f t="shared" si="72"/>
        <v>-1.1215013310783561E-4</v>
      </c>
      <c r="CI22" s="35">
        <f t="shared" si="73"/>
        <v>1.0685058593749999</v>
      </c>
      <c r="CJ22" s="35">
        <f t="shared" si="74"/>
        <v>1.0688049316406247</v>
      </c>
      <c r="CK22" s="35">
        <f t="shared" si="75"/>
        <v>1.0686553955078124</v>
      </c>
      <c r="CL22" s="35">
        <f t="shared" si="76"/>
        <v>-1.5313697634411483E-5</v>
      </c>
      <c r="CM22" s="35">
        <f t="shared" si="77"/>
        <v>1.0685058593749999</v>
      </c>
      <c r="CN22" s="35">
        <f t="shared" si="78"/>
        <v>1.0686553955078124</v>
      </c>
      <c r="CO22" s="35">
        <f t="shared" si="79"/>
        <v>1.0685806274414063</v>
      </c>
      <c r="CP22" s="35">
        <f t="shared" si="80"/>
        <v>3.3108052763353157E-5</v>
      </c>
      <c r="CQ22" s="35">
        <f t="shared" si="81"/>
        <v>1.0685806274414063</v>
      </c>
      <c r="CR22" s="35">
        <f t="shared" si="82"/>
        <v>1.0686553955078124</v>
      </c>
      <c r="CS22" s="35">
        <f t="shared" si="83"/>
        <v>1.0686180114746093</v>
      </c>
      <c r="CT22" s="35">
        <f t="shared" si="84"/>
        <v>8.8968831639668622E-6</v>
      </c>
      <c r="CU22" s="35">
        <f t="shared" si="85"/>
        <v>1.0686180114746093</v>
      </c>
      <c r="CV22" s="35">
        <f t="shared" si="86"/>
        <v>1.0686553955078124</v>
      </c>
      <c r="CW22" s="35">
        <f t="shared" si="87"/>
        <v>1.0686367034912108</v>
      </c>
      <c r="CX22" s="35">
        <f t="shared" si="88"/>
        <v>-3.2084808343491034E-6</v>
      </c>
      <c r="CY22" s="35">
        <f t="shared" si="89"/>
        <v>1.0686180114746093</v>
      </c>
      <c r="CZ22" s="35">
        <f t="shared" si="90"/>
        <v>1.0686367034912108</v>
      </c>
      <c r="DA22" s="35">
        <f t="shared" si="91"/>
        <v>1.0686273574829102</v>
      </c>
      <c r="DB22" s="35">
        <f t="shared" si="92"/>
        <v>2.8441827648606477E-6</v>
      </c>
      <c r="DC22" s="35">
        <f t="shared" si="93"/>
        <v>1.0686273574829102</v>
      </c>
      <c r="DD22" s="35">
        <f t="shared" si="94"/>
        <v>1.0686367034912108</v>
      </c>
      <c r="DE22" s="35">
        <f t="shared" si="95"/>
        <v>1.0686320304870605</v>
      </c>
      <c r="DF22" s="35">
        <f t="shared" si="96"/>
        <v>-1.8215363484230807E-7</v>
      </c>
      <c r="DG22" s="35">
        <f t="shared" si="97"/>
        <v>1.0686273574829102</v>
      </c>
      <c r="DH22" s="35">
        <f t="shared" si="98"/>
        <v>1.0686320304870605</v>
      </c>
      <c r="DI22" s="35">
        <f t="shared" si="99"/>
        <v>1.0686296939849853</v>
      </c>
      <c r="DJ22" s="35">
        <f t="shared" si="100"/>
        <v>1.3310134150401609E-6</v>
      </c>
      <c r="DK22" s="35">
        <f t="shared" si="101"/>
        <v>1.0686296939849853</v>
      </c>
      <c r="DL22" s="35">
        <f t="shared" si="102"/>
        <v>1.0686320304870605</v>
      </c>
      <c r="DM22" s="35">
        <f t="shared" si="103"/>
        <v>1.0686308622360228</v>
      </c>
      <c r="DN22" s="35">
        <f t="shared" si="104"/>
        <v>5.7442960277320765E-7</v>
      </c>
      <c r="DO22" s="35">
        <f t="shared" si="105"/>
        <v>1.0686308622360228</v>
      </c>
      <c r="DP22" s="35">
        <f t="shared" si="106"/>
        <v>1.0686320304870605</v>
      </c>
      <c r="DQ22" s="35">
        <f t="shared" si="107"/>
        <v>1.0686314463615416</v>
      </c>
      <c r="DR22" s="35">
        <f t="shared" si="108"/>
        <v>1.961379121340201E-7</v>
      </c>
      <c r="DS22" s="35">
        <f t="shared" si="109"/>
        <v>1.0686314463615416</v>
      </c>
      <c r="DT22" s="35">
        <f t="shared" si="110"/>
        <v>1.0686320304870605</v>
      </c>
      <c r="DU22" s="35">
        <f t="shared" si="111"/>
        <v>1.0686317384243011</v>
      </c>
      <c r="DV22" s="35">
        <f t="shared" si="112"/>
        <v>6.9921206602430175E-9</v>
      </c>
      <c r="DW22" s="35">
        <f t="shared" si="113"/>
        <v>1.0686317384243011</v>
      </c>
      <c r="DX22" s="35">
        <f t="shared" si="114"/>
        <v>1.0686320304870605</v>
      </c>
      <c r="DY22" s="35">
        <f t="shared" si="115"/>
        <v>1.0686318844556808</v>
      </c>
      <c r="DZ22" s="35">
        <f t="shared" si="116"/>
        <v>-8.7580761531924622E-8</v>
      </c>
      <c r="EA22" s="35">
        <f t="shared" si="117"/>
        <v>1.0686317384243011</v>
      </c>
      <c r="EB22" s="35">
        <f t="shared" si="118"/>
        <v>1.0686318844556808</v>
      </c>
      <c r="EC22" s="35">
        <f t="shared" si="119"/>
        <v>1.0686318114399911</v>
      </c>
      <c r="ED22" s="35">
        <f t="shared" si="120"/>
        <v>-4.029432165708613E-8</v>
      </c>
      <c r="EE22" s="35">
        <f t="shared" si="121"/>
        <v>1.0686317384243011</v>
      </c>
      <c r="EF22" s="35">
        <f t="shared" si="122"/>
        <v>1.0686318114399911</v>
      </c>
      <c r="EG22" s="35">
        <f t="shared" si="123"/>
        <v>1.0686317749321461</v>
      </c>
      <c r="EH22" s="35">
        <f t="shared" si="124"/>
        <v>-1.6651100720466161E-8</v>
      </c>
      <c r="EI22" s="35">
        <f t="shared" si="125"/>
        <v>1.0686317384243011</v>
      </c>
      <c r="EJ22" s="35">
        <f t="shared" si="126"/>
        <v>1.0686317749321461</v>
      </c>
      <c r="EK22" s="35">
        <f t="shared" si="127"/>
        <v>1.0686317566782235</v>
      </c>
      <c r="EL22" s="35">
        <f t="shared" si="128"/>
        <v>-4.8294900301115717E-9</v>
      </c>
      <c r="EM22" s="35">
        <f t="shared" si="129"/>
        <v>1.0686317384243011</v>
      </c>
      <c r="EN22" s="35">
        <f t="shared" si="130"/>
        <v>1.0686317566782235</v>
      </c>
      <c r="EO22" s="35">
        <f t="shared" si="131"/>
        <v>1.0686317475512623</v>
      </c>
      <c r="EP22" s="35">
        <f t="shared" si="132"/>
        <v>1.0813152595545716E-9</v>
      </c>
      <c r="EQ22" s="35">
        <f t="shared" si="133"/>
        <v>1.0686317475512623</v>
      </c>
      <c r="ER22" s="35">
        <f t="shared" si="134"/>
        <v>1.0686317566782235</v>
      </c>
      <c r="ES22" s="35">
        <f t="shared" si="135"/>
        <v>1.0686317521147428</v>
      </c>
      <c r="ET22" s="35">
        <f t="shared" si="136"/>
        <v>-1.8740873297673488E-9</v>
      </c>
      <c r="EU22" s="35">
        <f t="shared" si="137"/>
        <v>1.0686317475512623</v>
      </c>
      <c r="EV22" s="35">
        <f t="shared" si="138"/>
        <v>1.0686317521147428</v>
      </c>
      <c r="EW22" s="35">
        <f t="shared" si="139"/>
        <v>1.0686317498330027</v>
      </c>
      <c r="EX22" s="35">
        <f t="shared" si="140"/>
        <v>-3.9638603510638859E-10</v>
      </c>
      <c r="EY22" s="35">
        <f t="shared" si="141"/>
        <v>1.0686317475512623</v>
      </c>
      <c r="EZ22" s="35">
        <f t="shared" si="142"/>
        <v>1.0686317498330027</v>
      </c>
      <c r="FA22" s="10">
        <v>9.9999999999999995E-7</v>
      </c>
      <c r="FB22" s="10">
        <v>0.99990000000000001</v>
      </c>
      <c r="FC22" s="35">
        <f t="shared" si="143"/>
        <v>0.49995050000000002</v>
      </c>
      <c r="FD22" s="35">
        <f t="shared" si="144"/>
        <v>-0.24151146190266881</v>
      </c>
      <c r="FE22" s="35">
        <f t="shared" si="145"/>
        <v>9.9999999999999995E-7</v>
      </c>
      <c r="FF22" s="35">
        <f t="shared" si="146"/>
        <v>0.49995050000000002</v>
      </c>
      <c r="FG22" s="35">
        <f t="shared" si="147"/>
        <v>0.24997575</v>
      </c>
      <c r="FH22" s="35">
        <f t="shared" si="148"/>
        <v>-0.10643591268936592</v>
      </c>
      <c r="FI22" s="35">
        <f t="shared" si="149"/>
        <v>9.9999999999999995E-7</v>
      </c>
      <c r="FJ22" s="35">
        <f t="shared" si="150"/>
        <v>0.24997575</v>
      </c>
      <c r="FK22" s="35">
        <f t="shared" si="151"/>
        <v>0.124988375</v>
      </c>
      <c r="FL22" s="35">
        <f t="shared" si="152"/>
        <v>-4.0466733385815967E-2</v>
      </c>
      <c r="FM22" s="35">
        <f t="shared" si="153"/>
        <v>9.9999999999999995E-7</v>
      </c>
      <c r="FN22" s="35">
        <f t="shared" si="154"/>
        <v>0.124988375</v>
      </c>
      <c r="FO22" s="35">
        <f t="shared" si="155"/>
        <v>6.24946875E-2</v>
      </c>
      <c r="FP22" s="35">
        <f t="shared" si="156"/>
        <v>-8.5504120192351207E-3</v>
      </c>
      <c r="FQ22" s="35">
        <f t="shared" si="157"/>
        <v>9.9999999999999995E-7</v>
      </c>
      <c r="FR22" s="35">
        <f t="shared" si="158"/>
        <v>6.24946875E-2</v>
      </c>
      <c r="FS22" s="35">
        <f t="shared" si="159"/>
        <v>3.124784375E-2</v>
      </c>
      <c r="FT22" s="35">
        <f t="shared" si="160"/>
        <v>7.0800242070911956E-3</v>
      </c>
      <c r="FU22" s="35">
        <f t="shared" si="161"/>
        <v>3.124784375E-2</v>
      </c>
      <c r="FV22" s="35">
        <f t="shared" si="162"/>
        <v>6.24946875E-2</v>
      </c>
      <c r="FW22" s="35">
        <f t="shared" si="163"/>
        <v>4.6871265624999998E-2</v>
      </c>
      <c r="FX22" s="35">
        <f t="shared" si="164"/>
        <v>-7.06420005394226E-4</v>
      </c>
      <c r="FY22" s="35">
        <f t="shared" si="165"/>
        <v>3.124784375E-2</v>
      </c>
      <c r="FZ22" s="35">
        <f t="shared" si="166"/>
        <v>4.6871265624999998E-2</v>
      </c>
      <c r="GA22" s="35">
        <f t="shared" si="167"/>
        <v>3.9059554687499998E-2</v>
      </c>
      <c r="GB22" s="35">
        <f t="shared" si="168"/>
        <v>3.1940946901758416E-3</v>
      </c>
      <c r="GC22" s="35">
        <f t="shared" si="169"/>
        <v>3.9059554687499998E-2</v>
      </c>
      <c r="GD22" s="35">
        <f t="shared" si="170"/>
        <v>4.6871265624999998E-2</v>
      </c>
      <c r="GE22" s="35">
        <f t="shared" si="171"/>
        <v>4.2965410156249995E-2</v>
      </c>
      <c r="GF22" s="35">
        <f t="shared" si="172"/>
        <v>1.2456483981968525E-3</v>
      </c>
      <c r="GG22" s="35">
        <f t="shared" si="173"/>
        <v>4.2965410156249995E-2</v>
      </c>
      <c r="GH22" s="35">
        <f t="shared" si="174"/>
        <v>4.6871265624999998E-2</v>
      </c>
      <c r="GI22" s="35">
        <f t="shared" si="175"/>
        <v>4.4918337890624993E-2</v>
      </c>
      <c r="GJ22" s="35">
        <f t="shared" si="176"/>
        <v>2.7006542296659219E-4</v>
      </c>
      <c r="GK22" s="35">
        <f t="shared" si="177"/>
        <v>4.4918337890624993E-2</v>
      </c>
      <c r="GL22" s="35">
        <f t="shared" si="178"/>
        <v>4.6871265624999998E-2</v>
      </c>
      <c r="GM22" s="35">
        <f t="shared" si="179"/>
        <v>4.5894801757812492E-2</v>
      </c>
      <c r="GN22" s="35">
        <f t="shared" si="180"/>
        <v>-2.1806467837326426E-4</v>
      </c>
      <c r="GO22" s="35">
        <f t="shared" si="181"/>
        <v>4.4918337890624993E-2</v>
      </c>
      <c r="GP22" s="35">
        <f t="shared" si="182"/>
        <v>4.5894801757812492E-2</v>
      </c>
      <c r="GQ22" s="35">
        <f t="shared" si="183"/>
        <v>4.5406569824218743E-2</v>
      </c>
      <c r="GR22" s="35">
        <f t="shared" si="184"/>
        <v>2.6028549804602008E-5</v>
      </c>
      <c r="GS22" s="35">
        <f t="shared" si="185"/>
        <v>4.5406569824218743E-2</v>
      </c>
      <c r="GT22" s="35">
        <f t="shared" si="186"/>
        <v>4.5894801757812492E-2</v>
      </c>
      <c r="GU22" s="35">
        <f t="shared" si="187"/>
        <v>4.5650685791015617E-2</v>
      </c>
      <c r="GV22" s="35">
        <f t="shared" si="188"/>
        <v>-9.6011022939879176E-5</v>
      </c>
      <c r="GW22" s="35">
        <f t="shared" si="189"/>
        <v>4.5406569824218743E-2</v>
      </c>
      <c r="GX22" s="35">
        <f t="shared" si="190"/>
        <v>4.5650685791015617E-2</v>
      </c>
      <c r="GY22" s="35">
        <f t="shared" si="191"/>
        <v>4.5528627807617184E-2</v>
      </c>
      <c r="GZ22" s="35">
        <f t="shared" si="192"/>
        <v>-3.4989475852231777E-5</v>
      </c>
      <c r="HA22" s="35">
        <f t="shared" si="193"/>
        <v>4.5406569824218743E-2</v>
      </c>
      <c r="HB22" s="35">
        <f t="shared" si="194"/>
        <v>4.5528627807617184E-2</v>
      </c>
      <c r="HC22" s="35">
        <f t="shared" si="195"/>
        <v>4.5467598815917963E-2</v>
      </c>
      <c r="HD22" s="35">
        <f t="shared" si="196"/>
        <v>-4.4800227976260487E-6</v>
      </c>
      <c r="HE22" s="35">
        <f t="shared" si="197"/>
        <v>4.5406569824218743E-2</v>
      </c>
      <c r="HF22" s="35">
        <f t="shared" si="198"/>
        <v>4.5467598815917963E-2</v>
      </c>
      <c r="HG22" s="35">
        <f t="shared" si="199"/>
        <v>4.5437084320068349E-2</v>
      </c>
      <c r="HH22" s="35">
        <f t="shared" si="200"/>
        <v>1.0774373566224682E-5</v>
      </c>
      <c r="HI22" s="35">
        <f t="shared" si="201"/>
        <v>4.5437084320068349E-2</v>
      </c>
      <c r="HJ22" s="35">
        <f t="shared" si="202"/>
        <v>4.5467598815917963E-2</v>
      </c>
      <c r="HK22" s="35">
        <f t="shared" si="203"/>
        <v>4.545234156799316E-2</v>
      </c>
      <c r="HL22" s="35">
        <f t="shared" si="204"/>
        <v>3.1472028991785805E-6</v>
      </c>
      <c r="HM22" s="35">
        <f t="shared" si="205"/>
        <v>4.545234156799316E-2</v>
      </c>
      <c r="HN22" s="35">
        <f t="shared" si="206"/>
        <v>4.5467598815917963E-2</v>
      </c>
      <c r="HO22" s="35">
        <f t="shared" si="207"/>
        <v>4.5459970191955565E-2</v>
      </c>
      <c r="HP22" s="35">
        <f t="shared" si="208"/>
        <v>-6.6640307061494042E-7</v>
      </c>
      <c r="HQ22" s="35">
        <f t="shared" si="209"/>
        <v>4.545234156799316E-2</v>
      </c>
      <c r="HR22" s="35">
        <f t="shared" si="210"/>
        <v>4.5459970191955565E-2</v>
      </c>
      <c r="HS22" s="35">
        <f t="shared" si="211"/>
        <v>4.5456155879974362E-2</v>
      </c>
      <c r="HT22" s="35">
        <f t="shared" si="212"/>
        <v>1.2404016338507518E-6</v>
      </c>
      <c r="HU22" s="35">
        <f t="shared" si="213"/>
        <v>4.5456155879974362E-2</v>
      </c>
      <c r="HV22" s="35">
        <f t="shared" si="214"/>
        <v>4.5459970191955565E-2</v>
      </c>
      <c r="HW22" s="35">
        <f t="shared" si="215"/>
        <v>4.545806303596496E-2</v>
      </c>
      <c r="HX22" s="35">
        <f t="shared" si="216"/>
        <v>2.8699971155177195E-7</v>
      </c>
      <c r="HY22" s="35">
        <f t="shared" si="217"/>
        <v>4.545806303596496E-2</v>
      </c>
      <c r="HZ22" s="35">
        <f t="shared" si="218"/>
        <v>4.5459970191955565E-2</v>
      </c>
      <c r="IA22" s="35">
        <f t="shared" si="219"/>
        <v>4.5459016613960262E-2</v>
      </c>
      <c r="IB22" s="35">
        <f t="shared" si="220"/>
        <v>-1.897015720064843E-7</v>
      </c>
      <c r="IC22" s="35">
        <f t="shared" si="221"/>
        <v>4.545806303596496E-2</v>
      </c>
      <c r="ID22" s="35">
        <f t="shared" si="222"/>
        <v>4.5459016613960262E-2</v>
      </c>
      <c r="IE22" s="35">
        <f t="shared" si="223"/>
        <v>4.5458539824962611E-2</v>
      </c>
      <c r="IF22" s="35">
        <f t="shared" si="224"/>
        <v>4.8649096751063325E-8</v>
      </c>
      <c r="IG22" s="35">
        <f t="shared" si="225"/>
        <v>4.5458539824962611E-2</v>
      </c>
      <c r="IH22" s="35">
        <f t="shared" si="226"/>
        <v>4.5459016613960262E-2</v>
      </c>
      <c r="II22" s="35">
        <f t="shared" si="227"/>
        <v>4.545877821946144E-2</v>
      </c>
      <c r="IJ22" s="35">
        <f t="shared" si="228"/>
        <v>-7.0526230966372339E-8</v>
      </c>
      <c r="IK22" s="35">
        <f t="shared" si="229"/>
        <v>4.5458539824962611E-2</v>
      </c>
      <c r="IL22" s="35">
        <f t="shared" si="230"/>
        <v>4.545877821946144E-2</v>
      </c>
      <c r="IM22" s="35">
        <f t="shared" si="231"/>
        <v>4.5458659022212022E-2</v>
      </c>
      <c r="IN22" s="35">
        <f t="shared" si="232"/>
        <v>-1.0938565608853423E-8</v>
      </c>
      <c r="IO22" s="35">
        <f t="shared" si="233"/>
        <v>4.5458539824962611E-2</v>
      </c>
      <c r="IP22" s="35">
        <f t="shared" si="234"/>
        <v>4.5458659022212022E-2</v>
      </c>
      <c r="IQ22" s="35">
        <f t="shared" si="235"/>
        <v>4.545859942358732E-2</v>
      </c>
      <c r="IR22" s="35">
        <f t="shared" si="236"/>
        <v>1.8855266015194161E-8</v>
      </c>
      <c r="IS22" s="35">
        <f t="shared" si="237"/>
        <v>4.545859942358732E-2</v>
      </c>
      <c r="IT22" s="35">
        <f t="shared" si="238"/>
        <v>4.5458659022212022E-2</v>
      </c>
      <c r="IU22" s="35">
        <f t="shared" si="239"/>
        <v>4.5458629222899671E-2</v>
      </c>
      <c r="IV22" s="35">
        <f t="shared" si="240"/>
        <v>3.9583503141926712E-9</v>
      </c>
      <c r="IW22" s="35">
        <f t="shared" si="241"/>
        <v>4.5458629222899671E-2</v>
      </c>
      <c r="IX22" s="35">
        <f t="shared" si="242"/>
        <v>4.5458659022212022E-2</v>
      </c>
      <c r="IY22" s="35">
        <f t="shared" si="243"/>
        <v>4.5458644122555847E-2</v>
      </c>
      <c r="IZ22" s="35">
        <f t="shared" si="244"/>
        <v>-3.4901075363080736E-9</v>
      </c>
      <c r="JA22" s="35">
        <f t="shared" si="245"/>
        <v>4.5458629222899671E-2</v>
      </c>
      <c r="JB22" s="35">
        <f t="shared" si="246"/>
        <v>4.5458644122555847E-2</v>
      </c>
      <c r="JC22" s="35">
        <f t="shared" si="247"/>
        <v>4.5458636672727759E-2</v>
      </c>
      <c r="JD22" s="35">
        <f t="shared" si="248"/>
        <v>2.3412138894229884E-10</v>
      </c>
      <c r="JE22" s="35">
        <f t="shared" si="249"/>
        <v>4.5458636672727759E-2</v>
      </c>
      <c r="JF22" s="35">
        <f t="shared" si="250"/>
        <v>4.5458644122555847E-2</v>
      </c>
      <c r="JG22" s="35">
        <f t="shared" si="251"/>
        <v>4.5458640397641803E-2</v>
      </c>
      <c r="JH22" s="35">
        <f t="shared" si="252"/>
        <v>-1.6279930736828874E-9</v>
      </c>
      <c r="JI22" s="35">
        <f t="shared" si="253"/>
        <v>4.5458636672727759E-2</v>
      </c>
      <c r="JJ22" s="35">
        <f t="shared" si="254"/>
        <v>4.5458640397641803E-2</v>
      </c>
      <c r="JK22" s="35">
        <f t="shared" si="255"/>
        <v>4.5458638535184781E-2</v>
      </c>
      <c r="JL22" s="35">
        <f t="shared" si="256"/>
        <v>-6.9693584237029427E-10</v>
      </c>
      <c r="JM22" s="35">
        <f t="shared" si="257"/>
        <v>4.5458636672727759E-2</v>
      </c>
      <c r="JN22" s="35">
        <f t="shared" si="258"/>
        <v>4.5458638535184781E-2</v>
      </c>
      <c r="JO22" s="35">
        <f t="shared" si="259"/>
        <v>4.545863760395627E-2</v>
      </c>
      <c r="JP22" s="35">
        <f t="shared" si="260"/>
        <v>-2.3140722671399772E-10</v>
      </c>
      <c r="JQ22" s="35">
        <f t="shared" si="261"/>
        <v>4.5458636672727759E-2</v>
      </c>
      <c r="JR22" s="35">
        <f t="shared" si="262"/>
        <v>4.545863760395627E-2</v>
      </c>
      <c r="JS22" s="35">
        <f t="shared" si="263"/>
        <v>4.5458637138342015E-2</v>
      </c>
      <c r="JT22" s="35">
        <f t="shared" si="264"/>
        <v>1.3571366253017914E-12</v>
      </c>
      <c r="JU22" s="35">
        <f t="shared" si="265"/>
        <v>4.5458637138342015E-2</v>
      </c>
      <c r="JV22" s="35">
        <f t="shared" si="266"/>
        <v>4.545863760395627E-2</v>
      </c>
      <c r="JW22" s="35">
        <f t="shared" si="267"/>
        <v>4.5458637371149142E-2</v>
      </c>
      <c r="JX22" s="35">
        <f t="shared" si="268"/>
        <v>-1.1502510055549919E-10</v>
      </c>
      <c r="JY22" s="35">
        <f t="shared" si="269"/>
        <v>4.5458637138342015E-2</v>
      </c>
      <c r="JZ22" s="35">
        <f t="shared" si="270"/>
        <v>4.5458637371149142E-2</v>
      </c>
      <c r="KA22" s="35">
        <f t="shared" si="271"/>
        <v>1.0686317486921326</v>
      </c>
      <c r="KB22" s="35">
        <f t="shared" si="272"/>
        <v>4.5458637254745582E-2</v>
      </c>
    </row>
    <row r="23" spans="1:288" ht="15" customHeight="1" x14ac:dyDescent="0.3">
      <c r="A23" s="30">
        <f>Odds_Input!A23</f>
        <v>15</v>
      </c>
      <c r="B23" s="7" t="str">
        <f>Odds_Input!B23</f>
        <v>TITLE</v>
      </c>
      <c r="C23" s="7" t="str">
        <f>Odds_Input!C23</f>
        <v>Miami Heat</v>
      </c>
      <c r="D23" s="7" t="str">
        <f>Odds_Input!D23</f>
        <v>YES</v>
      </c>
      <c r="E23" s="31" t="str">
        <f>Odds_Input!E23</f>
        <v>-</v>
      </c>
      <c r="F23" s="32">
        <f>Odds_Input!F23</f>
        <v>2900</v>
      </c>
      <c r="G23" s="6" t="str">
        <f t="shared" si="0"/>
        <v>TITLE</v>
      </c>
      <c r="H23" s="14">
        <f t="shared" si="1"/>
        <v>30</v>
      </c>
      <c r="I23" s="33">
        <f t="shared" si="2"/>
        <v>3.3333333333333333E-2</v>
      </c>
      <c r="J23" s="17">
        <f t="shared" si="3"/>
        <v>1</v>
      </c>
      <c r="K23" s="17">
        <f t="shared" si="4"/>
        <v>30</v>
      </c>
      <c r="L23" s="18">
        <f t="shared" si="5"/>
        <v>1.252565192422864</v>
      </c>
      <c r="M23" s="34">
        <f t="shared" si="6"/>
        <v>0.25256519242286402</v>
      </c>
      <c r="N23" s="33">
        <f t="shared" si="7"/>
        <v>2.6612054633943599E-2</v>
      </c>
      <c r="O23" s="33">
        <f t="shared" si="8"/>
        <v>2.3786233312381704E-2</v>
      </c>
      <c r="P23" s="33">
        <f t="shared" si="9"/>
        <v>2.4878720982614358E-2</v>
      </c>
      <c r="Q23" s="33">
        <f t="shared" si="10"/>
        <v>2.4878720982614358E-2</v>
      </c>
      <c r="R23" s="35">
        <f t="shared" si="11"/>
        <v>1.0992153287166726</v>
      </c>
      <c r="S23" s="35">
        <f t="shared" si="12"/>
        <v>1.1051948455485863E-2</v>
      </c>
      <c r="X23" s="6" t="s">
        <v>798</v>
      </c>
      <c r="Y23" s="6">
        <f t="shared" si="13"/>
        <v>1</v>
      </c>
      <c r="Z23" s="18">
        <f t="shared" si="14"/>
        <v>1.0433604336043361</v>
      </c>
      <c r="AA23" s="10">
        <v>0.2</v>
      </c>
      <c r="AB23" s="10">
        <v>10</v>
      </c>
      <c r="AC23" s="35">
        <f t="shared" si="15"/>
        <v>5.0999999999999996</v>
      </c>
      <c r="AD23" s="35">
        <f t="shared" si="16"/>
        <v>-0.92439165644795407</v>
      </c>
      <c r="AE23" s="35">
        <f t="shared" si="17"/>
        <v>0.2</v>
      </c>
      <c r="AF23" s="35">
        <f t="shared" si="18"/>
        <v>5.0999999999999996</v>
      </c>
      <c r="AG23" s="35">
        <f t="shared" si="19"/>
        <v>2.65</v>
      </c>
      <c r="AH23" s="35">
        <f t="shared" si="20"/>
        <v>-0.64013762771461891</v>
      </c>
      <c r="AI23" s="35">
        <f t="shared" si="21"/>
        <v>0.2</v>
      </c>
      <c r="AJ23" s="35">
        <f t="shared" si="22"/>
        <v>2.65</v>
      </c>
      <c r="AK23" s="35">
        <f t="shared" si="23"/>
        <v>1.425</v>
      </c>
      <c r="AL23" s="35">
        <f t="shared" si="24"/>
        <v>-0.207707469276325</v>
      </c>
      <c r="AM23" s="35">
        <f t="shared" si="25"/>
        <v>0.2</v>
      </c>
      <c r="AN23" s="35">
        <f t="shared" si="26"/>
        <v>1.425</v>
      </c>
      <c r="AO23" s="35">
        <f t="shared" si="27"/>
        <v>0.8125</v>
      </c>
      <c r="AP23" s="35">
        <f t="shared" si="28"/>
        <v>0.17836926434639722</v>
      </c>
      <c r="AQ23" s="35">
        <f t="shared" si="29"/>
        <v>0.8125</v>
      </c>
      <c r="AR23" s="35">
        <f t="shared" si="30"/>
        <v>1.425</v>
      </c>
      <c r="AS23" s="35">
        <f t="shared" si="31"/>
        <v>1.1187499999999999</v>
      </c>
      <c r="AT23" s="35">
        <f t="shared" si="32"/>
        <v>-3.3953955076346354E-2</v>
      </c>
      <c r="AU23" s="35">
        <f t="shared" si="33"/>
        <v>0.8125</v>
      </c>
      <c r="AV23" s="35">
        <f t="shared" si="34"/>
        <v>1.1187499999999999</v>
      </c>
      <c r="AW23" s="35">
        <f t="shared" si="35"/>
        <v>0.96562499999999996</v>
      </c>
      <c r="AX23" s="35">
        <f t="shared" si="36"/>
        <v>6.6886383413200523E-2</v>
      </c>
      <c r="AY23" s="35">
        <f t="shared" si="37"/>
        <v>0.96562499999999996</v>
      </c>
      <c r="AZ23" s="35">
        <f t="shared" si="38"/>
        <v>1.1187499999999999</v>
      </c>
      <c r="BA23" s="35">
        <f t="shared" si="39"/>
        <v>1.0421874999999998</v>
      </c>
      <c r="BB23" s="35">
        <f t="shared" si="40"/>
        <v>1.5202414329130054E-2</v>
      </c>
      <c r="BC23" s="35">
        <f t="shared" si="41"/>
        <v>1.0421874999999998</v>
      </c>
      <c r="BD23" s="35">
        <f t="shared" si="42"/>
        <v>1.1187499999999999</v>
      </c>
      <c r="BE23" s="35">
        <f t="shared" si="43"/>
        <v>1.0804687499999999</v>
      </c>
      <c r="BF23" s="35">
        <f t="shared" si="44"/>
        <v>-9.6837727905547677E-3</v>
      </c>
      <c r="BG23" s="35">
        <f t="shared" si="45"/>
        <v>1.0421874999999998</v>
      </c>
      <c r="BH23" s="35">
        <f t="shared" si="46"/>
        <v>1.0804687499999999</v>
      </c>
      <c r="BI23" s="35">
        <f t="shared" si="47"/>
        <v>1.0613281249999997</v>
      </c>
      <c r="BJ23" s="35">
        <f t="shared" si="48"/>
        <v>2.681342569118339E-3</v>
      </c>
      <c r="BK23" s="35">
        <f t="shared" si="49"/>
        <v>1.0613281249999997</v>
      </c>
      <c r="BL23" s="35">
        <f t="shared" si="50"/>
        <v>1.0804687499999999</v>
      </c>
      <c r="BM23" s="35">
        <f t="shared" si="51"/>
        <v>1.0708984374999999</v>
      </c>
      <c r="BN23" s="35">
        <f t="shared" si="52"/>
        <v>-3.5205864848550927E-3</v>
      </c>
      <c r="BO23" s="35">
        <f t="shared" si="53"/>
        <v>1.0613281249999997</v>
      </c>
      <c r="BP23" s="35">
        <f t="shared" si="54"/>
        <v>1.0708984374999999</v>
      </c>
      <c r="BQ23" s="35">
        <f t="shared" si="55"/>
        <v>1.0661132812499998</v>
      </c>
      <c r="BR23" s="35">
        <f t="shared" si="56"/>
        <v>-4.2448013693174858E-4</v>
      </c>
      <c r="BS23" s="35">
        <f t="shared" si="57"/>
        <v>1.0613281249999997</v>
      </c>
      <c r="BT23" s="35">
        <f t="shared" si="58"/>
        <v>1.0661132812499998</v>
      </c>
      <c r="BU23" s="35">
        <f t="shared" si="59"/>
        <v>1.0637207031249998</v>
      </c>
      <c r="BV23" s="35">
        <f t="shared" si="60"/>
        <v>1.127214749024219E-3</v>
      </c>
      <c r="BW23" s="35">
        <f t="shared" si="61"/>
        <v>1.0637207031249998</v>
      </c>
      <c r="BX23" s="35">
        <f t="shared" si="62"/>
        <v>1.0661132812499998</v>
      </c>
      <c r="BY23" s="35">
        <f t="shared" si="63"/>
        <v>1.0649169921874999</v>
      </c>
      <c r="BZ23" s="35">
        <f t="shared" si="64"/>
        <v>3.5106342980673055E-4</v>
      </c>
      <c r="CA23" s="35">
        <f t="shared" si="65"/>
        <v>1.0649169921874999</v>
      </c>
      <c r="CB23" s="35">
        <f t="shared" si="66"/>
        <v>1.0661132812499998</v>
      </c>
      <c r="CC23" s="35">
        <f t="shared" si="67"/>
        <v>1.0655151367187499</v>
      </c>
      <c r="CD23" s="35">
        <f t="shared" si="68"/>
        <v>-3.6784292577363153E-5</v>
      </c>
      <c r="CE23" s="35">
        <f t="shared" si="69"/>
        <v>1.0649169921874999</v>
      </c>
      <c r="CF23" s="35">
        <f t="shared" si="70"/>
        <v>1.0655151367187499</v>
      </c>
      <c r="CG23" s="35">
        <f t="shared" si="71"/>
        <v>1.065216064453125</v>
      </c>
      <c r="CH23" s="35">
        <f t="shared" si="72"/>
        <v>1.5712058010630692E-4</v>
      </c>
      <c r="CI23" s="35">
        <f t="shared" si="73"/>
        <v>1.065216064453125</v>
      </c>
      <c r="CJ23" s="35">
        <f t="shared" si="74"/>
        <v>1.0655151367187499</v>
      </c>
      <c r="CK23" s="35">
        <f t="shared" si="75"/>
        <v>1.0653656005859373</v>
      </c>
      <c r="CL23" s="35">
        <f t="shared" si="76"/>
        <v>6.0163397106904881E-5</v>
      </c>
      <c r="CM23" s="35">
        <f t="shared" si="77"/>
        <v>1.0653656005859373</v>
      </c>
      <c r="CN23" s="35">
        <f t="shared" si="78"/>
        <v>1.0655151367187499</v>
      </c>
      <c r="CO23" s="35">
        <f t="shared" si="79"/>
        <v>1.0654403686523435</v>
      </c>
      <c r="CP23" s="35">
        <f t="shared" si="80"/>
        <v>1.1688365659123789E-5</v>
      </c>
      <c r="CQ23" s="35">
        <f t="shared" si="81"/>
        <v>1.0654403686523435</v>
      </c>
      <c r="CR23" s="35">
        <f t="shared" si="82"/>
        <v>1.0655151367187499</v>
      </c>
      <c r="CS23" s="35">
        <f t="shared" si="83"/>
        <v>1.0654777526855468</v>
      </c>
      <c r="CT23" s="35">
        <f t="shared" si="84"/>
        <v>-1.2548260103328879E-5</v>
      </c>
      <c r="CU23" s="35">
        <f t="shared" si="85"/>
        <v>1.0654403686523435</v>
      </c>
      <c r="CV23" s="35">
        <f t="shared" si="86"/>
        <v>1.0654777526855468</v>
      </c>
      <c r="CW23" s="35">
        <f t="shared" si="87"/>
        <v>1.0654590606689451</v>
      </c>
      <c r="CX23" s="35">
        <f t="shared" si="88"/>
        <v>-4.3002138416792235E-7</v>
      </c>
      <c r="CY23" s="35">
        <f t="shared" si="89"/>
        <v>1.0654403686523435</v>
      </c>
      <c r="CZ23" s="35">
        <f t="shared" si="90"/>
        <v>1.0654590606689451</v>
      </c>
      <c r="DA23" s="35">
        <f t="shared" si="91"/>
        <v>1.0654497146606443</v>
      </c>
      <c r="DB23" s="35">
        <f t="shared" si="92"/>
        <v>5.6291535970309781E-6</v>
      </c>
      <c r="DC23" s="35">
        <f t="shared" si="93"/>
        <v>1.0654497146606443</v>
      </c>
      <c r="DD23" s="35">
        <f t="shared" si="94"/>
        <v>1.0654590606689451</v>
      </c>
      <c r="DE23" s="35">
        <f t="shared" si="95"/>
        <v>1.0654543876647948</v>
      </c>
      <c r="DF23" s="35">
        <f t="shared" si="96"/>
        <v>2.5995614711948889E-6</v>
      </c>
      <c r="DG23" s="35">
        <f t="shared" si="97"/>
        <v>1.0654543876647948</v>
      </c>
      <c r="DH23" s="35">
        <f t="shared" si="98"/>
        <v>1.0654590606689451</v>
      </c>
      <c r="DI23" s="35">
        <f t="shared" si="99"/>
        <v>1.06545672416687</v>
      </c>
      <c r="DJ23" s="35">
        <f t="shared" si="100"/>
        <v>1.0847688847182013E-6</v>
      </c>
      <c r="DK23" s="35">
        <f t="shared" si="101"/>
        <v>1.06545672416687</v>
      </c>
      <c r="DL23" s="35">
        <f t="shared" si="102"/>
        <v>1.0654590606689451</v>
      </c>
      <c r="DM23" s="35">
        <f t="shared" si="103"/>
        <v>1.0654578924179074</v>
      </c>
      <c r="DN23" s="35">
        <f t="shared" si="104"/>
        <v>3.2737346078448581E-7</v>
      </c>
      <c r="DO23" s="35">
        <f t="shared" si="105"/>
        <v>1.0654578924179074</v>
      </c>
      <c r="DP23" s="35">
        <f t="shared" si="106"/>
        <v>1.0654590606689451</v>
      </c>
      <c r="DQ23" s="35">
        <f t="shared" si="107"/>
        <v>1.0654584765434263</v>
      </c>
      <c r="DR23" s="35">
        <f t="shared" si="108"/>
        <v>-5.1324034133770624E-8</v>
      </c>
      <c r="DS23" s="35">
        <f t="shared" si="109"/>
        <v>1.0654578924179074</v>
      </c>
      <c r="DT23" s="35">
        <f t="shared" si="110"/>
        <v>1.0654584765434263</v>
      </c>
      <c r="DU23" s="35">
        <f t="shared" si="111"/>
        <v>1.0654581844806668</v>
      </c>
      <c r="DV23" s="35">
        <f t="shared" si="112"/>
        <v>1.3802469522872229E-7</v>
      </c>
      <c r="DW23" s="35">
        <f t="shared" si="113"/>
        <v>1.0654581844806668</v>
      </c>
      <c r="DX23" s="35">
        <f t="shared" si="114"/>
        <v>1.0654584765434263</v>
      </c>
      <c r="DY23" s="35">
        <f t="shared" si="115"/>
        <v>1.0654583305120466</v>
      </c>
      <c r="DZ23" s="35">
        <f t="shared" si="116"/>
        <v>4.3350325995561434E-8</v>
      </c>
      <c r="EA23" s="35">
        <f t="shared" si="117"/>
        <v>1.0654583305120466</v>
      </c>
      <c r="EB23" s="35">
        <f t="shared" si="118"/>
        <v>1.0654584765434263</v>
      </c>
      <c r="EC23" s="35">
        <f t="shared" si="119"/>
        <v>1.0654584035277366</v>
      </c>
      <c r="ED23" s="35">
        <f t="shared" si="120"/>
        <v>-3.9868552903499221E-9</v>
      </c>
      <c r="EE23" s="35">
        <f t="shared" si="121"/>
        <v>1.0654583305120466</v>
      </c>
      <c r="EF23" s="35">
        <f t="shared" si="122"/>
        <v>1.0654584035277366</v>
      </c>
      <c r="EG23" s="35">
        <f t="shared" si="123"/>
        <v>1.0654583670198916</v>
      </c>
      <c r="EH23" s="35">
        <f t="shared" si="124"/>
        <v>1.9681735130561151E-8</v>
      </c>
      <c r="EI23" s="35">
        <f t="shared" si="125"/>
        <v>1.0654583670198916</v>
      </c>
      <c r="EJ23" s="35">
        <f t="shared" si="126"/>
        <v>1.0654584035277366</v>
      </c>
      <c r="EK23" s="35">
        <f t="shared" si="127"/>
        <v>1.0654583852738142</v>
      </c>
      <c r="EL23" s="35">
        <f t="shared" si="128"/>
        <v>7.847439809083312E-9</v>
      </c>
      <c r="EM23" s="35">
        <f t="shared" si="129"/>
        <v>1.0654583852738142</v>
      </c>
      <c r="EN23" s="35">
        <f t="shared" si="130"/>
        <v>1.0654584035277366</v>
      </c>
      <c r="EO23" s="35">
        <f t="shared" si="131"/>
        <v>1.0654583944007754</v>
      </c>
      <c r="EP23" s="35">
        <f t="shared" si="132"/>
        <v>1.9302921483443924E-9</v>
      </c>
      <c r="EQ23" s="35">
        <f t="shared" si="133"/>
        <v>1.0654583944007754</v>
      </c>
      <c r="ER23" s="35">
        <f t="shared" si="134"/>
        <v>1.0654584035277366</v>
      </c>
      <c r="ES23" s="35">
        <f t="shared" si="135"/>
        <v>1.0654583989642559</v>
      </c>
      <c r="ET23" s="35">
        <f t="shared" si="136"/>
        <v>-1.0282814599804624E-9</v>
      </c>
      <c r="EU23" s="35">
        <f t="shared" si="137"/>
        <v>1.0654583944007754</v>
      </c>
      <c r="EV23" s="35">
        <f t="shared" si="138"/>
        <v>1.0654583989642559</v>
      </c>
      <c r="EW23" s="35">
        <f t="shared" si="139"/>
        <v>1.0654583966825157</v>
      </c>
      <c r="EX23" s="35">
        <f t="shared" si="140"/>
        <v>4.5100545520426749E-10</v>
      </c>
      <c r="EY23" s="35">
        <f t="shared" si="141"/>
        <v>1.0654583966825157</v>
      </c>
      <c r="EZ23" s="35">
        <f t="shared" si="142"/>
        <v>1.0654583989642559</v>
      </c>
      <c r="FA23" s="10">
        <v>9.9999999999999995E-7</v>
      </c>
      <c r="FB23" s="10">
        <v>0.99990000000000001</v>
      </c>
      <c r="FC23" s="35">
        <f t="shared" si="143"/>
        <v>0.49995050000000002</v>
      </c>
      <c r="FD23" s="35">
        <f t="shared" si="144"/>
        <v>-0.24225442311361345</v>
      </c>
      <c r="FE23" s="35">
        <f t="shared" si="145"/>
        <v>9.9999999999999995E-7</v>
      </c>
      <c r="FF23" s="35">
        <f t="shared" si="146"/>
        <v>0.49995050000000002</v>
      </c>
      <c r="FG23" s="35">
        <f t="shared" si="147"/>
        <v>0.24997575</v>
      </c>
      <c r="FH23" s="35">
        <f t="shared" si="148"/>
        <v>-0.10747622360140519</v>
      </c>
      <c r="FI23" s="35">
        <f t="shared" si="149"/>
        <v>9.9999999999999995E-7</v>
      </c>
      <c r="FJ23" s="35">
        <f t="shared" si="150"/>
        <v>0.24997575</v>
      </c>
      <c r="FK23" s="35">
        <f t="shared" si="151"/>
        <v>0.124988375</v>
      </c>
      <c r="FL23" s="35">
        <f t="shared" si="152"/>
        <v>-4.1531448951261152E-2</v>
      </c>
      <c r="FM23" s="35">
        <f t="shared" si="153"/>
        <v>9.9999999999999995E-7</v>
      </c>
      <c r="FN23" s="35">
        <f t="shared" si="154"/>
        <v>0.124988375</v>
      </c>
      <c r="FO23" s="35">
        <f t="shared" si="155"/>
        <v>6.24946875E-2</v>
      </c>
      <c r="FP23" s="35">
        <f t="shared" si="156"/>
        <v>-9.6015564214432247E-3</v>
      </c>
      <c r="FQ23" s="35">
        <f t="shared" si="157"/>
        <v>9.9999999999999995E-7</v>
      </c>
      <c r="FR23" s="35">
        <f t="shared" si="158"/>
        <v>6.24946875E-2</v>
      </c>
      <c r="FS23" s="35">
        <f t="shared" si="159"/>
        <v>3.124784375E-2</v>
      </c>
      <c r="FT23" s="35">
        <f t="shared" si="160"/>
        <v>6.0407516213261125E-3</v>
      </c>
      <c r="FU23" s="35">
        <f t="shared" si="161"/>
        <v>3.124784375E-2</v>
      </c>
      <c r="FV23" s="35">
        <f t="shared" si="162"/>
        <v>6.24946875E-2</v>
      </c>
      <c r="FW23" s="35">
        <f t="shared" si="163"/>
        <v>4.6871265624999998E-2</v>
      </c>
      <c r="FX23" s="35">
        <f t="shared" si="164"/>
        <v>-1.7520096273285768E-3</v>
      </c>
      <c r="FY23" s="35">
        <f t="shared" si="165"/>
        <v>3.124784375E-2</v>
      </c>
      <c r="FZ23" s="35">
        <f t="shared" si="166"/>
        <v>4.6871265624999998E-2</v>
      </c>
      <c r="GA23" s="35">
        <f t="shared" si="167"/>
        <v>3.9059554687499998E-2</v>
      </c>
      <c r="GB23" s="35">
        <f t="shared" si="168"/>
        <v>2.1515714985638201E-3</v>
      </c>
      <c r="GC23" s="35">
        <f t="shared" si="169"/>
        <v>3.9059554687499998E-2</v>
      </c>
      <c r="GD23" s="35">
        <f t="shared" si="170"/>
        <v>4.6871265624999998E-2</v>
      </c>
      <c r="GE23" s="35">
        <f t="shared" si="171"/>
        <v>4.2965410156249995E-2</v>
      </c>
      <c r="GF23" s="35">
        <f t="shared" si="172"/>
        <v>2.0156857126796268E-4</v>
      </c>
      <c r="GG23" s="35">
        <f t="shared" si="173"/>
        <v>4.2965410156249995E-2</v>
      </c>
      <c r="GH23" s="35">
        <f t="shared" si="174"/>
        <v>4.6871265624999998E-2</v>
      </c>
      <c r="GI23" s="35">
        <f t="shared" si="175"/>
        <v>4.4918337890624993E-2</v>
      </c>
      <c r="GJ23" s="35">
        <f t="shared" si="176"/>
        <v>-7.7477520638735697E-4</v>
      </c>
      <c r="GK23" s="35">
        <f t="shared" si="177"/>
        <v>4.2965410156249995E-2</v>
      </c>
      <c r="GL23" s="35">
        <f t="shared" si="178"/>
        <v>4.4918337890624993E-2</v>
      </c>
      <c r="GM23" s="35">
        <f t="shared" si="179"/>
        <v>4.3941874023437494E-2</v>
      </c>
      <c r="GN23" s="35">
        <f t="shared" si="180"/>
        <v>-2.8649178757422789E-4</v>
      </c>
      <c r="GO23" s="35">
        <f t="shared" si="181"/>
        <v>4.2965410156249995E-2</v>
      </c>
      <c r="GP23" s="35">
        <f t="shared" si="182"/>
        <v>4.3941874023437494E-2</v>
      </c>
      <c r="GQ23" s="35">
        <f t="shared" si="183"/>
        <v>4.3453642089843744E-2</v>
      </c>
      <c r="GR23" s="35">
        <f t="shared" si="184"/>
        <v>-4.2433700812027908E-5</v>
      </c>
      <c r="GS23" s="35">
        <f t="shared" si="185"/>
        <v>4.2965410156249995E-2</v>
      </c>
      <c r="GT23" s="35">
        <f t="shared" si="186"/>
        <v>4.3453642089843744E-2</v>
      </c>
      <c r="GU23" s="35">
        <f t="shared" si="187"/>
        <v>4.3209526123046869E-2</v>
      </c>
      <c r="GV23" s="35">
        <f t="shared" si="188"/>
        <v>7.95744151622646E-5</v>
      </c>
      <c r="GW23" s="35">
        <f t="shared" si="189"/>
        <v>4.3209526123046869E-2</v>
      </c>
      <c r="GX23" s="35">
        <f t="shared" si="190"/>
        <v>4.3453642089843744E-2</v>
      </c>
      <c r="GY23" s="35">
        <f t="shared" si="191"/>
        <v>4.3331584106445303E-2</v>
      </c>
      <c r="GZ23" s="35">
        <f t="shared" si="192"/>
        <v>1.8572101771807681E-5</v>
      </c>
      <c r="HA23" s="35">
        <f t="shared" si="193"/>
        <v>4.3331584106445303E-2</v>
      </c>
      <c r="HB23" s="35">
        <f t="shared" si="194"/>
        <v>4.3453642089843744E-2</v>
      </c>
      <c r="HC23" s="35">
        <f t="shared" si="195"/>
        <v>4.3392613098144524E-2</v>
      </c>
      <c r="HD23" s="35">
        <f t="shared" si="196"/>
        <v>-1.1930363419287993E-5</v>
      </c>
      <c r="HE23" s="35">
        <f t="shared" si="197"/>
        <v>4.3331584106445303E-2</v>
      </c>
      <c r="HF23" s="35">
        <f t="shared" si="198"/>
        <v>4.3392613098144524E-2</v>
      </c>
      <c r="HG23" s="35">
        <f t="shared" si="199"/>
        <v>4.336209860229491E-2</v>
      </c>
      <c r="HH23" s="35">
        <f t="shared" si="200"/>
        <v>3.3209782073218008E-6</v>
      </c>
      <c r="HI23" s="35">
        <f t="shared" si="201"/>
        <v>4.336209860229491E-2</v>
      </c>
      <c r="HJ23" s="35">
        <f t="shared" si="202"/>
        <v>4.3392613098144524E-2</v>
      </c>
      <c r="HK23" s="35">
        <f t="shared" si="203"/>
        <v>4.337735585021972E-2</v>
      </c>
      <c r="HL23" s="35">
        <f t="shared" si="204"/>
        <v>-4.3046653489531295E-6</v>
      </c>
      <c r="HM23" s="35">
        <f t="shared" si="205"/>
        <v>4.336209860229491E-2</v>
      </c>
      <c r="HN23" s="35">
        <f t="shared" si="206"/>
        <v>4.337735585021972E-2</v>
      </c>
      <c r="HO23" s="35">
        <f t="shared" si="207"/>
        <v>4.3369727226257315E-2</v>
      </c>
      <c r="HP23" s="35">
        <f t="shared" si="208"/>
        <v>-4.9183675654429493E-7</v>
      </c>
      <c r="HQ23" s="35">
        <f t="shared" si="209"/>
        <v>4.336209860229491E-2</v>
      </c>
      <c r="HR23" s="35">
        <f t="shared" si="210"/>
        <v>4.3369727226257315E-2</v>
      </c>
      <c r="HS23" s="35">
        <f t="shared" si="211"/>
        <v>4.3365912914276113E-2</v>
      </c>
      <c r="HT23" s="35">
        <f t="shared" si="212"/>
        <v>1.4145724289704731E-6</v>
      </c>
      <c r="HU23" s="35">
        <f t="shared" si="213"/>
        <v>4.3365912914276113E-2</v>
      </c>
      <c r="HV23" s="35">
        <f t="shared" si="214"/>
        <v>4.3369727226257315E-2</v>
      </c>
      <c r="HW23" s="35">
        <f t="shared" si="215"/>
        <v>4.336782007026671E-2</v>
      </c>
      <c r="HX23" s="35">
        <f t="shared" si="216"/>
        <v>4.6136826203913017E-7</v>
      </c>
      <c r="HY23" s="35">
        <f t="shared" si="217"/>
        <v>4.336782007026671E-2</v>
      </c>
      <c r="HZ23" s="35">
        <f t="shared" si="218"/>
        <v>4.3369727226257315E-2</v>
      </c>
      <c r="IA23" s="35">
        <f t="shared" si="219"/>
        <v>4.3368773648262013E-2</v>
      </c>
      <c r="IB23" s="35">
        <f t="shared" si="220"/>
        <v>-1.5234140615660863E-8</v>
      </c>
      <c r="IC23" s="35">
        <f t="shared" si="221"/>
        <v>4.336782007026671E-2</v>
      </c>
      <c r="ID23" s="35">
        <f t="shared" si="222"/>
        <v>4.3368773648262013E-2</v>
      </c>
      <c r="IE23" s="35">
        <f t="shared" si="223"/>
        <v>4.3368296859264362E-2</v>
      </c>
      <c r="IF23" s="35">
        <f t="shared" si="224"/>
        <v>2.2306708724606494E-7</v>
      </c>
      <c r="IG23" s="35">
        <f t="shared" si="225"/>
        <v>4.3368296859264362E-2</v>
      </c>
      <c r="IH23" s="35">
        <f t="shared" si="226"/>
        <v>4.3368773648262013E-2</v>
      </c>
      <c r="II23" s="35">
        <f t="shared" si="227"/>
        <v>4.3368535253763191E-2</v>
      </c>
      <c r="IJ23" s="35">
        <f t="shared" si="228"/>
        <v>1.0391648008756249E-7</v>
      </c>
      <c r="IK23" s="35">
        <f t="shared" si="229"/>
        <v>4.3368535253763191E-2</v>
      </c>
      <c r="IL23" s="35">
        <f t="shared" si="230"/>
        <v>4.3368773648262013E-2</v>
      </c>
      <c r="IM23" s="35">
        <f t="shared" si="231"/>
        <v>4.3368654451012602E-2</v>
      </c>
      <c r="IN23" s="35">
        <f t="shared" si="232"/>
        <v>4.4341171179240746E-8</v>
      </c>
      <c r="IO23" s="35">
        <f t="shared" si="233"/>
        <v>4.3368654451012602E-2</v>
      </c>
      <c r="IP23" s="35">
        <f t="shared" si="234"/>
        <v>4.3368773648262013E-2</v>
      </c>
      <c r="IQ23" s="35">
        <f t="shared" si="235"/>
        <v>4.3368714049637311E-2</v>
      </c>
      <c r="IR23" s="35">
        <f t="shared" si="236"/>
        <v>1.4553515947923756E-8</v>
      </c>
      <c r="IS23" s="35">
        <f t="shared" si="237"/>
        <v>4.3368714049637311E-2</v>
      </c>
      <c r="IT23" s="35">
        <f t="shared" si="238"/>
        <v>4.3368773648262013E-2</v>
      </c>
      <c r="IU23" s="35">
        <f t="shared" si="239"/>
        <v>4.3368743848949662E-2</v>
      </c>
      <c r="IV23" s="35">
        <f t="shared" si="240"/>
        <v>-3.4031222284625073E-10</v>
      </c>
      <c r="IW23" s="35">
        <f t="shared" si="241"/>
        <v>4.3368714049637311E-2</v>
      </c>
      <c r="IX23" s="35">
        <f t="shared" si="242"/>
        <v>4.3368743848949662E-2</v>
      </c>
      <c r="IY23" s="35">
        <f t="shared" si="243"/>
        <v>4.3368728949293486E-2</v>
      </c>
      <c r="IZ23" s="35">
        <f t="shared" si="244"/>
        <v>7.1066017515164503E-9</v>
      </c>
      <c r="JA23" s="35">
        <f t="shared" si="245"/>
        <v>4.3368728949293486E-2</v>
      </c>
      <c r="JB23" s="35">
        <f t="shared" si="246"/>
        <v>4.3368743848949662E-2</v>
      </c>
      <c r="JC23" s="35">
        <f t="shared" si="247"/>
        <v>4.3368736399121574E-2</v>
      </c>
      <c r="JD23" s="35">
        <f t="shared" si="248"/>
        <v>3.3831446533127973E-9</v>
      </c>
      <c r="JE23" s="35">
        <f t="shared" si="249"/>
        <v>4.3368736399121574E-2</v>
      </c>
      <c r="JF23" s="35">
        <f t="shared" si="250"/>
        <v>4.3368743848949662E-2</v>
      </c>
      <c r="JG23" s="35">
        <f t="shared" si="251"/>
        <v>4.3368740124035618E-2</v>
      </c>
      <c r="JH23" s="35">
        <f t="shared" si="252"/>
        <v>1.5214161042109708E-9</v>
      </c>
      <c r="JI23" s="35">
        <f t="shared" si="253"/>
        <v>4.3368740124035618E-2</v>
      </c>
      <c r="JJ23" s="35">
        <f t="shared" si="254"/>
        <v>4.3368743848949662E-2</v>
      </c>
      <c r="JK23" s="35">
        <f t="shared" si="255"/>
        <v>4.336874198649264E-2</v>
      </c>
      <c r="JL23" s="35">
        <f t="shared" si="256"/>
        <v>5.9055205170466252E-10</v>
      </c>
      <c r="JM23" s="35">
        <f t="shared" si="257"/>
        <v>4.336874198649264E-2</v>
      </c>
      <c r="JN23" s="35">
        <f t="shared" si="258"/>
        <v>4.3368743848949662E-2</v>
      </c>
      <c r="JO23" s="35">
        <f t="shared" si="259"/>
        <v>4.3368742917721151E-2</v>
      </c>
      <c r="JP23" s="35">
        <f t="shared" si="260"/>
        <v>1.2511991442920589E-10</v>
      </c>
      <c r="JQ23" s="35">
        <f t="shared" si="261"/>
        <v>4.3368742917721151E-2</v>
      </c>
      <c r="JR23" s="35">
        <f t="shared" si="262"/>
        <v>4.3368743848949662E-2</v>
      </c>
      <c r="JS23" s="35">
        <f t="shared" si="263"/>
        <v>4.3368743383335406E-2</v>
      </c>
      <c r="JT23" s="35">
        <f t="shared" si="264"/>
        <v>-1.0759626523082488E-10</v>
      </c>
      <c r="JU23" s="35">
        <f t="shared" si="265"/>
        <v>4.3368742917721151E-2</v>
      </c>
      <c r="JV23" s="35">
        <f t="shared" si="266"/>
        <v>4.3368743383335406E-2</v>
      </c>
      <c r="JW23" s="35">
        <f t="shared" si="267"/>
        <v>4.3368743150528279E-2</v>
      </c>
      <c r="JX23" s="35">
        <f t="shared" si="268"/>
        <v>8.7616580657368104E-12</v>
      </c>
      <c r="JY23" s="35">
        <f t="shared" si="269"/>
        <v>4.3368743150528279E-2</v>
      </c>
      <c r="JZ23" s="35">
        <f t="shared" si="270"/>
        <v>4.3368743383335406E-2</v>
      </c>
      <c r="KA23" s="35">
        <f t="shared" si="271"/>
        <v>1.0654583978233858</v>
      </c>
      <c r="KB23" s="35">
        <f t="shared" si="272"/>
        <v>4.3368743266931839E-2</v>
      </c>
    </row>
    <row r="24" spans="1:288" ht="15" customHeight="1" x14ac:dyDescent="0.3">
      <c r="A24" s="30">
        <f>Odds_Input!A24</f>
        <v>16</v>
      </c>
      <c r="B24" s="7" t="str">
        <f>Odds_Input!B24</f>
        <v>TITLE</v>
      </c>
      <c r="C24" s="7" t="str">
        <f>Odds_Input!C24</f>
        <v>Milwaukee Bucks</v>
      </c>
      <c r="D24" s="7" t="str">
        <f>Odds_Input!D24</f>
        <v>YES</v>
      </c>
      <c r="E24" s="31" t="str">
        <f>Odds_Input!E24</f>
        <v>-</v>
      </c>
      <c r="F24" s="32">
        <f>Odds_Input!F24</f>
        <v>25000</v>
      </c>
      <c r="G24" s="6" t="str">
        <f t="shared" si="0"/>
        <v>TITLE</v>
      </c>
      <c r="H24" s="14">
        <f t="shared" si="1"/>
        <v>251</v>
      </c>
      <c r="I24" s="33">
        <f t="shared" si="2"/>
        <v>3.9840637450199202E-3</v>
      </c>
      <c r="J24" s="17">
        <f t="shared" si="3"/>
        <v>1</v>
      </c>
      <c r="K24" s="17">
        <f t="shared" si="4"/>
        <v>30</v>
      </c>
      <c r="L24" s="18">
        <f t="shared" si="5"/>
        <v>1.252565192422864</v>
      </c>
      <c r="M24" s="34">
        <f t="shared" si="6"/>
        <v>0.25256519242286402</v>
      </c>
      <c r="N24" s="33">
        <f t="shared" si="7"/>
        <v>3.1807236614275216E-3</v>
      </c>
      <c r="O24" s="33">
        <f t="shared" si="8"/>
        <v>2.3027238623231816E-3</v>
      </c>
      <c r="P24" s="33">
        <f t="shared" si="9"/>
        <v>1.0482741504970515E-3</v>
      </c>
      <c r="Q24" s="33">
        <f t="shared" si="10"/>
        <v>1.0482741504970515E-3</v>
      </c>
      <c r="R24" s="35">
        <f t="shared" si="11"/>
        <v>1.0992153287166726</v>
      </c>
      <c r="S24" s="35">
        <f t="shared" si="12"/>
        <v>1.1051948455485863E-2</v>
      </c>
      <c r="X24" s="6" t="s">
        <v>799</v>
      </c>
      <c r="Y24" s="6">
        <f t="shared" si="13"/>
        <v>1</v>
      </c>
      <c r="Z24" s="18">
        <f t="shared" si="14"/>
        <v>1.0395843641761504</v>
      </c>
      <c r="AA24" s="10">
        <v>0.2</v>
      </c>
      <c r="AB24" s="10">
        <v>10</v>
      </c>
      <c r="AC24" s="35">
        <f t="shared" si="15"/>
        <v>5.0999999999999996</v>
      </c>
      <c r="AD24" s="35">
        <f t="shared" si="16"/>
        <v>-0.92064553529415616</v>
      </c>
      <c r="AE24" s="35">
        <f t="shared" si="17"/>
        <v>0.2</v>
      </c>
      <c r="AF24" s="35">
        <f t="shared" si="18"/>
        <v>5.0999999999999996</v>
      </c>
      <c r="AG24" s="35">
        <f t="shared" si="19"/>
        <v>2.65</v>
      </c>
      <c r="AH24" s="35">
        <f t="shared" si="20"/>
        <v>-0.63829283885202392</v>
      </c>
      <c r="AI24" s="35">
        <f t="shared" si="21"/>
        <v>0.2</v>
      </c>
      <c r="AJ24" s="35">
        <f t="shared" si="22"/>
        <v>2.65</v>
      </c>
      <c r="AK24" s="35">
        <f t="shared" si="23"/>
        <v>1.425</v>
      </c>
      <c r="AL24" s="35">
        <f t="shared" si="24"/>
        <v>-0.21015612438115294</v>
      </c>
      <c r="AM24" s="35">
        <f t="shared" si="25"/>
        <v>0.2</v>
      </c>
      <c r="AN24" s="35">
        <f t="shared" si="26"/>
        <v>1.425</v>
      </c>
      <c r="AO24" s="35">
        <f t="shared" si="27"/>
        <v>0.8125</v>
      </c>
      <c r="AP24" s="35">
        <f t="shared" si="28"/>
        <v>0.17428793920463548</v>
      </c>
      <c r="AQ24" s="35">
        <f t="shared" si="29"/>
        <v>0.8125</v>
      </c>
      <c r="AR24" s="35">
        <f t="shared" si="30"/>
        <v>1.425</v>
      </c>
      <c r="AS24" s="35">
        <f t="shared" si="31"/>
        <v>1.1187499999999999</v>
      </c>
      <c r="AT24" s="35">
        <f t="shared" si="32"/>
        <v>-3.742608980533646E-2</v>
      </c>
      <c r="AU24" s="35">
        <f t="shared" si="33"/>
        <v>0.8125</v>
      </c>
      <c r="AV24" s="35">
        <f t="shared" si="34"/>
        <v>1.1187499999999999</v>
      </c>
      <c r="AW24" s="35">
        <f t="shared" si="35"/>
        <v>0.96562499999999996</v>
      </c>
      <c r="AX24" s="35">
        <f t="shared" si="36"/>
        <v>6.3036501947349777E-2</v>
      </c>
      <c r="AY24" s="35">
        <f t="shared" si="37"/>
        <v>0.96562499999999996</v>
      </c>
      <c r="AZ24" s="35">
        <f t="shared" si="38"/>
        <v>1.1187499999999999</v>
      </c>
      <c r="BA24" s="35">
        <f t="shared" si="39"/>
        <v>1.0421874999999998</v>
      </c>
      <c r="BB24" s="35">
        <f t="shared" si="40"/>
        <v>1.1526148082855681E-2</v>
      </c>
      <c r="BC24" s="35">
        <f t="shared" si="41"/>
        <v>1.0421874999999998</v>
      </c>
      <c r="BD24" s="35">
        <f t="shared" si="42"/>
        <v>1.1187499999999999</v>
      </c>
      <c r="BE24" s="35">
        <f t="shared" si="43"/>
        <v>1.0804687499999999</v>
      </c>
      <c r="BF24" s="35">
        <f t="shared" si="44"/>
        <v>-1.3261442965462944E-2</v>
      </c>
      <c r="BG24" s="35">
        <f t="shared" si="45"/>
        <v>1.0421874999999998</v>
      </c>
      <c r="BH24" s="35">
        <f t="shared" si="46"/>
        <v>1.0804687499999999</v>
      </c>
      <c r="BI24" s="35">
        <f t="shared" si="47"/>
        <v>1.0613281249999997</v>
      </c>
      <c r="BJ24" s="35">
        <f t="shared" si="48"/>
        <v>-9.4653474145145466E-4</v>
      </c>
      <c r="BK24" s="35">
        <f t="shared" si="49"/>
        <v>1.0421874999999998</v>
      </c>
      <c r="BL24" s="35">
        <f t="shared" si="50"/>
        <v>1.0613281249999997</v>
      </c>
      <c r="BM24" s="35">
        <f t="shared" si="51"/>
        <v>1.0517578124999998</v>
      </c>
      <c r="BN24" s="35">
        <f t="shared" si="52"/>
        <v>5.2699559433702081E-3</v>
      </c>
      <c r="BO24" s="35">
        <f t="shared" si="53"/>
        <v>1.0517578124999998</v>
      </c>
      <c r="BP24" s="35">
        <f t="shared" si="54"/>
        <v>1.0613281249999997</v>
      </c>
      <c r="BQ24" s="35">
        <f t="shared" si="55"/>
        <v>1.0565429687499996</v>
      </c>
      <c r="BR24" s="35">
        <f t="shared" si="56"/>
        <v>2.1567640991575487E-3</v>
      </c>
      <c r="BS24" s="35">
        <f t="shared" si="57"/>
        <v>1.0565429687499996</v>
      </c>
      <c r="BT24" s="35">
        <f t="shared" si="58"/>
        <v>1.0613281249999997</v>
      </c>
      <c r="BU24" s="35">
        <f t="shared" si="59"/>
        <v>1.0589355468749997</v>
      </c>
      <c r="BV24" s="35">
        <f t="shared" si="60"/>
        <v>6.0388007000455879E-4</v>
      </c>
      <c r="BW24" s="35">
        <f t="shared" si="61"/>
        <v>1.0589355468749997</v>
      </c>
      <c r="BX24" s="35">
        <f t="shared" si="62"/>
        <v>1.0613281249999997</v>
      </c>
      <c r="BY24" s="35">
        <f t="shared" si="63"/>
        <v>1.0601318359374998</v>
      </c>
      <c r="BZ24" s="35">
        <f t="shared" si="64"/>
        <v>-1.7163573622824835E-4</v>
      </c>
      <c r="CA24" s="35">
        <f t="shared" si="65"/>
        <v>1.0589355468749997</v>
      </c>
      <c r="CB24" s="35">
        <f t="shared" si="66"/>
        <v>1.0601318359374998</v>
      </c>
      <c r="CC24" s="35">
        <f t="shared" si="67"/>
        <v>1.0595336914062496</v>
      </c>
      <c r="CD24" s="35">
        <f t="shared" si="68"/>
        <v>2.1604503531502672E-4</v>
      </c>
      <c r="CE24" s="35">
        <f t="shared" si="69"/>
        <v>1.0595336914062496</v>
      </c>
      <c r="CF24" s="35">
        <f t="shared" si="70"/>
        <v>1.0601318359374998</v>
      </c>
      <c r="CG24" s="35">
        <f t="shared" si="71"/>
        <v>1.0598327636718747</v>
      </c>
      <c r="CH24" s="35">
        <f t="shared" si="72"/>
        <v>2.2185370581961905E-5</v>
      </c>
      <c r="CI24" s="35">
        <f t="shared" si="73"/>
        <v>1.0598327636718747</v>
      </c>
      <c r="CJ24" s="35">
        <f t="shared" si="74"/>
        <v>1.0601318359374998</v>
      </c>
      <c r="CK24" s="35">
        <f t="shared" si="75"/>
        <v>1.0599822998046873</v>
      </c>
      <c r="CL24" s="35">
        <f t="shared" si="76"/>
        <v>-7.4730002072032065E-5</v>
      </c>
      <c r="CM24" s="35">
        <f t="shared" si="77"/>
        <v>1.0598327636718747</v>
      </c>
      <c r="CN24" s="35">
        <f t="shared" si="78"/>
        <v>1.0599822998046873</v>
      </c>
      <c r="CO24" s="35">
        <f t="shared" si="79"/>
        <v>1.0599075317382809</v>
      </c>
      <c r="CP24" s="35">
        <f t="shared" si="80"/>
        <v>-2.6273520618791402E-5</v>
      </c>
      <c r="CQ24" s="35">
        <f t="shared" si="81"/>
        <v>1.0598327636718747</v>
      </c>
      <c r="CR24" s="35">
        <f t="shared" si="82"/>
        <v>1.0599075317382809</v>
      </c>
      <c r="CS24" s="35">
        <f t="shared" si="83"/>
        <v>1.0598701477050778</v>
      </c>
      <c r="CT24" s="35">
        <f t="shared" si="84"/>
        <v>-2.0443762445143676E-6</v>
      </c>
      <c r="CU24" s="35">
        <f t="shared" si="85"/>
        <v>1.0598327636718747</v>
      </c>
      <c r="CV24" s="35">
        <f t="shared" si="86"/>
        <v>1.0598701477050778</v>
      </c>
      <c r="CW24" s="35">
        <f t="shared" si="87"/>
        <v>1.0598514556884764</v>
      </c>
      <c r="CX24" s="35">
        <f t="shared" si="88"/>
        <v>1.0070421861296808E-5</v>
      </c>
      <c r="CY24" s="35">
        <f t="shared" si="89"/>
        <v>1.0598514556884764</v>
      </c>
      <c r="CZ24" s="35">
        <f t="shared" si="90"/>
        <v>1.0598701477050778</v>
      </c>
      <c r="DA24" s="35">
        <f t="shared" si="91"/>
        <v>1.059860801696777</v>
      </c>
      <c r="DB24" s="35">
        <f t="shared" si="92"/>
        <v>4.0130039815622354E-6</v>
      </c>
      <c r="DC24" s="35">
        <f t="shared" si="93"/>
        <v>1.059860801696777</v>
      </c>
      <c r="DD24" s="35">
        <f t="shared" si="94"/>
        <v>1.0598701477050778</v>
      </c>
      <c r="DE24" s="35">
        <f t="shared" si="95"/>
        <v>1.0598654747009273</v>
      </c>
      <c r="DF24" s="35">
        <f t="shared" si="96"/>
        <v>9.8430916217751019E-7</v>
      </c>
      <c r="DG24" s="35">
        <f t="shared" si="97"/>
        <v>1.0598654747009273</v>
      </c>
      <c r="DH24" s="35">
        <f t="shared" si="98"/>
        <v>1.0598701477050778</v>
      </c>
      <c r="DI24" s="35">
        <f t="shared" si="99"/>
        <v>1.0598678112030027</v>
      </c>
      <c r="DJ24" s="35">
        <f t="shared" si="100"/>
        <v>-5.3003471789381251E-7</v>
      </c>
      <c r="DK24" s="35">
        <f t="shared" si="101"/>
        <v>1.0598654747009273</v>
      </c>
      <c r="DL24" s="35">
        <f t="shared" si="102"/>
        <v>1.0598678112030027</v>
      </c>
      <c r="DM24" s="35">
        <f t="shared" si="103"/>
        <v>1.059866642951965</v>
      </c>
      <c r="DN24" s="35">
        <f t="shared" si="104"/>
        <v>2.2713692793274731E-7</v>
      </c>
      <c r="DO24" s="35">
        <f t="shared" si="105"/>
        <v>1.059866642951965</v>
      </c>
      <c r="DP24" s="35">
        <f t="shared" si="106"/>
        <v>1.0598678112030027</v>
      </c>
      <c r="DQ24" s="35">
        <f t="shared" si="107"/>
        <v>1.0598672270774838</v>
      </c>
      <c r="DR24" s="35">
        <f t="shared" si="108"/>
        <v>-1.5144896858831913E-7</v>
      </c>
      <c r="DS24" s="35">
        <f t="shared" si="109"/>
        <v>1.059866642951965</v>
      </c>
      <c r="DT24" s="35">
        <f t="shared" si="110"/>
        <v>1.0598672270774838</v>
      </c>
      <c r="DU24" s="35">
        <f t="shared" si="111"/>
        <v>1.0598669350147243</v>
      </c>
      <c r="DV24" s="35">
        <f t="shared" si="112"/>
        <v>3.7843961298023032E-8</v>
      </c>
      <c r="DW24" s="35">
        <f t="shared" si="113"/>
        <v>1.0598669350147243</v>
      </c>
      <c r="DX24" s="35">
        <f t="shared" si="114"/>
        <v>1.0598672270774838</v>
      </c>
      <c r="DY24" s="35">
        <f t="shared" si="115"/>
        <v>1.0598670810461042</v>
      </c>
      <c r="DZ24" s="35">
        <f t="shared" si="116"/>
        <v>-5.6802508363595905E-8</v>
      </c>
      <c r="EA24" s="35">
        <f t="shared" si="117"/>
        <v>1.0598669350147243</v>
      </c>
      <c r="EB24" s="35">
        <f t="shared" si="118"/>
        <v>1.0598670810461042</v>
      </c>
      <c r="EC24" s="35">
        <f t="shared" si="119"/>
        <v>1.0598670080304142</v>
      </c>
      <c r="ED24" s="35">
        <f t="shared" si="120"/>
        <v>-9.4792746985206122E-9</v>
      </c>
      <c r="EE24" s="35">
        <f t="shared" si="121"/>
        <v>1.0598669350147243</v>
      </c>
      <c r="EF24" s="35">
        <f t="shared" si="122"/>
        <v>1.0598670080304142</v>
      </c>
      <c r="EG24" s="35">
        <f t="shared" si="123"/>
        <v>1.0598669715225693</v>
      </c>
      <c r="EH24" s="35">
        <f t="shared" si="124"/>
        <v>1.4182343077706605E-8</v>
      </c>
      <c r="EI24" s="35">
        <f t="shared" si="125"/>
        <v>1.0598669715225693</v>
      </c>
      <c r="EJ24" s="35">
        <f t="shared" si="126"/>
        <v>1.0598670080304142</v>
      </c>
      <c r="EK24" s="35">
        <f t="shared" si="127"/>
        <v>1.0598669897764919</v>
      </c>
      <c r="EL24" s="35">
        <f t="shared" si="128"/>
        <v>2.351534078570694E-9</v>
      </c>
      <c r="EM24" s="35">
        <f t="shared" si="129"/>
        <v>1.0598669897764919</v>
      </c>
      <c r="EN24" s="35">
        <f t="shared" si="130"/>
        <v>1.0598670080304142</v>
      </c>
      <c r="EO24" s="35">
        <f t="shared" si="131"/>
        <v>1.059866998903453</v>
      </c>
      <c r="EP24" s="35">
        <f t="shared" si="132"/>
        <v>-3.5638703099749591E-9</v>
      </c>
      <c r="EQ24" s="35">
        <f t="shared" si="133"/>
        <v>1.0598669897764919</v>
      </c>
      <c r="ER24" s="35">
        <f t="shared" si="134"/>
        <v>1.059866998903453</v>
      </c>
      <c r="ES24" s="35">
        <f t="shared" si="135"/>
        <v>1.0598669943399726</v>
      </c>
      <c r="ET24" s="35">
        <f t="shared" si="136"/>
        <v>-6.0616811570213258E-10</v>
      </c>
      <c r="EU24" s="35">
        <f t="shared" si="137"/>
        <v>1.0598669897764919</v>
      </c>
      <c r="EV24" s="35">
        <f t="shared" si="138"/>
        <v>1.0598669943399726</v>
      </c>
      <c r="EW24" s="35">
        <f t="shared" si="139"/>
        <v>1.0598669920582322</v>
      </c>
      <c r="EX24" s="35">
        <f t="shared" si="140"/>
        <v>8.72682814900827E-10</v>
      </c>
      <c r="EY24" s="35">
        <f t="shared" si="141"/>
        <v>1.0598669920582322</v>
      </c>
      <c r="EZ24" s="35">
        <f t="shared" si="142"/>
        <v>1.0598669943399726</v>
      </c>
      <c r="FA24" s="10">
        <v>9.9999999999999995E-7</v>
      </c>
      <c r="FB24" s="10">
        <v>0.99990000000000001</v>
      </c>
      <c r="FC24" s="35">
        <f t="shared" si="143"/>
        <v>0.49995050000000002</v>
      </c>
      <c r="FD24" s="35">
        <f t="shared" si="144"/>
        <v>-0.24307958617037484</v>
      </c>
      <c r="FE24" s="35">
        <f t="shared" si="145"/>
        <v>9.9999999999999995E-7</v>
      </c>
      <c r="FF24" s="35">
        <f t="shared" si="146"/>
        <v>0.49995050000000002</v>
      </c>
      <c r="FG24" s="35">
        <f t="shared" si="147"/>
        <v>0.24997575</v>
      </c>
      <c r="FH24" s="35">
        <f t="shared" si="148"/>
        <v>-0.10924005749607935</v>
      </c>
      <c r="FI24" s="35">
        <f t="shared" si="149"/>
        <v>9.9999999999999995E-7</v>
      </c>
      <c r="FJ24" s="35">
        <f t="shared" si="150"/>
        <v>0.24997575</v>
      </c>
      <c r="FK24" s="35">
        <f t="shared" si="151"/>
        <v>0.124988375</v>
      </c>
      <c r="FL24" s="35">
        <f t="shared" si="152"/>
        <v>-4.3429023960915969E-2</v>
      </c>
      <c r="FM24" s="35">
        <f t="shared" si="153"/>
        <v>9.9999999999999995E-7</v>
      </c>
      <c r="FN24" s="35">
        <f t="shared" si="154"/>
        <v>0.124988375</v>
      </c>
      <c r="FO24" s="35">
        <f t="shared" si="155"/>
        <v>6.24946875E-2</v>
      </c>
      <c r="FP24" s="35">
        <f t="shared" si="156"/>
        <v>-1.1493878432796811E-2</v>
      </c>
      <c r="FQ24" s="35">
        <f t="shared" si="157"/>
        <v>9.9999999999999995E-7</v>
      </c>
      <c r="FR24" s="35">
        <f t="shared" si="158"/>
        <v>6.24946875E-2</v>
      </c>
      <c r="FS24" s="35">
        <f t="shared" si="159"/>
        <v>3.124784375E-2</v>
      </c>
      <c r="FT24" s="35">
        <f t="shared" si="160"/>
        <v>4.1654885550326259E-3</v>
      </c>
      <c r="FU24" s="35">
        <f t="shared" si="161"/>
        <v>3.124784375E-2</v>
      </c>
      <c r="FV24" s="35">
        <f t="shared" si="162"/>
        <v>6.24946875E-2</v>
      </c>
      <c r="FW24" s="35">
        <f t="shared" si="163"/>
        <v>4.6871265624999998E-2</v>
      </c>
      <c r="FX24" s="35">
        <f t="shared" si="164"/>
        <v>-3.6368891329645603E-3</v>
      </c>
      <c r="FY24" s="35">
        <f t="shared" si="165"/>
        <v>3.124784375E-2</v>
      </c>
      <c r="FZ24" s="35">
        <f t="shared" si="166"/>
        <v>4.6871265624999998E-2</v>
      </c>
      <c r="GA24" s="35">
        <f t="shared" si="167"/>
        <v>3.9059554687499998E-2</v>
      </c>
      <c r="GB24" s="35">
        <f t="shared" si="168"/>
        <v>2.7123717707744355E-4</v>
      </c>
      <c r="GC24" s="35">
        <f t="shared" si="169"/>
        <v>3.9059554687499998E-2</v>
      </c>
      <c r="GD24" s="35">
        <f t="shared" si="170"/>
        <v>4.6871265624999998E-2</v>
      </c>
      <c r="GE24" s="35">
        <f t="shared" si="171"/>
        <v>4.2965410156249995E-2</v>
      </c>
      <c r="GF24" s="35">
        <f t="shared" si="172"/>
        <v>-1.6811051878646843E-3</v>
      </c>
      <c r="GG24" s="35">
        <f t="shared" si="173"/>
        <v>3.9059554687499998E-2</v>
      </c>
      <c r="GH24" s="35">
        <f t="shared" si="174"/>
        <v>4.2965410156249995E-2</v>
      </c>
      <c r="GI24" s="35">
        <f t="shared" si="175"/>
        <v>4.1012482421874996E-2</v>
      </c>
      <c r="GJ24" s="35">
        <f t="shared" si="176"/>
        <v>-7.0450209209305115E-4</v>
      </c>
      <c r="GK24" s="35">
        <f t="shared" si="177"/>
        <v>3.9059554687499998E-2</v>
      </c>
      <c r="GL24" s="35">
        <f t="shared" si="178"/>
        <v>4.1012482421874996E-2</v>
      </c>
      <c r="GM24" s="35">
        <f t="shared" si="179"/>
        <v>4.0036018554687497E-2</v>
      </c>
      <c r="GN24" s="35">
        <f t="shared" si="180"/>
        <v>-2.1652426635054844E-4</v>
      </c>
      <c r="GO24" s="35">
        <f t="shared" si="181"/>
        <v>3.9059554687499998E-2</v>
      </c>
      <c r="GP24" s="35">
        <f t="shared" si="182"/>
        <v>4.0036018554687497E-2</v>
      </c>
      <c r="GQ24" s="35">
        <f t="shared" si="183"/>
        <v>3.9547786621093747E-2</v>
      </c>
      <c r="GR24" s="35">
        <f t="shared" si="184"/>
        <v>2.7383529654256833E-5</v>
      </c>
      <c r="GS24" s="35">
        <f t="shared" si="185"/>
        <v>3.9547786621093747E-2</v>
      </c>
      <c r="GT24" s="35">
        <f t="shared" si="186"/>
        <v>4.0036018554687497E-2</v>
      </c>
      <c r="GU24" s="35">
        <f t="shared" si="187"/>
        <v>3.9791902587890622E-2</v>
      </c>
      <c r="GV24" s="35">
        <f t="shared" si="188"/>
        <v>-9.4563603083575032E-5</v>
      </c>
      <c r="GW24" s="35">
        <f t="shared" si="189"/>
        <v>3.9547786621093747E-2</v>
      </c>
      <c r="GX24" s="35">
        <f t="shared" si="190"/>
        <v>3.9791902587890622E-2</v>
      </c>
      <c r="GY24" s="35">
        <f t="shared" si="191"/>
        <v>3.9669844604492188E-2</v>
      </c>
      <c r="GZ24" s="35">
        <f t="shared" si="192"/>
        <v>-3.3588344984569751E-5</v>
      </c>
      <c r="HA24" s="35">
        <f t="shared" si="193"/>
        <v>3.9547786621093747E-2</v>
      </c>
      <c r="HB24" s="35">
        <f t="shared" si="194"/>
        <v>3.9669844604492188E-2</v>
      </c>
      <c r="HC24" s="35">
        <f t="shared" si="195"/>
        <v>3.9608815612792968E-2</v>
      </c>
      <c r="HD24" s="35">
        <f t="shared" si="196"/>
        <v>-3.1019846810087515E-6</v>
      </c>
      <c r="HE24" s="35">
        <f t="shared" si="197"/>
        <v>3.9547786621093747E-2</v>
      </c>
      <c r="HF24" s="35">
        <f t="shared" si="198"/>
        <v>3.9608815612792968E-2</v>
      </c>
      <c r="HG24" s="35">
        <f t="shared" si="199"/>
        <v>3.9578301116943354E-2</v>
      </c>
      <c r="HH24" s="35">
        <f t="shared" si="200"/>
        <v>1.2140878239197406E-5</v>
      </c>
      <c r="HI24" s="35">
        <f t="shared" si="201"/>
        <v>3.9578301116943354E-2</v>
      </c>
      <c r="HJ24" s="35">
        <f t="shared" si="202"/>
        <v>3.9608815612792968E-2</v>
      </c>
      <c r="HK24" s="35">
        <f t="shared" si="203"/>
        <v>3.9593558364868164E-2</v>
      </c>
      <c r="HL24" s="35">
        <f t="shared" si="204"/>
        <v>4.5194732165576568E-6</v>
      </c>
      <c r="HM24" s="35">
        <f t="shared" si="205"/>
        <v>3.9593558364868164E-2</v>
      </c>
      <c r="HN24" s="35">
        <f t="shared" si="206"/>
        <v>3.9608815612792968E-2</v>
      </c>
      <c r="HO24" s="35">
        <f t="shared" si="207"/>
        <v>3.960118698883057E-2</v>
      </c>
      <c r="HP24" s="35">
        <f t="shared" si="208"/>
        <v>7.0875087687660709E-7</v>
      </c>
      <c r="HQ24" s="35">
        <f t="shared" si="209"/>
        <v>3.960118698883057E-2</v>
      </c>
      <c r="HR24" s="35">
        <f t="shared" si="210"/>
        <v>3.9608815612792968E-2</v>
      </c>
      <c r="HS24" s="35">
        <f t="shared" si="211"/>
        <v>3.9605001300811765E-2</v>
      </c>
      <c r="HT24" s="35">
        <f t="shared" si="212"/>
        <v>-1.1966152496656335E-6</v>
      </c>
      <c r="HU24" s="35">
        <f t="shared" si="213"/>
        <v>3.960118698883057E-2</v>
      </c>
      <c r="HV24" s="35">
        <f t="shared" si="214"/>
        <v>3.9605001300811765E-2</v>
      </c>
      <c r="HW24" s="35">
        <f t="shared" si="215"/>
        <v>3.9603094144821167E-2</v>
      </c>
      <c r="HX24" s="35">
        <f t="shared" si="216"/>
        <v>-2.4393177333603688E-7</v>
      </c>
      <c r="HY24" s="35">
        <f t="shared" si="217"/>
        <v>3.960118698883057E-2</v>
      </c>
      <c r="HZ24" s="35">
        <f t="shared" si="218"/>
        <v>3.9603094144821167E-2</v>
      </c>
      <c r="IA24" s="35">
        <f t="shared" si="219"/>
        <v>3.9602140566825872E-2</v>
      </c>
      <c r="IB24" s="35">
        <f t="shared" si="220"/>
        <v>2.3240965507653755E-7</v>
      </c>
      <c r="IC24" s="35">
        <f t="shared" si="221"/>
        <v>3.9602140566825872E-2</v>
      </c>
      <c r="ID24" s="35">
        <f t="shared" si="222"/>
        <v>3.9603094144821167E-2</v>
      </c>
      <c r="IE24" s="35">
        <f t="shared" si="223"/>
        <v>3.9602617355823516E-2</v>
      </c>
      <c r="IF24" s="35">
        <f t="shared" si="224"/>
        <v>-5.7610332060420433E-9</v>
      </c>
      <c r="IG24" s="35">
        <f t="shared" si="225"/>
        <v>3.9602140566825872E-2</v>
      </c>
      <c r="IH24" s="35">
        <f t="shared" si="226"/>
        <v>3.9602617355823516E-2</v>
      </c>
      <c r="II24" s="35">
        <f t="shared" si="227"/>
        <v>3.9602378961324694E-2</v>
      </c>
      <c r="IJ24" s="35">
        <f t="shared" si="228"/>
        <v>1.1332431726351899E-7</v>
      </c>
      <c r="IK24" s="35">
        <f t="shared" si="229"/>
        <v>3.9602378961324694E-2</v>
      </c>
      <c r="IL24" s="35">
        <f t="shared" si="230"/>
        <v>3.9602617355823516E-2</v>
      </c>
      <c r="IM24" s="35">
        <f t="shared" si="231"/>
        <v>3.9602498158574105E-2</v>
      </c>
      <c r="IN24" s="35">
        <f t="shared" si="232"/>
        <v>5.3781643583050709E-8</v>
      </c>
      <c r="IO24" s="35">
        <f t="shared" si="233"/>
        <v>3.9602498158574105E-2</v>
      </c>
      <c r="IP24" s="35">
        <f t="shared" si="234"/>
        <v>3.9602617355823516E-2</v>
      </c>
      <c r="IQ24" s="35">
        <f t="shared" si="235"/>
        <v>3.9602557757198814E-2</v>
      </c>
      <c r="IR24" s="35">
        <f t="shared" si="236"/>
        <v>2.4010305743615845E-8</v>
      </c>
      <c r="IS24" s="35">
        <f t="shared" si="237"/>
        <v>3.9602557757198814E-2</v>
      </c>
      <c r="IT24" s="35">
        <f t="shared" si="238"/>
        <v>3.9602617355823516E-2</v>
      </c>
      <c r="IU24" s="35">
        <f t="shared" si="239"/>
        <v>3.9602587556511165E-2</v>
      </c>
      <c r="IV24" s="35">
        <f t="shared" si="240"/>
        <v>9.1246361577645985E-9</v>
      </c>
      <c r="IW24" s="35">
        <f t="shared" si="241"/>
        <v>3.9602587556511165E-2</v>
      </c>
      <c r="IX24" s="35">
        <f t="shared" si="242"/>
        <v>3.9602617355823516E-2</v>
      </c>
      <c r="IY24" s="35">
        <f t="shared" si="243"/>
        <v>3.9602602456167341E-2</v>
      </c>
      <c r="IZ24" s="35">
        <f t="shared" si="244"/>
        <v>1.681801808928185E-9</v>
      </c>
      <c r="JA24" s="35">
        <f t="shared" si="245"/>
        <v>3.9602602456167341E-2</v>
      </c>
      <c r="JB24" s="35">
        <f t="shared" si="246"/>
        <v>3.9602617355823516E-2</v>
      </c>
      <c r="JC24" s="35">
        <f t="shared" si="247"/>
        <v>3.9602609905995428E-2</v>
      </c>
      <c r="JD24" s="35">
        <f t="shared" si="248"/>
        <v>-2.0396159206015341E-9</v>
      </c>
      <c r="JE24" s="35">
        <f t="shared" si="249"/>
        <v>3.9602602456167341E-2</v>
      </c>
      <c r="JF24" s="35">
        <f t="shared" si="250"/>
        <v>3.9602609905995428E-2</v>
      </c>
      <c r="JG24" s="35">
        <f t="shared" si="251"/>
        <v>3.9602606181081385E-2</v>
      </c>
      <c r="JH24" s="35">
        <f t="shared" si="252"/>
        <v>-1.7890711134782578E-10</v>
      </c>
      <c r="JI24" s="35">
        <f t="shared" si="253"/>
        <v>3.9602602456167341E-2</v>
      </c>
      <c r="JJ24" s="35">
        <f t="shared" si="254"/>
        <v>3.9602606181081385E-2</v>
      </c>
      <c r="JK24" s="35">
        <f t="shared" si="255"/>
        <v>3.9602604318624363E-2</v>
      </c>
      <c r="JL24" s="35">
        <f t="shared" si="256"/>
        <v>7.5144712674557468E-10</v>
      </c>
      <c r="JM24" s="35">
        <f t="shared" si="257"/>
        <v>3.9602604318624363E-2</v>
      </c>
      <c r="JN24" s="35">
        <f t="shared" si="258"/>
        <v>3.9602606181081385E-2</v>
      </c>
      <c r="JO24" s="35">
        <f t="shared" si="259"/>
        <v>3.9602605249852874E-2</v>
      </c>
      <c r="JP24" s="35">
        <f t="shared" si="260"/>
        <v>2.8626989667657199E-10</v>
      </c>
      <c r="JQ24" s="35">
        <f t="shared" si="261"/>
        <v>3.9602605249852874E-2</v>
      </c>
      <c r="JR24" s="35">
        <f t="shared" si="262"/>
        <v>3.9602606181081385E-2</v>
      </c>
      <c r="JS24" s="35">
        <f t="shared" si="263"/>
        <v>3.9602605715467129E-2</v>
      </c>
      <c r="JT24" s="35">
        <f t="shared" si="264"/>
        <v>5.3681503686675569E-11</v>
      </c>
      <c r="JU24" s="35">
        <f t="shared" si="265"/>
        <v>3.9602605715467129E-2</v>
      </c>
      <c r="JV24" s="35">
        <f t="shared" si="266"/>
        <v>3.9602606181081385E-2</v>
      </c>
      <c r="JW24" s="35">
        <f t="shared" si="267"/>
        <v>3.9602605948274257E-2</v>
      </c>
      <c r="JX24" s="35">
        <f t="shared" si="268"/>
        <v>-6.2612914852877566E-11</v>
      </c>
      <c r="JY24" s="35">
        <f t="shared" si="269"/>
        <v>3.9602605715467129E-2</v>
      </c>
      <c r="JZ24" s="35">
        <f t="shared" si="270"/>
        <v>3.9602605948274257E-2</v>
      </c>
      <c r="KA24" s="35">
        <f t="shared" si="271"/>
        <v>1.0598669931991025</v>
      </c>
      <c r="KB24" s="35">
        <f t="shared" si="272"/>
        <v>3.9602605831870696E-2</v>
      </c>
    </row>
    <row r="25" spans="1:288" ht="15" customHeight="1" x14ac:dyDescent="0.3">
      <c r="A25" s="30">
        <f>Odds_Input!A25</f>
        <v>17</v>
      </c>
      <c r="B25" s="7" t="str">
        <f>Odds_Input!B25</f>
        <v>TITLE</v>
      </c>
      <c r="C25" s="7" t="str">
        <f>Odds_Input!C25</f>
        <v>Minnesota Timberwolves</v>
      </c>
      <c r="D25" s="7" t="str">
        <f>Odds_Input!D25</f>
        <v>YES</v>
      </c>
      <c r="E25" s="31" t="str">
        <f>Odds_Input!E25</f>
        <v>-</v>
      </c>
      <c r="F25" s="32">
        <f>Odds_Input!F25</f>
        <v>2400</v>
      </c>
      <c r="G25" s="6" t="str">
        <f t="shared" si="0"/>
        <v>TITLE</v>
      </c>
      <c r="H25" s="14">
        <f t="shared" si="1"/>
        <v>25</v>
      </c>
      <c r="I25" s="33">
        <f t="shared" si="2"/>
        <v>0.04</v>
      </c>
      <c r="J25" s="17">
        <f t="shared" si="3"/>
        <v>1</v>
      </c>
      <c r="K25" s="17">
        <f t="shared" si="4"/>
        <v>30</v>
      </c>
      <c r="L25" s="18">
        <f t="shared" si="5"/>
        <v>1.252565192422864</v>
      </c>
      <c r="M25" s="34">
        <f t="shared" si="6"/>
        <v>0.25256519242286402</v>
      </c>
      <c r="N25" s="33">
        <f t="shared" si="7"/>
        <v>3.1934465560732317E-2</v>
      </c>
      <c r="O25" s="33">
        <f t="shared" si="8"/>
        <v>2.9064503861724992E-2</v>
      </c>
      <c r="P25" s="33">
        <f t="shared" si="9"/>
        <v>3.0783641580231089E-2</v>
      </c>
      <c r="Q25" s="33">
        <f t="shared" si="10"/>
        <v>3.0783641580231089E-2</v>
      </c>
      <c r="R25" s="35">
        <f t="shared" si="11"/>
        <v>1.0992153287166726</v>
      </c>
      <c r="S25" s="35">
        <f t="shared" si="12"/>
        <v>1.1051948455485863E-2</v>
      </c>
      <c r="X25" s="6" t="s">
        <v>800</v>
      </c>
      <c r="Y25" s="6">
        <f t="shared" si="13"/>
        <v>1</v>
      </c>
      <c r="Z25" s="18">
        <f t="shared" si="14"/>
        <v>1.0433604336043361</v>
      </c>
      <c r="AA25" s="10">
        <v>0.2</v>
      </c>
      <c r="AB25" s="10">
        <v>10</v>
      </c>
      <c r="AC25" s="35">
        <f t="shared" si="15"/>
        <v>5.0999999999999996</v>
      </c>
      <c r="AD25" s="35">
        <f t="shared" si="16"/>
        <v>-0.92439165644795407</v>
      </c>
      <c r="AE25" s="35">
        <f t="shared" si="17"/>
        <v>0.2</v>
      </c>
      <c r="AF25" s="35">
        <f t="shared" si="18"/>
        <v>5.0999999999999996</v>
      </c>
      <c r="AG25" s="35">
        <f t="shared" si="19"/>
        <v>2.65</v>
      </c>
      <c r="AH25" s="35">
        <f t="shared" si="20"/>
        <v>-0.64013762771461891</v>
      </c>
      <c r="AI25" s="35">
        <f t="shared" si="21"/>
        <v>0.2</v>
      </c>
      <c r="AJ25" s="35">
        <f t="shared" si="22"/>
        <v>2.65</v>
      </c>
      <c r="AK25" s="35">
        <f t="shared" si="23"/>
        <v>1.425</v>
      </c>
      <c r="AL25" s="35">
        <f t="shared" si="24"/>
        <v>-0.207707469276325</v>
      </c>
      <c r="AM25" s="35">
        <f t="shared" si="25"/>
        <v>0.2</v>
      </c>
      <c r="AN25" s="35">
        <f t="shared" si="26"/>
        <v>1.425</v>
      </c>
      <c r="AO25" s="35">
        <f t="shared" si="27"/>
        <v>0.8125</v>
      </c>
      <c r="AP25" s="35">
        <f t="shared" si="28"/>
        <v>0.17836926434639722</v>
      </c>
      <c r="AQ25" s="35">
        <f t="shared" si="29"/>
        <v>0.8125</v>
      </c>
      <c r="AR25" s="35">
        <f t="shared" si="30"/>
        <v>1.425</v>
      </c>
      <c r="AS25" s="35">
        <f t="shared" si="31"/>
        <v>1.1187499999999999</v>
      </c>
      <c r="AT25" s="35">
        <f t="shared" si="32"/>
        <v>-3.3953955076346354E-2</v>
      </c>
      <c r="AU25" s="35">
        <f t="shared" si="33"/>
        <v>0.8125</v>
      </c>
      <c r="AV25" s="35">
        <f t="shared" si="34"/>
        <v>1.1187499999999999</v>
      </c>
      <c r="AW25" s="35">
        <f t="shared" si="35"/>
        <v>0.96562499999999996</v>
      </c>
      <c r="AX25" s="35">
        <f t="shared" si="36"/>
        <v>6.6886383413200523E-2</v>
      </c>
      <c r="AY25" s="35">
        <f t="shared" si="37"/>
        <v>0.96562499999999996</v>
      </c>
      <c r="AZ25" s="35">
        <f t="shared" si="38"/>
        <v>1.1187499999999999</v>
      </c>
      <c r="BA25" s="35">
        <f t="shared" si="39"/>
        <v>1.0421874999999998</v>
      </c>
      <c r="BB25" s="35">
        <f t="shared" si="40"/>
        <v>1.5202414329130054E-2</v>
      </c>
      <c r="BC25" s="35">
        <f t="shared" si="41"/>
        <v>1.0421874999999998</v>
      </c>
      <c r="BD25" s="35">
        <f t="shared" si="42"/>
        <v>1.1187499999999999</v>
      </c>
      <c r="BE25" s="35">
        <f t="shared" si="43"/>
        <v>1.0804687499999999</v>
      </c>
      <c r="BF25" s="35">
        <f t="shared" si="44"/>
        <v>-9.6837727905547677E-3</v>
      </c>
      <c r="BG25" s="35">
        <f t="shared" si="45"/>
        <v>1.0421874999999998</v>
      </c>
      <c r="BH25" s="35">
        <f t="shared" si="46"/>
        <v>1.0804687499999999</v>
      </c>
      <c r="BI25" s="35">
        <f t="shared" si="47"/>
        <v>1.0613281249999997</v>
      </c>
      <c r="BJ25" s="35">
        <f t="shared" si="48"/>
        <v>2.681342569118339E-3</v>
      </c>
      <c r="BK25" s="35">
        <f t="shared" si="49"/>
        <v>1.0613281249999997</v>
      </c>
      <c r="BL25" s="35">
        <f t="shared" si="50"/>
        <v>1.0804687499999999</v>
      </c>
      <c r="BM25" s="35">
        <f t="shared" si="51"/>
        <v>1.0708984374999999</v>
      </c>
      <c r="BN25" s="35">
        <f t="shared" si="52"/>
        <v>-3.5205864848550927E-3</v>
      </c>
      <c r="BO25" s="35">
        <f t="shared" si="53"/>
        <v>1.0613281249999997</v>
      </c>
      <c r="BP25" s="35">
        <f t="shared" si="54"/>
        <v>1.0708984374999999</v>
      </c>
      <c r="BQ25" s="35">
        <f t="shared" si="55"/>
        <v>1.0661132812499998</v>
      </c>
      <c r="BR25" s="35">
        <f t="shared" si="56"/>
        <v>-4.2448013693174858E-4</v>
      </c>
      <c r="BS25" s="35">
        <f t="shared" si="57"/>
        <v>1.0613281249999997</v>
      </c>
      <c r="BT25" s="35">
        <f t="shared" si="58"/>
        <v>1.0661132812499998</v>
      </c>
      <c r="BU25" s="35">
        <f t="shared" si="59"/>
        <v>1.0637207031249998</v>
      </c>
      <c r="BV25" s="35">
        <f t="shared" si="60"/>
        <v>1.127214749024219E-3</v>
      </c>
      <c r="BW25" s="35">
        <f t="shared" si="61"/>
        <v>1.0637207031249998</v>
      </c>
      <c r="BX25" s="35">
        <f t="shared" si="62"/>
        <v>1.0661132812499998</v>
      </c>
      <c r="BY25" s="35">
        <f t="shared" si="63"/>
        <v>1.0649169921874999</v>
      </c>
      <c r="BZ25" s="35">
        <f t="shared" si="64"/>
        <v>3.5106342980673055E-4</v>
      </c>
      <c r="CA25" s="35">
        <f t="shared" si="65"/>
        <v>1.0649169921874999</v>
      </c>
      <c r="CB25" s="35">
        <f t="shared" si="66"/>
        <v>1.0661132812499998</v>
      </c>
      <c r="CC25" s="35">
        <f t="shared" si="67"/>
        <v>1.0655151367187499</v>
      </c>
      <c r="CD25" s="35">
        <f t="shared" si="68"/>
        <v>-3.6784292577363153E-5</v>
      </c>
      <c r="CE25" s="35">
        <f t="shared" si="69"/>
        <v>1.0649169921874999</v>
      </c>
      <c r="CF25" s="35">
        <f t="shared" si="70"/>
        <v>1.0655151367187499</v>
      </c>
      <c r="CG25" s="35">
        <f t="shared" si="71"/>
        <v>1.065216064453125</v>
      </c>
      <c r="CH25" s="35">
        <f t="shared" si="72"/>
        <v>1.5712058010630692E-4</v>
      </c>
      <c r="CI25" s="35">
        <f t="shared" si="73"/>
        <v>1.065216064453125</v>
      </c>
      <c r="CJ25" s="35">
        <f t="shared" si="74"/>
        <v>1.0655151367187499</v>
      </c>
      <c r="CK25" s="35">
        <f t="shared" si="75"/>
        <v>1.0653656005859373</v>
      </c>
      <c r="CL25" s="35">
        <f t="shared" si="76"/>
        <v>6.0163397106904881E-5</v>
      </c>
      <c r="CM25" s="35">
        <f t="shared" si="77"/>
        <v>1.0653656005859373</v>
      </c>
      <c r="CN25" s="35">
        <f t="shared" si="78"/>
        <v>1.0655151367187499</v>
      </c>
      <c r="CO25" s="35">
        <f t="shared" si="79"/>
        <v>1.0654403686523435</v>
      </c>
      <c r="CP25" s="35">
        <f t="shared" si="80"/>
        <v>1.1688365659123789E-5</v>
      </c>
      <c r="CQ25" s="35">
        <f t="shared" si="81"/>
        <v>1.0654403686523435</v>
      </c>
      <c r="CR25" s="35">
        <f t="shared" si="82"/>
        <v>1.0655151367187499</v>
      </c>
      <c r="CS25" s="35">
        <f t="shared" si="83"/>
        <v>1.0654777526855468</v>
      </c>
      <c r="CT25" s="35">
        <f t="shared" si="84"/>
        <v>-1.2548260103328879E-5</v>
      </c>
      <c r="CU25" s="35">
        <f t="shared" si="85"/>
        <v>1.0654403686523435</v>
      </c>
      <c r="CV25" s="35">
        <f t="shared" si="86"/>
        <v>1.0654777526855468</v>
      </c>
      <c r="CW25" s="35">
        <f t="shared" si="87"/>
        <v>1.0654590606689451</v>
      </c>
      <c r="CX25" s="35">
        <f t="shared" si="88"/>
        <v>-4.3002138416792235E-7</v>
      </c>
      <c r="CY25" s="35">
        <f t="shared" si="89"/>
        <v>1.0654403686523435</v>
      </c>
      <c r="CZ25" s="35">
        <f t="shared" si="90"/>
        <v>1.0654590606689451</v>
      </c>
      <c r="DA25" s="35">
        <f t="shared" si="91"/>
        <v>1.0654497146606443</v>
      </c>
      <c r="DB25" s="35">
        <f t="shared" si="92"/>
        <v>5.6291535970309781E-6</v>
      </c>
      <c r="DC25" s="35">
        <f t="shared" si="93"/>
        <v>1.0654497146606443</v>
      </c>
      <c r="DD25" s="35">
        <f t="shared" si="94"/>
        <v>1.0654590606689451</v>
      </c>
      <c r="DE25" s="35">
        <f t="shared" si="95"/>
        <v>1.0654543876647948</v>
      </c>
      <c r="DF25" s="35">
        <f t="shared" si="96"/>
        <v>2.5995614711948889E-6</v>
      </c>
      <c r="DG25" s="35">
        <f t="shared" si="97"/>
        <v>1.0654543876647948</v>
      </c>
      <c r="DH25" s="35">
        <f t="shared" si="98"/>
        <v>1.0654590606689451</v>
      </c>
      <c r="DI25" s="35">
        <f t="shared" si="99"/>
        <v>1.06545672416687</v>
      </c>
      <c r="DJ25" s="35">
        <f t="shared" si="100"/>
        <v>1.0847688847182013E-6</v>
      </c>
      <c r="DK25" s="35">
        <f t="shared" si="101"/>
        <v>1.06545672416687</v>
      </c>
      <c r="DL25" s="35">
        <f t="shared" si="102"/>
        <v>1.0654590606689451</v>
      </c>
      <c r="DM25" s="35">
        <f t="shared" si="103"/>
        <v>1.0654578924179074</v>
      </c>
      <c r="DN25" s="35">
        <f t="shared" si="104"/>
        <v>3.2737346078448581E-7</v>
      </c>
      <c r="DO25" s="35">
        <f t="shared" si="105"/>
        <v>1.0654578924179074</v>
      </c>
      <c r="DP25" s="35">
        <f t="shared" si="106"/>
        <v>1.0654590606689451</v>
      </c>
      <c r="DQ25" s="35">
        <f t="shared" si="107"/>
        <v>1.0654584765434263</v>
      </c>
      <c r="DR25" s="35">
        <f t="shared" si="108"/>
        <v>-5.1324034133770624E-8</v>
      </c>
      <c r="DS25" s="35">
        <f t="shared" si="109"/>
        <v>1.0654578924179074</v>
      </c>
      <c r="DT25" s="35">
        <f t="shared" si="110"/>
        <v>1.0654584765434263</v>
      </c>
      <c r="DU25" s="35">
        <f t="shared" si="111"/>
        <v>1.0654581844806668</v>
      </c>
      <c r="DV25" s="35">
        <f t="shared" si="112"/>
        <v>1.3802469522872229E-7</v>
      </c>
      <c r="DW25" s="35">
        <f t="shared" si="113"/>
        <v>1.0654581844806668</v>
      </c>
      <c r="DX25" s="35">
        <f t="shared" si="114"/>
        <v>1.0654584765434263</v>
      </c>
      <c r="DY25" s="35">
        <f t="shared" si="115"/>
        <v>1.0654583305120466</v>
      </c>
      <c r="DZ25" s="35">
        <f t="shared" si="116"/>
        <v>4.3350325995561434E-8</v>
      </c>
      <c r="EA25" s="35">
        <f t="shared" si="117"/>
        <v>1.0654583305120466</v>
      </c>
      <c r="EB25" s="35">
        <f t="shared" si="118"/>
        <v>1.0654584765434263</v>
      </c>
      <c r="EC25" s="35">
        <f t="shared" si="119"/>
        <v>1.0654584035277366</v>
      </c>
      <c r="ED25" s="35">
        <f t="shared" si="120"/>
        <v>-3.9868552903499221E-9</v>
      </c>
      <c r="EE25" s="35">
        <f t="shared" si="121"/>
        <v>1.0654583305120466</v>
      </c>
      <c r="EF25" s="35">
        <f t="shared" si="122"/>
        <v>1.0654584035277366</v>
      </c>
      <c r="EG25" s="35">
        <f t="shared" si="123"/>
        <v>1.0654583670198916</v>
      </c>
      <c r="EH25" s="35">
        <f t="shared" si="124"/>
        <v>1.9681735130561151E-8</v>
      </c>
      <c r="EI25" s="35">
        <f t="shared" si="125"/>
        <v>1.0654583670198916</v>
      </c>
      <c r="EJ25" s="35">
        <f t="shared" si="126"/>
        <v>1.0654584035277366</v>
      </c>
      <c r="EK25" s="35">
        <f t="shared" si="127"/>
        <v>1.0654583852738142</v>
      </c>
      <c r="EL25" s="35">
        <f t="shared" si="128"/>
        <v>7.847439809083312E-9</v>
      </c>
      <c r="EM25" s="35">
        <f t="shared" si="129"/>
        <v>1.0654583852738142</v>
      </c>
      <c r="EN25" s="35">
        <f t="shared" si="130"/>
        <v>1.0654584035277366</v>
      </c>
      <c r="EO25" s="35">
        <f t="shared" si="131"/>
        <v>1.0654583944007754</v>
      </c>
      <c r="EP25" s="35">
        <f t="shared" si="132"/>
        <v>1.9302921483443924E-9</v>
      </c>
      <c r="EQ25" s="35">
        <f t="shared" si="133"/>
        <v>1.0654583944007754</v>
      </c>
      <c r="ER25" s="35">
        <f t="shared" si="134"/>
        <v>1.0654584035277366</v>
      </c>
      <c r="ES25" s="35">
        <f t="shared" si="135"/>
        <v>1.0654583989642559</v>
      </c>
      <c r="ET25" s="35">
        <f t="shared" si="136"/>
        <v>-1.0282814599804624E-9</v>
      </c>
      <c r="EU25" s="35">
        <f t="shared" si="137"/>
        <v>1.0654583944007754</v>
      </c>
      <c r="EV25" s="35">
        <f t="shared" si="138"/>
        <v>1.0654583989642559</v>
      </c>
      <c r="EW25" s="35">
        <f t="shared" si="139"/>
        <v>1.0654583966825157</v>
      </c>
      <c r="EX25" s="35">
        <f t="shared" si="140"/>
        <v>4.5100545520426749E-10</v>
      </c>
      <c r="EY25" s="35">
        <f t="shared" si="141"/>
        <v>1.0654583966825157</v>
      </c>
      <c r="EZ25" s="35">
        <f t="shared" si="142"/>
        <v>1.0654583989642559</v>
      </c>
      <c r="FA25" s="10">
        <v>9.9999999999999995E-7</v>
      </c>
      <c r="FB25" s="10">
        <v>0.99990000000000001</v>
      </c>
      <c r="FC25" s="35">
        <f t="shared" si="143"/>
        <v>0.49995050000000002</v>
      </c>
      <c r="FD25" s="35">
        <f t="shared" si="144"/>
        <v>-0.24225442311361345</v>
      </c>
      <c r="FE25" s="35">
        <f t="shared" si="145"/>
        <v>9.9999999999999995E-7</v>
      </c>
      <c r="FF25" s="35">
        <f t="shared" si="146"/>
        <v>0.49995050000000002</v>
      </c>
      <c r="FG25" s="35">
        <f t="shared" si="147"/>
        <v>0.24997575</v>
      </c>
      <c r="FH25" s="35">
        <f t="shared" si="148"/>
        <v>-0.10747622360140519</v>
      </c>
      <c r="FI25" s="35">
        <f t="shared" si="149"/>
        <v>9.9999999999999995E-7</v>
      </c>
      <c r="FJ25" s="35">
        <f t="shared" si="150"/>
        <v>0.24997575</v>
      </c>
      <c r="FK25" s="35">
        <f t="shared" si="151"/>
        <v>0.124988375</v>
      </c>
      <c r="FL25" s="35">
        <f t="shared" si="152"/>
        <v>-4.1531448951261152E-2</v>
      </c>
      <c r="FM25" s="35">
        <f t="shared" si="153"/>
        <v>9.9999999999999995E-7</v>
      </c>
      <c r="FN25" s="35">
        <f t="shared" si="154"/>
        <v>0.124988375</v>
      </c>
      <c r="FO25" s="35">
        <f t="shared" si="155"/>
        <v>6.24946875E-2</v>
      </c>
      <c r="FP25" s="35">
        <f t="shared" si="156"/>
        <v>-9.6015564214432247E-3</v>
      </c>
      <c r="FQ25" s="35">
        <f t="shared" si="157"/>
        <v>9.9999999999999995E-7</v>
      </c>
      <c r="FR25" s="35">
        <f t="shared" si="158"/>
        <v>6.24946875E-2</v>
      </c>
      <c r="FS25" s="35">
        <f t="shared" si="159"/>
        <v>3.124784375E-2</v>
      </c>
      <c r="FT25" s="35">
        <f t="shared" si="160"/>
        <v>6.0407516213261125E-3</v>
      </c>
      <c r="FU25" s="35">
        <f t="shared" si="161"/>
        <v>3.124784375E-2</v>
      </c>
      <c r="FV25" s="35">
        <f t="shared" si="162"/>
        <v>6.24946875E-2</v>
      </c>
      <c r="FW25" s="35">
        <f t="shared" si="163"/>
        <v>4.6871265624999998E-2</v>
      </c>
      <c r="FX25" s="35">
        <f t="shared" si="164"/>
        <v>-1.7520096273285768E-3</v>
      </c>
      <c r="FY25" s="35">
        <f t="shared" si="165"/>
        <v>3.124784375E-2</v>
      </c>
      <c r="FZ25" s="35">
        <f t="shared" si="166"/>
        <v>4.6871265624999998E-2</v>
      </c>
      <c r="GA25" s="35">
        <f t="shared" si="167"/>
        <v>3.9059554687499998E-2</v>
      </c>
      <c r="GB25" s="35">
        <f t="shared" si="168"/>
        <v>2.1515714985638201E-3</v>
      </c>
      <c r="GC25" s="35">
        <f t="shared" si="169"/>
        <v>3.9059554687499998E-2</v>
      </c>
      <c r="GD25" s="35">
        <f t="shared" si="170"/>
        <v>4.6871265624999998E-2</v>
      </c>
      <c r="GE25" s="35">
        <f t="shared" si="171"/>
        <v>4.2965410156249995E-2</v>
      </c>
      <c r="GF25" s="35">
        <f t="shared" si="172"/>
        <v>2.0156857126796268E-4</v>
      </c>
      <c r="GG25" s="35">
        <f t="shared" si="173"/>
        <v>4.2965410156249995E-2</v>
      </c>
      <c r="GH25" s="35">
        <f t="shared" si="174"/>
        <v>4.6871265624999998E-2</v>
      </c>
      <c r="GI25" s="35">
        <f t="shared" si="175"/>
        <v>4.4918337890624993E-2</v>
      </c>
      <c r="GJ25" s="35">
        <f t="shared" si="176"/>
        <v>-7.7477520638735697E-4</v>
      </c>
      <c r="GK25" s="35">
        <f t="shared" si="177"/>
        <v>4.2965410156249995E-2</v>
      </c>
      <c r="GL25" s="35">
        <f t="shared" si="178"/>
        <v>4.4918337890624993E-2</v>
      </c>
      <c r="GM25" s="35">
        <f t="shared" si="179"/>
        <v>4.3941874023437494E-2</v>
      </c>
      <c r="GN25" s="35">
        <f t="shared" si="180"/>
        <v>-2.8649178757422789E-4</v>
      </c>
      <c r="GO25" s="35">
        <f t="shared" si="181"/>
        <v>4.2965410156249995E-2</v>
      </c>
      <c r="GP25" s="35">
        <f t="shared" si="182"/>
        <v>4.3941874023437494E-2</v>
      </c>
      <c r="GQ25" s="35">
        <f t="shared" si="183"/>
        <v>4.3453642089843744E-2</v>
      </c>
      <c r="GR25" s="35">
        <f t="shared" si="184"/>
        <v>-4.2433700812027908E-5</v>
      </c>
      <c r="GS25" s="35">
        <f t="shared" si="185"/>
        <v>4.2965410156249995E-2</v>
      </c>
      <c r="GT25" s="35">
        <f t="shared" si="186"/>
        <v>4.3453642089843744E-2</v>
      </c>
      <c r="GU25" s="35">
        <f t="shared" si="187"/>
        <v>4.3209526123046869E-2</v>
      </c>
      <c r="GV25" s="35">
        <f t="shared" si="188"/>
        <v>7.95744151622646E-5</v>
      </c>
      <c r="GW25" s="35">
        <f t="shared" si="189"/>
        <v>4.3209526123046869E-2</v>
      </c>
      <c r="GX25" s="35">
        <f t="shared" si="190"/>
        <v>4.3453642089843744E-2</v>
      </c>
      <c r="GY25" s="35">
        <f t="shared" si="191"/>
        <v>4.3331584106445303E-2</v>
      </c>
      <c r="GZ25" s="35">
        <f t="shared" si="192"/>
        <v>1.8572101771807681E-5</v>
      </c>
      <c r="HA25" s="35">
        <f t="shared" si="193"/>
        <v>4.3331584106445303E-2</v>
      </c>
      <c r="HB25" s="35">
        <f t="shared" si="194"/>
        <v>4.3453642089843744E-2</v>
      </c>
      <c r="HC25" s="35">
        <f t="shared" si="195"/>
        <v>4.3392613098144524E-2</v>
      </c>
      <c r="HD25" s="35">
        <f t="shared" si="196"/>
        <v>-1.1930363419287993E-5</v>
      </c>
      <c r="HE25" s="35">
        <f t="shared" si="197"/>
        <v>4.3331584106445303E-2</v>
      </c>
      <c r="HF25" s="35">
        <f t="shared" si="198"/>
        <v>4.3392613098144524E-2</v>
      </c>
      <c r="HG25" s="35">
        <f t="shared" si="199"/>
        <v>4.336209860229491E-2</v>
      </c>
      <c r="HH25" s="35">
        <f t="shared" si="200"/>
        <v>3.3209782073218008E-6</v>
      </c>
      <c r="HI25" s="35">
        <f t="shared" si="201"/>
        <v>4.336209860229491E-2</v>
      </c>
      <c r="HJ25" s="35">
        <f t="shared" si="202"/>
        <v>4.3392613098144524E-2</v>
      </c>
      <c r="HK25" s="35">
        <f t="shared" si="203"/>
        <v>4.337735585021972E-2</v>
      </c>
      <c r="HL25" s="35">
        <f t="shared" si="204"/>
        <v>-4.3046653489531295E-6</v>
      </c>
      <c r="HM25" s="35">
        <f t="shared" si="205"/>
        <v>4.336209860229491E-2</v>
      </c>
      <c r="HN25" s="35">
        <f t="shared" si="206"/>
        <v>4.337735585021972E-2</v>
      </c>
      <c r="HO25" s="35">
        <f t="shared" si="207"/>
        <v>4.3369727226257315E-2</v>
      </c>
      <c r="HP25" s="35">
        <f t="shared" si="208"/>
        <v>-4.9183675654429493E-7</v>
      </c>
      <c r="HQ25" s="35">
        <f t="shared" si="209"/>
        <v>4.336209860229491E-2</v>
      </c>
      <c r="HR25" s="35">
        <f t="shared" si="210"/>
        <v>4.3369727226257315E-2</v>
      </c>
      <c r="HS25" s="35">
        <f t="shared" si="211"/>
        <v>4.3365912914276113E-2</v>
      </c>
      <c r="HT25" s="35">
        <f t="shared" si="212"/>
        <v>1.4145724289704731E-6</v>
      </c>
      <c r="HU25" s="35">
        <f t="shared" si="213"/>
        <v>4.3365912914276113E-2</v>
      </c>
      <c r="HV25" s="35">
        <f t="shared" si="214"/>
        <v>4.3369727226257315E-2</v>
      </c>
      <c r="HW25" s="35">
        <f t="shared" si="215"/>
        <v>4.336782007026671E-2</v>
      </c>
      <c r="HX25" s="35">
        <f t="shared" si="216"/>
        <v>4.6136826203913017E-7</v>
      </c>
      <c r="HY25" s="35">
        <f t="shared" si="217"/>
        <v>4.336782007026671E-2</v>
      </c>
      <c r="HZ25" s="35">
        <f t="shared" si="218"/>
        <v>4.3369727226257315E-2</v>
      </c>
      <c r="IA25" s="35">
        <f t="shared" si="219"/>
        <v>4.3368773648262013E-2</v>
      </c>
      <c r="IB25" s="35">
        <f t="shared" si="220"/>
        <v>-1.5234140615660863E-8</v>
      </c>
      <c r="IC25" s="35">
        <f t="shared" si="221"/>
        <v>4.336782007026671E-2</v>
      </c>
      <c r="ID25" s="35">
        <f t="shared" si="222"/>
        <v>4.3368773648262013E-2</v>
      </c>
      <c r="IE25" s="35">
        <f t="shared" si="223"/>
        <v>4.3368296859264362E-2</v>
      </c>
      <c r="IF25" s="35">
        <f t="shared" si="224"/>
        <v>2.2306708724606494E-7</v>
      </c>
      <c r="IG25" s="35">
        <f t="shared" si="225"/>
        <v>4.3368296859264362E-2</v>
      </c>
      <c r="IH25" s="35">
        <f t="shared" si="226"/>
        <v>4.3368773648262013E-2</v>
      </c>
      <c r="II25" s="35">
        <f t="shared" si="227"/>
        <v>4.3368535253763191E-2</v>
      </c>
      <c r="IJ25" s="35">
        <f t="shared" si="228"/>
        <v>1.0391648008756249E-7</v>
      </c>
      <c r="IK25" s="35">
        <f t="shared" si="229"/>
        <v>4.3368535253763191E-2</v>
      </c>
      <c r="IL25" s="35">
        <f t="shared" si="230"/>
        <v>4.3368773648262013E-2</v>
      </c>
      <c r="IM25" s="35">
        <f t="shared" si="231"/>
        <v>4.3368654451012602E-2</v>
      </c>
      <c r="IN25" s="35">
        <f t="shared" si="232"/>
        <v>4.4341171179240746E-8</v>
      </c>
      <c r="IO25" s="35">
        <f t="shared" si="233"/>
        <v>4.3368654451012602E-2</v>
      </c>
      <c r="IP25" s="35">
        <f t="shared" si="234"/>
        <v>4.3368773648262013E-2</v>
      </c>
      <c r="IQ25" s="35">
        <f t="shared" si="235"/>
        <v>4.3368714049637311E-2</v>
      </c>
      <c r="IR25" s="35">
        <f t="shared" si="236"/>
        <v>1.4553515947923756E-8</v>
      </c>
      <c r="IS25" s="35">
        <f t="shared" si="237"/>
        <v>4.3368714049637311E-2</v>
      </c>
      <c r="IT25" s="35">
        <f t="shared" si="238"/>
        <v>4.3368773648262013E-2</v>
      </c>
      <c r="IU25" s="35">
        <f t="shared" si="239"/>
        <v>4.3368743848949662E-2</v>
      </c>
      <c r="IV25" s="35">
        <f t="shared" si="240"/>
        <v>-3.4031222284625073E-10</v>
      </c>
      <c r="IW25" s="35">
        <f t="shared" si="241"/>
        <v>4.3368714049637311E-2</v>
      </c>
      <c r="IX25" s="35">
        <f t="shared" si="242"/>
        <v>4.3368743848949662E-2</v>
      </c>
      <c r="IY25" s="35">
        <f t="shared" si="243"/>
        <v>4.3368728949293486E-2</v>
      </c>
      <c r="IZ25" s="35">
        <f t="shared" si="244"/>
        <v>7.1066017515164503E-9</v>
      </c>
      <c r="JA25" s="35">
        <f t="shared" si="245"/>
        <v>4.3368728949293486E-2</v>
      </c>
      <c r="JB25" s="35">
        <f t="shared" si="246"/>
        <v>4.3368743848949662E-2</v>
      </c>
      <c r="JC25" s="35">
        <f t="shared" si="247"/>
        <v>4.3368736399121574E-2</v>
      </c>
      <c r="JD25" s="35">
        <f t="shared" si="248"/>
        <v>3.3831446533127973E-9</v>
      </c>
      <c r="JE25" s="35">
        <f t="shared" si="249"/>
        <v>4.3368736399121574E-2</v>
      </c>
      <c r="JF25" s="35">
        <f t="shared" si="250"/>
        <v>4.3368743848949662E-2</v>
      </c>
      <c r="JG25" s="35">
        <f t="shared" si="251"/>
        <v>4.3368740124035618E-2</v>
      </c>
      <c r="JH25" s="35">
        <f t="shared" si="252"/>
        <v>1.5214161042109708E-9</v>
      </c>
      <c r="JI25" s="35">
        <f t="shared" si="253"/>
        <v>4.3368740124035618E-2</v>
      </c>
      <c r="JJ25" s="35">
        <f t="shared" si="254"/>
        <v>4.3368743848949662E-2</v>
      </c>
      <c r="JK25" s="35">
        <f t="shared" si="255"/>
        <v>4.336874198649264E-2</v>
      </c>
      <c r="JL25" s="35">
        <f t="shared" si="256"/>
        <v>5.9055205170466252E-10</v>
      </c>
      <c r="JM25" s="35">
        <f t="shared" si="257"/>
        <v>4.336874198649264E-2</v>
      </c>
      <c r="JN25" s="35">
        <f t="shared" si="258"/>
        <v>4.3368743848949662E-2</v>
      </c>
      <c r="JO25" s="35">
        <f t="shared" si="259"/>
        <v>4.3368742917721151E-2</v>
      </c>
      <c r="JP25" s="35">
        <f t="shared" si="260"/>
        <v>1.2511991442920589E-10</v>
      </c>
      <c r="JQ25" s="35">
        <f t="shared" si="261"/>
        <v>4.3368742917721151E-2</v>
      </c>
      <c r="JR25" s="35">
        <f t="shared" si="262"/>
        <v>4.3368743848949662E-2</v>
      </c>
      <c r="JS25" s="35">
        <f t="shared" si="263"/>
        <v>4.3368743383335406E-2</v>
      </c>
      <c r="JT25" s="35">
        <f t="shared" si="264"/>
        <v>-1.0759626523082488E-10</v>
      </c>
      <c r="JU25" s="35">
        <f t="shared" si="265"/>
        <v>4.3368742917721151E-2</v>
      </c>
      <c r="JV25" s="35">
        <f t="shared" si="266"/>
        <v>4.3368743383335406E-2</v>
      </c>
      <c r="JW25" s="35">
        <f t="shared" si="267"/>
        <v>4.3368743150528279E-2</v>
      </c>
      <c r="JX25" s="35">
        <f t="shared" si="268"/>
        <v>8.7616580657368104E-12</v>
      </c>
      <c r="JY25" s="35">
        <f t="shared" si="269"/>
        <v>4.3368743150528279E-2</v>
      </c>
      <c r="JZ25" s="35">
        <f t="shared" si="270"/>
        <v>4.3368743383335406E-2</v>
      </c>
      <c r="KA25" s="35">
        <f t="shared" si="271"/>
        <v>1.0654583978233858</v>
      </c>
      <c r="KB25" s="35">
        <f t="shared" si="272"/>
        <v>4.3368743266931839E-2</v>
      </c>
    </row>
    <row r="26" spans="1:288" ht="15" customHeight="1" x14ac:dyDescent="0.3">
      <c r="A26" s="30">
        <f>Odds_Input!A26</f>
        <v>18</v>
      </c>
      <c r="B26" s="7" t="str">
        <f>Odds_Input!B26</f>
        <v>TITLE</v>
      </c>
      <c r="C26" s="7" t="str">
        <f>Odds_Input!C26</f>
        <v>New Orleans Pelicans</v>
      </c>
      <c r="D26" s="7" t="str">
        <f>Odds_Input!D26</f>
        <v>YES</v>
      </c>
      <c r="E26" s="31" t="str">
        <f>Odds_Input!E26</f>
        <v>-</v>
      </c>
      <c r="F26" s="32">
        <f>Odds_Input!F26</f>
        <v>25000</v>
      </c>
      <c r="G26" s="6" t="str">
        <f t="shared" si="0"/>
        <v>TITLE</v>
      </c>
      <c r="H26" s="14">
        <f t="shared" si="1"/>
        <v>251</v>
      </c>
      <c r="I26" s="33">
        <f t="shared" si="2"/>
        <v>3.9840637450199202E-3</v>
      </c>
      <c r="J26" s="17">
        <f t="shared" si="3"/>
        <v>1</v>
      </c>
      <c r="K26" s="17">
        <f t="shared" si="4"/>
        <v>30</v>
      </c>
      <c r="L26" s="18">
        <f t="shared" si="5"/>
        <v>1.252565192422864</v>
      </c>
      <c r="M26" s="34">
        <f t="shared" si="6"/>
        <v>0.25256519242286402</v>
      </c>
      <c r="N26" s="33">
        <f t="shared" si="7"/>
        <v>3.1807236614275216E-3</v>
      </c>
      <c r="O26" s="33">
        <f t="shared" si="8"/>
        <v>2.3027238623231816E-3</v>
      </c>
      <c r="P26" s="33">
        <f t="shared" si="9"/>
        <v>1.0482741504970515E-3</v>
      </c>
      <c r="Q26" s="33">
        <f t="shared" si="10"/>
        <v>1.0482741504970515E-3</v>
      </c>
      <c r="R26" s="35">
        <f t="shared" si="11"/>
        <v>1.0992153287166726</v>
      </c>
      <c r="S26" s="35">
        <f t="shared" si="12"/>
        <v>1.1051948455485863E-2</v>
      </c>
      <c r="X26" s="6" t="s">
        <v>801</v>
      </c>
      <c r="Y26" s="6">
        <f t="shared" si="13"/>
        <v>1</v>
      </c>
      <c r="Z26" s="18">
        <f t="shared" si="14"/>
        <v>1.0454545454545454</v>
      </c>
      <c r="AA26" s="10">
        <v>0.2</v>
      </c>
      <c r="AB26" s="10">
        <v>10</v>
      </c>
      <c r="AC26" s="35">
        <f t="shared" si="15"/>
        <v>5.0999999999999996</v>
      </c>
      <c r="AD26" s="35">
        <f t="shared" si="16"/>
        <v>-0.92539954235841471</v>
      </c>
      <c r="AE26" s="35">
        <f t="shared" si="17"/>
        <v>0.2</v>
      </c>
      <c r="AF26" s="35">
        <f t="shared" si="18"/>
        <v>5.0999999999999996</v>
      </c>
      <c r="AG26" s="35">
        <f t="shared" si="19"/>
        <v>2.65</v>
      </c>
      <c r="AH26" s="35">
        <f t="shared" si="20"/>
        <v>-0.64004330393040465</v>
      </c>
      <c r="AI26" s="35">
        <f t="shared" si="21"/>
        <v>0.2</v>
      </c>
      <c r="AJ26" s="35">
        <f t="shared" si="22"/>
        <v>2.65</v>
      </c>
      <c r="AK26" s="35">
        <f t="shared" si="23"/>
        <v>1.425</v>
      </c>
      <c r="AL26" s="35">
        <f t="shared" si="24"/>
        <v>-0.20599970626899999</v>
      </c>
      <c r="AM26" s="35">
        <f t="shared" si="25"/>
        <v>0.2</v>
      </c>
      <c r="AN26" s="35">
        <f t="shared" si="26"/>
        <v>1.425</v>
      </c>
      <c r="AO26" s="35">
        <f t="shared" si="27"/>
        <v>0.8125</v>
      </c>
      <c r="AP26" s="35">
        <f t="shared" si="28"/>
        <v>0.18050001693930851</v>
      </c>
      <c r="AQ26" s="35">
        <f t="shared" si="29"/>
        <v>0.8125</v>
      </c>
      <c r="AR26" s="35">
        <f t="shared" si="30"/>
        <v>1.425</v>
      </c>
      <c r="AS26" s="35">
        <f t="shared" si="31"/>
        <v>1.1187499999999999</v>
      </c>
      <c r="AT26" s="35">
        <f t="shared" si="32"/>
        <v>-3.1934205800687954E-2</v>
      </c>
      <c r="AU26" s="35">
        <f t="shared" si="33"/>
        <v>0.8125</v>
      </c>
      <c r="AV26" s="35">
        <f t="shared" si="34"/>
        <v>1.1187499999999999</v>
      </c>
      <c r="AW26" s="35">
        <f t="shared" si="35"/>
        <v>0.96562499999999996</v>
      </c>
      <c r="AX26" s="35">
        <f t="shared" si="36"/>
        <v>6.8995350859696325E-2</v>
      </c>
      <c r="AY26" s="35">
        <f t="shared" si="37"/>
        <v>0.96562499999999996</v>
      </c>
      <c r="AZ26" s="35">
        <f t="shared" si="38"/>
        <v>1.1187499999999999</v>
      </c>
      <c r="BA26" s="35">
        <f t="shared" si="39"/>
        <v>1.0421874999999998</v>
      </c>
      <c r="BB26" s="35">
        <f t="shared" si="40"/>
        <v>1.7273992252547554E-2</v>
      </c>
      <c r="BC26" s="35">
        <f t="shared" si="41"/>
        <v>1.0421874999999998</v>
      </c>
      <c r="BD26" s="35">
        <f t="shared" si="42"/>
        <v>1.1187499999999999</v>
      </c>
      <c r="BE26" s="35">
        <f t="shared" si="43"/>
        <v>1.0804687499999999</v>
      </c>
      <c r="BF26" s="35">
        <f t="shared" si="44"/>
        <v>-7.6364427676745006E-3</v>
      </c>
      <c r="BG26" s="35">
        <f t="shared" si="45"/>
        <v>1.0421874999999998</v>
      </c>
      <c r="BH26" s="35">
        <f t="shared" si="46"/>
        <v>1.0804687499999999</v>
      </c>
      <c r="BI26" s="35">
        <f t="shared" si="47"/>
        <v>1.0613281249999997</v>
      </c>
      <c r="BJ26" s="35">
        <f t="shared" si="48"/>
        <v>4.7412299184854678E-3</v>
      </c>
      <c r="BK26" s="35">
        <f t="shared" si="49"/>
        <v>1.0613281249999997</v>
      </c>
      <c r="BL26" s="35">
        <f t="shared" si="50"/>
        <v>1.0804687499999999</v>
      </c>
      <c r="BM26" s="35">
        <f t="shared" si="51"/>
        <v>1.0708984374999999</v>
      </c>
      <c r="BN26" s="35">
        <f t="shared" si="52"/>
        <v>-1.4668715838355162E-3</v>
      </c>
      <c r="BO26" s="35">
        <f t="shared" si="53"/>
        <v>1.0613281249999997</v>
      </c>
      <c r="BP26" s="35">
        <f t="shared" si="54"/>
        <v>1.0708984374999999</v>
      </c>
      <c r="BQ26" s="35">
        <f t="shared" si="55"/>
        <v>1.0661132812499998</v>
      </c>
      <c r="BR26" s="35">
        <f t="shared" si="56"/>
        <v>1.6323478060529251E-3</v>
      </c>
      <c r="BS26" s="35">
        <f t="shared" si="57"/>
        <v>1.0661132812499998</v>
      </c>
      <c r="BT26" s="35">
        <f t="shared" si="58"/>
        <v>1.0708984374999999</v>
      </c>
      <c r="BU26" s="35">
        <f t="shared" si="59"/>
        <v>1.0685058593749999</v>
      </c>
      <c r="BV26" s="35">
        <f t="shared" si="60"/>
        <v>8.1532158421993017E-5</v>
      </c>
      <c r="BW26" s="35">
        <f t="shared" si="61"/>
        <v>1.0685058593749999</v>
      </c>
      <c r="BX26" s="35">
        <f t="shared" si="62"/>
        <v>1.0708984374999999</v>
      </c>
      <c r="BY26" s="35">
        <f t="shared" si="63"/>
        <v>1.0697021484375</v>
      </c>
      <c r="BZ26" s="35">
        <f t="shared" si="64"/>
        <v>-6.9297096524878476E-4</v>
      </c>
      <c r="CA26" s="35">
        <f t="shared" si="65"/>
        <v>1.0685058593749999</v>
      </c>
      <c r="CB26" s="35">
        <f t="shared" si="66"/>
        <v>1.0697021484375</v>
      </c>
      <c r="CC26" s="35">
        <f t="shared" si="67"/>
        <v>1.0691040039062498</v>
      </c>
      <c r="CD26" s="35">
        <f t="shared" si="68"/>
        <v>-3.057947459881305E-4</v>
      </c>
      <c r="CE26" s="35">
        <f t="shared" si="69"/>
        <v>1.0685058593749999</v>
      </c>
      <c r="CF26" s="35">
        <f t="shared" si="70"/>
        <v>1.0691040039062498</v>
      </c>
      <c r="CG26" s="35">
        <f t="shared" si="71"/>
        <v>1.0688049316406247</v>
      </c>
      <c r="CH26" s="35">
        <f t="shared" si="72"/>
        <v>-1.1215013310783561E-4</v>
      </c>
      <c r="CI26" s="35">
        <f t="shared" si="73"/>
        <v>1.0685058593749999</v>
      </c>
      <c r="CJ26" s="35">
        <f t="shared" si="74"/>
        <v>1.0688049316406247</v>
      </c>
      <c r="CK26" s="35">
        <f t="shared" si="75"/>
        <v>1.0686553955078124</v>
      </c>
      <c r="CL26" s="35">
        <f t="shared" si="76"/>
        <v>-1.5313697634411483E-5</v>
      </c>
      <c r="CM26" s="35">
        <f t="shared" si="77"/>
        <v>1.0685058593749999</v>
      </c>
      <c r="CN26" s="35">
        <f t="shared" si="78"/>
        <v>1.0686553955078124</v>
      </c>
      <c r="CO26" s="35">
        <f t="shared" si="79"/>
        <v>1.0685806274414063</v>
      </c>
      <c r="CP26" s="35">
        <f t="shared" si="80"/>
        <v>3.3108052763353157E-5</v>
      </c>
      <c r="CQ26" s="35">
        <f t="shared" si="81"/>
        <v>1.0685806274414063</v>
      </c>
      <c r="CR26" s="35">
        <f t="shared" si="82"/>
        <v>1.0686553955078124</v>
      </c>
      <c r="CS26" s="35">
        <f t="shared" si="83"/>
        <v>1.0686180114746093</v>
      </c>
      <c r="CT26" s="35">
        <f t="shared" si="84"/>
        <v>8.8968831639668622E-6</v>
      </c>
      <c r="CU26" s="35">
        <f t="shared" si="85"/>
        <v>1.0686180114746093</v>
      </c>
      <c r="CV26" s="35">
        <f t="shared" si="86"/>
        <v>1.0686553955078124</v>
      </c>
      <c r="CW26" s="35">
        <f t="shared" si="87"/>
        <v>1.0686367034912108</v>
      </c>
      <c r="CX26" s="35">
        <f t="shared" si="88"/>
        <v>-3.2084808343491034E-6</v>
      </c>
      <c r="CY26" s="35">
        <f t="shared" si="89"/>
        <v>1.0686180114746093</v>
      </c>
      <c r="CZ26" s="35">
        <f t="shared" si="90"/>
        <v>1.0686367034912108</v>
      </c>
      <c r="DA26" s="35">
        <f t="shared" si="91"/>
        <v>1.0686273574829102</v>
      </c>
      <c r="DB26" s="35">
        <f t="shared" si="92"/>
        <v>2.8441827648606477E-6</v>
      </c>
      <c r="DC26" s="35">
        <f t="shared" si="93"/>
        <v>1.0686273574829102</v>
      </c>
      <c r="DD26" s="35">
        <f t="shared" si="94"/>
        <v>1.0686367034912108</v>
      </c>
      <c r="DE26" s="35">
        <f t="shared" si="95"/>
        <v>1.0686320304870605</v>
      </c>
      <c r="DF26" s="35">
        <f t="shared" si="96"/>
        <v>-1.8215363484230807E-7</v>
      </c>
      <c r="DG26" s="35">
        <f t="shared" si="97"/>
        <v>1.0686273574829102</v>
      </c>
      <c r="DH26" s="35">
        <f t="shared" si="98"/>
        <v>1.0686320304870605</v>
      </c>
      <c r="DI26" s="35">
        <f t="shared" si="99"/>
        <v>1.0686296939849853</v>
      </c>
      <c r="DJ26" s="35">
        <f t="shared" si="100"/>
        <v>1.3310134150401609E-6</v>
      </c>
      <c r="DK26" s="35">
        <f t="shared" si="101"/>
        <v>1.0686296939849853</v>
      </c>
      <c r="DL26" s="35">
        <f t="shared" si="102"/>
        <v>1.0686320304870605</v>
      </c>
      <c r="DM26" s="35">
        <f t="shared" si="103"/>
        <v>1.0686308622360228</v>
      </c>
      <c r="DN26" s="35">
        <f t="shared" si="104"/>
        <v>5.7442960277320765E-7</v>
      </c>
      <c r="DO26" s="35">
        <f t="shared" si="105"/>
        <v>1.0686308622360228</v>
      </c>
      <c r="DP26" s="35">
        <f t="shared" si="106"/>
        <v>1.0686320304870605</v>
      </c>
      <c r="DQ26" s="35">
        <f t="shared" si="107"/>
        <v>1.0686314463615416</v>
      </c>
      <c r="DR26" s="35">
        <f t="shared" si="108"/>
        <v>1.961379121340201E-7</v>
      </c>
      <c r="DS26" s="35">
        <f t="shared" si="109"/>
        <v>1.0686314463615416</v>
      </c>
      <c r="DT26" s="35">
        <f t="shared" si="110"/>
        <v>1.0686320304870605</v>
      </c>
      <c r="DU26" s="35">
        <f t="shared" si="111"/>
        <v>1.0686317384243011</v>
      </c>
      <c r="DV26" s="35">
        <f t="shared" si="112"/>
        <v>6.9921206602430175E-9</v>
      </c>
      <c r="DW26" s="35">
        <f t="shared" si="113"/>
        <v>1.0686317384243011</v>
      </c>
      <c r="DX26" s="35">
        <f t="shared" si="114"/>
        <v>1.0686320304870605</v>
      </c>
      <c r="DY26" s="35">
        <f t="shared" si="115"/>
        <v>1.0686318844556808</v>
      </c>
      <c r="DZ26" s="35">
        <f t="shared" si="116"/>
        <v>-8.7580761531924622E-8</v>
      </c>
      <c r="EA26" s="35">
        <f t="shared" si="117"/>
        <v>1.0686317384243011</v>
      </c>
      <c r="EB26" s="35">
        <f t="shared" si="118"/>
        <v>1.0686318844556808</v>
      </c>
      <c r="EC26" s="35">
        <f t="shared" si="119"/>
        <v>1.0686318114399911</v>
      </c>
      <c r="ED26" s="35">
        <f t="shared" si="120"/>
        <v>-4.029432165708613E-8</v>
      </c>
      <c r="EE26" s="35">
        <f t="shared" si="121"/>
        <v>1.0686317384243011</v>
      </c>
      <c r="EF26" s="35">
        <f t="shared" si="122"/>
        <v>1.0686318114399911</v>
      </c>
      <c r="EG26" s="35">
        <f t="shared" si="123"/>
        <v>1.0686317749321461</v>
      </c>
      <c r="EH26" s="35">
        <f t="shared" si="124"/>
        <v>-1.6651100720466161E-8</v>
      </c>
      <c r="EI26" s="35">
        <f t="shared" si="125"/>
        <v>1.0686317384243011</v>
      </c>
      <c r="EJ26" s="35">
        <f t="shared" si="126"/>
        <v>1.0686317749321461</v>
      </c>
      <c r="EK26" s="35">
        <f t="shared" si="127"/>
        <v>1.0686317566782235</v>
      </c>
      <c r="EL26" s="35">
        <f t="shared" si="128"/>
        <v>-4.8294900301115717E-9</v>
      </c>
      <c r="EM26" s="35">
        <f t="shared" si="129"/>
        <v>1.0686317384243011</v>
      </c>
      <c r="EN26" s="35">
        <f t="shared" si="130"/>
        <v>1.0686317566782235</v>
      </c>
      <c r="EO26" s="35">
        <f t="shared" si="131"/>
        <v>1.0686317475512623</v>
      </c>
      <c r="EP26" s="35">
        <f t="shared" si="132"/>
        <v>1.0813152595545716E-9</v>
      </c>
      <c r="EQ26" s="35">
        <f t="shared" si="133"/>
        <v>1.0686317475512623</v>
      </c>
      <c r="ER26" s="35">
        <f t="shared" si="134"/>
        <v>1.0686317566782235</v>
      </c>
      <c r="ES26" s="35">
        <f t="shared" si="135"/>
        <v>1.0686317521147428</v>
      </c>
      <c r="ET26" s="35">
        <f t="shared" si="136"/>
        <v>-1.8740873297673488E-9</v>
      </c>
      <c r="EU26" s="35">
        <f t="shared" si="137"/>
        <v>1.0686317475512623</v>
      </c>
      <c r="EV26" s="35">
        <f t="shared" si="138"/>
        <v>1.0686317521147428</v>
      </c>
      <c r="EW26" s="35">
        <f t="shared" si="139"/>
        <v>1.0686317498330027</v>
      </c>
      <c r="EX26" s="35">
        <f t="shared" si="140"/>
        <v>-3.9638603510638859E-10</v>
      </c>
      <c r="EY26" s="35">
        <f t="shared" si="141"/>
        <v>1.0686317475512623</v>
      </c>
      <c r="EZ26" s="35">
        <f t="shared" si="142"/>
        <v>1.0686317498330027</v>
      </c>
      <c r="FA26" s="10">
        <v>9.9999999999999995E-7</v>
      </c>
      <c r="FB26" s="10">
        <v>0.99990000000000001</v>
      </c>
      <c r="FC26" s="35">
        <f t="shared" si="143"/>
        <v>0.49995050000000002</v>
      </c>
      <c r="FD26" s="35">
        <f t="shared" si="144"/>
        <v>-0.24151146190266881</v>
      </c>
      <c r="FE26" s="35">
        <f t="shared" si="145"/>
        <v>9.9999999999999995E-7</v>
      </c>
      <c r="FF26" s="35">
        <f t="shared" si="146"/>
        <v>0.49995050000000002</v>
      </c>
      <c r="FG26" s="35">
        <f t="shared" si="147"/>
        <v>0.24997575</v>
      </c>
      <c r="FH26" s="35">
        <f t="shared" si="148"/>
        <v>-0.10643591268936592</v>
      </c>
      <c r="FI26" s="35">
        <f t="shared" si="149"/>
        <v>9.9999999999999995E-7</v>
      </c>
      <c r="FJ26" s="35">
        <f t="shared" si="150"/>
        <v>0.24997575</v>
      </c>
      <c r="FK26" s="35">
        <f t="shared" si="151"/>
        <v>0.124988375</v>
      </c>
      <c r="FL26" s="35">
        <f t="shared" si="152"/>
        <v>-4.0466733385815967E-2</v>
      </c>
      <c r="FM26" s="35">
        <f t="shared" si="153"/>
        <v>9.9999999999999995E-7</v>
      </c>
      <c r="FN26" s="35">
        <f t="shared" si="154"/>
        <v>0.124988375</v>
      </c>
      <c r="FO26" s="35">
        <f t="shared" si="155"/>
        <v>6.24946875E-2</v>
      </c>
      <c r="FP26" s="35">
        <f t="shared" si="156"/>
        <v>-8.5504120192351207E-3</v>
      </c>
      <c r="FQ26" s="35">
        <f t="shared" si="157"/>
        <v>9.9999999999999995E-7</v>
      </c>
      <c r="FR26" s="35">
        <f t="shared" si="158"/>
        <v>6.24946875E-2</v>
      </c>
      <c r="FS26" s="35">
        <f t="shared" si="159"/>
        <v>3.124784375E-2</v>
      </c>
      <c r="FT26" s="35">
        <f t="shared" si="160"/>
        <v>7.0800242070911956E-3</v>
      </c>
      <c r="FU26" s="35">
        <f t="shared" si="161"/>
        <v>3.124784375E-2</v>
      </c>
      <c r="FV26" s="35">
        <f t="shared" si="162"/>
        <v>6.24946875E-2</v>
      </c>
      <c r="FW26" s="35">
        <f t="shared" si="163"/>
        <v>4.6871265624999998E-2</v>
      </c>
      <c r="FX26" s="35">
        <f t="shared" si="164"/>
        <v>-7.06420005394226E-4</v>
      </c>
      <c r="FY26" s="35">
        <f t="shared" si="165"/>
        <v>3.124784375E-2</v>
      </c>
      <c r="FZ26" s="35">
        <f t="shared" si="166"/>
        <v>4.6871265624999998E-2</v>
      </c>
      <c r="GA26" s="35">
        <f t="shared" si="167"/>
        <v>3.9059554687499998E-2</v>
      </c>
      <c r="GB26" s="35">
        <f t="shared" si="168"/>
        <v>3.1940946901758416E-3</v>
      </c>
      <c r="GC26" s="35">
        <f t="shared" si="169"/>
        <v>3.9059554687499998E-2</v>
      </c>
      <c r="GD26" s="35">
        <f t="shared" si="170"/>
        <v>4.6871265624999998E-2</v>
      </c>
      <c r="GE26" s="35">
        <f t="shared" si="171"/>
        <v>4.2965410156249995E-2</v>
      </c>
      <c r="GF26" s="35">
        <f t="shared" si="172"/>
        <v>1.2456483981968525E-3</v>
      </c>
      <c r="GG26" s="35">
        <f t="shared" si="173"/>
        <v>4.2965410156249995E-2</v>
      </c>
      <c r="GH26" s="35">
        <f t="shared" si="174"/>
        <v>4.6871265624999998E-2</v>
      </c>
      <c r="GI26" s="35">
        <f t="shared" si="175"/>
        <v>4.4918337890624993E-2</v>
      </c>
      <c r="GJ26" s="35">
        <f t="shared" si="176"/>
        <v>2.7006542296659219E-4</v>
      </c>
      <c r="GK26" s="35">
        <f t="shared" si="177"/>
        <v>4.4918337890624993E-2</v>
      </c>
      <c r="GL26" s="35">
        <f t="shared" si="178"/>
        <v>4.6871265624999998E-2</v>
      </c>
      <c r="GM26" s="35">
        <f t="shared" si="179"/>
        <v>4.5894801757812492E-2</v>
      </c>
      <c r="GN26" s="35">
        <f t="shared" si="180"/>
        <v>-2.1806467837326426E-4</v>
      </c>
      <c r="GO26" s="35">
        <f t="shared" si="181"/>
        <v>4.4918337890624993E-2</v>
      </c>
      <c r="GP26" s="35">
        <f t="shared" si="182"/>
        <v>4.5894801757812492E-2</v>
      </c>
      <c r="GQ26" s="35">
        <f t="shared" si="183"/>
        <v>4.5406569824218743E-2</v>
      </c>
      <c r="GR26" s="35">
        <f t="shared" si="184"/>
        <v>2.6028549804602008E-5</v>
      </c>
      <c r="GS26" s="35">
        <f t="shared" si="185"/>
        <v>4.5406569824218743E-2</v>
      </c>
      <c r="GT26" s="35">
        <f t="shared" si="186"/>
        <v>4.5894801757812492E-2</v>
      </c>
      <c r="GU26" s="35">
        <f t="shared" si="187"/>
        <v>4.5650685791015617E-2</v>
      </c>
      <c r="GV26" s="35">
        <f t="shared" si="188"/>
        <v>-9.6011022939879176E-5</v>
      </c>
      <c r="GW26" s="35">
        <f t="shared" si="189"/>
        <v>4.5406569824218743E-2</v>
      </c>
      <c r="GX26" s="35">
        <f t="shared" si="190"/>
        <v>4.5650685791015617E-2</v>
      </c>
      <c r="GY26" s="35">
        <f t="shared" si="191"/>
        <v>4.5528627807617184E-2</v>
      </c>
      <c r="GZ26" s="35">
        <f t="shared" si="192"/>
        <v>-3.4989475852231777E-5</v>
      </c>
      <c r="HA26" s="35">
        <f t="shared" si="193"/>
        <v>4.5406569824218743E-2</v>
      </c>
      <c r="HB26" s="35">
        <f t="shared" si="194"/>
        <v>4.5528627807617184E-2</v>
      </c>
      <c r="HC26" s="35">
        <f t="shared" si="195"/>
        <v>4.5467598815917963E-2</v>
      </c>
      <c r="HD26" s="35">
        <f t="shared" si="196"/>
        <v>-4.4800227976260487E-6</v>
      </c>
      <c r="HE26" s="35">
        <f t="shared" si="197"/>
        <v>4.5406569824218743E-2</v>
      </c>
      <c r="HF26" s="35">
        <f t="shared" si="198"/>
        <v>4.5467598815917963E-2</v>
      </c>
      <c r="HG26" s="35">
        <f t="shared" si="199"/>
        <v>4.5437084320068349E-2</v>
      </c>
      <c r="HH26" s="35">
        <f t="shared" si="200"/>
        <v>1.0774373566224682E-5</v>
      </c>
      <c r="HI26" s="35">
        <f t="shared" si="201"/>
        <v>4.5437084320068349E-2</v>
      </c>
      <c r="HJ26" s="35">
        <f t="shared" si="202"/>
        <v>4.5467598815917963E-2</v>
      </c>
      <c r="HK26" s="35">
        <f t="shared" si="203"/>
        <v>4.545234156799316E-2</v>
      </c>
      <c r="HL26" s="35">
        <f t="shared" si="204"/>
        <v>3.1472028991785805E-6</v>
      </c>
      <c r="HM26" s="35">
        <f t="shared" si="205"/>
        <v>4.545234156799316E-2</v>
      </c>
      <c r="HN26" s="35">
        <f t="shared" si="206"/>
        <v>4.5467598815917963E-2</v>
      </c>
      <c r="HO26" s="35">
        <f t="shared" si="207"/>
        <v>4.5459970191955565E-2</v>
      </c>
      <c r="HP26" s="35">
        <f t="shared" si="208"/>
        <v>-6.6640307061494042E-7</v>
      </c>
      <c r="HQ26" s="35">
        <f t="shared" si="209"/>
        <v>4.545234156799316E-2</v>
      </c>
      <c r="HR26" s="35">
        <f t="shared" si="210"/>
        <v>4.5459970191955565E-2</v>
      </c>
      <c r="HS26" s="35">
        <f t="shared" si="211"/>
        <v>4.5456155879974362E-2</v>
      </c>
      <c r="HT26" s="35">
        <f t="shared" si="212"/>
        <v>1.2404016338507518E-6</v>
      </c>
      <c r="HU26" s="35">
        <f t="shared" si="213"/>
        <v>4.5456155879974362E-2</v>
      </c>
      <c r="HV26" s="35">
        <f t="shared" si="214"/>
        <v>4.5459970191955565E-2</v>
      </c>
      <c r="HW26" s="35">
        <f t="shared" si="215"/>
        <v>4.545806303596496E-2</v>
      </c>
      <c r="HX26" s="35">
        <f t="shared" si="216"/>
        <v>2.8699971155177195E-7</v>
      </c>
      <c r="HY26" s="35">
        <f t="shared" si="217"/>
        <v>4.545806303596496E-2</v>
      </c>
      <c r="HZ26" s="35">
        <f t="shared" si="218"/>
        <v>4.5459970191955565E-2</v>
      </c>
      <c r="IA26" s="35">
        <f t="shared" si="219"/>
        <v>4.5459016613960262E-2</v>
      </c>
      <c r="IB26" s="35">
        <f t="shared" si="220"/>
        <v>-1.897015720064843E-7</v>
      </c>
      <c r="IC26" s="35">
        <f t="shared" si="221"/>
        <v>4.545806303596496E-2</v>
      </c>
      <c r="ID26" s="35">
        <f t="shared" si="222"/>
        <v>4.5459016613960262E-2</v>
      </c>
      <c r="IE26" s="35">
        <f t="shared" si="223"/>
        <v>4.5458539824962611E-2</v>
      </c>
      <c r="IF26" s="35">
        <f t="shared" si="224"/>
        <v>4.8649096751063325E-8</v>
      </c>
      <c r="IG26" s="35">
        <f t="shared" si="225"/>
        <v>4.5458539824962611E-2</v>
      </c>
      <c r="IH26" s="35">
        <f t="shared" si="226"/>
        <v>4.5459016613960262E-2</v>
      </c>
      <c r="II26" s="35">
        <f t="shared" si="227"/>
        <v>4.545877821946144E-2</v>
      </c>
      <c r="IJ26" s="35">
        <f t="shared" si="228"/>
        <v>-7.0526230966372339E-8</v>
      </c>
      <c r="IK26" s="35">
        <f t="shared" si="229"/>
        <v>4.5458539824962611E-2</v>
      </c>
      <c r="IL26" s="35">
        <f t="shared" si="230"/>
        <v>4.545877821946144E-2</v>
      </c>
      <c r="IM26" s="35">
        <f t="shared" si="231"/>
        <v>4.5458659022212022E-2</v>
      </c>
      <c r="IN26" s="35">
        <f t="shared" si="232"/>
        <v>-1.0938565608853423E-8</v>
      </c>
      <c r="IO26" s="35">
        <f t="shared" si="233"/>
        <v>4.5458539824962611E-2</v>
      </c>
      <c r="IP26" s="35">
        <f t="shared" si="234"/>
        <v>4.5458659022212022E-2</v>
      </c>
      <c r="IQ26" s="35">
        <f t="shared" si="235"/>
        <v>4.545859942358732E-2</v>
      </c>
      <c r="IR26" s="35">
        <f t="shared" si="236"/>
        <v>1.8855266015194161E-8</v>
      </c>
      <c r="IS26" s="35">
        <f t="shared" si="237"/>
        <v>4.545859942358732E-2</v>
      </c>
      <c r="IT26" s="35">
        <f t="shared" si="238"/>
        <v>4.5458659022212022E-2</v>
      </c>
      <c r="IU26" s="35">
        <f t="shared" si="239"/>
        <v>4.5458629222899671E-2</v>
      </c>
      <c r="IV26" s="35">
        <f t="shared" si="240"/>
        <v>3.9583503141926712E-9</v>
      </c>
      <c r="IW26" s="35">
        <f t="shared" si="241"/>
        <v>4.5458629222899671E-2</v>
      </c>
      <c r="IX26" s="35">
        <f t="shared" si="242"/>
        <v>4.5458659022212022E-2</v>
      </c>
      <c r="IY26" s="35">
        <f t="shared" si="243"/>
        <v>4.5458644122555847E-2</v>
      </c>
      <c r="IZ26" s="35">
        <f t="shared" si="244"/>
        <v>-3.4901075363080736E-9</v>
      </c>
      <c r="JA26" s="35">
        <f t="shared" si="245"/>
        <v>4.5458629222899671E-2</v>
      </c>
      <c r="JB26" s="35">
        <f t="shared" si="246"/>
        <v>4.5458644122555847E-2</v>
      </c>
      <c r="JC26" s="35">
        <f t="shared" si="247"/>
        <v>4.5458636672727759E-2</v>
      </c>
      <c r="JD26" s="35">
        <f t="shared" si="248"/>
        <v>2.3412138894229884E-10</v>
      </c>
      <c r="JE26" s="35">
        <f t="shared" si="249"/>
        <v>4.5458636672727759E-2</v>
      </c>
      <c r="JF26" s="35">
        <f t="shared" si="250"/>
        <v>4.5458644122555847E-2</v>
      </c>
      <c r="JG26" s="35">
        <f t="shared" si="251"/>
        <v>4.5458640397641803E-2</v>
      </c>
      <c r="JH26" s="35">
        <f t="shared" si="252"/>
        <v>-1.6279930736828874E-9</v>
      </c>
      <c r="JI26" s="35">
        <f t="shared" si="253"/>
        <v>4.5458636672727759E-2</v>
      </c>
      <c r="JJ26" s="35">
        <f t="shared" si="254"/>
        <v>4.5458640397641803E-2</v>
      </c>
      <c r="JK26" s="35">
        <f t="shared" si="255"/>
        <v>4.5458638535184781E-2</v>
      </c>
      <c r="JL26" s="35">
        <f t="shared" si="256"/>
        <v>-6.9693584237029427E-10</v>
      </c>
      <c r="JM26" s="35">
        <f t="shared" si="257"/>
        <v>4.5458636672727759E-2</v>
      </c>
      <c r="JN26" s="35">
        <f t="shared" si="258"/>
        <v>4.5458638535184781E-2</v>
      </c>
      <c r="JO26" s="35">
        <f t="shared" si="259"/>
        <v>4.545863760395627E-2</v>
      </c>
      <c r="JP26" s="35">
        <f t="shared" si="260"/>
        <v>-2.3140722671399772E-10</v>
      </c>
      <c r="JQ26" s="35">
        <f t="shared" si="261"/>
        <v>4.5458636672727759E-2</v>
      </c>
      <c r="JR26" s="35">
        <f t="shared" si="262"/>
        <v>4.545863760395627E-2</v>
      </c>
      <c r="JS26" s="35">
        <f t="shared" si="263"/>
        <v>4.5458637138342015E-2</v>
      </c>
      <c r="JT26" s="35">
        <f t="shared" si="264"/>
        <v>1.3571366253017914E-12</v>
      </c>
      <c r="JU26" s="35">
        <f t="shared" si="265"/>
        <v>4.5458637138342015E-2</v>
      </c>
      <c r="JV26" s="35">
        <f t="shared" si="266"/>
        <v>4.545863760395627E-2</v>
      </c>
      <c r="JW26" s="35">
        <f t="shared" si="267"/>
        <v>4.5458637371149142E-2</v>
      </c>
      <c r="JX26" s="35">
        <f t="shared" si="268"/>
        <v>-1.1502510055549919E-10</v>
      </c>
      <c r="JY26" s="35">
        <f t="shared" si="269"/>
        <v>4.5458637138342015E-2</v>
      </c>
      <c r="JZ26" s="35">
        <f t="shared" si="270"/>
        <v>4.5458637371149142E-2</v>
      </c>
      <c r="KA26" s="35">
        <f t="shared" si="271"/>
        <v>1.0686317486921326</v>
      </c>
      <c r="KB26" s="35">
        <f t="shared" si="272"/>
        <v>4.5458637254745582E-2</v>
      </c>
    </row>
    <row r="27" spans="1:288" ht="15" customHeight="1" x14ac:dyDescent="0.3">
      <c r="A27" s="30">
        <f>Odds_Input!A27</f>
        <v>19</v>
      </c>
      <c r="B27" s="7" t="str">
        <f>Odds_Input!B27</f>
        <v>TITLE</v>
      </c>
      <c r="C27" s="7" t="str">
        <f>Odds_Input!C27</f>
        <v>New York Knicks</v>
      </c>
      <c r="D27" s="7" t="str">
        <f>Odds_Input!D27</f>
        <v>YES</v>
      </c>
      <c r="E27" s="31" t="str">
        <f>Odds_Input!E27</f>
        <v>-</v>
      </c>
      <c r="F27" s="32">
        <f>Odds_Input!F27</f>
        <v>925</v>
      </c>
      <c r="G27" s="6" t="str">
        <f t="shared" si="0"/>
        <v>TITLE</v>
      </c>
      <c r="H27" s="14">
        <f t="shared" si="1"/>
        <v>10.25</v>
      </c>
      <c r="I27" s="33">
        <f t="shared" si="2"/>
        <v>9.7560975609756101E-2</v>
      </c>
      <c r="J27" s="17">
        <f t="shared" si="3"/>
        <v>1</v>
      </c>
      <c r="K27" s="17">
        <f t="shared" si="4"/>
        <v>30</v>
      </c>
      <c r="L27" s="18">
        <f t="shared" si="5"/>
        <v>1.252565192422864</v>
      </c>
      <c r="M27" s="34">
        <f t="shared" si="6"/>
        <v>0.25256519242286402</v>
      </c>
      <c r="N27" s="33">
        <f t="shared" si="7"/>
        <v>7.7888940392030051E-2</v>
      </c>
      <c r="O27" s="33">
        <f t="shared" si="8"/>
        <v>7.7445615211851129E-2</v>
      </c>
      <c r="P27" s="33">
        <f t="shared" si="9"/>
        <v>8.2247714149514636E-2</v>
      </c>
      <c r="Q27" s="33">
        <f t="shared" si="10"/>
        <v>8.2247714149514636E-2</v>
      </c>
      <c r="R27" s="35">
        <f t="shared" si="11"/>
        <v>1.0992153287166726</v>
      </c>
      <c r="S27" s="35">
        <f t="shared" si="12"/>
        <v>1.1051948455485863E-2</v>
      </c>
      <c r="X27" s="6" t="s">
        <v>802</v>
      </c>
      <c r="Y27" s="6">
        <f t="shared" si="13"/>
        <v>1</v>
      </c>
      <c r="Z27" s="18">
        <f t="shared" si="14"/>
        <v>1.0414078674948239</v>
      </c>
      <c r="AA27" s="10">
        <v>0.2</v>
      </c>
      <c r="AB27" s="10">
        <v>10</v>
      </c>
      <c r="AC27" s="35">
        <f t="shared" si="15"/>
        <v>5.0999999999999996</v>
      </c>
      <c r="AD27" s="35">
        <f t="shared" si="16"/>
        <v>-0.9227779170415481</v>
      </c>
      <c r="AE27" s="35">
        <f t="shared" si="17"/>
        <v>0.2</v>
      </c>
      <c r="AF27" s="35">
        <f t="shared" si="18"/>
        <v>5.0999999999999996</v>
      </c>
      <c r="AG27" s="35">
        <f t="shared" si="19"/>
        <v>2.65</v>
      </c>
      <c r="AH27" s="35">
        <f t="shared" si="20"/>
        <v>-0.63952198128139504</v>
      </c>
      <c r="AI27" s="35">
        <f t="shared" si="21"/>
        <v>0.2</v>
      </c>
      <c r="AJ27" s="35">
        <f t="shared" si="22"/>
        <v>2.65</v>
      </c>
      <c r="AK27" s="35">
        <f t="shared" si="23"/>
        <v>1.425</v>
      </c>
      <c r="AL27" s="35">
        <f t="shared" si="24"/>
        <v>-0.20908007523557948</v>
      </c>
      <c r="AM27" s="35">
        <f t="shared" si="25"/>
        <v>0.2</v>
      </c>
      <c r="AN27" s="35">
        <f t="shared" si="26"/>
        <v>1.425</v>
      </c>
      <c r="AO27" s="35">
        <f t="shared" si="27"/>
        <v>0.8125</v>
      </c>
      <c r="AP27" s="35">
        <f t="shared" si="28"/>
        <v>0.17629935696471266</v>
      </c>
      <c r="AQ27" s="35">
        <f t="shared" si="29"/>
        <v>0.8125</v>
      </c>
      <c r="AR27" s="35">
        <f t="shared" si="30"/>
        <v>1.425</v>
      </c>
      <c r="AS27" s="35">
        <f t="shared" si="31"/>
        <v>1.1187499999999999</v>
      </c>
      <c r="AT27" s="35">
        <f t="shared" si="32"/>
        <v>-3.5778067505578326E-2</v>
      </c>
      <c r="AU27" s="35">
        <f t="shared" si="33"/>
        <v>0.8125</v>
      </c>
      <c r="AV27" s="35">
        <f t="shared" si="34"/>
        <v>1.1187499999999999</v>
      </c>
      <c r="AW27" s="35">
        <f t="shared" si="35"/>
        <v>0.96562499999999996</v>
      </c>
      <c r="AX27" s="35">
        <f t="shared" si="36"/>
        <v>6.4903605363057393E-2</v>
      </c>
      <c r="AY27" s="35">
        <f t="shared" si="37"/>
        <v>0.96562499999999996</v>
      </c>
      <c r="AZ27" s="35">
        <f t="shared" si="38"/>
        <v>1.1187499999999999</v>
      </c>
      <c r="BA27" s="35">
        <f t="shared" si="39"/>
        <v>1.0421874999999998</v>
      </c>
      <c r="BB27" s="35">
        <f t="shared" si="40"/>
        <v>1.3291449743261685E-2</v>
      </c>
      <c r="BC27" s="35">
        <f t="shared" si="41"/>
        <v>1.0421874999999998</v>
      </c>
      <c r="BD27" s="35">
        <f t="shared" si="42"/>
        <v>1.1187499999999999</v>
      </c>
      <c r="BE27" s="35">
        <f t="shared" si="43"/>
        <v>1.0804687499999999</v>
      </c>
      <c r="BF27" s="35">
        <f t="shared" si="44"/>
        <v>-1.1553028933059428E-2</v>
      </c>
      <c r="BG27" s="35">
        <f t="shared" si="45"/>
        <v>1.0421874999999998</v>
      </c>
      <c r="BH27" s="35">
        <f t="shared" si="46"/>
        <v>1.0804687499999999</v>
      </c>
      <c r="BI27" s="35">
        <f t="shared" si="47"/>
        <v>1.0613281249999997</v>
      </c>
      <c r="BJ27" s="35">
        <f t="shared" si="48"/>
        <v>7.9078318075542775E-4</v>
      </c>
      <c r="BK27" s="35">
        <f t="shared" si="49"/>
        <v>1.0613281249999997</v>
      </c>
      <c r="BL27" s="35">
        <f t="shared" si="50"/>
        <v>1.0804687499999999</v>
      </c>
      <c r="BM27" s="35">
        <f t="shared" si="51"/>
        <v>1.0708984374999999</v>
      </c>
      <c r="BN27" s="35">
        <f t="shared" si="52"/>
        <v>-5.4006040141354461E-3</v>
      </c>
      <c r="BO27" s="35">
        <f t="shared" si="53"/>
        <v>1.0613281249999997</v>
      </c>
      <c r="BP27" s="35">
        <f t="shared" si="54"/>
        <v>1.0708984374999999</v>
      </c>
      <c r="BQ27" s="35">
        <f t="shared" si="55"/>
        <v>1.0661132812499998</v>
      </c>
      <c r="BR27" s="35">
        <f t="shared" si="56"/>
        <v>-2.3097963456932824E-3</v>
      </c>
      <c r="BS27" s="35">
        <f t="shared" si="57"/>
        <v>1.0613281249999997</v>
      </c>
      <c r="BT27" s="35">
        <f t="shared" si="58"/>
        <v>1.0661132812499998</v>
      </c>
      <c r="BU27" s="35">
        <f t="shared" si="59"/>
        <v>1.0637207031249998</v>
      </c>
      <c r="BV27" s="35">
        <f t="shared" si="60"/>
        <v>-7.6073002586696248E-4</v>
      </c>
      <c r="BW27" s="35">
        <f t="shared" si="61"/>
        <v>1.0613281249999997</v>
      </c>
      <c r="BX27" s="35">
        <f t="shared" si="62"/>
        <v>1.0637207031249998</v>
      </c>
      <c r="BY27" s="35">
        <f t="shared" si="63"/>
        <v>1.0625244140624996</v>
      </c>
      <c r="BZ27" s="35">
        <f t="shared" si="64"/>
        <v>1.4720471101625776E-5</v>
      </c>
      <c r="CA27" s="35">
        <f t="shared" si="65"/>
        <v>1.0625244140624996</v>
      </c>
      <c r="CB27" s="35">
        <f t="shared" si="66"/>
        <v>1.0637207031249998</v>
      </c>
      <c r="CC27" s="35">
        <f t="shared" si="67"/>
        <v>1.0631225585937498</v>
      </c>
      <c r="CD27" s="35">
        <f t="shared" si="68"/>
        <v>-3.7308127326629581E-4</v>
      </c>
      <c r="CE27" s="35">
        <f t="shared" si="69"/>
        <v>1.0625244140624996</v>
      </c>
      <c r="CF27" s="35">
        <f t="shared" si="70"/>
        <v>1.0631225585937498</v>
      </c>
      <c r="CG27" s="35">
        <f t="shared" si="71"/>
        <v>1.0628234863281247</v>
      </c>
      <c r="CH27" s="35">
        <f t="shared" si="72"/>
        <v>-1.7919952889000612E-4</v>
      </c>
      <c r="CI27" s="35">
        <f t="shared" si="73"/>
        <v>1.0625244140624996</v>
      </c>
      <c r="CJ27" s="35">
        <f t="shared" si="74"/>
        <v>1.0628234863281247</v>
      </c>
      <c r="CK27" s="35">
        <f t="shared" si="75"/>
        <v>1.0626739501953122</v>
      </c>
      <c r="CL27" s="35">
        <f t="shared" si="76"/>
        <v>-8.2244311325974095E-5</v>
      </c>
      <c r="CM27" s="35">
        <f t="shared" si="77"/>
        <v>1.0625244140624996</v>
      </c>
      <c r="CN27" s="35">
        <f t="shared" si="78"/>
        <v>1.0626739501953122</v>
      </c>
      <c r="CO27" s="35">
        <f t="shared" si="79"/>
        <v>1.0625991821289058</v>
      </c>
      <c r="CP27" s="35">
        <f t="shared" si="80"/>
        <v>-3.3763115779961161E-5</v>
      </c>
      <c r="CQ27" s="35">
        <f t="shared" si="81"/>
        <v>1.0625244140624996</v>
      </c>
      <c r="CR27" s="35">
        <f t="shared" si="82"/>
        <v>1.0625991821289058</v>
      </c>
      <c r="CS27" s="35">
        <f t="shared" si="83"/>
        <v>1.0625617980957027</v>
      </c>
      <c r="CT27" s="35">
        <f t="shared" si="84"/>
        <v>-9.521621263774982E-6</v>
      </c>
      <c r="CU27" s="35">
        <f t="shared" si="85"/>
        <v>1.0625244140624996</v>
      </c>
      <c r="CV27" s="35">
        <f t="shared" si="86"/>
        <v>1.0625617980957027</v>
      </c>
      <c r="CW27" s="35">
        <f t="shared" si="87"/>
        <v>1.0625431060791013</v>
      </c>
      <c r="CX27" s="35">
        <f t="shared" si="88"/>
        <v>2.5993501868715185E-6</v>
      </c>
      <c r="CY27" s="35">
        <f t="shared" si="89"/>
        <v>1.0625431060791013</v>
      </c>
      <c r="CZ27" s="35">
        <f t="shared" si="90"/>
        <v>1.0625617980957027</v>
      </c>
      <c r="DA27" s="35">
        <f t="shared" si="91"/>
        <v>1.0625524520874019</v>
      </c>
      <c r="DB27" s="35">
        <f t="shared" si="92"/>
        <v>-3.4611542214513236E-6</v>
      </c>
      <c r="DC27" s="35">
        <f t="shared" si="93"/>
        <v>1.0625431060791013</v>
      </c>
      <c r="DD27" s="35">
        <f t="shared" si="94"/>
        <v>1.0625524520874019</v>
      </c>
      <c r="DE27" s="35">
        <f t="shared" si="95"/>
        <v>1.0625477790832516</v>
      </c>
      <c r="DF27" s="35">
        <f t="shared" si="96"/>
        <v>-4.3090668799816711E-7</v>
      </c>
      <c r="DG27" s="35">
        <f t="shared" si="97"/>
        <v>1.0625431060791013</v>
      </c>
      <c r="DH27" s="35">
        <f t="shared" si="98"/>
        <v>1.0625477790832516</v>
      </c>
      <c r="DI27" s="35">
        <f t="shared" si="99"/>
        <v>1.0625454425811764</v>
      </c>
      <c r="DJ27" s="35">
        <f t="shared" si="100"/>
        <v>1.0842205817596096E-6</v>
      </c>
      <c r="DK27" s="35">
        <f t="shared" si="101"/>
        <v>1.0625454425811764</v>
      </c>
      <c r="DL27" s="35">
        <f t="shared" si="102"/>
        <v>1.0625477790832516</v>
      </c>
      <c r="DM27" s="35">
        <f t="shared" si="103"/>
        <v>1.0625466108322139</v>
      </c>
      <c r="DN27" s="35">
        <f t="shared" si="104"/>
        <v>3.266566550585992E-7</v>
      </c>
      <c r="DO27" s="35">
        <f t="shared" si="105"/>
        <v>1.0625466108322139</v>
      </c>
      <c r="DP27" s="35">
        <f t="shared" si="106"/>
        <v>1.0625477790832516</v>
      </c>
      <c r="DQ27" s="35">
        <f t="shared" si="107"/>
        <v>1.0625471949577328</v>
      </c>
      <c r="DR27" s="35">
        <f t="shared" si="108"/>
        <v>-5.212508957797013E-8</v>
      </c>
      <c r="DS27" s="35">
        <f t="shared" si="109"/>
        <v>1.0625466108322139</v>
      </c>
      <c r="DT27" s="35">
        <f t="shared" si="110"/>
        <v>1.0625471949577328</v>
      </c>
      <c r="DU27" s="35">
        <f t="shared" si="111"/>
        <v>1.0625469028949732</v>
      </c>
      <c r="DV27" s="35">
        <f t="shared" si="112"/>
        <v>1.3726576453265693E-7</v>
      </c>
      <c r="DW27" s="35">
        <f t="shared" si="113"/>
        <v>1.0625469028949732</v>
      </c>
      <c r="DX27" s="35">
        <f t="shared" si="114"/>
        <v>1.0625471949577328</v>
      </c>
      <c r="DY27" s="35">
        <f t="shared" si="115"/>
        <v>1.0625470489263531</v>
      </c>
      <c r="DZ27" s="35">
        <f t="shared" si="116"/>
        <v>4.2570333036451302E-8</v>
      </c>
      <c r="EA27" s="35">
        <f t="shared" si="117"/>
        <v>1.0625470489263531</v>
      </c>
      <c r="EB27" s="35">
        <f t="shared" si="118"/>
        <v>1.0625471949577328</v>
      </c>
      <c r="EC27" s="35">
        <f t="shared" si="119"/>
        <v>1.062547121942043</v>
      </c>
      <c r="ED27" s="35">
        <f t="shared" si="120"/>
        <v>-4.7773796030270432E-9</v>
      </c>
      <c r="EE27" s="35">
        <f t="shared" si="121"/>
        <v>1.0625470489263531</v>
      </c>
      <c r="EF27" s="35">
        <f t="shared" si="122"/>
        <v>1.062547121942043</v>
      </c>
      <c r="EG27" s="35">
        <f t="shared" si="123"/>
        <v>1.0625470854341981</v>
      </c>
      <c r="EH27" s="35">
        <f t="shared" si="124"/>
        <v>1.8896476383645222E-8</v>
      </c>
      <c r="EI27" s="35">
        <f t="shared" si="125"/>
        <v>1.0625470854341981</v>
      </c>
      <c r="EJ27" s="35">
        <f t="shared" si="126"/>
        <v>1.062547121942043</v>
      </c>
      <c r="EK27" s="35">
        <f t="shared" si="127"/>
        <v>1.0625471036881207</v>
      </c>
      <c r="EL27" s="35">
        <f t="shared" si="128"/>
        <v>7.059548279286787E-9</v>
      </c>
      <c r="EM27" s="35">
        <f t="shared" si="129"/>
        <v>1.0625471036881207</v>
      </c>
      <c r="EN27" s="35">
        <f t="shared" si="130"/>
        <v>1.062547121942043</v>
      </c>
      <c r="EO27" s="35">
        <f t="shared" si="131"/>
        <v>1.0625471128150819</v>
      </c>
      <c r="EP27" s="35">
        <f t="shared" si="132"/>
        <v>1.1410843381298719E-9</v>
      </c>
      <c r="EQ27" s="35">
        <f t="shared" si="133"/>
        <v>1.0625471128150819</v>
      </c>
      <c r="ER27" s="35">
        <f t="shared" si="134"/>
        <v>1.062547121942043</v>
      </c>
      <c r="ES27" s="35">
        <f t="shared" si="135"/>
        <v>1.0625471173785623</v>
      </c>
      <c r="ET27" s="35">
        <f t="shared" si="136"/>
        <v>-1.8181474104039808E-9</v>
      </c>
      <c r="EU27" s="35">
        <f t="shared" si="137"/>
        <v>1.0625471128150819</v>
      </c>
      <c r="EV27" s="35">
        <f t="shared" si="138"/>
        <v>1.0625471173785623</v>
      </c>
      <c r="EW27" s="35">
        <f t="shared" si="139"/>
        <v>1.0625471150968222</v>
      </c>
      <c r="EX27" s="35">
        <f t="shared" si="140"/>
        <v>-3.3853164715935691E-10</v>
      </c>
      <c r="EY27" s="35">
        <f t="shared" si="141"/>
        <v>1.0625471128150819</v>
      </c>
      <c r="EZ27" s="35">
        <f t="shared" si="142"/>
        <v>1.0625471150968222</v>
      </c>
      <c r="FA27" s="10">
        <v>9.9999999999999995E-7</v>
      </c>
      <c r="FB27" s="10">
        <v>0.99990000000000001</v>
      </c>
      <c r="FC27" s="35">
        <f t="shared" si="143"/>
        <v>0.49995050000000002</v>
      </c>
      <c r="FD27" s="35">
        <f t="shared" si="144"/>
        <v>-0.24276869028367398</v>
      </c>
      <c r="FE27" s="35">
        <f t="shared" si="145"/>
        <v>9.9999999999999995E-7</v>
      </c>
      <c r="FF27" s="35">
        <f t="shared" si="146"/>
        <v>0.49995050000000002</v>
      </c>
      <c r="FG27" s="35">
        <f t="shared" si="147"/>
        <v>0.24997575</v>
      </c>
      <c r="FH27" s="35">
        <f t="shared" si="148"/>
        <v>-0.10840749503390235</v>
      </c>
      <c r="FI27" s="35">
        <f t="shared" si="149"/>
        <v>9.9999999999999995E-7</v>
      </c>
      <c r="FJ27" s="35">
        <f t="shared" si="150"/>
        <v>0.24997575</v>
      </c>
      <c r="FK27" s="35">
        <f t="shared" si="151"/>
        <v>0.124988375</v>
      </c>
      <c r="FL27" s="35">
        <f t="shared" si="152"/>
        <v>-4.2516519035160294E-2</v>
      </c>
      <c r="FM27" s="35">
        <f t="shared" si="153"/>
        <v>9.9999999999999995E-7</v>
      </c>
      <c r="FN27" s="35">
        <f t="shared" si="154"/>
        <v>0.124988375</v>
      </c>
      <c r="FO27" s="35">
        <f t="shared" si="155"/>
        <v>6.24946875E-2</v>
      </c>
      <c r="FP27" s="35">
        <f t="shared" si="156"/>
        <v>-1.0580614099340302E-2</v>
      </c>
      <c r="FQ27" s="35">
        <f t="shared" si="157"/>
        <v>9.9999999999999995E-7</v>
      </c>
      <c r="FR27" s="35">
        <f t="shared" si="158"/>
        <v>6.24946875E-2</v>
      </c>
      <c r="FS27" s="35">
        <f t="shared" si="159"/>
        <v>3.124784375E-2</v>
      </c>
      <c r="FT27" s="35">
        <f t="shared" si="160"/>
        <v>5.0712612829186821E-3</v>
      </c>
      <c r="FU27" s="35">
        <f t="shared" si="161"/>
        <v>3.124784375E-2</v>
      </c>
      <c r="FV27" s="35">
        <f t="shared" si="162"/>
        <v>6.24946875E-2</v>
      </c>
      <c r="FW27" s="35">
        <f t="shared" si="163"/>
        <v>4.6871265624999998E-2</v>
      </c>
      <c r="FX27" s="35">
        <f t="shared" si="164"/>
        <v>-2.7267771400811824E-3</v>
      </c>
      <c r="FY27" s="35">
        <f t="shared" si="165"/>
        <v>3.124784375E-2</v>
      </c>
      <c r="FZ27" s="35">
        <f t="shared" si="166"/>
        <v>4.6871265624999998E-2</v>
      </c>
      <c r="GA27" s="35">
        <f t="shared" si="167"/>
        <v>3.9059554687499998E-2</v>
      </c>
      <c r="GB27" s="35">
        <f t="shared" si="168"/>
        <v>1.1793231954251304E-3</v>
      </c>
      <c r="GC27" s="35">
        <f t="shared" si="169"/>
        <v>3.9059554687499998E-2</v>
      </c>
      <c r="GD27" s="35">
        <f t="shared" si="170"/>
        <v>4.6871265624999998E-2</v>
      </c>
      <c r="GE27" s="35">
        <f t="shared" si="171"/>
        <v>4.2965410156249995E-2</v>
      </c>
      <c r="GF27" s="35">
        <f t="shared" si="172"/>
        <v>-7.7196967997916754E-4</v>
      </c>
      <c r="GG27" s="35">
        <f t="shared" si="173"/>
        <v>3.9059554687499998E-2</v>
      </c>
      <c r="GH27" s="35">
        <f t="shared" si="174"/>
        <v>4.2965410156249995E-2</v>
      </c>
      <c r="GI27" s="35">
        <f t="shared" si="175"/>
        <v>4.1012482421874996E-2</v>
      </c>
      <c r="GJ27" s="35">
        <f t="shared" si="176"/>
        <v>2.0411772305739539E-4</v>
      </c>
      <c r="GK27" s="35">
        <f t="shared" si="177"/>
        <v>4.1012482421874996E-2</v>
      </c>
      <c r="GL27" s="35">
        <f t="shared" si="178"/>
        <v>4.2965410156249995E-2</v>
      </c>
      <c r="GM27" s="35">
        <f t="shared" si="179"/>
        <v>4.1988946289062495E-2</v>
      </c>
      <c r="GN27" s="35">
        <f t="shared" si="180"/>
        <v>-2.8381594123927378E-4</v>
      </c>
      <c r="GO27" s="35">
        <f t="shared" si="181"/>
        <v>4.1012482421874996E-2</v>
      </c>
      <c r="GP27" s="35">
        <f t="shared" si="182"/>
        <v>4.1988946289062495E-2</v>
      </c>
      <c r="GQ27" s="35">
        <f t="shared" si="183"/>
        <v>4.1500714355468746E-2</v>
      </c>
      <c r="GR27" s="35">
        <f t="shared" si="184"/>
        <v>-3.9821574198795062E-5</v>
      </c>
      <c r="GS27" s="35">
        <f t="shared" si="185"/>
        <v>4.1012482421874996E-2</v>
      </c>
      <c r="GT27" s="35">
        <f t="shared" si="186"/>
        <v>4.1500714355468746E-2</v>
      </c>
      <c r="GU27" s="35">
        <f t="shared" si="187"/>
        <v>4.1256598388671871E-2</v>
      </c>
      <c r="GV27" s="35">
        <f t="shared" si="188"/>
        <v>8.2154961344782507E-5</v>
      </c>
      <c r="GW27" s="35">
        <f t="shared" si="189"/>
        <v>4.1256598388671871E-2</v>
      </c>
      <c r="GX27" s="35">
        <f t="shared" si="190"/>
        <v>4.1500714355468746E-2</v>
      </c>
      <c r="GY27" s="35">
        <f t="shared" si="191"/>
        <v>4.1378656372070305E-2</v>
      </c>
      <c r="GZ27" s="35">
        <f t="shared" si="192"/>
        <v>2.1168414903183219E-5</v>
      </c>
      <c r="HA27" s="35">
        <f t="shared" si="193"/>
        <v>4.1378656372070305E-2</v>
      </c>
      <c r="HB27" s="35">
        <f t="shared" si="194"/>
        <v>4.1500714355468746E-2</v>
      </c>
      <c r="HC27" s="35">
        <f t="shared" si="195"/>
        <v>4.1439685363769525E-2</v>
      </c>
      <c r="HD27" s="35">
        <f t="shared" si="196"/>
        <v>-9.3261493652185834E-6</v>
      </c>
      <c r="HE27" s="35">
        <f t="shared" si="197"/>
        <v>4.1378656372070305E-2</v>
      </c>
      <c r="HF27" s="35">
        <f t="shared" si="198"/>
        <v>4.1439685363769525E-2</v>
      </c>
      <c r="HG27" s="35">
        <f t="shared" si="199"/>
        <v>4.1409170867919912E-2</v>
      </c>
      <c r="HH27" s="35">
        <f t="shared" si="200"/>
        <v>5.9212403458186458E-6</v>
      </c>
      <c r="HI27" s="35">
        <f t="shared" si="201"/>
        <v>4.1409170867919912E-2</v>
      </c>
      <c r="HJ27" s="35">
        <f t="shared" si="202"/>
        <v>4.1439685363769525E-2</v>
      </c>
      <c r="HK27" s="35">
        <f t="shared" si="203"/>
        <v>4.1424428115844722E-2</v>
      </c>
      <c r="HL27" s="35">
        <f t="shared" si="204"/>
        <v>-1.7024276161015095E-6</v>
      </c>
      <c r="HM27" s="35">
        <f t="shared" si="205"/>
        <v>4.1409170867919912E-2</v>
      </c>
      <c r="HN27" s="35">
        <f t="shared" si="206"/>
        <v>4.1424428115844722E-2</v>
      </c>
      <c r="HO27" s="35">
        <f t="shared" si="207"/>
        <v>4.1416799491882317E-2</v>
      </c>
      <c r="HP27" s="35">
        <f t="shared" si="208"/>
        <v>2.1094130884247164E-6</v>
      </c>
      <c r="HQ27" s="35">
        <f t="shared" si="209"/>
        <v>4.1416799491882317E-2</v>
      </c>
      <c r="HR27" s="35">
        <f t="shared" si="210"/>
        <v>4.1424428115844722E-2</v>
      </c>
      <c r="HS27" s="35">
        <f t="shared" si="211"/>
        <v>4.1420613803863519E-2</v>
      </c>
      <c r="HT27" s="35">
        <f t="shared" si="212"/>
        <v>2.0349441687272929E-7</v>
      </c>
      <c r="HU27" s="35">
        <f t="shared" si="213"/>
        <v>4.1420613803863519E-2</v>
      </c>
      <c r="HV27" s="35">
        <f t="shared" si="214"/>
        <v>4.1424428115844722E-2</v>
      </c>
      <c r="HW27" s="35">
        <f t="shared" si="215"/>
        <v>4.1422520959854117E-2</v>
      </c>
      <c r="HX27" s="35">
        <f t="shared" si="216"/>
        <v>-7.4946617956150874E-7</v>
      </c>
      <c r="HY27" s="35">
        <f t="shared" si="217"/>
        <v>4.1420613803863519E-2</v>
      </c>
      <c r="HZ27" s="35">
        <f t="shared" si="218"/>
        <v>4.1422520959854117E-2</v>
      </c>
      <c r="IA27" s="35">
        <f t="shared" si="219"/>
        <v>4.1421567381858815E-2</v>
      </c>
      <c r="IB27" s="35">
        <f t="shared" si="220"/>
        <v>-2.7298577620626929E-7</v>
      </c>
      <c r="IC27" s="35">
        <f t="shared" si="221"/>
        <v>4.1420613803863519E-2</v>
      </c>
      <c r="ID27" s="35">
        <f t="shared" si="222"/>
        <v>4.1421567381858815E-2</v>
      </c>
      <c r="IE27" s="35">
        <f t="shared" si="223"/>
        <v>4.1421090592861171E-2</v>
      </c>
      <c r="IF27" s="35">
        <f t="shared" si="224"/>
        <v>-3.4745653354484318E-8</v>
      </c>
      <c r="IG27" s="35">
        <f t="shared" si="225"/>
        <v>4.1420613803863519E-2</v>
      </c>
      <c r="IH27" s="35">
        <f t="shared" si="226"/>
        <v>4.1421090592861171E-2</v>
      </c>
      <c r="II27" s="35">
        <f t="shared" si="227"/>
        <v>4.1420852198362348E-2</v>
      </c>
      <c r="IJ27" s="35">
        <f t="shared" si="228"/>
        <v>8.4374388364949482E-8</v>
      </c>
      <c r="IK27" s="35">
        <f t="shared" si="229"/>
        <v>4.1420852198362348E-2</v>
      </c>
      <c r="IL27" s="35">
        <f t="shared" si="230"/>
        <v>4.1421090592861171E-2</v>
      </c>
      <c r="IM27" s="35">
        <f t="shared" si="231"/>
        <v>4.142097139561176E-2</v>
      </c>
      <c r="IN27" s="35">
        <f t="shared" si="232"/>
        <v>2.4814369004033665E-8</v>
      </c>
      <c r="IO27" s="35">
        <f t="shared" si="233"/>
        <v>4.142097139561176E-2</v>
      </c>
      <c r="IP27" s="35">
        <f t="shared" si="234"/>
        <v>4.1421090592861171E-2</v>
      </c>
      <c r="IQ27" s="35">
        <f t="shared" si="235"/>
        <v>4.1421030994236469E-2</v>
      </c>
      <c r="IR27" s="35">
        <f t="shared" si="236"/>
        <v>-4.965641786647268E-9</v>
      </c>
      <c r="IS27" s="35">
        <f t="shared" si="237"/>
        <v>4.142097139561176E-2</v>
      </c>
      <c r="IT27" s="35">
        <f t="shared" si="238"/>
        <v>4.1421030994236469E-2</v>
      </c>
      <c r="IU27" s="35">
        <f t="shared" si="239"/>
        <v>4.1421001194924117E-2</v>
      </c>
      <c r="IV27" s="35">
        <f t="shared" si="240"/>
        <v>9.9243637752266523E-9</v>
      </c>
      <c r="IW27" s="35">
        <f t="shared" si="241"/>
        <v>4.1421001194924117E-2</v>
      </c>
      <c r="IX27" s="35">
        <f t="shared" si="242"/>
        <v>4.1421030994236469E-2</v>
      </c>
      <c r="IY27" s="35">
        <f t="shared" si="243"/>
        <v>4.1421016094580293E-2</v>
      </c>
      <c r="IZ27" s="35">
        <f t="shared" si="244"/>
        <v>2.4793609387785409E-9</v>
      </c>
      <c r="JA27" s="35">
        <f t="shared" si="245"/>
        <v>4.1421016094580293E-2</v>
      </c>
      <c r="JB27" s="35">
        <f t="shared" si="246"/>
        <v>4.1421030994236469E-2</v>
      </c>
      <c r="JC27" s="35">
        <f t="shared" si="247"/>
        <v>4.1421023544408381E-2</v>
      </c>
      <c r="JD27" s="35">
        <f t="shared" si="248"/>
        <v>-1.2431403684232123E-9</v>
      </c>
      <c r="JE27" s="35">
        <f t="shared" si="249"/>
        <v>4.1421016094580293E-2</v>
      </c>
      <c r="JF27" s="35">
        <f t="shared" si="250"/>
        <v>4.1421023544408381E-2</v>
      </c>
      <c r="JG27" s="35">
        <f t="shared" si="251"/>
        <v>4.1421019819494337E-2</v>
      </c>
      <c r="JH27" s="35">
        <f t="shared" si="252"/>
        <v>6.18110451711118E-10</v>
      </c>
      <c r="JI27" s="35">
        <f t="shared" si="253"/>
        <v>4.1421019819494337E-2</v>
      </c>
      <c r="JJ27" s="35">
        <f t="shared" si="254"/>
        <v>4.1421023544408381E-2</v>
      </c>
      <c r="JK27" s="35">
        <f t="shared" si="255"/>
        <v>4.1421021681951359E-2</v>
      </c>
      <c r="JL27" s="35">
        <f t="shared" si="256"/>
        <v>-3.1251501386719838E-10</v>
      </c>
      <c r="JM27" s="35">
        <f t="shared" si="257"/>
        <v>4.1421019819494337E-2</v>
      </c>
      <c r="JN27" s="35">
        <f t="shared" si="258"/>
        <v>4.1421021681951359E-2</v>
      </c>
      <c r="JO27" s="35">
        <f t="shared" si="259"/>
        <v>4.1421020750722848E-2</v>
      </c>
      <c r="JP27" s="35">
        <f t="shared" si="260"/>
        <v>1.5279755238850612E-10</v>
      </c>
      <c r="JQ27" s="35">
        <f t="shared" si="261"/>
        <v>4.1421020750722848E-2</v>
      </c>
      <c r="JR27" s="35">
        <f t="shared" si="262"/>
        <v>4.1421021681951359E-2</v>
      </c>
      <c r="JS27" s="35">
        <f t="shared" si="263"/>
        <v>4.1421021216337103E-2</v>
      </c>
      <c r="JT27" s="35">
        <f t="shared" si="264"/>
        <v>-7.9858564205892435E-11</v>
      </c>
      <c r="JU27" s="35">
        <f t="shared" si="265"/>
        <v>4.1421020750722848E-2</v>
      </c>
      <c r="JV27" s="35">
        <f t="shared" si="266"/>
        <v>4.1421021216337103E-2</v>
      </c>
      <c r="JW27" s="35">
        <f t="shared" si="267"/>
        <v>4.1421020983529976E-2</v>
      </c>
      <c r="JX27" s="35">
        <f t="shared" si="268"/>
        <v>3.6469494091306842E-11</v>
      </c>
      <c r="JY27" s="35">
        <f t="shared" si="269"/>
        <v>4.1421020983529976E-2</v>
      </c>
      <c r="JZ27" s="35">
        <f t="shared" si="270"/>
        <v>4.1421021216337103E-2</v>
      </c>
      <c r="KA27" s="35">
        <f t="shared" si="271"/>
        <v>1.0625471139559521</v>
      </c>
      <c r="KB27" s="35">
        <f t="shared" si="272"/>
        <v>4.1421021099933536E-2</v>
      </c>
    </row>
    <row r="28" spans="1:288" ht="15" customHeight="1" x14ac:dyDescent="0.3">
      <c r="A28" s="30">
        <f>Odds_Input!A28</f>
        <v>20</v>
      </c>
      <c r="B28" s="7" t="str">
        <f>Odds_Input!B28</f>
        <v>TITLE</v>
      </c>
      <c r="C28" s="7" t="str">
        <f>Odds_Input!C28</f>
        <v>Oklahoma City Thunder</v>
      </c>
      <c r="D28" s="7" t="str">
        <f>Odds_Input!D28</f>
        <v>YES</v>
      </c>
      <c r="E28" s="31" t="str">
        <f>Odds_Input!E28</f>
        <v>-</v>
      </c>
      <c r="F28" s="32">
        <f>Odds_Input!F28</f>
        <v>250</v>
      </c>
      <c r="G28" s="6" t="str">
        <f t="shared" si="0"/>
        <v>TITLE</v>
      </c>
      <c r="H28" s="14">
        <f t="shared" si="1"/>
        <v>3.5</v>
      </c>
      <c r="I28" s="33">
        <f t="shared" si="2"/>
        <v>0.2857142857142857</v>
      </c>
      <c r="J28" s="17">
        <f t="shared" si="3"/>
        <v>1</v>
      </c>
      <c r="K28" s="17">
        <f t="shared" si="4"/>
        <v>30</v>
      </c>
      <c r="L28" s="18">
        <f t="shared" si="5"/>
        <v>1.252565192422864</v>
      </c>
      <c r="M28" s="34">
        <f t="shared" si="6"/>
        <v>0.25256519242286402</v>
      </c>
      <c r="N28" s="33">
        <f t="shared" si="7"/>
        <v>0.22810332543380227</v>
      </c>
      <c r="O28" s="33">
        <f t="shared" si="8"/>
        <v>0.25232022646958918</v>
      </c>
      <c r="P28" s="33">
        <f t="shared" si="9"/>
        <v>0.25118441200397795</v>
      </c>
      <c r="Q28" s="33">
        <f t="shared" si="10"/>
        <v>0.25118441200397795</v>
      </c>
      <c r="R28" s="35">
        <f t="shared" si="11"/>
        <v>1.0992153287166726</v>
      </c>
      <c r="S28" s="35">
        <f t="shared" si="12"/>
        <v>1.1051948455485863E-2</v>
      </c>
      <c r="X28" s="6" t="s">
        <v>803</v>
      </c>
      <c r="Y28" s="6">
        <f t="shared" si="13"/>
        <v>1</v>
      </c>
      <c r="Z28" s="18">
        <f t="shared" si="14"/>
        <v>1.0378787878787878</v>
      </c>
      <c r="AA28" s="10">
        <v>0.2</v>
      </c>
      <c r="AB28" s="10">
        <v>10</v>
      </c>
      <c r="AC28" s="35">
        <f t="shared" si="15"/>
        <v>5.0999999999999996</v>
      </c>
      <c r="AD28" s="35">
        <f t="shared" si="16"/>
        <v>-0.91806799327982047</v>
      </c>
      <c r="AE28" s="35">
        <f t="shared" si="17"/>
        <v>0.2</v>
      </c>
      <c r="AF28" s="35">
        <f t="shared" si="18"/>
        <v>5.0999999999999996</v>
      </c>
      <c r="AG28" s="35">
        <f t="shared" si="19"/>
        <v>2.65</v>
      </c>
      <c r="AH28" s="35">
        <f t="shared" si="20"/>
        <v>-0.63653378467049637</v>
      </c>
      <c r="AI28" s="35">
        <f t="shared" si="21"/>
        <v>0.2</v>
      </c>
      <c r="AJ28" s="35">
        <f t="shared" si="22"/>
        <v>2.65</v>
      </c>
      <c r="AK28" s="35">
        <f t="shared" si="23"/>
        <v>1.425</v>
      </c>
      <c r="AL28" s="35">
        <f t="shared" si="24"/>
        <v>-0.2109694701974747</v>
      </c>
      <c r="AM28" s="35">
        <f t="shared" si="25"/>
        <v>0.2</v>
      </c>
      <c r="AN28" s="35">
        <f t="shared" si="26"/>
        <v>1.425</v>
      </c>
      <c r="AO28" s="35">
        <f t="shared" si="27"/>
        <v>0.8125</v>
      </c>
      <c r="AP28" s="35">
        <f t="shared" si="28"/>
        <v>0.17233270998718608</v>
      </c>
      <c r="AQ28" s="35">
        <f t="shared" si="29"/>
        <v>0.8125</v>
      </c>
      <c r="AR28" s="35">
        <f t="shared" si="30"/>
        <v>1.425</v>
      </c>
      <c r="AS28" s="35">
        <f t="shared" si="31"/>
        <v>1.1187499999999999</v>
      </c>
      <c r="AT28" s="35">
        <f t="shared" si="32"/>
        <v>-3.891531114315816E-2</v>
      </c>
      <c r="AU28" s="35">
        <f t="shared" si="33"/>
        <v>0.8125</v>
      </c>
      <c r="AV28" s="35">
        <f t="shared" si="34"/>
        <v>1.1187499999999999</v>
      </c>
      <c r="AW28" s="35">
        <f t="shared" si="35"/>
        <v>0.96562499999999996</v>
      </c>
      <c r="AX28" s="35">
        <f t="shared" si="36"/>
        <v>6.1275653127510488E-2</v>
      </c>
      <c r="AY28" s="35">
        <f t="shared" si="37"/>
        <v>0.96562499999999996</v>
      </c>
      <c r="AZ28" s="35">
        <f t="shared" si="38"/>
        <v>1.1187499999999999</v>
      </c>
      <c r="BA28" s="35">
        <f t="shared" si="39"/>
        <v>1.0421874999999998</v>
      </c>
      <c r="BB28" s="35">
        <f t="shared" si="40"/>
        <v>9.8932233660302682E-3</v>
      </c>
      <c r="BC28" s="35">
        <f t="shared" si="41"/>
        <v>1.0421874999999998</v>
      </c>
      <c r="BD28" s="35">
        <f t="shared" si="42"/>
        <v>1.1187499999999999</v>
      </c>
      <c r="BE28" s="35">
        <f t="shared" si="43"/>
        <v>1.0804687499999999</v>
      </c>
      <c r="BF28" s="35">
        <f t="shared" si="44"/>
        <v>-1.4824288182540002E-2</v>
      </c>
      <c r="BG28" s="35">
        <f t="shared" si="45"/>
        <v>1.0421874999999998</v>
      </c>
      <c r="BH28" s="35">
        <f t="shared" si="46"/>
        <v>1.0804687499999999</v>
      </c>
      <c r="BI28" s="35">
        <f t="shared" si="47"/>
        <v>1.0613281249999997</v>
      </c>
      <c r="BJ28" s="35">
        <f t="shared" si="48"/>
        <v>-2.5448869179010014E-3</v>
      </c>
      <c r="BK28" s="35">
        <f t="shared" si="49"/>
        <v>1.0421874999999998</v>
      </c>
      <c r="BL28" s="35">
        <f t="shared" si="50"/>
        <v>1.0613281249999997</v>
      </c>
      <c r="BM28" s="35">
        <f t="shared" si="51"/>
        <v>1.0517578124999998</v>
      </c>
      <c r="BN28" s="35">
        <f t="shared" si="52"/>
        <v>3.6541975999020426E-3</v>
      </c>
      <c r="BO28" s="35">
        <f t="shared" si="53"/>
        <v>1.0517578124999998</v>
      </c>
      <c r="BP28" s="35">
        <f t="shared" si="54"/>
        <v>1.0613281249999997</v>
      </c>
      <c r="BQ28" s="35">
        <f t="shared" si="55"/>
        <v>1.0565429687499996</v>
      </c>
      <c r="BR28" s="35">
        <f t="shared" si="56"/>
        <v>5.4967925515869709E-4</v>
      </c>
      <c r="BS28" s="35">
        <f t="shared" si="57"/>
        <v>1.0565429687499996</v>
      </c>
      <c r="BT28" s="35">
        <f t="shared" si="58"/>
        <v>1.0613281249999997</v>
      </c>
      <c r="BU28" s="35">
        <f t="shared" si="59"/>
        <v>1.0589355468749997</v>
      </c>
      <c r="BV28" s="35">
        <f t="shared" si="60"/>
        <v>-9.9884578775411015E-4</v>
      </c>
      <c r="BW28" s="35">
        <f t="shared" si="61"/>
        <v>1.0565429687499996</v>
      </c>
      <c r="BX28" s="35">
        <f t="shared" si="62"/>
        <v>1.0589355468749997</v>
      </c>
      <c r="BY28" s="35">
        <f t="shared" si="63"/>
        <v>1.0577392578124996</v>
      </c>
      <c r="BZ28" s="35">
        <f t="shared" si="64"/>
        <v>-2.2489401325187508E-4</v>
      </c>
      <c r="CA28" s="35">
        <f t="shared" si="65"/>
        <v>1.0565429687499996</v>
      </c>
      <c r="CB28" s="35">
        <f t="shared" si="66"/>
        <v>1.0577392578124996</v>
      </c>
      <c r="CC28" s="35">
        <f t="shared" si="67"/>
        <v>1.0571411132812496</v>
      </c>
      <c r="CD28" s="35">
        <f t="shared" si="68"/>
        <v>1.6231490195850462E-4</v>
      </c>
      <c r="CE28" s="35">
        <f t="shared" si="69"/>
        <v>1.0571411132812496</v>
      </c>
      <c r="CF28" s="35">
        <f t="shared" si="70"/>
        <v>1.0577392578124996</v>
      </c>
      <c r="CG28" s="35">
        <f t="shared" si="71"/>
        <v>1.0574401855468745</v>
      </c>
      <c r="CH28" s="35">
        <f t="shared" si="72"/>
        <v>-3.1308981362276889E-5</v>
      </c>
      <c r="CI28" s="35">
        <f t="shared" si="73"/>
        <v>1.0571411132812496</v>
      </c>
      <c r="CJ28" s="35">
        <f t="shared" si="74"/>
        <v>1.0574401855468745</v>
      </c>
      <c r="CK28" s="35">
        <f t="shared" si="75"/>
        <v>1.0572906494140621</v>
      </c>
      <c r="CL28" s="35">
        <f t="shared" si="76"/>
        <v>6.5498103364980409E-5</v>
      </c>
      <c r="CM28" s="35">
        <f t="shared" si="77"/>
        <v>1.0572906494140621</v>
      </c>
      <c r="CN28" s="35">
        <f t="shared" si="78"/>
        <v>1.0574401855468745</v>
      </c>
      <c r="CO28" s="35">
        <f t="shared" si="79"/>
        <v>1.0573654174804683</v>
      </c>
      <c r="CP28" s="35">
        <f t="shared" si="80"/>
        <v>1.7093346831309475E-5</v>
      </c>
      <c r="CQ28" s="35">
        <f t="shared" si="81"/>
        <v>1.0573654174804683</v>
      </c>
      <c r="CR28" s="35">
        <f t="shared" si="82"/>
        <v>1.0574401855468745</v>
      </c>
      <c r="CS28" s="35">
        <f t="shared" si="83"/>
        <v>1.0574028015136714</v>
      </c>
      <c r="CT28" s="35">
        <f t="shared" si="84"/>
        <v>-7.1081208001810836E-6</v>
      </c>
      <c r="CU28" s="35">
        <f t="shared" si="85"/>
        <v>1.0573654174804683</v>
      </c>
      <c r="CV28" s="35">
        <f t="shared" si="86"/>
        <v>1.0574028015136714</v>
      </c>
      <c r="CW28" s="35">
        <f t="shared" si="87"/>
        <v>1.05738410949707</v>
      </c>
      <c r="CX28" s="35">
        <f t="shared" si="88"/>
        <v>4.9925371308212618E-6</v>
      </c>
      <c r="CY28" s="35">
        <f t="shared" si="89"/>
        <v>1.05738410949707</v>
      </c>
      <c r="CZ28" s="35">
        <f t="shared" si="90"/>
        <v>1.0574028015136714</v>
      </c>
      <c r="DA28" s="35">
        <f t="shared" si="91"/>
        <v>1.0573934555053706</v>
      </c>
      <c r="DB28" s="35">
        <f t="shared" si="92"/>
        <v>-1.0578108057268665E-6</v>
      </c>
      <c r="DC28" s="35">
        <f t="shared" si="93"/>
        <v>1.05738410949707</v>
      </c>
      <c r="DD28" s="35">
        <f t="shared" si="94"/>
        <v>1.0573934555053706</v>
      </c>
      <c r="DE28" s="35">
        <f t="shared" si="95"/>
        <v>1.0573887825012203</v>
      </c>
      <c r="DF28" s="35">
        <f t="shared" si="96"/>
        <v>1.9673584197299476E-6</v>
      </c>
      <c r="DG28" s="35">
        <f t="shared" si="97"/>
        <v>1.0573887825012203</v>
      </c>
      <c r="DH28" s="35">
        <f t="shared" si="98"/>
        <v>1.0573934555053706</v>
      </c>
      <c r="DI28" s="35">
        <f t="shared" si="99"/>
        <v>1.0573911190032954</v>
      </c>
      <c r="DJ28" s="35">
        <f t="shared" si="100"/>
        <v>4.5477262133886143E-7</v>
      </c>
      <c r="DK28" s="35">
        <f t="shared" si="101"/>
        <v>1.0573911190032954</v>
      </c>
      <c r="DL28" s="35">
        <f t="shared" si="102"/>
        <v>1.0573934555053706</v>
      </c>
      <c r="DM28" s="35">
        <f t="shared" si="103"/>
        <v>1.0573922872543329</v>
      </c>
      <c r="DN28" s="35">
        <f t="shared" si="104"/>
        <v>-3.0151938856803895E-7</v>
      </c>
      <c r="DO28" s="35">
        <f t="shared" si="105"/>
        <v>1.0573911190032954</v>
      </c>
      <c r="DP28" s="35">
        <f t="shared" si="106"/>
        <v>1.0573922872543329</v>
      </c>
      <c r="DQ28" s="35">
        <f t="shared" si="107"/>
        <v>1.0573917031288143</v>
      </c>
      <c r="DR28" s="35">
        <f t="shared" si="108"/>
        <v>7.6626542222513194E-8</v>
      </c>
      <c r="DS28" s="35">
        <f t="shared" si="109"/>
        <v>1.0573917031288143</v>
      </c>
      <c r="DT28" s="35">
        <f t="shared" si="110"/>
        <v>1.0573922872543329</v>
      </c>
      <c r="DU28" s="35">
        <f t="shared" si="111"/>
        <v>1.0573919951915736</v>
      </c>
      <c r="DV28" s="35">
        <f t="shared" si="112"/>
        <v>-1.1244644171348739E-7</v>
      </c>
      <c r="DW28" s="35">
        <f t="shared" si="113"/>
        <v>1.0573917031288143</v>
      </c>
      <c r="DX28" s="35">
        <f t="shared" si="114"/>
        <v>1.0573919951915736</v>
      </c>
      <c r="DY28" s="35">
        <f t="shared" si="115"/>
        <v>1.0573918491601939</v>
      </c>
      <c r="DZ28" s="35">
        <f t="shared" si="116"/>
        <v>-1.79099544084238E-8</v>
      </c>
      <c r="EA28" s="35">
        <f t="shared" si="117"/>
        <v>1.0573917031288143</v>
      </c>
      <c r="EB28" s="35">
        <f t="shared" si="118"/>
        <v>1.0573918491601939</v>
      </c>
      <c r="EC28" s="35">
        <f t="shared" si="119"/>
        <v>1.0573917761445042</v>
      </c>
      <c r="ED28" s="35">
        <f t="shared" si="120"/>
        <v>2.935829268579937E-8</v>
      </c>
      <c r="EE28" s="35">
        <f t="shared" si="121"/>
        <v>1.0573917761445042</v>
      </c>
      <c r="EF28" s="35">
        <f t="shared" si="122"/>
        <v>1.0573918491601939</v>
      </c>
      <c r="EG28" s="35">
        <f t="shared" si="123"/>
        <v>1.0573918126523489</v>
      </c>
      <c r="EH28" s="35">
        <f t="shared" si="124"/>
        <v>5.7241689166431797E-9</v>
      </c>
      <c r="EI28" s="35">
        <f t="shared" si="125"/>
        <v>1.0573918126523489</v>
      </c>
      <c r="EJ28" s="35">
        <f t="shared" si="126"/>
        <v>1.0573918491601939</v>
      </c>
      <c r="EK28" s="35">
        <f t="shared" si="127"/>
        <v>1.0573918309062713</v>
      </c>
      <c r="EL28" s="35">
        <f t="shared" si="128"/>
        <v>-6.0928926348680079E-9</v>
      </c>
      <c r="EM28" s="35">
        <f t="shared" si="129"/>
        <v>1.0573918126523489</v>
      </c>
      <c r="EN28" s="35">
        <f t="shared" si="130"/>
        <v>1.0573918309062713</v>
      </c>
      <c r="EO28" s="35">
        <f t="shared" si="131"/>
        <v>1.0573918217793101</v>
      </c>
      <c r="EP28" s="35">
        <f t="shared" si="132"/>
        <v>-1.8436197013471656E-10</v>
      </c>
      <c r="EQ28" s="35">
        <f t="shared" si="133"/>
        <v>1.0573918126523489</v>
      </c>
      <c r="ER28" s="35">
        <f t="shared" si="134"/>
        <v>1.0573918217793101</v>
      </c>
      <c r="ES28" s="35">
        <f t="shared" si="135"/>
        <v>1.0573918172158296</v>
      </c>
      <c r="ET28" s="35">
        <f t="shared" si="136"/>
        <v>2.7699034177430804E-9</v>
      </c>
      <c r="EU28" s="35">
        <f t="shared" si="137"/>
        <v>1.0573918172158296</v>
      </c>
      <c r="EV28" s="35">
        <f t="shared" si="138"/>
        <v>1.0573918217793101</v>
      </c>
      <c r="EW28" s="35">
        <f t="shared" si="139"/>
        <v>1.0573918194975698</v>
      </c>
      <c r="EX28" s="35">
        <f t="shared" si="140"/>
        <v>1.2927707793153331E-9</v>
      </c>
      <c r="EY28" s="35">
        <f t="shared" si="141"/>
        <v>1.0573918194975698</v>
      </c>
      <c r="EZ28" s="35">
        <f t="shared" si="142"/>
        <v>1.0573918217793101</v>
      </c>
      <c r="FA28" s="10">
        <v>9.9999999999999995E-7</v>
      </c>
      <c r="FB28" s="10">
        <v>0.99990000000000001</v>
      </c>
      <c r="FC28" s="35">
        <f t="shared" si="143"/>
        <v>0.49995050000000002</v>
      </c>
      <c r="FD28" s="35">
        <f t="shared" si="144"/>
        <v>-0.24320936113443614</v>
      </c>
      <c r="FE28" s="35">
        <f t="shared" si="145"/>
        <v>9.9999999999999995E-7</v>
      </c>
      <c r="FF28" s="35">
        <f t="shared" si="146"/>
        <v>0.49995050000000002</v>
      </c>
      <c r="FG28" s="35">
        <f t="shared" si="147"/>
        <v>0.24997575</v>
      </c>
      <c r="FH28" s="35">
        <f t="shared" si="148"/>
        <v>-0.10998303444909863</v>
      </c>
      <c r="FI28" s="35">
        <f t="shared" si="149"/>
        <v>9.9999999999999995E-7</v>
      </c>
      <c r="FJ28" s="35">
        <f t="shared" si="150"/>
        <v>0.24997575</v>
      </c>
      <c r="FK28" s="35">
        <f t="shared" si="151"/>
        <v>0.124988375</v>
      </c>
      <c r="FL28" s="35">
        <f t="shared" si="152"/>
        <v>-4.4275267303020116E-2</v>
      </c>
      <c r="FM28" s="35">
        <f t="shared" si="153"/>
        <v>9.9999999999999995E-7</v>
      </c>
      <c r="FN28" s="35">
        <f t="shared" si="154"/>
        <v>0.124988375</v>
      </c>
      <c r="FO28" s="35">
        <f t="shared" si="155"/>
        <v>6.24946875E-2</v>
      </c>
      <c r="FP28" s="35">
        <f t="shared" si="156"/>
        <v>-1.2346969821587228E-2</v>
      </c>
      <c r="FQ28" s="35">
        <f t="shared" si="157"/>
        <v>9.9999999999999995E-7</v>
      </c>
      <c r="FR28" s="35">
        <f t="shared" si="158"/>
        <v>6.24946875E-2</v>
      </c>
      <c r="FS28" s="35">
        <f t="shared" si="159"/>
        <v>3.124784375E-2</v>
      </c>
      <c r="FT28" s="35">
        <f t="shared" si="160"/>
        <v>3.3180127973544415E-3</v>
      </c>
      <c r="FU28" s="35">
        <f t="shared" si="161"/>
        <v>3.124784375E-2</v>
      </c>
      <c r="FV28" s="35">
        <f t="shared" si="162"/>
        <v>6.24946875E-2</v>
      </c>
      <c r="FW28" s="35">
        <f t="shared" si="163"/>
        <v>4.6871265624999998E-2</v>
      </c>
      <c r="FX28" s="35">
        <f t="shared" si="164"/>
        <v>-4.4878554500902279E-3</v>
      </c>
      <c r="FY28" s="35">
        <f t="shared" si="165"/>
        <v>3.124784375E-2</v>
      </c>
      <c r="FZ28" s="35">
        <f t="shared" si="166"/>
        <v>4.6871265624999998E-2</v>
      </c>
      <c r="GA28" s="35">
        <f t="shared" si="167"/>
        <v>3.9059554687499998E-2</v>
      </c>
      <c r="GB28" s="35">
        <f t="shared" si="168"/>
        <v>-5.781492124693477E-4</v>
      </c>
      <c r="GC28" s="35">
        <f t="shared" si="169"/>
        <v>3.124784375E-2</v>
      </c>
      <c r="GD28" s="35">
        <f t="shared" si="170"/>
        <v>3.9059554687499998E-2</v>
      </c>
      <c r="GE28" s="35">
        <f t="shared" si="171"/>
        <v>3.5153699218750001E-2</v>
      </c>
      <c r="GF28" s="35">
        <f t="shared" si="172"/>
        <v>1.3716389436695398E-3</v>
      </c>
      <c r="GG28" s="35">
        <f t="shared" si="173"/>
        <v>3.5153699218750001E-2</v>
      </c>
      <c r="GH28" s="35">
        <f t="shared" si="174"/>
        <v>3.9059554687499998E-2</v>
      </c>
      <c r="GI28" s="35">
        <f t="shared" si="175"/>
        <v>3.7106626953124999E-2</v>
      </c>
      <c r="GJ28" s="35">
        <f t="shared" si="176"/>
        <v>3.9716990681593067E-4</v>
      </c>
      <c r="GK28" s="35">
        <f t="shared" si="177"/>
        <v>3.7106626953124999E-2</v>
      </c>
      <c r="GL28" s="35">
        <f t="shared" si="178"/>
        <v>3.9059554687499998E-2</v>
      </c>
      <c r="GM28" s="35">
        <f t="shared" si="179"/>
        <v>3.8083090820312498E-2</v>
      </c>
      <c r="GN28" s="35">
        <f t="shared" si="180"/>
        <v>-9.0383612486366616E-5</v>
      </c>
      <c r="GO28" s="35">
        <f t="shared" si="181"/>
        <v>3.7106626953124999E-2</v>
      </c>
      <c r="GP28" s="35">
        <f t="shared" si="182"/>
        <v>3.8083090820312498E-2</v>
      </c>
      <c r="GQ28" s="35">
        <f t="shared" si="183"/>
        <v>3.7594858886718749E-2</v>
      </c>
      <c r="GR28" s="35">
        <f t="shared" si="184"/>
        <v>1.5341968481852319E-4</v>
      </c>
      <c r="GS28" s="35">
        <f t="shared" si="185"/>
        <v>3.7594858886718749E-2</v>
      </c>
      <c r="GT28" s="35">
        <f t="shared" si="186"/>
        <v>3.8083090820312498E-2</v>
      </c>
      <c r="GU28" s="35">
        <f t="shared" si="187"/>
        <v>3.7838974853515624E-2</v>
      </c>
      <c r="GV28" s="35">
        <f t="shared" si="188"/>
        <v>3.1524667138072004E-5</v>
      </c>
      <c r="GW28" s="35">
        <f t="shared" si="189"/>
        <v>3.7838974853515624E-2</v>
      </c>
      <c r="GX28" s="35">
        <f t="shared" si="190"/>
        <v>3.8083090820312498E-2</v>
      </c>
      <c r="GY28" s="35">
        <f t="shared" si="191"/>
        <v>3.7961032836914058E-2</v>
      </c>
      <c r="GZ28" s="35">
        <f t="shared" si="192"/>
        <v>-2.9427815361748877E-5</v>
      </c>
      <c r="HA28" s="35">
        <f t="shared" si="193"/>
        <v>3.7838974853515624E-2</v>
      </c>
      <c r="HB28" s="35">
        <f t="shared" si="194"/>
        <v>3.7961032836914058E-2</v>
      </c>
      <c r="HC28" s="35">
        <f t="shared" si="195"/>
        <v>3.7900003845214844E-2</v>
      </c>
      <c r="HD28" s="35">
        <f t="shared" si="196"/>
        <v>1.0488402699682098E-6</v>
      </c>
      <c r="HE28" s="35">
        <f t="shared" si="197"/>
        <v>3.7900003845214844E-2</v>
      </c>
      <c r="HF28" s="35">
        <f t="shared" si="198"/>
        <v>3.7961032836914058E-2</v>
      </c>
      <c r="HG28" s="35">
        <f t="shared" si="199"/>
        <v>3.7930518341064451E-2</v>
      </c>
      <c r="HH28" s="35">
        <f t="shared" si="200"/>
        <v>-1.4189383957141644E-5</v>
      </c>
      <c r="HI28" s="35">
        <f t="shared" si="201"/>
        <v>3.7900003845214844E-2</v>
      </c>
      <c r="HJ28" s="35">
        <f t="shared" si="202"/>
        <v>3.7930518341064451E-2</v>
      </c>
      <c r="HK28" s="35">
        <f t="shared" si="203"/>
        <v>3.7915261093139647E-2</v>
      </c>
      <c r="HL28" s="35">
        <f t="shared" si="204"/>
        <v>-6.5702459454142215E-6</v>
      </c>
      <c r="HM28" s="35">
        <f t="shared" si="205"/>
        <v>3.7900003845214844E-2</v>
      </c>
      <c r="HN28" s="35">
        <f t="shared" si="206"/>
        <v>3.7915261093139647E-2</v>
      </c>
      <c r="HO28" s="35">
        <f t="shared" si="207"/>
        <v>3.7907632469177249E-2</v>
      </c>
      <c r="HP28" s="35">
        <f t="shared" si="208"/>
        <v>-2.7606963630688597E-6</v>
      </c>
      <c r="HQ28" s="35">
        <f t="shared" si="209"/>
        <v>3.7900003845214844E-2</v>
      </c>
      <c r="HR28" s="35">
        <f t="shared" si="210"/>
        <v>3.7907632469177249E-2</v>
      </c>
      <c r="HS28" s="35">
        <f t="shared" si="211"/>
        <v>3.7903818157196047E-2</v>
      </c>
      <c r="HT28" s="35">
        <f t="shared" si="212"/>
        <v>-8.5592642795617735E-7</v>
      </c>
      <c r="HU28" s="35">
        <f t="shared" si="213"/>
        <v>3.7900003845214844E-2</v>
      </c>
      <c r="HV28" s="35">
        <f t="shared" si="214"/>
        <v>3.7903818157196047E-2</v>
      </c>
      <c r="HW28" s="35">
        <f t="shared" si="215"/>
        <v>3.7901911001205449E-2</v>
      </c>
      <c r="HX28" s="35">
        <f t="shared" si="216"/>
        <v>9.6457325682308692E-8</v>
      </c>
      <c r="HY28" s="35">
        <f t="shared" si="217"/>
        <v>3.7901911001205449E-2</v>
      </c>
      <c r="HZ28" s="35">
        <f t="shared" si="218"/>
        <v>3.7903818157196047E-2</v>
      </c>
      <c r="IA28" s="35">
        <f t="shared" si="219"/>
        <v>3.7902864579200751E-2</v>
      </c>
      <c r="IB28" s="35">
        <f t="shared" si="220"/>
        <v>-3.7973444988459448E-7</v>
      </c>
      <c r="IC28" s="35">
        <f t="shared" si="221"/>
        <v>3.7901911001205449E-2</v>
      </c>
      <c r="ID28" s="35">
        <f t="shared" si="222"/>
        <v>3.7902864579200751E-2</v>
      </c>
      <c r="IE28" s="35">
        <f t="shared" si="223"/>
        <v>3.79023877902031E-2</v>
      </c>
      <c r="IF28" s="35">
        <f t="shared" si="224"/>
        <v>-1.4163853667703563E-7</v>
      </c>
      <c r="IG28" s="35">
        <f t="shared" si="225"/>
        <v>3.7901911001205449E-2</v>
      </c>
      <c r="IH28" s="35">
        <f t="shared" si="226"/>
        <v>3.79023877902031E-2</v>
      </c>
      <c r="II28" s="35">
        <f t="shared" si="227"/>
        <v>3.7902149395704271E-2</v>
      </c>
      <c r="IJ28" s="35">
        <f t="shared" si="228"/>
        <v>-2.2590599058069927E-8</v>
      </c>
      <c r="IK28" s="35">
        <f t="shared" si="229"/>
        <v>3.7901911001205449E-2</v>
      </c>
      <c r="IL28" s="35">
        <f t="shared" si="230"/>
        <v>3.7902149395704271E-2</v>
      </c>
      <c r="IM28" s="35">
        <f t="shared" si="231"/>
        <v>3.790203019845486E-2</v>
      </c>
      <c r="IN28" s="35">
        <f t="shared" si="232"/>
        <v>3.6933365032965071E-8</v>
      </c>
      <c r="IO28" s="35">
        <f t="shared" si="233"/>
        <v>3.790203019845486E-2</v>
      </c>
      <c r="IP28" s="35">
        <f t="shared" si="234"/>
        <v>3.7902149395704271E-2</v>
      </c>
      <c r="IQ28" s="35">
        <f t="shared" si="235"/>
        <v>3.7902089797079569E-2</v>
      </c>
      <c r="IR28" s="35">
        <f t="shared" si="236"/>
        <v>7.1713832650033282E-9</v>
      </c>
      <c r="IS28" s="35">
        <f t="shared" si="237"/>
        <v>3.7902089797079569E-2</v>
      </c>
      <c r="IT28" s="35">
        <f t="shared" si="238"/>
        <v>3.7902149395704271E-2</v>
      </c>
      <c r="IU28" s="35">
        <f t="shared" si="239"/>
        <v>3.790211959639192E-2</v>
      </c>
      <c r="IV28" s="35">
        <f t="shared" si="240"/>
        <v>-7.709607841022148E-9</v>
      </c>
      <c r="IW28" s="35">
        <f t="shared" si="241"/>
        <v>3.7902089797079569E-2</v>
      </c>
      <c r="IX28" s="35">
        <f t="shared" si="242"/>
        <v>3.790211959639192E-2</v>
      </c>
      <c r="IY28" s="35">
        <f t="shared" si="243"/>
        <v>3.7902104696735744E-2</v>
      </c>
      <c r="IZ28" s="35">
        <f t="shared" si="244"/>
        <v>-2.6911217698710743E-10</v>
      </c>
      <c r="JA28" s="35">
        <f t="shared" si="245"/>
        <v>3.7902089797079569E-2</v>
      </c>
      <c r="JB28" s="35">
        <f t="shared" si="246"/>
        <v>3.7902104696735744E-2</v>
      </c>
      <c r="JC28" s="35">
        <f t="shared" si="247"/>
        <v>3.7902097246907657E-2</v>
      </c>
      <c r="JD28" s="35">
        <f t="shared" si="248"/>
        <v>3.4511355995192616E-9</v>
      </c>
      <c r="JE28" s="35">
        <f t="shared" si="249"/>
        <v>3.7902097246907657E-2</v>
      </c>
      <c r="JF28" s="35">
        <f t="shared" si="250"/>
        <v>3.7902104696735744E-2</v>
      </c>
      <c r="JG28" s="35">
        <f t="shared" si="251"/>
        <v>3.7902100971821701E-2</v>
      </c>
      <c r="JH28" s="35">
        <f t="shared" si="252"/>
        <v>1.5910115447326234E-9</v>
      </c>
      <c r="JI28" s="35">
        <f t="shared" si="253"/>
        <v>3.7902100971821701E-2</v>
      </c>
      <c r="JJ28" s="35">
        <f t="shared" si="254"/>
        <v>3.7902104696735744E-2</v>
      </c>
      <c r="JK28" s="35">
        <f t="shared" si="255"/>
        <v>3.7902102834278723E-2</v>
      </c>
      <c r="JL28" s="35">
        <f t="shared" si="256"/>
        <v>6.6094951733930429E-10</v>
      </c>
      <c r="JM28" s="35">
        <f t="shared" si="257"/>
        <v>3.7902102834278723E-2</v>
      </c>
      <c r="JN28" s="35">
        <f t="shared" si="258"/>
        <v>3.7902104696735744E-2</v>
      </c>
      <c r="JO28" s="35">
        <f t="shared" si="259"/>
        <v>3.7902103765507233E-2</v>
      </c>
      <c r="JP28" s="35">
        <f t="shared" si="260"/>
        <v>1.9591883670955212E-10</v>
      </c>
      <c r="JQ28" s="35">
        <f t="shared" si="261"/>
        <v>3.7902103765507233E-2</v>
      </c>
      <c r="JR28" s="35">
        <f t="shared" si="262"/>
        <v>3.7902104696735744E-2</v>
      </c>
      <c r="JS28" s="35">
        <f t="shared" si="263"/>
        <v>3.7902104231121489E-2</v>
      </c>
      <c r="JT28" s="35">
        <f t="shared" si="264"/>
        <v>-3.6596725649928885E-11</v>
      </c>
      <c r="JU28" s="35">
        <f t="shared" si="265"/>
        <v>3.7902103765507233E-2</v>
      </c>
      <c r="JV28" s="35">
        <f t="shared" si="266"/>
        <v>3.7902104231121489E-2</v>
      </c>
      <c r="JW28" s="35">
        <f t="shared" si="267"/>
        <v>3.7902103998314361E-2</v>
      </c>
      <c r="JX28" s="35">
        <f t="shared" si="268"/>
        <v>7.9661166552114082E-11</v>
      </c>
      <c r="JY28" s="35">
        <f t="shared" si="269"/>
        <v>3.7902103998314361E-2</v>
      </c>
      <c r="JZ28" s="35">
        <f t="shared" si="270"/>
        <v>3.7902104231121489E-2</v>
      </c>
      <c r="KA28" s="35">
        <f t="shared" si="271"/>
        <v>1.0573918206384398</v>
      </c>
      <c r="KB28" s="35">
        <f t="shared" si="272"/>
        <v>3.7902104114717922E-2</v>
      </c>
    </row>
    <row r="29" spans="1:288" ht="15" customHeight="1" x14ac:dyDescent="0.3">
      <c r="A29" s="30">
        <f>Odds_Input!A29</f>
        <v>21</v>
      </c>
      <c r="B29" s="7" t="str">
        <f>Odds_Input!B29</f>
        <v>TITLE</v>
      </c>
      <c r="C29" s="7" t="str">
        <f>Odds_Input!C29</f>
        <v>Orlando Magic</v>
      </c>
      <c r="D29" s="7" t="str">
        <f>Odds_Input!D29</f>
        <v>YES</v>
      </c>
      <c r="E29" s="31" t="str">
        <f>Odds_Input!E29</f>
        <v>-</v>
      </c>
      <c r="F29" s="32">
        <f>Odds_Input!F29</f>
        <v>5500</v>
      </c>
      <c r="G29" s="6" t="str">
        <f t="shared" si="0"/>
        <v>TITLE</v>
      </c>
      <c r="H29" s="14">
        <f t="shared" si="1"/>
        <v>56</v>
      </c>
      <c r="I29" s="33">
        <f t="shared" si="2"/>
        <v>1.7857142857142856E-2</v>
      </c>
      <c r="J29" s="17">
        <f t="shared" si="3"/>
        <v>1</v>
      </c>
      <c r="K29" s="17">
        <f t="shared" si="4"/>
        <v>30</v>
      </c>
      <c r="L29" s="18">
        <f t="shared" si="5"/>
        <v>1.252565192422864</v>
      </c>
      <c r="M29" s="34">
        <f t="shared" si="6"/>
        <v>0.25256519242286402</v>
      </c>
      <c r="N29" s="33">
        <f t="shared" si="7"/>
        <v>1.4256457839612642E-2</v>
      </c>
      <c r="O29" s="33">
        <f t="shared" si="8"/>
        <v>1.1977465352440564E-2</v>
      </c>
      <c r="P29" s="33">
        <f t="shared" si="9"/>
        <v>1.1401895822062667E-2</v>
      </c>
      <c r="Q29" s="33">
        <f t="shared" si="10"/>
        <v>1.1401895822062667E-2</v>
      </c>
      <c r="R29" s="35">
        <f t="shared" si="11"/>
        <v>1.0992153287166726</v>
      </c>
      <c r="S29" s="35">
        <f t="shared" si="12"/>
        <v>1.1051948455485863E-2</v>
      </c>
      <c r="X29" s="6" t="s">
        <v>804</v>
      </c>
      <c r="Y29" s="6">
        <f t="shared" si="13"/>
        <v>1</v>
      </c>
      <c r="Z29" s="18">
        <f t="shared" si="14"/>
        <v>1.0414078674948239</v>
      </c>
      <c r="AA29" s="10">
        <v>0.2</v>
      </c>
      <c r="AB29" s="10">
        <v>10</v>
      </c>
      <c r="AC29" s="35">
        <f t="shared" si="15"/>
        <v>5.0999999999999996</v>
      </c>
      <c r="AD29" s="35">
        <f t="shared" si="16"/>
        <v>-0.9227779170415481</v>
      </c>
      <c r="AE29" s="35">
        <f t="shared" si="17"/>
        <v>0.2</v>
      </c>
      <c r="AF29" s="35">
        <f t="shared" si="18"/>
        <v>5.0999999999999996</v>
      </c>
      <c r="AG29" s="35">
        <f t="shared" si="19"/>
        <v>2.65</v>
      </c>
      <c r="AH29" s="35">
        <f t="shared" si="20"/>
        <v>-0.63952198128139504</v>
      </c>
      <c r="AI29" s="35">
        <f t="shared" si="21"/>
        <v>0.2</v>
      </c>
      <c r="AJ29" s="35">
        <f t="shared" si="22"/>
        <v>2.65</v>
      </c>
      <c r="AK29" s="35">
        <f t="shared" si="23"/>
        <v>1.425</v>
      </c>
      <c r="AL29" s="35">
        <f t="shared" si="24"/>
        <v>-0.20908007523557948</v>
      </c>
      <c r="AM29" s="35">
        <f t="shared" si="25"/>
        <v>0.2</v>
      </c>
      <c r="AN29" s="35">
        <f t="shared" si="26"/>
        <v>1.425</v>
      </c>
      <c r="AO29" s="35">
        <f t="shared" si="27"/>
        <v>0.8125</v>
      </c>
      <c r="AP29" s="35">
        <f t="shared" si="28"/>
        <v>0.17629935696471266</v>
      </c>
      <c r="AQ29" s="35">
        <f t="shared" si="29"/>
        <v>0.8125</v>
      </c>
      <c r="AR29" s="35">
        <f t="shared" si="30"/>
        <v>1.425</v>
      </c>
      <c r="AS29" s="35">
        <f t="shared" si="31"/>
        <v>1.1187499999999999</v>
      </c>
      <c r="AT29" s="35">
        <f t="shared" si="32"/>
        <v>-3.5778067505578326E-2</v>
      </c>
      <c r="AU29" s="35">
        <f t="shared" si="33"/>
        <v>0.8125</v>
      </c>
      <c r="AV29" s="35">
        <f t="shared" si="34"/>
        <v>1.1187499999999999</v>
      </c>
      <c r="AW29" s="35">
        <f t="shared" si="35"/>
        <v>0.96562499999999996</v>
      </c>
      <c r="AX29" s="35">
        <f t="shared" si="36"/>
        <v>6.4903605363057393E-2</v>
      </c>
      <c r="AY29" s="35">
        <f t="shared" si="37"/>
        <v>0.96562499999999996</v>
      </c>
      <c r="AZ29" s="35">
        <f t="shared" si="38"/>
        <v>1.1187499999999999</v>
      </c>
      <c r="BA29" s="35">
        <f t="shared" si="39"/>
        <v>1.0421874999999998</v>
      </c>
      <c r="BB29" s="35">
        <f t="shared" si="40"/>
        <v>1.3291449743261685E-2</v>
      </c>
      <c r="BC29" s="35">
        <f t="shared" si="41"/>
        <v>1.0421874999999998</v>
      </c>
      <c r="BD29" s="35">
        <f t="shared" si="42"/>
        <v>1.1187499999999999</v>
      </c>
      <c r="BE29" s="35">
        <f t="shared" si="43"/>
        <v>1.0804687499999999</v>
      </c>
      <c r="BF29" s="35">
        <f t="shared" si="44"/>
        <v>-1.1553028933059428E-2</v>
      </c>
      <c r="BG29" s="35">
        <f t="shared" si="45"/>
        <v>1.0421874999999998</v>
      </c>
      <c r="BH29" s="35">
        <f t="shared" si="46"/>
        <v>1.0804687499999999</v>
      </c>
      <c r="BI29" s="35">
        <f t="shared" si="47"/>
        <v>1.0613281249999997</v>
      </c>
      <c r="BJ29" s="35">
        <f t="shared" si="48"/>
        <v>7.9078318075542775E-4</v>
      </c>
      <c r="BK29" s="35">
        <f t="shared" si="49"/>
        <v>1.0613281249999997</v>
      </c>
      <c r="BL29" s="35">
        <f t="shared" si="50"/>
        <v>1.0804687499999999</v>
      </c>
      <c r="BM29" s="35">
        <f t="shared" si="51"/>
        <v>1.0708984374999999</v>
      </c>
      <c r="BN29" s="35">
        <f t="shared" si="52"/>
        <v>-5.4006040141354461E-3</v>
      </c>
      <c r="BO29" s="35">
        <f t="shared" si="53"/>
        <v>1.0613281249999997</v>
      </c>
      <c r="BP29" s="35">
        <f t="shared" si="54"/>
        <v>1.0708984374999999</v>
      </c>
      <c r="BQ29" s="35">
        <f t="shared" si="55"/>
        <v>1.0661132812499998</v>
      </c>
      <c r="BR29" s="35">
        <f t="shared" si="56"/>
        <v>-2.3097963456932824E-3</v>
      </c>
      <c r="BS29" s="35">
        <f t="shared" si="57"/>
        <v>1.0613281249999997</v>
      </c>
      <c r="BT29" s="35">
        <f t="shared" si="58"/>
        <v>1.0661132812499998</v>
      </c>
      <c r="BU29" s="35">
        <f t="shared" si="59"/>
        <v>1.0637207031249998</v>
      </c>
      <c r="BV29" s="35">
        <f t="shared" si="60"/>
        <v>-7.6073002586696248E-4</v>
      </c>
      <c r="BW29" s="35">
        <f t="shared" si="61"/>
        <v>1.0613281249999997</v>
      </c>
      <c r="BX29" s="35">
        <f t="shared" si="62"/>
        <v>1.0637207031249998</v>
      </c>
      <c r="BY29" s="35">
        <f t="shared" si="63"/>
        <v>1.0625244140624996</v>
      </c>
      <c r="BZ29" s="35">
        <f t="shared" si="64"/>
        <v>1.4720471101625776E-5</v>
      </c>
      <c r="CA29" s="35">
        <f t="shared" si="65"/>
        <v>1.0625244140624996</v>
      </c>
      <c r="CB29" s="35">
        <f t="shared" si="66"/>
        <v>1.0637207031249998</v>
      </c>
      <c r="CC29" s="35">
        <f t="shared" si="67"/>
        <v>1.0631225585937498</v>
      </c>
      <c r="CD29" s="35">
        <f t="shared" si="68"/>
        <v>-3.7308127326629581E-4</v>
      </c>
      <c r="CE29" s="35">
        <f t="shared" si="69"/>
        <v>1.0625244140624996</v>
      </c>
      <c r="CF29" s="35">
        <f t="shared" si="70"/>
        <v>1.0631225585937498</v>
      </c>
      <c r="CG29" s="35">
        <f t="shared" si="71"/>
        <v>1.0628234863281247</v>
      </c>
      <c r="CH29" s="35">
        <f t="shared" si="72"/>
        <v>-1.7919952889000612E-4</v>
      </c>
      <c r="CI29" s="35">
        <f t="shared" si="73"/>
        <v>1.0625244140624996</v>
      </c>
      <c r="CJ29" s="35">
        <f t="shared" si="74"/>
        <v>1.0628234863281247</v>
      </c>
      <c r="CK29" s="35">
        <f t="shared" si="75"/>
        <v>1.0626739501953122</v>
      </c>
      <c r="CL29" s="35">
        <f t="shared" si="76"/>
        <v>-8.2244311325974095E-5</v>
      </c>
      <c r="CM29" s="35">
        <f t="shared" si="77"/>
        <v>1.0625244140624996</v>
      </c>
      <c r="CN29" s="35">
        <f t="shared" si="78"/>
        <v>1.0626739501953122</v>
      </c>
      <c r="CO29" s="35">
        <f t="shared" si="79"/>
        <v>1.0625991821289058</v>
      </c>
      <c r="CP29" s="35">
        <f t="shared" si="80"/>
        <v>-3.3763115779961161E-5</v>
      </c>
      <c r="CQ29" s="35">
        <f t="shared" si="81"/>
        <v>1.0625244140624996</v>
      </c>
      <c r="CR29" s="35">
        <f t="shared" si="82"/>
        <v>1.0625991821289058</v>
      </c>
      <c r="CS29" s="35">
        <f t="shared" si="83"/>
        <v>1.0625617980957027</v>
      </c>
      <c r="CT29" s="35">
        <f t="shared" si="84"/>
        <v>-9.521621263774982E-6</v>
      </c>
      <c r="CU29" s="35">
        <f t="shared" si="85"/>
        <v>1.0625244140624996</v>
      </c>
      <c r="CV29" s="35">
        <f t="shared" si="86"/>
        <v>1.0625617980957027</v>
      </c>
      <c r="CW29" s="35">
        <f t="shared" si="87"/>
        <v>1.0625431060791013</v>
      </c>
      <c r="CX29" s="35">
        <f t="shared" si="88"/>
        <v>2.5993501868715185E-6</v>
      </c>
      <c r="CY29" s="35">
        <f t="shared" si="89"/>
        <v>1.0625431060791013</v>
      </c>
      <c r="CZ29" s="35">
        <f t="shared" si="90"/>
        <v>1.0625617980957027</v>
      </c>
      <c r="DA29" s="35">
        <f t="shared" si="91"/>
        <v>1.0625524520874019</v>
      </c>
      <c r="DB29" s="35">
        <f t="shared" si="92"/>
        <v>-3.4611542214513236E-6</v>
      </c>
      <c r="DC29" s="35">
        <f t="shared" si="93"/>
        <v>1.0625431060791013</v>
      </c>
      <c r="DD29" s="35">
        <f t="shared" si="94"/>
        <v>1.0625524520874019</v>
      </c>
      <c r="DE29" s="35">
        <f t="shared" si="95"/>
        <v>1.0625477790832516</v>
      </c>
      <c r="DF29" s="35">
        <f t="shared" si="96"/>
        <v>-4.3090668799816711E-7</v>
      </c>
      <c r="DG29" s="35">
        <f t="shared" si="97"/>
        <v>1.0625431060791013</v>
      </c>
      <c r="DH29" s="35">
        <f t="shared" si="98"/>
        <v>1.0625477790832516</v>
      </c>
      <c r="DI29" s="35">
        <f t="shared" si="99"/>
        <v>1.0625454425811764</v>
      </c>
      <c r="DJ29" s="35">
        <f t="shared" si="100"/>
        <v>1.0842205817596096E-6</v>
      </c>
      <c r="DK29" s="35">
        <f t="shared" si="101"/>
        <v>1.0625454425811764</v>
      </c>
      <c r="DL29" s="35">
        <f t="shared" si="102"/>
        <v>1.0625477790832516</v>
      </c>
      <c r="DM29" s="35">
        <f t="shared" si="103"/>
        <v>1.0625466108322139</v>
      </c>
      <c r="DN29" s="35">
        <f t="shared" si="104"/>
        <v>3.266566550585992E-7</v>
      </c>
      <c r="DO29" s="35">
        <f t="shared" si="105"/>
        <v>1.0625466108322139</v>
      </c>
      <c r="DP29" s="35">
        <f t="shared" si="106"/>
        <v>1.0625477790832516</v>
      </c>
      <c r="DQ29" s="35">
        <f t="shared" si="107"/>
        <v>1.0625471949577328</v>
      </c>
      <c r="DR29" s="35">
        <f t="shared" si="108"/>
        <v>-5.212508957797013E-8</v>
      </c>
      <c r="DS29" s="35">
        <f t="shared" si="109"/>
        <v>1.0625466108322139</v>
      </c>
      <c r="DT29" s="35">
        <f t="shared" si="110"/>
        <v>1.0625471949577328</v>
      </c>
      <c r="DU29" s="35">
        <f t="shared" si="111"/>
        <v>1.0625469028949732</v>
      </c>
      <c r="DV29" s="35">
        <f t="shared" si="112"/>
        <v>1.3726576453265693E-7</v>
      </c>
      <c r="DW29" s="35">
        <f t="shared" si="113"/>
        <v>1.0625469028949732</v>
      </c>
      <c r="DX29" s="35">
        <f t="shared" si="114"/>
        <v>1.0625471949577328</v>
      </c>
      <c r="DY29" s="35">
        <f t="shared" si="115"/>
        <v>1.0625470489263531</v>
      </c>
      <c r="DZ29" s="35">
        <f t="shared" si="116"/>
        <v>4.2570333036451302E-8</v>
      </c>
      <c r="EA29" s="35">
        <f t="shared" si="117"/>
        <v>1.0625470489263531</v>
      </c>
      <c r="EB29" s="35">
        <f t="shared" si="118"/>
        <v>1.0625471949577328</v>
      </c>
      <c r="EC29" s="35">
        <f t="shared" si="119"/>
        <v>1.062547121942043</v>
      </c>
      <c r="ED29" s="35">
        <f t="shared" si="120"/>
        <v>-4.7773796030270432E-9</v>
      </c>
      <c r="EE29" s="35">
        <f t="shared" si="121"/>
        <v>1.0625470489263531</v>
      </c>
      <c r="EF29" s="35">
        <f t="shared" si="122"/>
        <v>1.062547121942043</v>
      </c>
      <c r="EG29" s="35">
        <f t="shared" si="123"/>
        <v>1.0625470854341981</v>
      </c>
      <c r="EH29" s="35">
        <f t="shared" si="124"/>
        <v>1.8896476383645222E-8</v>
      </c>
      <c r="EI29" s="35">
        <f t="shared" si="125"/>
        <v>1.0625470854341981</v>
      </c>
      <c r="EJ29" s="35">
        <f t="shared" si="126"/>
        <v>1.062547121942043</v>
      </c>
      <c r="EK29" s="35">
        <f t="shared" si="127"/>
        <v>1.0625471036881207</v>
      </c>
      <c r="EL29" s="35">
        <f t="shared" si="128"/>
        <v>7.059548279286787E-9</v>
      </c>
      <c r="EM29" s="35">
        <f t="shared" si="129"/>
        <v>1.0625471036881207</v>
      </c>
      <c r="EN29" s="35">
        <f t="shared" si="130"/>
        <v>1.062547121942043</v>
      </c>
      <c r="EO29" s="35">
        <f t="shared" si="131"/>
        <v>1.0625471128150819</v>
      </c>
      <c r="EP29" s="35">
        <f t="shared" si="132"/>
        <v>1.1410843381298719E-9</v>
      </c>
      <c r="EQ29" s="35">
        <f t="shared" si="133"/>
        <v>1.0625471128150819</v>
      </c>
      <c r="ER29" s="35">
        <f t="shared" si="134"/>
        <v>1.062547121942043</v>
      </c>
      <c r="ES29" s="35">
        <f t="shared" si="135"/>
        <v>1.0625471173785623</v>
      </c>
      <c r="ET29" s="35">
        <f t="shared" si="136"/>
        <v>-1.8181474104039808E-9</v>
      </c>
      <c r="EU29" s="35">
        <f t="shared" si="137"/>
        <v>1.0625471128150819</v>
      </c>
      <c r="EV29" s="35">
        <f t="shared" si="138"/>
        <v>1.0625471173785623</v>
      </c>
      <c r="EW29" s="35">
        <f t="shared" si="139"/>
        <v>1.0625471150968222</v>
      </c>
      <c r="EX29" s="35">
        <f t="shared" si="140"/>
        <v>-3.3853164715935691E-10</v>
      </c>
      <c r="EY29" s="35">
        <f t="shared" si="141"/>
        <v>1.0625471128150819</v>
      </c>
      <c r="EZ29" s="35">
        <f t="shared" si="142"/>
        <v>1.0625471150968222</v>
      </c>
      <c r="FA29" s="10">
        <v>9.9999999999999995E-7</v>
      </c>
      <c r="FB29" s="10">
        <v>0.99990000000000001</v>
      </c>
      <c r="FC29" s="35">
        <f t="shared" si="143"/>
        <v>0.49995050000000002</v>
      </c>
      <c r="FD29" s="35">
        <f t="shared" si="144"/>
        <v>-0.24276869028367398</v>
      </c>
      <c r="FE29" s="35">
        <f t="shared" si="145"/>
        <v>9.9999999999999995E-7</v>
      </c>
      <c r="FF29" s="35">
        <f t="shared" si="146"/>
        <v>0.49995050000000002</v>
      </c>
      <c r="FG29" s="35">
        <f t="shared" si="147"/>
        <v>0.24997575</v>
      </c>
      <c r="FH29" s="35">
        <f t="shared" si="148"/>
        <v>-0.10840749503390235</v>
      </c>
      <c r="FI29" s="35">
        <f t="shared" si="149"/>
        <v>9.9999999999999995E-7</v>
      </c>
      <c r="FJ29" s="35">
        <f t="shared" si="150"/>
        <v>0.24997575</v>
      </c>
      <c r="FK29" s="35">
        <f t="shared" si="151"/>
        <v>0.124988375</v>
      </c>
      <c r="FL29" s="35">
        <f t="shared" si="152"/>
        <v>-4.2516519035160294E-2</v>
      </c>
      <c r="FM29" s="35">
        <f t="shared" si="153"/>
        <v>9.9999999999999995E-7</v>
      </c>
      <c r="FN29" s="35">
        <f t="shared" si="154"/>
        <v>0.124988375</v>
      </c>
      <c r="FO29" s="35">
        <f t="shared" si="155"/>
        <v>6.24946875E-2</v>
      </c>
      <c r="FP29" s="35">
        <f t="shared" si="156"/>
        <v>-1.0580614099340302E-2</v>
      </c>
      <c r="FQ29" s="35">
        <f t="shared" si="157"/>
        <v>9.9999999999999995E-7</v>
      </c>
      <c r="FR29" s="35">
        <f t="shared" si="158"/>
        <v>6.24946875E-2</v>
      </c>
      <c r="FS29" s="35">
        <f t="shared" si="159"/>
        <v>3.124784375E-2</v>
      </c>
      <c r="FT29" s="35">
        <f t="shared" si="160"/>
        <v>5.0712612829186821E-3</v>
      </c>
      <c r="FU29" s="35">
        <f t="shared" si="161"/>
        <v>3.124784375E-2</v>
      </c>
      <c r="FV29" s="35">
        <f t="shared" si="162"/>
        <v>6.24946875E-2</v>
      </c>
      <c r="FW29" s="35">
        <f t="shared" si="163"/>
        <v>4.6871265624999998E-2</v>
      </c>
      <c r="FX29" s="35">
        <f t="shared" si="164"/>
        <v>-2.7267771400811824E-3</v>
      </c>
      <c r="FY29" s="35">
        <f t="shared" si="165"/>
        <v>3.124784375E-2</v>
      </c>
      <c r="FZ29" s="35">
        <f t="shared" si="166"/>
        <v>4.6871265624999998E-2</v>
      </c>
      <c r="GA29" s="35">
        <f t="shared" si="167"/>
        <v>3.9059554687499998E-2</v>
      </c>
      <c r="GB29" s="35">
        <f t="shared" si="168"/>
        <v>1.1793231954251304E-3</v>
      </c>
      <c r="GC29" s="35">
        <f t="shared" si="169"/>
        <v>3.9059554687499998E-2</v>
      </c>
      <c r="GD29" s="35">
        <f t="shared" si="170"/>
        <v>4.6871265624999998E-2</v>
      </c>
      <c r="GE29" s="35">
        <f t="shared" si="171"/>
        <v>4.2965410156249995E-2</v>
      </c>
      <c r="GF29" s="35">
        <f t="shared" si="172"/>
        <v>-7.7196967997916754E-4</v>
      </c>
      <c r="GG29" s="35">
        <f t="shared" si="173"/>
        <v>3.9059554687499998E-2</v>
      </c>
      <c r="GH29" s="35">
        <f t="shared" si="174"/>
        <v>4.2965410156249995E-2</v>
      </c>
      <c r="GI29" s="35">
        <f t="shared" si="175"/>
        <v>4.1012482421874996E-2</v>
      </c>
      <c r="GJ29" s="35">
        <f t="shared" si="176"/>
        <v>2.0411772305739539E-4</v>
      </c>
      <c r="GK29" s="35">
        <f t="shared" si="177"/>
        <v>4.1012482421874996E-2</v>
      </c>
      <c r="GL29" s="35">
        <f t="shared" si="178"/>
        <v>4.2965410156249995E-2</v>
      </c>
      <c r="GM29" s="35">
        <f t="shared" si="179"/>
        <v>4.1988946289062495E-2</v>
      </c>
      <c r="GN29" s="35">
        <f t="shared" si="180"/>
        <v>-2.8381594123927378E-4</v>
      </c>
      <c r="GO29" s="35">
        <f t="shared" si="181"/>
        <v>4.1012482421874996E-2</v>
      </c>
      <c r="GP29" s="35">
        <f t="shared" si="182"/>
        <v>4.1988946289062495E-2</v>
      </c>
      <c r="GQ29" s="35">
        <f t="shared" si="183"/>
        <v>4.1500714355468746E-2</v>
      </c>
      <c r="GR29" s="35">
        <f t="shared" si="184"/>
        <v>-3.9821574198795062E-5</v>
      </c>
      <c r="GS29" s="35">
        <f t="shared" si="185"/>
        <v>4.1012482421874996E-2</v>
      </c>
      <c r="GT29" s="35">
        <f t="shared" si="186"/>
        <v>4.1500714355468746E-2</v>
      </c>
      <c r="GU29" s="35">
        <f t="shared" si="187"/>
        <v>4.1256598388671871E-2</v>
      </c>
      <c r="GV29" s="35">
        <f t="shared" si="188"/>
        <v>8.2154961344782507E-5</v>
      </c>
      <c r="GW29" s="35">
        <f t="shared" si="189"/>
        <v>4.1256598388671871E-2</v>
      </c>
      <c r="GX29" s="35">
        <f t="shared" si="190"/>
        <v>4.1500714355468746E-2</v>
      </c>
      <c r="GY29" s="35">
        <f t="shared" si="191"/>
        <v>4.1378656372070305E-2</v>
      </c>
      <c r="GZ29" s="35">
        <f t="shared" si="192"/>
        <v>2.1168414903183219E-5</v>
      </c>
      <c r="HA29" s="35">
        <f t="shared" si="193"/>
        <v>4.1378656372070305E-2</v>
      </c>
      <c r="HB29" s="35">
        <f t="shared" si="194"/>
        <v>4.1500714355468746E-2</v>
      </c>
      <c r="HC29" s="35">
        <f t="shared" si="195"/>
        <v>4.1439685363769525E-2</v>
      </c>
      <c r="HD29" s="35">
        <f t="shared" si="196"/>
        <v>-9.3261493652185834E-6</v>
      </c>
      <c r="HE29" s="35">
        <f t="shared" si="197"/>
        <v>4.1378656372070305E-2</v>
      </c>
      <c r="HF29" s="35">
        <f t="shared" si="198"/>
        <v>4.1439685363769525E-2</v>
      </c>
      <c r="HG29" s="35">
        <f t="shared" si="199"/>
        <v>4.1409170867919912E-2</v>
      </c>
      <c r="HH29" s="35">
        <f t="shared" si="200"/>
        <v>5.9212403458186458E-6</v>
      </c>
      <c r="HI29" s="35">
        <f t="shared" si="201"/>
        <v>4.1409170867919912E-2</v>
      </c>
      <c r="HJ29" s="35">
        <f t="shared" si="202"/>
        <v>4.1439685363769525E-2</v>
      </c>
      <c r="HK29" s="35">
        <f t="shared" si="203"/>
        <v>4.1424428115844722E-2</v>
      </c>
      <c r="HL29" s="35">
        <f t="shared" si="204"/>
        <v>-1.7024276161015095E-6</v>
      </c>
      <c r="HM29" s="35">
        <f t="shared" si="205"/>
        <v>4.1409170867919912E-2</v>
      </c>
      <c r="HN29" s="35">
        <f t="shared" si="206"/>
        <v>4.1424428115844722E-2</v>
      </c>
      <c r="HO29" s="35">
        <f t="shared" si="207"/>
        <v>4.1416799491882317E-2</v>
      </c>
      <c r="HP29" s="35">
        <f t="shared" si="208"/>
        <v>2.1094130884247164E-6</v>
      </c>
      <c r="HQ29" s="35">
        <f t="shared" si="209"/>
        <v>4.1416799491882317E-2</v>
      </c>
      <c r="HR29" s="35">
        <f t="shared" si="210"/>
        <v>4.1424428115844722E-2</v>
      </c>
      <c r="HS29" s="35">
        <f t="shared" si="211"/>
        <v>4.1420613803863519E-2</v>
      </c>
      <c r="HT29" s="35">
        <f t="shared" si="212"/>
        <v>2.0349441687272929E-7</v>
      </c>
      <c r="HU29" s="35">
        <f t="shared" si="213"/>
        <v>4.1420613803863519E-2</v>
      </c>
      <c r="HV29" s="35">
        <f t="shared" si="214"/>
        <v>4.1424428115844722E-2</v>
      </c>
      <c r="HW29" s="35">
        <f t="shared" si="215"/>
        <v>4.1422520959854117E-2</v>
      </c>
      <c r="HX29" s="35">
        <f t="shared" si="216"/>
        <v>-7.4946617956150874E-7</v>
      </c>
      <c r="HY29" s="35">
        <f t="shared" si="217"/>
        <v>4.1420613803863519E-2</v>
      </c>
      <c r="HZ29" s="35">
        <f t="shared" si="218"/>
        <v>4.1422520959854117E-2</v>
      </c>
      <c r="IA29" s="35">
        <f t="shared" si="219"/>
        <v>4.1421567381858815E-2</v>
      </c>
      <c r="IB29" s="35">
        <f t="shared" si="220"/>
        <v>-2.7298577620626929E-7</v>
      </c>
      <c r="IC29" s="35">
        <f t="shared" si="221"/>
        <v>4.1420613803863519E-2</v>
      </c>
      <c r="ID29" s="35">
        <f t="shared" si="222"/>
        <v>4.1421567381858815E-2</v>
      </c>
      <c r="IE29" s="35">
        <f t="shared" si="223"/>
        <v>4.1421090592861171E-2</v>
      </c>
      <c r="IF29" s="35">
        <f t="shared" si="224"/>
        <v>-3.4745653354484318E-8</v>
      </c>
      <c r="IG29" s="35">
        <f t="shared" si="225"/>
        <v>4.1420613803863519E-2</v>
      </c>
      <c r="IH29" s="35">
        <f t="shared" si="226"/>
        <v>4.1421090592861171E-2</v>
      </c>
      <c r="II29" s="35">
        <f t="shared" si="227"/>
        <v>4.1420852198362348E-2</v>
      </c>
      <c r="IJ29" s="35">
        <f t="shared" si="228"/>
        <v>8.4374388364949482E-8</v>
      </c>
      <c r="IK29" s="35">
        <f t="shared" si="229"/>
        <v>4.1420852198362348E-2</v>
      </c>
      <c r="IL29" s="35">
        <f t="shared" si="230"/>
        <v>4.1421090592861171E-2</v>
      </c>
      <c r="IM29" s="35">
        <f t="shared" si="231"/>
        <v>4.142097139561176E-2</v>
      </c>
      <c r="IN29" s="35">
        <f t="shared" si="232"/>
        <v>2.4814369004033665E-8</v>
      </c>
      <c r="IO29" s="35">
        <f t="shared" si="233"/>
        <v>4.142097139561176E-2</v>
      </c>
      <c r="IP29" s="35">
        <f t="shared" si="234"/>
        <v>4.1421090592861171E-2</v>
      </c>
      <c r="IQ29" s="35">
        <f t="shared" si="235"/>
        <v>4.1421030994236469E-2</v>
      </c>
      <c r="IR29" s="35">
        <f t="shared" si="236"/>
        <v>-4.965641786647268E-9</v>
      </c>
      <c r="IS29" s="35">
        <f t="shared" si="237"/>
        <v>4.142097139561176E-2</v>
      </c>
      <c r="IT29" s="35">
        <f t="shared" si="238"/>
        <v>4.1421030994236469E-2</v>
      </c>
      <c r="IU29" s="35">
        <f t="shared" si="239"/>
        <v>4.1421001194924117E-2</v>
      </c>
      <c r="IV29" s="35">
        <f t="shared" si="240"/>
        <v>9.9243637752266523E-9</v>
      </c>
      <c r="IW29" s="35">
        <f t="shared" si="241"/>
        <v>4.1421001194924117E-2</v>
      </c>
      <c r="IX29" s="35">
        <f t="shared" si="242"/>
        <v>4.1421030994236469E-2</v>
      </c>
      <c r="IY29" s="35">
        <f t="shared" si="243"/>
        <v>4.1421016094580293E-2</v>
      </c>
      <c r="IZ29" s="35">
        <f t="shared" si="244"/>
        <v>2.4793609387785409E-9</v>
      </c>
      <c r="JA29" s="35">
        <f t="shared" si="245"/>
        <v>4.1421016094580293E-2</v>
      </c>
      <c r="JB29" s="35">
        <f t="shared" si="246"/>
        <v>4.1421030994236469E-2</v>
      </c>
      <c r="JC29" s="35">
        <f t="shared" si="247"/>
        <v>4.1421023544408381E-2</v>
      </c>
      <c r="JD29" s="35">
        <f t="shared" si="248"/>
        <v>-1.2431403684232123E-9</v>
      </c>
      <c r="JE29" s="35">
        <f t="shared" si="249"/>
        <v>4.1421016094580293E-2</v>
      </c>
      <c r="JF29" s="35">
        <f t="shared" si="250"/>
        <v>4.1421023544408381E-2</v>
      </c>
      <c r="JG29" s="35">
        <f t="shared" si="251"/>
        <v>4.1421019819494337E-2</v>
      </c>
      <c r="JH29" s="35">
        <f t="shared" si="252"/>
        <v>6.18110451711118E-10</v>
      </c>
      <c r="JI29" s="35">
        <f t="shared" si="253"/>
        <v>4.1421019819494337E-2</v>
      </c>
      <c r="JJ29" s="35">
        <f t="shared" si="254"/>
        <v>4.1421023544408381E-2</v>
      </c>
      <c r="JK29" s="35">
        <f t="shared" si="255"/>
        <v>4.1421021681951359E-2</v>
      </c>
      <c r="JL29" s="35">
        <f t="shared" si="256"/>
        <v>-3.1251501386719838E-10</v>
      </c>
      <c r="JM29" s="35">
        <f t="shared" si="257"/>
        <v>4.1421019819494337E-2</v>
      </c>
      <c r="JN29" s="35">
        <f t="shared" si="258"/>
        <v>4.1421021681951359E-2</v>
      </c>
      <c r="JO29" s="35">
        <f t="shared" si="259"/>
        <v>4.1421020750722848E-2</v>
      </c>
      <c r="JP29" s="35">
        <f t="shared" si="260"/>
        <v>1.5279755238850612E-10</v>
      </c>
      <c r="JQ29" s="35">
        <f t="shared" si="261"/>
        <v>4.1421020750722848E-2</v>
      </c>
      <c r="JR29" s="35">
        <f t="shared" si="262"/>
        <v>4.1421021681951359E-2</v>
      </c>
      <c r="JS29" s="35">
        <f t="shared" si="263"/>
        <v>4.1421021216337103E-2</v>
      </c>
      <c r="JT29" s="35">
        <f t="shared" si="264"/>
        <v>-7.9858564205892435E-11</v>
      </c>
      <c r="JU29" s="35">
        <f t="shared" si="265"/>
        <v>4.1421020750722848E-2</v>
      </c>
      <c r="JV29" s="35">
        <f t="shared" si="266"/>
        <v>4.1421021216337103E-2</v>
      </c>
      <c r="JW29" s="35">
        <f t="shared" si="267"/>
        <v>4.1421020983529976E-2</v>
      </c>
      <c r="JX29" s="35">
        <f t="shared" si="268"/>
        <v>3.6469494091306842E-11</v>
      </c>
      <c r="JY29" s="35">
        <f t="shared" si="269"/>
        <v>4.1421020983529976E-2</v>
      </c>
      <c r="JZ29" s="35">
        <f t="shared" si="270"/>
        <v>4.1421021216337103E-2</v>
      </c>
      <c r="KA29" s="35">
        <f t="shared" si="271"/>
        <v>1.0625471139559521</v>
      </c>
      <c r="KB29" s="35">
        <f t="shared" si="272"/>
        <v>4.1421021099933536E-2</v>
      </c>
    </row>
    <row r="30" spans="1:288" ht="15" customHeight="1" x14ac:dyDescent="0.3">
      <c r="A30" s="30">
        <f>Odds_Input!A30</f>
        <v>22</v>
      </c>
      <c r="B30" s="7" t="str">
        <f>Odds_Input!B30</f>
        <v>TITLE</v>
      </c>
      <c r="C30" s="7" t="str">
        <f>Odds_Input!C30</f>
        <v>Philadelphia 76ers</v>
      </c>
      <c r="D30" s="7" t="str">
        <f>Odds_Input!D30</f>
        <v>YES</v>
      </c>
      <c r="E30" s="31" t="str">
        <f>Odds_Input!E30</f>
        <v>-</v>
      </c>
      <c r="F30" s="32">
        <f>Odds_Input!F30</f>
        <v>850</v>
      </c>
      <c r="G30" s="6" t="str">
        <f t="shared" si="0"/>
        <v>TITLE</v>
      </c>
      <c r="H30" s="14">
        <f t="shared" si="1"/>
        <v>9.5</v>
      </c>
      <c r="I30" s="33">
        <f t="shared" si="2"/>
        <v>0.10526315789473684</v>
      </c>
      <c r="J30" s="17">
        <f t="shared" si="3"/>
        <v>1</v>
      </c>
      <c r="K30" s="17">
        <f t="shared" si="4"/>
        <v>30</v>
      </c>
      <c r="L30" s="18">
        <f t="shared" si="5"/>
        <v>1.252565192422864</v>
      </c>
      <c r="M30" s="34">
        <f t="shared" si="6"/>
        <v>0.25256519242286402</v>
      </c>
      <c r="N30" s="33">
        <f t="shared" si="7"/>
        <v>8.4038067265085045E-2</v>
      </c>
      <c r="O30" s="33">
        <f t="shared" si="8"/>
        <v>8.4192077429891349E-2</v>
      </c>
      <c r="P30" s="33">
        <f t="shared" si="9"/>
        <v>8.9155050838218536E-2</v>
      </c>
      <c r="Q30" s="33">
        <f t="shared" si="10"/>
        <v>8.9155050838218536E-2</v>
      </c>
      <c r="R30" s="35">
        <f t="shared" si="11"/>
        <v>1.0992153287166726</v>
      </c>
      <c r="S30" s="35">
        <f t="shared" si="12"/>
        <v>1.1051948455485863E-2</v>
      </c>
      <c r="X30" s="6" t="s">
        <v>805</v>
      </c>
      <c r="Y30" s="6">
        <f t="shared" si="13"/>
        <v>1</v>
      </c>
      <c r="Z30" s="18">
        <f t="shared" si="14"/>
        <v>1.0296296296296297</v>
      </c>
      <c r="AA30" s="10">
        <v>0.2</v>
      </c>
      <c r="AB30" s="10">
        <v>10</v>
      </c>
      <c r="AC30" s="35">
        <f t="shared" si="15"/>
        <v>5.0999999999999996</v>
      </c>
      <c r="AD30" s="35">
        <f t="shared" si="16"/>
        <v>-0.8961777927033705</v>
      </c>
      <c r="AE30" s="35">
        <f t="shared" si="17"/>
        <v>0.2</v>
      </c>
      <c r="AF30" s="35">
        <f t="shared" si="18"/>
        <v>5.0999999999999996</v>
      </c>
      <c r="AG30" s="35">
        <f t="shared" si="19"/>
        <v>2.65</v>
      </c>
      <c r="AH30" s="35">
        <f t="shared" si="20"/>
        <v>-0.61832387297928593</v>
      </c>
      <c r="AI30" s="35">
        <f t="shared" si="21"/>
        <v>0.2</v>
      </c>
      <c r="AJ30" s="35">
        <f t="shared" si="22"/>
        <v>2.65</v>
      </c>
      <c r="AK30" s="35">
        <f t="shared" si="23"/>
        <v>1.425</v>
      </c>
      <c r="AL30" s="35">
        <f t="shared" si="24"/>
        <v>-0.21177603544927592</v>
      </c>
      <c r="AM30" s="35">
        <f t="shared" si="25"/>
        <v>0.2</v>
      </c>
      <c r="AN30" s="35">
        <f t="shared" si="26"/>
        <v>1.425</v>
      </c>
      <c r="AO30" s="35">
        <f t="shared" si="27"/>
        <v>0.8125</v>
      </c>
      <c r="AP30" s="35">
        <f t="shared" si="28"/>
        <v>0.16166189538192177</v>
      </c>
      <c r="AQ30" s="35">
        <f t="shared" si="29"/>
        <v>0.8125</v>
      </c>
      <c r="AR30" s="35">
        <f t="shared" si="30"/>
        <v>1.425</v>
      </c>
      <c r="AS30" s="35">
        <f t="shared" si="31"/>
        <v>1.1187499999999999</v>
      </c>
      <c r="AT30" s="35">
        <f t="shared" si="32"/>
        <v>-4.5266593920218146E-2</v>
      </c>
      <c r="AU30" s="35">
        <f t="shared" si="33"/>
        <v>0.8125</v>
      </c>
      <c r="AV30" s="35">
        <f t="shared" si="34"/>
        <v>1.1187499999999999</v>
      </c>
      <c r="AW30" s="35">
        <f t="shared" si="35"/>
        <v>0.96562499999999996</v>
      </c>
      <c r="AX30" s="35">
        <f t="shared" si="36"/>
        <v>5.2521985033566754E-2</v>
      </c>
      <c r="AY30" s="35">
        <f t="shared" si="37"/>
        <v>0.96562499999999996</v>
      </c>
      <c r="AZ30" s="35">
        <f t="shared" si="38"/>
        <v>1.1187499999999999</v>
      </c>
      <c r="BA30" s="35">
        <f t="shared" si="39"/>
        <v>1.0421874999999998</v>
      </c>
      <c r="BB30" s="35">
        <f t="shared" si="40"/>
        <v>2.2929697228573076E-3</v>
      </c>
      <c r="BC30" s="35">
        <f t="shared" si="41"/>
        <v>1.0421874999999998</v>
      </c>
      <c r="BD30" s="35">
        <f t="shared" si="42"/>
        <v>1.1187499999999999</v>
      </c>
      <c r="BE30" s="35">
        <f t="shared" si="43"/>
        <v>1.0804687499999999</v>
      </c>
      <c r="BF30" s="35">
        <f t="shared" si="44"/>
        <v>-2.1810552225052682E-2</v>
      </c>
      <c r="BG30" s="35">
        <f t="shared" si="45"/>
        <v>1.0421874999999998</v>
      </c>
      <c r="BH30" s="35">
        <f t="shared" si="46"/>
        <v>1.0804687499999999</v>
      </c>
      <c r="BI30" s="35">
        <f t="shared" si="47"/>
        <v>1.0613281249999997</v>
      </c>
      <c r="BJ30" s="35">
        <f t="shared" si="48"/>
        <v>-9.8409440664906089E-3</v>
      </c>
      <c r="BK30" s="35">
        <f t="shared" si="49"/>
        <v>1.0421874999999998</v>
      </c>
      <c r="BL30" s="35">
        <f t="shared" si="50"/>
        <v>1.0613281249999997</v>
      </c>
      <c r="BM30" s="35">
        <f t="shared" si="51"/>
        <v>1.0517578124999998</v>
      </c>
      <c r="BN30" s="35">
        <f t="shared" si="52"/>
        <v>-3.7946797431165358E-3</v>
      </c>
      <c r="BO30" s="35">
        <f t="shared" si="53"/>
        <v>1.0421874999999998</v>
      </c>
      <c r="BP30" s="35">
        <f t="shared" si="54"/>
        <v>1.0517578124999998</v>
      </c>
      <c r="BQ30" s="35">
        <f t="shared" si="55"/>
        <v>1.0469726562499999</v>
      </c>
      <c r="BR30" s="35">
        <f t="shared" si="56"/>
        <v>-7.5604758460157129E-4</v>
      </c>
      <c r="BS30" s="35">
        <f t="shared" si="57"/>
        <v>1.0421874999999998</v>
      </c>
      <c r="BT30" s="35">
        <f t="shared" si="58"/>
        <v>1.0469726562499999</v>
      </c>
      <c r="BU30" s="35">
        <f t="shared" si="59"/>
        <v>1.0445800781249999</v>
      </c>
      <c r="BV30" s="35">
        <f t="shared" si="60"/>
        <v>7.6716048801861447E-4</v>
      </c>
      <c r="BW30" s="35">
        <f t="shared" si="61"/>
        <v>1.0445800781249999</v>
      </c>
      <c r="BX30" s="35">
        <f t="shared" si="62"/>
        <v>1.0469726562499999</v>
      </c>
      <c r="BY30" s="35">
        <f t="shared" si="63"/>
        <v>1.0457763671875</v>
      </c>
      <c r="BZ30" s="35">
        <f t="shared" si="64"/>
        <v>5.2316114995676344E-6</v>
      </c>
      <c r="CA30" s="35">
        <f t="shared" si="65"/>
        <v>1.0457763671875</v>
      </c>
      <c r="CB30" s="35">
        <f t="shared" si="66"/>
        <v>1.0469726562499999</v>
      </c>
      <c r="CC30" s="35">
        <f t="shared" si="67"/>
        <v>1.04637451171875</v>
      </c>
      <c r="CD30" s="35">
        <f t="shared" si="68"/>
        <v>-3.7548915850305065E-4</v>
      </c>
      <c r="CE30" s="35">
        <f t="shared" si="69"/>
        <v>1.0457763671875</v>
      </c>
      <c r="CF30" s="35">
        <f t="shared" si="70"/>
        <v>1.04637451171875</v>
      </c>
      <c r="CG30" s="35">
        <f t="shared" si="71"/>
        <v>1.0460754394531251</v>
      </c>
      <c r="CH30" s="35">
        <f t="shared" si="72"/>
        <v>-1.8514907125077862E-4</v>
      </c>
      <c r="CI30" s="35">
        <f t="shared" si="73"/>
        <v>1.0457763671875</v>
      </c>
      <c r="CJ30" s="35">
        <f t="shared" si="74"/>
        <v>1.0460754394531251</v>
      </c>
      <c r="CK30" s="35">
        <f t="shared" si="75"/>
        <v>1.0459259033203125</v>
      </c>
      <c r="CL30" s="35">
        <f t="shared" si="76"/>
        <v>-8.9963804908110845E-5</v>
      </c>
      <c r="CM30" s="35">
        <f t="shared" si="77"/>
        <v>1.0457763671875</v>
      </c>
      <c r="CN30" s="35">
        <f t="shared" si="78"/>
        <v>1.0459259033203125</v>
      </c>
      <c r="CO30" s="35">
        <f t="shared" si="79"/>
        <v>1.0458511352539062</v>
      </c>
      <c r="CP30" s="35">
        <f t="shared" si="80"/>
        <v>-4.2367365536755131E-5</v>
      </c>
      <c r="CQ30" s="35">
        <f t="shared" si="81"/>
        <v>1.0457763671875</v>
      </c>
      <c r="CR30" s="35">
        <f t="shared" si="82"/>
        <v>1.0458511352539062</v>
      </c>
      <c r="CS30" s="35">
        <f t="shared" si="83"/>
        <v>1.0458137512207031</v>
      </c>
      <c r="CT30" s="35">
        <f t="shared" si="84"/>
        <v>-1.8568194235957236E-5</v>
      </c>
      <c r="CU30" s="35">
        <f t="shared" si="85"/>
        <v>1.0457763671875</v>
      </c>
      <c r="CV30" s="35">
        <f t="shared" si="86"/>
        <v>1.0458137512207031</v>
      </c>
      <c r="CW30" s="35">
        <f t="shared" si="87"/>
        <v>1.0457950592041017</v>
      </c>
      <c r="CX30" s="35">
        <f t="shared" si="88"/>
        <v>-6.6683706737569182E-6</v>
      </c>
      <c r="CY30" s="35">
        <f t="shared" si="89"/>
        <v>1.0457763671875</v>
      </c>
      <c r="CZ30" s="35">
        <f t="shared" si="90"/>
        <v>1.0457950592041017</v>
      </c>
      <c r="DA30" s="35">
        <f t="shared" si="91"/>
        <v>1.0457857131958008</v>
      </c>
      <c r="DB30" s="35">
        <f t="shared" si="92"/>
        <v>-7.183994136239491E-7</v>
      </c>
      <c r="DC30" s="35">
        <f t="shared" si="93"/>
        <v>1.0457763671875</v>
      </c>
      <c r="DD30" s="35">
        <f t="shared" si="94"/>
        <v>1.0457857131958008</v>
      </c>
      <c r="DE30" s="35">
        <f t="shared" si="95"/>
        <v>1.0457810401916503</v>
      </c>
      <c r="DF30" s="35">
        <f t="shared" si="96"/>
        <v>2.2566010864366604E-6</v>
      </c>
      <c r="DG30" s="35">
        <f t="shared" si="97"/>
        <v>1.0457810401916503</v>
      </c>
      <c r="DH30" s="35">
        <f t="shared" si="98"/>
        <v>1.0457857131958008</v>
      </c>
      <c r="DI30" s="35">
        <f t="shared" si="99"/>
        <v>1.0457833766937257</v>
      </c>
      <c r="DJ30" s="35">
        <f t="shared" si="100"/>
        <v>7.6909959734194899E-7</v>
      </c>
      <c r="DK30" s="35">
        <f t="shared" si="101"/>
        <v>1.0457833766937257</v>
      </c>
      <c r="DL30" s="35">
        <f t="shared" si="102"/>
        <v>1.0457857131958008</v>
      </c>
      <c r="DM30" s="35">
        <f t="shared" si="103"/>
        <v>1.0457845449447634</v>
      </c>
      <c r="DN30" s="35">
        <f t="shared" si="104"/>
        <v>2.5349782051264924E-8</v>
      </c>
      <c r="DO30" s="35">
        <f t="shared" si="105"/>
        <v>1.0457845449447634</v>
      </c>
      <c r="DP30" s="35">
        <f t="shared" si="106"/>
        <v>1.0457857131958008</v>
      </c>
      <c r="DQ30" s="35">
        <f t="shared" si="107"/>
        <v>1.045785129070282</v>
      </c>
      <c r="DR30" s="35">
        <f t="shared" si="108"/>
        <v>-3.4652489322439806E-7</v>
      </c>
      <c r="DS30" s="35">
        <f t="shared" si="109"/>
        <v>1.0457845449447634</v>
      </c>
      <c r="DT30" s="35">
        <f t="shared" si="110"/>
        <v>1.045785129070282</v>
      </c>
      <c r="DU30" s="35">
        <f t="shared" si="111"/>
        <v>1.0457848370075227</v>
      </c>
      <c r="DV30" s="35">
        <f t="shared" si="112"/>
        <v>-1.6058757490444719E-7</v>
      </c>
      <c r="DW30" s="35">
        <f t="shared" si="113"/>
        <v>1.0457845449447634</v>
      </c>
      <c r="DX30" s="35">
        <f t="shared" si="114"/>
        <v>1.0457848370075227</v>
      </c>
      <c r="DY30" s="35">
        <f t="shared" si="115"/>
        <v>1.045784690976143</v>
      </c>
      <c r="DZ30" s="35">
        <f t="shared" si="116"/>
        <v>-6.7618901367083595E-8</v>
      </c>
      <c r="EA30" s="35">
        <f t="shared" si="117"/>
        <v>1.0457845449447634</v>
      </c>
      <c r="EB30" s="35">
        <f t="shared" si="118"/>
        <v>1.045784690976143</v>
      </c>
      <c r="EC30" s="35">
        <f t="shared" si="119"/>
        <v>1.0457846179604533</v>
      </c>
      <c r="ED30" s="35">
        <f t="shared" si="120"/>
        <v>-2.1134560990176965E-8</v>
      </c>
      <c r="EE30" s="35">
        <f t="shared" si="121"/>
        <v>1.0457845449447634</v>
      </c>
      <c r="EF30" s="35">
        <f t="shared" si="122"/>
        <v>1.0457846179604533</v>
      </c>
      <c r="EG30" s="35">
        <f t="shared" si="123"/>
        <v>1.0457845814526083</v>
      </c>
      <c r="EH30" s="35">
        <f t="shared" si="124"/>
        <v>2.1076103084993747E-9</v>
      </c>
      <c r="EI30" s="35">
        <f t="shared" si="125"/>
        <v>1.0457845814526083</v>
      </c>
      <c r="EJ30" s="35">
        <f t="shared" si="126"/>
        <v>1.0457846179604533</v>
      </c>
      <c r="EK30" s="35">
        <f t="shared" si="127"/>
        <v>1.0457845997065309</v>
      </c>
      <c r="EL30" s="35">
        <f t="shared" si="128"/>
        <v>-9.5134755628834E-9</v>
      </c>
      <c r="EM30" s="35">
        <f t="shared" si="129"/>
        <v>1.0457845814526083</v>
      </c>
      <c r="EN30" s="35">
        <f t="shared" si="130"/>
        <v>1.0457845997065309</v>
      </c>
      <c r="EO30" s="35">
        <f t="shared" si="131"/>
        <v>1.0457845905795695</v>
      </c>
      <c r="EP30" s="35">
        <f t="shared" si="132"/>
        <v>-3.7029326271920127E-9</v>
      </c>
      <c r="EQ30" s="35">
        <f t="shared" si="133"/>
        <v>1.0457845814526083</v>
      </c>
      <c r="ER30" s="35">
        <f t="shared" si="134"/>
        <v>1.0457845905795695</v>
      </c>
      <c r="ES30" s="35">
        <f t="shared" si="135"/>
        <v>1.0457845860160888</v>
      </c>
      <c r="ET30" s="35">
        <f t="shared" si="136"/>
        <v>-7.9766127036862144E-10</v>
      </c>
      <c r="EU30" s="35">
        <f t="shared" si="137"/>
        <v>1.0457845814526083</v>
      </c>
      <c r="EV30" s="35">
        <f t="shared" si="138"/>
        <v>1.0457845860160888</v>
      </c>
      <c r="EW30" s="35">
        <f t="shared" si="139"/>
        <v>1.0457845837343487</v>
      </c>
      <c r="EX30" s="35">
        <f t="shared" si="140"/>
        <v>6.549742970207717E-10</v>
      </c>
      <c r="EY30" s="35">
        <f t="shared" si="141"/>
        <v>1.0457845837343487</v>
      </c>
      <c r="EZ30" s="35">
        <f t="shared" si="142"/>
        <v>1.0457845860160888</v>
      </c>
      <c r="FA30" s="10">
        <v>9.9999999999999995E-7</v>
      </c>
      <c r="FB30" s="10">
        <v>0.99990000000000001</v>
      </c>
      <c r="FC30" s="35">
        <f t="shared" si="143"/>
        <v>0.49995050000000002</v>
      </c>
      <c r="FD30" s="35">
        <f t="shared" si="144"/>
        <v>-0.24113979365583704</v>
      </c>
      <c r="FE30" s="35">
        <f t="shared" si="145"/>
        <v>9.9999999999999995E-7</v>
      </c>
      <c r="FF30" s="35">
        <f t="shared" si="146"/>
        <v>0.49995050000000002</v>
      </c>
      <c r="FG30" s="35">
        <f t="shared" si="147"/>
        <v>0.24997575</v>
      </c>
      <c r="FH30" s="35">
        <f t="shared" si="148"/>
        <v>-0.11295609127005157</v>
      </c>
      <c r="FI30" s="35">
        <f t="shared" si="149"/>
        <v>9.9999999999999995E-7</v>
      </c>
      <c r="FJ30" s="35">
        <f t="shared" si="150"/>
        <v>0.24997575</v>
      </c>
      <c r="FK30" s="35">
        <f t="shared" si="151"/>
        <v>0.124988375</v>
      </c>
      <c r="FL30" s="35">
        <f t="shared" si="152"/>
        <v>-4.8238997699659114E-2</v>
      </c>
      <c r="FM30" s="35">
        <f t="shared" si="153"/>
        <v>9.9999999999999995E-7</v>
      </c>
      <c r="FN30" s="35">
        <f t="shared" si="154"/>
        <v>0.124988375</v>
      </c>
      <c r="FO30" s="35">
        <f t="shared" si="155"/>
        <v>6.24946875E-2</v>
      </c>
      <c r="FP30" s="35">
        <f t="shared" si="156"/>
        <v>-1.6450847090738741E-2</v>
      </c>
      <c r="FQ30" s="35">
        <f t="shared" si="157"/>
        <v>9.9999999999999995E-7</v>
      </c>
      <c r="FR30" s="35">
        <f t="shared" si="158"/>
        <v>6.24946875E-2</v>
      </c>
      <c r="FS30" s="35">
        <f t="shared" si="159"/>
        <v>3.124784375E-2</v>
      </c>
      <c r="FT30" s="35">
        <f t="shared" si="160"/>
        <v>-7.8305424938673873E-4</v>
      </c>
      <c r="FU30" s="35">
        <f t="shared" si="161"/>
        <v>9.9999999999999995E-7</v>
      </c>
      <c r="FV30" s="35">
        <f t="shared" si="162"/>
        <v>3.124784375E-2</v>
      </c>
      <c r="FW30" s="35">
        <f t="shared" si="163"/>
        <v>1.5624421875000001E-2</v>
      </c>
      <c r="FX30" s="35">
        <f t="shared" si="164"/>
        <v>6.9850780025213499E-3</v>
      </c>
      <c r="FY30" s="35">
        <f t="shared" si="165"/>
        <v>1.5624421875000001E-2</v>
      </c>
      <c r="FZ30" s="35">
        <f t="shared" si="166"/>
        <v>3.124784375E-2</v>
      </c>
      <c r="GA30" s="35">
        <f t="shared" si="167"/>
        <v>2.34361328125E-2</v>
      </c>
      <c r="GB30" s="35">
        <f t="shared" si="168"/>
        <v>3.1067461384297612E-3</v>
      </c>
      <c r="GC30" s="35">
        <f t="shared" si="169"/>
        <v>2.34361328125E-2</v>
      </c>
      <c r="GD30" s="35">
        <f t="shared" si="170"/>
        <v>3.124784375E-2</v>
      </c>
      <c r="GE30" s="35">
        <f t="shared" si="171"/>
        <v>2.734198828125E-2</v>
      </c>
      <c r="GF30" s="35">
        <f t="shared" si="172"/>
        <v>1.1632610034828517E-3</v>
      </c>
      <c r="GG30" s="35">
        <f t="shared" si="173"/>
        <v>2.734198828125E-2</v>
      </c>
      <c r="GH30" s="35">
        <f t="shared" si="174"/>
        <v>3.124784375E-2</v>
      </c>
      <c r="GI30" s="35">
        <f t="shared" si="175"/>
        <v>2.9294916015624999E-2</v>
      </c>
      <c r="GJ30" s="35">
        <f t="shared" si="176"/>
        <v>1.9045480203305765E-4</v>
      </c>
      <c r="GK30" s="35">
        <f t="shared" si="177"/>
        <v>2.9294916015624999E-2</v>
      </c>
      <c r="GL30" s="35">
        <f t="shared" si="178"/>
        <v>3.124784375E-2</v>
      </c>
      <c r="GM30" s="35">
        <f t="shared" si="179"/>
        <v>3.0271379882812498E-2</v>
      </c>
      <c r="GN30" s="35">
        <f t="shared" si="180"/>
        <v>-2.9621216154418484E-4</v>
      </c>
      <c r="GO30" s="35">
        <f t="shared" si="181"/>
        <v>2.9294916015624999E-2</v>
      </c>
      <c r="GP30" s="35">
        <f t="shared" si="182"/>
        <v>3.0271379882812498E-2</v>
      </c>
      <c r="GQ30" s="35">
        <f t="shared" si="183"/>
        <v>2.9783147949218748E-2</v>
      </c>
      <c r="GR30" s="35">
        <f t="shared" si="184"/>
        <v>-5.2856752384977668E-5</v>
      </c>
      <c r="GS30" s="35">
        <f t="shared" si="185"/>
        <v>2.9294916015624999E-2</v>
      </c>
      <c r="GT30" s="35">
        <f t="shared" si="186"/>
        <v>2.9783147949218748E-2</v>
      </c>
      <c r="GU30" s="35">
        <f t="shared" si="187"/>
        <v>2.9539031982421873E-2</v>
      </c>
      <c r="GV30" s="35">
        <f t="shared" si="188"/>
        <v>6.8804511264897172E-5</v>
      </c>
      <c r="GW30" s="35">
        <f t="shared" si="189"/>
        <v>2.9539031982421873E-2</v>
      </c>
      <c r="GX30" s="35">
        <f t="shared" si="190"/>
        <v>2.9783147949218748E-2</v>
      </c>
      <c r="GY30" s="35">
        <f t="shared" si="191"/>
        <v>2.9661089965820311E-2</v>
      </c>
      <c r="GZ30" s="35">
        <f t="shared" si="192"/>
        <v>7.9752504758001663E-6</v>
      </c>
      <c r="HA30" s="35">
        <f t="shared" si="193"/>
        <v>2.9661089965820311E-2</v>
      </c>
      <c r="HB30" s="35">
        <f t="shared" si="194"/>
        <v>2.9783147949218748E-2</v>
      </c>
      <c r="HC30" s="35">
        <f t="shared" si="195"/>
        <v>2.9722118957519528E-2</v>
      </c>
      <c r="HD30" s="35">
        <f t="shared" si="196"/>
        <v>-2.2440408267598855E-5</v>
      </c>
      <c r="HE30" s="35">
        <f t="shared" si="197"/>
        <v>2.9661089965820311E-2</v>
      </c>
      <c r="HF30" s="35">
        <f t="shared" si="198"/>
        <v>2.9722118957519528E-2</v>
      </c>
      <c r="HG30" s="35">
        <f t="shared" si="199"/>
        <v>2.9691604461669921E-2</v>
      </c>
      <c r="HH30" s="35">
        <f t="shared" si="200"/>
        <v>-7.2324932152145749E-6</v>
      </c>
      <c r="HI30" s="35">
        <f t="shared" si="201"/>
        <v>2.9661089965820311E-2</v>
      </c>
      <c r="HJ30" s="35">
        <f t="shared" si="202"/>
        <v>2.9691604461669921E-2</v>
      </c>
      <c r="HK30" s="35">
        <f t="shared" si="203"/>
        <v>2.9676347213745118E-2</v>
      </c>
      <c r="HL30" s="35">
        <f t="shared" si="204"/>
        <v>3.7140005137992205E-7</v>
      </c>
      <c r="HM30" s="35">
        <f t="shared" si="205"/>
        <v>2.9676347213745118E-2</v>
      </c>
      <c r="HN30" s="35">
        <f t="shared" si="206"/>
        <v>2.9691604461669921E-2</v>
      </c>
      <c r="HO30" s="35">
        <f t="shared" si="207"/>
        <v>2.9683975837707519E-2</v>
      </c>
      <c r="HP30" s="35">
        <f t="shared" si="208"/>
        <v>-3.4305412265345225E-6</v>
      </c>
      <c r="HQ30" s="35">
        <f t="shared" si="209"/>
        <v>2.9676347213745118E-2</v>
      </c>
      <c r="HR30" s="35">
        <f t="shared" si="210"/>
        <v>2.9683975837707519E-2</v>
      </c>
      <c r="HS30" s="35">
        <f t="shared" si="211"/>
        <v>2.968016152572632E-2</v>
      </c>
      <c r="HT30" s="35">
        <f t="shared" si="212"/>
        <v>-1.5295692487038437E-6</v>
      </c>
      <c r="HU30" s="35">
        <f t="shared" si="213"/>
        <v>2.9676347213745118E-2</v>
      </c>
      <c r="HV30" s="35">
        <f t="shared" si="214"/>
        <v>2.968016152572632E-2</v>
      </c>
      <c r="HW30" s="35">
        <f t="shared" si="215"/>
        <v>2.9678254369735719E-2</v>
      </c>
      <c r="HX30" s="35">
        <f t="shared" si="216"/>
        <v>-5.7908426398523005E-7</v>
      </c>
      <c r="HY30" s="35">
        <f t="shared" si="217"/>
        <v>2.9676347213745118E-2</v>
      </c>
      <c r="HZ30" s="35">
        <f t="shared" si="218"/>
        <v>2.9678254369735719E-2</v>
      </c>
      <c r="IA30" s="35">
        <f t="shared" si="219"/>
        <v>2.967730079174042E-2</v>
      </c>
      <c r="IB30" s="35">
        <f t="shared" si="220"/>
        <v>-1.038420226473491E-7</v>
      </c>
      <c r="IC30" s="35">
        <f t="shared" si="221"/>
        <v>2.9676347213745118E-2</v>
      </c>
      <c r="ID30" s="35">
        <f t="shared" si="222"/>
        <v>2.967730079174042E-2</v>
      </c>
      <c r="IE30" s="35">
        <f t="shared" si="223"/>
        <v>2.9676824002742769E-2</v>
      </c>
      <c r="IF30" s="35">
        <f t="shared" si="224"/>
        <v>1.3377903540501279E-7</v>
      </c>
      <c r="IG30" s="35">
        <f t="shared" si="225"/>
        <v>2.9676824002742769E-2</v>
      </c>
      <c r="IH30" s="35">
        <f t="shared" si="226"/>
        <v>2.967730079174042E-2</v>
      </c>
      <c r="II30" s="35">
        <f t="shared" si="227"/>
        <v>2.9677062397241594E-2</v>
      </c>
      <c r="IJ30" s="35">
        <f t="shared" si="228"/>
        <v>1.4968511763413517E-8</v>
      </c>
      <c r="IK30" s="35">
        <f t="shared" si="229"/>
        <v>2.9677062397241594E-2</v>
      </c>
      <c r="IL30" s="35">
        <f t="shared" si="230"/>
        <v>2.967730079174042E-2</v>
      </c>
      <c r="IM30" s="35">
        <f t="shared" si="231"/>
        <v>2.9677181594491009E-2</v>
      </c>
      <c r="IN30" s="35">
        <f t="shared" si="232"/>
        <v>-4.4436754165211312E-8</v>
      </c>
      <c r="IO30" s="35">
        <f t="shared" si="233"/>
        <v>2.9677062397241594E-2</v>
      </c>
      <c r="IP30" s="35">
        <f t="shared" si="234"/>
        <v>2.9677181594491009E-2</v>
      </c>
      <c r="IQ30" s="35">
        <f t="shared" si="235"/>
        <v>2.96771219958663E-2</v>
      </c>
      <c r="IR30" s="35">
        <f t="shared" si="236"/>
        <v>-1.4734120923343141E-8</v>
      </c>
      <c r="IS30" s="35">
        <f t="shared" si="237"/>
        <v>2.9677062397241594E-2</v>
      </c>
      <c r="IT30" s="35">
        <f t="shared" si="238"/>
        <v>2.96771219958663E-2</v>
      </c>
      <c r="IU30" s="35">
        <f t="shared" si="239"/>
        <v>2.9677092196553949E-2</v>
      </c>
      <c r="IV30" s="35">
        <f t="shared" si="240"/>
        <v>1.1719558656864137E-10</v>
      </c>
      <c r="IW30" s="35">
        <f t="shared" si="241"/>
        <v>2.9677092196553949E-2</v>
      </c>
      <c r="IX30" s="35">
        <f t="shared" si="242"/>
        <v>2.96771219958663E-2</v>
      </c>
      <c r="IY30" s="35">
        <f t="shared" si="243"/>
        <v>2.9677107096210124E-2</v>
      </c>
      <c r="IZ30" s="35">
        <f t="shared" si="244"/>
        <v>-7.3084627238984012E-9</v>
      </c>
      <c r="JA30" s="35">
        <f t="shared" si="245"/>
        <v>2.9677092196553949E-2</v>
      </c>
      <c r="JB30" s="35">
        <f t="shared" si="246"/>
        <v>2.9677107096210124E-2</v>
      </c>
      <c r="JC30" s="35">
        <f t="shared" si="247"/>
        <v>2.9677099646382037E-2</v>
      </c>
      <c r="JD30" s="35">
        <f t="shared" si="248"/>
        <v>-3.5956335686648799E-9</v>
      </c>
      <c r="JE30" s="35">
        <f t="shared" si="249"/>
        <v>2.9677092196553949E-2</v>
      </c>
      <c r="JF30" s="35">
        <f t="shared" si="250"/>
        <v>2.9677099646382037E-2</v>
      </c>
      <c r="JG30" s="35">
        <f t="shared" si="251"/>
        <v>2.9677095921467993E-2</v>
      </c>
      <c r="JH30" s="35">
        <f t="shared" si="252"/>
        <v>-1.7392189910481193E-9</v>
      </c>
      <c r="JI30" s="35">
        <f t="shared" si="253"/>
        <v>2.9677092196553949E-2</v>
      </c>
      <c r="JJ30" s="35">
        <f t="shared" si="254"/>
        <v>2.9677095921467993E-2</v>
      </c>
      <c r="JK30" s="35">
        <f t="shared" si="255"/>
        <v>2.9677094059010971E-2</v>
      </c>
      <c r="JL30" s="35">
        <f t="shared" si="256"/>
        <v>-8.1101192428434388E-10</v>
      </c>
      <c r="JM30" s="35">
        <f t="shared" si="257"/>
        <v>2.9677092196553949E-2</v>
      </c>
      <c r="JN30" s="35">
        <f t="shared" si="258"/>
        <v>2.9677094059010971E-2</v>
      </c>
      <c r="JO30" s="35">
        <f t="shared" si="259"/>
        <v>2.967709312778246E-2</v>
      </c>
      <c r="JP30" s="35">
        <f t="shared" si="260"/>
        <v>-3.4690805783554879E-10</v>
      </c>
      <c r="JQ30" s="35">
        <f t="shared" si="261"/>
        <v>2.9677092196553949E-2</v>
      </c>
      <c r="JR30" s="35">
        <f t="shared" si="262"/>
        <v>2.967709312778246E-2</v>
      </c>
      <c r="JS30" s="35">
        <f t="shared" si="263"/>
        <v>2.9677092662168204E-2</v>
      </c>
      <c r="JT30" s="35">
        <f t="shared" si="264"/>
        <v>-1.1485634665575617E-10</v>
      </c>
      <c r="JU30" s="35">
        <f t="shared" si="265"/>
        <v>2.9677092196553949E-2</v>
      </c>
      <c r="JV30" s="35">
        <f t="shared" si="266"/>
        <v>2.9677092662168204E-2</v>
      </c>
      <c r="JW30" s="35">
        <f t="shared" si="267"/>
        <v>2.9677092429361077E-2</v>
      </c>
      <c r="JX30" s="35">
        <f t="shared" si="268"/>
        <v>1.1695089341401399E-12</v>
      </c>
      <c r="JY30" s="35">
        <f t="shared" si="269"/>
        <v>2.9677092429361077E-2</v>
      </c>
      <c r="JZ30" s="35">
        <f t="shared" si="270"/>
        <v>2.9677092662168204E-2</v>
      </c>
      <c r="KA30" s="35">
        <f t="shared" si="271"/>
        <v>1.0457845848752187</v>
      </c>
      <c r="KB30" s="35">
        <f t="shared" si="272"/>
        <v>2.967709254576464E-2</v>
      </c>
    </row>
    <row r="31" spans="1:288" ht="15" customHeight="1" x14ac:dyDescent="0.3">
      <c r="A31" s="30">
        <f>Odds_Input!A31</f>
        <v>23</v>
      </c>
      <c r="B31" s="7" t="str">
        <f>Odds_Input!B31</f>
        <v>TITLE</v>
      </c>
      <c r="C31" s="7" t="str">
        <f>Odds_Input!C31</f>
        <v>Phoenix Suns</v>
      </c>
      <c r="D31" s="7" t="str">
        <f>Odds_Input!D31</f>
        <v>YES</v>
      </c>
      <c r="E31" s="31" t="str">
        <f>Odds_Input!E31</f>
        <v>-</v>
      </c>
      <c r="F31" s="32">
        <f>Odds_Input!F31</f>
        <v>18000</v>
      </c>
      <c r="G31" s="6" t="str">
        <f t="shared" si="0"/>
        <v>TITLE</v>
      </c>
      <c r="H31" s="14">
        <f t="shared" si="1"/>
        <v>181</v>
      </c>
      <c r="I31" s="33">
        <f t="shared" si="2"/>
        <v>5.5248618784530384E-3</v>
      </c>
      <c r="J31" s="17">
        <f t="shared" si="3"/>
        <v>1</v>
      </c>
      <c r="K31" s="17">
        <f t="shared" si="4"/>
        <v>30</v>
      </c>
      <c r="L31" s="18">
        <f t="shared" si="5"/>
        <v>1.252565192422864</v>
      </c>
      <c r="M31" s="34">
        <f t="shared" si="6"/>
        <v>0.25256519242286402</v>
      </c>
      <c r="N31" s="33">
        <f t="shared" si="7"/>
        <v>4.4108377846315359E-3</v>
      </c>
      <c r="O31" s="33">
        <f t="shared" si="8"/>
        <v>3.2985654305058387E-3</v>
      </c>
      <c r="P31" s="33">
        <f t="shared" si="9"/>
        <v>1.8865148208312753E-3</v>
      </c>
      <c r="Q31" s="33">
        <f t="shared" si="10"/>
        <v>1.8865148208312753E-3</v>
      </c>
      <c r="R31" s="35">
        <f t="shared" si="11"/>
        <v>1.0992153287166726</v>
      </c>
      <c r="S31" s="35">
        <f t="shared" si="12"/>
        <v>1.1051948455485863E-2</v>
      </c>
      <c r="X31" s="6" t="s">
        <v>806</v>
      </c>
      <c r="Y31" s="6">
        <f t="shared" si="13"/>
        <v>1</v>
      </c>
      <c r="Z31" s="18">
        <f t="shared" si="14"/>
        <v>1.0347826086956524</v>
      </c>
      <c r="AA31" s="10">
        <v>0.2</v>
      </c>
      <c r="AB31" s="10">
        <v>10</v>
      </c>
      <c r="AC31" s="35">
        <f t="shared" si="15"/>
        <v>5.0999999999999996</v>
      </c>
      <c r="AD31" s="35">
        <f t="shared" si="16"/>
        <v>-0.91181730356336488</v>
      </c>
      <c r="AE31" s="35">
        <f t="shared" si="17"/>
        <v>0.2</v>
      </c>
      <c r="AF31" s="35">
        <f t="shared" si="18"/>
        <v>5.0999999999999996</v>
      </c>
      <c r="AG31" s="35">
        <f t="shared" si="19"/>
        <v>2.65</v>
      </c>
      <c r="AH31" s="35">
        <f t="shared" si="20"/>
        <v>-0.63170680018081149</v>
      </c>
      <c r="AI31" s="35">
        <f t="shared" si="21"/>
        <v>0.2</v>
      </c>
      <c r="AJ31" s="35">
        <f t="shared" si="22"/>
        <v>2.65</v>
      </c>
      <c r="AK31" s="35">
        <f t="shared" si="23"/>
        <v>1.425</v>
      </c>
      <c r="AL31" s="35">
        <f t="shared" si="24"/>
        <v>-0.21192355516471895</v>
      </c>
      <c r="AM31" s="35">
        <f t="shared" si="25"/>
        <v>0.2</v>
      </c>
      <c r="AN31" s="35">
        <f t="shared" si="26"/>
        <v>1.425</v>
      </c>
      <c r="AO31" s="35">
        <f t="shared" si="27"/>
        <v>0.8125</v>
      </c>
      <c r="AP31" s="35">
        <f t="shared" si="28"/>
        <v>0.16858196368385991</v>
      </c>
      <c r="AQ31" s="35">
        <f t="shared" si="29"/>
        <v>0.8125</v>
      </c>
      <c r="AR31" s="35">
        <f t="shared" si="30"/>
        <v>1.425</v>
      </c>
      <c r="AS31" s="35">
        <f t="shared" si="31"/>
        <v>1.1187499999999999</v>
      </c>
      <c r="AT31" s="35">
        <f t="shared" si="32"/>
        <v>-4.1476976905616247E-2</v>
      </c>
      <c r="AU31" s="35">
        <f t="shared" si="33"/>
        <v>0.8125</v>
      </c>
      <c r="AV31" s="35">
        <f t="shared" si="34"/>
        <v>1.1187499999999999</v>
      </c>
      <c r="AW31" s="35">
        <f t="shared" si="35"/>
        <v>0.96562499999999996</v>
      </c>
      <c r="AX31" s="35">
        <f t="shared" si="36"/>
        <v>5.8039722443534503E-2</v>
      </c>
      <c r="AY31" s="35">
        <f t="shared" si="37"/>
        <v>0.96562499999999996</v>
      </c>
      <c r="AZ31" s="35">
        <f t="shared" si="38"/>
        <v>1.1187499999999999</v>
      </c>
      <c r="BA31" s="35">
        <f t="shared" si="39"/>
        <v>1.0421874999999998</v>
      </c>
      <c r="BB31" s="35">
        <f t="shared" si="40"/>
        <v>6.9784186454575625E-3</v>
      </c>
      <c r="BC31" s="35">
        <f t="shared" si="41"/>
        <v>1.0421874999999998</v>
      </c>
      <c r="BD31" s="35">
        <f t="shared" si="42"/>
        <v>1.1187499999999999</v>
      </c>
      <c r="BE31" s="35">
        <f t="shared" si="43"/>
        <v>1.0804687499999999</v>
      </c>
      <c r="BF31" s="35">
        <f t="shared" si="44"/>
        <v>-1.7566081663224042E-2</v>
      </c>
      <c r="BG31" s="35">
        <f t="shared" si="45"/>
        <v>1.0421874999999998</v>
      </c>
      <c r="BH31" s="35">
        <f t="shared" si="46"/>
        <v>1.0804687499999999</v>
      </c>
      <c r="BI31" s="35">
        <f t="shared" si="47"/>
        <v>1.0613281249999997</v>
      </c>
      <c r="BJ31" s="35">
        <f t="shared" si="48"/>
        <v>-5.3741290184184942E-3</v>
      </c>
      <c r="BK31" s="35">
        <f t="shared" si="49"/>
        <v>1.0421874999999998</v>
      </c>
      <c r="BL31" s="35">
        <f t="shared" si="50"/>
        <v>1.0613281249999997</v>
      </c>
      <c r="BM31" s="35">
        <f t="shared" si="51"/>
        <v>1.0517578124999998</v>
      </c>
      <c r="BN31" s="35">
        <f t="shared" si="52"/>
        <v>7.819315894515011E-4</v>
      </c>
      <c r="BO31" s="35">
        <f t="shared" si="53"/>
        <v>1.0517578124999998</v>
      </c>
      <c r="BP31" s="35">
        <f t="shared" si="54"/>
        <v>1.0613281249999997</v>
      </c>
      <c r="BQ31" s="35">
        <f t="shared" si="55"/>
        <v>1.0565429687499996</v>
      </c>
      <c r="BR31" s="35">
        <f t="shared" si="56"/>
        <v>-2.3011345863601651E-3</v>
      </c>
      <c r="BS31" s="35">
        <f t="shared" si="57"/>
        <v>1.0517578124999998</v>
      </c>
      <c r="BT31" s="35">
        <f t="shared" si="58"/>
        <v>1.0565429687499996</v>
      </c>
      <c r="BU31" s="35">
        <f t="shared" si="59"/>
        <v>1.0541503906249998</v>
      </c>
      <c r="BV31" s="35">
        <f t="shared" si="60"/>
        <v>-7.608626407769048E-4</v>
      </c>
      <c r="BW31" s="35">
        <f t="shared" si="61"/>
        <v>1.0517578124999998</v>
      </c>
      <c r="BX31" s="35">
        <f t="shared" si="62"/>
        <v>1.0541503906249998</v>
      </c>
      <c r="BY31" s="35">
        <f t="shared" si="63"/>
        <v>1.0529541015624999</v>
      </c>
      <c r="BZ31" s="35">
        <f t="shared" si="64"/>
        <v>1.021891653318896E-5</v>
      </c>
      <c r="CA31" s="35">
        <f t="shared" si="65"/>
        <v>1.0529541015624999</v>
      </c>
      <c r="CB31" s="35">
        <f t="shared" si="66"/>
        <v>1.0541503906249998</v>
      </c>
      <c r="CC31" s="35">
        <f t="shared" si="67"/>
        <v>1.0535522460937499</v>
      </c>
      <c r="CD31" s="35">
        <f t="shared" si="68"/>
        <v>-3.7540071752584225E-4</v>
      </c>
      <c r="CE31" s="35">
        <f t="shared" si="69"/>
        <v>1.0529541015624999</v>
      </c>
      <c r="CF31" s="35">
        <f t="shared" si="70"/>
        <v>1.0535522460937499</v>
      </c>
      <c r="CG31" s="35">
        <f t="shared" si="71"/>
        <v>1.053253173828125</v>
      </c>
      <c r="CH31" s="35">
        <f t="shared" si="72"/>
        <v>-1.8261061860203043E-4</v>
      </c>
      <c r="CI31" s="35">
        <f t="shared" si="73"/>
        <v>1.0529541015624999</v>
      </c>
      <c r="CJ31" s="35">
        <f t="shared" si="74"/>
        <v>1.053253173828125</v>
      </c>
      <c r="CK31" s="35">
        <f t="shared" si="75"/>
        <v>1.0531036376953125</v>
      </c>
      <c r="CL31" s="35">
        <f t="shared" si="76"/>
        <v>-8.6200781092893308E-5</v>
      </c>
      <c r="CM31" s="35">
        <f t="shared" si="77"/>
        <v>1.0529541015624999</v>
      </c>
      <c r="CN31" s="35">
        <f t="shared" si="78"/>
        <v>1.0531036376953125</v>
      </c>
      <c r="CO31" s="35">
        <f t="shared" si="79"/>
        <v>1.0530288696289061</v>
      </c>
      <c r="CP31" s="35">
        <f t="shared" si="80"/>
        <v>-3.799216486088941E-5</v>
      </c>
      <c r="CQ31" s="35">
        <f t="shared" si="81"/>
        <v>1.0529541015624999</v>
      </c>
      <c r="CR31" s="35">
        <f t="shared" si="82"/>
        <v>1.0530288696289061</v>
      </c>
      <c r="CS31" s="35">
        <f t="shared" si="83"/>
        <v>1.052991485595703</v>
      </c>
      <c r="CT31" s="35">
        <f t="shared" si="84"/>
        <v>-1.3886932317408451E-5</v>
      </c>
      <c r="CU31" s="35">
        <f t="shared" si="85"/>
        <v>1.0529541015624999</v>
      </c>
      <c r="CV31" s="35">
        <f t="shared" si="86"/>
        <v>1.052991485595703</v>
      </c>
      <c r="CW31" s="35">
        <f t="shared" si="87"/>
        <v>1.0529727935791016</v>
      </c>
      <c r="CX31" s="35">
        <f t="shared" si="88"/>
        <v>-1.8340849317066699E-6</v>
      </c>
      <c r="CY31" s="35">
        <f t="shared" si="89"/>
        <v>1.0529541015624999</v>
      </c>
      <c r="CZ31" s="35">
        <f t="shared" si="90"/>
        <v>1.0529727935791016</v>
      </c>
      <c r="DA31" s="35">
        <f t="shared" si="91"/>
        <v>1.0529634475708007</v>
      </c>
      <c r="DB31" s="35">
        <f t="shared" si="92"/>
        <v>4.1923965408141584E-6</v>
      </c>
      <c r="DC31" s="35">
        <f t="shared" si="93"/>
        <v>1.0529634475708007</v>
      </c>
      <c r="DD31" s="35">
        <f t="shared" si="94"/>
        <v>1.0529727935791016</v>
      </c>
      <c r="DE31" s="35">
        <f t="shared" si="95"/>
        <v>1.0529681205749513</v>
      </c>
      <c r="DF31" s="35">
        <f t="shared" si="96"/>
        <v>1.1791509895164864E-6</v>
      </c>
      <c r="DG31" s="35">
        <f t="shared" si="97"/>
        <v>1.0529681205749513</v>
      </c>
      <c r="DH31" s="35">
        <f t="shared" si="98"/>
        <v>1.0529727935791016</v>
      </c>
      <c r="DI31" s="35">
        <f t="shared" si="99"/>
        <v>1.0529704570770264</v>
      </c>
      <c r="DJ31" s="35">
        <f t="shared" si="100"/>
        <v>-3.2746817479889501E-7</v>
      </c>
      <c r="DK31" s="35">
        <f t="shared" si="101"/>
        <v>1.0529681205749513</v>
      </c>
      <c r="DL31" s="35">
        <f t="shared" si="102"/>
        <v>1.0529704570770264</v>
      </c>
      <c r="DM31" s="35">
        <f t="shared" si="103"/>
        <v>1.0529692888259889</v>
      </c>
      <c r="DN31" s="35">
        <f t="shared" si="104"/>
        <v>4.2584110637733374E-7</v>
      </c>
      <c r="DO31" s="35">
        <f t="shared" si="105"/>
        <v>1.0529692888259889</v>
      </c>
      <c r="DP31" s="35">
        <f t="shared" si="106"/>
        <v>1.0529704570770264</v>
      </c>
      <c r="DQ31" s="35">
        <f t="shared" si="107"/>
        <v>1.0529698729515076</v>
      </c>
      <c r="DR31" s="35">
        <f t="shared" si="108"/>
        <v>4.9186390738142904E-8</v>
      </c>
      <c r="DS31" s="35">
        <f t="shared" si="109"/>
        <v>1.0529698729515076</v>
      </c>
      <c r="DT31" s="35">
        <f t="shared" si="110"/>
        <v>1.0529704570770264</v>
      </c>
      <c r="DU31" s="35">
        <f t="shared" si="111"/>
        <v>1.0529701650142669</v>
      </c>
      <c r="DV31" s="35">
        <f t="shared" si="112"/>
        <v>-1.3914091079314517E-7</v>
      </c>
      <c r="DW31" s="35">
        <f t="shared" si="113"/>
        <v>1.0529698729515076</v>
      </c>
      <c r="DX31" s="35">
        <f t="shared" si="114"/>
        <v>1.0529701650142669</v>
      </c>
      <c r="DY31" s="35">
        <f t="shared" si="115"/>
        <v>1.0529700189828872</v>
      </c>
      <c r="DZ31" s="35">
        <f t="shared" si="116"/>
        <v>-4.4977264801460137E-8</v>
      </c>
      <c r="EA31" s="35">
        <f t="shared" si="117"/>
        <v>1.0529698729515076</v>
      </c>
      <c r="EB31" s="35">
        <f t="shared" si="118"/>
        <v>1.0529700189828872</v>
      </c>
      <c r="EC31" s="35">
        <f t="shared" si="119"/>
        <v>1.0529699459671975</v>
      </c>
      <c r="ED31" s="35">
        <f t="shared" si="120"/>
        <v>2.104561636073754E-9</v>
      </c>
      <c r="EE31" s="35">
        <f t="shared" si="121"/>
        <v>1.0529699459671975</v>
      </c>
      <c r="EF31" s="35">
        <f t="shared" si="122"/>
        <v>1.0529700189828872</v>
      </c>
      <c r="EG31" s="35">
        <f t="shared" si="123"/>
        <v>1.0529699824750423</v>
      </c>
      <c r="EH31" s="35">
        <f t="shared" si="124"/>
        <v>-2.1436351804737797E-8</v>
      </c>
      <c r="EI31" s="35">
        <f t="shared" si="125"/>
        <v>1.0529699459671975</v>
      </c>
      <c r="EJ31" s="35">
        <f t="shared" si="126"/>
        <v>1.0529699824750423</v>
      </c>
      <c r="EK31" s="35">
        <f t="shared" si="127"/>
        <v>1.0529699642211199</v>
      </c>
      <c r="EL31" s="35">
        <f t="shared" si="128"/>
        <v>-9.6658951953543237E-9</v>
      </c>
      <c r="EM31" s="35">
        <f t="shared" si="129"/>
        <v>1.0529699459671975</v>
      </c>
      <c r="EN31" s="35">
        <f t="shared" si="130"/>
        <v>1.0529699642211199</v>
      </c>
      <c r="EO31" s="35">
        <f t="shared" si="131"/>
        <v>1.0529699550941587</v>
      </c>
      <c r="EP31" s="35">
        <f t="shared" si="132"/>
        <v>-3.7806667796402849E-9</v>
      </c>
      <c r="EQ31" s="35">
        <f t="shared" si="133"/>
        <v>1.0529699459671975</v>
      </c>
      <c r="ER31" s="35">
        <f t="shared" si="134"/>
        <v>1.0529699550941587</v>
      </c>
      <c r="ES31" s="35">
        <f t="shared" si="135"/>
        <v>1.0529699505306782</v>
      </c>
      <c r="ET31" s="35">
        <f t="shared" si="136"/>
        <v>-8.3805251627211419E-10</v>
      </c>
      <c r="EU31" s="35">
        <f t="shared" si="137"/>
        <v>1.0529699459671975</v>
      </c>
      <c r="EV31" s="35">
        <f t="shared" si="138"/>
        <v>1.0529699505306782</v>
      </c>
      <c r="EW31" s="35">
        <f t="shared" si="139"/>
        <v>1.0529699482489379</v>
      </c>
      <c r="EX31" s="35">
        <f t="shared" si="140"/>
        <v>6.3325433785621499E-10</v>
      </c>
      <c r="EY31" s="35">
        <f t="shared" si="141"/>
        <v>1.0529699482489379</v>
      </c>
      <c r="EZ31" s="35">
        <f t="shared" si="142"/>
        <v>1.0529699505306782</v>
      </c>
      <c r="FA31" s="10">
        <v>9.9999999999999995E-7</v>
      </c>
      <c r="FB31" s="10">
        <v>0.99990000000000001</v>
      </c>
      <c r="FC31" s="35">
        <f t="shared" si="143"/>
        <v>0.49995050000000002</v>
      </c>
      <c r="FD31" s="35">
        <f t="shared" si="144"/>
        <v>-0.24300173539128223</v>
      </c>
      <c r="FE31" s="35">
        <f t="shared" si="145"/>
        <v>9.9999999999999995E-7</v>
      </c>
      <c r="FF31" s="35">
        <f t="shared" si="146"/>
        <v>0.49995050000000002</v>
      </c>
      <c r="FG31" s="35">
        <f t="shared" si="147"/>
        <v>0.24997575</v>
      </c>
      <c r="FH31" s="35">
        <f t="shared" si="148"/>
        <v>-0.11123168654484672</v>
      </c>
      <c r="FI31" s="35">
        <f t="shared" si="149"/>
        <v>9.9999999999999995E-7</v>
      </c>
      <c r="FJ31" s="35">
        <f t="shared" si="150"/>
        <v>0.24997575</v>
      </c>
      <c r="FK31" s="35">
        <f t="shared" si="151"/>
        <v>0.124988375</v>
      </c>
      <c r="FL31" s="35">
        <f t="shared" si="152"/>
        <v>-4.5790893223803364E-2</v>
      </c>
      <c r="FM31" s="35">
        <f t="shared" si="153"/>
        <v>9.9999999999999995E-7</v>
      </c>
      <c r="FN31" s="35">
        <f t="shared" si="154"/>
        <v>0.124988375</v>
      </c>
      <c r="FO31" s="35">
        <f t="shared" si="155"/>
        <v>6.24946875E-2</v>
      </c>
      <c r="FP31" s="35">
        <f t="shared" si="156"/>
        <v>-1.3892246874248726E-2</v>
      </c>
      <c r="FQ31" s="35">
        <f t="shared" si="157"/>
        <v>9.9999999999999995E-7</v>
      </c>
      <c r="FR31" s="35">
        <f t="shared" si="158"/>
        <v>6.24946875E-2</v>
      </c>
      <c r="FS31" s="35">
        <f t="shared" si="159"/>
        <v>3.124784375E-2</v>
      </c>
      <c r="FT31" s="35">
        <f t="shared" si="160"/>
        <v>1.7790193015689848E-3</v>
      </c>
      <c r="FU31" s="35">
        <f t="shared" si="161"/>
        <v>3.124784375E-2</v>
      </c>
      <c r="FV31" s="35">
        <f t="shared" si="162"/>
        <v>6.24946875E-2</v>
      </c>
      <c r="FW31" s="35">
        <f t="shared" si="163"/>
        <v>4.6871265624999998E-2</v>
      </c>
      <c r="FX31" s="35">
        <f t="shared" si="164"/>
        <v>-6.0315883498187617E-3</v>
      </c>
      <c r="FY31" s="35">
        <f t="shared" si="165"/>
        <v>3.124784375E-2</v>
      </c>
      <c r="FZ31" s="35">
        <f t="shared" si="166"/>
        <v>4.6871265624999998E-2</v>
      </c>
      <c r="GA31" s="35">
        <f t="shared" si="167"/>
        <v>3.9059554687499998E-2</v>
      </c>
      <c r="GB31" s="35">
        <f t="shared" si="168"/>
        <v>-2.1198995500909534E-3</v>
      </c>
      <c r="GC31" s="35">
        <f t="shared" si="169"/>
        <v>3.124784375E-2</v>
      </c>
      <c r="GD31" s="35">
        <f t="shared" si="170"/>
        <v>3.9059554687499998E-2</v>
      </c>
      <c r="GE31" s="35">
        <f t="shared" si="171"/>
        <v>3.5153699218750001E-2</v>
      </c>
      <c r="GF31" s="35">
        <f t="shared" si="172"/>
        <v>-1.6882822412978005E-4</v>
      </c>
      <c r="GG31" s="35">
        <f t="shared" si="173"/>
        <v>3.124784375E-2</v>
      </c>
      <c r="GH31" s="35">
        <f t="shared" si="174"/>
        <v>3.5153699218750001E-2</v>
      </c>
      <c r="GI31" s="35">
        <f t="shared" si="175"/>
        <v>3.3200771484375002E-2</v>
      </c>
      <c r="GJ31" s="35">
        <f t="shared" si="176"/>
        <v>8.0550044451332958E-4</v>
      </c>
      <c r="GK31" s="35">
        <f t="shared" si="177"/>
        <v>3.3200771484375002E-2</v>
      </c>
      <c r="GL31" s="35">
        <f t="shared" si="178"/>
        <v>3.5153699218750001E-2</v>
      </c>
      <c r="GM31" s="35">
        <f t="shared" si="179"/>
        <v>3.4177235351562502E-2</v>
      </c>
      <c r="GN31" s="35">
        <f t="shared" si="180"/>
        <v>3.1843709647061402E-4</v>
      </c>
      <c r="GO31" s="35">
        <f t="shared" si="181"/>
        <v>3.4177235351562502E-2</v>
      </c>
      <c r="GP31" s="35">
        <f t="shared" si="182"/>
        <v>3.5153699218750001E-2</v>
      </c>
      <c r="GQ31" s="35">
        <f t="shared" si="183"/>
        <v>3.4665467285156251E-2</v>
      </c>
      <c r="GR31" s="35">
        <f t="shared" si="184"/>
        <v>7.4829652616070774E-5</v>
      </c>
      <c r="GS31" s="35">
        <f t="shared" si="185"/>
        <v>3.4665467285156251E-2</v>
      </c>
      <c r="GT31" s="35">
        <f t="shared" si="186"/>
        <v>3.5153699218750001E-2</v>
      </c>
      <c r="GU31" s="35">
        <f t="shared" si="187"/>
        <v>3.4909583251953126E-2</v>
      </c>
      <c r="GV31" s="35">
        <f t="shared" si="188"/>
        <v>-4.6992985417326771E-5</v>
      </c>
      <c r="GW31" s="35">
        <f t="shared" si="189"/>
        <v>3.4665467285156251E-2</v>
      </c>
      <c r="GX31" s="35">
        <f t="shared" si="190"/>
        <v>3.4909583251953126E-2</v>
      </c>
      <c r="GY31" s="35">
        <f t="shared" si="191"/>
        <v>3.4787525268554692E-2</v>
      </c>
      <c r="GZ31" s="35">
        <f t="shared" si="192"/>
        <v>1.3919909156001609E-5</v>
      </c>
      <c r="HA31" s="35">
        <f t="shared" si="193"/>
        <v>3.4787525268554692E-2</v>
      </c>
      <c r="HB31" s="35">
        <f t="shared" si="194"/>
        <v>3.4909583251953126E-2</v>
      </c>
      <c r="HC31" s="35">
        <f t="shared" si="195"/>
        <v>3.4848554260253906E-2</v>
      </c>
      <c r="HD31" s="35">
        <f t="shared" si="196"/>
        <v>-1.6536144300416389E-5</v>
      </c>
      <c r="HE31" s="35">
        <f t="shared" si="197"/>
        <v>3.4787525268554692E-2</v>
      </c>
      <c r="HF31" s="35">
        <f t="shared" si="198"/>
        <v>3.4848554260253906E-2</v>
      </c>
      <c r="HG31" s="35">
        <f t="shared" si="199"/>
        <v>3.4818039764404299E-2</v>
      </c>
      <c r="HH31" s="35">
        <f t="shared" si="200"/>
        <v>-1.3080191073600034E-6</v>
      </c>
      <c r="HI31" s="35">
        <f t="shared" si="201"/>
        <v>3.4787525268554692E-2</v>
      </c>
      <c r="HJ31" s="35">
        <f t="shared" si="202"/>
        <v>3.4818039764404299E-2</v>
      </c>
      <c r="HK31" s="35">
        <f t="shared" si="203"/>
        <v>3.4802782516479495E-2</v>
      </c>
      <c r="HL31" s="35">
        <f t="shared" si="204"/>
        <v>6.3059696415734834E-6</v>
      </c>
      <c r="HM31" s="35">
        <f t="shared" si="205"/>
        <v>3.4802782516479495E-2</v>
      </c>
      <c r="HN31" s="35">
        <f t="shared" si="206"/>
        <v>3.4818039764404299E-2</v>
      </c>
      <c r="HO31" s="35">
        <f t="shared" si="207"/>
        <v>3.4810411140441894E-2</v>
      </c>
      <c r="HP31" s="35">
        <f t="shared" si="208"/>
        <v>2.4989814213505213E-6</v>
      </c>
      <c r="HQ31" s="35">
        <f t="shared" si="209"/>
        <v>3.4810411140441894E-2</v>
      </c>
      <c r="HR31" s="35">
        <f t="shared" si="210"/>
        <v>3.4818039764404299E-2</v>
      </c>
      <c r="HS31" s="35">
        <f t="shared" si="211"/>
        <v>3.4814225452423096E-2</v>
      </c>
      <c r="HT31" s="35">
        <f t="shared" si="212"/>
        <v>5.9548269559783762E-7</v>
      </c>
      <c r="HU31" s="35">
        <f t="shared" si="213"/>
        <v>3.4814225452423096E-2</v>
      </c>
      <c r="HV31" s="35">
        <f t="shared" si="214"/>
        <v>3.4818039764404299E-2</v>
      </c>
      <c r="HW31" s="35">
        <f t="shared" si="215"/>
        <v>3.4816132608413694E-2</v>
      </c>
      <c r="HX31" s="35">
        <f t="shared" si="216"/>
        <v>-3.56267821244316E-7</v>
      </c>
      <c r="HY31" s="35">
        <f t="shared" si="217"/>
        <v>3.4814225452423096E-2</v>
      </c>
      <c r="HZ31" s="35">
        <f t="shared" si="218"/>
        <v>3.4816132608413694E-2</v>
      </c>
      <c r="IA31" s="35">
        <f t="shared" si="219"/>
        <v>3.4815179030418392E-2</v>
      </c>
      <c r="IB31" s="35">
        <f t="shared" si="220"/>
        <v>1.1960753343309705E-7</v>
      </c>
      <c r="IC31" s="35">
        <f t="shared" si="221"/>
        <v>3.4815179030418392E-2</v>
      </c>
      <c r="ID31" s="35">
        <f t="shared" si="222"/>
        <v>3.4816132608413694E-2</v>
      </c>
      <c r="IE31" s="35">
        <f t="shared" si="223"/>
        <v>3.4815655819416043E-2</v>
      </c>
      <c r="IF31" s="35">
        <f t="shared" si="224"/>
        <v>-1.1833011992479214E-7</v>
      </c>
      <c r="IG31" s="35">
        <f t="shared" si="225"/>
        <v>3.4815179030418392E-2</v>
      </c>
      <c r="IH31" s="35">
        <f t="shared" si="226"/>
        <v>3.4815655819416043E-2</v>
      </c>
      <c r="II31" s="35">
        <f t="shared" si="227"/>
        <v>3.4815417424917214E-2</v>
      </c>
      <c r="IJ31" s="35">
        <f t="shared" si="228"/>
        <v>6.3871286037908703E-10</v>
      </c>
      <c r="IK31" s="35">
        <f t="shared" si="229"/>
        <v>3.4815417424917214E-2</v>
      </c>
      <c r="IL31" s="35">
        <f t="shared" si="230"/>
        <v>3.4815655819416043E-2</v>
      </c>
      <c r="IM31" s="35">
        <f t="shared" si="231"/>
        <v>3.4815536622166632E-2</v>
      </c>
      <c r="IN31" s="35">
        <f t="shared" si="232"/>
        <v>-5.8845702199938899E-8</v>
      </c>
      <c r="IO31" s="35">
        <f t="shared" si="233"/>
        <v>3.4815417424917214E-2</v>
      </c>
      <c r="IP31" s="35">
        <f t="shared" si="234"/>
        <v>3.4815536622166632E-2</v>
      </c>
      <c r="IQ31" s="35">
        <f t="shared" si="235"/>
        <v>3.4815477023541923E-2</v>
      </c>
      <c r="IR31" s="35">
        <f t="shared" si="236"/>
        <v>-2.910349439222415E-8</v>
      </c>
      <c r="IS31" s="35">
        <f t="shared" si="237"/>
        <v>3.4815417424917214E-2</v>
      </c>
      <c r="IT31" s="35">
        <f t="shared" si="238"/>
        <v>3.4815477023541923E-2</v>
      </c>
      <c r="IU31" s="35">
        <f t="shared" si="239"/>
        <v>3.4815447224229565E-2</v>
      </c>
      <c r="IV31" s="35">
        <f t="shared" si="240"/>
        <v>-1.423239071041138E-8</v>
      </c>
      <c r="IW31" s="35">
        <f t="shared" si="241"/>
        <v>3.4815417424917214E-2</v>
      </c>
      <c r="IX31" s="35">
        <f t="shared" si="242"/>
        <v>3.4815447224229565E-2</v>
      </c>
      <c r="IY31" s="35">
        <f t="shared" si="243"/>
        <v>3.4815432324573389E-2</v>
      </c>
      <c r="IZ31" s="35">
        <f t="shared" si="244"/>
        <v>-6.7968390915496002E-9</v>
      </c>
      <c r="JA31" s="35">
        <f t="shared" si="245"/>
        <v>3.4815417424917214E-2</v>
      </c>
      <c r="JB31" s="35">
        <f t="shared" si="246"/>
        <v>3.4815432324573389E-2</v>
      </c>
      <c r="JC31" s="35">
        <f t="shared" si="247"/>
        <v>3.4815424874745302E-2</v>
      </c>
      <c r="JD31" s="35">
        <f t="shared" si="248"/>
        <v>-3.079063226607559E-9</v>
      </c>
      <c r="JE31" s="35">
        <f t="shared" si="249"/>
        <v>3.4815417424917214E-2</v>
      </c>
      <c r="JF31" s="35">
        <f t="shared" si="250"/>
        <v>3.4815424874745302E-2</v>
      </c>
      <c r="JG31" s="35">
        <f t="shared" si="251"/>
        <v>3.4815421149831258E-2</v>
      </c>
      <c r="JH31" s="35">
        <f t="shared" si="252"/>
        <v>-1.220175183114236E-9</v>
      </c>
      <c r="JI31" s="35">
        <f t="shared" si="253"/>
        <v>3.4815417424917214E-2</v>
      </c>
      <c r="JJ31" s="35">
        <f t="shared" si="254"/>
        <v>3.4815421149831258E-2</v>
      </c>
      <c r="JK31" s="35">
        <f t="shared" si="255"/>
        <v>3.4815419287374236E-2</v>
      </c>
      <c r="JL31" s="35">
        <f t="shared" si="256"/>
        <v>-2.9073121687872572E-10</v>
      </c>
      <c r="JM31" s="35">
        <f t="shared" si="257"/>
        <v>3.4815417424917214E-2</v>
      </c>
      <c r="JN31" s="35">
        <f t="shared" si="258"/>
        <v>3.4815419287374236E-2</v>
      </c>
      <c r="JO31" s="35">
        <f t="shared" si="259"/>
        <v>3.4815418356145725E-2</v>
      </c>
      <c r="JP31" s="35">
        <f t="shared" si="260"/>
        <v>1.7399082175018066E-10</v>
      </c>
      <c r="JQ31" s="35">
        <f t="shared" si="261"/>
        <v>3.4815418356145725E-2</v>
      </c>
      <c r="JR31" s="35">
        <f t="shared" si="262"/>
        <v>3.4815419287374236E-2</v>
      </c>
      <c r="JS31" s="35">
        <f t="shared" si="263"/>
        <v>3.481541882175998E-2</v>
      </c>
      <c r="JT31" s="35">
        <f t="shared" si="264"/>
        <v>-5.837019756427253E-11</v>
      </c>
      <c r="JU31" s="35">
        <f t="shared" si="265"/>
        <v>3.4815418356145725E-2</v>
      </c>
      <c r="JV31" s="35">
        <f t="shared" si="266"/>
        <v>3.481541882175998E-2</v>
      </c>
      <c r="JW31" s="35">
        <f t="shared" si="267"/>
        <v>3.4815418588952853E-2</v>
      </c>
      <c r="JX31" s="35">
        <f t="shared" si="268"/>
        <v>5.7810201070651601E-11</v>
      </c>
      <c r="JY31" s="35">
        <f t="shared" si="269"/>
        <v>3.4815418588952853E-2</v>
      </c>
      <c r="JZ31" s="35">
        <f t="shared" si="270"/>
        <v>3.481541882175998E-2</v>
      </c>
      <c r="KA31" s="35">
        <f t="shared" si="271"/>
        <v>1.0529699493898081</v>
      </c>
      <c r="KB31" s="35">
        <f t="shared" si="272"/>
        <v>3.4815418705356413E-2</v>
      </c>
    </row>
    <row r="32" spans="1:288" ht="15" customHeight="1" x14ac:dyDescent="0.3">
      <c r="A32" s="30">
        <f>Odds_Input!A32</f>
        <v>24</v>
      </c>
      <c r="B32" s="7" t="str">
        <f>Odds_Input!B32</f>
        <v>TITLE</v>
      </c>
      <c r="C32" s="7" t="str">
        <f>Odds_Input!C32</f>
        <v>Portland Trail Blazers</v>
      </c>
      <c r="D32" s="7" t="str">
        <f>Odds_Input!D32</f>
        <v>YES</v>
      </c>
      <c r="E32" s="31" t="str">
        <f>Odds_Input!E32</f>
        <v>-</v>
      </c>
      <c r="F32" s="32">
        <f>Odds_Input!F32</f>
        <v>10000</v>
      </c>
      <c r="G32" s="6" t="str">
        <f t="shared" si="0"/>
        <v>TITLE</v>
      </c>
      <c r="H32" s="14">
        <f t="shared" si="1"/>
        <v>101</v>
      </c>
      <c r="I32" s="33">
        <f t="shared" si="2"/>
        <v>9.9009900990099011E-3</v>
      </c>
      <c r="J32" s="17">
        <f t="shared" si="3"/>
        <v>1</v>
      </c>
      <c r="K32" s="17">
        <f t="shared" si="4"/>
        <v>30</v>
      </c>
      <c r="L32" s="18">
        <f t="shared" si="5"/>
        <v>1.252565192422864</v>
      </c>
      <c r="M32" s="34">
        <f t="shared" si="6"/>
        <v>0.25256519242286402</v>
      </c>
      <c r="N32" s="33">
        <f t="shared" si="7"/>
        <v>7.9045706833495832E-3</v>
      </c>
      <c r="O32" s="33">
        <f t="shared" si="8"/>
        <v>6.2635308709465733E-3</v>
      </c>
      <c r="P32" s="33">
        <f t="shared" si="9"/>
        <v>4.917527402131543E-3</v>
      </c>
      <c r="Q32" s="33">
        <f t="shared" si="10"/>
        <v>4.917527402131543E-3</v>
      </c>
      <c r="R32" s="35">
        <f t="shared" si="11"/>
        <v>1.0992153287166726</v>
      </c>
      <c r="S32" s="35">
        <f t="shared" si="12"/>
        <v>1.1051948455485863E-2</v>
      </c>
      <c r="X32" s="6" t="s">
        <v>807</v>
      </c>
      <c r="Y32" s="6">
        <f t="shared" si="13"/>
        <v>1</v>
      </c>
      <c r="Z32" s="18">
        <f t="shared" si="14"/>
        <v>1.0454545454545454</v>
      </c>
      <c r="AA32" s="10">
        <v>0.2</v>
      </c>
      <c r="AB32" s="10">
        <v>10</v>
      </c>
      <c r="AC32" s="35">
        <f t="shared" si="15"/>
        <v>5.0999999999999996</v>
      </c>
      <c r="AD32" s="35">
        <f t="shared" si="16"/>
        <v>-0.92539954235841471</v>
      </c>
      <c r="AE32" s="35">
        <f t="shared" si="17"/>
        <v>0.2</v>
      </c>
      <c r="AF32" s="35">
        <f t="shared" si="18"/>
        <v>5.0999999999999996</v>
      </c>
      <c r="AG32" s="35">
        <f t="shared" si="19"/>
        <v>2.65</v>
      </c>
      <c r="AH32" s="35">
        <f t="shared" si="20"/>
        <v>-0.64004330393040465</v>
      </c>
      <c r="AI32" s="35">
        <f t="shared" si="21"/>
        <v>0.2</v>
      </c>
      <c r="AJ32" s="35">
        <f t="shared" si="22"/>
        <v>2.65</v>
      </c>
      <c r="AK32" s="35">
        <f t="shared" si="23"/>
        <v>1.425</v>
      </c>
      <c r="AL32" s="35">
        <f t="shared" si="24"/>
        <v>-0.20599970626899999</v>
      </c>
      <c r="AM32" s="35">
        <f t="shared" si="25"/>
        <v>0.2</v>
      </c>
      <c r="AN32" s="35">
        <f t="shared" si="26"/>
        <v>1.425</v>
      </c>
      <c r="AO32" s="35">
        <f t="shared" si="27"/>
        <v>0.8125</v>
      </c>
      <c r="AP32" s="35">
        <f t="shared" si="28"/>
        <v>0.18050001693930851</v>
      </c>
      <c r="AQ32" s="35">
        <f t="shared" si="29"/>
        <v>0.8125</v>
      </c>
      <c r="AR32" s="35">
        <f t="shared" si="30"/>
        <v>1.425</v>
      </c>
      <c r="AS32" s="35">
        <f t="shared" si="31"/>
        <v>1.1187499999999999</v>
      </c>
      <c r="AT32" s="35">
        <f t="shared" si="32"/>
        <v>-3.1934205800687954E-2</v>
      </c>
      <c r="AU32" s="35">
        <f t="shared" si="33"/>
        <v>0.8125</v>
      </c>
      <c r="AV32" s="35">
        <f t="shared" si="34"/>
        <v>1.1187499999999999</v>
      </c>
      <c r="AW32" s="35">
        <f t="shared" si="35"/>
        <v>0.96562499999999996</v>
      </c>
      <c r="AX32" s="35">
        <f t="shared" si="36"/>
        <v>6.8995350859696325E-2</v>
      </c>
      <c r="AY32" s="35">
        <f t="shared" si="37"/>
        <v>0.96562499999999996</v>
      </c>
      <c r="AZ32" s="35">
        <f t="shared" si="38"/>
        <v>1.1187499999999999</v>
      </c>
      <c r="BA32" s="35">
        <f t="shared" si="39"/>
        <v>1.0421874999999998</v>
      </c>
      <c r="BB32" s="35">
        <f t="shared" si="40"/>
        <v>1.7273992252547554E-2</v>
      </c>
      <c r="BC32" s="35">
        <f t="shared" si="41"/>
        <v>1.0421874999999998</v>
      </c>
      <c r="BD32" s="35">
        <f t="shared" si="42"/>
        <v>1.1187499999999999</v>
      </c>
      <c r="BE32" s="35">
        <f t="shared" si="43"/>
        <v>1.0804687499999999</v>
      </c>
      <c r="BF32" s="35">
        <f t="shared" si="44"/>
        <v>-7.6364427676745006E-3</v>
      </c>
      <c r="BG32" s="35">
        <f t="shared" si="45"/>
        <v>1.0421874999999998</v>
      </c>
      <c r="BH32" s="35">
        <f t="shared" si="46"/>
        <v>1.0804687499999999</v>
      </c>
      <c r="BI32" s="35">
        <f t="shared" si="47"/>
        <v>1.0613281249999997</v>
      </c>
      <c r="BJ32" s="35">
        <f t="shared" si="48"/>
        <v>4.7412299184854678E-3</v>
      </c>
      <c r="BK32" s="35">
        <f t="shared" si="49"/>
        <v>1.0613281249999997</v>
      </c>
      <c r="BL32" s="35">
        <f t="shared" si="50"/>
        <v>1.0804687499999999</v>
      </c>
      <c r="BM32" s="35">
        <f t="shared" si="51"/>
        <v>1.0708984374999999</v>
      </c>
      <c r="BN32" s="35">
        <f t="shared" si="52"/>
        <v>-1.4668715838355162E-3</v>
      </c>
      <c r="BO32" s="35">
        <f t="shared" si="53"/>
        <v>1.0613281249999997</v>
      </c>
      <c r="BP32" s="35">
        <f t="shared" si="54"/>
        <v>1.0708984374999999</v>
      </c>
      <c r="BQ32" s="35">
        <f t="shared" si="55"/>
        <v>1.0661132812499998</v>
      </c>
      <c r="BR32" s="35">
        <f t="shared" si="56"/>
        <v>1.6323478060529251E-3</v>
      </c>
      <c r="BS32" s="35">
        <f t="shared" si="57"/>
        <v>1.0661132812499998</v>
      </c>
      <c r="BT32" s="35">
        <f t="shared" si="58"/>
        <v>1.0708984374999999</v>
      </c>
      <c r="BU32" s="35">
        <f t="shared" si="59"/>
        <v>1.0685058593749999</v>
      </c>
      <c r="BV32" s="35">
        <f t="shared" si="60"/>
        <v>8.1532158421993017E-5</v>
      </c>
      <c r="BW32" s="35">
        <f t="shared" si="61"/>
        <v>1.0685058593749999</v>
      </c>
      <c r="BX32" s="35">
        <f t="shared" si="62"/>
        <v>1.0708984374999999</v>
      </c>
      <c r="BY32" s="35">
        <f t="shared" si="63"/>
        <v>1.0697021484375</v>
      </c>
      <c r="BZ32" s="35">
        <f t="shared" si="64"/>
        <v>-6.9297096524878476E-4</v>
      </c>
      <c r="CA32" s="35">
        <f t="shared" si="65"/>
        <v>1.0685058593749999</v>
      </c>
      <c r="CB32" s="35">
        <f t="shared" si="66"/>
        <v>1.0697021484375</v>
      </c>
      <c r="CC32" s="35">
        <f t="shared" si="67"/>
        <v>1.0691040039062498</v>
      </c>
      <c r="CD32" s="35">
        <f t="shared" si="68"/>
        <v>-3.057947459881305E-4</v>
      </c>
      <c r="CE32" s="35">
        <f t="shared" si="69"/>
        <v>1.0685058593749999</v>
      </c>
      <c r="CF32" s="35">
        <f t="shared" si="70"/>
        <v>1.0691040039062498</v>
      </c>
      <c r="CG32" s="35">
        <f t="shared" si="71"/>
        <v>1.0688049316406247</v>
      </c>
      <c r="CH32" s="35">
        <f t="shared" si="72"/>
        <v>-1.1215013310783561E-4</v>
      </c>
      <c r="CI32" s="35">
        <f t="shared" si="73"/>
        <v>1.0685058593749999</v>
      </c>
      <c r="CJ32" s="35">
        <f t="shared" si="74"/>
        <v>1.0688049316406247</v>
      </c>
      <c r="CK32" s="35">
        <f t="shared" si="75"/>
        <v>1.0686553955078124</v>
      </c>
      <c r="CL32" s="35">
        <f t="shared" si="76"/>
        <v>-1.5313697634411483E-5</v>
      </c>
      <c r="CM32" s="35">
        <f t="shared" si="77"/>
        <v>1.0685058593749999</v>
      </c>
      <c r="CN32" s="35">
        <f t="shared" si="78"/>
        <v>1.0686553955078124</v>
      </c>
      <c r="CO32" s="35">
        <f t="shared" si="79"/>
        <v>1.0685806274414063</v>
      </c>
      <c r="CP32" s="35">
        <f t="shared" si="80"/>
        <v>3.3108052763353157E-5</v>
      </c>
      <c r="CQ32" s="35">
        <f t="shared" si="81"/>
        <v>1.0685806274414063</v>
      </c>
      <c r="CR32" s="35">
        <f t="shared" si="82"/>
        <v>1.0686553955078124</v>
      </c>
      <c r="CS32" s="35">
        <f t="shared" si="83"/>
        <v>1.0686180114746093</v>
      </c>
      <c r="CT32" s="35">
        <f t="shared" si="84"/>
        <v>8.8968831639668622E-6</v>
      </c>
      <c r="CU32" s="35">
        <f t="shared" si="85"/>
        <v>1.0686180114746093</v>
      </c>
      <c r="CV32" s="35">
        <f t="shared" si="86"/>
        <v>1.0686553955078124</v>
      </c>
      <c r="CW32" s="35">
        <f t="shared" si="87"/>
        <v>1.0686367034912108</v>
      </c>
      <c r="CX32" s="35">
        <f t="shared" si="88"/>
        <v>-3.2084808343491034E-6</v>
      </c>
      <c r="CY32" s="35">
        <f t="shared" si="89"/>
        <v>1.0686180114746093</v>
      </c>
      <c r="CZ32" s="35">
        <f t="shared" si="90"/>
        <v>1.0686367034912108</v>
      </c>
      <c r="DA32" s="35">
        <f t="shared" si="91"/>
        <v>1.0686273574829102</v>
      </c>
      <c r="DB32" s="35">
        <f t="shared" si="92"/>
        <v>2.8441827648606477E-6</v>
      </c>
      <c r="DC32" s="35">
        <f t="shared" si="93"/>
        <v>1.0686273574829102</v>
      </c>
      <c r="DD32" s="35">
        <f t="shared" si="94"/>
        <v>1.0686367034912108</v>
      </c>
      <c r="DE32" s="35">
        <f t="shared" si="95"/>
        <v>1.0686320304870605</v>
      </c>
      <c r="DF32" s="35">
        <f t="shared" si="96"/>
        <v>-1.8215363484230807E-7</v>
      </c>
      <c r="DG32" s="35">
        <f t="shared" si="97"/>
        <v>1.0686273574829102</v>
      </c>
      <c r="DH32" s="35">
        <f t="shared" si="98"/>
        <v>1.0686320304870605</v>
      </c>
      <c r="DI32" s="35">
        <f t="shared" si="99"/>
        <v>1.0686296939849853</v>
      </c>
      <c r="DJ32" s="35">
        <f t="shared" si="100"/>
        <v>1.3310134150401609E-6</v>
      </c>
      <c r="DK32" s="35">
        <f t="shared" si="101"/>
        <v>1.0686296939849853</v>
      </c>
      <c r="DL32" s="35">
        <f t="shared" si="102"/>
        <v>1.0686320304870605</v>
      </c>
      <c r="DM32" s="35">
        <f t="shared" si="103"/>
        <v>1.0686308622360228</v>
      </c>
      <c r="DN32" s="35">
        <f t="shared" si="104"/>
        <v>5.7442960277320765E-7</v>
      </c>
      <c r="DO32" s="35">
        <f t="shared" si="105"/>
        <v>1.0686308622360228</v>
      </c>
      <c r="DP32" s="35">
        <f t="shared" si="106"/>
        <v>1.0686320304870605</v>
      </c>
      <c r="DQ32" s="35">
        <f t="shared" si="107"/>
        <v>1.0686314463615416</v>
      </c>
      <c r="DR32" s="35">
        <f t="shared" si="108"/>
        <v>1.961379121340201E-7</v>
      </c>
      <c r="DS32" s="35">
        <f t="shared" si="109"/>
        <v>1.0686314463615416</v>
      </c>
      <c r="DT32" s="35">
        <f t="shared" si="110"/>
        <v>1.0686320304870605</v>
      </c>
      <c r="DU32" s="35">
        <f t="shared" si="111"/>
        <v>1.0686317384243011</v>
      </c>
      <c r="DV32" s="35">
        <f t="shared" si="112"/>
        <v>6.9921206602430175E-9</v>
      </c>
      <c r="DW32" s="35">
        <f t="shared" si="113"/>
        <v>1.0686317384243011</v>
      </c>
      <c r="DX32" s="35">
        <f t="shared" si="114"/>
        <v>1.0686320304870605</v>
      </c>
      <c r="DY32" s="35">
        <f t="shared" si="115"/>
        <v>1.0686318844556808</v>
      </c>
      <c r="DZ32" s="35">
        <f t="shared" si="116"/>
        <v>-8.7580761531924622E-8</v>
      </c>
      <c r="EA32" s="35">
        <f t="shared" si="117"/>
        <v>1.0686317384243011</v>
      </c>
      <c r="EB32" s="35">
        <f t="shared" si="118"/>
        <v>1.0686318844556808</v>
      </c>
      <c r="EC32" s="35">
        <f t="shared" si="119"/>
        <v>1.0686318114399911</v>
      </c>
      <c r="ED32" s="35">
        <f t="shared" si="120"/>
        <v>-4.029432165708613E-8</v>
      </c>
      <c r="EE32" s="35">
        <f t="shared" si="121"/>
        <v>1.0686317384243011</v>
      </c>
      <c r="EF32" s="35">
        <f t="shared" si="122"/>
        <v>1.0686318114399911</v>
      </c>
      <c r="EG32" s="35">
        <f t="shared" si="123"/>
        <v>1.0686317749321461</v>
      </c>
      <c r="EH32" s="35">
        <f t="shared" si="124"/>
        <v>-1.6651100720466161E-8</v>
      </c>
      <c r="EI32" s="35">
        <f t="shared" si="125"/>
        <v>1.0686317384243011</v>
      </c>
      <c r="EJ32" s="35">
        <f t="shared" si="126"/>
        <v>1.0686317749321461</v>
      </c>
      <c r="EK32" s="35">
        <f t="shared" si="127"/>
        <v>1.0686317566782235</v>
      </c>
      <c r="EL32" s="35">
        <f t="shared" si="128"/>
        <v>-4.8294900301115717E-9</v>
      </c>
      <c r="EM32" s="35">
        <f t="shared" si="129"/>
        <v>1.0686317384243011</v>
      </c>
      <c r="EN32" s="35">
        <f t="shared" si="130"/>
        <v>1.0686317566782235</v>
      </c>
      <c r="EO32" s="35">
        <f t="shared" si="131"/>
        <v>1.0686317475512623</v>
      </c>
      <c r="EP32" s="35">
        <f t="shared" si="132"/>
        <v>1.0813152595545716E-9</v>
      </c>
      <c r="EQ32" s="35">
        <f t="shared" si="133"/>
        <v>1.0686317475512623</v>
      </c>
      <c r="ER32" s="35">
        <f t="shared" si="134"/>
        <v>1.0686317566782235</v>
      </c>
      <c r="ES32" s="35">
        <f t="shared" si="135"/>
        <v>1.0686317521147428</v>
      </c>
      <c r="ET32" s="35">
        <f t="shared" si="136"/>
        <v>-1.8740873297673488E-9</v>
      </c>
      <c r="EU32" s="35">
        <f t="shared" si="137"/>
        <v>1.0686317475512623</v>
      </c>
      <c r="EV32" s="35">
        <f t="shared" si="138"/>
        <v>1.0686317521147428</v>
      </c>
      <c r="EW32" s="35">
        <f t="shared" si="139"/>
        <v>1.0686317498330027</v>
      </c>
      <c r="EX32" s="35">
        <f t="shared" si="140"/>
        <v>-3.9638603510638859E-10</v>
      </c>
      <c r="EY32" s="35">
        <f t="shared" si="141"/>
        <v>1.0686317475512623</v>
      </c>
      <c r="EZ32" s="35">
        <f t="shared" si="142"/>
        <v>1.0686317498330027</v>
      </c>
      <c r="FA32" s="10">
        <v>9.9999999999999995E-7</v>
      </c>
      <c r="FB32" s="10">
        <v>0.99990000000000001</v>
      </c>
      <c r="FC32" s="35">
        <f t="shared" si="143"/>
        <v>0.49995050000000002</v>
      </c>
      <c r="FD32" s="35">
        <f t="shared" si="144"/>
        <v>-0.24151146190266881</v>
      </c>
      <c r="FE32" s="35">
        <f t="shared" si="145"/>
        <v>9.9999999999999995E-7</v>
      </c>
      <c r="FF32" s="35">
        <f t="shared" si="146"/>
        <v>0.49995050000000002</v>
      </c>
      <c r="FG32" s="35">
        <f t="shared" si="147"/>
        <v>0.24997575</v>
      </c>
      <c r="FH32" s="35">
        <f t="shared" si="148"/>
        <v>-0.10643591268936592</v>
      </c>
      <c r="FI32" s="35">
        <f t="shared" si="149"/>
        <v>9.9999999999999995E-7</v>
      </c>
      <c r="FJ32" s="35">
        <f t="shared" si="150"/>
        <v>0.24997575</v>
      </c>
      <c r="FK32" s="35">
        <f t="shared" si="151"/>
        <v>0.124988375</v>
      </c>
      <c r="FL32" s="35">
        <f t="shared" si="152"/>
        <v>-4.0466733385815967E-2</v>
      </c>
      <c r="FM32" s="35">
        <f t="shared" si="153"/>
        <v>9.9999999999999995E-7</v>
      </c>
      <c r="FN32" s="35">
        <f t="shared" si="154"/>
        <v>0.124988375</v>
      </c>
      <c r="FO32" s="35">
        <f t="shared" si="155"/>
        <v>6.24946875E-2</v>
      </c>
      <c r="FP32" s="35">
        <f t="shared" si="156"/>
        <v>-8.5504120192351207E-3</v>
      </c>
      <c r="FQ32" s="35">
        <f t="shared" si="157"/>
        <v>9.9999999999999995E-7</v>
      </c>
      <c r="FR32" s="35">
        <f t="shared" si="158"/>
        <v>6.24946875E-2</v>
      </c>
      <c r="FS32" s="35">
        <f t="shared" si="159"/>
        <v>3.124784375E-2</v>
      </c>
      <c r="FT32" s="35">
        <f t="shared" si="160"/>
        <v>7.0800242070911956E-3</v>
      </c>
      <c r="FU32" s="35">
        <f t="shared" si="161"/>
        <v>3.124784375E-2</v>
      </c>
      <c r="FV32" s="35">
        <f t="shared" si="162"/>
        <v>6.24946875E-2</v>
      </c>
      <c r="FW32" s="35">
        <f t="shared" si="163"/>
        <v>4.6871265624999998E-2</v>
      </c>
      <c r="FX32" s="35">
        <f t="shared" si="164"/>
        <v>-7.06420005394226E-4</v>
      </c>
      <c r="FY32" s="35">
        <f t="shared" si="165"/>
        <v>3.124784375E-2</v>
      </c>
      <c r="FZ32" s="35">
        <f t="shared" si="166"/>
        <v>4.6871265624999998E-2</v>
      </c>
      <c r="GA32" s="35">
        <f t="shared" si="167"/>
        <v>3.9059554687499998E-2</v>
      </c>
      <c r="GB32" s="35">
        <f t="shared" si="168"/>
        <v>3.1940946901758416E-3</v>
      </c>
      <c r="GC32" s="35">
        <f t="shared" si="169"/>
        <v>3.9059554687499998E-2</v>
      </c>
      <c r="GD32" s="35">
        <f t="shared" si="170"/>
        <v>4.6871265624999998E-2</v>
      </c>
      <c r="GE32" s="35">
        <f t="shared" si="171"/>
        <v>4.2965410156249995E-2</v>
      </c>
      <c r="GF32" s="35">
        <f t="shared" si="172"/>
        <v>1.2456483981968525E-3</v>
      </c>
      <c r="GG32" s="35">
        <f t="shared" si="173"/>
        <v>4.2965410156249995E-2</v>
      </c>
      <c r="GH32" s="35">
        <f t="shared" si="174"/>
        <v>4.6871265624999998E-2</v>
      </c>
      <c r="GI32" s="35">
        <f t="shared" si="175"/>
        <v>4.4918337890624993E-2</v>
      </c>
      <c r="GJ32" s="35">
        <f t="shared" si="176"/>
        <v>2.7006542296659219E-4</v>
      </c>
      <c r="GK32" s="35">
        <f t="shared" si="177"/>
        <v>4.4918337890624993E-2</v>
      </c>
      <c r="GL32" s="35">
        <f t="shared" si="178"/>
        <v>4.6871265624999998E-2</v>
      </c>
      <c r="GM32" s="35">
        <f t="shared" si="179"/>
        <v>4.5894801757812492E-2</v>
      </c>
      <c r="GN32" s="35">
        <f t="shared" si="180"/>
        <v>-2.1806467837326426E-4</v>
      </c>
      <c r="GO32" s="35">
        <f t="shared" si="181"/>
        <v>4.4918337890624993E-2</v>
      </c>
      <c r="GP32" s="35">
        <f t="shared" si="182"/>
        <v>4.5894801757812492E-2</v>
      </c>
      <c r="GQ32" s="35">
        <f t="shared" si="183"/>
        <v>4.5406569824218743E-2</v>
      </c>
      <c r="GR32" s="35">
        <f t="shared" si="184"/>
        <v>2.6028549804602008E-5</v>
      </c>
      <c r="GS32" s="35">
        <f t="shared" si="185"/>
        <v>4.5406569824218743E-2</v>
      </c>
      <c r="GT32" s="35">
        <f t="shared" si="186"/>
        <v>4.5894801757812492E-2</v>
      </c>
      <c r="GU32" s="35">
        <f t="shared" si="187"/>
        <v>4.5650685791015617E-2</v>
      </c>
      <c r="GV32" s="35">
        <f t="shared" si="188"/>
        <v>-9.6011022939879176E-5</v>
      </c>
      <c r="GW32" s="35">
        <f t="shared" si="189"/>
        <v>4.5406569824218743E-2</v>
      </c>
      <c r="GX32" s="35">
        <f t="shared" si="190"/>
        <v>4.5650685791015617E-2</v>
      </c>
      <c r="GY32" s="35">
        <f t="shared" si="191"/>
        <v>4.5528627807617184E-2</v>
      </c>
      <c r="GZ32" s="35">
        <f t="shared" si="192"/>
        <v>-3.4989475852231777E-5</v>
      </c>
      <c r="HA32" s="35">
        <f t="shared" si="193"/>
        <v>4.5406569824218743E-2</v>
      </c>
      <c r="HB32" s="35">
        <f t="shared" si="194"/>
        <v>4.5528627807617184E-2</v>
      </c>
      <c r="HC32" s="35">
        <f t="shared" si="195"/>
        <v>4.5467598815917963E-2</v>
      </c>
      <c r="HD32" s="35">
        <f t="shared" si="196"/>
        <v>-4.4800227976260487E-6</v>
      </c>
      <c r="HE32" s="35">
        <f t="shared" si="197"/>
        <v>4.5406569824218743E-2</v>
      </c>
      <c r="HF32" s="35">
        <f t="shared" si="198"/>
        <v>4.5467598815917963E-2</v>
      </c>
      <c r="HG32" s="35">
        <f t="shared" si="199"/>
        <v>4.5437084320068349E-2</v>
      </c>
      <c r="HH32" s="35">
        <f t="shared" si="200"/>
        <v>1.0774373566224682E-5</v>
      </c>
      <c r="HI32" s="35">
        <f t="shared" si="201"/>
        <v>4.5437084320068349E-2</v>
      </c>
      <c r="HJ32" s="35">
        <f t="shared" si="202"/>
        <v>4.5467598815917963E-2</v>
      </c>
      <c r="HK32" s="35">
        <f t="shared" si="203"/>
        <v>4.545234156799316E-2</v>
      </c>
      <c r="HL32" s="35">
        <f t="shared" si="204"/>
        <v>3.1472028991785805E-6</v>
      </c>
      <c r="HM32" s="35">
        <f t="shared" si="205"/>
        <v>4.545234156799316E-2</v>
      </c>
      <c r="HN32" s="35">
        <f t="shared" si="206"/>
        <v>4.5467598815917963E-2</v>
      </c>
      <c r="HO32" s="35">
        <f t="shared" si="207"/>
        <v>4.5459970191955565E-2</v>
      </c>
      <c r="HP32" s="35">
        <f t="shared" si="208"/>
        <v>-6.6640307061494042E-7</v>
      </c>
      <c r="HQ32" s="35">
        <f t="shared" si="209"/>
        <v>4.545234156799316E-2</v>
      </c>
      <c r="HR32" s="35">
        <f t="shared" si="210"/>
        <v>4.5459970191955565E-2</v>
      </c>
      <c r="HS32" s="35">
        <f t="shared" si="211"/>
        <v>4.5456155879974362E-2</v>
      </c>
      <c r="HT32" s="35">
        <f t="shared" si="212"/>
        <v>1.2404016338507518E-6</v>
      </c>
      <c r="HU32" s="35">
        <f t="shared" si="213"/>
        <v>4.5456155879974362E-2</v>
      </c>
      <c r="HV32" s="35">
        <f t="shared" si="214"/>
        <v>4.5459970191955565E-2</v>
      </c>
      <c r="HW32" s="35">
        <f t="shared" si="215"/>
        <v>4.545806303596496E-2</v>
      </c>
      <c r="HX32" s="35">
        <f t="shared" si="216"/>
        <v>2.8699971155177195E-7</v>
      </c>
      <c r="HY32" s="35">
        <f t="shared" si="217"/>
        <v>4.545806303596496E-2</v>
      </c>
      <c r="HZ32" s="35">
        <f t="shared" si="218"/>
        <v>4.5459970191955565E-2</v>
      </c>
      <c r="IA32" s="35">
        <f t="shared" si="219"/>
        <v>4.5459016613960262E-2</v>
      </c>
      <c r="IB32" s="35">
        <f t="shared" si="220"/>
        <v>-1.897015720064843E-7</v>
      </c>
      <c r="IC32" s="35">
        <f t="shared" si="221"/>
        <v>4.545806303596496E-2</v>
      </c>
      <c r="ID32" s="35">
        <f t="shared" si="222"/>
        <v>4.5459016613960262E-2</v>
      </c>
      <c r="IE32" s="35">
        <f t="shared" si="223"/>
        <v>4.5458539824962611E-2</v>
      </c>
      <c r="IF32" s="35">
        <f t="shared" si="224"/>
        <v>4.8649096751063325E-8</v>
      </c>
      <c r="IG32" s="35">
        <f t="shared" si="225"/>
        <v>4.5458539824962611E-2</v>
      </c>
      <c r="IH32" s="35">
        <f t="shared" si="226"/>
        <v>4.5459016613960262E-2</v>
      </c>
      <c r="II32" s="35">
        <f t="shared" si="227"/>
        <v>4.545877821946144E-2</v>
      </c>
      <c r="IJ32" s="35">
        <f t="shared" si="228"/>
        <v>-7.0526230966372339E-8</v>
      </c>
      <c r="IK32" s="35">
        <f t="shared" si="229"/>
        <v>4.5458539824962611E-2</v>
      </c>
      <c r="IL32" s="35">
        <f t="shared" si="230"/>
        <v>4.545877821946144E-2</v>
      </c>
      <c r="IM32" s="35">
        <f t="shared" si="231"/>
        <v>4.5458659022212022E-2</v>
      </c>
      <c r="IN32" s="35">
        <f t="shared" si="232"/>
        <v>-1.0938565608853423E-8</v>
      </c>
      <c r="IO32" s="35">
        <f t="shared" si="233"/>
        <v>4.5458539824962611E-2</v>
      </c>
      <c r="IP32" s="35">
        <f t="shared" si="234"/>
        <v>4.5458659022212022E-2</v>
      </c>
      <c r="IQ32" s="35">
        <f t="shared" si="235"/>
        <v>4.545859942358732E-2</v>
      </c>
      <c r="IR32" s="35">
        <f t="shared" si="236"/>
        <v>1.8855266015194161E-8</v>
      </c>
      <c r="IS32" s="35">
        <f t="shared" si="237"/>
        <v>4.545859942358732E-2</v>
      </c>
      <c r="IT32" s="35">
        <f t="shared" si="238"/>
        <v>4.5458659022212022E-2</v>
      </c>
      <c r="IU32" s="35">
        <f t="shared" si="239"/>
        <v>4.5458629222899671E-2</v>
      </c>
      <c r="IV32" s="35">
        <f t="shared" si="240"/>
        <v>3.9583503141926712E-9</v>
      </c>
      <c r="IW32" s="35">
        <f t="shared" si="241"/>
        <v>4.5458629222899671E-2</v>
      </c>
      <c r="IX32" s="35">
        <f t="shared" si="242"/>
        <v>4.5458659022212022E-2</v>
      </c>
      <c r="IY32" s="35">
        <f t="shared" si="243"/>
        <v>4.5458644122555847E-2</v>
      </c>
      <c r="IZ32" s="35">
        <f t="shared" si="244"/>
        <v>-3.4901075363080736E-9</v>
      </c>
      <c r="JA32" s="35">
        <f t="shared" si="245"/>
        <v>4.5458629222899671E-2</v>
      </c>
      <c r="JB32" s="35">
        <f t="shared" si="246"/>
        <v>4.5458644122555847E-2</v>
      </c>
      <c r="JC32" s="35">
        <f t="shared" si="247"/>
        <v>4.5458636672727759E-2</v>
      </c>
      <c r="JD32" s="35">
        <f t="shared" si="248"/>
        <v>2.3412138894229884E-10</v>
      </c>
      <c r="JE32" s="35">
        <f t="shared" si="249"/>
        <v>4.5458636672727759E-2</v>
      </c>
      <c r="JF32" s="35">
        <f t="shared" si="250"/>
        <v>4.5458644122555847E-2</v>
      </c>
      <c r="JG32" s="35">
        <f t="shared" si="251"/>
        <v>4.5458640397641803E-2</v>
      </c>
      <c r="JH32" s="35">
        <f t="shared" si="252"/>
        <v>-1.6279930736828874E-9</v>
      </c>
      <c r="JI32" s="35">
        <f t="shared" si="253"/>
        <v>4.5458636672727759E-2</v>
      </c>
      <c r="JJ32" s="35">
        <f t="shared" si="254"/>
        <v>4.5458640397641803E-2</v>
      </c>
      <c r="JK32" s="35">
        <f t="shared" si="255"/>
        <v>4.5458638535184781E-2</v>
      </c>
      <c r="JL32" s="35">
        <f t="shared" si="256"/>
        <v>-6.9693584237029427E-10</v>
      </c>
      <c r="JM32" s="35">
        <f t="shared" si="257"/>
        <v>4.5458636672727759E-2</v>
      </c>
      <c r="JN32" s="35">
        <f t="shared" si="258"/>
        <v>4.5458638535184781E-2</v>
      </c>
      <c r="JO32" s="35">
        <f t="shared" si="259"/>
        <v>4.545863760395627E-2</v>
      </c>
      <c r="JP32" s="35">
        <f t="shared" si="260"/>
        <v>-2.3140722671399772E-10</v>
      </c>
      <c r="JQ32" s="35">
        <f t="shared" si="261"/>
        <v>4.5458636672727759E-2</v>
      </c>
      <c r="JR32" s="35">
        <f t="shared" si="262"/>
        <v>4.545863760395627E-2</v>
      </c>
      <c r="JS32" s="35">
        <f t="shared" si="263"/>
        <v>4.5458637138342015E-2</v>
      </c>
      <c r="JT32" s="35">
        <f t="shared" si="264"/>
        <v>1.3571366253017914E-12</v>
      </c>
      <c r="JU32" s="35">
        <f t="shared" si="265"/>
        <v>4.5458637138342015E-2</v>
      </c>
      <c r="JV32" s="35">
        <f t="shared" si="266"/>
        <v>4.545863760395627E-2</v>
      </c>
      <c r="JW32" s="35">
        <f t="shared" si="267"/>
        <v>4.5458637371149142E-2</v>
      </c>
      <c r="JX32" s="35">
        <f t="shared" si="268"/>
        <v>-1.1502510055549919E-10</v>
      </c>
      <c r="JY32" s="35">
        <f t="shared" si="269"/>
        <v>4.5458637138342015E-2</v>
      </c>
      <c r="JZ32" s="35">
        <f t="shared" si="270"/>
        <v>4.5458637371149142E-2</v>
      </c>
      <c r="KA32" s="35">
        <f t="shared" si="271"/>
        <v>1.0686317486921326</v>
      </c>
      <c r="KB32" s="35">
        <f t="shared" si="272"/>
        <v>4.5458637254745582E-2</v>
      </c>
    </row>
    <row r="33" spans="1:288" ht="15" customHeight="1" x14ac:dyDescent="0.3">
      <c r="A33" s="30">
        <f>Odds_Input!A33</f>
        <v>25</v>
      </c>
      <c r="B33" s="7" t="str">
        <f>Odds_Input!B33</f>
        <v>TITLE</v>
      </c>
      <c r="C33" s="7" t="str">
        <f>Odds_Input!C33</f>
        <v>Sacramento Kings</v>
      </c>
      <c r="D33" s="7" t="str">
        <f>Odds_Input!D33</f>
        <v>YES</v>
      </c>
      <c r="E33" s="31" t="str">
        <f>Odds_Input!E33</f>
        <v>-</v>
      </c>
      <c r="F33" s="32">
        <f>Odds_Input!F33</f>
        <v>25000</v>
      </c>
      <c r="G33" s="6" t="str">
        <f t="shared" si="0"/>
        <v>TITLE</v>
      </c>
      <c r="H33" s="14">
        <f t="shared" si="1"/>
        <v>251</v>
      </c>
      <c r="I33" s="33">
        <f t="shared" si="2"/>
        <v>3.9840637450199202E-3</v>
      </c>
      <c r="J33" s="17">
        <f t="shared" si="3"/>
        <v>1</v>
      </c>
      <c r="K33" s="17">
        <f t="shared" si="4"/>
        <v>30</v>
      </c>
      <c r="L33" s="18">
        <f t="shared" si="5"/>
        <v>1.252565192422864</v>
      </c>
      <c r="M33" s="34">
        <f t="shared" si="6"/>
        <v>0.25256519242286402</v>
      </c>
      <c r="N33" s="33">
        <f t="shared" si="7"/>
        <v>3.1807236614275216E-3</v>
      </c>
      <c r="O33" s="33">
        <f t="shared" si="8"/>
        <v>2.3027238623231816E-3</v>
      </c>
      <c r="P33" s="33">
        <f t="shared" si="9"/>
        <v>1.0482741504970515E-3</v>
      </c>
      <c r="Q33" s="33">
        <f t="shared" si="10"/>
        <v>1.0482741504970515E-3</v>
      </c>
      <c r="R33" s="35">
        <f t="shared" si="11"/>
        <v>1.0992153287166726</v>
      </c>
      <c r="S33" s="35">
        <f t="shared" si="12"/>
        <v>1.1051948455485863E-2</v>
      </c>
      <c r="X33" s="6" t="s">
        <v>808</v>
      </c>
      <c r="Y33" s="6">
        <f t="shared" si="13"/>
        <v>1</v>
      </c>
      <c r="Z33" s="18">
        <f t="shared" si="14"/>
        <v>1.0454545454545454</v>
      </c>
      <c r="AA33" s="10">
        <v>0.2</v>
      </c>
      <c r="AB33" s="10">
        <v>10</v>
      </c>
      <c r="AC33" s="35">
        <f t="shared" si="15"/>
        <v>5.0999999999999996</v>
      </c>
      <c r="AD33" s="35">
        <f t="shared" si="16"/>
        <v>-0.92539954235841471</v>
      </c>
      <c r="AE33" s="35">
        <f t="shared" si="17"/>
        <v>0.2</v>
      </c>
      <c r="AF33" s="35">
        <f t="shared" si="18"/>
        <v>5.0999999999999996</v>
      </c>
      <c r="AG33" s="35">
        <f t="shared" si="19"/>
        <v>2.65</v>
      </c>
      <c r="AH33" s="35">
        <f t="shared" si="20"/>
        <v>-0.64004330393040465</v>
      </c>
      <c r="AI33" s="35">
        <f t="shared" si="21"/>
        <v>0.2</v>
      </c>
      <c r="AJ33" s="35">
        <f t="shared" si="22"/>
        <v>2.65</v>
      </c>
      <c r="AK33" s="35">
        <f t="shared" si="23"/>
        <v>1.425</v>
      </c>
      <c r="AL33" s="35">
        <f t="shared" si="24"/>
        <v>-0.20599970626899999</v>
      </c>
      <c r="AM33" s="35">
        <f t="shared" si="25"/>
        <v>0.2</v>
      </c>
      <c r="AN33" s="35">
        <f t="shared" si="26"/>
        <v>1.425</v>
      </c>
      <c r="AO33" s="35">
        <f t="shared" si="27"/>
        <v>0.8125</v>
      </c>
      <c r="AP33" s="35">
        <f t="shared" si="28"/>
        <v>0.18050001693930851</v>
      </c>
      <c r="AQ33" s="35">
        <f t="shared" si="29"/>
        <v>0.8125</v>
      </c>
      <c r="AR33" s="35">
        <f t="shared" si="30"/>
        <v>1.425</v>
      </c>
      <c r="AS33" s="35">
        <f t="shared" si="31"/>
        <v>1.1187499999999999</v>
      </c>
      <c r="AT33" s="35">
        <f t="shared" si="32"/>
        <v>-3.1934205800687954E-2</v>
      </c>
      <c r="AU33" s="35">
        <f t="shared" si="33"/>
        <v>0.8125</v>
      </c>
      <c r="AV33" s="35">
        <f t="shared" si="34"/>
        <v>1.1187499999999999</v>
      </c>
      <c r="AW33" s="35">
        <f t="shared" si="35"/>
        <v>0.96562499999999996</v>
      </c>
      <c r="AX33" s="35">
        <f t="shared" si="36"/>
        <v>6.8995350859696325E-2</v>
      </c>
      <c r="AY33" s="35">
        <f t="shared" si="37"/>
        <v>0.96562499999999996</v>
      </c>
      <c r="AZ33" s="35">
        <f t="shared" si="38"/>
        <v>1.1187499999999999</v>
      </c>
      <c r="BA33" s="35">
        <f t="shared" si="39"/>
        <v>1.0421874999999998</v>
      </c>
      <c r="BB33" s="35">
        <f t="shared" si="40"/>
        <v>1.7273992252547554E-2</v>
      </c>
      <c r="BC33" s="35">
        <f t="shared" si="41"/>
        <v>1.0421874999999998</v>
      </c>
      <c r="BD33" s="35">
        <f t="shared" si="42"/>
        <v>1.1187499999999999</v>
      </c>
      <c r="BE33" s="35">
        <f t="shared" si="43"/>
        <v>1.0804687499999999</v>
      </c>
      <c r="BF33" s="35">
        <f t="shared" si="44"/>
        <v>-7.6364427676745006E-3</v>
      </c>
      <c r="BG33" s="35">
        <f t="shared" si="45"/>
        <v>1.0421874999999998</v>
      </c>
      <c r="BH33" s="35">
        <f t="shared" si="46"/>
        <v>1.0804687499999999</v>
      </c>
      <c r="BI33" s="35">
        <f t="shared" si="47"/>
        <v>1.0613281249999997</v>
      </c>
      <c r="BJ33" s="35">
        <f t="shared" si="48"/>
        <v>4.7412299184854678E-3</v>
      </c>
      <c r="BK33" s="35">
        <f t="shared" si="49"/>
        <v>1.0613281249999997</v>
      </c>
      <c r="BL33" s="35">
        <f t="shared" si="50"/>
        <v>1.0804687499999999</v>
      </c>
      <c r="BM33" s="35">
        <f t="shared" si="51"/>
        <v>1.0708984374999999</v>
      </c>
      <c r="BN33" s="35">
        <f t="shared" si="52"/>
        <v>-1.4668715838355162E-3</v>
      </c>
      <c r="BO33" s="35">
        <f t="shared" si="53"/>
        <v>1.0613281249999997</v>
      </c>
      <c r="BP33" s="35">
        <f t="shared" si="54"/>
        <v>1.0708984374999999</v>
      </c>
      <c r="BQ33" s="35">
        <f t="shared" si="55"/>
        <v>1.0661132812499998</v>
      </c>
      <c r="BR33" s="35">
        <f t="shared" si="56"/>
        <v>1.6323478060529251E-3</v>
      </c>
      <c r="BS33" s="35">
        <f t="shared" si="57"/>
        <v>1.0661132812499998</v>
      </c>
      <c r="BT33" s="35">
        <f t="shared" si="58"/>
        <v>1.0708984374999999</v>
      </c>
      <c r="BU33" s="35">
        <f t="shared" si="59"/>
        <v>1.0685058593749999</v>
      </c>
      <c r="BV33" s="35">
        <f t="shared" si="60"/>
        <v>8.1532158421993017E-5</v>
      </c>
      <c r="BW33" s="35">
        <f t="shared" si="61"/>
        <v>1.0685058593749999</v>
      </c>
      <c r="BX33" s="35">
        <f t="shared" si="62"/>
        <v>1.0708984374999999</v>
      </c>
      <c r="BY33" s="35">
        <f t="shared" si="63"/>
        <v>1.0697021484375</v>
      </c>
      <c r="BZ33" s="35">
        <f t="shared" si="64"/>
        <v>-6.9297096524878476E-4</v>
      </c>
      <c r="CA33" s="35">
        <f t="shared" si="65"/>
        <v>1.0685058593749999</v>
      </c>
      <c r="CB33" s="35">
        <f t="shared" si="66"/>
        <v>1.0697021484375</v>
      </c>
      <c r="CC33" s="35">
        <f t="shared" si="67"/>
        <v>1.0691040039062498</v>
      </c>
      <c r="CD33" s="35">
        <f t="shared" si="68"/>
        <v>-3.057947459881305E-4</v>
      </c>
      <c r="CE33" s="35">
        <f t="shared" si="69"/>
        <v>1.0685058593749999</v>
      </c>
      <c r="CF33" s="35">
        <f t="shared" si="70"/>
        <v>1.0691040039062498</v>
      </c>
      <c r="CG33" s="35">
        <f t="shared" si="71"/>
        <v>1.0688049316406247</v>
      </c>
      <c r="CH33" s="35">
        <f t="shared" si="72"/>
        <v>-1.1215013310783561E-4</v>
      </c>
      <c r="CI33" s="35">
        <f t="shared" si="73"/>
        <v>1.0685058593749999</v>
      </c>
      <c r="CJ33" s="35">
        <f t="shared" si="74"/>
        <v>1.0688049316406247</v>
      </c>
      <c r="CK33" s="35">
        <f t="shared" si="75"/>
        <v>1.0686553955078124</v>
      </c>
      <c r="CL33" s="35">
        <f t="shared" si="76"/>
        <v>-1.5313697634411483E-5</v>
      </c>
      <c r="CM33" s="35">
        <f t="shared" si="77"/>
        <v>1.0685058593749999</v>
      </c>
      <c r="CN33" s="35">
        <f t="shared" si="78"/>
        <v>1.0686553955078124</v>
      </c>
      <c r="CO33" s="35">
        <f t="shared" si="79"/>
        <v>1.0685806274414063</v>
      </c>
      <c r="CP33" s="35">
        <f t="shared" si="80"/>
        <v>3.3108052763353157E-5</v>
      </c>
      <c r="CQ33" s="35">
        <f t="shared" si="81"/>
        <v>1.0685806274414063</v>
      </c>
      <c r="CR33" s="35">
        <f t="shared" si="82"/>
        <v>1.0686553955078124</v>
      </c>
      <c r="CS33" s="35">
        <f t="shared" si="83"/>
        <v>1.0686180114746093</v>
      </c>
      <c r="CT33" s="35">
        <f t="shared" si="84"/>
        <v>8.8968831639668622E-6</v>
      </c>
      <c r="CU33" s="35">
        <f t="shared" si="85"/>
        <v>1.0686180114746093</v>
      </c>
      <c r="CV33" s="35">
        <f t="shared" si="86"/>
        <v>1.0686553955078124</v>
      </c>
      <c r="CW33" s="35">
        <f t="shared" si="87"/>
        <v>1.0686367034912108</v>
      </c>
      <c r="CX33" s="35">
        <f t="shared" si="88"/>
        <v>-3.2084808343491034E-6</v>
      </c>
      <c r="CY33" s="35">
        <f t="shared" si="89"/>
        <v>1.0686180114746093</v>
      </c>
      <c r="CZ33" s="35">
        <f t="shared" si="90"/>
        <v>1.0686367034912108</v>
      </c>
      <c r="DA33" s="35">
        <f t="shared" si="91"/>
        <v>1.0686273574829102</v>
      </c>
      <c r="DB33" s="35">
        <f t="shared" si="92"/>
        <v>2.8441827648606477E-6</v>
      </c>
      <c r="DC33" s="35">
        <f t="shared" si="93"/>
        <v>1.0686273574829102</v>
      </c>
      <c r="DD33" s="35">
        <f t="shared" si="94"/>
        <v>1.0686367034912108</v>
      </c>
      <c r="DE33" s="35">
        <f t="shared" si="95"/>
        <v>1.0686320304870605</v>
      </c>
      <c r="DF33" s="35">
        <f t="shared" si="96"/>
        <v>-1.8215363484230807E-7</v>
      </c>
      <c r="DG33" s="35">
        <f t="shared" si="97"/>
        <v>1.0686273574829102</v>
      </c>
      <c r="DH33" s="35">
        <f t="shared" si="98"/>
        <v>1.0686320304870605</v>
      </c>
      <c r="DI33" s="35">
        <f t="shared" si="99"/>
        <v>1.0686296939849853</v>
      </c>
      <c r="DJ33" s="35">
        <f t="shared" si="100"/>
        <v>1.3310134150401609E-6</v>
      </c>
      <c r="DK33" s="35">
        <f t="shared" si="101"/>
        <v>1.0686296939849853</v>
      </c>
      <c r="DL33" s="35">
        <f t="shared" si="102"/>
        <v>1.0686320304870605</v>
      </c>
      <c r="DM33" s="35">
        <f t="shared" si="103"/>
        <v>1.0686308622360228</v>
      </c>
      <c r="DN33" s="35">
        <f t="shared" si="104"/>
        <v>5.7442960277320765E-7</v>
      </c>
      <c r="DO33" s="35">
        <f t="shared" si="105"/>
        <v>1.0686308622360228</v>
      </c>
      <c r="DP33" s="35">
        <f t="shared" si="106"/>
        <v>1.0686320304870605</v>
      </c>
      <c r="DQ33" s="35">
        <f t="shared" si="107"/>
        <v>1.0686314463615416</v>
      </c>
      <c r="DR33" s="35">
        <f t="shared" si="108"/>
        <v>1.961379121340201E-7</v>
      </c>
      <c r="DS33" s="35">
        <f t="shared" si="109"/>
        <v>1.0686314463615416</v>
      </c>
      <c r="DT33" s="35">
        <f t="shared" si="110"/>
        <v>1.0686320304870605</v>
      </c>
      <c r="DU33" s="35">
        <f t="shared" si="111"/>
        <v>1.0686317384243011</v>
      </c>
      <c r="DV33" s="35">
        <f t="shared" si="112"/>
        <v>6.9921206602430175E-9</v>
      </c>
      <c r="DW33" s="35">
        <f t="shared" si="113"/>
        <v>1.0686317384243011</v>
      </c>
      <c r="DX33" s="35">
        <f t="shared" si="114"/>
        <v>1.0686320304870605</v>
      </c>
      <c r="DY33" s="35">
        <f t="shared" si="115"/>
        <v>1.0686318844556808</v>
      </c>
      <c r="DZ33" s="35">
        <f t="shared" si="116"/>
        <v>-8.7580761531924622E-8</v>
      </c>
      <c r="EA33" s="35">
        <f t="shared" si="117"/>
        <v>1.0686317384243011</v>
      </c>
      <c r="EB33" s="35">
        <f t="shared" si="118"/>
        <v>1.0686318844556808</v>
      </c>
      <c r="EC33" s="35">
        <f t="shared" si="119"/>
        <v>1.0686318114399911</v>
      </c>
      <c r="ED33" s="35">
        <f t="shared" si="120"/>
        <v>-4.029432165708613E-8</v>
      </c>
      <c r="EE33" s="35">
        <f t="shared" si="121"/>
        <v>1.0686317384243011</v>
      </c>
      <c r="EF33" s="35">
        <f t="shared" si="122"/>
        <v>1.0686318114399911</v>
      </c>
      <c r="EG33" s="35">
        <f t="shared" si="123"/>
        <v>1.0686317749321461</v>
      </c>
      <c r="EH33" s="35">
        <f t="shared" si="124"/>
        <v>-1.6651100720466161E-8</v>
      </c>
      <c r="EI33" s="35">
        <f t="shared" si="125"/>
        <v>1.0686317384243011</v>
      </c>
      <c r="EJ33" s="35">
        <f t="shared" si="126"/>
        <v>1.0686317749321461</v>
      </c>
      <c r="EK33" s="35">
        <f t="shared" si="127"/>
        <v>1.0686317566782235</v>
      </c>
      <c r="EL33" s="35">
        <f t="shared" si="128"/>
        <v>-4.8294900301115717E-9</v>
      </c>
      <c r="EM33" s="35">
        <f t="shared" si="129"/>
        <v>1.0686317384243011</v>
      </c>
      <c r="EN33" s="35">
        <f t="shared" si="130"/>
        <v>1.0686317566782235</v>
      </c>
      <c r="EO33" s="35">
        <f t="shared" si="131"/>
        <v>1.0686317475512623</v>
      </c>
      <c r="EP33" s="35">
        <f t="shared" si="132"/>
        <v>1.0813152595545716E-9</v>
      </c>
      <c r="EQ33" s="35">
        <f t="shared" si="133"/>
        <v>1.0686317475512623</v>
      </c>
      <c r="ER33" s="35">
        <f t="shared" si="134"/>
        <v>1.0686317566782235</v>
      </c>
      <c r="ES33" s="35">
        <f t="shared" si="135"/>
        <v>1.0686317521147428</v>
      </c>
      <c r="ET33" s="35">
        <f t="shared" si="136"/>
        <v>-1.8740873297673488E-9</v>
      </c>
      <c r="EU33" s="35">
        <f t="shared" si="137"/>
        <v>1.0686317475512623</v>
      </c>
      <c r="EV33" s="35">
        <f t="shared" si="138"/>
        <v>1.0686317521147428</v>
      </c>
      <c r="EW33" s="35">
        <f t="shared" si="139"/>
        <v>1.0686317498330027</v>
      </c>
      <c r="EX33" s="35">
        <f t="shared" si="140"/>
        <v>-3.9638603510638859E-10</v>
      </c>
      <c r="EY33" s="35">
        <f t="shared" si="141"/>
        <v>1.0686317475512623</v>
      </c>
      <c r="EZ33" s="35">
        <f t="shared" si="142"/>
        <v>1.0686317498330027</v>
      </c>
      <c r="FA33" s="10">
        <v>9.9999999999999995E-7</v>
      </c>
      <c r="FB33" s="10">
        <v>0.99990000000000001</v>
      </c>
      <c r="FC33" s="35">
        <f t="shared" si="143"/>
        <v>0.49995050000000002</v>
      </c>
      <c r="FD33" s="35">
        <f t="shared" si="144"/>
        <v>-0.24151146190266881</v>
      </c>
      <c r="FE33" s="35">
        <f t="shared" si="145"/>
        <v>9.9999999999999995E-7</v>
      </c>
      <c r="FF33" s="35">
        <f t="shared" si="146"/>
        <v>0.49995050000000002</v>
      </c>
      <c r="FG33" s="35">
        <f t="shared" si="147"/>
        <v>0.24997575</v>
      </c>
      <c r="FH33" s="35">
        <f t="shared" si="148"/>
        <v>-0.10643591268936592</v>
      </c>
      <c r="FI33" s="35">
        <f t="shared" si="149"/>
        <v>9.9999999999999995E-7</v>
      </c>
      <c r="FJ33" s="35">
        <f t="shared" si="150"/>
        <v>0.24997575</v>
      </c>
      <c r="FK33" s="35">
        <f t="shared" si="151"/>
        <v>0.124988375</v>
      </c>
      <c r="FL33" s="35">
        <f t="shared" si="152"/>
        <v>-4.0466733385815967E-2</v>
      </c>
      <c r="FM33" s="35">
        <f t="shared" si="153"/>
        <v>9.9999999999999995E-7</v>
      </c>
      <c r="FN33" s="35">
        <f t="shared" si="154"/>
        <v>0.124988375</v>
      </c>
      <c r="FO33" s="35">
        <f t="shared" si="155"/>
        <v>6.24946875E-2</v>
      </c>
      <c r="FP33" s="35">
        <f t="shared" si="156"/>
        <v>-8.5504120192351207E-3</v>
      </c>
      <c r="FQ33" s="35">
        <f t="shared" si="157"/>
        <v>9.9999999999999995E-7</v>
      </c>
      <c r="FR33" s="35">
        <f t="shared" si="158"/>
        <v>6.24946875E-2</v>
      </c>
      <c r="FS33" s="35">
        <f t="shared" si="159"/>
        <v>3.124784375E-2</v>
      </c>
      <c r="FT33" s="35">
        <f t="shared" si="160"/>
        <v>7.0800242070911956E-3</v>
      </c>
      <c r="FU33" s="35">
        <f t="shared" si="161"/>
        <v>3.124784375E-2</v>
      </c>
      <c r="FV33" s="35">
        <f t="shared" si="162"/>
        <v>6.24946875E-2</v>
      </c>
      <c r="FW33" s="35">
        <f t="shared" si="163"/>
        <v>4.6871265624999998E-2</v>
      </c>
      <c r="FX33" s="35">
        <f t="shared" si="164"/>
        <v>-7.06420005394226E-4</v>
      </c>
      <c r="FY33" s="35">
        <f t="shared" si="165"/>
        <v>3.124784375E-2</v>
      </c>
      <c r="FZ33" s="35">
        <f t="shared" si="166"/>
        <v>4.6871265624999998E-2</v>
      </c>
      <c r="GA33" s="35">
        <f t="shared" si="167"/>
        <v>3.9059554687499998E-2</v>
      </c>
      <c r="GB33" s="35">
        <f t="shared" si="168"/>
        <v>3.1940946901758416E-3</v>
      </c>
      <c r="GC33" s="35">
        <f t="shared" si="169"/>
        <v>3.9059554687499998E-2</v>
      </c>
      <c r="GD33" s="35">
        <f t="shared" si="170"/>
        <v>4.6871265624999998E-2</v>
      </c>
      <c r="GE33" s="35">
        <f t="shared" si="171"/>
        <v>4.2965410156249995E-2</v>
      </c>
      <c r="GF33" s="35">
        <f t="shared" si="172"/>
        <v>1.2456483981968525E-3</v>
      </c>
      <c r="GG33" s="35">
        <f t="shared" si="173"/>
        <v>4.2965410156249995E-2</v>
      </c>
      <c r="GH33" s="35">
        <f t="shared" si="174"/>
        <v>4.6871265624999998E-2</v>
      </c>
      <c r="GI33" s="35">
        <f t="shared" si="175"/>
        <v>4.4918337890624993E-2</v>
      </c>
      <c r="GJ33" s="35">
        <f t="shared" si="176"/>
        <v>2.7006542296659219E-4</v>
      </c>
      <c r="GK33" s="35">
        <f t="shared" si="177"/>
        <v>4.4918337890624993E-2</v>
      </c>
      <c r="GL33" s="35">
        <f t="shared" si="178"/>
        <v>4.6871265624999998E-2</v>
      </c>
      <c r="GM33" s="35">
        <f t="shared" si="179"/>
        <v>4.5894801757812492E-2</v>
      </c>
      <c r="GN33" s="35">
        <f t="shared" si="180"/>
        <v>-2.1806467837326426E-4</v>
      </c>
      <c r="GO33" s="35">
        <f t="shared" si="181"/>
        <v>4.4918337890624993E-2</v>
      </c>
      <c r="GP33" s="35">
        <f t="shared" si="182"/>
        <v>4.5894801757812492E-2</v>
      </c>
      <c r="GQ33" s="35">
        <f t="shared" si="183"/>
        <v>4.5406569824218743E-2</v>
      </c>
      <c r="GR33" s="35">
        <f t="shared" si="184"/>
        <v>2.6028549804602008E-5</v>
      </c>
      <c r="GS33" s="35">
        <f t="shared" si="185"/>
        <v>4.5406569824218743E-2</v>
      </c>
      <c r="GT33" s="35">
        <f t="shared" si="186"/>
        <v>4.5894801757812492E-2</v>
      </c>
      <c r="GU33" s="35">
        <f t="shared" si="187"/>
        <v>4.5650685791015617E-2</v>
      </c>
      <c r="GV33" s="35">
        <f t="shared" si="188"/>
        <v>-9.6011022939879176E-5</v>
      </c>
      <c r="GW33" s="35">
        <f t="shared" si="189"/>
        <v>4.5406569824218743E-2</v>
      </c>
      <c r="GX33" s="35">
        <f t="shared" si="190"/>
        <v>4.5650685791015617E-2</v>
      </c>
      <c r="GY33" s="35">
        <f t="shared" si="191"/>
        <v>4.5528627807617184E-2</v>
      </c>
      <c r="GZ33" s="35">
        <f t="shared" si="192"/>
        <v>-3.4989475852231777E-5</v>
      </c>
      <c r="HA33" s="35">
        <f t="shared" si="193"/>
        <v>4.5406569824218743E-2</v>
      </c>
      <c r="HB33" s="35">
        <f t="shared" si="194"/>
        <v>4.5528627807617184E-2</v>
      </c>
      <c r="HC33" s="35">
        <f t="shared" si="195"/>
        <v>4.5467598815917963E-2</v>
      </c>
      <c r="HD33" s="35">
        <f t="shared" si="196"/>
        <v>-4.4800227976260487E-6</v>
      </c>
      <c r="HE33" s="35">
        <f t="shared" si="197"/>
        <v>4.5406569824218743E-2</v>
      </c>
      <c r="HF33" s="35">
        <f t="shared" si="198"/>
        <v>4.5467598815917963E-2</v>
      </c>
      <c r="HG33" s="35">
        <f t="shared" si="199"/>
        <v>4.5437084320068349E-2</v>
      </c>
      <c r="HH33" s="35">
        <f t="shared" si="200"/>
        <v>1.0774373566224682E-5</v>
      </c>
      <c r="HI33" s="35">
        <f t="shared" si="201"/>
        <v>4.5437084320068349E-2</v>
      </c>
      <c r="HJ33" s="35">
        <f t="shared" si="202"/>
        <v>4.5467598815917963E-2</v>
      </c>
      <c r="HK33" s="35">
        <f t="shared" si="203"/>
        <v>4.545234156799316E-2</v>
      </c>
      <c r="HL33" s="35">
        <f t="shared" si="204"/>
        <v>3.1472028991785805E-6</v>
      </c>
      <c r="HM33" s="35">
        <f t="shared" si="205"/>
        <v>4.545234156799316E-2</v>
      </c>
      <c r="HN33" s="35">
        <f t="shared" si="206"/>
        <v>4.5467598815917963E-2</v>
      </c>
      <c r="HO33" s="35">
        <f t="shared" si="207"/>
        <v>4.5459970191955565E-2</v>
      </c>
      <c r="HP33" s="35">
        <f t="shared" si="208"/>
        <v>-6.6640307061494042E-7</v>
      </c>
      <c r="HQ33" s="35">
        <f t="shared" si="209"/>
        <v>4.545234156799316E-2</v>
      </c>
      <c r="HR33" s="35">
        <f t="shared" si="210"/>
        <v>4.5459970191955565E-2</v>
      </c>
      <c r="HS33" s="35">
        <f t="shared" si="211"/>
        <v>4.5456155879974362E-2</v>
      </c>
      <c r="HT33" s="35">
        <f t="shared" si="212"/>
        <v>1.2404016338507518E-6</v>
      </c>
      <c r="HU33" s="35">
        <f t="shared" si="213"/>
        <v>4.5456155879974362E-2</v>
      </c>
      <c r="HV33" s="35">
        <f t="shared" si="214"/>
        <v>4.5459970191955565E-2</v>
      </c>
      <c r="HW33" s="35">
        <f t="shared" si="215"/>
        <v>4.545806303596496E-2</v>
      </c>
      <c r="HX33" s="35">
        <f t="shared" si="216"/>
        <v>2.8699971155177195E-7</v>
      </c>
      <c r="HY33" s="35">
        <f t="shared" si="217"/>
        <v>4.545806303596496E-2</v>
      </c>
      <c r="HZ33" s="35">
        <f t="shared" si="218"/>
        <v>4.5459970191955565E-2</v>
      </c>
      <c r="IA33" s="35">
        <f t="shared" si="219"/>
        <v>4.5459016613960262E-2</v>
      </c>
      <c r="IB33" s="35">
        <f t="shared" si="220"/>
        <v>-1.897015720064843E-7</v>
      </c>
      <c r="IC33" s="35">
        <f t="shared" si="221"/>
        <v>4.545806303596496E-2</v>
      </c>
      <c r="ID33" s="35">
        <f t="shared" si="222"/>
        <v>4.5459016613960262E-2</v>
      </c>
      <c r="IE33" s="35">
        <f t="shared" si="223"/>
        <v>4.5458539824962611E-2</v>
      </c>
      <c r="IF33" s="35">
        <f t="shared" si="224"/>
        <v>4.8649096751063325E-8</v>
      </c>
      <c r="IG33" s="35">
        <f t="shared" si="225"/>
        <v>4.5458539824962611E-2</v>
      </c>
      <c r="IH33" s="35">
        <f t="shared" si="226"/>
        <v>4.5459016613960262E-2</v>
      </c>
      <c r="II33" s="35">
        <f t="shared" si="227"/>
        <v>4.545877821946144E-2</v>
      </c>
      <c r="IJ33" s="35">
        <f t="shared" si="228"/>
        <v>-7.0526230966372339E-8</v>
      </c>
      <c r="IK33" s="35">
        <f t="shared" si="229"/>
        <v>4.5458539824962611E-2</v>
      </c>
      <c r="IL33" s="35">
        <f t="shared" si="230"/>
        <v>4.545877821946144E-2</v>
      </c>
      <c r="IM33" s="35">
        <f t="shared" si="231"/>
        <v>4.5458659022212022E-2</v>
      </c>
      <c r="IN33" s="35">
        <f t="shared" si="232"/>
        <v>-1.0938565608853423E-8</v>
      </c>
      <c r="IO33" s="35">
        <f t="shared" si="233"/>
        <v>4.5458539824962611E-2</v>
      </c>
      <c r="IP33" s="35">
        <f t="shared" si="234"/>
        <v>4.5458659022212022E-2</v>
      </c>
      <c r="IQ33" s="35">
        <f t="shared" si="235"/>
        <v>4.545859942358732E-2</v>
      </c>
      <c r="IR33" s="35">
        <f t="shared" si="236"/>
        <v>1.8855266015194161E-8</v>
      </c>
      <c r="IS33" s="35">
        <f t="shared" si="237"/>
        <v>4.545859942358732E-2</v>
      </c>
      <c r="IT33" s="35">
        <f t="shared" si="238"/>
        <v>4.5458659022212022E-2</v>
      </c>
      <c r="IU33" s="35">
        <f t="shared" si="239"/>
        <v>4.5458629222899671E-2</v>
      </c>
      <c r="IV33" s="35">
        <f t="shared" si="240"/>
        <v>3.9583503141926712E-9</v>
      </c>
      <c r="IW33" s="35">
        <f t="shared" si="241"/>
        <v>4.5458629222899671E-2</v>
      </c>
      <c r="IX33" s="35">
        <f t="shared" si="242"/>
        <v>4.5458659022212022E-2</v>
      </c>
      <c r="IY33" s="35">
        <f t="shared" si="243"/>
        <v>4.5458644122555847E-2</v>
      </c>
      <c r="IZ33" s="35">
        <f t="shared" si="244"/>
        <v>-3.4901075363080736E-9</v>
      </c>
      <c r="JA33" s="35">
        <f t="shared" si="245"/>
        <v>4.5458629222899671E-2</v>
      </c>
      <c r="JB33" s="35">
        <f t="shared" si="246"/>
        <v>4.5458644122555847E-2</v>
      </c>
      <c r="JC33" s="35">
        <f t="shared" si="247"/>
        <v>4.5458636672727759E-2</v>
      </c>
      <c r="JD33" s="35">
        <f t="shared" si="248"/>
        <v>2.3412138894229884E-10</v>
      </c>
      <c r="JE33" s="35">
        <f t="shared" si="249"/>
        <v>4.5458636672727759E-2</v>
      </c>
      <c r="JF33" s="35">
        <f t="shared" si="250"/>
        <v>4.5458644122555847E-2</v>
      </c>
      <c r="JG33" s="35">
        <f t="shared" si="251"/>
        <v>4.5458640397641803E-2</v>
      </c>
      <c r="JH33" s="35">
        <f t="shared" si="252"/>
        <v>-1.6279930736828874E-9</v>
      </c>
      <c r="JI33" s="35">
        <f t="shared" si="253"/>
        <v>4.5458636672727759E-2</v>
      </c>
      <c r="JJ33" s="35">
        <f t="shared" si="254"/>
        <v>4.5458640397641803E-2</v>
      </c>
      <c r="JK33" s="35">
        <f t="shared" si="255"/>
        <v>4.5458638535184781E-2</v>
      </c>
      <c r="JL33" s="35">
        <f t="shared" si="256"/>
        <v>-6.9693584237029427E-10</v>
      </c>
      <c r="JM33" s="35">
        <f t="shared" si="257"/>
        <v>4.5458636672727759E-2</v>
      </c>
      <c r="JN33" s="35">
        <f t="shared" si="258"/>
        <v>4.5458638535184781E-2</v>
      </c>
      <c r="JO33" s="35">
        <f t="shared" si="259"/>
        <v>4.545863760395627E-2</v>
      </c>
      <c r="JP33" s="35">
        <f t="shared" si="260"/>
        <v>-2.3140722671399772E-10</v>
      </c>
      <c r="JQ33" s="35">
        <f t="shared" si="261"/>
        <v>4.5458636672727759E-2</v>
      </c>
      <c r="JR33" s="35">
        <f t="shared" si="262"/>
        <v>4.545863760395627E-2</v>
      </c>
      <c r="JS33" s="35">
        <f t="shared" si="263"/>
        <v>4.5458637138342015E-2</v>
      </c>
      <c r="JT33" s="35">
        <f t="shared" si="264"/>
        <v>1.3571366253017914E-12</v>
      </c>
      <c r="JU33" s="35">
        <f t="shared" si="265"/>
        <v>4.5458637138342015E-2</v>
      </c>
      <c r="JV33" s="35">
        <f t="shared" si="266"/>
        <v>4.545863760395627E-2</v>
      </c>
      <c r="JW33" s="35">
        <f t="shared" si="267"/>
        <v>4.5458637371149142E-2</v>
      </c>
      <c r="JX33" s="35">
        <f t="shared" si="268"/>
        <v>-1.1502510055549919E-10</v>
      </c>
      <c r="JY33" s="35">
        <f t="shared" si="269"/>
        <v>4.5458637138342015E-2</v>
      </c>
      <c r="JZ33" s="35">
        <f t="shared" si="270"/>
        <v>4.5458637371149142E-2</v>
      </c>
      <c r="KA33" s="35">
        <f t="shared" si="271"/>
        <v>1.0686317486921326</v>
      </c>
      <c r="KB33" s="35">
        <f t="shared" si="272"/>
        <v>4.5458637254745582E-2</v>
      </c>
    </row>
    <row r="34" spans="1:288" ht="15" customHeight="1" x14ac:dyDescent="0.3">
      <c r="A34" s="30">
        <f>Odds_Input!A34</f>
        <v>26</v>
      </c>
      <c r="B34" s="7" t="str">
        <f>Odds_Input!B34</f>
        <v>TITLE</v>
      </c>
      <c r="C34" s="7" t="str">
        <f>Odds_Input!C34</f>
        <v>San Antonio Spurs</v>
      </c>
      <c r="D34" s="7" t="str">
        <f>Odds_Input!D34</f>
        <v>YES</v>
      </c>
      <c r="E34" s="31" t="str">
        <f>Odds_Input!E34</f>
        <v>-</v>
      </c>
      <c r="F34" s="32">
        <f>Odds_Input!F34</f>
        <v>250</v>
      </c>
      <c r="G34" s="6" t="str">
        <f t="shared" si="0"/>
        <v>TITLE</v>
      </c>
      <c r="H34" s="14">
        <f t="shared" si="1"/>
        <v>3.5</v>
      </c>
      <c r="I34" s="33">
        <f t="shared" si="2"/>
        <v>0.2857142857142857</v>
      </c>
      <c r="J34" s="17">
        <f t="shared" si="3"/>
        <v>1</v>
      </c>
      <c r="K34" s="17">
        <f t="shared" si="4"/>
        <v>30</v>
      </c>
      <c r="L34" s="18">
        <f t="shared" si="5"/>
        <v>1.252565192422864</v>
      </c>
      <c r="M34" s="34">
        <f t="shared" si="6"/>
        <v>0.25256519242286402</v>
      </c>
      <c r="N34" s="33">
        <f t="shared" si="7"/>
        <v>0.22810332543380227</v>
      </c>
      <c r="O34" s="33">
        <f t="shared" si="8"/>
        <v>0.25232022646958918</v>
      </c>
      <c r="P34" s="33">
        <f t="shared" si="9"/>
        <v>0.25118441200397795</v>
      </c>
      <c r="Q34" s="33">
        <f t="shared" si="10"/>
        <v>0.25118441200397795</v>
      </c>
      <c r="R34" s="35">
        <f t="shared" si="11"/>
        <v>1.0992153287166726</v>
      </c>
      <c r="S34" s="35">
        <f t="shared" si="12"/>
        <v>1.1051948455485863E-2</v>
      </c>
      <c r="X34" s="6" t="s">
        <v>809</v>
      </c>
      <c r="Y34" s="6">
        <f t="shared" si="13"/>
        <v>1</v>
      </c>
      <c r="Z34" s="18">
        <f t="shared" si="14"/>
        <v>1.036281179138322</v>
      </c>
      <c r="AA34" s="10">
        <v>0.2</v>
      </c>
      <c r="AB34" s="10">
        <v>10</v>
      </c>
      <c r="AC34" s="35">
        <f t="shared" si="15"/>
        <v>5.0999999999999996</v>
      </c>
      <c r="AD34" s="35">
        <f t="shared" si="16"/>
        <v>-0.91510756284487649</v>
      </c>
      <c r="AE34" s="35">
        <f t="shared" si="17"/>
        <v>0.2</v>
      </c>
      <c r="AF34" s="35">
        <f t="shared" si="18"/>
        <v>5.0999999999999996</v>
      </c>
      <c r="AG34" s="35">
        <f t="shared" si="19"/>
        <v>2.65</v>
      </c>
      <c r="AH34" s="35">
        <f t="shared" si="20"/>
        <v>-0.63431739210248272</v>
      </c>
      <c r="AI34" s="35">
        <f t="shared" si="21"/>
        <v>0.2</v>
      </c>
      <c r="AJ34" s="35">
        <f t="shared" si="22"/>
        <v>2.65</v>
      </c>
      <c r="AK34" s="35">
        <f t="shared" si="23"/>
        <v>1.425</v>
      </c>
      <c r="AL34" s="35">
        <f t="shared" si="24"/>
        <v>-0.21154987342198683</v>
      </c>
      <c r="AM34" s="35">
        <f t="shared" si="25"/>
        <v>0.2</v>
      </c>
      <c r="AN34" s="35">
        <f t="shared" si="26"/>
        <v>1.425</v>
      </c>
      <c r="AO34" s="35">
        <f t="shared" si="27"/>
        <v>0.8125</v>
      </c>
      <c r="AP34" s="35">
        <f t="shared" si="28"/>
        <v>0.17043143662265825</v>
      </c>
      <c r="AQ34" s="35">
        <f t="shared" si="29"/>
        <v>0.8125</v>
      </c>
      <c r="AR34" s="35">
        <f t="shared" si="30"/>
        <v>1.425</v>
      </c>
      <c r="AS34" s="35">
        <f t="shared" si="31"/>
        <v>1.1187499999999999</v>
      </c>
      <c r="AT34" s="35">
        <f t="shared" si="32"/>
        <v>-4.0261063539564046E-2</v>
      </c>
      <c r="AU34" s="35">
        <f t="shared" si="33"/>
        <v>0.8125</v>
      </c>
      <c r="AV34" s="35">
        <f t="shared" si="34"/>
        <v>1.1187499999999999</v>
      </c>
      <c r="AW34" s="35">
        <f t="shared" si="35"/>
        <v>0.96562499999999996</v>
      </c>
      <c r="AX34" s="35">
        <f t="shared" si="36"/>
        <v>5.9612598703075337E-2</v>
      </c>
      <c r="AY34" s="35">
        <f t="shared" si="37"/>
        <v>0.96562499999999996</v>
      </c>
      <c r="AZ34" s="35">
        <f t="shared" si="38"/>
        <v>1.1187499999999999</v>
      </c>
      <c r="BA34" s="35">
        <f t="shared" si="39"/>
        <v>1.0421874999999998</v>
      </c>
      <c r="BB34" s="35">
        <f t="shared" si="40"/>
        <v>8.3808379876977313E-3</v>
      </c>
      <c r="BC34" s="35">
        <f t="shared" si="41"/>
        <v>1.0421874999999998</v>
      </c>
      <c r="BD34" s="35">
        <f t="shared" si="42"/>
        <v>1.1187499999999999</v>
      </c>
      <c r="BE34" s="35">
        <f t="shared" si="43"/>
        <v>1.0804687499999999</v>
      </c>
      <c r="BF34" s="35">
        <f t="shared" si="44"/>
        <v>-1.6255137289991506E-2</v>
      </c>
      <c r="BG34" s="35">
        <f t="shared" si="45"/>
        <v>1.0421874999999998</v>
      </c>
      <c r="BH34" s="35">
        <f t="shared" si="46"/>
        <v>1.0804687499999999</v>
      </c>
      <c r="BI34" s="35">
        <f t="shared" si="47"/>
        <v>1.0613281249999997</v>
      </c>
      <c r="BJ34" s="35">
        <f t="shared" si="48"/>
        <v>-4.0169751723604374E-3</v>
      </c>
      <c r="BK34" s="35">
        <f t="shared" si="49"/>
        <v>1.0421874999999998</v>
      </c>
      <c r="BL34" s="35">
        <f t="shared" si="50"/>
        <v>1.0613281249999997</v>
      </c>
      <c r="BM34" s="35">
        <f t="shared" si="51"/>
        <v>1.0517578124999998</v>
      </c>
      <c r="BN34" s="35">
        <f t="shared" si="52"/>
        <v>2.1618397044178561E-3</v>
      </c>
      <c r="BO34" s="35">
        <f t="shared" si="53"/>
        <v>1.0517578124999998</v>
      </c>
      <c r="BP34" s="35">
        <f t="shared" si="54"/>
        <v>1.0613281249999997</v>
      </c>
      <c r="BQ34" s="35">
        <f t="shared" si="55"/>
        <v>1.0565429687499996</v>
      </c>
      <c r="BR34" s="35">
        <f t="shared" si="56"/>
        <v>-9.3257367011212455E-4</v>
      </c>
      <c r="BS34" s="35">
        <f t="shared" si="57"/>
        <v>1.0517578124999998</v>
      </c>
      <c r="BT34" s="35">
        <f t="shared" si="58"/>
        <v>1.0565429687499996</v>
      </c>
      <c r="BU34" s="35">
        <f t="shared" si="59"/>
        <v>1.0541503906249998</v>
      </c>
      <c r="BV34" s="35">
        <f t="shared" si="60"/>
        <v>6.133794140710247E-4</v>
      </c>
      <c r="BW34" s="35">
        <f t="shared" si="61"/>
        <v>1.0541503906249998</v>
      </c>
      <c r="BX34" s="35">
        <f t="shared" si="62"/>
        <v>1.0565429687499996</v>
      </c>
      <c r="BY34" s="35">
        <f t="shared" si="63"/>
        <v>1.0553466796874997</v>
      </c>
      <c r="BZ34" s="35">
        <f t="shared" si="64"/>
        <v>-1.5991026361938943E-4</v>
      </c>
      <c r="CA34" s="35">
        <f t="shared" si="65"/>
        <v>1.0541503906249998</v>
      </c>
      <c r="CB34" s="35">
        <f t="shared" si="66"/>
        <v>1.0553466796874997</v>
      </c>
      <c r="CC34" s="35">
        <f t="shared" si="67"/>
        <v>1.0547485351562498</v>
      </c>
      <c r="CD34" s="35">
        <f t="shared" si="68"/>
        <v>2.2665625819784374E-4</v>
      </c>
      <c r="CE34" s="35">
        <f t="shared" si="69"/>
        <v>1.0547485351562498</v>
      </c>
      <c r="CF34" s="35">
        <f t="shared" si="70"/>
        <v>1.0553466796874997</v>
      </c>
      <c r="CG34" s="35">
        <f t="shared" si="71"/>
        <v>1.0550476074218746</v>
      </c>
      <c r="CH34" s="35">
        <f t="shared" si="72"/>
        <v>3.3353422174586811E-5</v>
      </c>
      <c r="CI34" s="35">
        <f t="shared" si="73"/>
        <v>1.0550476074218746</v>
      </c>
      <c r="CJ34" s="35">
        <f t="shared" si="74"/>
        <v>1.0553466796874997</v>
      </c>
      <c r="CK34" s="35">
        <f t="shared" si="75"/>
        <v>1.0551971435546872</v>
      </c>
      <c r="CL34" s="35">
        <f t="shared" si="76"/>
        <v>-6.3283313983530931E-5</v>
      </c>
      <c r="CM34" s="35">
        <f t="shared" si="77"/>
        <v>1.0550476074218746</v>
      </c>
      <c r="CN34" s="35">
        <f t="shared" si="78"/>
        <v>1.0551971435546872</v>
      </c>
      <c r="CO34" s="35">
        <f t="shared" si="79"/>
        <v>1.0551223754882808</v>
      </c>
      <c r="CP34" s="35">
        <f t="shared" si="80"/>
        <v>-1.4966169284313935E-5</v>
      </c>
      <c r="CQ34" s="35">
        <f t="shared" si="81"/>
        <v>1.0550476074218746</v>
      </c>
      <c r="CR34" s="35">
        <f t="shared" si="82"/>
        <v>1.0551223754882808</v>
      </c>
      <c r="CS34" s="35">
        <f t="shared" si="83"/>
        <v>1.0550849914550777</v>
      </c>
      <c r="CT34" s="35">
        <f t="shared" si="84"/>
        <v>9.1933205921268524E-6</v>
      </c>
      <c r="CU34" s="35">
        <f t="shared" si="85"/>
        <v>1.0550849914550777</v>
      </c>
      <c r="CV34" s="35">
        <f t="shared" si="86"/>
        <v>1.0551223754882808</v>
      </c>
      <c r="CW34" s="35">
        <f t="shared" si="87"/>
        <v>1.0551036834716792</v>
      </c>
      <c r="CX34" s="35">
        <f t="shared" si="88"/>
        <v>-2.8865008083744925E-6</v>
      </c>
      <c r="CY34" s="35">
        <f t="shared" si="89"/>
        <v>1.0550849914550777</v>
      </c>
      <c r="CZ34" s="35">
        <f t="shared" si="90"/>
        <v>1.0551036834716792</v>
      </c>
      <c r="DA34" s="35">
        <f t="shared" si="91"/>
        <v>1.0550943374633786</v>
      </c>
      <c r="DB34" s="35">
        <f t="shared" si="92"/>
        <v>3.1533907760561419E-6</v>
      </c>
      <c r="DC34" s="35">
        <f t="shared" si="93"/>
        <v>1.0550943374633786</v>
      </c>
      <c r="DD34" s="35">
        <f t="shared" si="94"/>
        <v>1.0551036834716792</v>
      </c>
      <c r="DE34" s="35">
        <f t="shared" si="95"/>
        <v>1.0550990104675289</v>
      </c>
      <c r="DF34" s="35">
        <f t="shared" si="96"/>
        <v>1.3344020488581521E-7</v>
      </c>
      <c r="DG34" s="35">
        <f t="shared" si="97"/>
        <v>1.0550990104675289</v>
      </c>
      <c r="DH34" s="35">
        <f t="shared" si="98"/>
        <v>1.0551036834716792</v>
      </c>
      <c r="DI34" s="35">
        <f t="shared" si="99"/>
        <v>1.055101346969604</v>
      </c>
      <c r="DJ34" s="35">
        <f t="shared" si="100"/>
        <v>-1.3765314963443132E-6</v>
      </c>
      <c r="DK34" s="35">
        <f t="shared" si="101"/>
        <v>1.0550990104675289</v>
      </c>
      <c r="DL34" s="35">
        <f t="shared" si="102"/>
        <v>1.055101346969604</v>
      </c>
      <c r="DM34" s="35">
        <f t="shared" si="103"/>
        <v>1.0551001787185665</v>
      </c>
      <c r="DN34" s="35">
        <f t="shared" si="104"/>
        <v>-6.215459444902649E-7</v>
      </c>
      <c r="DO34" s="35">
        <f t="shared" si="105"/>
        <v>1.0550990104675289</v>
      </c>
      <c r="DP34" s="35">
        <f t="shared" si="106"/>
        <v>1.0551001787185665</v>
      </c>
      <c r="DQ34" s="35">
        <f t="shared" si="107"/>
        <v>1.0550995945930477</v>
      </c>
      <c r="DR34" s="35">
        <f t="shared" si="108"/>
        <v>-2.440529445202344E-7</v>
      </c>
      <c r="DS34" s="35">
        <f t="shared" si="109"/>
        <v>1.0550990104675289</v>
      </c>
      <c r="DT34" s="35">
        <f t="shared" si="110"/>
        <v>1.0550995945930477</v>
      </c>
      <c r="DU34" s="35">
        <f t="shared" si="111"/>
        <v>1.0550993025302882</v>
      </c>
      <c r="DV34" s="35">
        <f t="shared" si="112"/>
        <v>-5.5306388357934111E-8</v>
      </c>
      <c r="DW34" s="35">
        <f t="shared" si="113"/>
        <v>1.0550990104675289</v>
      </c>
      <c r="DX34" s="35">
        <f t="shared" si="114"/>
        <v>1.0550993025302882</v>
      </c>
      <c r="DY34" s="35">
        <f t="shared" si="115"/>
        <v>1.0550991564989085</v>
      </c>
      <c r="DZ34" s="35">
        <f t="shared" si="116"/>
        <v>3.9066903489981541E-8</v>
      </c>
      <c r="EA34" s="35">
        <f t="shared" si="117"/>
        <v>1.0550991564989085</v>
      </c>
      <c r="EB34" s="35">
        <f t="shared" si="118"/>
        <v>1.0550993025302882</v>
      </c>
      <c r="EC34" s="35">
        <f t="shared" si="119"/>
        <v>1.0550992295145982</v>
      </c>
      <c r="ED34" s="35">
        <f t="shared" si="120"/>
        <v>-8.1197435441993093E-9</v>
      </c>
      <c r="EE34" s="35">
        <f t="shared" si="121"/>
        <v>1.0550991564989085</v>
      </c>
      <c r="EF34" s="35">
        <f t="shared" si="122"/>
        <v>1.0550992295145982</v>
      </c>
      <c r="EG34" s="35">
        <f t="shared" si="123"/>
        <v>1.0550991930067535</v>
      </c>
      <c r="EH34" s="35">
        <f t="shared" si="124"/>
        <v>1.5473579750846511E-8</v>
      </c>
      <c r="EI34" s="35">
        <f t="shared" si="125"/>
        <v>1.0550991930067535</v>
      </c>
      <c r="EJ34" s="35">
        <f t="shared" si="126"/>
        <v>1.0550992295145982</v>
      </c>
      <c r="EK34" s="35">
        <f t="shared" si="127"/>
        <v>1.0550992112606759</v>
      </c>
      <c r="EL34" s="35">
        <f t="shared" si="128"/>
        <v>3.676917881278996E-9</v>
      </c>
      <c r="EM34" s="35">
        <f t="shared" si="129"/>
        <v>1.0550992112606759</v>
      </c>
      <c r="EN34" s="35">
        <f t="shared" si="130"/>
        <v>1.0550992295145982</v>
      </c>
      <c r="EO34" s="35">
        <f t="shared" si="131"/>
        <v>1.055099220387637</v>
      </c>
      <c r="EP34" s="35">
        <f t="shared" si="132"/>
        <v>-2.2214128314601567E-9</v>
      </c>
      <c r="EQ34" s="35">
        <f t="shared" si="133"/>
        <v>1.0550992112606759</v>
      </c>
      <c r="ER34" s="35">
        <f t="shared" si="134"/>
        <v>1.055099220387637</v>
      </c>
      <c r="ES34" s="35">
        <f t="shared" si="135"/>
        <v>1.0550992158241566</v>
      </c>
      <c r="ET34" s="35">
        <f t="shared" si="136"/>
        <v>7.2775252490941966E-10</v>
      </c>
      <c r="EU34" s="35">
        <f t="shared" si="137"/>
        <v>1.0550992158241566</v>
      </c>
      <c r="EV34" s="35">
        <f t="shared" si="138"/>
        <v>1.055099220387637</v>
      </c>
      <c r="EW34" s="35">
        <f t="shared" si="139"/>
        <v>1.0550992181058967</v>
      </c>
      <c r="EX34" s="35">
        <f t="shared" si="140"/>
        <v>-7.4683004225306604E-10</v>
      </c>
      <c r="EY34" s="35">
        <f t="shared" si="141"/>
        <v>1.0550992158241566</v>
      </c>
      <c r="EZ34" s="35">
        <f t="shared" si="142"/>
        <v>1.0550992181058967</v>
      </c>
      <c r="FA34" s="10">
        <v>9.9999999999999995E-7</v>
      </c>
      <c r="FB34" s="10">
        <v>0.99990000000000001</v>
      </c>
      <c r="FC34" s="35">
        <f t="shared" si="143"/>
        <v>0.49995050000000002</v>
      </c>
      <c r="FD34" s="35">
        <f t="shared" si="144"/>
        <v>-0.24317762971061585</v>
      </c>
      <c r="FE34" s="35">
        <f t="shared" si="145"/>
        <v>9.9999999999999995E-7</v>
      </c>
      <c r="FF34" s="35">
        <f t="shared" si="146"/>
        <v>0.49995050000000002</v>
      </c>
      <c r="FG34" s="35">
        <f t="shared" si="147"/>
        <v>0.24997575</v>
      </c>
      <c r="FH34" s="35">
        <f t="shared" si="148"/>
        <v>-0.11064451306199619</v>
      </c>
      <c r="FI34" s="35">
        <f t="shared" si="149"/>
        <v>9.9999999999999995E-7</v>
      </c>
      <c r="FJ34" s="35">
        <f t="shared" si="150"/>
        <v>0.24997575</v>
      </c>
      <c r="FK34" s="35">
        <f t="shared" si="151"/>
        <v>0.124988375</v>
      </c>
      <c r="FL34" s="35">
        <f t="shared" si="152"/>
        <v>-4.5060877361541185E-2</v>
      </c>
      <c r="FM34" s="35">
        <f t="shared" si="153"/>
        <v>9.9999999999999995E-7</v>
      </c>
      <c r="FN34" s="35">
        <f t="shared" si="154"/>
        <v>0.124988375</v>
      </c>
      <c r="FO34" s="35">
        <f t="shared" si="155"/>
        <v>6.24946875E-2</v>
      </c>
      <c r="FP34" s="35">
        <f t="shared" si="156"/>
        <v>-1.3144920463768917E-2</v>
      </c>
      <c r="FQ34" s="35">
        <f t="shared" si="157"/>
        <v>9.9999999999999995E-7</v>
      </c>
      <c r="FR34" s="35">
        <f t="shared" si="158"/>
        <v>6.24946875E-2</v>
      </c>
      <c r="FS34" s="35">
        <f t="shared" si="159"/>
        <v>3.124784375E-2</v>
      </c>
      <c r="FT34" s="35">
        <f t="shared" si="160"/>
        <v>2.5239770740750345E-3</v>
      </c>
      <c r="FU34" s="35">
        <f t="shared" si="161"/>
        <v>3.124784375E-2</v>
      </c>
      <c r="FV34" s="35">
        <f t="shared" si="162"/>
        <v>6.24946875E-2</v>
      </c>
      <c r="FW34" s="35">
        <f t="shared" si="163"/>
        <v>4.6871265624999998E-2</v>
      </c>
      <c r="FX34" s="35">
        <f t="shared" si="164"/>
        <v>-5.284611429292263E-3</v>
      </c>
      <c r="FY34" s="35">
        <f t="shared" si="165"/>
        <v>3.124784375E-2</v>
      </c>
      <c r="FZ34" s="35">
        <f t="shared" si="166"/>
        <v>4.6871265624999998E-2</v>
      </c>
      <c r="GA34" s="35">
        <f t="shared" si="167"/>
        <v>3.9059554687499998E-2</v>
      </c>
      <c r="GB34" s="35">
        <f t="shared" si="168"/>
        <v>-1.3737298749542104E-3</v>
      </c>
      <c r="GC34" s="35">
        <f t="shared" si="169"/>
        <v>3.124784375E-2</v>
      </c>
      <c r="GD34" s="35">
        <f t="shared" si="170"/>
        <v>3.9059554687499998E-2</v>
      </c>
      <c r="GE34" s="35">
        <f t="shared" si="171"/>
        <v>3.5153699218750001E-2</v>
      </c>
      <c r="GF34" s="35">
        <f t="shared" si="172"/>
        <v>5.7678528388582784E-4</v>
      </c>
      <c r="GG34" s="35">
        <f t="shared" si="173"/>
        <v>3.5153699218750001E-2</v>
      </c>
      <c r="GH34" s="35">
        <f t="shared" si="174"/>
        <v>3.9059554687499998E-2</v>
      </c>
      <c r="GI34" s="35">
        <f t="shared" si="175"/>
        <v>3.7106626953124999E-2</v>
      </c>
      <c r="GJ34" s="35">
        <f t="shared" si="176"/>
        <v>-3.9805871299813944E-4</v>
      </c>
      <c r="GK34" s="35">
        <f t="shared" si="177"/>
        <v>3.5153699218750001E-2</v>
      </c>
      <c r="GL34" s="35">
        <f t="shared" si="178"/>
        <v>3.7106626953124999E-2</v>
      </c>
      <c r="GM34" s="35">
        <f t="shared" si="179"/>
        <v>3.61301630859375E-2</v>
      </c>
      <c r="GN34" s="35">
        <f t="shared" si="180"/>
        <v>8.9466912069902094E-5</v>
      </c>
      <c r="GO34" s="35">
        <f t="shared" si="181"/>
        <v>3.61301630859375E-2</v>
      </c>
      <c r="GP34" s="35">
        <f t="shared" si="182"/>
        <v>3.7106626953124999E-2</v>
      </c>
      <c r="GQ34" s="35">
        <f t="shared" si="183"/>
        <v>3.661839501953125E-2</v>
      </c>
      <c r="GR34" s="35">
        <f t="shared" si="184"/>
        <v>-1.5427002260814948E-4</v>
      </c>
      <c r="GS34" s="35">
        <f t="shared" si="185"/>
        <v>3.61301630859375E-2</v>
      </c>
      <c r="GT34" s="35">
        <f t="shared" si="186"/>
        <v>3.661839501953125E-2</v>
      </c>
      <c r="GU34" s="35">
        <f t="shared" si="187"/>
        <v>3.6374279052734375E-2</v>
      </c>
      <c r="GV34" s="35">
        <f t="shared" si="188"/>
        <v>-3.2395082200431524E-5</v>
      </c>
      <c r="GW34" s="35">
        <f t="shared" si="189"/>
        <v>3.61301630859375E-2</v>
      </c>
      <c r="GX34" s="35">
        <f t="shared" si="190"/>
        <v>3.6374279052734375E-2</v>
      </c>
      <c r="GY34" s="35">
        <f t="shared" si="191"/>
        <v>3.6252221069335941E-2</v>
      </c>
      <c r="GZ34" s="35">
        <f t="shared" si="192"/>
        <v>2.8537533651951108E-5</v>
      </c>
      <c r="HA34" s="35">
        <f t="shared" si="193"/>
        <v>3.6252221069335941E-2</v>
      </c>
      <c r="HB34" s="35">
        <f t="shared" si="194"/>
        <v>3.6374279052734375E-2</v>
      </c>
      <c r="HC34" s="35">
        <f t="shared" si="195"/>
        <v>3.6313250061035154E-2</v>
      </c>
      <c r="HD34" s="35">
        <f t="shared" si="196"/>
        <v>-1.9283696511829262E-6</v>
      </c>
      <c r="HE34" s="35">
        <f t="shared" si="197"/>
        <v>3.6252221069335941E-2</v>
      </c>
      <c r="HF34" s="35">
        <f t="shared" si="198"/>
        <v>3.6313250061035154E-2</v>
      </c>
      <c r="HG34" s="35">
        <f t="shared" si="199"/>
        <v>3.6282735565185548E-2</v>
      </c>
      <c r="HH34" s="35">
        <f t="shared" si="200"/>
        <v>1.3304683163406494E-5</v>
      </c>
      <c r="HI34" s="35">
        <f t="shared" si="201"/>
        <v>3.6282735565185548E-2</v>
      </c>
      <c r="HJ34" s="35">
        <f t="shared" si="202"/>
        <v>3.6313250061035154E-2</v>
      </c>
      <c r="HK34" s="35">
        <f t="shared" si="203"/>
        <v>3.6297992813110351E-2</v>
      </c>
      <c r="HL34" s="35">
        <f t="shared" si="204"/>
        <v>5.6881820460485955E-6</v>
      </c>
      <c r="HM34" s="35">
        <f t="shared" si="205"/>
        <v>3.6297992813110351E-2</v>
      </c>
      <c r="HN34" s="35">
        <f t="shared" si="206"/>
        <v>3.6313250061035154E-2</v>
      </c>
      <c r="HO34" s="35">
        <f t="shared" si="207"/>
        <v>3.6305621437072749E-2</v>
      </c>
      <c r="HP34" s="35">
        <f t="shared" si="208"/>
        <v>1.8799125196533595E-6</v>
      </c>
      <c r="HQ34" s="35">
        <f t="shared" si="209"/>
        <v>3.6305621437072749E-2</v>
      </c>
      <c r="HR34" s="35">
        <f t="shared" si="210"/>
        <v>3.6313250061035154E-2</v>
      </c>
      <c r="HS34" s="35">
        <f t="shared" si="211"/>
        <v>3.6309435749053952E-2</v>
      </c>
      <c r="HT34" s="35">
        <f t="shared" si="212"/>
        <v>-2.4226985084752073E-8</v>
      </c>
      <c r="HU34" s="35">
        <f t="shared" si="213"/>
        <v>3.6305621437072749E-2</v>
      </c>
      <c r="HV34" s="35">
        <f t="shared" si="214"/>
        <v>3.6309435749053952E-2</v>
      </c>
      <c r="HW34" s="35">
        <f t="shared" si="215"/>
        <v>3.6307528593063354E-2</v>
      </c>
      <c r="HX34" s="35">
        <f t="shared" si="216"/>
        <v>9.2784316230165587E-7</v>
      </c>
      <c r="HY34" s="35">
        <f t="shared" si="217"/>
        <v>3.6307528593063354E-2</v>
      </c>
      <c r="HZ34" s="35">
        <f t="shared" si="218"/>
        <v>3.6309435749053952E-2</v>
      </c>
      <c r="IA34" s="35">
        <f t="shared" si="219"/>
        <v>3.6308482171058656E-2</v>
      </c>
      <c r="IB34" s="35">
        <f t="shared" si="220"/>
        <v>4.5180818752932339E-7</v>
      </c>
      <c r="IC34" s="35">
        <f t="shared" si="221"/>
        <v>3.6308482171058656E-2</v>
      </c>
      <c r="ID34" s="35">
        <f t="shared" si="222"/>
        <v>3.6309435749053952E-2</v>
      </c>
      <c r="IE34" s="35">
        <f t="shared" si="223"/>
        <v>3.6308958960056301E-2</v>
      </c>
      <c r="IF34" s="35">
        <f t="shared" si="224"/>
        <v>2.1379062609128141E-7</v>
      </c>
      <c r="IG34" s="35">
        <f t="shared" si="225"/>
        <v>3.6308958960056301E-2</v>
      </c>
      <c r="IH34" s="35">
        <f t="shared" si="226"/>
        <v>3.6309435749053952E-2</v>
      </c>
      <c r="II34" s="35">
        <f t="shared" si="227"/>
        <v>3.6309197354555123E-2</v>
      </c>
      <c r="IJ34" s="35">
        <f t="shared" si="228"/>
        <v>9.4781826609491304E-8</v>
      </c>
      <c r="IK34" s="35">
        <f t="shared" si="229"/>
        <v>3.6309197354555123E-2</v>
      </c>
      <c r="IL34" s="35">
        <f t="shared" si="230"/>
        <v>3.6309435749053952E-2</v>
      </c>
      <c r="IM34" s="35">
        <f t="shared" si="231"/>
        <v>3.6309316551804541E-2</v>
      </c>
      <c r="IN34" s="35">
        <f t="shared" si="232"/>
        <v>3.527742231668185E-8</v>
      </c>
      <c r="IO34" s="35">
        <f t="shared" si="233"/>
        <v>3.6309316551804541E-2</v>
      </c>
      <c r="IP34" s="35">
        <f t="shared" si="234"/>
        <v>3.6309435749053952E-2</v>
      </c>
      <c r="IQ34" s="35">
        <f t="shared" si="235"/>
        <v>3.6309376150429243E-2</v>
      </c>
      <c r="IR34" s="35">
        <f t="shared" si="236"/>
        <v>5.525218949031796E-9</v>
      </c>
      <c r="IS34" s="35">
        <f t="shared" si="237"/>
        <v>3.6309376150429243E-2</v>
      </c>
      <c r="IT34" s="35">
        <f t="shared" si="238"/>
        <v>3.6309435749053952E-2</v>
      </c>
      <c r="IU34" s="35">
        <f t="shared" si="239"/>
        <v>3.6309405949741594E-2</v>
      </c>
      <c r="IV34" s="35">
        <f t="shared" si="240"/>
        <v>-9.3508828458155335E-9</v>
      </c>
      <c r="IW34" s="35">
        <f t="shared" si="241"/>
        <v>3.6309376150429243E-2</v>
      </c>
      <c r="IX34" s="35">
        <f t="shared" si="242"/>
        <v>3.6309405949741594E-2</v>
      </c>
      <c r="IY34" s="35">
        <f t="shared" si="243"/>
        <v>3.6309391050085418E-2</v>
      </c>
      <c r="IZ34" s="35">
        <f t="shared" si="244"/>
        <v>-1.91283200390302E-9</v>
      </c>
      <c r="JA34" s="35">
        <f t="shared" si="245"/>
        <v>3.6309376150429243E-2</v>
      </c>
      <c r="JB34" s="35">
        <f t="shared" si="246"/>
        <v>3.6309391050085418E-2</v>
      </c>
      <c r="JC34" s="35">
        <f t="shared" si="247"/>
        <v>3.6309383600257331E-2</v>
      </c>
      <c r="JD34" s="35">
        <f t="shared" si="248"/>
        <v>1.8061934170532368E-9</v>
      </c>
      <c r="JE34" s="35">
        <f t="shared" si="249"/>
        <v>3.6309383600257331E-2</v>
      </c>
      <c r="JF34" s="35">
        <f t="shared" si="250"/>
        <v>3.6309391050085418E-2</v>
      </c>
      <c r="JG34" s="35">
        <f t="shared" si="251"/>
        <v>3.6309387325171374E-2</v>
      </c>
      <c r="JH34" s="35">
        <f t="shared" si="252"/>
        <v>-5.3319348936042843E-11</v>
      </c>
      <c r="JI34" s="35">
        <f t="shared" si="253"/>
        <v>3.6309383600257331E-2</v>
      </c>
      <c r="JJ34" s="35">
        <f t="shared" si="254"/>
        <v>3.6309387325171374E-2</v>
      </c>
      <c r="JK34" s="35">
        <f t="shared" si="255"/>
        <v>3.6309385462714353E-2</v>
      </c>
      <c r="JL34" s="35">
        <f t="shared" si="256"/>
        <v>8.7643714508089943E-10</v>
      </c>
      <c r="JM34" s="35">
        <f t="shared" si="257"/>
        <v>3.6309385462714353E-2</v>
      </c>
      <c r="JN34" s="35">
        <f t="shared" si="258"/>
        <v>3.6309387325171374E-2</v>
      </c>
      <c r="JO34" s="35">
        <f t="shared" si="259"/>
        <v>3.6309386393942863E-2</v>
      </c>
      <c r="JP34" s="35">
        <f t="shared" si="260"/>
        <v>4.1155900909473075E-10</v>
      </c>
      <c r="JQ34" s="35">
        <f t="shared" si="261"/>
        <v>3.6309386393942863E-2</v>
      </c>
      <c r="JR34" s="35">
        <f t="shared" si="262"/>
        <v>3.6309387325171374E-2</v>
      </c>
      <c r="JS34" s="35">
        <f t="shared" si="263"/>
        <v>3.6309386859557119E-2</v>
      </c>
      <c r="JT34" s="35">
        <f t="shared" si="264"/>
        <v>1.7911983007934396E-10</v>
      </c>
      <c r="JU34" s="35">
        <f t="shared" si="265"/>
        <v>3.6309386859557119E-2</v>
      </c>
      <c r="JV34" s="35">
        <f t="shared" si="266"/>
        <v>3.6309387325171374E-2</v>
      </c>
      <c r="JW34" s="35">
        <f t="shared" si="267"/>
        <v>3.6309387092364247E-2</v>
      </c>
      <c r="JX34" s="35">
        <f t="shared" si="268"/>
        <v>6.2900351593953019E-11</v>
      </c>
      <c r="JY34" s="35">
        <f t="shared" si="269"/>
        <v>3.6309387092364247E-2</v>
      </c>
      <c r="JZ34" s="35">
        <f t="shared" si="270"/>
        <v>3.6309387325171374E-2</v>
      </c>
      <c r="KA34" s="35">
        <f t="shared" si="271"/>
        <v>1.0550992169650266</v>
      </c>
      <c r="KB34" s="35">
        <f t="shared" si="272"/>
        <v>3.6309387208767807E-2</v>
      </c>
    </row>
    <row r="35" spans="1:288" ht="15" customHeight="1" x14ac:dyDescent="0.3">
      <c r="A35" s="30">
        <f>Odds_Input!A35</f>
        <v>27</v>
      </c>
      <c r="B35" s="7" t="str">
        <f>Odds_Input!B35</f>
        <v>TITLE</v>
      </c>
      <c r="C35" s="7" t="str">
        <f>Odds_Input!C35</f>
        <v>Toronto Raptors</v>
      </c>
      <c r="D35" s="7" t="str">
        <f>Odds_Input!D35</f>
        <v>YES</v>
      </c>
      <c r="E35" s="31" t="str">
        <f>Odds_Input!E35</f>
        <v>-</v>
      </c>
      <c r="F35" s="32">
        <f>Odds_Input!F35</f>
        <v>2600</v>
      </c>
      <c r="G35" s="6" t="str">
        <f t="shared" si="0"/>
        <v>TITLE</v>
      </c>
      <c r="H35" s="14">
        <f t="shared" si="1"/>
        <v>27</v>
      </c>
      <c r="I35" s="33">
        <f t="shared" si="2"/>
        <v>3.7037037037037035E-2</v>
      </c>
      <c r="J35" s="17">
        <f t="shared" si="3"/>
        <v>1</v>
      </c>
      <c r="K35" s="17">
        <f t="shared" si="4"/>
        <v>30</v>
      </c>
      <c r="L35" s="18">
        <f t="shared" si="5"/>
        <v>1.252565192422864</v>
      </c>
      <c r="M35" s="34">
        <f t="shared" si="6"/>
        <v>0.25256519242286402</v>
      </c>
      <c r="N35" s="33">
        <f t="shared" si="7"/>
        <v>2.9568949593270662E-2</v>
      </c>
      <c r="O35" s="33">
        <f t="shared" si="8"/>
        <v>2.6706871047991087E-2</v>
      </c>
      <c r="P35" s="33">
        <f t="shared" si="9"/>
        <v>2.8155532984986568E-2</v>
      </c>
      <c r="Q35" s="33">
        <f t="shared" si="10"/>
        <v>2.8155532984986568E-2</v>
      </c>
      <c r="R35" s="35">
        <f t="shared" si="11"/>
        <v>1.0992153287166726</v>
      </c>
      <c r="S35" s="35">
        <f t="shared" si="12"/>
        <v>1.1051948455485863E-2</v>
      </c>
      <c r="X35" s="6" t="s">
        <v>810</v>
      </c>
      <c r="Y35" s="6">
        <f t="shared" si="13"/>
        <v>1</v>
      </c>
      <c r="Z35" s="18">
        <f t="shared" si="14"/>
        <v>1.0454545454545454</v>
      </c>
      <c r="AA35" s="10">
        <v>0.2</v>
      </c>
      <c r="AB35" s="10">
        <v>10</v>
      </c>
      <c r="AC35" s="35">
        <f t="shared" si="15"/>
        <v>5.0999999999999996</v>
      </c>
      <c r="AD35" s="35">
        <f t="shared" si="16"/>
        <v>-0.92539954235841471</v>
      </c>
      <c r="AE35" s="35">
        <f t="shared" si="17"/>
        <v>0.2</v>
      </c>
      <c r="AF35" s="35">
        <f t="shared" si="18"/>
        <v>5.0999999999999996</v>
      </c>
      <c r="AG35" s="35">
        <f t="shared" si="19"/>
        <v>2.65</v>
      </c>
      <c r="AH35" s="35">
        <f t="shared" si="20"/>
        <v>-0.64004330393040465</v>
      </c>
      <c r="AI35" s="35">
        <f t="shared" si="21"/>
        <v>0.2</v>
      </c>
      <c r="AJ35" s="35">
        <f t="shared" si="22"/>
        <v>2.65</v>
      </c>
      <c r="AK35" s="35">
        <f t="shared" si="23"/>
        <v>1.425</v>
      </c>
      <c r="AL35" s="35">
        <f t="shared" si="24"/>
        <v>-0.20599970626899999</v>
      </c>
      <c r="AM35" s="35">
        <f t="shared" si="25"/>
        <v>0.2</v>
      </c>
      <c r="AN35" s="35">
        <f t="shared" si="26"/>
        <v>1.425</v>
      </c>
      <c r="AO35" s="35">
        <f t="shared" si="27"/>
        <v>0.8125</v>
      </c>
      <c r="AP35" s="35">
        <f t="shared" si="28"/>
        <v>0.18050001693930851</v>
      </c>
      <c r="AQ35" s="35">
        <f t="shared" si="29"/>
        <v>0.8125</v>
      </c>
      <c r="AR35" s="35">
        <f t="shared" si="30"/>
        <v>1.425</v>
      </c>
      <c r="AS35" s="35">
        <f t="shared" si="31"/>
        <v>1.1187499999999999</v>
      </c>
      <c r="AT35" s="35">
        <f t="shared" si="32"/>
        <v>-3.1934205800687954E-2</v>
      </c>
      <c r="AU35" s="35">
        <f t="shared" si="33"/>
        <v>0.8125</v>
      </c>
      <c r="AV35" s="35">
        <f t="shared" si="34"/>
        <v>1.1187499999999999</v>
      </c>
      <c r="AW35" s="35">
        <f t="shared" si="35"/>
        <v>0.96562499999999996</v>
      </c>
      <c r="AX35" s="35">
        <f t="shared" si="36"/>
        <v>6.8995350859696325E-2</v>
      </c>
      <c r="AY35" s="35">
        <f t="shared" si="37"/>
        <v>0.96562499999999996</v>
      </c>
      <c r="AZ35" s="35">
        <f t="shared" si="38"/>
        <v>1.1187499999999999</v>
      </c>
      <c r="BA35" s="35">
        <f t="shared" si="39"/>
        <v>1.0421874999999998</v>
      </c>
      <c r="BB35" s="35">
        <f t="shared" si="40"/>
        <v>1.7273992252547554E-2</v>
      </c>
      <c r="BC35" s="35">
        <f t="shared" si="41"/>
        <v>1.0421874999999998</v>
      </c>
      <c r="BD35" s="35">
        <f t="shared" si="42"/>
        <v>1.1187499999999999</v>
      </c>
      <c r="BE35" s="35">
        <f t="shared" si="43"/>
        <v>1.0804687499999999</v>
      </c>
      <c r="BF35" s="35">
        <f t="shared" si="44"/>
        <v>-7.6364427676745006E-3</v>
      </c>
      <c r="BG35" s="35">
        <f t="shared" si="45"/>
        <v>1.0421874999999998</v>
      </c>
      <c r="BH35" s="35">
        <f t="shared" si="46"/>
        <v>1.0804687499999999</v>
      </c>
      <c r="BI35" s="35">
        <f t="shared" si="47"/>
        <v>1.0613281249999997</v>
      </c>
      <c r="BJ35" s="35">
        <f t="shared" si="48"/>
        <v>4.7412299184854678E-3</v>
      </c>
      <c r="BK35" s="35">
        <f t="shared" si="49"/>
        <v>1.0613281249999997</v>
      </c>
      <c r="BL35" s="35">
        <f t="shared" si="50"/>
        <v>1.0804687499999999</v>
      </c>
      <c r="BM35" s="35">
        <f t="shared" si="51"/>
        <v>1.0708984374999999</v>
      </c>
      <c r="BN35" s="35">
        <f t="shared" si="52"/>
        <v>-1.4668715838355162E-3</v>
      </c>
      <c r="BO35" s="35">
        <f t="shared" si="53"/>
        <v>1.0613281249999997</v>
      </c>
      <c r="BP35" s="35">
        <f t="shared" si="54"/>
        <v>1.0708984374999999</v>
      </c>
      <c r="BQ35" s="35">
        <f t="shared" si="55"/>
        <v>1.0661132812499998</v>
      </c>
      <c r="BR35" s="35">
        <f t="shared" si="56"/>
        <v>1.6323478060529251E-3</v>
      </c>
      <c r="BS35" s="35">
        <f t="shared" si="57"/>
        <v>1.0661132812499998</v>
      </c>
      <c r="BT35" s="35">
        <f t="shared" si="58"/>
        <v>1.0708984374999999</v>
      </c>
      <c r="BU35" s="35">
        <f t="shared" si="59"/>
        <v>1.0685058593749999</v>
      </c>
      <c r="BV35" s="35">
        <f t="shared" si="60"/>
        <v>8.1532158421993017E-5</v>
      </c>
      <c r="BW35" s="35">
        <f t="shared" si="61"/>
        <v>1.0685058593749999</v>
      </c>
      <c r="BX35" s="35">
        <f t="shared" si="62"/>
        <v>1.0708984374999999</v>
      </c>
      <c r="BY35" s="35">
        <f t="shared" si="63"/>
        <v>1.0697021484375</v>
      </c>
      <c r="BZ35" s="35">
        <f t="shared" si="64"/>
        <v>-6.9297096524878476E-4</v>
      </c>
      <c r="CA35" s="35">
        <f t="shared" si="65"/>
        <v>1.0685058593749999</v>
      </c>
      <c r="CB35" s="35">
        <f t="shared" si="66"/>
        <v>1.0697021484375</v>
      </c>
      <c r="CC35" s="35">
        <f t="shared" si="67"/>
        <v>1.0691040039062498</v>
      </c>
      <c r="CD35" s="35">
        <f t="shared" si="68"/>
        <v>-3.057947459881305E-4</v>
      </c>
      <c r="CE35" s="35">
        <f t="shared" si="69"/>
        <v>1.0685058593749999</v>
      </c>
      <c r="CF35" s="35">
        <f t="shared" si="70"/>
        <v>1.0691040039062498</v>
      </c>
      <c r="CG35" s="35">
        <f t="shared" si="71"/>
        <v>1.0688049316406247</v>
      </c>
      <c r="CH35" s="35">
        <f t="shared" si="72"/>
        <v>-1.1215013310783561E-4</v>
      </c>
      <c r="CI35" s="35">
        <f t="shared" si="73"/>
        <v>1.0685058593749999</v>
      </c>
      <c r="CJ35" s="35">
        <f t="shared" si="74"/>
        <v>1.0688049316406247</v>
      </c>
      <c r="CK35" s="35">
        <f t="shared" si="75"/>
        <v>1.0686553955078124</v>
      </c>
      <c r="CL35" s="35">
        <f t="shared" si="76"/>
        <v>-1.5313697634411483E-5</v>
      </c>
      <c r="CM35" s="35">
        <f t="shared" si="77"/>
        <v>1.0685058593749999</v>
      </c>
      <c r="CN35" s="35">
        <f t="shared" si="78"/>
        <v>1.0686553955078124</v>
      </c>
      <c r="CO35" s="35">
        <f t="shared" si="79"/>
        <v>1.0685806274414063</v>
      </c>
      <c r="CP35" s="35">
        <f t="shared" si="80"/>
        <v>3.3108052763353157E-5</v>
      </c>
      <c r="CQ35" s="35">
        <f t="shared" si="81"/>
        <v>1.0685806274414063</v>
      </c>
      <c r="CR35" s="35">
        <f t="shared" si="82"/>
        <v>1.0686553955078124</v>
      </c>
      <c r="CS35" s="35">
        <f t="shared" si="83"/>
        <v>1.0686180114746093</v>
      </c>
      <c r="CT35" s="35">
        <f t="shared" si="84"/>
        <v>8.8968831639668622E-6</v>
      </c>
      <c r="CU35" s="35">
        <f t="shared" si="85"/>
        <v>1.0686180114746093</v>
      </c>
      <c r="CV35" s="35">
        <f t="shared" si="86"/>
        <v>1.0686553955078124</v>
      </c>
      <c r="CW35" s="35">
        <f t="shared" si="87"/>
        <v>1.0686367034912108</v>
      </c>
      <c r="CX35" s="35">
        <f t="shared" si="88"/>
        <v>-3.2084808343491034E-6</v>
      </c>
      <c r="CY35" s="35">
        <f t="shared" si="89"/>
        <v>1.0686180114746093</v>
      </c>
      <c r="CZ35" s="35">
        <f t="shared" si="90"/>
        <v>1.0686367034912108</v>
      </c>
      <c r="DA35" s="35">
        <f t="shared" si="91"/>
        <v>1.0686273574829102</v>
      </c>
      <c r="DB35" s="35">
        <f t="shared" si="92"/>
        <v>2.8441827648606477E-6</v>
      </c>
      <c r="DC35" s="35">
        <f t="shared" si="93"/>
        <v>1.0686273574829102</v>
      </c>
      <c r="DD35" s="35">
        <f t="shared" si="94"/>
        <v>1.0686367034912108</v>
      </c>
      <c r="DE35" s="35">
        <f t="shared" si="95"/>
        <v>1.0686320304870605</v>
      </c>
      <c r="DF35" s="35">
        <f t="shared" si="96"/>
        <v>-1.8215363484230807E-7</v>
      </c>
      <c r="DG35" s="35">
        <f t="shared" si="97"/>
        <v>1.0686273574829102</v>
      </c>
      <c r="DH35" s="35">
        <f t="shared" si="98"/>
        <v>1.0686320304870605</v>
      </c>
      <c r="DI35" s="35">
        <f t="shared" si="99"/>
        <v>1.0686296939849853</v>
      </c>
      <c r="DJ35" s="35">
        <f t="shared" si="100"/>
        <v>1.3310134150401609E-6</v>
      </c>
      <c r="DK35" s="35">
        <f t="shared" si="101"/>
        <v>1.0686296939849853</v>
      </c>
      <c r="DL35" s="35">
        <f t="shared" si="102"/>
        <v>1.0686320304870605</v>
      </c>
      <c r="DM35" s="35">
        <f t="shared" si="103"/>
        <v>1.0686308622360228</v>
      </c>
      <c r="DN35" s="35">
        <f t="shared" si="104"/>
        <v>5.7442960277320765E-7</v>
      </c>
      <c r="DO35" s="35">
        <f t="shared" si="105"/>
        <v>1.0686308622360228</v>
      </c>
      <c r="DP35" s="35">
        <f t="shared" si="106"/>
        <v>1.0686320304870605</v>
      </c>
      <c r="DQ35" s="35">
        <f t="shared" si="107"/>
        <v>1.0686314463615416</v>
      </c>
      <c r="DR35" s="35">
        <f t="shared" si="108"/>
        <v>1.961379121340201E-7</v>
      </c>
      <c r="DS35" s="35">
        <f t="shared" si="109"/>
        <v>1.0686314463615416</v>
      </c>
      <c r="DT35" s="35">
        <f t="shared" si="110"/>
        <v>1.0686320304870605</v>
      </c>
      <c r="DU35" s="35">
        <f t="shared" si="111"/>
        <v>1.0686317384243011</v>
      </c>
      <c r="DV35" s="35">
        <f t="shared" si="112"/>
        <v>6.9921206602430175E-9</v>
      </c>
      <c r="DW35" s="35">
        <f t="shared" si="113"/>
        <v>1.0686317384243011</v>
      </c>
      <c r="DX35" s="35">
        <f t="shared" si="114"/>
        <v>1.0686320304870605</v>
      </c>
      <c r="DY35" s="35">
        <f t="shared" si="115"/>
        <v>1.0686318844556808</v>
      </c>
      <c r="DZ35" s="35">
        <f t="shared" si="116"/>
        <v>-8.7580761531924622E-8</v>
      </c>
      <c r="EA35" s="35">
        <f t="shared" si="117"/>
        <v>1.0686317384243011</v>
      </c>
      <c r="EB35" s="35">
        <f t="shared" si="118"/>
        <v>1.0686318844556808</v>
      </c>
      <c r="EC35" s="35">
        <f t="shared" si="119"/>
        <v>1.0686318114399911</v>
      </c>
      <c r="ED35" s="35">
        <f t="shared" si="120"/>
        <v>-4.029432165708613E-8</v>
      </c>
      <c r="EE35" s="35">
        <f t="shared" si="121"/>
        <v>1.0686317384243011</v>
      </c>
      <c r="EF35" s="35">
        <f t="shared" si="122"/>
        <v>1.0686318114399911</v>
      </c>
      <c r="EG35" s="35">
        <f t="shared" si="123"/>
        <v>1.0686317749321461</v>
      </c>
      <c r="EH35" s="35">
        <f t="shared" si="124"/>
        <v>-1.6651100720466161E-8</v>
      </c>
      <c r="EI35" s="35">
        <f t="shared" si="125"/>
        <v>1.0686317384243011</v>
      </c>
      <c r="EJ35" s="35">
        <f t="shared" si="126"/>
        <v>1.0686317749321461</v>
      </c>
      <c r="EK35" s="35">
        <f t="shared" si="127"/>
        <v>1.0686317566782235</v>
      </c>
      <c r="EL35" s="35">
        <f t="shared" si="128"/>
        <v>-4.8294900301115717E-9</v>
      </c>
      <c r="EM35" s="35">
        <f t="shared" si="129"/>
        <v>1.0686317384243011</v>
      </c>
      <c r="EN35" s="35">
        <f t="shared" si="130"/>
        <v>1.0686317566782235</v>
      </c>
      <c r="EO35" s="35">
        <f t="shared" si="131"/>
        <v>1.0686317475512623</v>
      </c>
      <c r="EP35" s="35">
        <f t="shared" si="132"/>
        <v>1.0813152595545716E-9</v>
      </c>
      <c r="EQ35" s="35">
        <f t="shared" si="133"/>
        <v>1.0686317475512623</v>
      </c>
      <c r="ER35" s="35">
        <f t="shared" si="134"/>
        <v>1.0686317566782235</v>
      </c>
      <c r="ES35" s="35">
        <f t="shared" si="135"/>
        <v>1.0686317521147428</v>
      </c>
      <c r="ET35" s="35">
        <f t="shared" si="136"/>
        <v>-1.8740873297673488E-9</v>
      </c>
      <c r="EU35" s="35">
        <f t="shared" si="137"/>
        <v>1.0686317475512623</v>
      </c>
      <c r="EV35" s="35">
        <f t="shared" si="138"/>
        <v>1.0686317521147428</v>
      </c>
      <c r="EW35" s="35">
        <f t="shared" si="139"/>
        <v>1.0686317498330027</v>
      </c>
      <c r="EX35" s="35">
        <f t="shared" si="140"/>
        <v>-3.9638603510638859E-10</v>
      </c>
      <c r="EY35" s="35">
        <f t="shared" si="141"/>
        <v>1.0686317475512623</v>
      </c>
      <c r="EZ35" s="35">
        <f t="shared" si="142"/>
        <v>1.0686317498330027</v>
      </c>
      <c r="FA35" s="10">
        <v>9.9999999999999995E-7</v>
      </c>
      <c r="FB35" s="10">
        <v>0.99990000000000001</v>
      </c>
      <c r="FC35" s="35">
        <f t="shared" si="143"/>
        <v>0.49995050000000002</v>
      </c>
      <c r="FD35" s="35">
        <f t="shared" si="144"/>
        <v>-0.24151146190266881</v>
      </c>
      <c r="FE35" s="35">
        <f t="shared" si="145"/>
        <v>9.9999999999999995E-7</v>
      </c>
      <c r="FF35" s="35">
        <f t="shared" si="146"/>
        <v>0.49995050000000002</v>
      </c>
      <c r="FG35" s="35">
        <f t="shared" si="147"/>
        <v>0.24997575</v>
      </c>
      <c r="FH35" s="35">
        <f t="shared" si="148"/>
        <v>-0.10643591268936592</v>
      </c>
      <c r="FI35" s="35">
        <f t="shared" si="149"/>
        <v>9.9999999999999995E-7</v>
      </c>
      <c r="FJ35" s="35">
        <f t="shared" si="150"/>
        <v>0.24997575</v>
      </c>
      <c r="FK35" s="35">
        <f t="shared" si="151"/>
        <v>0.124988375</v>
      </c>
      <c r="FL35" s="35">
        <f t="shared" si="152"/>
        <v>-4.0466733385815967E-2</v>
      </c>
      <c r="FM35" s="35">
        <f t="shared" si="153"/>
        <v>9.9999999999999995E-7</v>
      </c>
      <c r="FN35" s="35">
        <f t="shared" si="154"/>
        <v>0.124988375</v>
      </c>
      <c r="FO35" s="35">
        <f t="shared" si="155"/>
        <v>6.24946875E-2</v>
      </c>
      <c r="FP35" s="35">
        <f t="shared" si="156"/>
        <v>-8.5504120192351207E-3</v>
      </c>
      <c r="FQ35" s="35">
        <f t="shared" si="157"/>
        <v>9.9999999999999995E-7</v>
      </c>
      <c r="FR35" s="35">
        <f t="shared" si="158"/>
        <v>6.24946875E-2</v>
      </c>
      <c r="FS35" s="35">
        <f t="shared" si="159"/>
        <v>3.124784375E-2</v>
      </c>
      <c r="FT35" s="35">
        <f t="shared" si="160"/>
        <v>7.0800242070911956E-3</v>
      </c>
      <c r="FU35" s="35">
        <f t="shared" si="161"/>
        <v>3.124784375E-2</v>
      </c>
      <c r="FV35" s="35">
        <f t="shared" si="162"/>
        <v>6.24946875E-2</v>
      </c>
      <c r="FW35" s="35">
        <f t="shared" si="163"/>
        <v>4.6871265624999998E-2</v>
      </c>
      <c r="FX35" s="35">
        <f t="shared" si="164"/>
        <v>-7.06420005394226E-4</v>
      </c>
      <c r="FY35" s="35">
        <f t="shared" si="165"/>
        <v>3.124784375E-2</v>
      </c>
      <c r="FZ35" s="35">
        <f t="shared" si="166"/>
        <v>4.6871265624999998E-2</v>
      </c>
      <c r="GA35" s="35">
        <f t="shared" si="167"/>
        <v>3.9059554687499998E-2</v>
      </c>
      <c r="GB35" s="35">
        <f t="shared" si="168"/>
        <v>3.1940946901758416E-3</v>
      </c>
      <c r="GC35" s="35">
        <f t="shared" si="169"/>
        <v>3.9059554687499998E-2</v>
      </c>
      <c r="GD35" s="35">
        <f t="shared" si="170"/>
        <v>4.6871265624999998E-2</v>
      </c>
      <c r="GE35" s="35">
        <f t="shared" si="171"/>
        <v>4.2965410156249995E-2</v>
      </c>
      <c r="GF35" s="35">
        <f t="shared" si="172"/>
        <v>1.2456483981968525E-3</v>
      </c>
      <c r="GG35" s="35">
        <f t="shared" si="173"/>
        <v>4.2965410156249995E-2</v>
      </c>
      <c r="GH35" s="35">
        <f t="shared" si="174"/>
        <v>4.6871265624999998E-2</v>
      </c>
      <c r="GI35" s="35">
        <f t="shared" si="175"/>
        <v>4.4918337890624993E-2</v>
      </c>
      <c r="GJ35" s="35">
        <f t="shared" si="176"/>
        <v>2.7006542296659219E-4</v>
      </c>
      <c r="GK35" s="35">
        <f t="shared" si="177"/>
        <v>4.4918337890624993E-2</v>
      </c>
      <c r="GL35" s="35">
        <f t="shared" si="178"/>
        <v>4.6871265624999998E-2</v>
      </c>
      <c r="GM35" s="35">
        <f t="shared" si="179"/>
        <v>4.5894801757812492E-2</v>
      </c>
      <c r="GN35" s="35">
        <f t="shared" si="180"/>
        <v>-2.1806467837326426E-4</v>
      </c>
      <c r="GO35" s="35">
        <f t="shared" si="181"/>
        <v>4.4918337890624993E-2</v>
      </c>
      <c r="GP35" s="35">
        <f t="shared" si="182"/>
        <v>4.5894801757812492E-2</v>
      </c>
      <c r="GQ35" s="35">
        <f t="shared" si="183"/>
        <v>4.5406569824218743E-2</v>
      </c>
      <c r="GR35" s="35">
        <f t="shared" si="184"/>
        <v>2.6028549804602008E-5</v>
      </c>
      <c r="GS35" s="35">
        <f t="shared" si="185"/>
        <v>4.5406569824218743E-2</v>
      </c>
      <c r="GT35" s="35">
        <f t="shared" si="186"/>
        <v>4.5894801757812492E-2</v>
      </c>
      <c r="GU35" s="35">
        <f t="shared" si="187"/>
        <v>4.5650685791015617E-2</v>
      </c>
      <c r="GV35" s="35">
        <f t="shared" si="188"/>
        <v>-9.6011022939879176E-5</v>
      </c>
      <c r="GW35" s="35">
        <f t="shared" si="189"/>
        <v>4.5406569824218743E-2</v>
      </c>
      <c r="GX35" s="35">
        <f t="shared" si="190"/>
        <v>4.5650685791015617E-2</v>
      </c>
      <c r="GY35" s="35">
        <f t="shared" si="191"/>
        <v>4.5528627807617184E-2</v>
      </c>
      <c r="GZ35" s="35">
        <f t="shared" si="192"/>
        <v>-3.4989475852231777E-5</v>
      </c>
      <c r="HA35" s="35">
        <f t="shared" si="193"/>
        <v>4.5406569824218743E-2</v>
      </c>
      <c r="HB35" s="35">
        <f t="shared" si="194"/>
        <v>4.5528627807617184E-2</v>
      </c>
      <c r="HC35" s="35">
        <f t="shared" si="195"/>
        <v>4.5467598815917963E-2</v>
      </c>
      <c r="HD35" s="35">
        <f t="shared" si="196"/>
        <v>-4.4800227976260487E-6</v>
      </c>
      <c r="HE35" s="35">
        <f t="shared" si="197"/>
        <v>4.5406569824218743E-2</v>
      </c>
      <c r="HF35" s="35">
        <f t="shared" si="198"/>
        <v>4.5467598815917963E-2</v>
      </c>
      <c r="HG35" s="35">
        <f t="shared" si="199"/>
        <v>4.5437084320068349E-2</v>
      </c>
      <c r="HH35" s="35">
        <f t="shared" si="200"/>
        <v>1.0774373566224682E-5</v>
      </c>
      <c r="HI35" s="35">
        <f t="shared" si="201"/>
        <v>4.5437084320068349E-2</v>
      </c>
      <c r="HJ35" s="35">
        <f t="shared" si="202"/>
        <v>4.5467598815917963E-2</v>
      </c>
      <c r="HK35" s="35">
        <f t="shared" si="203"/>
        <v>4.545234156799316E-2</v>
      </c>
      <c r="HL35" s="35">
        <f t="shared" si="204"/>
        <v>3.1472028991785805E-6</v>
      </c>
      <c r="HM35" s="35">
        <f t="shared" si="205"/>
        <v>4.545234156799316E-2</v>
      </c>
      <c r="HN35" s="35">
        <f t="shared" si="206"/>
        <v>4.5467598815917963E-2</v>
      </c>
      <c r="HO35" s="35">
        <f t="shared" si="207"/>
        <v>4.5459970191955565E-2</v>
      </c>
      <c r="HP35" s="35">
        <f t="shared" si="208"/>
        <v>-6.6640307061494042E-7</v>
      </c>
      <c r="HQ35" s="35">
        <f t="shared" si="209"/>
        <v>4.545234156799316E-2</v>
      </c>
      <c r="HR35" s="35">
        <f t="shared" si="210"/>
        <v>4.5459970191955565E-2</v>
      </c>
      <c r="HS35" s="35">
        <f t="shared" si="211"/>
        <v>4.5456155879974362E-2</v>
      </c>
      <c r="HT35" s="35">
        <f t="shared" si="212"/>
        <v>1.2404016338507518E-6</v>
      </c>
      <c r="HU35" s="35">
        <f t="shared" si="213"/>
        <v>4.5456155879974362E-2</v>
      </c>
      <c r="HV35" s="35">
        <f t="shared" si="214"/>
        <v>4.5459970191955565E-2</v>
      </c>
      <c r="HW35" s="35">
        <f t="shared" si="215"/>
        <v>4.545806303596496E-2</v>
      </c>
      <c r="HX35" s="35">
        <f t="shared" si="216"/>
        <v>2.8699971155177195E-7</v>
      </c>
      <c r="HY35" s="35">
        <f t="shared" si="217"/>
        <v>4.545806303596496E-2</v>
      </c>
      <c r="HZ35" s="35">
        <f t="shared" si="218"/>
        <v>4.5459970191955565E-2</v>
      </c>
      <c r="IA35" s="35">
        <f t="shared" si="219"/>
        <v>4.5459016613960262E-2</v>
      </c>
      <c r="IB35" s="35">
        <f t="shared" si="220"/>
        <v>-1.897015720064843E-7</v>
      </c>
      <c r="IC35" s="35">
        <f t="shared" si="221"/>
        <v>4.545806303596496E-2</v>
      </c>
      <c r="ID35" s="35">
        <f t="shared" si="222"/>
        <v>4.5459016613960262E-2</v>
      </c>
      <c r="IE35" s="35">
        <f t="shared" si="223"/>
        <v>4.5458539824962611E-2</v>
      </c>
      <c r="IF35" s="35">
        <f t="shared" si="224"/>
        <v>4.8649096751063325E-8</v>
      </c>
      <c r="IG35" s="35">
        <f t="shared" si="225"/>
        <v>4.5458539824962611E-2</v>
      </c>
      <c r="IH35" s="35">
        <f t="shared" si="226"/>
        <v>4.5459016613960262E-2</v>
      </c>
      <c r="II35" s="35">
        <f t="shared" si="227"/>
        <v>4.545877821946144E-2</v>
      </c>
      <c r="IJ35" s="35">
        <f t="shared" si="228"/>
        <v>-7.0526230966372339E-8</v>
      </c>
      <c r="IK35" s="35">
        <f t="shared" si="229"/>
        <v>4.5458539824962611E-2</v>
      </c>
      <c r="IL35" s="35">
        <f t="shared" si="230"/>
        <v>4.545877821946144E-2</v>
      </c>
      <c r="IM35" s="35">
        <f t="shared" si="231"/>
        <v>4.5458659022212022E-2</v>
      </c>
      <c r="IN35" s="35">
        <f t="shared" si="232"/>
        <v>-1.0938565608853423E-8</v>
      </c>
      <c r="IO35" s="35">
        <f t="shared" si="233"/>
        <v>4.5458539824962611E-2</v>
      </c>
      <c r="IP35" s="35">
        <f t="shared" si="234"/>
        <v>4.5458659022212022E-2</v>
      </c>
      <c r="IQ35" s="35">
        <f t="shared" si="235"/>
        <v>4.545859942358732E-2</v>
      </c>
      <c r="IR35" s="35">
        <f t="shared" si="236"/>
        <v>1.8855266015194161E-8</v>
      </c>
      <c r="IS35" s="35">
        <f t="shared" si="237"/>
        <v>4.545859942358732E-2</v>
      </c>
      <c r="IT35" s="35">
        <f t="shared" si="238"/>
        <v>4.5458659022212022E-2</v>
      </c>
      <c r="IU35" s="35">
        <f t="shared" si="239"/>
        <v>4.5458629222899671E-2</v>
      </c>
      <c r="IV35" s="35">
        <f t="shared" si="240"/>
        <v>3.9583503141926712E-9</v>
      </c>
      <c r="IW35" s="35">
        <f t="shared" si="241"/>
        <v>4.5458629222899671E-2</v>
      </c>
      <c r="IX35" s="35">
        <f t="shared" si="242"/>
        <v>4.5458659022212022E-2</v>
      </c>
      <c r="IY35" s="35">
        <f t="shared" si="243"/>
        <v>4.5458644122555847E-2</v>
      </c>
      <c r="IZ35" s="35">
        <f t="shared" si="244"/>
        <v>-3.4901075363080736E-9</v>
      </c>
      <c r="JA35" s="35">
        <f t="shared" si="245"/>
        <v>4.5458629222899671E-2</v>
      </c>
      <c r="JB35" s="35">
        <f t="shared" si="246"/>
        <v>4.5458644122555847E-2</v>
      </c>
      <c r="JC35" s="35">
        <f t="shared" si="247"/>
        <v>4.5458636672727759E-2</v>
      </c>
      <c r="JD35" s="35">
        <f t="shared" si="248"/>
        <v>2.3412138894229884E-10</v>
      </c>
      <c r="JE35" s="35">
        <f t="shared" si="249"/>
        <v>4.5458636672727759E-2</v>
      </c>
      <c r="JF35" s="35">
        <f t="shared" si="250"/>
        <v>4.5458644122555847E-2</v>
      </c>
      <c r="JG35" s="35">
        <f t="shared" si="251"/>
        <v>4.5458640397641803E-2</v>
      </c>
      <c r="JH35" s="35">
        <f t="shared" si="252"/>
        <v>-1.6279930736828874E-9</v>
      </c>
      <c r="JI35" s="35">
        <f t="shared" si="253"/>
        <v>4.5458636672727759E-2</v>
      </c>
      <c r="JJ35" s="35">
        <f t="shared" si="254"/>
        <v>4.5458640397641803E-2</v>
      </c>
      <c r="JK35" s="35">
        <f t="shared" si="255"/>
        <v>4.5458638535184781E-2</v>
      </c>
      <c r="JL35" s="35">
        <f t="shared" si="256"/>
        <v>-6.9693584237029427E-10</v>
      </c>
      <c r="JM35" s="35">
        <f t="shared" si="257"/>
        <v>4.5458636672727759E-2</v>
      </c>
      <c r="JN35" s="35">
        <f t="shared" si="258"/>
        <v>4.5458638535184781E-2</v>
      </c>
      <c r="JO35" s="35">
        <f t="shared" si="259"/>
        <v>4.545863760395627E-2</v>
      </c>
      <c r="JP35" s="35">
        <f t="shared" si="260"/>
        <v>-2.3140722671399772E-10</v>
      </c>
      <c r="JQ35" s="35">
        <f t="shared" si="261"/>
        <v>4.5458636672727759E-2</v>
      </c>
      <c r="JR35" s="35">
        <f t="shared" si="262"/>
        <v>4.545863760395627E-2</v>
      </c>
      <c r="JS35" s="35">
        <f t="shared" si="263"/>
        <v>4.5458637138342015E-2</v>
      </c>
      <c r="JT35" s="35">
        <f t="shared" si="264"/>
        <v>1.3571366253017914E-12</v>
      </c>
      <c r="JU35" s="35">
        <f t="shared" si="265"/>
        <v>4.5458637138342015E-2</v>
      </c>
      <c r="JV35" s="35">
        <f t="shared" si="266"/>
        <v>4.545863760395627E-2</v>
      </c>
      <c r="JW35" s="35">
        <f t="shared" si="267"/>
        <v>4.5458637371149142E-2</v>
      </c>
      <c r="JX35" s="35">
        <f t="shared" si="268"/>
        <v>-1.1502510055549919E-10</v>
      </c>
      <c r="JY35" s="35">
        <f t="shared" si="269"/>
        <v>4.5458637138342015E-2</v>
      </c>
      <c r="JZ35" s="35">
        <f t="shared" si="270"/>
        <v>4.5458637371149142E-2</v>
      </c>
      <c r="KA35" s="35">
        <f t="shared" si="271"/>
        <v>1.0686317486921326</v>
      </c>
      <c r="KB35" s="35">
        <f t="shared" si="272"/>
        <v>4.5458637254745582E-2</v>
      </c>
    </row>
    <row r="36" spans="1:288" ht="15" customHeight="1" x14ac:dyDescent="0.3">
      <c r="A36" s="30">
        <f>Odds_Input!A36</f>
        <v>28</v>
      </c>
      <c r="B36" s="7" t="str">
        <f>Odds_Input!B36</f>
        <v>TITLE</v>
      </c>
      <c r="C36" s="7" t="str">
        <f>Odds_Input!C36</f>
        <v>Utah Jazz</v>
      </c>
      <c r="D36" s="7" t="str">
        <f>Odds_Input!D36</f>
        <v>YES</v>
      </c>
      <c r="E36" s="31" t="str">
        <f>Odds_Input!E36</f>
        <v>-</v>
      </c>
      <c r="F36" s="32">
        <f>Odds_Input!F36</f>
        <v>12500</v>
      </c>
      <c r="G36" s="6" t="str">
        <f t="shared" si="0"/>
        <v>TITLE</v>
      </c>
      <c r="H36" s="14">
        <f t="shared" si="1"/>
        <v>126</v>
      </c>
      <c r="I36" s="33">
        <f t="shared" si="2"/>
        <v>7.9365079365079361E-3</v>
      </c>
      <c r="J36" s="17">
        <f t="shared" si="3"/>
        <v>1</v>
      </c>
      <c r="K36" s="17">
        <f t="shared" si="4"/>
        <v>30</v>
      </c>
      <c r="L36" s="18">
        <f t="shared" si="5"/>
        <v>1.252565192422864</v>
      </c>
      <c r="M36" s="34">
        <f t="shared" si="6"/>
        <v>0.25256519242286402</v>
      </c>
      <c r="N36" s="33">
        <f t="shared" si="7"/>
        <v>6.3362034842722849E-3</v>
      </c>
      <c r="O36" s="33">
        <f t="shared" si="8"/>
        <v>4.9117980326400679E-3</v>
      </c>
      <c r="P36" s="33">
        <f t="shared" si="9"/>
        <v>3.4716321778757854E-3</v>
      </c>
      <c r="Q36" s="33">
        <f t="shared" si="10"/>
        <v>3.4716321778757854E-3</v>
      </c>
      <c r="R36" s="35">
        <f t="shared" si="11"/>
        <v>1.0992153287166726</v>
      </c>
      <c r="S36" s="35">
        <f t="shared" si="12"/>
        <v>1.1051948455485863E-2</v>
      </c>
      <c r="X36" s="6" t="s">
        <v>811</v>
      </c>
      <c r="Y36" s="6">
        <f t="shared" si="13"/>
        <v>1</v>
      </c>
      <c r="Z36" s="18">
        <f t="shared" si="14"/>
        <v>1.036281179138322</v>
      </c>
      <c r="AA36" s="10">
        <v>0.2</v>
      </c>
      <c r="AB36" s="10">
        <v>10</v>
      </c>
      <c r="AC36" s="35">
        <f t="shared" si="15"/>
        <v>5.0999999999999996</v>
      </c>
      <c r="AD36" s="35">
        <f t="shared" si="16"/>
        <v>-0.91510756284487649</v>
      </c>
      <c r="AE36" s="35">
        <f t="shared" si="17"/>
        <v>0.2</v>
      </c>
      <c r="AF36" s="35">
        <f t="shared" si="18"/>
        <v>5.0999999999999996</v>
      </c>
      <c r="AG36" s="35">
        <f t="shared" si="19"/>
        <v>2.65</v>
      </c>
      <c r="AH36" s="35">
        <f t="shared" si="20"/>
        <v>-0.63431739210248272</v>
      </c>
      <c r="AI36" s="35">
        <f t="shared" si="21"/>
        <v>0.2</v>
      </c>
      <c r="AJ36" s="35">
        <f t="shared" si="22"/>
        <v>2.65</v>
      </c>
      <c r="AK36" s="35">
        <f t="shared" si="23"/>
        <v>1.425</v>
      </c>
      <c r="AL36" s="35">
        <f t="shared" si="24"/>
        <v>-0.21154987342198683</v>
      </c>
      <c r="AM36" s="35">
        <f t="shared" si="25"/>
        <v>0.2</v>
      </c>
      <c r="AN36" s="35">
        <f t="shared" si="26"/>
        <v>1.425</v>
      </c>
      <c r="AO36" s="35">
        <f t="shared" si="27"/>
        <v>0.8125</v>
      </c>
      <c r="AP36" s="35">
        <f t="shared" si="28"/>
        <v>0.17043143662265825</v>
      </c>
      <c r="AQ36" s="35">
        <f t="shared" si="29"/>
        <v>0.8125</v>
      </c>
      <c r="AR36" s="35">
        <f t="shared" si="30"/>
        <v>1.425</v>
      </c>
      <c r="AS36" s="35">
        <f t="shared" si="31"/>
        <v>1.1187499999999999</v>
      </c>
      <c r="AT36" s="35">
        <f t="shared" si="32"/>
        <v>-4.0261063539564046E-2</v>
      </c>
      <c r="AU36" s="35">
        <f t="shared" si="33"/>
        <v>0.8125</v>
      </c>
      <c r="AV36" s="35">
        <f t="shared" si="34"/>
        <v>1.1187499999999999</v>
      </c>
      <c r="AW36" s="35">
        <f t="shared" si="35"/>
        <v>0.96562499999999996</v>
      </c>
      <c r="AX36" s="35">
        <f t="shared" si="36"/>
        <v>5.9612598703075337E-2</v>
      </c>
      <c r="AY36" s="35">
        <f t="shared" si="37"/>
        <v>0.96562499999999996</v>
      </c>
      <c r="AZ36" s="35">
        <f t="shared" si="38"/>
        <v>1.1187499999999999</v>
      </c>
      <c r="BA36" s="35">
        <f t="shared" si="39"/>
        <v>1.0421874999999998</v>
      </c>
      <c r="BB36" s="35">
        <f t="shared" si="40"/>
        <v>8.3808379876977313E-3</v>
      </c>
      <c r="BC36" s="35">
        <f t="shared" si="41"/>
        <v>1.0421874999999998</v>
      </c>
      <c r="BD36" s="35">
        <f t="shared" si="42"/>
        <v>1.1187499999999999</v>
      </c>
      <c r="BE36" s="35">
        <f t="shared" si="43"/>
        <v>1.0804687499999999</v>
      </c>
      <c r="BF36" s="35">
        <f t="shared" si="44"/>
        <v>-1.6255137289991506E-2</v>
      </c>
      <c r="BG36" s="35">
        <f t="shared" si="45"/>
        <v>1.0421874999999998</v>
      </c>
      <c r="BH36" s="35">
        <f t="shared" si="46"/>
        <v>1.0804687499999999</v>
      </c>
      <c r="BI36" s="35">
        <f t="shared" si="47"/>
        <v>1.0613281249999997</v>
      </c>
      <c r="BJ36" s="35">
        <f t="shared" si="48"/>
        <v>-4.0169751723604374E-3</v>
      </c>
      <c r="BK36" s="35">
        <f t="shared" si="49"/>
        <v>1.0421874999999998</v>
      </c>
      <c r="BL36" s="35">
        <f t="shared" si="50"/>
        <v>1.0613281249999997</v>
      </c>
      <c r="BM36" s="35">
        <f t="shared" si="51"/>
        <v>1.0517578124999998</v>
      </c>
      <c r="BN36" s="35">
        <f t="shared" si="52"/>
        <v>2.1618397044178561E-3</v>
      </c>
      <c r="BO36" s="35">
        <f t="shared" si="53"/>
        <v>1.0517578124999998</v>
      </c>
      <c r="BP36" s="35">
        <f t="shared" si="54"/>
        <v>1.0613281249999997</v>
      </c>
      <c r="BQ36" s="35">
        <f t="shared" si="55"/>
        <v>1.0565429687499996</v>
      </c>
      <c r="BR36" s="35">
        <f t="shared" si="56"/>
        <v>-9.3257367011212455E-4</v>
      </c>
      <c r="BS36" s="35">
        <f t="shared" si="57"/>
        <v>1.0517578124999998</v>
      </c>
      <c r="BT36" s="35">
        <f t="shared" si="58"/>
        <v>1.0565429687499996</v>
      </c>
      <c r="BU36" s="35">
        <f t="shared" si="59"/>
        <v>1.0541503906249998</v>
      </c>
      <c r="BV36" s="35">
        <f t="shared" si="60"/>
        <v>6.133794140710247E-4</v>
      </c>
      <c r="BW36" s="35">
        <f t="shared" si="61"/>
        <v>1.0541503906249998</v>
      </c>
      <c r="BX36" s="35">
        <f t="shared" si="62"/>
        <v>1.0565429687499996</v>
      </c>
      <c r="BY36" s="35">
        <f t="shared" si="63"/>
        <v>1.0553466796874997</v>
      </c>
      <c r="BZ36" s="35">
        <f t="shared" si="64"/>
        <v>-1.5991026361938943E-4</v>
      </c>
      <c r="CA36" s="35">
        <f t="shared" si="65"/>
        <v>1.0541503906249998</v>
      </c>
      <c r="CB36" s="35">
        <f t="shared" si="66"/>
        <v>1.0553466796874997</v>
      </c>
      <c r="CC36" s="35">
        <f t="shared" si="67"/>
        <v>1.0547485351562498</v>
      </c>
      <c r="CD36" s="35">
        <f t="shared" si="68"/>
        <v>2.2665625819784374E-4</v>
      </c>
      <c r="CE36" s="35">
        <f t="shared" si="69"/>
        <v>1.0547485351562498</v>
      </c>
      <c r="CF36" s="35">
        <f t="shared" si="70"/>
        <v>1.0553466796874997</v>
      </c>
      <c r="CG36" s="35">
        <f t="shared" si="71"/>
        <v>1.0550476074218746</v>
      </c>
      <c r="CH36" s="35">
        <f t="shared" si="72"/>
        <v>3.3353422174586811E-5</v>
      </c>
      <c r="CI36" s="35">
        <f t="shared" si="73"/>
        <v>1.0550476074218746</v>
      </c>
      <c r="CJ36" s="35">
        <f t="shared" si="74"/>
        <v>1.0553466796874997</v>
      </c>
      <c r="CK36" s="35">
        <f t="shared" si="75"/>
        <v>1.0551971435546872</v>
      </c>
      <c r="CL36" s="35">
        <f t="shared" si="76"/>
        <v>-6.3283313983530931E-5</v>
      </c>
      <c r="CM36" s="35">
        <f t="shared" si="77"/>
        <v>1.0550476074218746</v>
      </c>
      <c r="CN36" s="35">
        <f t="shared" si="78"/>
        <v>1.0551971435546872</v>
      </c>
      <c r="CO36" s="35">
        <f t="shared" si="79"/>
        <v>1.0551223754882808</v>
      </c>
      <c r="CP36" s="35">
        <f t="shared" si="80"/>
        <v>-1.4966169284313935E-5</v>
      </c>
      <c r="CQ36" s="35">
        <f t="shared" si="81"/>
        <v>1.0550476074218746</v>
      </c>
      <c r="CR36" s="35">
        <f t="shared" si="82"/>
        <v>1.0551223754882808</v>
      </c>
      <c r="CS36" s="35">
        <f t="shared" si="83"/>
        <v>1.0550849914550777</v>
      </c>
      <c r="CT36" s="35">
        <f t="shared" si="84"/>
        <v>9.1933205921268524E-6</v>
      </c>
      <c r="CU36" s="35">
        <f t="shared" si="85"/>
        <v>1.0550849914550777</v>
      </c>
      <c r="CV36" s="35">
        <f t="shared" si="86"/>
        <v>1.0551223754882808</v>
      </c>
      <c r="CW36" s="35">
        <f t="shared" si="87"/>
        <v>1.0551036834716792</v>
      </c>
      <c r="CX36" s="35">
        <f t="shared" si="88"/>
        <v>-2.8865008083744925E-6</v>
      </c>
      <c r="CY36" s="35">
        <f t="shared" si="89"/>
        <v>1.0550849914550777</v>
      </c>
      <c r="CZ36" s="35">
        <f t="shared" si="90"/>
        <v>1.0551036834716792</v>
      </c>
      <c r="DA36" s="35">
        <f t="shared" si="91"/>
        <v>1.0550943374633786</v>
      </c>
      <c r="DB36" s="35">
        <f t="shared" si="92"/>
        <v>3.1533907760561419E-6</v>
      </c>
      <c r="DC36" s="35">
        <f t="shared" si="93"/>
        <v>1.0550943374633786</v>
      </c>
      <c r="DD36" s="35">
        <f t="shared" si="94"/>
        <v>1.0551036834716792</v>
      </c>
      <c r="DE36" s="35">
        <f t="shared" si="95"/>
        <v>1.0550990104675289</v>
      </c>
      <c r="DF36" s="35">
        <f t="shared" si="96"/>
        <v>1.3344020488581521E-7</v>
      </c>
      <c r="DG36" s="35">
        <f t="shared" si="97"/>
        <v>1.0550990104675289</v>
      </c>
      <c r="DH36" s="35">
        <f t="shared" si="98"/>
        <v>1.0551036834716792</v>
      </c>
      <c r="DI36" s="35">
        <f t="shared" si="99"/>
        <v>1.055101346969604</v>
      </c>
      <c r="DJ36" s="35">
        <f t="shared" si="100"/>
        <v>-1.3765314963443132E-6</v>
      </c>
      <c r="DK36" s="35">
        <f t="shared" si="101"/>
        <v>1.0550990104675289</v>
      </c>
      <c r="DL36" s="35">
        <f t="shared" si="102"/>
        <v>1.055101346969604</v>
      </c>
      <c r="DM36" s="35">
        <f t="shared" si="103"/>
        <v>1.0551001787185665</v>
      </c>
      <c r="DN36" s="35">
        <f t="shared" si="104"/>
        <v>-6.215459444902649E-7</v>
      </c>
      <c r="DO36" s="35">
        <f t="shared" si="105"/>
        <v>1.0550990104675289</v>
      </c>
      <c r="DP36" s="35">
        <f t="shared" si="106"/>
        <v>1.0551001787185665</v>
      </c>
      <c r="DQ36" s="35">
        <f t="shared" si="107"/>
        <v>1.0550995945930477</v>
      </c>
      <c r="DR36" s="35">
        <f t="shared" si="108"/>
        <v>-2.440529445202344E-7</v>
      </c>
      <c r="DS36" s="35">
        <f t="shared" si="109"/>
        <v>1.0550990104675289</v>
      </c>
      <c r="DT36" s="35">
        <f t="shared" si="110"/>
        <v>1.0550995945930477</v>
      </c>
      <c r="DU36" s="35">
        <f t="shared" si="111"/>
        <v>1.0550993025302882</v>
      </c>
      <c r="DV36" s="35">
        <f t="shared" si="112"/>
        <v>-5.5306388357934111E-8</v>
      </c>
      <c r="DW36" s="35">
        <f t="shared" si="113"/>
        <v>1.0550990104675289</v>
      </c>
      <c r="DX36" s="35">
        <f t="shared" si="114"/>
        <v>1.0550993025302882</v>
      </c>
      <c r="DY36" s="35">
        <f t="shared" si="115"/>
        <v>1.0550991564989085</v>
      </c>
      <c r="DZ36" s="35">
        <f t="shared" si="116"/>
        <v>3.9066903489981541E-8</v>
      </c>
      <c r="EA36" s="35">
        <f t="shared" si="117"/>
        <v>1.0550991564989085</v>
      </c>
      <c r="EB36" s="35">
        <f t="shared" si="118"/>
        <v>1.0550993025302882</v>
      </c>
      <c r="EC36" s="35">
        <f t="shared" si="119"/>
        <v>1.0550992295145982</v>
      </c>
      <c r="ED36" s="35">
        <f t="shared" si="120"/>
        <v>-8.1197435441993093E-9</v>
      </c>
      <c r="EE36" s="35">
        <f t="shared" si="121"/>
        <v>1.0550991564989085</v>
      </c>
      <c r="EF36" s="35">
        <f t="shared" si="122"/>
        <v>1.0550992295145982</v>
      </c>
      <c r="EG36" s="35">
        <f t="shared" si="123"/>
        <v>1.0550991930067535</v>
      </c>
      <c r="EH36" s="35">
        <f t="shared" si="124"/>
        <v>1.5473579750846511E-8</v>
      </c>
      <c r="EI36" s="35">
        <f t="shared" si="125"/>
        <v>1.0550991930067535</v>
      </c>
      <c r="EJ36" s="35">
        <f t="shared" si="126"/>
        <v>1.0550992295145982</v>
      </c>
      <c r="EK36" s="35">
        <f t="shared" si="127"/>
        <v>1.0550992112606759</v>
      </c>
      <c r="EL36" s="35">
        <f t="shared" si="128"/>
        <v>3.676917881278996E-9</v>
      </c>
      <c r="EM36" s="35">
        <f t="shared" si="129"/>
        <v>1.0550992112606759</v>
      </c>
      <c r="EN36" s="35">
        <f t="shared" si="130"/>
        <v>1.0550992295145982</v>
      </c>
      <c r="EO36" s="35">
        <f t="shared" si="131"/>
        <v>1.055099220387637</v>
      </c>
      <c r="EP36" s="35">
        <f t="shared" si="132"/>
        <v>-2.2214128314601567E-9</v>
      </c>
      <c r="EQ36" s="35">
        <f t="shared" si="133"/>
        <v>1.0550992112606759</v>
      </c>
      <c r="ER36" s="35">
        <f t="shared" si="134"/>
        <v>1.055099220387637</v>
      </c>
      <c r="ES36" s="35">
        <f t="shared" si="135"/>
        <v>1.0550992158241566</v>
      </c>
      <c r="ET36" s="35">
        <f t="shared" si="136"/>
        <v>7.2775252490941966E-10</v>
      </c>
      <c r="EU36" s="35">
        <f t="shared" si="137"/>
        <v>1.0550992158241566</v>
      </c>
      <c r="EV36" s="35">
        <f t="shared" si="138"/>
        <v>1.055099220387637</v>
      </c>
      <c r="EW36" s="35">
        <f t="shared" si="139"/>
        <v>1.0550992181058967</v>
      </c>
      <c r="EX36" s="35">
        <f t="shared" si="140"/>
        <v>-7.4683004225306604E-10</v>
      </c>
      <c r="EY36" s="35">
        <f t="shared" si="141"/>
        <v>1.0550992158241566</v>
      </c>
      <c r="EZ36" s="35">
        <f t="shared" si="142"/>
        <v>1.0550992181058967</v>
      </c>
      <c r="FA36" s="10">
        <v>9.9999999999999995E-7</v>
      </c>
      <c r="FB36" s="10">
        <v>0.99990000000000001</v>
      </c>
      <c r="FC36" s="35">
        <f t="shared" si="143"/>
        <v>0.49995050000000002</v>
      </c>
      <c r="FD36" s="35">
        <f t="shared" si="144"/>
        <v>-0.24317762971061585</v>
      </c>
      <c r="FE36" s="35">
        <f t="shared" si="145"/>
        <v>9.9999999999999995E-7</v>
      </c>
      <c r="FF36" s="35">
        <f t="shared" si="146"/>
        <v>0.49995050000000002</v>
      </c>
      <c r="FG36" s="35">
        <f t="shared" si="147"/>
        <v>0.24997575</v>
      </c>
      <c r="FH36" s="35">
        <f t="shared" si="148"/>
        <v>-0.11064451306199619</v>
      </c>
      <c r="FI36" s="35">
        <f t="shared" si="149"/>
        <v>9.9999999999999995E-7</v>
      </c>
      <c r="FJ36" s="35">
        <f t="shared" si="150"/>
        <v>0.24997575</v>
      </c>
      <c r="FK36" s="35">
        <f t="shared" si="151"/>
        <v>0.124988375</v>
      </c>
      <c r="FL36" s="35">
        <f t="shared" si="152"/>
        <v>-4.5060877361541185E-2</v>
      </c>
      <c r="FM36" s="35">
        <f t="shared" si="153"/>
        <v>9.9999999999999995E-7</v>
      </c>
      <c r="FN36" s="35">
        <f t="shared" si="154"/>
        <v>0.124988375</v>
      </c>
      <c r="FO36" s="35">
        <f t="shared" si="155"/>
        <v>6.24946875E-2</v>
      </c>
      <c r="FP36" s="35">
        <f t="shared" si="156"/>
        <v>-1.3144920463768917E-2</v>
      </c>
      <c r="FQ36" s="35">
        <f t="shared" si="157"/>
        <v>9.9999999999999995E-7</v>
      </c>
      <c r="FR36" s="35">
        <f t="shared" si="158"/>
        <v>6.24946875E-2</v>
      </c>
      <c r="FS36" s="35">
        <f t="shared" si="159"/>
        <v>3.124784375E-2</v>
      </c>
      <c r="FT36" s="35">
        <f t="shared" si="160"/>
        <v>2.5239770740750345E-3</v>
      </c>
      <c r="FU36" s="35">
        <f t="shared" si="161"/>
        <v>3.124784375E-2</v>
      </c>
      <c r="FV36" s="35">
        <f t="shared" si="162"/>
        <v>6.24946875E-2</v>
      </c>
      <c r="FW36" s="35">
        <f t="shared" si="163"/>
        <v>4.6871265624999998E-2</v>
      </c>
      <c r="FX36" s="35">
        <f t="shared" si="164"/>
        <v>-5.284611429292263E-3</v>
      </c>
      <c r="FY36" s="35">
        <f t="shared" si="165"/>
        <v>3.124784375E-2</v>
      </c>
      <c r="FZ36" s="35">
        <f t="shared" si="166"/>
        <v>4.6871265624999998E-2</v>
      </c>
      <c r="GA36" s="35">
        <f t="shared" si="167"/>
        <v>3.9059554687499998E-2</v>
      </c>
      <c r="GB36" s="35">
        <f t="shared" si="168"/>
        <v>-1.3737298749542104E-3</v>
      </c>
      <c r="GC36" s="35">
        <f t="shared" si="169"/>
        <v>3.124784375E-2</v>
      </c>
      <c r="GD36" s="35">
        <f t="shared" si="170"/>
        <v>3.9059554687499998E-2</v>
      </c>
      <c r="GE36" s="35">
        <f t="shared" si="171"/>
        <v>3.5153699218750001E-2</v>
      </c>
      <c r="GF36" s="35">
        <f t="shared" si="172"/>
        <v>5.7678528388582784E-4</v>
      </c>
      <c r="GG36" s="35">
        <f t="shared" si="173"/>
        <v>3.5153699218750001E-2</v>
      </c>
      <c r="GH36" s="35">
        <f t="shared" si="174"/>
        <v>3.9059554687499998E-2</v>
      </c>
      <c r="GI36" s="35">
        <f t="shared" si="175"/>
        <v>3.7106626953124999E-2</v>
      </c>
      <c r="GJ36" s="35">
        <f t="shared" si="176"/>
        <v>-3.9805871299813944E-4</v>
      </c>
      <c r="GK36" s="35">
        <f t="shared" si="177"/>
        <v>3.5153699218750001E-2</v>
      </c>
      <c r="GL36" s="35">
        <f t="shared" si="178"/>
        <v>3.7106626953124999E-2</v>
      </c>
      <c r="GM36" s="35">
        <f t="shared" si="179"/>
        <v>3.61301630859375E-2</v>
      </c>
      <c r="GN36" s="35">
        <f t="shared" si="180"/>
        <v>8.9466912069902094E-5</v>
      </c>
      <c r="GO36" s="35">
        <f t="shared" si="181"/>
        <v>3.61301630859375E-2</v>
      </c>
      <c r="GP36" s="35">
        <f t="shared" si="182"/>
        <v>3.7106626953124999E-2</v>
      </c>
      <c r="GQ36" s="35">
        <f t="shared" si="183"/>
        <v>3.661839501953125E-2</v>
      </c>
      <c r="GR36" s="35">
        <f t="shared" si="184"/>
        <v>-1.5427002260814948E-4</v>
      </c>
      <c r="GS36" s="35">
        <f t="shared" si="185"/>
        <v>3.61301630859375E-2</v>
      </c>
      <c r="GT36" s="35">
        <f t="shared" si="186"/>
        <v>3.661839501953125E-2</v>
      </c>
      <c r="GU36" s="35">
        <f t="shared" si="187"/>
        <v>3.6374279052734375E-2</v>
      </c>
      <c r="GV36" s="35">
        <f t="shared" si="188"/>
        <v>-3.2395082200431524E-5</v>
      </c>
      <c r="GW36" s="35">
        <f t="shared" si="189"/>
        <v>3.61301630859375E-2</v>
      </c>
      <c r="GX36" s="35">
        <f t="shared" si="190"/>
        <v>3.6374279052734375E-2</v>
      </c>
      <c r="GY36" s="35">
        <f t="shared" si="191"/>
        <v>3.6252221069335941E-2</v>
      </c>
      <c r="GZ36" s="35">
        <f t="shared" si="192"/>
        <v>2.8537533651951108E-5</v>
      </c>
      <c r="HA36" s="35">
        <f t="shared" si="193"/>
        <v>3.6252221069335941E-2</v>
      </c>
      <c r="HB36" s="35">
        <f t="shared" si="194"/>
        <v>3.6374279052734375E-2</v>
      </c>
      <c r="HC36" s="35">
        <f t="shared" si="195"/>
        <v>3.6313250061035154E-2</v>
      </c>
      <c r="HD36" s="35">
        <f t="shared" si="196"/>
        <v>-1.9283696511829262E-6</v>
      </c>
      <c r="HE36" s="35">
        <f t="shared" si="197"/>
        <v>3.6252221069335941E-2</v>
      </c>
      <c r="HF36" s="35">
        <f t="shared" si="198"/>
        <v>3.6313250061035154E-2</v>
      </c>
      <c r="HG36" s="35">
        <f t="shared" si="199"/>
        <v>3.6282735565185548E-2</v>
      </c>
      <c r="HH36" s="35">
        <f t="shared" si="200"/>
        <v>1.3304683163406494E-5</v>
      </c>
      <c r="HI36" s="35">
        <f t="shared" si="201"/>
        <v>3.6282735565185548E-2</v>
      </c>
      <c r="HJ36" s="35">
        <f t="shared" si="202"/>
        <v>3.6313250061035154E-2</v>
      </c>
      <c r="HK36" s="35">
        <f t="shared" si="203"/>
        <v>3.6297992813110351E-2</v>
      </c>
      <c r="HL36" s="35">
        <f t="shared" si="204"/>
        <v>5.6881820460485955E-6</v>
      </c>
      <c r="HM36" s="35">
        <f t="shared" si="205"/>
        <v>3.6297992813110351E-2</v>
      </c>
      <c r="HN36" s="35">
        <f t="shared" si="206"/>
        <v>3.6313250061035154E-2</v>
      </c>
      <c r="HO36" s="35">
        <f t="shared" si="207"/>
        <v>3.6305621437072749E-2</v>
      </c>
      <c r="HP36" s="35">
        <f t="shared" si="208"/>
        <v>1.8799125196533595E-6</v>
      </c>
      <c r="HQ36" s="35">
        <f t="shared" si="209"/>
        <v>3.6305621437072749E-2</v>
      </c>
      <c r="HR36" s="35">
        <f t="shared" si="210"/>
        <v>3.6313250061035154E-2</v>
      </c>
      <c r="HS36" s="35">
        <f t="shared" si="211"/>
        <v>3.6309435749053952E-2</v>
      </c>
      <c r="HT36" s="35">
        <f t="shared" si="212"/>
        <v>-2.4226985084752073E-8</v>
      </c>
      <c r="HU36" s="35">
        <f t="shared" si="213"/>
        <v>3.6305621437072749E-2</v>
      </c>
      <c r="HV36" s="35">
        <f t="shared" si="214"/>
        <v>3.6309435749053952E-2</v>
      </c>
      <c r="HW36" s="35">
        <f t="shared" si="215"/>
        <v>3.6307528593063354E-2</v>
      </c>
      <c r="HX36" s="35">
        <f t="shared" si="216"/>
        <v>9.2784316230165587E-7</v>
      </c>
      <c r="HY36" s="35">
        <f t="shared" si="217"/>
        <v>3.6307528593063354E-2</v>
      </c>
      <c r="HZ36" s="35">
        <f t="shared" si="218"/>
        <v>3.6309435749053952E-2</v>
      </c>
      <c r="IA36" s="35">
        <f t="shared" si="219"/>
        <v>3.6308482171058656E-2</v>
      </c>
      <c r="IB36" s="35">
        <f t="shared" si="220"/>
        <v>4.5180818752932339E-7</v>
      </c>
      <c r="IC36" s="35">
        <f t="shared" si="221"/>
        <v>3.6308482171058656E-2</v>
      </c>
      <c r="ID36" s="35">
        <f t="shared" si="222"/>
        <v>3.6309435749053952E-2</v>
      </c>
      <c r="IE36" s="35">
        <f t="shared" si="223"/>
        <v>3.6308958960056301E-2</v>
      </c>
      <c r="IF36" s="35">
        <f t="shared" si="224"/>
        <v>2.1379062609128141E-7</v>
      </c>
      <c r="IG36" s="35">
        <f t="shared" si="225"/>
        <v>3.6308958960056301E-2</v>
      </c>
      <c r="IH36" s="35">
        <f t="shared" si="226"/>
        <v>3.6309435749053952E-2</v>
      </c>
      <c r="II36" s="35">
        <f t="shared" si="227"/>
        <v>3.6309197354555123E-2</v>
      </c>
      <c r="IJ36" s="35">
        <f t="shared" si="228"/>
        <v>9.4781826609491304E-8</v>
      </c>
      <c r="IK36" s="35">
        <f t="shared" si="229"/>
        <v>3.6309197354555123E-2</v>
      </c>
      <c r="IL36" s="35">
        <f t="shared" si="230"/>
        <v>3.6309435749053952E-2</v>
      </c>
      <c r="IM36" s="35">
        <f t="shared" si="231"/>
        <v>3.6309316551804541E-2</v>
      </c>
      <c r="IN36" s="35">
        <f t="shared" si="232"/>
        <v>3.527742231668185E-8</v>
      </c>
      <c r="IO36" s="35">
        <f t="shared" si="233"/>
        <v>3.6309316551804541E-2</v>
      </c>
      <c r="IP36" s="35">
        <f t="shared" si="234"/>
        <v>3.6309435749053952E-2</v>
      </c>
      <c r="IQ36" s="35">
        <f t="shared" si="235"/>
        <v>3.6309376150429243E-2</v>
      </c>
      <c r="IR36" s="35">
        <f t="shared" si="236"/>
        <v>5.525218949031796E-9</v>
      </c>
      <c r="IS36" s="35">
        <f t="shared" si="237"/>
        <v>3.6309376150429243E-2</v>
      </c>
      <c r="IT36" s="35">
        <f t="shared" si="238"/>
        <v>3.6309435749053952E-2</v>
      </c>
      <c r="IU36" s="35">
        <f t="shared" si="239"/>
        <v>3.6309405949741594E-2</v>
      </c>
      <c r="IV36" s="35">
        <f t="shared" si="240"/>
        <v>-9.3508828458155335E-9</v>
      </c>
      <c r="IW36" s="35">
        <f t="shared" si="241"/>
        <v>3.6309376150429243E-2</v>
      </c>
      <c r="IX36" s="35">
        <f t="shared" si="242"/>
        <v>3.6309405949741594E-2</v>
      </c>
      <c r="IY36" s="35">
        <f t="shared" si="243"/>
        <v>3.6309391050085418E-2</v>
      </c>
      <c r="IZ36" s="35">
        <f t="shared" si="244"/>
        <v>-1.91283200390302E-9</v>
      </c>
      <c r="JA36" s="35">
        <f t="shared" si="245"/>
        <v>3.6309376150429243E-2</v>
      </c>
      <c r="JB36" s="35">
        <f t="shared" si="246"/>
        <v>3.6309391050085418E-2</v>
      </c>
      <c r="JC36" s="35">
        <f t="shared" si="247"/>
        <v>3.6309383600257331E-2</v>
      </c>
      <c r="JD36" s="35">
        <f t="shared" si="248"/>
        <v>1.8061934170532368E-9</v>
      </c>
      <c r="JE36" s="35">
        <f t="shared" si="249"/>
        <v>3.6309383600257331E-2</v>
      </c>
      <c r="JF36" s="35">
        <f t="shared" si="250"/>
        <v>3.6309391050085418E-2</v>
      </c>
      <c r="JG36" s="35">
        <f t="shared" si="251"/>
        <v>3.6309387325171374E-2</v>
      </c>
      <c r="JH36" s="35">
        <f t="shared" si="252"/>
        <v>-5.3319348936042843E-11</v>
      </c>
      <c r="JI36" s="35">
        <f t="shared" si="253"/>
        <v>3.6309383600257331E-2</v>
      </c>
      <c r="JJ36" s="35">
        <f t="shared" si="254"/>
        <v>3.6309387325171374E-2</v>
      </c>
      <c r="JK36" s="35">
        <f t="shared" si="255"/>
        <v>3.6309385462714353E-2</v>
      </c>
      <c r="JL36" s="35">
        <f t="shared" si="256"/>
        <v>8.7643714508089943E-10</v>
      </c>
      <c r="JM36" s="35">
        <f t="shared" si="257"/>
        <v>3.6309385462714353E-2</v>
      </c>
      <c r="JN36" s="35">
        <f t="shared" si="258"/>
        <v>3.6309387325171374E-2</v>
      </c>
      <c r="JO36" s="35">
        <f t="shared" si="259"/>
        <v>3.6309386393942863E-2</v>
      </c>
      <c r="JP36" s="35">
        <f t="shared" si="260"/>
        <v>4.1155900909473075E-10</v>
      </c>
      <c r="JQ36" s="35">
        <f t="shared" si="261"/>
        <v>3.6309386393942863E-2</v>
      </c>
      <c r="JR36" s="35">
        <f t="shared" si="262"/>
        <v>3.6309387325171374E-2</v>
      </c>
      <c r="JS36" s="35">
        <f t="shared" si="263"/>
        <v>3.6309386859557119E-2</v>
      </c>
      <c r="JT36" s="35">
        <f t="shared" si="264"/>
        <v>1.7911983007934396E-10</v>
      </c>
      <c r="JU36" s="35">
        <f t="shared" si="265"/>
        <v>3.6309386859557119E-2</v>
      </c>
      <c r="JV36" s="35">
        <f t="shared" si="266"/>
        <v>3.6309387325171374E-2</v>
      </c>
      <c r="JW36" s="35">
        <f t="shared" si="267"/>
        <v>3.6309387092364247E-2</v>
      </c>
      <c r="JX36" s="35">
        <f t="shared" si="268"/>
        <v>6.2900351593953019E-11</v>
      </c>
      <c r="JY36" s="35">
        <f t="shared" si="269"/>
        <v>3.6309387092364247E-2</v>
      </c>
      <c r="JZ36" s="35">
        <f t="shared" si="270"/>
        <v>3.6309387325171374E-2</v>
      </c>
      <c r="KA36" s="35">
        <f t="shared" si="271"/>
        <v>1.0550992169650266</v>
      </c>
      <c r="KB36" s="35">
        <f t="shared" si="272"/>
        <v>3.6309387208767807E-2</v>
      </c>
    </row>
    <row r="37" spans="1:288" ht="15" customHeight="1" x14ac:dyDescent="0.3">
      <c r="A37" s="30">
        <f>Odds_Input!A37</f>
        <v>29</v>
      </c>
      <c r="B37" s="7" t="str">
        <f>Odds_Input!B37</f>
        <v>TITLE</v>
      </c>
      <c r="C37" s="7" t="str">
        <f>Odds_Input!C37</f>
        <v>Washington Wizards</v>
      </c>
      <c r="D37" s="7" t="str">
        <f>Odds_Input!D37</f>
        <v>YES</v>
      </c>
      <c r="E37" s="31" t="str">
        <f>Odds_Input!E37</f>
        <v>-</v>
      </c>
      <c r="F37" s="32">
        <f>Odds_Input!F37</f>
        <v>14500</v>
      </c>
      <c r="G37" s="6" t="str">
        <f t="shared" si="0"/>
        <v>TITLE</v>
      </c>
      <c r="H37" s="14">
        <f t="shared" si="1"/>
        <v>146</v>
      </c>
      <c r="I37" s="33">
        <f t="shared" si="2"/>
        <v>6.8493150684931503E-3</v>
      </c>
      <c r="J37" s="17">
        <f t="shared" si="3"/>
        <v>1</v>
      </c>
      <c r="K37" s="17">
        <f t="shared" si="4"/>
        <v>30</v>
      </c>
      <c r="L37" s="18">
        <f t="shared" si="5"/>
        <v>1.252565192422864</v>
      </c>
      <c r="M37" s="34">
        <f t="shared" si="6"/>
        <v>0.25256519242286402</v>
      </c>
      <c r="N37" s="33">
        <f t="shared" si="7"/>
        <v>5.4682304042349859E-3</v>
      </c>
      <c r="O37" s="33">
        <f t="shared" si="8"/>
        <v>4.1774394543396699E-3</v>
      </c>
      <c r="P37" s="33">
        <f t="shared" si="9"/>
        <v>2.7246056272470097E-3</v>
      </c>
      <c r="Q37" s="33">
        <f t="shared" si="10"/>
        <v>2.7246056272470097E-3</v>
      </c>
      <c r="R37" s="35">
        <f t="shared" si="11"/>
        <v>1.0992153287166726</v>
      </c>
      <c r="S37" s="35">
        <f t="shared" si="12"/>
        <v>1.1051948455485863E-2</v>
      </c>
      <c r="X37" s="6" t="s">
        <v>812</v>
      </c>
      <c r="Y37" s="6">
        <f t="shared" si="13"/>
        <v>1</v>
      </c>
      <c r="Z37" s="18">
        <f t="shared" si="14"/>
        <v>1.0454545454545454</v>
      </c>
      <c r="AA37" s="10">
        <v>0.2</v>
      </c>
      <c r="AB37" s="10">
        <v>10</v>
      </c>
      <c r="AC37" s="35">
        <f t="shared" si="15"/>
        <v>5.0999999999999996</v>
      </c>
      <c r="AD37" s="35">
        <f t="shared" si="16"/>
        <v>-0.92539954235841471</v>
      </c>
      <c r="AE37" s="35">
        <f t="shared" si="17"/>
        <v>0.2</v>
      </c>
      <c r="AF37" s="35">
        <f t="shared" si="18"/>
        <v>5.0999999999999996</v>
      </c>
      <c r="AG37" s="35">
        <f t="shared" si="19"/>
        <v>2.65</v>
      </c>
      <c r="AH37" s="35">
        <f t="shared" si="20"/>
        <v>-0.64004330393040465</v>
      </c>
      <c r="AI37" s="35">
        <f t="shared" si="21"/>
        <v>0.2</v>
      </c>
      <c r="AJ37" s="35">
        <f t="shared" si="22"/>
        <v>2.65</v>
      </c>
      <c r="AK37" s="35">
        <f t="shared" si="23"/>
        <v>1.425</v>
      </c>
      <c r="AL37" s="35">
        <f t="shared" si="24"/>
        <v>-0.20599970626899999</v>
      </c>
      <c r="AM37" s="35">
        <f t="shared" si="25"/>
        <v>0.2</v>
      </c>
      <c r="AN37" s="35">
        <f t="shared" si="26"/>
        <v>1.425</v>
      </c>
      <c r="AO37" s="35">
        <f t="shared" si="27"/>
        <v>0.8125</v>
      </c>
      <c r="AP37" s="35">
        <f t="shared" si="28"/>
        <v>0.18050001693930851</v>
      </c>
      <c r="AQ37" s="35">
        <f t="shared" si="29"/>
        <v>0.8125</v>
      </c>
      <c r="AR37" s="35">
        <f t="shared" si="30"/>
        <v>1.425</v>
      </c>
      <c r="AS37" s="35">
        <f t="shared" si="31"/>
        <v>1.1187499999999999</v>
      </c>
      <c r="AT37" s="35">
        <f t="shared" si="32"/>
        <v>-3.1934205800687954E-2</v>
      </c>
      <c r="AU37" s="35">
        <f t="shared" si="33"/>
        <v>0.8125</v>
      </c>
      <c r="AV37" s="35">
        <f t="shared" si="34"/>
        <v>1.1187499999999999</v>
      </c>
      <c r="AW37" s="35">
        <f t="shared" si="35"/>
        <v>0.96562499999999996</v>
      </c>
      <c r="AX37" s="35">
        <f t="shared" si="36"/>
        <v>6.8995350859696325E-2</v>
      </c>
      <c r="AY37" s="35">
        <f t="shared" si="37"/>
        <v>0.96562499999999996</v>
      </c>
      <c r="AZ37" s="35">
        <f t="shared" si="38"/>
        <v>1.1187499999999999</v>
      </c>
      <c r="BA37" s="35">
        <f t="shared" si="39"/>
        <v>1.0421874999999998</v>
      </c>
      <c r="BB37" s="35">
        <f t="shared" si="40"/>
        <v>1.7273992252547554E-2</v>
      </c>
      <c r="BC37" s="35">
        <f t="shared" si="41"/>
        <v>1.0421874999999998</v>
      </c>
      <c r="BD37" s="35">
        <f t="shared" si="42"/>
        <v>1.1187499999999999</v>
      </c>
      <c r="BE37" s="35">
        <f t="shared" si="43"/>
        <v>1.0804687499999999</v>
      </c>
      <c r="BF37" s="35">
        <f t="shared" si="44"/>
        <v>-7.6364427676745006E-3</v>
      </c>
      <c r="BG37" s="35">
        <f t="shared" si="45"/>
        <v>1.0421874999999998</v>
      </c>
      <c r="BH37" s="35">
        <f t="shared" si="46"/>
        <v>1.0804687499999999</v>
      </c>
      <c r="BI37" s="35">
        <f t="shared" si="47"/>
        <v>1.0613281249999997</v>
      </c>
      <c r="BJ37" s="35">
        <f t="shared" si="48"/>
        <v>4.7412299184854678E-3</v>
      </c>
      <c r="BK37" s="35">
        <f t="shared" si="49"/>
        <v>1.0613281249999997</v>
      </c>
      <c r="BL37" s="35">
        <f t="shared" si="50"/>
        <v>1.0804687499999999</v>
      </c>
      <c r="BM37" s="35">
        <f t="shared" si="51"/>
        <v>1.0708984374999999</v>
      </c>
      <c r="BN37" s="35">
        <f t="shared" si="52"/>
        <v>-1.4668715838355162E-3</v>
      </c>
      <c r="BO37" s="35">
        <f t="shared" si="53"/>
        <v>1.0613281249999997</v>
      </c>
      <c r="BP37" s="35">
        <f t="shared" si="54"/>
        <v>1.0708984374999999</v>
      </c>
      <c r="BQ37" s="35">
        <f t="shared" si="55"/>
        <v>1.0661132812499998</v>
      </c>
      <c r="BR37" s="35">
        <f t="shared" si="56"/>
        <v>1.6323478060529251E-3</v>
      </c>
      <c r="BS37" s="35">
        <f t="shared" si="57"/>
        <v>1.0661132812499998</v>
      </c>
      <c r="BT37" s="35">
        <f t="shared" si="58"/>
        <v>1.0708984374999999</v>
      </c>
      <c r="BU37" s="35">
        <f t="shared" si="59"/>
        <v>1.0685058593749999</v>
      </c>
      <c r="BV37" s="35">
        <f t="shared" si="60"/>
        <v>8.1532158421993017E-5</v>
      </c>
      <c r="BW37" s="35">
        <f t="shared" si="61"/>
        <v>1.0685058593749999</v>
      </c>
      <c r="BX37" s="35">
        <f t="shared" si="62"/>
        <v>1.0708984374999999</v>
      </c>
      <c r="BY37" s="35">
        <f t="shared" si="63"/>
        <v>1.0697021484375</v>
      </c>
      <c r="BZ37" s="35">
        <f t="shared" si="64"/>
        <v>-6.9297096524878476E-4</v>
      </c>
      <c r="CA37" s="35">
        <f t="shared" si="65"/>
        <v>1.0685058593749999</v>
      </c>
      <c r="CB37" s="35">
        <f t="shared" si="66"/>
        <v>1.0697021484375</v>
      </c>
      <c r="CC37" s="35">
        <f t="shared" si="67"/>
        <v>1.0691040039062498</v>
      </c>
      <c r="CD37" s="35">
        <f t="shared" si="68"/>
        <v>-3.057947459881305E-4</v>
      </c>
      <c r="CE37" s="35">
        <f t="shared" si="69"/>
        <v>1.0685058593749999</v>
      </c>
      <c r="CF37" s="35">
        <f t="shared" si="70"/>
        <v>1.0691040039062498</v>
      </c>
      <c r="CG37" s="35">
        <f t="shared" si="71"/>
        <v>1.0688049316406247</v>
      </c>
      <c r="CH37" s="35">
        <f t="shared" si="72"/>
        <v>-1.1215013310783561E-4</v>
      </c>
      <c r="CI37" s="35">
        <f t="shared" si="73"/>
        <v>1.0685058593749999</v>
      </c>
      <c r="CJ37" s="35">
        <f t="shared" si="74"/>
        <v>1.0688049316406247</v>
      </c>
      <c r="CK37" s="35">
        <f t="shared" si="75"/>
        <v>1.0686553955078124</v>
      </c>
      <c r="CL37" s="35">
        <f t="shared" si="76"/>
        <v>-1.5313697634411483E-5</v>
      </c>
      <c r="CM37" s="35">
        <f t="shared" si="77"/>
        <v>1.0685058593749999</v>
      </c>
      <c r="CN37" s="35">
        <f t="shared" si="78"/>
        <v>1.0686553955078124</v>
      </c>
      <c r="CO37" s="35">
        <f t="shared" si="79"/>
        <v>1.0685806274414063</v>
      </c>
      <c r="CP37" s="35">
        <f t="shared" si="80"/>
        <v>3.3108052763353157E-5</v>
      </c>
      <c r="CQ37" s="35">
        <f t="shared" si="81"/>
        <v>1.0685806274414063</v>
      </c>
      <c r="CR37" s="35">
        <f t="shared" si="82"/>
        <v>1.0686553955078124</v>
      </c>
      <c r="CS37" s="35">
        <f t="shared" si="83"/>
        <v>1.0686180114746093</v>
      </c>
      <c r="CT37" s="35">
        <f t="shared" si="84"/>
        <v>8.8968831639668622E-6</v>
      </c>
      <c r="CU37" s="35">
        <f t="shared" si="85"/>
        <v>1.0686180114746093</v>
      </c>
      <c r="CV37" s="35">
        <f t="shared" si="86"/>
        <v>1.0686553955078124</v>
      </c>
      <c r="CW37" s="35">
        <f t="shared" si="87"/>
        <v>1.0686367034912108</v>
      </c>
      <c r="CX37" s="35">
        <f t="shared" si="88"/>
        <v>-3.2084808343491034E-6</v>
      </c>
      <c r="CY37" s="35">
        <f t="shared" si="89"/>
        <v>1.0686180114746093</v>
      </c>
      <c r="CZ37" s="35">
        <f t="shared" si="90"/>
        <v>1.0686367034912108</v>
      </c>
      <c r="DA37" s="35">
        <f t="shared" si="91"/>
        <v>1.0686273574829102</v>
      </c>
      <c r="DB37" s="35">
        <f t="shared" si="92"/>
        <v>2.8441827648606477E-6</v>
      </c>
      <c r="DC37" s="35">
        <f t="shared" si="93"/>
        <v>1.0686273574829102</v>
      </c>
      <c r="DD37" s="35">
        <f t="shared" si="94"/>
        <v>1.0686367034912108</v>
      </c>
      <c r="DE37" s="35">
        <f t="shared" si="95"/>
        <v>1.0686320304870605</v>
      </c>
      <c r="DF37" s="35">
        <f t="shared" si="96"/>
        <v>-1.8215363484230807E-7</v>
      </c>
      <c r="DG37" s="35">
        <f t="shared" si="97"/>
        <v>1.0686273574829102</v>
      </c>
      <c r="DH37" s="35">
        <f t="shared" si="98"/>
        <v>1.0686320304870605</v>
      </c>
      <c r="DI37" s="35">
        <f t="shared" si="99"/>
        <v>1.0686296939849853</v>
      </c>
      <c r="DJ37" s="35">
        <f t="shared" si="100"/>
        <v>1.3310134150401609E-6</v>
      </c>
      <c r="DK37" s="35">
        <f t="shared" si="101"/>
        <v>1.0686296939849853</v>
      </c>
      <c r="DL37" s="35">
        <f t="shared" si="102"/>
        <v>1.0686320304870605</v>
      </c>
      <c r="DM37" s="35">
        <f t="shared" si="103"/>
        <v>1.0686308622360228</v>
      </c>
      <c r="DN37" s="35">
        <f t="shared" si="104"/>
        <v>5.7442960277320765E-7</v>
      </c>
      <c r="DO37" s="35">
        <f t="shared" si="105"/>
        <v>1.0686308622360228</v>
      </c>
      <c r="DP37" s="35">
        <f t="shared" si="106"/>
        <v>1.0686320304870605</v>
      </c>
      <c r="DQ37" s="35">
        <f t="shared" si="107"/>
        <v>1.0686314463615416</v>
      </c>
      <c r="DR37" s="35">
        <f t="shared" si="108"/>
        <v>1.961379121340201E-7</v>
      </c>
      <c r="DS37" s="35">
        <f t="shared" si="109"/>
        <v>1.0686314463615416</v>
      </c>
      <c r="DT37" s="35">
        <f t="shared" si="110"/>
        <v>1.0686320304870605</v>
      </c>
      <c r="DU37" s="35">
        <f t="shared" si="111"/>
        <v>1.0686317384243011</v>
      </c>
      <c r="DV37" s="35">
        <f t="shared" si="112"/>
        <v>6.9921206602430175E-9</v>
      </c>
      <c r="DW37" s="35">
        <f t="shared" si="113"/>
        <v>1.0686317384243011</v>
      </c>
      <c r="DX37" s="35">
        <f t="shared" si="114"/>
        <v>1.0686320304870605</v>
      </c>
      <c r="DY37" s="35">
        <f t="shared" si="115"/>
        <v>1.0686318844556808</v>
      </c>
      <c r="DZ37" s="35">
        <f t="shared" si="116"/>
        <v>-8.7580761531924622E-8</v>
      </c>
      <c r="EA37" s="35">
        <f t="shared" si="117"/>
        <v>1.0686317384243011</v>
      </c>
      <c r="EB37" s="35">
        <f t="shared" si="118"/>
        <v>1.0686318844556808</v>
      </c>
      <c r="EC37" s="35">
        <f t="shared" si="119"/>
        <v>1.0686318114399911</v>
      </c>
      <c r="ED37" s="35">
        <f t="shared" si="120"/>
        <v>-4.029432165708613E-8</v>
      </c>
      <c r="EE37" s="35">
        <f t="shared" si="121"/>
        <v>1.0686317384243011</v>
      </c>
      <c r="EF37" s="35">
        <f t="shared" si="122"/>
        <v>1.0686318114399911</v>
      </c>
      <c r="EG37" s="35">
        <f t="shared" si="123"/>
        <v>1.0686317749321461</v>
      </c>
      <c r="EH37" s="35">
        <f t="shared" si="124"/>
        <v>-1.6651100720466161E-8</v>
      </c>
      <c r="EI37" s="35">
        <f t="shared" si="125"/>
        <v>1.0686317384243011</v>
      </c>
      <c r="EJ37" s="35">
        <f t="shared" si="126"/>
        <v>1.0686317749321461</v>
      </c>
      <c r="EK37" s="35">
        <f t="shared" si="127"/>
        <v>1.0686317566782235</v>
      </c>
      <c r="EL37" s="35">
        <f t="shared" si="128"/>
        <v>-4.8294900301115717E-9</v>
      </c>
      <c r="EM37" s="35">
        <f t="shared" si="129"/>
        <v>1.0686317384243011</v>
      </c>
      <c r="EN37" s="35">
        <f t="shared" si="130"/>
        <v>1.0686317566782235</v>
      </c>
      <c r="EO37" s="35">
        <f t="shared" si="131"/>
        <v>1.0686317475512623</v>
      </c>
      <c r="EP37" s="35">
        <f t="shared" si="132"/>
        <v>1.0813152595545716E-9</v>
      </c>
      <c r="EQ37" s="35">
        <f t="shared" si="133"/>
        <v>1.0686317475512623</v>
      </c>
      <c r="ER37" s="35">
        <f t="shared" si="134"/>
        <v>1.0686317566782235</v>
      </c>
      <c r="ES37" s="35">
        <f t="shared" si="135"/>
        <v>1.0686317521147428</v>
      </c>
      <c r="ET37" s="35">
        <f t="shared" si="136"/>
        <v>-1.8740873297673488E-9</v>
      </c>
      <c r="EU37" s="35">
        <f t="shared" si="137"/>
        <v>1.0686317475512623</v>
      </c>
      <c r="EV37" s="35">
        <f t="shared" si="138"/>
        <v>1.0686317521147428</v>
      </c>
      <c r="EW37" s="35">
        <f t="shared" si="139"/>
        <v>1.0686317498330027</v>
      </c>
      <c r="EX37" s="35">
        <f t="shared" si="140"/>
        <v>-3.9638603510638859E-10</v>
      </c>
      <c r="EY37" s="35">
        <f t="shared" si="141"/>
        <v>1.0686317475512623</v>
      </c>
      <c r="EZ37" s="35">
        <f t="shared" si="142"/>
        <v>1.0686317498330027</v>
      </c>
      <c r="FA37" s="10">
        <v>9.9999999999999995E-7</v>
      </c>
      <c r="FB37" s="10">
        <v>0.99990000000000001</v>
      </c>
      <c r="FC37" s="35">
        <f t="shared" si="143"/>
        <v>0.49995050000000002</v>
      </c>
      <c r="FD37" s="35">
        <f t="shared" si="144"/>
        <v>-0.24151146190266881</v>
      </c>
      <c r="FE37" s="35">
        <f t="shared" si="145"/>
        <v>9.9999999999999995E-7</v>
      </c>
      <c r="FF37" s="35">
        <f t="shared" si="146"/>
        <v>0.49995050000000002</v>
      </c>
      <c r="FG37" s="35">
        <f t="shared" si="147"/>
        <v>0.24997575</v>
      </c>
      <c r="FH37" s="35">
        <f t="shared" si="148"/>
        <v>-0.10643591268936592</v>
      </c>
      <c r="FI37" s="35">
        <f t="shared" si="149"/>
        <v>9.9999999999999995E-7</v>
      </c>
      <c r="FJ37" s="35">
        <f t="shared" si="150"/>
        <v>0.24997575</v>
      </c>
      <c r="FK37" s="35">
        <f t="shared" si="151"/>
        <v>0.124988375</v>
      </c>
      <c r="FL37" s="35">
        <f t="shared" si="152"/>
        <v>-4.0466733385815967E-2</v>
      </c>
      <c r="FM37" s="35">
        <f t="shared" si="153"/>
        <v>9.9999999999999995E-7</v>
      </c>
      <c r="FN37" s="35">
        <f t="shared" si="154"/>
        <v>0.124988375</v>
      </c>
      <c r="FO37" s="35">
        <f t="shared" si="155"/>
        <v>6.24946875E-2</v>
      </c>
      <c r="FP37" s="35">
        <f t="shared" si="156"/>
        <v>-8.5504120192351207E-3</v>
      </c>
      <c r="FQ37" s="35">
        <f t="shared" si="157"/>
        <v>9.9999999999999995E-7</v>
      </c>
      <c r="FR37" s="35">
        <f t="shared" si="158"/>
        <v>6.24946875E-2</v>
      </c>
      <c r="FS37" s="35">
        <f t="shared" si="159"/>
        <v>3.124784375E-2</v>
      </c>
      <c r="FT37" s="35">
        <f t="shared" si="160"/>
        <v>7.0800242070911956E-3</v>
      </c>
      <c r="FU37" s="35">
        <f t="shared" si="161"/>
        <v>3.124784375E-2</v>
      </c>
      <c r="FV37" s="35">
        <f t="shared" si="162"/>
        <v>6.24946875E-2</v>
      </c>
      <c r="FW37" s="35">
        <f t="shared" si="163"/>
        <v>4.6871265624999998E-2</v>
      </c>
      <c r="FX37" s="35">
        <f t="shared" si="164"/>
        <v>-7.06420005394226E-4</v>
      </c>
      <c r="FY37" s="35">
        <f t="shared" si="165"/>
        <v>3.124784375E-2</v>
      </c>
      <c r="FZ37" s="35">
        <f t="shared" si="166"/>
        <v>4.6871265624999998E-2</v>
      </c>
      <c r="GA37" s="35">
        <f t="shared" si="167"/>
        <v>3.9059554687499998E-2</v>
      </c>
      <c r="GB37" s="35">
        <f t="shared" si="168"/>
        <v>3.1940946901758416E-3</v>
      </c>
      <c r="GC37" s="35">
        <f t="shared" si="169"/>
        <v>3.9059554687499998E-2</v>
      </c>
      <c r="GD37" s="35">
        <f t="shared" si="170"/>
        <v>4.6871265624999998E-2</v>
      </c>
      <c r="GE37" s="35">
        <f t="shared" si="171"/>
        <v>4.2965410156249995E-2</v>
      </c>
      <c r="GF37" s="35">
        <f t="shared" si="172"/>
        <v>1.2456483981968525E-3</v>
      </c>
      <c r="GG37" s="35">
        <f t="shared" si="173"/>
        <v>4.2965410156249995E-2</v>
      </c>
      <c r="GH37" s="35">
        <f t="shared" si="174"/>
        <v>4.6871265624999998E-2</v>
      </c>
      <c r="GI37" s="35">
        <f t="shared" si="175"/>
        <v>4.4918337890624993E-2</v>
      </c>
      <c r="GJ37" s="35">
        <f t="shared" si="176"/>
        <v>2.7006542296659219E-4</v>
      </c>
      <c r="GK37" s="35">
        <f t="shared" si="177"/>
        <v>4.4918337890624993E-2</v>
      </c>
      <c r="GL37" s="35">
        <f t="shared" si="178"/>
        <v>4.6871265624999998E-2</v>
      </c>
      <c r="GM37" s="35">
        <f t="shared" si="179"/>
        <v>4.5894801757812492E-2</v>
      </c>
      <c r="GN37" s="35">
        <f t="shared" si="180"/>
        <v>-2.1806467837326426E-4</v>
      </c>
      <c r="GO37" s="35">
        <f t="shared" si="181"/>
        <v>4.4918337890624993E-2</v>
      </c>
      <c r="GP37" s="35">
        <f t="shared" si="182"/>
        <v>4.5894801757812492E-2</v>
      </c>
      <c r="GQ37" s="35">
        <f t="shared" si="183"/>
        <v>4.5406569824218743E-2</v>
      </c>
      <c r="GR37" s="35">
        <f t="shared" si="184"/>
        <v>2.6028549804602008E-5</v>
      </c>
      <c r="GS37" s="35">
        <f t="shared" si="185"/>
        <v>4.5406569824218743E-2</v>
      </c>
      <c r="GT37" s="35">
        <f t="shared" si="186"/>
        <v>4.5894801757812492E-2</v>
      </c>
      <c r="GU37" s="35">
        <f t="shared" si="187"/>
        <v>4.5650685791015617E-2</v>
      </c>
      <c r="GV37" s="35">
        <f t="shared" si="188"/>
        <v>-9.6011022939879176E-5</v>
      </c>
      <c r="GW37" s="35">
        <f t="shared" si="189"/>
        <v>4.5406569824218743E-2</v>
      </c>
      <c r="GX37" s="35">
        <f t="shared" si="190"/>
        <v>4.5650685791015617E-2</v>
      </c>
      <c r="GY37" s="35">
        <f t="shared" si="191"/>
        <v>4.5528627807617184E-2</v>
      </c>
      <c r="GZ37" s="35">
        <f t="shared" si="192"/>
        <v>-3.4989475852231777E-5</v>
      </c>
      <c r="HA37" s="35">
        <f t="shared" si="193"/>
        <v>4.5406569824218743E-2</v>
      </c>
      <c r="HB37" s="35">
        <f t="shared" si="194"/>
        <v>4.5528627807617184E-2</v>
      </c>
      <c r="HC37" s="35">
        <f t="shared" si="195"/>
        <v>4.5467598815917963E-2</v>
      </c>
      <c r="HD37" s="35">
        <f t="shared" si="196"/>
        <v>-4.4800227976260487E-6</v>
      </c>
      <c r="HE37" s="35">
        <f t="shared" si="197"/>
        <v>4.5406569824218743E-2</v>
      </c>
      <c r="HF37" s="35">
        <f t="shared" si="198"/>
        <v>4.5467598815917963E-2</v>
      </c>
      <c r="HG37" s="35">
        <f t="shared" si="199"/>
        <v>4.5437084320068349E-2</v>
      </c>
      <c r="HH37" s="35">
        <f t="shared" si="200"/>
        <v>1.0774373566224682E-5</v>
      </c>
      <c r="HI37" s="35">
        <f t="shared" si="201"/>
        <v>4.5437084320068349E-2</v>
      </c>
      <c r="HJ37" s="35">
        <f t="shared" si="202"/>
        <v>4.5467598815917963E-2</v>
      </c>
      <c r="HK37" s="35">
        <f t="shared" si="203"/>
        <v>4.545234156799316E-2</v>
      </c>
      <c r="HL37" s="35">
        <f t="shared" si="204"/>
        <v>3.1472028991785805E-6</v>
      </c>
      <c r="HM37" s="35">
        <f t="shared" si="205"/>
        <v>4.545234156799316E-2</v>
      </c>
      <c r="HN37" s="35">
        <f t="shared" si="206"/>
        <v>4.5467598815917963E-2</v>
      </c>
      <c r="HO37" s="35">
        <f t="shared" si="207"/>
        <v>4.5459970191955565E-2</v>
      </c>
      <c r="HP37" s="35">
        <f t="shared" si="208"/>
        <v>-6.6640307061494042E-7</v>
      </c>
      <c r="HQ37" s="35">
        <f t="shared" si="209"/>
        <v>4.545234156799316E-2</v>
      </c>
      <c r="HR37" s="35">
        <f t="shared" si="210"/>
        <v>4.5459970191955565E-2</v>
      </c>
      <c r="HS37" s="35">
        <f t="shared" si="211"/>
        <v>4.5456155879974362E-2</v>
      </c>
      <c r="HT37" s="35">
        <f t="shared" si="212"/>
        <v>1.2404016338507518E-6</v>
      </c>
      <c r="HU37" s="35">
        <f t="shared" si="213"/>
        <v>4.5456155879974362E-2</v>
      </c>
      <c r="HV37" s="35">
        <f t="shared" si="214"/>
        <v>4.5459970191955565E-2</v>
      </c>
      <c r="HW37" s="35">
        <f t="shared" si="215"/>
        <v>4.545806303596496E-2</v>
      </c>
      <c r="HX37" s="35">
        <f t="shared" si="216"/>
        <v>2.8699971155177195E-7</v>
      </c>
      <c r="HY37" s="35">
        <f t="shared" si="217"/>
        <v>4.545806303596496E-2</v>
      </c>
      <c r="HZ37" s="35">
        <f t="shared" si="218"/>
        <v>4.5459970191955565E-2</v>
      </c>
      <c r="IA37" s="35">
        <f t="shared" si="219"/>
        <v>4.5459016613960262E-2</v>
      </c>
      <c r="IB37" s="35">
        <f t="shared" si="220"/>
        <v>-1.897015720064843E-7</v>
      </c>
      <c r="IC37" s="35">
        <f t="shared" si="221"/>
        <v>4.545806303596496E-2</v>
      </c>
      <c r="ID37" s="35">
        <f t="shared" si="222"/>
        <v>4.5459016613960262E-2</v>
      </c>
      <c r="IE37" s="35">
        <f t="shared" si="223"/>
        <v>4.5458539824962611E-2</v>
      </c>
      <c r="IF37" s="35">
        <f t="shared" si="224"/>
        <v>4.8649096751063325E-8</v>
      </c>
      <c r="IG37" s="35">
        <f t="shared" si="225"/>
        <v>4.5458539824962611E-2</v>
      </c>
      <c r="IH37" s="35">
        <f t="shared" si="226"/>
        <v>4.5459016613960262E-2</v>
      </c>
      <c r="II37" s="35">
        <f t="shared" si="227"/>
        <v>4.545877821946144E-2</v>
      </c>
      <c r="IJ37" s="35">
        <f t="shared" si="228"/>
        <v>-7.0526230966372339E-8</v>
      </c>
      <c r="IK37" s="35">
        <f t="shared" si="229"/>
        <v>4.5458539824962611E-2</v>
      </c>
      <c r="IL37" s="35">
        <f t="shared" si="230"/>
        <v>4.545877821946144E-2</v>
      </c>
      <c r="IM37" s="35">
        <f t="shared" si="231"/>
        <v>4.5458659022212022E-2</v>
      </c>
      <c r="IN37" s="35">
        <f t="shared" si="232"/>
        <v>-1.0938565608853423E-8</v>
      </c>
      <c r="IO37" s="35">
        <f t="shared" si="233"/>
        <v>4.5458539824962611E-2</v>
      </c>
      <c r="IP37" s="35">
        <f t="shared" si="234"/>
        <v>4.5458659022212022E-2</v>
      </c>
      <c r="IQ37" s="35">
        <f t="shared" si="235"/>
        <v>4.545859942358732E-2</v>
      </c>
      <c r="IR37" s="35">
        <f t="shared" si="236"/>
        <v>1.8855266015194161E-8</v>
      </c>
      <c r="IS37" s="35">
        <f t="shared" si="237"/>
        <v>4.545859942358732E-2</v>
      </c>
      <c r="IT37" s="35">
        <f t="shared" si="238"/>
        <v>4.5458659022212022E-2</v>
      </c>
      <c r="IU37" s="35">
        <f t="shared" si="239"/>
        <v>4.5458629222899671E-2</v>
      </c>
      <c r="IV37" s="35">
        <f t="shared" si="240"/>
        <v>3.9583503141926712E-9</v>
      </c>
      <c r="IW37" s="35">
        <f t="shared" si="241"/>
        <v>4.5458629222899671E-2</v>
      </c>
      <c r="IX37" s="35">
        <f t="shared" si="242"/>
        <v>4.5458659022212022E-2</v>
      </c>
      <c r="IY37" s="35">
        <f t="shared" si="243"/>
        <v>4.5458644122555847E-2</v>
      </c>
      <c r="IZ37" s="35">
        <f t="shared" si="244"/>
        <v>-3.4901075363080736E-9</v>
      </c>
      <c r="JA37" s="35">
        <f t="shared" si="245"/>
        <v>4.5458629222899671E-2</v>
      </c>
      <c r="JB37" s="35">
        <f t="shared" si="246"/>
        <v>4.5458644122555847E-2</v>
      </c>
      <c r="JC37" s="35">
        <f t="shared" si="247"/>
        <v>4.5458636672727759E-2</v>
      </c>
      <c r="JD37" s="35">
        <f t="shared" si="248"/>
        <v>2.3412138894229884E-10</v>
      </c>
      <c r="JE37" s="35">
        <f t="shared" si="249"/>
        <v>4.5458636672727759E-2</v>
      </c>
      <c r="JF37" s="35">
        <f t="shared" si="250"/>
        <v>4.5458644122555847E-2</v>
      </c>
      <c r="JG37" s="35">
        <f t="shared" si="251"/>
        <v>4.5458640397641803E-2</v>
      </c>
      <c r="JH37" s="35">
        <f t="shared" si="252"/>
        <v>-1.6279930736828874E-9</v>
      </c>
      <c r="JI37" s="35">
        <f t="shared" si="253"/>
        <v>4.5458636672727759E-2</v>
      </c>
      <c r="JJ37" s="35">
        <f t="shared" si="254"/>
        <v>4.5458640397641803E-2</v>
      </c>
      <c r="JK37" s="35">
        <f t="shared" si="255"/>
        <v>4.5458638535184781E-2</v>
      </c>
      <c r="JL37" s="35">
        <f t="shared" si="256"/>
        <v>-6.9693584237029427E-10</v>
      </c>
      <c r="JM37" s="35">
        <f t="shared" si="257"/>
        <v>4.5458636672727759E-2</v>
      </c>
      <c r="JN37" s="35">
        <f t="shared" si="258"/>
        <v>4.5458638535184781E-2</v>
      </c>
      <c r="JO37" s="35">
        <f t="shared" si="259"/>
        <v>4.545863760395627E-2</v>
      </c>
      <c r="JP37" s="35">
        <f t="shared" si="260"/>
        <v>-2.3140722671399772E-10</v>
      </c>
      <c r="JQ37" s="35">
        <f t="shared" si="261"/>
        <v>4.5458636672727759E-2</v>
      </c>
      <c r="JR37" s="35">
        <f t="shared" si="262"/>
        <v>4.545863760395627E-2</v>
      </c>
      <c r="JS37" s="35">
        <f t="shared" si="263"/>
        <v>4.5458637138342015E-2</v>
      </c>
      <c r="JT37" s="35">
        <f t="shared" si="264"/>
        <v>1.3571366253017914E-12</v>
      </c>
      <c r="JU37" s="35">
        <f t="shared" si="265"/>
        <v>4.5458637138342015E-2</v>
      </c>
      <c r="JV37" s="35">
        <f t="shared" si="266"/>
        <v>4.545863760395627E-2</v>
      </c>
      <c r="JW37" s="35">
        <f t="shared" si="267"/>
        <v>4.5458637371149142E-2</v>
      </c>
      <c r="JX37" s="35">
        <f t="shared" si="268"/>
        <v>-1.1502510055549919E-10</v>
      </c>
      <c r="JY37" s="35">
        <f t="shared" si="269"/>
        <v>4.5458637138342015E-2</v>
      </c>
      <c r="JZ37" s="35">
        <f t="shared" si="270"/>
        <v>4.5458637371149142E-2</v>
      </c>
      <c r="KA37" s="35">
        <f t="shared" si="271"/>
        <v>1.0686317486921326</v>
      </c>
      <c r="KB37" s="35">
        <f t="shared" si="272"/>
        <v>4.5458637254745582E-2</v>
      </c>
    </row>
    <row r="38" spans="1:288" ht="15" customHeight="1" x14ac:dyDescent="0.3">
      <c r="A38" s="30">
        <f>Odds_Input!A38</f>
        <v>30</v>
      </c>
      <c r="B38" s="7" t="str">
        <f>Odds_Input!B38</f>
        <v>CONF_EAST</v>
      </c>
      <c r="C38" s="7" t="str">
        <f>Odds_Input!C38</f>
        <v>Atlanta Hawks</v>
      </c>
      <c r="D38" s="7" t="str">
        <f>Odds_Input!D38</f>
        <v>YES</v>
      </c>
      <c r="E38" s="31" t="str">
        <f>Odds_Input!E38</f>
        <v>-</v>
      </c>
      <c r="F38" s="32">
        <f>Odds_Input!F38</f>
        <v>2000</v>
      </c>
      <c r="G38" s="6" t="str">
        <f t="shared" si="0"/>
        <v>CONF_EAST</v>
      </c>
      <c r="H38" s="14">
        <f t="shared" si="1"/>
        <v>21</v>
      </c>
      <c r="I38" s="33">
        <f t="shared" si="2"/>
        <v>4.7619047619047616E-2</v>
      </c>
      <c r="J38" s="17">
        <f t="shared" si="3"/>
        <v>1</v>
      </c>
      <c r="K38" s="17">
        <f t="shared" si="4"/>
        <v>15</v>
      </c>
      <c r="L38" s="18">
        <f t="shared" si="5"/>
        <v>1.2088752212862357</v>
      </c>
      <c r="M38" s="34">
        <f t="shared" si="6"/>
        <v>0.2088752212862357</v>
      </c>
      <c r="N38" s="33">
        <f t="shared" si="7"/>
        <v>3.9391201656347331E-2</v>
      </c>
      <c r="O38" s="33">
        <f t="shared" si="8"/>
        <v>3.621130251428039E-2</v>
      </c>
      <c r="P38" s="33">
        <f t="shared" si="9"/>
        <v>3.5542440493548995E-2</v>
      </c>
      <c r="Q38" s="33">
        <f t="shared" si="10"/>
        <v>3.5542440493548995E-2</v>
      </c>
      <c r="R38" s="35">
        <f t="shared" si="11"/>
        <v>1.0899522183230146</v>
      </c>
      <c r="S38" s="35">
        <f t="shared" si="12"/>
        <v>1.7868178675567389E-2</v>
      </c>
      <c r="X38" s="6" t="s">
        <v>813</v>
      </c>
      <c r="Y38" s="6">
        <f t="shared" si="13"/>
        <v>1</v>
      </c>
      <c r="Z38" s="18">
        <f t="shared" si="14"/>
        <v>1.0395843641761504</v>
      </c>
      <c r="AA38" s="10">
        <v>0.2</v>
      </c>
      <c r="AB38" s="10">
        <v>10</v>
      </c>
      <c r="AC38" s="35">
        <f t="shared" si="15"/>
        <v>5.0999999999999996</v>
      </c>
      <c r="AD38" s="35">
        <f t="shared" si="16"/>
        <v>-0.92064553529415616</v>
      </c>
      <c r="AE38" s="35">
        <f t="shared" si="17"/>
        <v>0.2</v>
      </c>
      <c r="AF38" s="35">
        <f t="shared" si="18"/>
        <v>5.0999999999999996</v>
      </c>
      <c r="AG38" s="35">
        <f t="shared" si="19"/>
        <v>2.65</v>
      </c>
      <c r="AH38" s="35">
        <f t="shared" si="20"/>
        <v>-0.63829283885202392</v>
      </c>
      <c r="AI38" s="35">
        <f t="shared" si="21"/>
        <v>0.2</v>
      </c>
      <c r="AJ38" s="35">
        <f t="shared" si="22"/>
        <v>2.65</v>
      </c>
      <c r="AK38" s="35">
        <f t="shared" si="23"/>
        <v>1.425</v>
      </c>
      <c r="AL38" s="35">
        <f t="shared" si="24"/>
        <v>-0.21015612438115294</v>
      </c>
      <c r="AM38" s="35">
        <f t="shared" si="25"/>
        <v>0.2</v>
      </c>
      <c r="AN38" s="35">
        <f t="shared" si="26"/>
        <v>1.425</v>
      </c>
      <c r="AO38" s="35">
        <f t="shared" si="27"/>
        <v>0.8125</v>
      </c>
      <c r="AP38" s="35">
        <f t="shared" si="28"/>
        <v>0.17428793920463548</v>
      </c>
      <c r="AQ38" s="35">
        <f t="shared" si="29"/>
        <v>0.8125</v>
      </c>
      <c r="AR38" s="35">
        <f t="shared" si="30"/>
        <v>1.425</v>
      </c>
      <c r="AS38" s="35">
        <f t="shared" si="31"/>
        <v>1.1187499999999999</v>
      </c>
      <c r="AT38" s="35">
        <f t="shared" si="32"/>
        <v>-3.742608980533646E-2</v>
      </c>
      <c r="AU38" s="35">
        <f t="shared" si="33"/>
        <v>0.8125</v>
      </c>
      <c r="AV38" s="35">
        <f t="shared" si="34"/>
        <v>1.1187499999999999</v>
      </c>
      <c r="AW38" s="35">
        <f t="shared" si="35"/>
        <v>0.96562499999999996</v>
      </c>
      <c r="AX38" s="35">
        <f t="shared" si="36"/>
        <v>6.3036501947349777E-2</v>
      </c>
      <c r="AY38" s="35">
        <f t="shared" si="37"/>
        <v>0.96562499999999996</v>
      </c>
      <c r="AZ38" s="35">
        <f t="shared" si="38"/>
        <v>1.1187499999999999</v>
      </c>
      <c r="BA38" s="35">
        <f t="shared" si="39"/>
        <v>1.0421874999999998</v>
      </c>
      <c r="BB38" s="35">
        <f t="shared" si="40"/>
        <v>1.1526148082855681E-2</v>
      </c>
      <c r="BC38" s="35">
        <f t="shared" si="41"/>
        <v>1.0421874999999998</v>
      </c>
      <c r="BD38" s="35">
        <f t="shared" si="42"/>
        <v>1.1187499999999999</v>
      </c>
      <c r="BE38" s="35">
        <f t="shared" si="43"/>
        <v>1.0804687499999999</v>
      </c>
      <c r="BF38" s="35">
        <f t="shared" si="44"/>
        <v>-1.3261442965462944E-2</v>
      </c>
      <c r="BG38" s="35">
        <f t="shared" si="45"/>
        <v>1.0421874999999998</v>
      </c>
      <c r="BH38" s="35">
        <f t="shared" si="46"/>
        <v>1.0804687499999999</v>
      </c>
      <c r="BI38" s="35">
        <f t="shared" si="47"/>
        <v>1.0613281249999997</v>
      </c>
      <c r="BJ38" s="35">
        <f t="shared" si="48"/>
        <v>-9.4653474145145466E-4</v>
      </c>
      <c r="BK38" s="35">
        <f t="shared" si="49"/>
        <v>1.0421874999999998</v>
      </c>
      <c r="BL38" s="35">
        <f t="shared" si="50"/>
        <v>1.0613281249999997</v>
      </c>
      <c r="BM38" s="35">
        <f t="shared" si="51"/>
        <v>1.0517578124999998</v>
      </c>
      <c r="BN38" s="35">
        <f t="shared" si="52"/>
        <v>5.2699559433702081E-3</v>
      </c>
      <c r="BO38" s="35">
        <f t="shared" si="53"/>
        <v>1.0517578124999998</v>
      </c>
      <c r="BP38" s="35">
        <f t="shared" si="54"/>
        <v>1.0613281249999997</v>
      </c>
      <c r="BQ38" s="35">
        <f t="shared" si="55"/>
        <v>1.0565429687499996</v>
      </c>
      <c r="BR38" s="35">
        <f t="shared" si="56"/>
        <v>2.1567640991575487E-3</v>
      </c>
      <c r="BS38" s="35">
        <f t="shared" si="57"/>
        <v>1.0565429687499996</v>
      </c>
      <c r="BT38" s="35">
        <f t="shared" si="58"/>
        <v>1.0613281249999997</v>
      </c>
      <c r="BU38" s="35">
        <f t="shared" si="59"/>
        <v>1.0589355468749997</v>
      </c>
      <c r="BV38" s="35">
        <f t="shared" si="60"/>
        <v>6.0388007000455879E-4</v>
      </c>
      <c r="BW38" s="35">
        <f t="shared" si="61"/>
        <v>1.0589355468749997</v>
      </c>
      <c r="BX38" s="35">
        <f t="shared" si="62"/>
        <v>1.0613281249999997</v>
      </c>
      <c r="BY38" s="35">
        <f t="shared" si="63"/>
        <v>1.0601318359374998</v>
      </c>
      <c r="BZ38" s="35">
        <f t="shared" si="64"/>
        <v>-1.7163573622824835E-4</v>
      </c>
      <c r="CA38" s="35">
        <f t="shared" si="65"/>
        <v>1.0589355468749997</v>
      </c>
      <c r="CB38" s="35">
        <f t="shared" si="66"/>
        <v>1.0601318359374998</v>
      </c>
      <c r="CC38" s="35">
        <f t="shared" si="67"/>
        <v>1.0595336914062496</v>
      </c>
      <c r="CD38" s="35">
        <f t="shared" si="68"/>
        <v>2.1604503531502672E-4</v>
      </c>
      <c r="CE38" s="35">
        <f t="shared" si="69"/>
        <v>1.0595336914062496</v>
      </c>
      <c r="CF38" s="35">
        <f t="shared" si="70"/>
        <v>1.0601318359374998</v>
      </c>
      <c r="CG38" s="35">
        <f t="shared" si="71"/>
        <v>1.0598327636718747</v>
      </c>
      <c r="CH38" s="35">
        <f t="shared" si="72"/>
        <v>2.2185370581961905E-5</v>
      </c>
      <c r="CI38" s="35">
        <f t="shared" si="73"/>
        <v>1.0598327636718747</v>
      </c>
      <c r="CJ38" s="35">
        <f t="shared" si="74"/>
        <v>1.0601318359374998</v>
      </c>
      <c r="CK38" s="35">
        <f t="shared" si="75"/>
        <v>1.0599822998046873</v>
      </c>
      <c r="CL38" s="35">
        <f t="shared" si="76"/>
        <v>-7.4730002072032065E-5</v>
      </c>
      <c r="CM38" s="35">
        <f t="shared" si="77"/>
        <v>1.0598327636718747</v>
      </c>
      <c r="CN38" s="35">
        <f t="shared" si="78"/>
        <v>1.0599822998046873</v>
      </c>
      <c r="CO38" s="35">
        <f t="shared" si="79"/>
        <v>1.0599075317382809</v>
      </c>
      <c r="CP38" s="35">
        <f t="shared" si="80"/>
        <v>-2.6273520618791402E-5</v>
      </c>
      <c r="CQ38" s="35">
        <f t="shared" si="81"/>
        <v>1.0598327636718747</v>
      </c>
      <c r="CR38" s="35">
        <f t="shared" si="82"/>
        <v>1.0599075317382809</v>
      </c>
      <c r="CS38" s="35">
        <f t="shared" si="83"/>
        <v>1.0598701477050778</v>
      </c>
      <c r="CT38" s="35">
        <f t="shared" si="84"/>
        <v>-2.0443762445143676E-6</v>
      </c>
      <c r="CU38" s="35">
        <f t="shared" si="85"/>
        <v>1.0598327636718747</v>
      </c>
      <c r="CV38" s="35">
        <f t="shared" si="86"/>
        <v>1.0598701477050778</v>
      </c>
      <c r="CW38" s="35">
        <f t="shared" si="87"/>
        <v>1.0598514556884764</v>
      </c>
      <c r="CX38" s="35">
        <f t="shared" si="88"/>
        <v>1.0070421861296808E-5</v>
      </c>
      <c r="CY38" s="35">
        <f t="shared" si="89"/>
        <v>1.0598514556884764</v>
      </c>
      <c r="CZ38" s="35">
        <f t="shared" si="90"/>
        <v>1.0598701477050778</v>
      </c>
      <c r="DA38" s="35">
        <f t="shared" si="91"/>
        <v>1.059860801696777</v>
      </c>
      <c r="DB38" s="35">
        <f t="shared" si="92"/>
        <v>4.0130039815622354E-6</v>
      </c>
      <c r="DC38" s="35">
        <f t="shared" si="93"/>
        <v>1.059860801696777</v>
      </c>
      <c r="DD38" s="35">
        <f t="shared" si="94"/>
        <v>1.0598701477050778</v>
      </c>
      <c r="DE38" s="35">
        <f t="shared" si="95"/>
        <v>1.0598654747009273</v>
      </c>
      <c r="DF38" s="35">
        <f t="shared" si="96"/>
        <v>9.8430916217751019E-7</v>
      </c>
      <c r="DG38" s="35">
        <f t="shared" si="97"/>
        <v>1.0598654747009273</v>
      </c>
      <c r="DH38" s="35">
        <f t="shared" si="98"/>
        <v>1.0598701477050778</v>
      </c>
      <c r="DI38" s="35">
        <f t="shared" si="99"/>
        <v>1.0598678112030027</v>
      </c>
      <c r="DJ38" s="35">
        <f t="shared" si="100"/>
        <v>-5.3003471789381251E-7</v>
      </c>
      <c r="DK38" s="35">
        <f t="shared" si="101"/>
        <v>1.0598654747009273</v>
      </c>
      <c r="DL38" s="35">
        <f t="shared" si="102"/>
        <v>1.0598678112030027</v>
      </c>
      <c r="DM38" s="35">
        <f t="shared" si="103"/>
        <v>1.059866642951965</v>
      </c>
      <c r="DN38" s="35">
        <f t="shared" si="104"/>
        <v>2.2713692793274731E-7</v>
      </c>
      <c r="DO38" s="35">
        <f t="shared" si="105"/>
        <v>1.059866642951965</v>
      </c>
      <c r="DP38" s="35">
        <f t="shared" si="106"/>
        <v>1.0598678112030027</v>
      </c>
      <c r="DQ38" s="35">
        <f t="shared" si="107"/>
        <v>1.0598672270774838</v>
      </c>
      <c r="DR38" s="35">
        <f t="shared" si="108"/>
        <v>-1.5144896858831913E-7</v>
      </c>
      <c r="DS38" s="35">
        <f t="shared" si="109"/>
        <v>1.059866642951965</v>
      </c>
      <c r="DT38" s="35">
        <f t="shared" si="110"/>
        <v>1.0598672270774838</v>
      </c>
      <c r="DU38" s="35">
        <f t="shared" si="111"/>
        <v>1.0598669350147243</v>
      </c>
      <c r="DV38" s="35">
        <f t="shared" si="112"/>
        <v>3.7843961298023032E-8</v>
      </c>
      <c r="DW38" s="35">
        <f t="shared" si="113"/>
        <v>1.0598669350147243</v>
      </c>
      <c r="DX38" s="35">
        <f t="shared" si="114"/>
        <v>1.0598672270774838</v>
      </c>
      <c r="DY38" s="35">
        <f t="shared" si="115"/>
        <v>1.0598670810461042</v>
      </c>
      <c r="DZ38" s="35">
        <f t="shared" si="116"/>
        <v>-5.6802508363595905E-8</v>
      </c>
      <c r="EA38" s="35">
        <f t="shared" si="117"/>
        <v>1.0598669350147243</v>
      </c>
      <c r="EB38" s="35">
        <f t="shared" si="118"/>
        <v>1.0598670810461042</v>
      </c>
      <c r="EC38" s="35">
        <f t="shared" si="119"/>
        <v>1.0598670080304142</v>
      </c>
      <c r="ED38" s="35">
        <f t="shared" si="120"/>
        <v>-9.4792746985206122E-9</v>
      </c>
      <c r="EE38" s="35">
        <f t="shared" si="121"/>
        <v>1.0598669350147243</v>
      </c>
      <c r="EF38" s="35">
        <f t="shared" si="122"/>
        <v>1.0598670080304142</v>
      </c>
      <c r="EG38" s="35">
        <f t="shared" si="123"/>
        <v>1.0598669715225693</v>
      </c>
      <c r="EH38" s="35">
        <f t="shared" si="124"/>
        <v>1.4182343077706605E-8</v>
      </c>
      <c r="EI38" s="35">
        <f t="shared" si="125"/>
        <v>1.0598669715225693</v>
      </c>
      <c r="EJ38" s="35">
        <f t="shared" si="126"/>
        <v>1.0598670080304142</v>
      </c>
      <c r="EK38" s="35">
        <f t="shared" si="127"/>
        <v>1.0598669897764919</v>
      </c>
      <c r="EL38" s="35">
        <f t="shared" si="128"/>
        <v>2.351534078570694E-9</v>
      </c>
      <c r="EM38" s="35">
        <f t="shared" si="129"/>
        <v>1.0598669897764919</v>
      </c>
      <c r="EN38" s="35">
        <f t="shared" si="130"/>
        <v>1.0598670080304142</v>
      </c>
      <c r="EO38" s="35">
        <f t="shared" si="131"/>
        <v>1.059866998903453</v>
      </c>
      <c r="EP38" s="35">
        <f t="shared" si="132"/>
        <v>-3.5638703099749591E-9</v>
      </c>
      <c r="EQ38" s="35">
        <f t="shared" si="133"/>
        <v>1.0598669897764919</v>
      </c>
      <c r="ER38" s="35">
        <f t="shared" si="134"/>
        <v>1.059866998903453</v>
      </c>
      <c r="ES38" s="35">
        <f t="shared" si="135"/>
        <v>1.0598669943399726</v>
      </c>
      <c r="ET38" s="35">
        <f t="shared" si="136"/>
        <v>-6.0616811570213258E-10</v>
      </c>
      <c r="EU38" s="35">
        <f t="shared" si="137"/>
        <v>1.0598669897764919</v>
      </c>
      <c r="EV38" s="35">
        <f t="shared" si="138"/>
        <v>1.0598669943399726</v>
      </c>
      <c r="EW38" s="35">
        <f t="shared" si="139"/>
        <v>1.0598669920582322</v>
      </c>
      <c r="EX38" s="35">
        <f t="shared" si="140"/>
        <v>8.72682814900827E-10</v>
      </c>
      <c r="EY38" s="35">
        <f t="shared" si="141"/>
        <v>1.0598669920582322</v>
      </c>
      <c r="EZ38" s="35">
        <f t="shared" si="142"/>
        <v>1.0598669943399726</v>
      </c>
      <c r="FA38" s="10">
        <v>9.9999999999999995E-7</v>
      </c>
      <c r="FB38" s="10">
        <v>0.99990000000000001</v>
      </c>
      <c r="FC38" s="35">
        <f t="shared" si="143"/>
        <v>0.49995050000000002</v>
      </c>
      <c r="FD38" s="35">
        <f t="shared" si="144"/>
        <v>-0.24307958617037484</v>
      </c>
      <c r="FE38" s="35">
        <f t="shared" si="145"/>
        <v>9.9999999999999995E-7</v>
      </c>
      <c r="FF38" s="35">
        <f t="shared" si="146"/>
        <v>0.49995050000000002</v>
      </c>
      <c r="FG38" s="35">
        <f t="shared" si="147"/>
        <v>0.24997575</v>
      </c>
      <c r="FH38" s="35">
        <f t="shared" si="148"/>
        <v>-0.10924005749607935</v>
      </c>
      <c r="FI38" s="35">
        <f t="shared" si="149"/>
        <v>9.9999999999999995E-7</v>
      </c>
      <c r="FJ38" s="35">
        <f t="shared" si="150"/>
        <v>0.24997575</v>
      </c>
      <c r="FK38" s="35">
        <f t="shared" si="151"/>
        <v>0.124988375</v>
      </c>
      <c r="FL38" s="35">
        <f t="shared" si="152"/>
        <v>-4.3429023960915969E-2</v>
      </c>
      <c r="FM38" s="35">
        <f t="shared" si="153"/>
        <v>9.9999999999999995E-7</v>
      </c>
      <c r="FN38" s="35">
        <f t="shared" si="154"/>
        <v>0.124988375</v>
      </c>
      <c r="FO38" s="35">
        <f t="shared" si="155"/>
        <v>6.24946875E-2</v>
      </c>
      <c r="FP38" s="35">
        <f t="shared" si="156"/>
        <v>-1.1493878432796811E-2</v>
      </c>
      <c r="FQ38" s="35">
        <f t="shared" si="157"/>
        <v>9.9999999999999995E-7</v>
      </c>
      <c r="FR38" s="35">
        <f t="shared" si="158"/>
        <v>6.24946875E-2</v>
      </c>
      <c r="FS38" s="35">
        <f t="shared" si="159"/>
        <v>3.124784375E-2</v>
      </c>
      <c r="FT38" s="35">
        <f t="shared" si="160"/>
        <v>4.1654885550326259E-3</v>
      </c>
      <c r="FU38" s="35">
        <f t="shared" si="161"/>
        <v>3.124784375E-2</v>
      </c>
      <c r="FV38" s="35">
        <f t="shared" si="162"/>
        <v>6.24946875E-2</v>
      </c>
      <c r="FW38" s="35">
        <f t="shared" si="163"/>
        <v>4.6871265624999998E-2</v>
      </c>
      <c r="FX38" s="35">
        <f t="shared" si="164"/>
        <v>-3.6368891329645603E-3</v>
      </c>
      <c r="FY38" s="35">
        <f t="shared" si="165"/>
        <v>3.124784375E-2</v>
      </c>
      <c r="FZ38" s="35">
        <f t="shared" si="166"/>
        <v>4.6871265624999998E-2</v>
      </c>
      <c r="GA38" s="35">
        <f t="shared" si="167"/>
        <v>3.9059554687499998E-2</v>
      </c>
      <c r="GB38" s="35">
        <f t="shared" si="168"/>
        <v>2.7123717707744355E-4</v>
      </c>
      <c r="GC38" s="35">
        <f t="shared" si="169"/>
        <v>3.9059554687499998E-2</v>
      </c>
      <c r="GD38" s="35">
        <f t="shared" si="170"/>
        <v>4.6871265624999998E-2</v>
      </c>
      <c r="GE38" s="35">
        <f t="shared" si="171"/>
        <v>4.2965410156249995E-2</v>
      </c>
      <c r="GF38" s="35">
        <f t="shared" si="172"/>
        <v>-1.6811051878646843E-3</v>
      </c>
      <c r="GG38" s="35">
        <f t="shared" si="173"/>
        <v>3.9059554687499998E-2</v>
      </c>
      <c r="GH38" s="35">
        <f t="shared" si="174"/>
        <v>4.2965410156249995E-2</v>
      </c>
      <c r="GI38" s="35">
        <f t="shared" si="175"/>
        <v>4.1012482421874996E-2</v>
      </c>
      <c r="GJ38" s="35">
        <f t="shared" si="176"/>
        <v>-7.0450209209305115E-4</v>
      </c>
      <c r="GK38" s="35">
        <f t="shared" si="177"/>
        <v>3.9059554687499998E-2</v>
      </c>
      <c r="GL38" s="35">
        <f t="shared" si="178"/>
        <v>4.1012482421874996E-2</v>
      </c>
      <c r="GM38" s="35">
        <f t="shared" si="179"/>
        <v>4.0036018554687497E-2</v>
      </c>
      <c r="GN38" s="35">
        <f t="shared" si="180"/>
        <v>-2.1652426635054844E-4</v>
      </c>
      <c r="GO38" s="35">
        <f t="shared" si="181"/>
        <v>3.9059554687499998E-2</v>
      </c>
      <c r="GP38" s="35">
        <f t="shared" si="182"/>
        <v>4.0036018554687497E-2</v>
      </c>
      <c r="GQ38" s="35">
        <f t="shared" si="183"/>
        <v>3.9547786621093747E-2</v>
      </c>
      <c r="GR38" s="35">
        <f t="shared" si="184"/>
        <v>2.7383529654256833E-5</v>
      </c>
      <c r="GS38" s="35">
        <f t="shared" si="185"/>
        <v>3.9547786621093747E-2</v>
      </c>
      <c r="GT38" s="35">
        <f t="shared" si="186"/>
        <v>4.0036018554687497E-2</v>
      </c>
      <c r="GU38" s="35">
        <f t="shared" si="187"/>
        <v>3.9791902587890622E-2</v>
      </c>
      <c r="GV38" s="35">
        <f t="shared" si="188"/>
        <v>-9.4563603083575032E-5</v>
      </c>
      <c r="GW38" s="35">
        <f t="shared" si="189"/>
        <v>3.9547786621093747E-2</v>
      </c>
      <c r="GX38" s="35">
        <f t="shared" si="190"/>
        <v>3.9791902587890622E-2</v>
      </c>
      <c r="GY38" s="35">
        <f t="shared" si="191"/>
        <v>3.9669844604492188E-2</v>
      </c>
      <c r="GZ38" s="35">
        <f t="shared" si="192"/>
        <v>-3.3588344984569751E-5</v>
      </c>
      <c r="HA38" s="35">
        <f t="shared" si="193"/>
        <v>3.9547786621093747E-2</v>
      </c>
      <c r="HB38" s="35">
        <f t="shared" si="194"/>
        <v>3.9669844604492188E-2</v>
      </c>
      <c r="HC38" s="35">
        <f t="shared" si="195"/>
        <v>3.9608815612792968E-2</v>
      </c>
      <c r="HD38" s="35">
        <f t="shared" si="196"/>
        <v>-3.1019846810087515E-6</v>
      </c>
      <c r="HE38" s="35">
        <f t="shared" si="197"/>
        <v>3.9547786621093747E-2</v>
      </c>
      <c r="HF38" s="35">
        <f t="shared" si="198"/>
        <v>3.9608815612792968E-2</v>
      </c>
      <c r="HG38" s="35">
        <f t="shared" si="199"/>
        <v>3.9578301116943354E-2</v>
      </c>
      <c r="HH38" s="35">
        <f t="shared" si="200"/>
        <v>1.2140878239197406E-5</v>
      </c>
      <c r="HI38" s="35">
        <f t="shared" si="201"/>
        <v>3.9578301116943354E-2</v>
      </c>
      <c r="HJ38" s="35">
        <f t="shared" si="202"/>
        <v>3.9608815612792968E-2</v>
      </c>
      <c r="HK38" s="35">
        <f t="shared" si="203"/>
        <v>3.9593558364868164E-2</v>
      </c>
      <c r="HL38" s="35">
        <f t="shared" si="204"/>
        <v>4.5194732165576568E-6</v>
      </c>
      <c r="HM38" s="35">
        <f t="shared" si="205"/>
        <v>3.9593558364868164E-2</v>
      </c>
      <c r="HN38" s="35">
        <f t="shared" si="206"/>
        <v>3.9608815612792968E-2</v>
      </c>
      <c r="HO38" s="35">
        <f t="shared" si="207"/>
        <v>3.960118698883057E-2</v>
      </c>
      <c r="HP38" s="35">
        <f t="shared" si="208"/>
        <v>7.0875087687660709E-7</v>
      </c>
      <c r="HQ38" s="35">
        <f t="shared" si="209"/>
        <v>3.960118698883057E-2</v>
      </c>
      <c r="HR38" s="35">
        <f t="shared" si="210"/>
        <v>3.9608815612792968E-2</v>
      </c>
      <c r="HS38" s="35">
        <f t="shared" si="211"/>
        <v>3.9605001300811765E-2</v>
      </c>
      <c r="HT38" s="35">
        <f t="shared" si="212"/>
        <v>-1.1966152496656335E-6</v>
      </c>
      <c r="HU38" s="35">
        <f t="shared" si="213"/>
        <v>3.960118698883057E-2</v>
      </c>
      <c r="HV38" s="35">
        <f t="shared" si="214"/>
        <v>3.9605001300811765E-2</v>
      </c>
      <c r="HW38" s="35">
        <f t="shared" si="215"/>
        <v>3.9603094144821167E-2</v>
      </c>
      <c r="HX38" s="35">
        <f t="shared" si="216"/>
        <v>-2.4393177333603688E-7</v>
      </c>
      <c r="HY38" s="35">
        <f t="shared" si="217"/>
        <v>3.960118698883057E-2</v>
      </c>
      <c r="HZ38" s="35">
        <f t="shared" si="218"/>
        <v>3.9603094144821167E-2</v>
      </c>
      <c r="IA38" s="35">
        <f t="shared" si="219"/>
        <v>3.9602140566825872E-2</v>
      </c>
      <c r="IB38" s="35">
        <f t="shared" si="220"/>
        <v>2.3240965507653755E-7</v>
      </c>
      <c r="IC38" s="35">
        <f t="shared" si="221"/>
        <v>3.9602140566825872E-2</v>
      </c>
      <c r="ID38" s="35">
        <f t="shared" si="222"/>
        <v>3.9603094144821167E-2</v>
      </c>
      <c r="IE38" s="35">
        <f t="shared" si="223"/>
        <v>3.9602617355823516E-2</v>
      </c>
      <c r="IF38" s="35">
        <f t="shared" si="224"/>
        <v>-5.7610332060420433E-9</v>
      </c>
      <c r="IG38" s="35">
        <f t="shared" si="225"/>
        <v>3.9602140566825872E-2</v>
      </c>
      <c r="IH38" s="35">
        <f t="shared" si="226"/>
        <v>3.9602617355823516E-2</v>
      </c>
      <c r="II38" s="35">
        <f t="shared" si="227"/>
        <v>3.9602378961324694E-2</v>
      </c>
      <c r="IJ38" s="35">
        <f t="shared" si="228"/>
        <v>1.1332431726351899E-7</v>
      </c>
      <c r="IK38" s="35">
        <f t="shared" si="229"/>
        <v>3.9602378961324694E-2</v>
      </c>
      <c r="IL38" s="35">
        <f t="shared" si="230"/>
        <v>3.9602617355823516E-2</v>
      </c>
      <c r="IM38" s="35">
        <f t="shared" si="231"/>
        <v>3.9602498158574105E-2</v>
      </c>
      <c r="IN38" s="35">
        <f t="shared" si="232"/>
        <v>5.3781643583050709E-8</v>
      </c>
      <c r="IO38" s="35">
        <f t="shared" si="233"/>
        <v>3.9602498158574105E-2</v>
      </c>
      <c r="IP38" s="35">
        <f t="shared" si="234"/>
        <v>3.9602617355823516E-2</v>
      </c>
      <c r="IQ38" s="35">
        <f t="shared" si="235"/>
        <v>3.9602557757198814E-2</v>
      </c>
      <c r="IR38" s="35">
        <f t="shared" si="236"/>
        <v>2.4010305743615845E-8</v>
      </c>
      <c r="IS38" s="35">
        <f t="shared" si="237"/>
        <v>3.9602557757198814E-2</v>
      </c>
      <c r="IT38" s="35">
        <f t="shared" si="238"/>
        <v>3.9602617355823516E-2</v>
      </c>
      <c r="IU38" s="35">
        <f t="shared" si="239"/>
        <v>3.9602587556511165E-2</v>
      </c>
      <c r="IV38" s="35">
        <f t="shared" si="240"/>
        <v>9.1246361577645985E-9</v>
      </c>
      <c r="IW38" s="35">
        <f t="shared" si="241"/>
        <v>3.9602587556511165E-2</v>
      </c>
      <c r="IX38" s="35">
        <f t="shared" si="242"/>
        <v>3.9602617355823516E-2</v>
      </c>
      <c r="IY38" s="35">
        <f t="shared" si="243"/>
        <v>3.9602602456167341E-2</v>
      </c>
      <c r="IZ38" s="35">
        <f t="shared" si="244"/>
        <v>1.681801808928185E-9</v>
      </c>
      <c r="JA38" s="35">
        <f t="shared" si="245"/>
        <v>3.9602602456167341E-2</v>
      </c>
      <c r="JB38" s="35">
        <f t="shared" si="246"/>
        <v>3.9602617355823516E-2</v>
      </c>
      <c r="JC38" s="35">
        <f t="shared" si="247"/>
        <v>3.9602609905995428E-2</v>
      </c>
      <c r="JD38" s="35">
        <f t="shared" si="248"/>
        <v>-2.0396159206015341E-9</v>
      </c>
      <c r="JE38" s="35">
        <f t="shared" si="249"/>
        <v>3.9602602456167341E-2</v>
      </c>
      <c r="JF38" s="35">
        <f t="shared" si="250"/>
        <v>3.9602609905995428E-2</v>
      </c>
      <c r="JG38" s="35">
        <f t="shared" si="251"/>
        <v>3.9602606181081385E-2</v>
      </c>
      <c r="JH38" s="35">
        <f t="shared" si="252"/>
        <v>-1.7890711134782578E-10</v>
      </c>
      <c r="JI38" s="35">
        <f t="shared" si="253"/>
        <v>3.9602602456167341E-2</v>
      </c>
      <c r="JJ38" s="35">
        <f t="shared" si="254"/>
        <v>3.9602606181081385E-2</v>
      </c>
      <c r="JK38" s="35">
        <f t="shared" si="255"/>
        <v>3.9602604318624363E-2</v>
      </c>
      <c r="JL38" s="35">
        <f t="shared" si="256"/>
        <v>7.5144712674557468E-10</v>
      </c>
      <c r="JM38" s="35">
        <f t="shared" si="257"/>
        <v>3.9602604318624363E-2</v>
      </c>
      <c r="JN38" s="35">
        <f t="shared" si="258"/>
        <v>3.9602606181081385E-2</v>
      </c>
      <c r="JO38" s="35">
        <f t="shared" si="259"/>
        <v>3.9602605249852874E-2</v>
      </c>
      <c r="JP38" s="35">
        <f t="shared" si="260"/>
        <v>2.8626989667657199E-10</v>
      </c>
      <c r="JQ38" s="35">
        <f t="shared" si="261"/>
        <v>3.9602605249852874E-2</v>
      </c>
      <c r="JR38" s="35">
        <f t="shared" si="262"/>
        <v>3.9602606181081385E-2</v>
      </c>
      <c r="JS38" s="35">
        <f t="shared" si="263"/>
        <v>3.9602605715467129E-2</v>
      </c>
      <c r="JT38" s="35">
        <f t="shared" si="264"/>
        <v>5.3681503686675569E-11</v>
      </c>
      <c r="JU38" s="35">
        <f t="shared" si="265"/>
        <v>3.9602605715467129E-2</v>
      </c>
      <c r="JV38" s="35">
        <f t="shared" si="266"/>
        <v>3.9602606181081385E-2</v>
      </c>
      <c r="JW38" s="35">
        <f t="shared" si="267"/>
        <v>3.9602605948274257E-2</v>
      </c>
      <c r="JX38" s="35">
        <f t="shared" si="268"/>
        <v>-6.2612914852877566E-11</v>
      </c>
      <c r="JY38" s="35">
        <f t="shared" si="269"/>
        <v>3.9602605715467129E-2</v>
      </c>
      <c r="JZ38" s="35">
        <f t="shared" si="270"/>
        <v>3.9602605948274257E-2</v>
      </c>
      <c r="KA38" s="35">
        <f t="shared" si="271"/>
        <v>1.0598669931991025</v>
      </c>
      <c r="KB38" s="35">
        <f t="shared" si="272"/>
        <v>3.9602605831870696E-2</v>
      </c>
    </row>
    <row r="39" spans="1:288" ht="15" customHeight="1" x14ac:dyDescent="0.3">
      <c r="A39" s="30">
        <f>Odds_Input!A39</f>
        <v>31</v>
      </c>
      <c r="B39" s="7" t="str">
        <f>Odds_Input!B39</f>
        <v>CONF_EAST</v>
      </c>
      <c r="C39" s="7" t="str">
        <f>Odds_Input!C39</f>
        <v>Boston Celtics</v>
      </c>
      <c r="D39" s="7" t="str">
        <f>Odds_Input!D39</f>
        <v>YES</v>
      </c>
      <c r="E39" s="31" t="str">
        <f>Odds_Input!E39</f>
        <v>-</v>
      </c>
      <c r="F39" s="32">
        <f>Odds_Input!F39</f>
        <v>525</v>
      </c>
      <c r="G39" s="6" t="str">
        <f t="shared" si="0"/>
        <v>CONF_EAST</v>
      </c>
      <c r="H39" s="14">
        <f t="shared" si="1"/>
        <v>6.25</v>
      </c>
      <c r="I39" s="33">
        <f t="shared" si="2"/>
        <v>0.16</v>
      </c>
      <c r="J39" s="17">
        <f t="shared" si="3"/>
        <v>1</v>
      </c>
      <c r="K39" s="17">
        <f t="shared" si="4"/>
        <v>15</v>
      </c>
      <c r="L39" s="18">
        <f t="shared" si="5"/>
        <v>1.2088752212862357</v>
      </c>
      <c r="M39" s="34">
        <f t="shared" si="6"/>
        <v>0.2088752212862357</v>
      </c>
      <c r="N39" s="33">
        <f t="shared" si="7"/>
        <v>0.13235443756532705</v>
      </c>
      <c r="O39" s="33">
        <f t="shared" si="8"/>
        <v>0.13568405353697138</v>
      </c>
      <c r="P39" s="33">
        <f t="shared" si="9"/>
        <v>0.13802485784774374</v>
      </c>
      <c r="Q39" s="33">
        <f t="shared" si="10"/>
        <v>0.13802485784774374</v>
      </c>
      <c r="R39" s="35">
        <f t="shared" si="11"/>
        <v>1.0899522183230146</v>
      </c>
      <c r="S39" s="35">
        <f t="shared" si="12"/>
        <v>1.7868178675567389E-2</v>
      </c>
      <c r="X39" s="6" t="s">
        <v>814</v>
      </c>
      <c r="Y39" s="6">
        <f t="shared" si="13"/>
        <v>1</v>
      </c>
      <c r="Z39" s="18">
        <f t="shared" si="14"/>
        <v>1.0470788428814521</v>
      </c>
      <c r="AA39" s="10">
        <v>0.2</v>
      </c>
      <c r="AB39" s="10">
        <v>10</v>
      </c>
      <c r="AC39" s="35">
        <f t="shared" si="15"/>
        <v>5.0999999999999996</v>
      </c>
      <c r="AD39" s="35">
        <f t="shared" si="16"/>
        <v>-0.92590326122907141</v>
      </c>
      <c r="AE39" s="35">
        <f t="shared" si="17"/>
        <v>0.2</v>
      </c>
      <c r="AF39" s="35">
        <f t="shared" si="18"/>
        <v>5.0999999999999996</v>
      </c>
      <c r="AG39" s="35">
        <f t="shared" si="19"/>
        <v>2.65</v>
      </c>
      <c r="AH39" s="35">
        <f t="shared" si="20"/>
        <v>-0.63967744874956778</v>
      </c>
      <c r="AI39" s="35">
        <f t="shared" si="21"/>
        <v>0.2</v>
      </c>
      <c r="AJ39" s="35">
        <f t="shared" si="22"/>
        <v>2.65</v>
      </c>
      <c r="AK39" s="35">
        <f t="shared" si="23"/>
        <v>1.425</v>
      </c>
      <c r="AL39" s="35">
        <f t="shared" si="24"/>
        <v>-0.20458345686739732</v>
      </c>
      <c r="AM39" s="35">
        <f t="shared" si="25"/>
        <v>0.2</v>
      </c>
      <c r="AN39" s="35">
        <f t="shared" si="26"/>
        <v>1.425</v>
      </c>
      <c r="AO39" s="35">
        <f t="shared" si="27"/>
        <v>0.8125</v>
      </c>
      <c r="AP39" s="35">
        <f t="shared" si="28"/>
        <v>0.18211802588758319</v>
      </c>
      <c r="AQ39" s="35">
        <f t="shared" si="29"/>
        <v>0.8125</v>
      </c>
      <c r="AR39" s="35">
        <f t="shared" si="30"/>
        <v>1.425</v>
      </c>
      <c r="AS39" s="35">
        <f t="shared" si="31"/>
        <v>1.1187499999999999</v>
      </c>
      <c r="AT39" s="35">
        <f t="shared" si="32"/>
        <v>-3.0342926483008625E-2</v>
      </c>
      <c r="AU39" s="35">
        <f t="shared" si="33"/>
        <v>0.8125</v>
      </c>
      <c r="AV39" s="35">
        <f t="shared" si="34"/>
        <v>1.1187499999999999</v>
      </c>
      <c r="AW39" s="35">
        <f t="shared" si="35"/>
        <v>0.96562499999999996</v>
      </c>
      <c r="AX39" s="35">
        <f t="shared" si="36"/>
        <v>7.0624345005433353E-2</v>
      </c>
      <c r="AY39" s="35">
        <f t="shared" si="37"/>
        <v>0.96562499999999996</v>
      </c>
      <c r="AZ39" s="35">
        <f t="shared" si="38"/>
        <v>1.1187499999999999</v>
      </c>
      <c r="BA39" s="35">
        <f t="shared" si="39"/>
        <v>1.0421874999999998</v>
      </c>
      <c r="BB39" s="35">
        <f t="shared" si="40"/>
        <v>1.8889401534555095E-2</v>
      </c>
      <c r="BC39" s="35">
        <f t="shared" si="41"/>
        <v>1.0421874999999998</v>
      </c>
      <c r="BD39" s="35">
        <f t="shared" si="42"/>
        <v>1.1187499999999999</v>
      </c>
      <c r="BE39" s="35">
        <f t="shared" si="43"/>
        <v>1.0804687499999999</v>
      </c>
      <c r="BF39" s="35">
        <f t="shared" si="44"/>
        <v>-6.0318739009772582E-3</v>
      </c>
      <c r="BG39" s="35">
        <f t="shared" si="45"/>
        <v>1.0421874999999998</v>
      </c>
      <c r="BH39" s="35">
        <f t="shared" si="46"/>
        <v>1.0804687499999999</v>
      </c>
      <c r="BI39" s="35">
        <f t="shared" si="47"/>
        <v>1.0613281249999997</v>
      </c>
      <c r="BJ39" s="35">
        <f t="shared" si="48"/>
        <v>6.3515364796720153E-3</v>
      </c>
      <c r="BK39" s="35">
        <f t="shared" si="49"/>
        <v>1.0613281249999997</v>
      </c>
      <c r="BL39" s="35">
        <f t="shared" si="50"/>
        <v>1.0804687499999999</v>
      </c>
      <c r="BM39" s="35">
        <f t="shared" si="51"/>
        <v>1.0708984374999999</v>
      </c>
      <c r="BN39" s="35">
        <f t="shared" si="52"/>
        <v>1.4064406221159231E-4</v>
      </c>
      <c r="BO39" s="35">
        <f t="shared" si="53"/>
        <v>1.0708984374999999</v>
      </c>
      <c r="BP39" s="35">
        <f t="shared" si="54"/>
        <v>1.0804687499999999</v>
      </c>
      <c r="BQ39" s="35">
        <f t="shared" si="55"/>
        <v>1.07568359375</v>
      </c>
      <c r="BR39" s="35">
        <f t="shared" si="56"/>
        <v>-2.9503968564081884E-3</v>
      </c>
      <c r="BS39" s="35">
        <f t="shared" si="57"/>
        <v>1.0708984374999999</v>
      </c>
      <c r="BT39" s="35">
        <f t="shared" si="58"/>
        <v>1.07568359375</v>
      </c>
      <c r="BU39" s="35">
        <f t="shared" si="59"/>
        <v>1.073291015625</v>
      </c>
      <c r="BV39" s="35">
        <f t="shared" si="60"/>
        <v>-1.4060737364669507E-3</v>
      </c>
      <c r="BW39" s="35">
        <f t="shared" si="61"/>
        <v>1.0708984374999999</v>
      </c>
      <c r="BX39" s="35">
        <f t="shared" si="62"/>
        <v>1.073291015625</v>
      </c>
      <c r="BY39" s="35">
        <f t="shared" si="63"/>
        <v>1.0720947265624998</v>
      </c>
      <c r="BZ39" s="35">
        <f t="shared" si="64"/>
        <v>-6.330144041740704E-4</v>
      </c>
      <c r="CA39" s="35">
        <f t="shared" si="65"/>
        <v>1.0708984374999999</v>
      </c>
      <c r="CB39" s="35">
        <f t="shared" si="66"/>
        <v>1.0720947265624998</v>
      </c>
      <c r="CC39" s="35">
        <f t="shared" si="67"/>
        <v>1.0714965820312499</v>
      </c>
      <c r="CD39" s="35">
        <f t="shared" si="68"/>
        <v>-2.4626009178807529E-4</v>
      </c>
      <c r="CE39" s="35">
        <f t="shared" si="69"/>
        <v>1.0708984374999999</v>
      </c>
      <c r="CF39" s="35">
        <f t="shared" si="70"/>
        <v>1.0714965820312499</v>
      </c>
      <c r="CG39" s="35">
        <f t="shared" si="71"/>
        <v>1.071197509765625</v>
      </c>
      <c r="CH39" s="35">
        <f t="shared" si="72"/>
        <v>-5.2826748621948028E-5</v>
      </c>
      <c r="CI39" s="35">
        <f t="shared" si="73"/>
        <v>1.0708984374999999</v>
      </c>
      <c r="CJ39" s="35">
        <f t="shared" si="74"/>
        <v>1.071197509765625</v>
      </c>
      <c r="CK39" s="35">
        <f t="shared" si="75"/>
        <v>1.0710479736328125</v>
      </c>
      <c r="CL39" s="35">
        <f t="shared" si="76"/>
        <v>4.3903972882342046E-5</v>
      </c>
      <c r="CM39" s="35">
        <f t="shared" si="77"/>
        <v>1.0710479736328125</v>
      </c>
      <c r="CN39" s="35">
        <f t="shared" si="78"/>
        <v>1.071197509765625</v>
      </c>
      <c r="CO39" s="35">
        <f t="shared" si="79"/>
        <v>1.0711227416992188</v>
      </c>
      <c r="CP39" s="35">
        <f t="shared" si="80"/>
        <v>-4.4625587911628628E-6</v>
      </c>
      <c r="CQ39" s="35">
        <f t="shared" si="81"/>
        <v>1.0710479736328125</v>
      </c>
      <c r="CR39" s="35">
        <f t="shared" si="82"/>
        <v>1.0711227416992188</v>
      </c>
      <c r="CS39" s="35">
        <f t="shared" si="83"/>
        <v>1.0710853576660155</v>
      </c>
      <c r="CT39" s="35">
        <f t="shared" si="84"/>
        <v>1.9720414308199707E-5</v>
      </c>
      <c r="CU39" s="35">
        <f t="shared" si="85"/>
        <v>1.0710853576660155</v>
      </c>
      <c r="CV39" s="35">
        <f t="shared" si="86"/>
        <v>1.0711227416992188</v>
      </c>
      <c r="CW39" s="35">
        <f t="shared" si="87"/>
        <v>1.0711040496826172</v>
      </c>
      <c r="CX39" s="35">
        <f t="shared" si="88"/>
        <v>7.6288545749481074E-6</v>
      </c>
      <c r="CY39" s="35">
        <f t="shared" si="89"/>
        <v>1.0711040496826172</v>
      </c>
      <c r="CZ39" s="35">
        <f t="shared" si="90"/>
        <v>1.0711227416992188</v>
      </c>
      <c r="DA39" s="35">
        <f t="shared" si="91"/>
        <v>1.071113395690918</v>
      </c>
      <c r="DB39" s="35">
        <f t="shared" si="92"/>
        <v>1.5831295960833103E-6</v>
      </c>
      <c r="DC39" s="35">
        <f t="shared" si="93"/>
        <v>1.071113395690918</v>
      </c>
      <c r="DD39" s="35">
        <f t="shared" si="94"/>
        <v>1.0711227416992188</v>
      </c>
      <c r="DE39" s="35">
        <f t="shared" si="95"/>
        <v>1.0711180686950685</v>
      </c>
      <c r="DF39" s="35">
        <f t="shared" si="96"/>
        <v>-1.4397191714365931E-6</v>
      </c>
      <c r="DG39" s="35">
        <f t="shared" si="97"/>
        <v>1.071113395690918</v>
      </c>
      <c r="DH39" s="35">
        <f t="shared" si="98"/>
        <v>1.0711180686950685</v>
      </c>
      <c r="DI39" s="35">
        <f t="shared" si="99"/>
        <v>1.0711157321929932</v>
      </c>
      <c r="DJ39" s="35">
        <f t="shared" si="100"/>
        <v>7.1704068904665519E-8</v>
      </c>
      <c r="DK39" s="35">
        <f t="shared" si="101"/>
        <v>1.0711157321929932</v>
      </c>
      <c r="DL39" s="35">
        <f t="shared" si="102"/>
        <v>1.0711180686950685</v>
      </c>
      <c r="DM39" s="35">
        <f t="shared" si="103"/>
        <v>1.0711169004440309</v>
      </c>
      <c r="DN39" s="35">
        <f t="shared" si="104"/>
        <v>-6.8400783725941494E-7</v>
      </c>
      <c r="DO39" s="35">
        <f t="shared" si="105"/>
        <v>1.0711157321929932</v>
      </c>
      <c r="DP39" s="35">
        <f t="shared" si="106"/>
        <v>1.0711169004440309</v>
      </c>
      <c r="DQ39" s="35">
        <f t="shared" si="107"/>
        <v>1.071116316318512</v>
      </c>
      <c r="DR39" s="35">
        <f t="shared" si="108"/>
        <v>-3.0615195556471519E-7</v>
      </c>
      <c r="DS39" s="35">
        <f t="shared" si="109"/>
        <v>1.0711157321929932</v>
      </c>
      <c r="DT39" s="35">
        <f t="shared" si="110"/>
        <v>1.071116316318512</v>
      </c>
      <c r="DU39" s="35">
        <f t="shared" si="111"/>
        <v>1.0711160242557525</v>
      </c>
      <c r="DV39" s="35">
        <f t="shared" si="112"/>
        <v>-1.1722396109359323E-7</v>
      </c>
      <c r="DW39" s="35">
        <f t="shared" si="113"/>
        <v>1.0711157321929932</v>
      </c>
      <c r="DX39" s="35">
        <f t="shared" si="114"/>
        <v>1.0711160242557525</v>
      </c>
      <c r="DY39" s="35">
        <f t="shared" si="115"/>
        <v>1.0711158782243728</v>
      </c>
      <c r="DZ39" s="35">
        <f t="shared" si="116"/>
        <v>-2.2759950590867106E-8</v>
      </c>
      <c r="EA39" s="35">
        <f t="shared" si="117"/>
        <v>1.0711157321929932</v>
      </c>
      <c r="EB39" s="35">
        <f t="shared" si="118"/>
        <v>1.0711158782243728</v>
      </c>
      <c r="EC39" s="35">
        <f t="shared" si="119"/>
        <v>1.0711158052086831</v>
      </c>
      <c r="ED39" s="35">
        <f t="shared" si="120"/>
        <v>2.4472057935653879E-8</v>
      </c>
      <c r="EE39" s="35">
        <f t="shared" si="121"/>
        <v>1.0711158052086831</v>
      </c>
      <c r="EF39" s="35">
        <f t="shared" si="122"/>
        <v>1.0711158782243728</v>
      </c>
      <c r="EG39" s="35">
        <f t="shared" si="123"/>
        <v>1.0711158417165279</v>
      </c>
      <c r="EH39" s="35">
        <f t="shared" si="124"/>
        <v>8.5605345034878155E-10</v>
      </c>
      <c r="EI39" s="35">
        <f t="shared" si="125"/>
        <v>1.0711158417165279</v>
      </c>
      <c r="EJ39" s="35">
        <f t="shared" si="126"/>
        <v>1.0711158782243728</v>
      </c>
      <c r="EK39" s="35">
        <f t="shared" si="127"/>
        <v>1.0711158599704502</v>
      </c>
      <c r="EL39" s="35">
        <f t="shared" si="128"/>
        <v>-1.0951948570259162E-8</v>
      </c>
      <c r="EM39" s="35">
        <f t="shared" si="129"/>
        <v>1.0711158417165279</v>
      </c>
      <c r="EN39" s="35">
        <f t="shared" si="130"/>
        <v>1.0711158599704502</v>
      </c>
      <c r="EO39" s="35">
        <f t="shared" si="131"/>
        <v>1.071115850843489</v>
      </c>
      <c r="EP39" s="35">
        <f t="shared" si="132"/>
        <v>-5.0479476154663416E-9</v>
      </c>
      <c r="EQ39" s="35">
        <f t="shared" si="133"/>
        <v>1.0711158417165279</v>
      </c>
      <c r="ER39" s="35">
        <f t="shared" si="134"/>
        <v>1.071115850843489</v>
      </c>
      <c r="ES39" s="35">
        <f t="shared" si="135"/>
        <v>1.0711158462800086</v>
      </c>
      <c r="ET39" s="35">
        <f t="shared" si="136"/>
        <v>-2.0959471935810825E-9</v>
      </c>
      <c r="EU39" s="35">
        <f t="shared" si="137"/>
        <v>1.0711158417165279</v>
      </c>
      <c r="EV39" s="35">
        <f t="shared" si="138"/>
        <v>1.0711158462800086</v>
      </c>
      <c r="EW39" s="35">
        <f t="shared" si="139"/>
        <v>1.0711158439982682</v>
      </c>
      <c r="EX39" s="35">
        <f t="shared" si="140"/>
        <v>-6.1994676059384801E-10</v>
      </c>
      <c r="EY39" s="35">
        <f t="shared" si="141"/>
        <v>1.0711158417165279</v>
      </c>
      <c r="EZ39" s="35">
        <f t="shared" si="142"/>
        <v>1.0711158439982682</v>
      </c>
      <c r="FA39" s="10">
        <v>9.9999999999999995E-7</v>
      </c>
      <c r="FB39" s="10">
        <v>0.99990000000000001</v>
      </c>
      <c r="FC39" s="35">
        <f t="shared" si="143"/>
        <v>0.49995050000000002</v>
      </c>
      <c r="FD39" s="35">
        <f t="shared" si="144"/>
        <v>-0.24086136856262763</v>
      </c>
      <c r="FE39" s="35">
        <f t="shared" si="145"/>
        <v>9.9999999999999995E-7</v>
      </c>
      <c r="FF39" s="35">
        <f t="shared" si="146"/>
        <v>0.49995050000000002</v>
      </c>
      <c r="FG39" s="35">
        <f t="shared" si="147"/>
        <v>0.24997575</v>
      </c>
      <c r="FH39" s="35">
        <f t="shared" si="148"/>
        <v>-0.10561327555086264</v>
      </c>
      <c r="FI39" s="35">
        <f t="shared" si="149"/>
        <v>9.9999999999999995E-7</v>
      </c>
      <c r="FJ39" s="35">
        <f t="shared" si="150"/>
        <v>0.24997575</v>
      </c>
      <c r="FK39" s="35">
        <f t="shared" si="151"/>
        <v>0.124988375</v>
      </c>
      <c r="FL39" s="35">
        <f t="shared" si="152"/>
        <v>-3.9638041010535141E-2</v>
      </c>
      <c r="FM39" s="35">
        <f t="shared" si="153"/>
        <v>9.9999999999999995E-7</v>
      </c>
      <c r="FN39" s="35">
        <f t="shared" si="154"/>
        <v>0.124988375</v>
      </c>
      <c r="FO39" s="35">
        <f t="shared" si="155"/>
        <v>6.24946875E-2</v>
      </c>
      <c r="FP39" s="35">
        <f t="shared" si="156"/>
        <v>-7.7349932585346615E-3</v>
      </c>
      <c r="FQ39" s="35">
        <f t="shared" si="157"/>
        <v>9.9999999999999995E-7</v>
      </c>
      <c r="FR39" s="35">
        <f t="shared" si="158"/>
        <v>6.24946875E-2</v>
      </c>
      <c r="FS39" s="35">
        <f t="shared" si="159"/>
        <v>3.124784375E-2</v>
      </c>
      <c r="FT39" s="35">
        <f t="shared" si="160"/>
        <v>7.8856161408691339E-3</v>
      </c>
      <c r="FU39" s="35">
        <f t="shared" si="161"/>
        <v>3.124784375E-2</v>
      </c>
      <c r="FV39" s="35">
        <f t="shared" si="162"/>
        <v>6.24946875E-2</v>
      </c>
      <c r="FW39" s="35">
        <f t="shared" si="163"/>
        <v>4.6871265624999998E-2</v>
      </c>
      <c r="FX39" s="35">
        <f t="shared" si="164"/>
        <v>1.0432361907253274E-4</v>
      </c>
      <c r="FY39" s="35">
        <f t="shared" si="165"/>
        <v>4.6871265624999998E-2</v>
      </c>
      <c r="FZ39" s="35">
        <f t="shared" si="166"/>
        <v>6.24946875E-2</v>
      </c>
      <c r="GA39" s="35">
        <f t="shared" si="167"/>
        <v>5.4682976562499999E-2</v>
      </c>
      <c r="GB39" s="35">
        <f t="shared" si="168"/>
        <v>-3.8081807415185631E-3</v>
      </c>
      <c r="GC39" s="35">
        <f t="shared" si="169"/>
        <v>4.6871265624999998E-2</v>
      </c>
      <c r="GD39" s="35">
        <f t="shared" si="170"/>
        <v>5.4682976562499999E-2</v>
      </c>
      <c r="GE39" s="35">
        <f t="shared" si="171"/>
        <v>5.0777121093750002E-2</v>
      </c>
      <c r="GF39" s="35">
        <f t="shared" si="172"/>
        <v>-1.8501273722790756E-3</v>
      </c>
      <c r="GG39" s="35">
        <f t="shared" si="173"/>
        <v>4.6871265624999998E-2</v>
      </c>
      <c r="GH39" s="35">
        <f t="shared" si="174"/>
        <v>5.0777121093750002E-2</v>
      </c>
      <c r="GI39" s="35">
        <f t="shared" si="175"/>
        <v>4.8824193359375004E-2</v>
      </c>
      <c r="GJ39" s="35">
        <f t="shared" si="176"/>
        <v>-8.7245002193159227E-4</v>
      </c>
      <c r="GK39" s="35">
        <f t="shared" si="177"/>
        <v>4.6871265624999998E-2</v>
      </c>
      <c r="GL39" s="35">
        <f t="shared" si="178"/>
        <v>4.8824193359375004E-2</v>
      </c>
      <c r="GM39" s="35">
        <f t="shared" si="179"/>
        <v>4.7847729492187505E-2</v>
      </c>
      <c r="GN39" s="35">
        <f t="shared" si="180"/>
        <v>-3.8395004471636351E-4</v>
      </c>
      <c r="GO39" s="35">
        <f t="shared" si="181"/>
        <v>4.6871265624999998E-2</v>
      </c>
      <c r="GP39" s="35">
        <f t="shared" si="182"/>
        <v>4.7847729492187505E-2</v>
      </c>
      <c r="GQ39" s="35">
        <f t="shared" si="183"/>
        <v>4.7359497558593755E-2</v>
      </c>
      <c r="GR39" s="35">
        <f t="shared" si="184"/>
        <v>-1.3978489961485874E-4</v>
      </c>
      <c r="GS39" s="35">
        <f t="shared" si="185"/>
        <v>4.6871265624999998E-2</v>
      </c>
      <c r="GT39" s="35">
        <f t="shared" si="186"/>
        <v>4.7359497558593755E-2</v>
      </c>
      <c r="GU39" s="35">
        <f t="shared" si="187"/>
        <v>4.7115381591796873E-2</v>
      </c>
      <c r="GV39" s="35">
        <f t="shared" si="188"/>
        <v>-1.772355897211586E-5</v>
      </c>
      <c r="GW39" s="35">
        <f t="shared" si="189"/>
        <v>4.6871265624999998E-2</v>
      </c>
      <c r="GX39" s="35">
        <f t="shared" si="190"/>
        <v>4.7115381591796873E-2</v>
      </c>
      <c r="GY39" s="35">
        <f t="shared" si="191"/>
        <v>4.6993323608398432E-2</v>
      </c>
      <c r="GZ39" s="35">
        <f t="shared" si="192"/>
        <v>4.3301800749295793E-5</v>
      </c>
      <c r="HA39" s="35">
        <f t="shared" si="193"/>
        <v>4.6993323608398432E-2</v>
      </c>
      <c r="HB39" s="35">
        <f t="shared" si="194"/>
        <v>4.7115381591796873E-2</v>
      </c>
      <c r="HC39" s="35">
        <f t="shared" si="195"/>
        <v>4.7054352600097653E-2</v>
      </c>
      <c r="HD39" s="35">
        <f t="shared" si="196"/>
        <v>1.278956351646876E-5</v>
      </c>
      <c r="HE39" s="35">
        <f t="shared" si="197"/>
        <v>4.7054352600097653E-2</v>
      </c>
      <c r="HF39" s="35">
        <f t="shared" si="198"/>
        <v>4.7115381591796873E-2</v>
      </c>
      <c r="HG39" s="35">
        <f t="shared" si="199"/>
        <v>4.7084867095947266E-2</v>
      </c>
      <c r="HH39" s="35">
        <f t="shared" si="200"/>
        <v>-2.4668870767241557E-6</v>
      </c>
      <c r="HI39" s="35">
        <f t="shared" si="201"/>
        <v>4.7054352600097653E-2</v>
      </c>
      <c r="HJ39" s="35">
        <f t="shared" si="202"/>
        <v>4.7084867095947266E-2</v>
      </c>
      <c r="HK39" s="35">
        <f t="shared" si="203"/>
        <v>4.7069609848022456E-2</v>
      </c>
      <c r="HL39" s="35">
        <f t="shared" si="204"/>
        <v>5.1613658835769627E-6</v>
      </c>
      <c r="HM39" s="35">
        <f t="shared" si="205"/>
        <v>4.7069609848022456E-2</v>
      </c>
      <c r="HN39" s="35">
        <f t="shared" si="206"/>
        <v>4.7084867095947266E-2</v>
      </c>
      <c r="HO39" s="35">
        <f t="shared" si="207"/>
        <v>4.7077238471984861E-2</v>
      </c>
      <c r="HP39" s="35">
        <f t="shared" si="208"/>
        <v>1.3472463189501127E-6</v>
      </c>
      <c r="HQ39" s="35">
        <f t="shared" si="209"/>
        <v>4.7077238471984861E-2</v>
      </c>
      <c r="HR39" s="35">
        <f t="shared" si="210"/>
        <v>4.7084867095947266E-2</v>
      </c>
      <c r="HS39" s="35">
        <f t="shared" si="211"/>
        <v>4.7081052783966064E-2</v>
      </c>
      <c r="HT39" s="35">
        <f t="shared" si="212"/>
        <v>-5.5981864988119412E-7</v>
      </c>
      <c r="HU39" s="35">
        <f t="shared" si="213"/>
        <v>4.7077238471984861E-2</v>
      </c>
      <c r="HV39" s="35">
        <f t="shared" si="214"/>
        <v>4.7081052783966064E-2</v>
      </c>
      <c r="HW39" s="35">
        <f t="shared" si="215"/>
        <v>4.7079145627975466E-2</v>
      </c>
      <c r="HX39" s="35">
        <f t="shared" si="216"/>
        <v>3.9371426696632739E-7</v>
      </c>
      <c r="HY39" s="35">
        <f t="shared" si="217"/>
        <v>4.7079145627975466E-2</v>
      </c>
      <c r="HZ39" s="35">
        <f t="shared" si="218"/>
        <v>4.7081052783966064E-2</v>
      </c>
      <c r="IA39" s="35">
        <f t="shared" si="219"/>
        <v>4.7080099205970768E-2</v>
      </c>
      <c r="IB39" s="35">
        <f t="shared" si="220"/>
        <v>-8.305208343273307E-8</v>
      </c>
      <c r="IC39" s="35">
        <f t="shared" si="221"/>
        <v>4.7079145627975466E-2</v>
      </c>
      <c r="ID39" s="35">
        <f t="shared" si="222"/>
        <v>4.7080099205970768E-2</v>
      </c>
      <c r="IE39" s="35">
        <f t="shared" si="223"/>
        <v>4.7079622416973117E-2</v>
      </c>
      <c r="IF39" s="35">
        <f t="shared" si="224"/>
        <v>1.5533111885623896E-7</v>
      </c>
      <c r="IG39" s="35">
        <f t="shared" si="225"/>
        <v>4.7079622416973117E-2</v>
      </c>
      <c r="IH39" s="35">
        <f t="shared" si="226"/>
        <v>4.7080099205970768E-2</v>
      </c>
      <c r="II39" s="35">
        <f t="shared" si="227"/>
        <v>4.7079860811471946E-2</v>
      </c>
      <c r="IJ39" s="35">
        <f t="shared" si="228"/>
        <v>3.6139524484113394E-8</v>
      </c>
      <c r="IK39" s="35">
        <f t="shared" si="229"/>
        <v>4.7079860811471946E-2</v>
      </c>
      <c r="IL39" s="35">
        <f t="shared" si="230"/>
        <v>4.7080099205970768E-2</v>
      </c>
      <c r="IM39" s="35">
        <f t="shared" si="231"/>
        <v>4.7079980008721357E-2</v>
      </c>
      <c r="IN39" s="35">
        <f t="shared" si="232"/>
        <v>-2.3456277919997603E-8</v>
      </c>
      <c r="IO39" s="35">
        <f t="shared" si="233"/>
        <v>4.7079860811471946E-2</v>
      </c>
      <c r="IP39" s="35">
        <f t="shared" si="234"/>
        <v>4.7079980008721357E-2</v>
      </c>
      <c r="IQ39" s="35">
        <f t="shared" si="235"/>
        <v>4.7079920410096648E-2</v>
      </c>
      <c r="IR39" s="35">
        <f t="shared" si="236"/>
        <v>6.3416236706359541E-9</v>
      </c>
      <c r="IS39" s="35">
        <f t="shared" si="237"/>
        <v>4.7079920410096648E-2</v>
      </c>
      <c r="IT39" s="35">
        <f t="shared" si="238"/>
        <v>4.7079980008721357E-2</v>
      </c>
      <c r="IU39" s="35">
        <f t="shared" si="239"/>
        <v>4.7079950209408999E-2</v>
      </c>
      <c r="IV39" s="35">
        <f t="shared" si="240"/>
        <v>-8.557326958147371E-9</v>
      </c>
      <c r="IW39" s="35">
        <f t="shared" si="241"/>
        <v>4.7079920410096648E-2</v>
      </c>
      <c r="IX39" s="35">
        <f t="shared" si="242"/>
        <v>4.7079950209408999E-2</v>
      </c>
      <c r="IY39" s="35">
        <f t="shared" si="243"/>
        <v>4.7079935309752824E-2</v>
      </c>
      <c r="IZ39" s="35">
        <f t="shared" si="244"/>
        <v>-1.1078515882445572E-9</v>
      </c>
      <c r="JA39" s="35">
        <f t="shared" si="245"/>
        <v>4.7079920410096648E-2</v>
      </c>
      <c r="JB39" s="35">
        <f t="shared" si="246"/>
        <v>4.7079935309752824E-2</v>
      </c>
      <c r="JC39" s="35">
        <f t="shared" si="247"/>
        <v>4.7079927859924736E-2</v>
      </c>
      <c r="JD39" s="35">
        <f t="shared" si="248"/>
        <v>2.6168858191510935E-9</v>
      </c>
      <c r="JE39" s="35">
        <f t="shared" si="249"/>
        <v>4.7079927859924736E-2</v>
      </c>
      <c r="JF39" s="35">
        <f t="shared" si="250"/>
        <v>4.7079935309752824E-2</v>
      </c>
      <c r="JG39" s="35">
        <f t="shared" si="251"/>
        <v>4.707993158483878E-2</v>
      </c>
      <c r="JH39" s="35">
        <f t="shared" si="252"/>
        <v>7.5451733749787309E-10</v>
      </c>
      <c r="JI39" s="35">
        <f t="shared" si="253"/>
        <v>4.707993158483878E-2</v>
      </c>
      <c r="JJ39" s="35">
        <f t="shared" si="254"/>
        <v>4.7079935309752824E-2</v>
      </c>
      <c r="JK39" s="35">
        <f t="shared" si="255"/>
        <v>4.7079933447295802E-2</v>
      </c>
      <c r="JL39" s="35">
        <f t="shared" si="256"/>
        <v>-1.7666712537334206E-10</v>
      </c>
      <c r="JM39" s="35">
        <f t="shared" si="257"/>
        <v>4.707993158483878E-2</v>
      </c>
      <c r="JN39" s="35">
        <f t="shared" si="258"/>
        <v>4.7079933447295802E-2</v>
      </c>
      <c r="JO39" s="35">
        <f t="shared" si="259"/>
        <v>4.7079932516067291E-2</v>
      </c>
      <c r="JP39" s="35">
        <f t="shared" si="260"/>
        <v>2.8892510606226551E-10</v>
      </c>
      <c r="JQ39" s="35">
        <f t="shared" si="261"/>
        <v>4.7079932516067291E-2</v>
      </c>
      <c r="JR39" s="35">
        <f t="shared" si="262"/>
        <v>4.7079933447295802E-2</v>
      </c>
      <c r="JS39" s="35">
        <f t="shared" si="263"/>
        <v>4.7079932981681546E-2</v>
      </c>
      <c r="JT39" s="35">
        <f t="shared" si="264"/>
        <v>5.6128879322159264E-11</v>
      </c>
      <c r="JU39" s="35">
        <f t="shared" si="265"/>
        <v>4.7079932981681546E-2</v>
      </c>
      <c r="JV39" s="35">
        <f t="shared" si="266"/>
        <v>4.7079933447295802E-2</v>
      </c>
      <c r="JW39" s="35">
        <f t="shared" si="267"/>
        <v>4.7079933214488674E-2</v>
      </c>
      <c r="JX39" s="35">
        <f t="shared" si="268"/>
        <v>-6.0269123025591398E-11</v>
      </c>
      <c r="JY39" s="35">
        <f t="shared" si="269"/>
        <v>4.7079932981681546E-2</v>
      </c>
      <c r="JZ39" s="35">
        <f t="shared" si="270"/>
        <v>4.7079933214488674E-2</v>
      </c>
      <c r="KA39" s="35">
        <f t="shared" si="271"/>
        <v>1.0711158428573979</v>
      </c>
      <c r="KB39" s="35">
        <f t="shared" si="272"/>
        <v>4.7079933098085114E-2</v>
      </c>
    </row>
    <row r="40" spans="1:288" ht="15" customHeight="1" x14ac:dyDescent="0.3">
      <c r="A40" s="30">
        <f>Odds_Input!A40</f>
        <v>32</v>
      </c>
      <c r="B40" s="7" t="str">
        <f>Odds_Input!B40</f>
        <v>CONF_EAST</v>
      </c>
      <c r="C40" s="7" t="str">
        <f>Odds_Input!C40</f>
        <v>Brooklyn Nets</v>
      </c>
      <c r="D40" s="7" t="str">
        <f>Odds_Input!D40</f>
        <v>YES</v>
      </c>
      <c r="E40" s="31" t="str">
        <f>Odds_Input!E40</f>
        <v>-</v>
      </c>
      <c r="F40" s="32">
        <f>Odds_Input!F40</f>
        <v>25000</v>
      </c>
      <c r="G40" s="6" t="str">
        <f t="shared" si="0"/>
        <v>CONF_EAST</v>
      </c>
      <c r="H40" s="14">
        <f t="shared" si="1"/>
        <v>251</v>
      </c>
      <c r="I40" s="33">
        <f t="shared" si="2"/>
        <v>3.9840637450199202E-3</v>
      </c>
      <c r="J40" s="17">
        <f t="shared" si="3"/>
        <v>1</v>
      </c>
      <c r="K40" s="17">
        <f t="shared" si="4"/>
        <v>15</v>
      </c>
      <c r="L40" s="18">
        <f t="shared" si="5"/>
        <v>1.2088752212862357</v>
      </c>
      <c r="M40" s="34">
        <f t="shared" si="6"/>
        <v>0.2088752212862357</v>
      </c>
      <c r="N40" s="33">
        <f t="shared" si="7"/>
        <v>3.2956782262282629E-3</v>
      </c>
      <c r="O40" s="33">
        <f t="shared" si="8"/>
        <v>2.4236522355589778E-3</v>
      </c>
      <c r="P40" s="33">
        <f t="shared" si="9"/>
        <v>7.073360919281807E-4</v>
      </c>
      <c r="Q40" s="33">
        <f t="shared" si="10"/>
        <v>7.073360919281807E-4</v>
      </c>
      <c r="R40" s="35">
        <f t="shared" si="11"/>
        <v>1.0899522183230146</v>
      </c>
      <c r="S40" s="35">
        <f t="shared" si="12"/>
        <v>1.7868178675567389E-2</v>
      </c>
      <c r="X40" s="6" t="s">
        <v>815</v>
      </c>
      <c r="Y40" s="6">
        <f t="shared" ref="Y40:Y71" si="273">IF(LEFT(X40,6)="PLAYIN",A_playin_slots,1)</f>
        <v>1</v>
      </c>
      <c r="Z40" s="18">
        <f t="shared" ref="Z40:Z71" si="274">SUMIF($G$8:$G$694,X40,$I$8:$I$694)</f>
        <v>1.0320512820512822</v>
      </c>
      <c r="AA40" s="10">
        <v>0.2</v>
      </c>
      <c r="AB40" s="10">
        <v>10</v>
      </c>
      <c r="AC40" s="35">
        <f t="shared" ref="AC40:AC71" si="275">(AA40+AB40)/2</f>
        <v>5.0999999999999996</v>
      </c>
      <c r="AD40" s="35">
        <f t="shared" ref="AD40:AD71" si="276">SUMPRODUCT(($G$8:$G$694=X40)*($I$8:$I$694^AC40))-Y40</f>
        <v>-0.90442273079715418</v>
      </c>
      <c r="AE40" s="35">
        <f t="shared" ref="AE40:AE71" si="277">IF(AD40&gt;0,AC40,AA40)</f>
        <v>0.2</v>
      </c>
      <c r="AF40" s="35">
        <f t="shared" ref="AF40:AF71" si="278">IF(AD40&gt;0,AB40,AC40)</f>
        <v>5.0999999999999996</v>
      </c>
      <c r="AG40" s="35">
        <f t="shared" ref="AG40:AG71" si="279">(AE40+AF40)/2</f>
        <v>2.65</v>
      </c>
      <c r="AH40" s="35">
        <f t="shared" ref="AH40:AH71" si="280">SUMPRODUCT(($G$8:$G$694=X40)*($I$8:$I$694^AG40))-Y40</f>
        <v>-0.62551616228172402</v>
      </c>
      <c r="AI40" s="35">
        <f t="shared" ref="AI40:AI71" si="281">IF(AH40&gt;0,AG40,AE40)</f>
        <v>0.2</v>
      </c>
      <c r="AJ40" s="35">
        <f t="shared" ref="AJ40:AJ71" si="282">IF(AH40&gt;0,AF40,AG40)</f>
        <v>2.65</v>
      </c>
      <c r="AK40" s="35">
        <f t="shared" ref="AK40:AK71" si="283">(AI40+AJ40)/2</f>
        <v>1.425</v>
      </c>
      <c r="AL40" s="35">
        <f t="shared" ref="AL40:AL71" si="284">SUMPRODUCT(($G$8:$G$694=X40)*($I$8:$I$694^AK40))-Y40</f>
        <v>-0.21214068792954355</v>
      </c>
      <c r="AM40" s="35">
        <f t="shared" ref="AM40:AM71" si="285">IF(AL40&gt;0,AK40,AI40)</f>
        <v>0.2</v>
      </c>
      <c r="AN40" s="35">
        <f t="shared" ref="AN40:AN71" si="286">IF(AL40&gt;0,AJ40,AK40)</f>
        <v>1.425</v>
      </c>
      <c r="AO40" s="35">
        <f t="shared" ref="AO40:AO71" si="287">(AM40+AN40)/2</f>
        <v>0.8125</v>
      </c>
      <c r="AP40" s="35">
        <f t="shared" ref="AP40:AP71" si="288">SUMPRODUCT(($G$8:$G$694=X40)*($I$8:$I$694^AO40))-Y40</f>
        <v>0.16503021234412785</v>
      </c>
      <c r="AQ40" s="35">
        <f t="shared" ref="AQ40:AQ71" si="289">IF(AP40&gt;0,AO40,AM40)</f>
        <v>0.8125</v>
      </c>
      <c r="AR40" s="35">
        <f t="shared" ref="AR40:AR71" si="290">IF(AP40&gt;0,AN40,AO40)</f>
        <v>1.425</v>
      </c>
      <c r="AS40" s="35">
        <f t="shared" ref="AS40:AS71" si="291">(AQ40+AR40)/2</f>
        <v>1.1187499999999999</v>
      </c>
      <c r="AT40" s="35">
        <f t="shared" ref="AT40:AT71" si="292">SUMPRODUCT(($G$8:$G$694=X40)*($I$8:$I$694^AS40))-Y40</f>
        <v>-4.3566568185338772E-2</v>
      </c>
      <c r="AU40" s="35">
        <f t="shared" ref="AU40:AU71" si="293">IF(AT40&gt;0,AS40,AQ40)</f>
        <v>0.8125</v>
      </c>
      <c r="AV40" s="35">
        <f t="shared" ref="AV40:AV71" si="294">IF(AT40&gt;0,AR40,AS40)</f>
        <v>1.1187499999999999</v>
      </c>
      <c r="AW40" s="35">
        <f t="shared" ref="AW40:AW71" si="295">(AU40+AV40)/2</f>
        <v>0.96562499999999996</v>
      </c>
      <c r="AX40" s="35">
        <f t="shared" ref="AX40:AX71" si="296">SUMPRODUCT(($G$8:$G$694=X40)*($I$8:$I$694^AW40))-Y40</f>
        <v>5.5137673806223253E-2</v>
      </c>
      <c r="AY40" s="35">
        <f t="shared" ref="AY40:AY71" si="297">IF(AX40&gt;0,AW40,AU40)</f>
        <v>0.96562499999999996</v>
      </c>
      <c r="AZ40" s="35">
        <f t="shared" ref="AZ40:AZ71" si="298">IF(AX40&gt;0,AV40,AW40)</f>
        <v>1.1187499999999999</v>
      </c>
      <c r="BA40" s="35">
        <f t="shared" ref="BA40:BA71" si="299">(AY40+AZ40)/2</f>
        <v>1.0421874999999998</v>
      </c>
      <c r="BB40" s="35">
        <f t="shared" ref="BB40:BB71" si="300">SUMPRODUCT(($G$8:$G$694=X40)*($I$8:$I$694^BA40))-Y40</f>
        <v>4.4665843286038065E-3</v>
      </c>
      <c r="BC40" s="35">
        <f t="shared" ref="BC40:BC71" si="301">IF(BB40&gt;0,BA40,AY40)</f>
        <v>1.0421874999999998</v>
      </c>
      <c r="BD40" s="35">
        <f t="shared" ref="BD40:BD71" si="302">IF(BB40&gt;0,AZ40,BA40)</f>
        <v>1.1187499999999999</v>
      </c>
      <c r="BE40" s="35">
        <f t="shared" ref="BE40:BE71" si="303">(BC40+BD40)/2</f>
        <v>1.0804687499999999</v>
      </c>
      <c r="BF40" s="35">
        <f t="shared" ref="BF40:BF71" si="304">SUMPRODUCT(($G$8:$G$694=X40)*($I$8:$I$694^BE40))-Y40</f>
        <v>-1.9870310838618233E-2</v>
      </c>
      <c r="BG40" s="35">
        <f t="shared" ref="BG40:BG71" si="305">IF(BF40&gt;0,BE40,BC40)</f>
        <v>1.0421874999999998</v>
      </c>
      <c r="BH40" s="35">
        <f t="shared" ref="BH40:BH71" si="306">IF(BF40&gt;0,BD40,BE40)</f>
        <v>1.0804687499999999</v>
      </c>
      <c r="BI40" s="35">
        <f t="shared" ref="BI40:BI71" si="307">(BG40+BH40)/2</f>
        <v>1.0613281249999997</v>
      </c>
      <c r="BJ40" s="35">
        <f t="shared" ref="BJ40:BJ71" si="308">SUMPRODUCT(($G$8:$G$694=X40)*($I$8:$I$694^BI40))-Y40</f>
        <v>-7.7830984952080851E-3</v>
      </c>
      <c r="BK40" s="35">
        <f t="shared" ref="BK40:BK71" si="309">IF(BJ40&gt;0,BI40,BG40)</f>
        <v>1.0421874999999998</v>
      </c>
      <c r="BL40" s="35">
        <f t="shared" ref="BL40:BL71" si="310">IF(BJ40&gt;0,BH40,BI40)</f>
        <v>1.0613281249999997</v>
      </c>
      <c r="BM40" s="35">
        <f t="shared" ref="BM40:BM71" si="311">(BK40+BL40)/2</f>
        <v>1.0517578124999998</v>
      </c>
      <c r="BN40" s="35">
        <f t="shared" ref="BN40:BN71" si="312">SUMPRODUCT(($G$8:$G$694=X40)*($I$8:$I$694^BM40))-Y40</f>
        <v>-1.6787122635300022E-3</v>
      </c>
      <c r="BO40" s="35">
        <f t="shared" ref="BO40:BO71" si="313">IF(BN40&gt;0,BM40,BK40)</f>
        <v>1.0421874999999998</v>
      </c>
      <c r="BP40" s="35">
        <f t="shared" ref="BP40:BP71" si="314">IF(BN40&gt;0,BL40,BM40)</f>
        <v>1.0517578124999998</v>
      </c>
      <c r="BQ40" s="35">
        <f t="shared" ref="BQ40:BQ71" si="315">(BO40+BP40)/2</f>
        <v>1.0469726562499999</v>
      </c>
      <c r="BR40" s="35">
        <f t="shared" ref="BR40:BR71" si="316">SUMPRODUCT(($G$8:$G$694=X40)*($I$8:$I$694^BQ40))-Y40</f>
        <v>1.3888038190770224E-3</v>
      </c>
      <c r="BS40" s="35">
        <f t="shared" ref="BS40:BS71" si="317">IF(BR40&gt;0,BQ40,BO40)</f>
        <v>1.0469726562499999</v>
      </c>
      <c r="BT40" s="35">
        <f t="shared" ref="BT40:BT71" si="318">IF(BR40&gt;0,BP40,BQ40)</f>
        <v>1.0517578124999998</v>
      </c>
      <c r="BU40" s="35">
        <f t="shared" ref="BU40:BU71" si="319">(BS40+BT40)/2</f>
        <v>1.0493652343749997</v>
      </c>
      <c r="BV40" s="35">
        <f t="shared" ref="BV40:BV71" si="320">SUMPRODUCT(($G$8:$G$694=X40)*($I$8:$I$694^BU40))-Y40</f>
        <v>-1.4623496781063228E-4</v>
      </c>
      <c r="BW40" s="35">
        <f t="shared" ref="BW40:BW71" si="321">IF(BV40&gt;0,BU40,BS40)</f>
        <v>1.0469726562499999</v>
      </c>
      <c r="BX40" s="35">
        <f t="shared" ref="BX40:BX71" si="322">IF(BV40&gt;0,BT40,BU40)</f>
        <v>1.0493652343749997</v>
      </c>
      <c r="BY40" s="35">
        <f t="shared" ref="BY40:BY71" si="323">(BW40+BX40)/2</f>
        <v>1.0481689453124998</v>
      </c>
      <c r="BZ40" s="35">
        <f t="shared" ref="BZ40:BZ71" si="324">SUMPRODUCT(($G$8:$G$694=X40)*($I$8:$I$694^BY40))-Y40</f>
        <v>6.2096395110788905E-4</v>
      </c>
      <c r="CA40" s="35">
        <f t="shared" ref="CA40:CA71" si="325">IF(BZ40&gt;0,BY40,BW40)</f>
        <v>1.0481689453124998</v>
      </c>
      <c r="CB40" s="35">
        <f t="shared" ref="CB40:CB71" si="326">IF(BZ40&gt;0,BX40,BY40)</f>
        <v>1.0493652343749997</v>
      </c>
      <c r="CC40" s="35">
        <f t="shared" ref="CC40:CC71" si="327">(CA40+CB40)/2</f>
        <v>1.0487670898437498</v>
      </c>
      <c r="CD40" s="35">
        <f t="shared" ref="CD40:CD71" si="328">SUMPRODUCT(($G$8:$G$694=X40)*($I$8:$I$694^CC40))-Y40</f>
        <v>2.3728440905501635E-4</v>
      </c>
      <c r="CE40" s="35">
        <f t="shared" ref="CE40:CE71" si="329">IF(CD40&gt;0,CC40,CA40)</f>
        <v>1.0487670898437498</v>
      </c>
      <c r="CF40" s="35">
        <f t="shared" ref="CF40:CF71" si="330">IF(CD40&gt;0,CB40,CC40)</f>
        <v>1.0493652343749997</v>
      </c>
      <c r="CG40" s="35">
        <f t="shared" ref="CG40:CG71" si="331">(CE40+CF40)/2</f>
        <v>1.0490661621093746</v>
      </c>
      <c r="CH40" s="35">
        <f t="shared" ref="CH40:CH71" si="332">SUMPRODUCT(($G$8:$G$694=X40)*($I$8:$I$694^CG40))-Y40</f>
        <v>4.5504704476506674E-5</v>
      </c>
      <c r="CI40" s="35">
        <f t="shared" ref="CI40:CI71" si="333">IF(CH40&gt;0,CG40,CE40)</f>
        <v>1.0490661621093746</v>
      </c>
      <c r="CJ40" s="35">
        <f t="shared" ref="CJ40:CJ71" si="334">IF(CH40&gt;0,CF40,CG40)</f>
        <v>1.0493652343749997</v>
      </c>
      <c r="CK40" s="35">
        <f t="shared" ref="CK40:CK71" si="335">(CI40+CJ40)/2</f>
        <v>1.0492156982421872</v>
      </c>
      <c r="CL40" s="35">
        <f t="shared" ref="CL40:CL71" si="336">SUMPRODUCT(($G$8:$G$694=X40)*($I$8:$I$694^CK40))-Y40</f>
        <v>-5.0370135140642702E-5</v>
      </c>
      <c r="CM40" s="35">
        <f t="shared" ref="CM40:CM71" si="337">IF(CL40&gt;0,CK40,CI40)</f>
        <v>1.0490661621093746</v>
      </c>
      <c r="CN40" s="35">
        <f t="shared" ref="CN40:CN71" si="338">IF(CL40&gt;0,CJ40,CK40)</f>
        <v>1.0492156982421872</v>
      </c>
      <c r="CO40" s="35">
        <f t="shared" ref="CO40:CO71" si="339">(CM40+CN40)/2</f>
        <v>1.0491409301757808</v>
      </c>
      <c r="CP40" s="35">
        <f t="shared" ref="CP40:CP71" si="340">SUMPRODUCT(($G$8:$G$694=X40)*($I$8:$I$694^CO40))-Y40</f>
        <v>-2.4339662707539844E-6</v>
      </c>
      <c r="CQ40" s="35">
        <f t="shared" ref="CQ40:CQ71" si="341">IF(CP40&gt;0,CO40,CM40)</f>
        <v>1.0490661621093746</v>
      </c>
      <c r="CR40" s="35">
        <f t="shared" ref="CR40:CR71" si="342">IF(CP40&gt;0,CN40,CO40)</f>
        <v>1.0491409301757808</v>
      </c>
      <c r="CS40" s="35">
        <f t="shared" ref="CS40:CS71" si="343">(CQ40+CR40)/2</f>
        <v>1.0491035461425777</v>
      </c>
      <c r="CT40" s="35">
        <f t="shared" ref="CT40:CT71" si="344">SUMPRODUCT(($G$8:$G$694=X40)*($I$8:$I$694^CS40))-Y40</f>
        <v>2.1535056359489602E-5</v>
      </c>
      <c r="CU40" s="35">
        <f t="shared" ref="CU40:CU71" si="345">IF(CT40&gt;0,CS40,CQ40)</f>
        <v>1.0491035461425777</v>
      </c>
      <c r="CV40" s="35">
        <f t="shared" ref="CV40:CV71" si="346">IF(CT40&gt;0,CR40,CS40)</f>
        <v>1.0491409301757808</v>
      </c>
      <c r="CW40" s="35">
        <f t="shared" ref="CW40:CW71" si="347">(CU40+CV40)/2</f>
        <v>1.0491222381591792</v>
      </c>
      <c r="CX40" s="35">
        <f t="shared" ref="CX40:CX71" si="348">SUMPRODUCT(($G$8:$G$694=X40)*($I$8:$I$694^CW40))-Y40</f>
        <v>9.5504668595758346E-6</v>
      </c>
      <c r="CY40" s="35">
        <f t="shared" ref="CY40:CY71" si="349">IF(CX40&gt;0,CW40,CU40)</f>
        <v>1.0491222381591792</v>
      </c>
      <c r="CZ40" s="35">
        <f t="shared" ref="CZ40:CZ71" si="350">IF(CX40&gt;0,CV40,CW40)</f>
        <v>1.0491409301757808</v>
      </c>
      <c r="DA40" s="35">
        <f t="shared" ref="DA40:DA71" si="351">(CY40+CZ40)/2</f>
        <v>1.04913158416748</v>
      </c>
      <c r="DB40" s="35">
        <f t="shared" ref="DB40:DB71" si="352">SUMPRODUCT(($G$8:$G$694=X40)*($I$8:$I$694^DA40))-Y40</f>
        <v>3.5582307484904874E-6</v>
      </c>
      <c r="DC40" s="35">
        <f t="shared" ref="DC40:DC71" si="353">IF(DB40&gt;0,DA40,CY40)</f>
        <v>1.04913158416748</v>
      </c>
      <c r="DD40" s="35">
        <f t="shared" ref="DD40:DD71" si="354">IF(DB40&gt;0,CZ40,DA40)</f>
        <v>1.0491409301757808</v>
      </c>
      <c r="DE40" s="35">
        <f t="shared" ref="DE40:DE71" si="355">(DC40+DD40)/2</f>
        <v>1.0491362571716305</v>
      </c>
      <c r="DF40" s="35">
        <f t="shared" ref="DF40:DF71" si="356">SUMPRODUCT(($G$8:$G$694=X40)*($I$8:$I$694^DE40))-Y40</f>
        <v>5.6212735222160859E-7</v>
      </c>
      <c r="DG40" s="35">
        <f t="shared" ref="DG40:DG71" si="357">IF(DF40&gt;0,DE40,DC40)</f>
        <v>1.0491362571716305</v>
      </c>
      <c r="DH40" s="35">
        <f t="shared" ref="DH40:DH71" si="358">IF(DF40&gt;0,DD40,DE40)</f>
        <v>1.0491409301757808</v>
      </c>
      <c r="DI40" s="35">
        <f t="shared" ref="DI40:DI71" si="359">(DG40+DH40)/2</f>
        <v>1.0491385936737057</v>
      </c>
      <c r="DJ40" s="35">
        <f t="shared" ref="DJ40:DJ71" si="360">SUMPRODUCT(($G$8:$G$694=X40)*($I$8:$I$694^DI40))-Y40</f>
        <v>-9.3592068095560421E-7</v>
      </c>
      <c r="DK40" s="35">
        <f t="shared" ref="DK40:DK71" si="361">IF(DJ40&gt;0,DI40,DG40)</f>
        <v>1.0491362571716305</v>
      </c>
      <c r="DL40" s="35">
        <f t="shared" ref="DL40:DL71" si="362">IF(DJ40&gt;0,DH40,DI40)</f>
        <v>1.0491385936737057</v>
      </c>
      <c r="DM40" s="35">
        <f t="shared" ref="DM40:DM71" si="363">(DK40+DL40)/2</f>
        <v>1.0491374254226682</v>
      </c>
      <c r="DN40" s="35">
        <f t="shared" ref="DN40:DN71" si="364">SUMPRODUCT(($G$8:$G$694=X40)*($I$8:$I$694^DM40))-Y40</f>
        <v>-1.8689696967832958E-7</v>
      </c>
      <c r="DO40" s="35">
        <f t="shared" ref="DO40:DO71" si="365">IF(DN40&gt;0,DM40,DK40)</f>
        <v>1.0491362571716305</v>
      </c>
      <c r="DP40" s="35">
        <f t="shared" ref="DP40:DP71" si="366">IF(DN40&gt;0,DL40,DM40)</f>
        <v>1.0491374254226682</v>
      </c>
      <c r="DQ40" s="35">
        <f t="shared" ref="DQ40:DQ71" si="367">(DO40+DP40)/2</f>
        <v>1.0491368412971493</v>
      </c>
      <c r="DR40" s="35">
        <f t="shared" ref="DR40:DR71" si="368">SUMPRODUCT(($G$8:$G$694=X40)*($I$8:$I$694^DQ40))-Y40</f>
        <v>1.8761511499931771E-7</v>
      </c>
      <c r="DS40" s="35">
        <f t="shared" ref="DS40:DS71" si="369">IF(DR40&gt;0,DQ40,DO40)</f>
        <v>1.0491368412971493</v>
      </c>
      <c r="DT40" s="35">
        <f t="shared" ref="DT40:DT71" si="370">IF(DR40&gt;0,DP40,DQ40)</f>
        <v>1.0491374254226682</v>
      </c>
      <c r="DU40" s="35">
        <f t="shared" ref="DU40:DU71" si="371">(DS40+DT40)/2</f>
        <v>1.0491371333599089</v>
      </c>
      <c r="DV40" s="35">
        <f t="shared" ref="DV40:DV71" si="372">SUMPRODUCT(($G$8:$G$694=X40)*($I$8:$I$694^DU40))-Y40</f>
        <v>3.5905345363573815E-10</v>
      </c>
      <c r="DW40" s="35">
        <f t="shared" ref="DW40:DW71" si="373">IF(DV40&gt;0,DU40,DS40)</f>
        <v>1.0491371333599089</v>
      </c>
      <c r="DX40" s="35">
        <f t="shared" ref="DX40:DX71" si="374">IF(DV40&gt;0,DT40,DU40)</f>
        <v>1.0491374254226682</v>
      </c>
      <c r="DY40" s="35">
        <f t="shared" ref="DY40:DY71" si="375">(DW40+DX40)/2</f>
        <v>1.0491372793912885</v>
      </c>
      <c r="DZ40" s="35">
        <f t="shared" ref="DZ40:DZ71" si="376">SUMPRODUCT(($G$8:$G$694=X40)*($I$8:$I$694^DY40))-Y40</f>
        <v>-9.3268962886305928E-8</v>
      </c>
      <c r="EA40" s="35">
        <f t="shared" ref="EA40:EA71" si="377">IF(DZ40&gt;0,DY40,DW40)</f>
        <v>1.0491371333599089</v>
      </c>
      <c r="EB40" s="35">
        <f t="shared" ref="EB40:EB71" si="378">IF(DZ40&gt;0,DX40,DY40)</f>
        <v>1.0491372793912885</v>
      </c>
      <c r="EC40" s="35">
        <f t="shared" ref="EC40:EC71" si="379">(EA40+EB40)/2</f>
        <v>1.0491372063755988</v>
      </c>
      <c r="ED40" s="35">
        <f t="shared" ref="ED40:ED71" si="380">SUMPRODUCT(($G$8:$G$694=X40)*($I$8:$I$694^EC40))-Y40</f>
        <v>-4.6454956104113876E-8</v>
      </c>
      <c r="EE40" s="35">
        <f t="shared" ref="EE40:EE71" si="381">IF(ED40&gt;0,EC40,EA40)</f>
        <v>1.0491371333599089</v>
      </c>
      <c r="EF40" s="35">
        <f t="shared" ref="EF40:EF71" si="382">IF(ED40&gt;0,EB40,EC40)</f>
        <v>1.0491372063755988</v>
      </c>
      <c r="EG40" s="35">
        <f t="shared" ref="EG40:EG71" si="383">(EE40+EF40)/2</f>
        <v>1.0491371698677538</v>
      </c>
      <c r="EH40" s="35">
        <f t="shared" ref="EH40:EH71" si="384">SUMPRODUCT(($G$8:$G$694=X40)*($I$8:$I$694^EG40))-Y40</f>
        <v>-2.3047951547283674E-8</v>
      </c>
      <c r="EI40" s="35">
        <f t="shared" ref="EI40:EI71" si="385">IF(EH40&gt;0,EG40,EE40)</f>
        <v>1.0491371333599089</v>
      </c>
      <c r="EJ40" s="35">
        <f t="shared" ref="EJ40:EJ71" si="386">IF(EH40&gt;0,EF40,EG40)</f>
        <v>1.0491371698677538</v>
      </c>
      <c r="EK40" s="35">
        <f t="shared" ref="EK40:EK71" si="387">(EI40+EJ40)/2</f>
        <v>1.0491371516138313</v>
      </c>
      <c r="EL40" s="35">
        <f t="shared" ref="EL40:EL71" si="388">SUMPRODUCT(($G$8:$G$694=X40)*($I$8:$I$694^EK40))-Y40</f>
        <v>-1.134444915784627E-8</v>
      </c>
      <c r="EM40" s="35">
        <f t="shared" ref="EM40:EM71" si="389">IF(EL40&gt;0,EK40,EI40)</f>
        <v>1.0491371333599089</v>
      </c>
      <c r="EN40" s="35">
        <f t="shared" ref="EN40:EN71" si="390">IF(EL40&gt;0,EJ40,EK40)</f>
        <v>1.0491371516138313</v>
      </c>
      <c r="EO40" s="35">
        <f t="shared" ref="EO40:EO71" si="391">(EM40+EN40)/2</f>
        <v>1.0491371424868701</v>
      </c>
      <c r="EP40" s="35">
        <f t="shared" ref="EP40:EP71" si="392">SUMPRODUCT(($G$8:$G$694=X40)*($I$8:$I$694^EO40))-Y40</f>
        <v>-5.4926978521052661E-9</v>
      </c>
      <c r="EQ40" s="35">
        <f t="shared" ref="EQ40:EQ71" si="393">IF(EP40&gt;0,EO40,EM40)</f>
        <v>1.0491371333599089</v>
      </c>
      <c r="ER40" s="35">
        <f t="shared" ref="ER40:ER71" si="394">IF(EP40&gt;0,EN40,EO40)</f>
        <v>1.0491371424868701</v>
      </c>
      <c r="ES40" s="35">
        <f t="shared" ref="ES40:ES71" si="395">(EQ40+ER40)/2</f>
        <v>1.0491371379233896</v>
      </c>
      <c r="ET40" s="35">
        <f t="shared" ref="ET40:ET71" si="396">SUMPRODUCT(($G$8:$G$694=X40)*($I$8:$I$694^ES40))-Y40</f>
        <v>-2.5668223102570664E-9</v>
      </c>
      <c r="EU40" s="35">
        <f t="shared" ref="EU40:EU71" si="397">IF(ET40&gt;0,ES40,EQ40)</f>
        <v>1.0491371333599089</v>
      </c>
      <c r="EV40" s="35">
        <f t="shared" ref="EV40:EV71" si="398">IF(ET40&gt;0,ER40,ES40)</f>
        <v>1.0491371379233896</v>
      </c>
      <c r="EW40" s="35">
        <f t="shared" ref="EW40:EW71" si="399">(EU40+EV40)/2</f>
        <v>1.0491371356416492</v>
      </c>
      <c r="EX40" s="35">
        <f t="shared" ref="EX40:EX71" si="400">SUMPRODUCT(($G$8:$G$694=X40)*($I$8:$I$694^EW40))-Y40</f>
        <v>-1.1038844283106641E-9</v>
      </c>
      <c r="EY40" s="35">
        <f t="shared" ref="EY40:EY71" si="401">IF(EX40&gt;0,EW40,EU40)</f>
        <v>1.0491371333599089</v>
      </c>
      <c r="EZ40" s="35">
        <f t="shared" ref="EZ40:EZ71" si="402">IF(EX40&gt;0,EV40,EW40)</f>
        <v>1.0491371356416492</v>
      </c>
      <c r="FA40" s="10">
        <v>9.9999999999999995E-7</v>
      </c>
      <c r="FB40" s="10">
        <v>0.99990000000000001</v>
      </c>
      <c r="FC40" s="35">
        <f t="shared" ref="FC40:FC71" si="403">(FA40+FB40)/2</f>
        <v>0.49995050000000002</v>
      </c>
      <c r="FD40" s="35">
        <f t="shared" ref="FD40:FD71" si="404">(SUMPRODUCT(($G$8:$G$694=X40)*SQRT(FC40^2+4*(1-FC40)*$I$8:$I$694^2/Z40))-COUNTIF($G$8:$G$694,X40)*FC40)/(2*(1-FC40))-1</f>
        <v>-0.24227726699302043</v>
      </c>
      <c r="FE40" s="35">
        <f t="shared" ref="FE40:FE71" si="405">IF(FD40&gt;0,FC40,FA40)</f>
        <v>9.9999999999999995E-7</v>
      </c>
      <c r="FF40" s="35">
        <f t="shared" ref="FF40:FF71" si="406">IF(FD40&gt;0,FB40,FC40)</f>
        <v>0.49995050000000002</v>
      </c>
      <c r="FG40" s="35">
        <f t="shared" ref="FG40:FG71" si="407">(FE40+FF40)/2</f>
        <v>0.24997575</v>
      </c>
      <c r="FH40" s="35">
        <f t="shared" ref="FH40:FH71" si="408">(SUMPRODUCT(($G$8:$G$694=X40)*SQRT(FG40^2+4*(1-FG40)*$I$8:$I$694^2/Z40))-COUNTIF($G$8:$G$694,X40)*FG40)/(2*(1-FG40))-1</f>
        <v>-0.11220811860296598</v>
      </c>
      <c r="FI40" s="35">
        <f t="shared" ref="FI40:FI71" si="409">IF(FH40&gt;0,FG40,FE40)</f>
        <v>9.9999999999999995E-7</v>
      </c>
      <c r="FJ40" s="35">
        <f t="shared" ref="FJ40:FJ71" si="410">IF(FH40&gt;0,FF40,FG40)</f>
        <v>0.24997575</v>
      </c>
      <c r="FK40" s="35">
        <f t="shared" ref="FK40:FK71" si="411">(FI40+FJ40)/2</f>
        <v>0.124988375</v>
      </c>
      <c r="FL40" s="35">
        <f t="shared" ref="FL40:FL71" si="412">(SUMPRODUCT(($G$8:$G$694=X40)*SQRT(FK40^2+4*(1-FK40)*$I$8:$I$694^2/Z40))-COUNTIF($G$8:$G$694,X40)*FK40)/(2*(1-FK40))-1</f>
        <v>-4.7101782031291339E-2</v>
      </c>
      <c r="FM40" s="35">
        <f t="shared" ref="FM40:FM71" si="413">IF(FL40&gt;0,FK40,FI40)</f>
        <v>9.9999999999999995E-7</v>
      </c>
      <c r="FN40" s="35">
        <f t="shared" ref="FN40:FN71" si="414">IF(FL40&gt;0,FJ40,FK40)</f>
        <v>0.124988375</v>
      </c>
      <c r="FO40" s="35">
        <f t="shared" ref="FO40:FO71" si="415">(FM40+FN40)/2</f>
        <v>6.24946875E-2</v>
      </c>
      <c r="FP40" s="35">
        <f t="shared" ref="FP40:FP71" si="416">(SUMPRODUCT(($G$8:$G$694=X40)*SQRT(FO40^2+4*(1-FO40)*$I$8:$I$694^2/Z40))-COUNTIF($G$8:$G$694,X40)*FO40)/(2*(1-FO40))-1</f>
        <v>-1.5250879568130538E-2</v>
      </c>
      <c r="FQ40" s="35">
        <f t="shared" ref="FQ40:FQ71" si="417">IF(FP40&gt;0,FO40,FM40)</f>
        <v>9.9999999999999995E-7</v>
      </c>
      <c r="FR40" s="35">
        <f t="shared" ref="FR40:FR71" si="418">IF(FP40&gt;0,FN40,FO40)</f>
        <v>6.24946875E-2</v>
      </c>
      <c r="FS40" s="35">
        <f t="shared" ref="FS40:FS71" si="419">(FQ40+FR40)/2</f>
        <v>3.124784375E-2</v>
      </c>
      <c r="FT40" s="35">
        <f t="shared" ref="FT40:FT71" si="420">(SUMPRODUCT(($G$8:$G$694=X40)*SQRT(FS40^2+4*(1-FS40)*$I$8:$I$694^2/Z40))-COUNTIF($G$8:$G$694,X40)*FS40)/(2*(1-FS40))-1</f>
        <v>4.2101620659784622E-4</v>
      </c>
      <c r="FU40" s="35">
        <f t="shared" ref="FU40:FU71" si="421">IF(FT40&gt;0,FS40,FQ40)</f>
        <v>3.124784375E-2</v>
      </c>
      <c r="FV40" s="35">
        <f t="shared" ref="FV40:FV71" si="422">IF(FT40&gt;0,FR40,FS40)</f>
        <v>6.24946875E-2</v>
      </c>
      <c r="FW40" s="35">
        <f t="shared" ref="FW40:FW71" si="423">(FU40+FV40)/2</f>
        <v>4.6871265624999998E-2</v>
      </c>
      <c r="FX40" s="35">
        <f t="shared" ref="FX40:FX71" si="424">(SUMPRODUCT(($G$8:$G$694=X40)*SQRT(FW40^2+4*(1-FW40)*$I$8:$I$694^2/Z40))-COUNTIF($G$8:$G$694,X40)*FW40)/(2*(1-FW40))-1</f>
        <v>-7.391764847144322E-3</v>
      </c>
      <c r="FY40" s="35">
        <f t="shared" ref="FY40:FY71" si="425">IF(FX40&gt;0,FW40,FU40)</f>
        <v>3.124784375E-2</v>
      </c>
      <c r="FZ40" s="35">
        <f t="shared" ref="FZ40:FZ71" si="426">IF(FX40&gt;0,FV40,FW40)</f>
        <v>4.6871265624999998E-2</v>
      </c>
      <c r="GA40" s="35">
        <f t="shared" ref="GA40:GA71" si="427">(FY40+FZ40)/2</f>
        <v>3.9059554687499998E-2</v>
      </c>
      <c r="GB40" s="35">
        <f t="shared" ref="GB40:GB71" si="428">(SUMPRODUCT(($G$8:$G$694=X40)*SQRT(GA40^2+4*(1-GA40)*$I$8:$I$694^2/Z40))-COUNTIF($G$8:$G$694,X40)*GA40)/(2*(1-GA40))-1</f>
        <v>-3.4794399838691259E-3</v>
      </c>
      <c r="GC40" s="35">
        <f t="shared" ref="GC40:GC71" si="429">IF(GB40&gt;0,GA40,FY40)</f>
        <v>3.124784375E-2</v>
      </c>
      <c r="GD40" s="35">
        <f t="shared" ref="GD40:GD71" si="430">IF(GB40&gt;0,FZ40,GA40)</f>
        <v>3.9059554687499998E-2</v>
      </c>
      <c r="GE40" s="35">
        <f t="shared" ref="GE40:GE71" si="431">(GC40+GD40)/2</f>
        <v>3.5153699218750001E-2</v>
      </c>
      <c r="GF40" s="35">
        <f t="shared" ref="GF40:GF71" si="432">(SUMPRODUCT(($G$8:$G$694=X40)*SQRT(GE40^2+4*(1-GE40)*$I$8:$I$694^2/Z40))-COUNTIF($G$8:$G$694,X40)*GE40)/(2*(1-GE40))-1</f>
        <v>-1.527710892396783E-3</v>
      </c>
      <c r="GG40" s="35">
        <f t="shared" ref="GG40:GG71" si="433">IF(GF40&gt;0,GE40,GC40)</f>
        <v>3.124784375E-2</v>
      </c>
      <c r="GH40" s="35">
        <f t="shared" ref="GH40:GH71" si="434">IF(GF40&gt;0,GD40,GE40)</f>
        <v>3.5153699218750001E-2</v>
      </c>
      <c r="GI40" s="35">
        <f t="shared" ref="GI40:GI71" si="435">(GG40+GH40)/2</f>
        <v>3.3200771484375002E-2</v>
      </c>
      <c r="GJ40" s="35">
        <f t="shared" ref="GJ40:GJ71" si="436">(SUMPRODUCT(($G$8:$G$694=X40)*SQRT(GI40^2+4*(1-GI40)*$I$8:$I$694^2/Z40))-COUNTIF($G$8:$G$694,X40)*GI40)/(2*(1-GI40))-1</f>
        <v>-5.5296994352915796E-4</v>
      </c>
      <c r="GK40" s="35">
        <f t="shared" ref="GK40:GK71" si="437">IF(GJ40&gt;0,GI40,GG40)</f>
        <v>3.124784375E-2</v>
      </c>
      <c r="GL40" s="35">
        <f t="shared" ref="GL40:GL71" si="438">IF(GJ40&gt;0,GH40,GI40)</f>
        <v>3.3200771484375002E-2</v>
      </c>
      <c r="GM40" s="35">
        <f t="shared" ref="GM40:GM71" si="439">(GK40+GL40)/2</f>
        <v>3.2224307617187503E-2</v>
      </c>
      <c r="GN40" s="35">
        <f t="shared" ref="GN40:GN71" si="440">(SUMPRODUCT(($G$8:$G$694=X40)*SQRT(GM40^2+4*(1-GM40)*$I$8:$I$694^2/Z40))-COUNTIF($G$8:$G$694,X40)*GM40)/(2*(1-GM40))-1</f>
        <v>-6.5882251477189513E-5</v>
      </c>
      <c r="GO40" s="35">
        <f t="shared" ref="GO40:GO71" si="441">IF(GN40&gt;0,GM40,GK40)</f>
        <v>3.124784375E-2</v>
      </c>
      <c r="GP40" s="35">
        <f t="shared" ref="GP40:GP71" si="442">IF(GN40&gt;0,GL40,GM40)</f>
        <v>3.2224307617187503E-2</v>
      </c>
      <c r="GQ40" s="35">
        <f t="shared" ref="GQ40:GQ71" si="443">(GO40+GP40)/2</f>
        <v>3.1736075683593754E-2</v>
      </c>
      <c r="GR40" s="35">
        <f t="shared" ref="GR40:GR71" si="444">(SUMPRODUCT(($G$8:$G$694=X40)*SQRT(GQ40^2+4*(1-GQ40)*$I$8:$I$694^2/Z40))-COUNTIF($G$8:$G$694,X40)*GQ40)/(2*(1-GQ40))-1</f>
        <v>1.775906650978154E-4</v>
      </c>
      <c r="GS40" s="35">
        <f t="shared" ref="GS40:GS71" si="445">IF(GR40&gt;0,GQ40,GO40)</f>
        <v>3.1736075683593754E-2</v>
      </c>
      <c r="GT40" s="35">
        <f t="shared" ref="GT40:GT71" si="446">IF(GR40&gt;0,GP40,GQ40)</f>
        <v>3.2224307617187503E-2</v>
      </c>
      <c r="GU40" s="35">
        <f t="shared" ref="GU40:GU71" si="447">(GS40+GT40)/2</f>
        <v>3.1980191650390628E-2</v>
      </c>
      <c r="GV40" s="35">
        <f t="shared" ref="GV40:GV71" si="448">(SUMPRODUCT(($G$8:$G$694=X40)*SQRT(GU40^2+4*(1-GU40)*$I$8:$I$694^2/Z40))-COUNTIF($G$8:$G$694,X40)*GU40)/(2*(1-GU40))-1</f>
        <v>5.5860124537954192E-5</v>
      </c>
      <c r="GW40" s="35">
        <f t="shared" ref="GW40:GW71" si="449">IF(GV40&gt;0,GU40,GS40)</f>
        <v>3.1980191650390628E-2</v>
      </c>
      <c r="GX40" s="35">
        <f t="shared" ref="GX40:GX71" si="450">IF(GV40&gt;0,GT40,GU40)</f>
        <v>3.2224307617187503E-2</v>
      </c>
      <c r="GY40" s="35">
        <f t="shared" ref="GY40:GY71" si="451">(GW40+GX40)/2</f>
        <v>3.2102249633789062E-2</v>
      </c>
      <c r="GZ40" s="35">
        <f t="shared" ref="GZ40:GZ71" si="452">(SUMPRODUCT(($G$8:$G$694=X40)*SQRT(GY40^2+4*(1-GY40)*$I$8:$I$694^2/Z40))-COUNTIF($G$8:$G$694,X40)*GY40)/(2*(1-GY40))-1</f>
        <v>-5.0095845577358133E-6</v>
      </c>
      <c r="HA40" s="35">
        <f t="shared" ref="HA40:HA71" si="453">IF(GZ40&gt;0,GY40,GW40)</f>
        <v>3.1980191650390628E-2</v>
      </c>
      <c r="HB40" s="35">
        <f t="shared" ref="HB40:HB71" si="454">IF(GZ40&gt;0,GX40,GY40)</f>
        <v>3.2102249633789062E-2</v>
      </c>
      <c r="HC40" s="35">
        <f t="shared" ref="HC40:HC71" si="455">(HA40+HB40)/2</f>
        <v>3.2041220642089849E-2</v>
      </c>
      <c r="HD40" s="35">
        <f t="shared" ref="HD40:HD71" si="456">(SUMPRODUCT(($G$8:$G$694=X40)*SQRT(HC40^2+4*(1-HC40)*$I$8:$I$694^2/Z40))-COUNTIF($G$8:$G$694,X40)*HC40)/(2*(1-HC40))-1</f>
        <v>2.5425639782916676E-5</v>
      </c>
      <c r="HE40" s="35">
        <f t="shared" ref="HE40:HE71" si="457">IF(HD40&gt;0,HC40,HA40)</f>
        <v>3.2041220642089849E-2</v>
      </c>
      <c r="HF40" s="35">
        <f t="shared" ref="HF40:HF71" si="458">IF(HD40&gt;0,HB40,HC40)</f>
        <v>3.2102249633789062E-2</v>
      </c>
      <c r="HG40" s="35">
        <f t="shared" ref="HG40:HG71" si="459">(HE40+HF40)/2</f>
        <v>3.2071735137939456E-2</v>
      </c>
      <c r="HH40" s="35">
        <f t="shared" ref="HH40:HH71" si="460">(SUMPRODUCT(($G$8:$G$694=X40)*SQRT(HG40^2+4*(1-HG40)*$I$8:$I$694^2/Z40))-COUNTIF($G$8:$G$694,X40)*HG40)/(2*(1-HG40))-1</f>
        <v>1.020812005259053E-5</v>
      </c>
      <c r="HI40" s="35">
        <f t="shared" ref="HI40:HI71" si="461">IF(HH40&gt;0,HG40,HE40)</f>
        <v>3.2071735137939456E-2</v>
      </c>
      <c r="HJ40" s="35">
        <f t="shared" ref="HJ40:HJ71" si="462">IF(HH40&gt;0,HF40,HG40)</f>
        <v>3.2102249633789062E-2</v>
      </c>
      <c r="HK40" s="35">
        <f t="shared" ref="HK40:HK71" si="463">(HI40+HJ40)/2</f>
        <v>3.2086992385864259E-2</v>
      </c>
      <c r="HL40" s="35">
        <f t="shared" ref="HL40:HL71" si="464">(SUMPRODUCT(($G$8:$G$694=X40)*SQRT(HK40^2+4*(1-HK40)*$I$8:$I$694^2/Z40))-COUNTIF($G$8:$G$694,X40)*HK40)/(2*(1-HK40))-1</f>
        <v>2.5992908565530826E-6</v>
      </c>
      <c r="HM40" s="35">
        <f t="shared" ref="HM40:HM71" si="465">IF(HL40&gt;0,HK40,HI40)</f>
        <v>3.2086992385864259E-2</v>
      </c>
      <c r="HN40" s="35">
        <f t="shared" ref="HN40:HN71" si="466">IF(HL40&gt;0,HJ40,HK40)</f>
        <v>3.2102249633789062E-2</v>
      </c>
      <c r="HO40" s="35">
        <f t="shared" ref="HO40:HO71" si="467">(HM40+HN40)/2</f>
        <v>3.2094621009826657E-2</v>
      </c>
      <c r="HP40" s="35">
        <f t="shared" ref="HP40:HP71" si="468">(SUMPRODUCT(($G$8:$G$694=X40)*SQRT(HO40^2+4*(1-HO40)*$I$8:$I$694^2/Z40))-COUNTIF($G$8:$G$694,X40)*HO40)/(2*(1-HO40))-1</f>
        <v>-1.2051410734903456E-6</v>
      </c>
      <c r="HQ40" s="35">
        <f t="shared" ref="HQ40:HQ71" si="469">IF(HP40&gt;0,HO40,HM40)</f>
        <v>3.2086992385864259E-2</v>
      </c>
      <c r="HR40" s="35">
        <f t="shared" ref="HR40:HR71" si="470">IF(HP40&gt;0,HN40,HO40)</f>
        <v>3.2094621009826657E-2</v>
      </c>
      <c r="HS40" s="35">
        <f t="shared" ref="HS40:HS71" si="471">(HQ40+HR40)/2</f>
        <v>3.2090806697845461E-2</v>
      </c>
      <c r="HT40" s="35">
        <f t="shared" ref="HT40:HT71" si="472">(SUMPRODUCT(($G$8:$G$694=X40)*SQRT(HS40^2+4*(1-HS40)*$I$8:$I$694^2/Z40))-COUNTIF($G$8:$G$694,X40)*HS40)/(2*(1-HS40))-1</f>
        <v>6.9707633554294546E-7</v>
      </c>
      <c r="HU40" s="35">
        <f t="shared" ref="HU40:HU71" si="473">IF(HT40&gt;0,HS40,HQ40)</f>
        <v>3.2090806697845461E-2</v>
      </c>
      <c r="HV40" s="35">
        <f t="shared" ref="HV40:HV71" si="474">IF(HT40&gt;0,HR40,HS40)</f>
        <v>3.2094621009826657E-2</v>
      </c>
      <c r="HW40" s="35">
        <f t="shared" ref="HW40:HW71" si="475">(HU40+HV40)/2</f>
        <v>3.2092713853836059E-2</v>
      </c>
      <c r="HX40" s="35">
        <f t="shared" ref="HX40:HX71" si="476">(SUMPRODUCT(($G$8:$G$694=X40)*SQRT(HW40^2+4*(1-HW40)*$I$8:$I$694^2/Z40))-COUNTIF($G$8:$G$694,X40)*HW40)/(2*(1-HW40))-1</f>
        <v>-2.5403200776263901E-7</v>
      </c>
      <c r="HY40" s="35">
        <f t="shared" ref="HY40:HY71" si="477">IF(HX40&gt;0,HW40,HU40)</f>
        <v>3.2090806697845461E-2</v>
      </c>
      <c r="HZ40" s="35">
        <f t="shared" ref="HZ40:HZ71" si="478">IF(HX40&gt;0,HV40,HW40)</f>
        <v>3.2092713853836059E-2</v>
      </c>
      <c r="IA40" s="35">
        <f t="shared" ref="IA40:IA71" si="479">(HY40+HZ40)/2</f>
        <v>3.2091760275840764E-2</v>
      </c>
      <c r="IB40" s="35">
        <f t="shared" ref="IB40:IB71" si="480">(SUMPRODUCT(($G$8:$G$694=X40)*SQRT(IA40^2+4*(1-IA40)*$I$8:$I$694^2/Z40))-COUNTIF($G$8:$G$694,X40)*IA40)/(2*(1-IA40))-1</f>
        <v>2.2152225431781858E-7</v>
      </c>
      <c r="IC40" s="35">
        <f t="shared" ref="IC40:IC71" si="481">IF(IB40&gt;0,IA40,HY40)</f>
        <v>3.2091760275840764E-2</v>
      </c>
      <c r="ID40" s="35">
        <f t="shared" ref="ID40:ID71" si="482">IF(IB40&gt;0,HZ40,IA40)</f>
        <v>3.2092713853836059E-2</v>
      </c>
      <c r="IE40" s="35">
        <f t="shared" ref="IE40:IE71" si="483">(IC40+ID40)/2</f>
        <v>3.2092237064838408E-2</v>
      </c>
      <c r="IF40" s="35">
        <f t="shared" ref="IF40:IF71" si="484">(SUMPRODUCT(($G$8:$G$694=X40)*SQRT(IE40^2+4*(1-IE40)*$I$8:$I$694^2/Z40))-COUNTIF($G$8:$G$694,X40)*IE40)/(2*(1-IE40))-1</f>
        <v>-1.6254854240393968E-8</v>
      </c>
      <c r="IG40" s="35">
        <f t="shared" ref="IG40:IG71" si="485">IF(IF40&gt;0,IE40,IC40)</f>
        <v>3.2091760275840764E-2</v>
      </c>
      <c r="IH40" s="35">
        <f t="shared" ref="IH40:IH71" si="486">IF(IF40&gt;0,ID40,IE40)</f>
        <v>3.2092237064838408E-2</v>
      </c>
      <c r="II40" s="35">
        <f t="shared" ref="II40:II71" si="487">(IG40+IH40)/2</f>
        <v>3.2091998670339586E-2</v>
      </c>
      <c r="IJ40" s="35">
        <f t="shared" ref="IJ40:IJ71" si="488">(SUMPRODUCT(($G$8:$G$694=X40)*SQRT(II40^2+4*(1-II40)*$I$8:$I$694^2/Z40))-COUNTIF($G$8:$G$694,X40)*II40)/(2*(1-II40))-1</f>
        <v>1.0263370575636088E-7</v>
      </c>
      <c r="IK40" s="35">
        <f t="shared" ref="IK40:IK71" si="489">IF(IJ40&gt;0,II40,IG40)</f>
        <v>3.2091998670339586E-2</v>
      </c>
      <c r="IL40" s="35">
        <f t="shared" ref="IL40:IL71" si="490">IF(IJ40&gt;0,IH40,II40)</f>
        <v>3.2092237064838408E-2</v>
      </c>
      <c r="IM40" s="35">
        <f t="shared" ref="IM40:IM71" si="491">(IK40+IL40)/2</f>
        <v>3.2092117867588997E-2</v>
      </c>
      <c r="IN40" s="35">
        <f t="shared" ref="IN40:IN71" si="492">(SUMPRODUCT(($G$8:$G$694=X40)*SQRT(IM40^2+4*(1-IM40)*$I$8:$I$694^2/Z40))-COUNTIF($G$8:$G$694,X40)*IM40)/(2*(1-IM40))-1</f>
        <v>4.3189427145762238E-8</v>
      </c>
      <c r="IO40" s="35">
        <f t="shared" ref="IO40:IO71" si="493">IF(IN40&gt;0,IM40,IK40)</f>
        <v>3.2092117867588997E-2</v>
      </c>
      <c r="IP40" s="35">
        <f t="shared" ref="IP40:IP71" si="494">IF(IN40&gt;0,IL40,IM40)</f>
        <v>3.2092237064838408E-2</v>
      </c>
      <c r="IQ40" s="35">
        <f t="shared" ref="IQ40:IQ71" si="495">(IO40+IP40)/2</f>
        <v>3.2092177466213706E-2</v>
      </c>
      <c r="IR40" s="35">
        <f t="shared" ref="IR40:IR71" si="496">(SUMPRODUCT(($G$8:$G$694=X40)*SQRT(IQ40^2+4*(1-IQ40)*$I$8:$I$694^2/Z40))-COUNTIF($G$8:$G$694,X40)*IQ40)/(2*(1-IQ40))-1</f>
        <v>1.3467286841262194E-8</v>
      </c>
      <c r="IS40" s="35">
        <f t="shared" ref="IS40:IS71" si="497">IF(IR40&gt;0,IQ40,IO40)</f>
        <v>3.2092177466213706E-2</v>
      </c>
      <c r="IT40" s="35">
        <f t="shared" ref="IT40:IT71" si="498">IF(IR40&gt;0,IP40,IQ40)</f>
        <v>3.2092237064838408E-2</v>
      </c>
      <c r="IU40" s="35">
        <f t="shared" ref="IU40:IU71" si="499">(IS40+IT40)/2</f>
        <v>3.2092207265526057E-2</v>
      </c>
      <c r="IV40" s="35">
        <f t="shared" ref="IV40:IV71" si="500">(SUMPRODUCT(($G$8:$G$694=X40)*SQRT(IU40^2+4*(1-IU40)*$I$8:$I$694^2/Z40))-COUNTIF($G$8:$G$694,X40)*IU40)/(2*(1-IU40))-1</f>
        <v>-1.3937835330324333E-9</v>
      </c>
      <c r="IW40" s="35">
        <f t="shared" ref="IW40:IW71" si="501">IF(IV40&gt;0,IU40,IS40)</f>
        <v>3.2092177466213706E-2</v>
      </c>
      <c r="IX40" s="35">
        <f t="shared" ref="IX40:IX71" si="502">IF(IV40&gt;0,IT40,IU40)</f>
        <v>3.2092207265526057E-2</v>
      </c>
      <c r="IY40" s="35">
        <f t="shared" ref="IY40:IY71" si="503">(IW40+IX40)/2</f>
        <v>3.2092192365869882E-2</v>
      </c>
      <c r="IZ40" s="35">
        <f t="shared" ref="IZ40:IZ71" si="504">(SUMPRODUCT(($G$8:$G$694=X40)*SQRT(IY40^2+4*(1-IY40)*$I$8:$I$694^2/Z40))-COUNTIF($G$8:$G$694,X40)*IY40)/(2*(1-IY40))-1</f>
        <v>6.0367515430925778E-9</v>
      </c>
      <c r="JA40" s="35">
        <f t="shared" ref="JA40:JA71" si="505">IF(IZ40&gt;0,IY40,IW40)</f>
        <v>3.2092192365869882E-2</v>
      </c>
      <c r="JB40" s="35">
        <f t="shared" ref="JB40:JB71" si="506">IF(IZ40&gt;0,IX40,IY40)</f>
        <v>3.2092207265526057E-2</v>
      </c>
      <c r="JC40" s="35">
        <f t="shared" ref="JC40:JC71" si="507">(JA40+JB40)/2</f>
        <v>3.2092199815697969E-2</v>
      </c>
      <c r="JD40" s="35">
        <f t="shared" ref="JD40:JD71" si="508">(SUMPRODUCT(($G$8:$G$694=X40)*SQRT(JC40^2+4*(1-JC40)*$I$8:$I$694^2/Z40))-COUNTIF($G$8:$G$694,X40)*JC40)/(2*(1-JC40))-1</f>
        <v>2.3214838940077698E-9</v>
      </c>
      <c r="JE40" s="35">
        <f t="shared" ref="JE40:JE71" si="509">IF(JD40&gt;0,JC40,JA40)</f>
        <v>3.2092199815697969E-2</v>
      </c>
      <c r="JF40" s="35">
        <f t="shared" ref="JF40:JF71" si="510">IF(JD40&gt;0,JB40,JC40)</f>
        <v>3.2092207265526057E-2</v>
      </c>
      <c r="JG40" s="35">
        <f t="shared" ref="JG40:JG71" si="511">(JE40+JF40)/2</f>
        <v>3.2092203540612013E-2</v>
      </c>
      <c r="JH40" s="35">
        <f t="shared" ref="JH40:JH71" si="512">(SUMPRODUCT(($G$8:$G$694=X40)*SQRT(JG40^2+4*(1-JG40)*$I$8:$I$694^2/Z40))-COUNTIF($G$8:$G$694,X40)*JG40)/(2*(1-JG40))-1</f>
        <v>4.6385006946536578E-10</v>
      </c>
      <c r="JI40" s="35">
        <f t="shared" ref="JI40:JI71" si="513">IF(JH40&gt;0,JG40,JE40)</f>
        <v>3.2092203540612013E-2</v>
      </c>
      <c r="JJ40" s="35">
        <f t="shared" ref="JJ40:JJ71" si="514">IF(JH40&gt;0,JF40,JG40)</f>
        <v>3.2092207265526057E-2</v>
      </c>
      <c r="JK40" s="35">
        <f t="shared" ref="JK40:JK71" si="515">(JI40+JJ40)/2</f>
        <v>3.2092205403069035E-2</v>
      </c>
      <c r="JL40" s="35">
        <f t="shared" ref="JL40:JL71" si="516">(SUMPRODUCT(($G$8:$G$694=X40)*SQRT(JK40^2+4*(1-JK40)*$I$8:$I$694^2/Z40))-COUNTIF($G$8:$G$694,X40)*JK40)/(2*(1-JK40))-1</f>
        <v>-4.6496673178353376E-10</v>
      </c>
      <c r="JM40" s="35">
        <f t="shared" ref="JM40:JM71" si="517">IF(JL40&gt;0,JK40,JI40)</f>
        <v>3.2092203540612013E-2</v>
      </c>
      <c r="JN40" s="35">
        <f t="shared" ref="JN40:JN71" si="518">IF(JL40&gt;0,JJ40,JK40)</f>
        <v>3.2092205403069035E-2</v>
      </c>
      <c r="JO40" s="35">
        <f t="shared" ref="JO40:JO71" si="519">(JM40+JN40)/2</f>
        <v>3.2092204471840524E-2</v>
      </c>
      <c r="JP40" s="35">
        <f t="shared" ref="JP40:JP71" si="520">(SUMPRODUCT(($G$8:$G$694=X40)*SQRT(JO40^2+4*(1-JO40)*$I$8:$I$694^2/Z40))-COUNTIF($G$8:$G$694,X40)*JO40)/(2*(1-JO40))-1</f>
        <v>-5.5833115908399122E-13</v>
      </c>
      <c r="JQ40" s="35">
        <f t="shared" ref="JQ40:JQ71" si="521">IF(JP40&gt;0,JO40,JM40)</f>
        <v>3.2092203540612013E-2</v>
      </c>
      <c r="JR40" s="35">
        <f t="shared" ref="JR40:JR71" si="522">IF(JP40&gt;0,JN40,JO40)</f>
        <v>3.2092204471840524E-2</v>
      </c>
      <c r="JS40" s="35">
        <f t="shared" ref="JS40:JS71" si="523">(JQ40+JR40)/2</f>
        <v>3.2092204006226269E-2</v>
      </c>
      <c r="JT40" s="35">
        <f t="shared" ref="JT40:JT71" si="524">(SUMPRODUCT(($G$8:$G$694=X40)*SQRT(JS40^2+4*(1-JS40)*$I$8:$I$694^2/Z40))-COUNTIF($G$8:$G$694,X40)*JS40)/(2*(1-JS40))-1</f>
        <v>2.3164603568659459E-10</v>
      </c>
      <c r="JU40" s="35">
        <f t="shared" ref="JU40:JU71" si="525">IF(JT40&gt;0,JS40,JQ40)</f>
        <v>3.2092204006226269E-2</v>
      </c>
      <c r="JV40" s="35">
        <f t="shared" ref="JV40:JV71" si="526">IF(JT40&gt;0,JR40,JS40)</f>
        <v>3.2092204471840524E-2</v>
      </c>
      <c r="JW40" s="35">
        <f t="shared" ref="JW40:JW71" si="527">(JU40+JV40)/2</f>
        <v>3.2092204239033396E-2</v>
      </c>
      <c r="JX40" s="35">
        <f t="shared" ref="JX40:JX71" si="528">(SUMPRODUCT(($G$8:$G$694=X40)*SQRT(JW40^2+4*(1-JW40)*$I$8:$I$694^2/Z40))-COUNTIF($G$8:$G$694,X40)*JW40)/(2*(1-JW40))-1</f>
        <v>1.1554401879720899E-10</v>
      </c>
      <c r="JY40" s="35">
        <f t="shared" ref="JY40:JY71" si="529">IF(JX40&gt;0,JW40,JU40)</f>
        <v>3.2092204239033396E-2</v>
      </c>
      <c r="JZ40" s="35">
        <f t="shared" ref="JZ40:JZ71" si="530">IF(JX40&gt;0,JV40,JW40)</f>
        <v>3.2092204471840524E-2</v>
      </c>
      <c r="KA40" s="35">
        <f t="shared" ref="KA40:KA71" si="531">(EY40+EZ40)/2</f>
        <v>1.0491371345007789</v>
      </c>
      <c r="KB40" s="35">
        <f t="shared" ref="KB40:KB71" si="532">(JY40+JZ40)/2</f>
        <v>3.2092204355436957E-2</v>
      </c>
    </row>
    <row r="41" spans="1:288" ht="15" customHeight="1" x14ac:dyDescent="0.3">
      <c r="A41" s="30">
        <f>Odds_Input!A41</f>
        <v>33</v>
      </c>
      <c r="B41" s="7" t="str">
        <f>Odds_Input!B41</f>
        <v>CONF_EAST</v>
      </c>
      <c r="C41" s="7" t="str">
        <f>Odds_Input!C41</f>
        <v>Charlotte Hornets</v>
      </c>
      <c r="D41" s="7" t="str">
        <f>Odds_Input!D41</f>
        <v>YES</v>
      </c>
      <c r="E41" s="31" t="str">
        <f>Odds_Input!E41</f>
        <v>-</v>
      </c>
      <c r="F41" s="32">
        <f>Odds_Input!F41</f>
        <v>2900</v>
      </c>
      <c r="G41" s="6" t="str">
        <f t="shared" si="0"/>
        <v>CONF_EAST</v>
      </c>
      <c r="H41" s="14">
        <f t="shared" si="1"/>
        <v>30</v>
      </c>
      <c r="I41" s="33">
        <f t="shared" si="2"/>
        <v>3.3333333333333333E-2</v>
      </c>
      <c r="J41" s="17">
        <f t="shared" si="3"/>
        <v>1</v>
      </c>
      <c r="K41" s="17">
        <f t="shared" si="4"/>
        <v>15</v>
      </c>
      <c r="L41" s="18">
        <f t="shared" si="5"/>
        <v>1.2088752212862357</v>
      </c>
      <c r="M41" s="34">
        <f t="shared" si="6"/>
        <v>0.2088752212862357</v>
      </c>
      <c r="N41" s="33">
        <f t="shared" si="7"/>
        <v>2.7573841159443134E-2</v>
      </c>
      <c r="O41" s="33">
        <f t="shared" si="8"/>
        <v>2.4547564604778117E-2</v>
      </c>
      <c r="P41" s="33">
        <f t="shared" si="9"/>
        <v>2.2818862657083178E-2</v>
      </c>
      <c r="Q41" s="33">
        <f t="shared" si="10"/>
        <v>2.2818862657083178E-2</v>
      </c>
      <c r="R41" s="35">
        <f t="shared" si="11"/>
        <v>1.0899522183230146</v>
      </c>
      <c r="S41" s="35">
        <f t="shared" si="12"/>
        <v>1.7868178675567389E-2</v>
      </c>
      <c r="X41" s="6" t="s">
        <v>816</v>
      </c>
      <c r="Y41" s="6">
        <f t="shared" si="273"/>
        <v>1</v>
      </c>
      <c r="Z41" s="18">
        <f t="shared" si="274"/>
        <v>1.0378787878787878</v>
      </c>
      <c r="AA41" s="10">
        <v>0.2</v>
      </c>
      <c r="AB41" s="10">
        <v>10</v>
      </c>
      <c r="AC41" s="35">
        <f t="shared" si="275"/>
        <v>5.0999999999999996</v>
      </c>
      <c r="AD41" s="35">
        <f t="shared" si="276"/>
        <v>-0.91806799327982047</v>
      </c>
      <c r="AE41" s="35">
        <f t="shared" si="277"/>
        <v>0.2</v>
      </c>
      <c r="AF41" s="35">
        <f t="shared" si="278"/>
        <v>5.0999999999999996</v>
      </c>
      <c r="AG41" s="35">
        <f t="shared" si="279"/>
        <v>2.65</v>
      </c>
      <c r="AH41" s="35">
        <f t="shared" si="280"/>
        <v>-0.63653378467049637</v>
      </c>
      <c r="AI41" s="35">
        <f t="shared" si="281"/>
        <v>0.2</v>
      </c>
      <c r="AJ41" s="35">
        <f t="shared" si="282"/>
        <v>2.65</v>
      </c>
      <c r="AK41" s="35">
        <f t="shared" si="283"/>
        <v>1.425</v>
      </c>
      <c r="AL41" s="35">
        <f t="shared" si="284"/>
        <v>-0.2109694701974747</v>
      </c>
      <c r="AM41" s="35">
        <f t="shared" si="285"/>
        <v>0.2</v>
      </c>
      <c r="AN41" s="35">
        <f t="shared" si="286"/>
        <v>1.425</v>
      </c>
      <c r="AO41" s="35">
        <f t="shared" si="287"/>
        <v>0.8125</v>
      </c>
      <c r="AP41" s="35">
        <f t="shared" si="288"/>
        <v>0.17233270998718608</v>
      </c>
      <c r="AQ41" s="35">
        <f t="shared" si="289"/>
        <v>0.8125</v>
      </c>
      <c r="AR41" s="35">
        <f t="shared" si="290"/>
        <v>1.425</v>
      </c>
      <c r="AS41" s="35">
        <f t="shared" si="291"/>
        <v>1.1187499999999999</v>
      </c>
      <c r="AT41" s="35">
        <f t="shared" si="292"/>
        <v>-3.891531114315816E-2</v>
      </c>
      <c r="AU41" s="35">
        <f t="shared" si="293"/>
        <v>0.8125</v>
      </c>
      <c r="AV41" s="35">
        <f t="shared" si="294"/>
        <v>1.1187499999999999</v>
      </c>
      <c r="AW41" s="35">
        <f t="shared" si="295"/>
        <v>0.96562499999999996</v>
      </c>
      <c r="AX41" s="35">
        <f t="shared" si="296"/>
        <v>6.1275653127510488E-2</v>
      </c>
      <c r="AY41" s="35">
        <f t="shared" si="297"/>
        <v>0.96562499999999996</v>
      </c>
      <c r="AZ41" s="35">
        <f t="shared" si="298"/>
        <v>1.1187499999999999</v>
      </c>
      <c r="BA41" s="35">
        <f t="shared" si="299"/>
        <v>1.0421874999999998</v>
      </c>
      <c r="BB41" s="35">
        <f t="shared" si="300"/>
        <v>9.8932233660302682E-3</v>
      </c>
      <c r="BC41" s="35">
        <f t="shared" si="301"/>
        <v>1.0421874999999998</v>
      </c>
      <c r="BD41" s="35">
        <f t="shared" si="302"/>
        <v>1.1187499999999999</v>
      </c>
      <c r="BE41" s="35">
        <f t="shared" si="303"/>
        <v>1.0804687499999999</v>
      </c>
      <c r="BF41" s="35">
        <f t="shared" si="304"/>
        <v>-1.4824288182540002E-2</v>
      </c>
      <c r="BG41" s="35">
        <f t="shared" si="305"/>
        <v>1.0421874999999998</v>
      </c>
      <c r="BH41" s="35">
        <f t="shared" si="306"/>
        <v>1.0804687499999999</v>
      </c>
      <c r="BI41" s="35">
        <f t="shared" si="307"/>
        <v>1.0613281249999997</v>
      </c>
      <c r="BJ41" s="35">
        <f t="shared" si="308"/>
        <v>-2.5448869179010014E-3</v>
      </c>
      <c r="BK41" s="35">
        <f t="shared" si="309"/>
        <v>1.0421874999999998</v>
      </c>
      <c r="BL41" s="35">
        <f t="shared" si="310"/>
        <v>1.0613281249999997</v>
      </c>
      <c r="BM41" s="35">
        <f t="shared" si="311"/>
        <v>1.0517578124999998</v>
      </c>
      <c r="BN41" s="35">
        <f t="shared" si="312"/>
        <v>3.6541975999020426E-3</v>
      </c>
      <c r="BO41" s="35">
        <f t="shared" si="313"/>
        <v>1.0517578124999998</v>
      </c>
      <c r="BP41" s="35">
        <f t="shared" si="314"/>
        <v>1.0613281249999997</v>
      </c>
      <c r="BQ41" s="35">
        <f t="shared" si="315"/>
        <v>1.0565429687499996</v>
      </c>
      <c r="BR41" s="35">
        <f t="shared" si="316"/>
        <v>5.4967925515869709E-4</v>
      </c>
      <c r="BS41" s="35">
        <f t="shared" si="317"/>
        <v>1.0565429687499996</v>
      </c>
      <c r="BT41" s="35">
        <f t="shared" si="318"/>
        <v>1.0613281249999997</v>
      </c>
      <c r="BU41" s="35">
        <f t="shared" si="319"/>
        <v>1.0589355468749997</v>
      </c>
      <c r="BV41" s="35">
        <f t="shared" si="320"/>
        <v>-9.9884578775411015E-4</v>
      </c>
      <c r="BW41" s="35">
        <f t="shared" si="321"/>
        <v>1.0565429687499996</v>
      </c>
      <c r="BX41" s="35">
        <f t="shared" si="322"/>
        <v>1.0589355468749997</v>
      </c>
      <c r="BY41" s="35">
        <f t="shared" si="323"/>
        <v>1.0577392578124996</v>
      </c>
      <c r="BZ41" s="35">
        <f t="shared" si="324"/>
        <v>-2.2489401325187508E-4</v>
      </c>
      <c r="CA41" s="35">
        <f t="shared" si="325"/>
        <v>1.0565429687499996</v>
      </c>
      <c r="CB41" s="35">
        <f t="shared" si="326"/>
        <v>1.0577392578124996</v>
      </c>
      <c r="CC41" s="35">
        <f t="shared" si="327"/>
        <v>1.0571411132812496</v>
      </c>
      <c r="CD41" s="35">
        <f t="shared" si="328"/>
        <v>1.6231490195850462E-4</v>
      </c>
      <c r="CE41" s="35">
        <f t="shared" si="329"/>
        <v>1.0571411132812496</v>
      </c>
      <c r="CF41" s="35">
        <f t="shared" si="330"/>
        <v>1.0577392578124996</v>
      </c>
      <c r="CG41" s="35">
        <f t="shared" si="331"/>
        <v>1.0574401855468745</v>
      </c>
      <c r="CH41" s="35">
        <f t="shared" si="332"/>
        <v>-3.1308981362276889E-5</v>
      </c>
      <c r="CI41" s="35">
        <f t="shared" si="333"/>
        <v>1.0571411132812496</v>
      </c>
      <c r="CJ41" s="35">
        <f t="shared" si="334"/>
        <v>1.0574401855468745</v>
      </c>
      <c r="CK41" s="35">
        <f t="shared" si="335"/>
        <v>1.0572906494140621</v>
      </c>
      <c r="CL41" s="35">
        <f t="shared" si="336"/>
        <v>6.5498103364980409E-5</v>
      </c>
      <c r="CM41" s="35">
        <f t="shared" si="337"/>
        <v>1.0572906494140621</v>
      </c>
      <c r="CN41" s="35">
        <f t="shared" si="338"/>
        <v>1.0574401855468745</v>
      </c>
      <c r="CO41" s="35">
        <f t="shared" si="339"/>
        <v>1.0573654174804683</v>
      </c>
      <c r="CP41" s="35">
        <f t="shared" si="340"/>
        <v>1.7093346831309475E-5</v>
      </c>
      <c r="CQ41" s="35">
        <f t="shared" si="341"/>
        <v>1.0573654174804683</v>
      </c>
      <c r="CR41" s="35">
        <f t="shared" si="342"/>
        <v>1.0574401855468745</v>
      </c>
      <c r="CS41" s="35">
        <f t="shared" si="343"/>
        <v>1.0574028015136714</v>
      </c>
      <c r="CT41" s="35">
        <f t="shared" si="344"/>
        <v>-7.1081208001810836E-6</v>
      </c>
      <c r="CU41" s="35">
        <f t="shared" si="345"/>
        <v>1.0573654174804683</v>
      </c>
      <c r="CV41" s="35">
        <f t="shared" si="346"/>
        <v>1.0574028015136714</v>
      </c>
      <c r="CW41" s="35">
        <f t="shared" si="347"/>
        <v>1.05738410949707</v>
      </c>
      <c r="CX41" s="35">
        <f t="shared" si="348"/>
        <v>4.9925371308212618E-6</v>
      </c>
      <c r="CY41" s="35">
        <f t="shared" si="349"/>
        <v>1.05738410949707</v>
      </c>
      <c r="CZ41" s="35">
        <f t="shared" si="350"/>
        <v>1.0574028015136714</v>
      </c>
      <c r="DA41" s="35">
        <f t="shared" si="351"/>
        <v>1.0573934555053706</v>
      </c>
      <c r="DB41" s="35">
        <f t="shared" si="352"/>
        <v>-1.0578108057268665E-6</v>
      </c>
      <c r="DC41" s="35">
        <f t="shared" si="353"/>
        <v>1.05738410949707</v>
      </c>
      <c r="DD41" s="35">
        <f t="shared" si="354"/>
        <v>1.0573934555053706</v>
      </c>
      <c r="DE41" s="35">
        <f t="shared" si="355"/>
        <v>1.0573887825012203</v>
      </c>
      <c r="DF41" s="35">
        <f t="shared" si="356"/>
        <v>1.9673584197299476E-6</v>
      </c>
      <c r="DG41" s="35">
        <f t="shared" si="357"/>
        <v>1.0573887825012203</v>
      </c>
      <c r="DH41" s="35">
        <f t="shared" si="358"/>
        <v>1.0573934555053706</v>
      </c>
      <c r="DI41" s="35">
        <f t="shared" si="359"/>
        <v>1.0573911190032954</v>
      </c>
      <c r="DJ41" s="35">
        <f t="shared" si="360"/>
        <v>4.5477262133886143E-7</v>
      </c>
      <c r="DK41" s="35">
        <f t="shared" si="361"/>
        <v>1.0573911190032954</v>
      </c>
      <c r="DL41" s="35">
        <f t="shared" si="362"/>
        <v>1.0573934555053706</v>
      </c>
      <c r="DM41" s="35">
        <f t="shared" si="363"/>
        <v>1.0573922872543329</v>
      </c>
      <c r="DN41" s="35">
        <f t="shared" si="364"/>
        <v>-3.0151938856803895E-7</v>
      </c>
      <c r="DO41" s="35">
        <f t="shared" si="365"/>
        <v>1.0573911190032954</v>
      </c>
      <c r="DP41" s="35">
        <f t="shared" si="366"/>
        <v>1.0573922872543329</v>
      </c>
      <c r="DQ41" s="35">
        <f t="shared" si="367"/>
        <v>1.0573917031288143</v>
      </c>
      <c r="DR41" s="35">
        <f t="shared" si="368"/>
        <v>7.6626542222513194E-8</v>
      </c>
      <c r="DS41" s="35">
        <f t="shared" si="369"/>
        <v>1.0573917031288143</v>
      </c>
      <c r="DT41" s="35">
        <f t="shared" si="370"/>
        <v>1.0573922872543329</v>
      </c>
      <c r="DU41" s="35">
        <f t="shared" si="371"/>
        <v>1.0573919951915736</v>
      </c>
      <c r="DV41" s="35">
        <f t="shared" si="372"/>
        <v>-1.1244644171348739E-7</v>
      </c>
      <c r="DW41" s="35">
        <f t="shared" si="373"/>
        <v>1.0573917031288143</v>
      </c>
      <c r="DX41" s="35">
        <f t="shared" si="374"/>
        <v>1.0573919951915736</v>
      </c>
      <c r="DY41" s="35">
        <f t="shared" si="375"/>
        <v>1.0573918491601939</v>
      </c>
      <c r="DZ41" s="35">
        <f t="shared" si="376"/>
        <v>-1.79099544084238E-8</v>
      </c>
      <c r="EA41" s="35">
        <f t="shared" si="377"/>
        <v>1.0573917031288143</v>
      </c>
      <c r="EB41" s="35">
        <f t="shared" si="378"/>
        <v>1.0573918491601939</v>
      </c>
      <c r="EC41" s="35">
        <f t="shared" si="379"/>
        <v>1.0573917761445042</v>
      </c>
      <c r="ED41" s="35">
        <f t="shared" si="380"/>
        <v>2.935829268579937E-8</v>
      </c>
      <c r="EE41" s="35">
        <f t="shared" si="381"/>
        <v>1.0573917761445042</v>
      </c>
      <c r="EF41" s="35">
        <f t="shared" si="382"/>
        <v>1.0573918491601939</v>
      </c>
      <c r="EG41" s="35">
        <f t="shared" si="383"/>
        <v>1.0573918126523489</v>
      </c>
      <c r="EH41" s="35">
        <f t="shared" si="384"/>
        <v>5.7241689166431797E-9</v>
      </c>
      <c r="EI41" s="35">
        <f t="shared" si="385"/>
        <v>1.0573918126523489</v>
      </c>
      <c r="EJ41" s="35">
        <f t="shared" si="386"/>
        <v>1.0573918491601939</v>
      </c>
      <c r="EK41" s="35">
        <f t="shared" si="387"/>
        <v>1.0573918309062713</v>
      </c>
      <c r="EL41" s="35">
        <f t="shared" si="388"/>
        <v>-6.0928926348680079E-9</v>
      </c>
      <c r="EM41" s="35">
        <f t="shared" si="389"/>
        <v>1.0573918126523489</v>
      </c>
      <c r="EN41" s="35">
        <f t="shared" si="390"/>
        <v>1.0573918309062713</v>
      </c>
      <c r="EO41" s="35">
        <f t="shared" si="391"/>
        <v>1.0573918217793101</v>
      </c>
      <c r="EP41" s="35">
        <f t="shared" si="392"/>
        <v>-1.8436197013471656E-10</v>
      </c>
      <c r="EQ41" s="35">
        <f t="shared" si="393"/>
        <v>1.0573918126523489</v>
      </c>
      <c r="ER41" s="35">
        <f t="shared" si="394"/>
        <v>1.0573918217793101</v>
      </c>
      <c r="ES41" s="35">
        <f t="shared" si="395"/>
        <v>1.0573918172158296</v>
      </c>
      <c r="ET41" s="35">
        <f t="shared" si="396"/>
        <v>2.7699034177430804E-9</v>
      </c>
      <c r="EU41" s="35">
        <f t="shared" si="397"/>
        <v>1.0573918172158296</v>
      </c>
      <c r="EV41" s="35">
        <f t="shared" si="398"/>
        <v>1.0573918217793101</v>
      </c>
      <c r="EW41" s="35">
        <f t="shared" si="399"/>
        <v>1.0573918194975698</v>
      </c>
      <c r="EX41" s="35">
        <f t="shared" si="400"/>
        <v>1.2927707793153331E-9</v>
      </c>
      <c r="EY41" s="35">
        <f t="shared" si="401"/>
        <v>1.0573918194975698</v>
      </c>
      <c r="EZ41" s="35">
        <f t="shared" si="402"/>
        <v>1.0573918217793101</v>
      </c>
      <c r="FA41" s="10">
        <v>9.9999999999999995E-7</v>
      </c>
      <c r="FB41" s="10">
        <v>0.99990000000000001</v>
      </c>
      <c r="FC41" s="35">
        <f t="shared" si="403"/>
        <v>0.49995050000000002</v>
      </c>
      <c r="FD41" s="35">
        <f t="shared" si="404"/>
        <v>-0.24320936113443614</v>
      </c>
      <c r="FE41" s="35">
        <f t="shared" si="405"/>
        <v>9.9999999999999995E-7</v>
      </c>
      <c r="FF41" s="35">
        <f t="shared" si="406"/>
        <v>0.49995050000000002</v>
      </c>
      <c r="FG41" s="35">
        <f t="shared" si="407"/>
        <v>0.24997575</v>
      </c>
      <c r="FH41" s="35">
        <f t="shared" si="408"/>
        <v>-0.10998303444909863</v>
      </c>
      <c r="FI41" s="35">
        <f t="shared" si="409"/>
        <v>9.9999999999999995E-7</v>
      </c>
      <c r="FJ41" s="35">
        <f t="shared" si="410"/>
        <v>0.24997575</v>
      </c>
      <c r="FK41" s="35">
        <f t="shared" si="411"/>
        <v>0.124988375</v>
      </c>
      <c r="FL41" s="35">
        <f t="shared" si="412"/>
        <v>-4.4275267303020116E-2</v>
      </c>
      <c r="FM41" s="35">
        <f t="shared" si="413"/>
        <v>9.9999999999999995E-7</v>
      </c>
      <c r="FN41" s="35">
        <f t="shared" si="414"/>
        <v>0.124988375</v>
      </c>
      <c r="FO41" s="35">
        <f t="shared" si="415"/>
        <v>6.24946875E-2</v>
      </c>
      <c r="FP41" s="35">
        <f t="shared" si="416"/>
        <v>-1.2346969821587228E-2</v>
      </c>
      <c r="FQ41" s="35">
        <f t="shared" si="417"/>
        <v>9.9999999999999995E-7</v>
      </c>
      <c r="FR41" s="35">
        <f t="shared" si="418"/>
        <v>6.24946875E-2</v>
      </c>
      <c r="FS41" s="35">
        <f t="shared" si="419"/>
        <v>3.124784375E-2</v>
      </c>
      <c r="FT41" s="35">
        <f t="shared" si="420"/>
        <v>3.3180127973544415E-3</v>
      </c>
      <c r="FU41" s="35">
        <f t="shared" si="421"/>
        <v>3.124784375E-2</v>
      </c>
      <c r="FV41" s="35">
        <f t="shared" si="422"/>
        <v>6.24946875E-2</v>
      </c>
      <c r="FW41" s="35">
        <f t="shared" si="423"/>
        <v>4.6871265624999998E-2</v>
      </c>
      <c r="FX41" s="35">
        <f t="shared" si="424"/>
        <v>-4.4878554500902279E-3</v>
      </c>
      <c r="FY41" s="35">
        <f t="shared" si="425"/>
        <v>3.124784375E-2</v>
      </c>
      <c r="FZ41" s="35">
        <f t="shared" si="426"/>
        <v>4.6871265624999998E-2</v>
      </c>
      <c r="GA41" s="35">
        <f t="shared" si="427"/>
        <v>3.9059554687499998E-2</v>
      </c>
      <c r="GB41" s="35">
        <f t="shared" si="428"/>
        <v>-5.781492124693477E-4</v>
      </c>
      <c r="GC41" s="35">
        <f t="shared" si="429"/>
        <v>3.124784375E-2</v>
      </c>
      <c r="GD41" s="35">
        <f t="shared" si="430"/>
        <v>3.9059554687499998E-2</v>
      </c>
      <c r="GE41" s="35">
        <f t="shared" si="431"/>
        <v>3.5153699218750001E-2</v>
      </c>
      <c r="GF41" s="35">
        <f t="shared" si="432"/>
        <v>1.3716389436695398E-3</v>
      </c>
      <c r="GG41" s="35">
        <f t="shared" si="433"/>
        <v>3.5153699218750001E-2</v>
      </c>
      <c r="GH41" s="35">
        <f t="shared" si="434"/>
        <v>3.9059554687499998E-2</v>
      </c>
      <c r="GI41" s="35">
        <f t="shared" si="435"/>
        <v>3.7106626953124999E-2</v>
      </c>
      <c r="GJ41" s="35">
        <f t="shared" si="436"/>
        <v>3.9716990681593067E-4</v>
      </c>
      <c r="GK41" s="35">
        <f t="shared" si="437"/>
        <v>3.7106626953124999E-2</v>
      </c>
      <c r="GL41" s="35">
        <f t="shared" si="438"/>
        <v>3.9059554687499998E-2</v>
      </c>
      <c r="GM41" s="35">
        <f t="shared" si="439"/>
        <v>3.8083090820312498E-2</v>
      </c>
      <c r="GN41" s="35">
        <f t="shared" si="440"/>
        <v>-9.0383612486366616E-5</v>
      </c>
      <c r="GO41" s="35">
        <f t="shared" si="441"/>
        <v>3.7106626953124999E-2</v>
      </c>
      <c r="GP41" s="35">
        <f t="shared" si="442"/>
        <v>3.8083090820312498E-2</v>
      </c>
      <c r="GQ41" s="35">
        <f t="shared" si="443"/>
        <v>3.7594858886718749E-2</v>
      </c>
      <c r="GR41" s="35">
        <f t="shared" si="444"/>
        <v>1.5341968481852319E-4</v>
      </c>
      <c r="GS41" s="35">
        <f t="shared" si="445"/>
        <v>3.7594858886718749E-2</v>
      </c>
      <c r="GT41" s="35">
        <f t="shared" si="446"/>
        <v>3.8083090820312498E-2</v>
      </c>
      <c r="GU41" s="35">
        <f t="shared" si="447"/>
        <v>3.7838974853515624E-2</v>
      </c>
      <c r="GV41" s="35">
        <f t="shared" si="448"/>
        <v>3.1524667138072004E-5</v>
      </c>
      <c r="GW41" s="35">
        <f t="shared" si="449"/>
        <v>3.7838974853515624E-2</v>
      </c>
      <c r="GX41" s="35">
        <f t="shared" si="450"/>
        <v>3.8083090820312498E-2</v>
      </c>
      <c r="GY41" s="35">
        <f t="shared" si="451"/>
        <v>3.7961032836914058E-2</v>
      </c>
      <c r="GZ41" s="35">
        <f t="shared" si="452"/>
        <v>-2.9427815361748877E-5</v>
      </c>
      <c r="HA41" s="35">
        <f t="shared" si="453"/>
        <v>3.7838974853515624E-2</v>
      </c>
      <c r="HB41" s="35">
        <f t="shared" si="454"/>
        <v>3.7961032836914058E-2</v>
      </c>
      <c r="HC41" s="35">
        <f t="shared" si="455"/>
        <v>3.7900003845214844E-2</v>
      </c>
      <c r="HD41" s="35">
        <f t="shared" si="456"/>
        <v>1.0488402699682098E-6</v>
      </c>
      <c r="HE41" s="35">
        <f t="shared" si="457"/>
        <v>3.7900003845214844E-2</v>
      </c>
      <c r="HF41" s="35">
        <f t="shared" si="458"/>
        <v>3.7961032836914058E-2</v>
      </c>
      <c r="HG41" s="35">
        <f t="shared" si="459"/>
        <v>3.7930518341064451E-2</v>
      </c>
      <c r="HH41" s="35">
        <f t="shared" si="460"/>
        <v>-1.4189383957141644E-5</v>
      </c>
      <c r="HI41" s="35">
        <f t="shared" si="461"/>
        <v>3.7900003845214844E-2</v>
      </c>
      <c r="HJ41" s="35">
        <f t="shared" si="462"/>
        <v>3.7930518341064451E-2</v>
      </c>
      <c r="HK41" s="35">
        <f t="shared" si="463"/>
        <v>3.7915261093139647E-2</v>
      </c>
      <c r="HL41" s="35">
        <f t="shared" si="464"/>
        <v>-6.5702459454142215E-6</v>
      </c>
      <c r="HM41" s="35">
        <f t="shared" si="465"/>
        <v>3.7900003845214844E-2</v>
      </c>
      <c r="HN41" s="35">
        <f t="shared" si="466"/>
        <v>3.7915261093139647E-2</v>
      </c>
      <c r="HO41" s="35">
        <f t="shared" si="467"/>
        <v>3.7907632469177249E-2</v>
      </c>
      <c r="HP41" s="35">
        <f t="shared" si="468"/>
        <v>-2.7606963630688597E-6</v>
      </c>
      <c r="HQ41" s="35">
        <f t="shared" si="469"/>
        <v>3.7900003845214844E-2</v>
      </c>
      <c r="HR41" s="35">
        <f t="shared" si="470"/>
        <v>3.7907632469177249E-2</v>
      </c>
      <c r="HS41" s="35">
        <f t="shared" si="471"/>
        <v>3.7903818157196047E-2</v>
      </c>
      <c r="HT41" s="35">
        <f t="shared" si="472"/>
        <v>-8.5592642795617735E-7</v>
      </c>
      <c r="HU41" s="35">
        <f t="shared" si="473"/>
        <v>3.7900003845214844E-2</v>
      </c>
      <c r="HV41" s="35">
        <f t="shared" si="474"/>
        <v>3.7903818157196047E-2</v>
      </c>
      <c r="HW41" s="35">
        <f t="shared" si="475"/>
        <v>3.7901911001205449E-2</v>
      </c>
      <c r="HX41" s="35">
        <f t="shared" si="476"/>
        <v>9.6457325682308692E-8</v>
      </c>
      <c r="HY41" s="35">
        <f t="shared" si="477"/>
        <v>3.7901911001205449E-2</v>
      </c>
      <c r="HZ41" s="35">
        <f t="shared" si="478"/>
        <v>3.7903818157196047E-2</v>
      </c>
      <c r="IA41" s="35">
        <f t="shared" si="479"/>
        <v>3.7902864579200751E-2</v>
      </c>
      <c r="IB41" s="35">
        <f t="shared" si="480"/>
        <v>-3.7973444988459448E-7</v>
      </c>
      <c r="IC41" s="35">
        <f t="shared" si="481"/>
        <v>3.7901911001205449E-2</v>
      </c>
      <c r="ID41" s="35">
        <f t="shared" si="482"/>
        <v>3.7902864579200751E-2</v>
      </c>
      <c r="IE41" s="35">
        <f t="shared" si="483"/>
        <v>3.79023877902031E-2</v>
      </c>
      <c r="IF41" s="35">
        <f t="shared" si="484"/>
        <v>-1.4163853667703563E-7</v>
      </c>
      <c r="IG41" s="35">
        <f t="shared" si="485"/>
        <v>3.7901911001205449E-2</v>
      </c>
      <c r="IH41" s="35">
        <f t="shared" si="486"/>
        <v>3.79023877902031E-2</v>
      </c>
      <c r="II41" s="35">
        <f t="shared" si="487"/>
        <v>3.7902149395704271E-2</v>
      </c>
      <c r="IJ41" s="35">
        <f t="shared" si="488"/>
        <v>-2.2590599058069927E-8</v>
      </c>
      <c r="IK41" s="35">
        <f t="shared" si="489"/>
        <v>3.7901911001205449E-2</v>
      </c>
      <c r="IL41" s="35">
        <f t="shared" si="490"/>
        <v>3.7902149395704271E-2</v>
      </c>
      <c r="IM41" s="35">
        <f t="shared" si="491"/>
        <v>3.790203019845486E-2</v>
      </c>
      <c r="IN41" s="35">
        <f t="shared" si="492"/>
        <v>3.6933365032965071E-8</v>
      </c>
      <c r="IO41" s="35">
        <f t="shared" si="493"/>
        <v>3.790203019845486E-2</v>
      </c>
      <c r="IP41" s="35">
        <f t="shared" si="494"/>
        <v>3.7902149395704271E-2</v>
      </c>
      <c r="IQ41" s="35">
        <f t="shared" si="495"/>
        <v>3.7902089797079569E-2</v>
      </c>
      <c r="IR41" s="35">
        <f t="shared" si="496"/>
        <v>7.1713832650033282E-9</v>
      </c>
      <c r="IS41" s="35">
        <f t="shared" si="497"/>
        <v>3.7902089797079569E-2</v>
      </c>
      <c r="IT41" s="35">
        <f t="shared" si="498"/>
        <v>3.7902149395704271E-2</v>
      </c>
      <c r="IU41" s="35">
        <f t="shared" si="499"/>
        <v>3.790211959639192E-2</v>
      </c>
      <c r="IV41" s="35">
        <f t="shared" si="500"/>
        <v>-7.709607841022148E-9</v>
      </c>
      <c r="IW41" s="35">
        <f t="shared" si="501"/>
        <v>3.7902089797079569E-2</v>
      </c>
      <c r="IX41" s="35">
        <f t="shared" si="502"/>
        <v>3.790211959639192E-2</v>
      </c>
      <c r="IY41" s="35">
        <f t="shared" si="503"/>
        <v>3.7902104696735744E-2</v>
      </c>
      <c r="IZ41" s="35">
        <f t="shared" si="504"/>
        <v>-2.6911217698710743E-10</v>
      </c>
      <c r="JA41" s="35">
        <f t="shared" si="505"/>
        <v>3.7902089797079569E-2</v>
      </c>
      <c r="JB41" s="35">
        <f t="shared" si="506"/>
        <v>3.7902104696735744E-2</v>
      </c>
      <c r="JC41" s="35">
        <f t="shared" si="507"/>
        <v>3.7902097246907657E-2</v>
      </c>
      <c r="JD41" s="35">
        <f t="shared" si="508"/>
        <v>3.4511355995192616E-9</v>
      </c>
      <c r="JE41" s="35">
        <f t="shared" si="509"/>
        <v>3.7902097246907657E-2</v>
      </c>
      <c r="JF41" s="35">
        <f t="shared" si="510"/>
        <v>3.7902104696735744E-2</v>
      </c>
      <c r="JG41" s="35">
        <f t="shared" si="511"/>
        <v>3.7902100971821701E-2</v>
      </c>
      <c r="JH41" s="35">
        <f t="shared" si="512"/>
        <v>1.5910115447326234E-9</v>
      </c>
      <c r="JI41" s="35">
        <f t="shared" si="513"/>
        <v>3.7902100971821701E-2</v>
      </c>
      <c r="JJ41" s="35">
        <f t="shared" si="514"/>
        <v>3.7902104696735744E-2</v>
      </c>
      <c r="JK41" s="35">
        <f t="shared" si="515"/>
        <v>3.7902102834278723E-2</v>
      </c>
      <c r="JL41" s="35">
        <f t="shared" si="516"/>
        <v>6.6094951733930429E-10</v>
      </c>
      <c r="JM41" s="35">
        <f t="shared" si="517"/>
        <v>3.7902102834278723E-2</v>
      </c>
      <c r="JN41" s="35">
        <f t="shared" si="518"/>
        <v>3.7902104696735744E-2</v>
      </c>
      <c r="JO41" s="35">
        <f t="shared" si="519"/>
        <v>3.7902103765507233E-2</v>
      </c>
      <c r="JP41" s="35">
        <f t="shared" si="520"/>
        <v>1.9591883670955212E-10</v>
      </c>
      <c r="JQ41" s="35">
        <f t="shared" si="521"/>
        <v>3.7902103765507233E-2</v>
      </c>
      <c r="JR41" s="35">
        <f t="shared" si="522"/>
        <v>3.7902104696735744E-2</v>
      </c>
      <c r="JS41" s="35">
        <f t="shared" si="523"/>
        <v>3.7902104231121489E-2</v>
      </c>
      <c r="JT41" s="35">
        <f t="shared" si="524"/>
        <v>-3.6596725649928885E-11</v>
      </c>
      <c r="JU41" s="35">
        <f t="shared" si="525"/>
        <v>3.7902103765507233E-2</v>
      </c>
      <c r="JV41" s="35">
        <f t="shared" si="526"/>
        <v>3.7902104231121489E-2</v>
      </c>
      <c r="JW41" s="35">
        <f t="shared" si="527"/>
        <v>3.7902103998314361E-2</v>
      </c>
      <c r="JX41" s="35">
        <f t="shared" si="528"/>
        <v>7.9661166552114082E-11</v>
      </c>
      <c r="JY41" s="35">
        <f t="shared" si="529"/>
        <v>3.7902103998314361E-2</v>
      </c>
      <c r="JZ41" s="35">
        <f t="shared" si="530"/>
        <v>3.7902104231121489E-2</v>
      </c>
      <c r="KA41" s="35">
        <f t="shared" si="531"/>
        <v>1.0573918206384398</v>
      </c>
      <c r="KB41" s="35">
        <f t="shared" si="532"/>
        <v>3.7902104114717922E-2</v>
      </c>
    </row>
    <row r="42" spans="1:288" ht="15" customHeight="1" x14ac:dyDescent="0.3">
      <c r="A42" s="30">
        <f>Odds_Input!A42</f>
        <v>34</v>
      </c>
      <c r="B42" s="7" t="str">
        <f>Odds_Input!B42</f>
        <v>CONF_EAST</v>
      </c>
      <c r="C42" s="7" t="str">
        <f>Odds_Input!C42</f>
        <v>Chicago Bulls</v>
      </c>
      <c r="D42" s="7" t="str">
        <f>Odds_Input!D42</f>
        <v>YES</v>
      </c>
      <c r="E42" s="31" t="str">
        <f>Odds_Input!E42</f>
        <v>-</v>
      </c>
      <c r="F42" s="32">
        <f>Odds_Input!F42</f>
        <v>23000</v>
      </c>
      <c r="G42" s="6" t="str">
        <f t="shared" si="0"/>
        <v>CONF_EAST</v>
      </c>
      <c r="H42" s="14">
        <f t="shared" si="1"/>
        <v>231</v>
      </c>
      <c r="I42" s="33">
        <f t="shared" si="2"/>
        <v>4.329004329004329E-3</v>
      </c>
      <c r="J42" s="17">
        <f t="shared" si="3"/>
        <v>1</v>
      </c>
      <c r="K42" s="17">
        <f t="shared" si="4"/>
        <v>15</v>
      </c>
      <c r="L42" s="18">
        <f t="shared" si="5"/>
        <v>1.2088752212862357</v>
      </c>
      <c r="M42" s="34">
        <f t="shared" si="6"/>
        <v>0.2088752212862357</v>
      </c>
      <c r="N42" s="33">
        <f t="shared" si="7"/>
        <v>3.5810183323952121E-3</v>
      </c>
      <c r="O42" s="33">
        <f t="shared" si="8"/>
        <v>2.6532359874241996E-3</v>
      </c>
      <c r="P42" s="33">
        <f t="shared" si="9"/>
        <v>8.2974689808264679E-4</v>
      </c>
      <c r="Q42" s="33">
        <f t="shared" si="10"/>
        <v>8.2974689808264679E-4</v>
      </c>
      <c r="R42" s="35">
        <f t="shared" si="11"/>
        <v>1.0899522183230146</v>
      </c>
      <c r="S42" s="35">
        <f t="shared" si="12"/>
        <v>1.7868178675567389E-2</v>
      </c>
      <c r="X42" s="6" t="s">
        <v>817</v>
      </c>
      <c r="Y42" s="6">
        <f t="shared" si="273"/>
        <v>1</v>
      </c>
      <c r="Z42" s="18">
        <f t="shared" si="274"/>
        <v>1.0378787878787878</v>
      </c>
      <c r="AA42" s="10">
        <v>0.2</v>
      </c>
      <c r="AB42" s="10">
        <v>10</v>
      </c>
      <c r="AC42" s="35">
        <f t="shared" si="275"/>
        <v>5.0999999999999996</v>
      </c>
      <c r="AD42" s="35">
        <f t="shared" si="276"/>
        <v>-0.91806799327982047</v>
      </c>
      <c r="AE42" s="35">
        <f t="shared" si="277"/>
        <v>0.2</v>
      </c>
      <c r="AF42" s="35">
        <f t="shared" si="278"/>
        <v>5.0999999999999996</v>
      </c>
      <c r="AG42" s="35">
        <f t="shared" si="279"/>
        <v>2.65</v>
      </c>
      <c r="AH42" s="35">
        <f t="shared" si="280"/>
        <v>-0.63653378467049637</v>
      </c>
      <c r="AI42" s="35">
        <f t="shared" si="281"/>
        <v>0.2</v>
      </c>
      <c r="AJ42" s="35">
        <f t="shared" si="282"/>
        <v>2.65</v>
      </c>
      <c r="AK42" s="35">
        <f t="shared" si="283"/>
        <v>1.425</v>
      </c>
      <c r="AL42" s="35">
        <f t="shared" si="284"/>
        <v>-0.2109694701974747</v>
      </c>
      <c r="AM42" s="35">
        <f t="shared" si="285"/>
        <v>0.2</v>
      </c>
      <c r="AN42" s="35">
        <f t="shared" si="286"/>
        <v>1.425</v>
      </c>
      <c r="AO42" s="35">
        <f t="shared" si="287"/>
        <v>0.8125</v>
      </c>
      <c r="AP42" s="35">
        <f t="shared" si="288"/>
        <v>0.17233270998718608</v>
      </c>
      <c r="AQ42" s="35">
        <f t="shared" si="289"/>
        <v>0.8125</v>
      </c>
      <c r="AR42" s="35">
        <f t="shared" si="290"/>
        <v>1.425</v>
      </c>
      <c r="AS42" s="35">
        <f t="shared" si="291"/>
        <v>1.1187499999999999</v>
      </c>
      <c r="AT42" s="35">
        <f t="shared" si="292"/>
        <v>-3.891531114315816E-2</v>
      </c>
      <c r="AU42" s="35">
        <f t="shared" si="293"/>
        <v>0.8125</v>
      </c>
      <c r="AV42" s="35">
        <f t="shared" si="294"/>
        <v>1.1187499999999999</v>
      </c>
      <c r="AW42" s="35">
        <f t="shared" si="295"/>
        <v>0.96562499999999996</v>
      </c>
      <c r="AX42" s="35">
        <f t="shared" si="296"/>
        <v>6.1275653127510488E-2</v>
      </c>
      <c r="AY42" s="35">
        <f t="shared" si="297"/>
        <v>0.96562499999999996</v>
      </c>
      <c r="AZ42" s="35">
        <f t="shared" si="298"/>
        <v>1.1187499999999999</v>
      </c>
      <c r="BA42" s="35">
        <f t="shared" si="299"/>
        <v>1.0421874999999998</v>
      </c>
      <c r="BB42" s="35">
        <f t="shared" si="300"/>
        <v>9.8932233660302682E-3</v>
      </c>
      <c r="BC42" s="35">
        <f t="shared" si="301"/>
        <v>1.0421874999999998</v>
      </c>
      <c r="BD42" s="35">
        <f t="shared" si="302"/>
        <v>1.1187499999999999</v>
      </c>
      <c r="BE42" s="35">
        <f t="shared" si="303"/>
        <v>1.0804687499999999</v>
      </c>
      <c r="BF42" s="35">
        <f t="shared" si="304"/>
        <v>-1.4824288182540002E-2</v>
      </c>
      <c r="BG42" s="35">
        <f t="shared" si="305"/>
        <v>1.0421874999999998</v>
      </c>
      <c r="BH42" s="35">
        <f t="shared" si="306"/>
        <v>1.0804687499999999</v>
      </c>
      <c r="BI42" s="35">
        <f t="shared" si="307"/>
        <v>1.0613281249999997</v>
      </c>
      <c r="BJ42" s="35">
        <f t="shared" si="308"/>
        <v>-2.5448869179010014E-3</v>
      </c>
      <c r="BK42" s="35">
        <f t="shared" si="309"/>
        <v>1.0421874999999998</v>
      </c>
      <c r="BL42" s="35">
        <f t="shared" si="310"/>
        <v>1.0613281249999997</v>
      </c>
      <c r="BM42" s="35">
        <f t="shared" si="311"/>
        <v>1.0517578124999998</v>
      </c>
      <c r="BN42" s="35">
        <f t="shared" si="312"/>
        <v>3.6541975999020426E-3</v>
      </c>
      <c r="BO42" s="35">
        <f t="shared" si="313"/>
        <v>1.0517578124999998</v>
      </c>
      <c r="BP42" s="35">
        <f t="shared" si="314"/>
        <v>1.0613281249999997</v>
      </c>
      <c r="BQ42" s="35">
        <f t="shared" si="315"/>
        <v>1.0565429687499996</v>
      </c>
      <c r="BR42" s="35">
        <f t="shared" si="316"/>
        <v>5.4967925515869709E-4</v>
      </c>
      <c r="BS42" s="35">
        <f t="shared" si="317"/>
        <v>1.0565429687499996</v>
      </c>
      <c r="BT42" s="35">
        <f t="shared" si="318"/>
        <v>1.0613281249999997</v>
      </c>
      <c r="BU42" s="35">
        <f t="shared" si="319"/>
        <v>1.0589355468749997</v>
      </c>
      <c r="BV42" s="35">
        <f t="shared" si="320"/>
        <v>-9.9884578775411015E-4</v>
      </c>
      <c r="BW42" s="35">
        <f t="shared" si="321"/>
        <v>1.0565429687499996</v>
      </c>
      <c r="BX42" s="35">
        <f t="shared" si="322"/>
        <v>1.0589355468749997</v>
      </c>
      <c r="BY42" s="35">
        <f t="shared" si="323"/>
        <v>1.0577392578124996</v>
      </c>
      <c r="BZ42" s="35">
        <f t="shared" si="324"/>
        <v>-2.2489401325187508E-4</v>
      </c>
      <c r="CA42" s="35">
        <f t="shared" si="325"/>
        <v>1.0565429687499996</v>
      </c>
      <c r="CB42" s="35">
        <f t="shared" si="326"/>
        <v>1.0577392578124996</v>
      </c>
      <c r="CC42" s="35">
        <f t="shared" si="327"/>
        <v>1.0571411132812496</v>
      </c>
      <c r="CD42" s="35">
        <f t="shared" si="328"/>
        <v>1.6231490195850462E-4</v>
      </c>
      <c r="CE42" s="35">
        <f t="shared" si="329"/>
        <v>1.0571411132812496</v>
      </c>
      <c r="CF42" s="35">
        <f t="shared" si="330"/>
        <v>1.0577392578124996</v>
      </c>
      <c r="CG42" s="35">
        <f t="shared" si="331"/>
        <v>1.0574401855468745</v>
      </c>
      <c r="CH42" s="35">
        <f t="shared" si="332"/>
        <v>-3.1308981362276889E-5</v>
      </c>
      <c r="CI42" s="35">
        <f t="shared" si="333"/>
        <v>1.0571411132812496</v>
      </c>
      <c r="CJ42" s="35">
        <f t="shared" si="334"/>
        <v>1.0574401855468745</v>
      </c>
      <c r="CK42" s="35">
        <f t="shared" si="335"/>
        <v>1.0572906494140621</v>
      </c>
      <c r="CL42" s="35">
        <f t="shared" si="336"/>
        <v>6.5498103364980409E-5</v>
      </c>
      <c r="CM42" s="35">
        <f t="shared" si="337"/>
        <v>1.0572906494140621</v>
      </c>
      <c r="CN42" s="35">
        <f t="shared" si="338"/>
        <v>1.0574401855468745</v>
      </c>
      <c r="CO42" s="35">
        <f t="shared" si="339"/>
        <v>1.0573654174804683</v>
      </c>
      <c r="CP42" s="35">
        <f t="shared" si="340"/>
        <v>1.7093346831309475E-5</v>
      </c>
      <c r="CQ42" s="35">
        <f t="shared" si="341"/>
        <v>1.0573654174804683</v>
      </c>
      <c r="CR42" s="35">
        <f t="shared" si="342"/>
        <v>1.0574401855468745</v>
      </c>
      <c r="CS42" s="35">
        <f t="shared" si="343"/>
        <v>1.0574028015136714</v>
      </c>
      <c r="CT42" s="35">
        <f t="shared" si="344"/>
        <v>-7.1081208001810836E-6</v>
      </c>
      <c r="CU42" s="35">
        <f t="shared" si="345"/>
        <v>1.0573654174804683</v>
      </c>
      <c r="CV42" s="35">
        <f t="shared" si="346"/>
        <v>1.0574028015136714</v>
      </c>
      <c r="CW42" s="35">
        <f t="shared" si="347"/>
        <v>1.05738410949707</v>
      </c>
      <c r="CX42" s="35">
        <f t="shared" si="348"/>
        <v>4.9925371308212618E-6</v>
      </c>
      <c r="CY42" s="35">
        <f t="shared" si="349"/>
        <v>1.05738410949707</v>
      </c>
      <c r="CZ42" s="35">
        <f t="shared" si="350"/>
        <v>1.0574028015136714</v>
      </c>
      <c r="DA42" s="35">
        <f t="shared" si="351"/>
        <v>1.0573934555053706</v>
      </c>
      <c r="DB42" s="35">
        <f t="shared" si="352"/>
        <v>-1.0578108057268665E-6</v>
      </c>
      <c r="DC42" s="35">
        <f t="shared" si="353"/>
        <v>1.05738410949707</v>
      </c>
      <c r="DD42" s="35">
        <f t="shared" si="354"/>
        <v>1.0573934555053706</v>
      </c>
      <c r="DE42" s="35">
        <f t="shared" si="355"/>
        <v>1.0573887825012203</v>
      </c>
      <c r="DF42" s="35">
        <f t="shared" si="356"/>
        <v>1.9673584197299476E-6</v>
      </c>
      <c r="DG42" s="35">
        <f t="shared" si="357"/>
        <v>1.0573887825012203</v>
      </c>
      <c r="DH42" s="35">
        <f t="shared" si="358"/>
        <v>1.0573934555053706</v>
      </c>
      <c r="DI42" s="35">
        <f t="shared" si="359"/>
        <v>1.0573911190032954</v>
      </c>
      <c r="DJ42" s="35">
        <f t="shared" si="360"/>
        <v>4.5477262133886143E-7</v>
      </c>
      <c r="DK42" s="35">
        <f t="shared" si="361"/>
        <v>1.0573911190032954</v>
      </c>
      <c r="DL42" s="35">
        <f t="shared" si="362"/>
        <v>1.0573934555053706</v>
      </c>
      <c r="DM42" s="35">
        <f t="shared" si="363"/>
        <v>1.0573922872543329</v>
      </c>
      <c r="DN42" s="35">
        <f t="shared" si="364"/>
        <v>-3.0151938856803895E-7</v>
      </c>
      <c r="DO42" s="35">
        <f t="shared" si="365"/>
        <v>1.0573911190032954</v>
      </c>
      <c r="DP42" s="35">
        <f t="shared" si="366"/>
        <v>1.0573922872543329</v>
      </c>
      <c r="DQ42" s="35">
        <f t="shared" si="367"/>
        <v>1.0573917031288143</v>
      </c>
      <c r="DR42" s="35">
        <f t="shared" si="368"/>
        <v>7.6626542222513194E-8</v>
      </c>
      <c r="DS42" s="35">
        <f t="shared" si="369"/>
        <v>1.0573917031288143</v>
      </c>
      <c r="DT42" s="35">
        <f t="shared" si="370"/>
        <v>1.0573922872543329</v>
      </c>
      <c r="DU42" s="35">
        <f t="shared" si="371"/>
        <v>1.0573919951915736</v>
      </c>
      <c r="DV42" s="35">
        <f t="shared" si="372"/>
        <v>-1.1244644171348739E-7</v>
      </c>
      <c r="DW42" s="35">
        <f t="shared" si="373"/>
        <v>1.0573917031288143</v>
      </c>
      <c r="DX42" s="35">
        <f t="shared" si="374"/>
        <v>1.0573919951915736</v>
      </c>
      <c r="DY42" s="35">
        <f t="shared" si="375"/>
        <v>1.0573918491601939</v>
      </c>
      <c r="DZ42" s="35">
        <f t="shared" si="376"/>
        <v>-1.79099544084238E-8</v>
      </c>
      <c r="EA42" s="35">
        <f t="shared" si="377"/>
        <v>1.0573917031288143</v>
      </c>
      <c r="EB42" s="35">
        <f t="shared" si="378"/>
        <v>1.0573918491601939</v>
      </c>
      <c r="EC42" s="35">
        <f t="shared" si="379"/>
        <v>1.0573917761445042</v>
      </c>
      <c r="ED42" s="35">
        <f t="shared" si="380"/>
        <v>2.935829268579937E-8</v>
      </c>
      <c r="EE42" s="35">
        <f t="shared" si="381"/>
        <v>1.0573917761445042</v>
      </c>
      <c r="EF42" s="35">
        <f t="shared" si="382"/>
        <v>1.0573918491601939</v>
      </c>
      <c r="EG42" s="35">
        <f t="shared" si="383"/>
        <v>1.0573918126523489</v>
      </c>
      <c r="EH42" s="35">
        <f t="shared" si="384"/>
        <v>5.7241689166431797E-9</v>
      </c>
      <c r="EI42" s="35">
        <f t="shared" si="385"/>
        <v>1.0573918126523489</v>
      </c>
      <c r="EJ42" s="35">
        <f t="shared" si="386"/>
        <v>1.0573918491601939</v>
      </c>
      <c r="EK42" s="35">
        <f t="shared" si="387"/>
        <v>1.0573918309062713</v>
      </c>
      <c r="EL42" s="35">
        <f t="shared" si="388"/>
        <v>-6.0928926348680079E-9</v>
      </c>
      <c r="EM42" s="35">
        <f t="shared" si="389"/>
        <v>1.0573918126523489</v>
      </c>
      <c r="EN42" s="35">
        <f t="shared" si="390"/>
        <v>1.0573918309062713</v>
      </c>
      <c r="EO42" s="35">
        <f t="shared" si="391"/>
        <v>1.0573918217793101</v>
      </c>
      <c r="EP42" s="35">
        <f t="shared" si="392"/>
        <v>-1.8436197013471656E-10</v>
      </c>
      <c r="EQ42" s="35">
        <f t="shared" si="393"/>
        <v>1.0573918126523489</v>
      </c>
      <c r="ER42" s="35">
        <f t="shared" si="394"/>
        <v>1.0573918217793101</v>
      </c>
      <c r="ES42" s="35">
        <f t="shared" si="395"/>
        <v>1.0573918172158296</v>
      </c>
      <c r="ET42" s="35">
        <f t="shared" si="396"/>
        <v>2.7699034177430804E-9</v>
      </c>
      <c r="EU42" s="35">
        <f t="shared" si="397"/>
        <v>1.0573918172158296</v>
      </c>
      <c r="EV42" s="35">
        <f t="shared" si="398"/>
        <v>1.0573918217793101</v>
      </c>
      <c r="EW42" s="35">
        <f t="shared" si="399"/>
        <v>1.0573918194975698</v>
      </c>
      <c r="EX42" s="35">
        <f t="shared" si="400"/>
        <v>1.2927707793153331E-9</v>
      </c>
      <c r="EY42" s="35">
        <f t="shared" si="401"/>
        <v>1.0573918194975698</v>
      </c>
      <c r="EZ42" s="35">
        <f t="shared" si="402"/>
        <v>1.0573918217793101</v>
      </c>
      <c r="FA42" s="10">
        <v>9.9999999999999995E-7</v>
      </c>
      <c r="FB42" s="10">
        <v>0.99990000000000001</v>
      </c>
      <c r="FC42" s="35">
        <f t="shared" si="403"/>
        <v>0.49995050000000002</v>
      </c>
      <c r="FD42" s="35">
        <f t="shared" si="404"/>
        <v>-0.24320936113443614</v>
      </c>
      <c r="FE42" s="35">
        <f t="shared" si="405"/>
        <v>9.9999999999999995E-7</v>
      </c>
      <c r="FF42" s="35">
        <f t="shared" si="406"/>
        <v>0.49995050000000002</v>
      </c>
      <c r="FG42" s="35">
        <f t="shared" si="407"/>
        <v>0.24997575</v>
      </c>
      <c r="FH42" s="35">
        <f t="shared" si="408"/>
        <v>-0.10998303444909863</v>
      </c>
      <c r="FI42" s="35">
        <f t="shared" si="409"/>
        <v>9.9999999999999995E-7</v>
      </c>
      <c r="FJ42" s="35">
        <f t="shared" si="410"/>
        <v>0.24997575</v>
      </c>
      <c r="FK42" s="35">
        <f t="shared" si="411"/>
        <v>0.124988375</v>
      </c>
      <c r="FL42" s="35">
        <f t="shared" si="412"/>
        <v>-4.4275267303020116E-2</v>
      </c>
      <c r="FM42" s="35">
        <f t="shared" si="413"/>
        <v>9.9999999999999995E-7</v>
      </c>
      <c r="FN42" s="35">
        <f t="shared" si="414"/>
        <v>0.124988375</v>
      </c>
      <c r="FO42" s="35">
        <f t="shared" si="415"/>
        <v>6.24946875E-2</v>
      </c>
      <c r="FP42" s="35">
        <f t="shared" si="416"/>
        <v>-1.2346969821587228E-2</v>
      </c>
      <c r="FQ42" s="35">
        <f t="shared" si="417"/>
        <v>9.9999999999999995E-7</v>
      </c>
      <c r="FR42" s="35">
        <f t="shared" si="418"/>
        <v>6.24946875E-2</v>
      </c>
      <c r="FS42" s="35">
        <f t="shared" si="419"/>
        <v>3.124784375E-2</v>
      </c>
      <c r="FT42" s="35">
        <f t="shared" si="420"/>
        <v>3.3180127973544415E-3</v>
      </c>
      <c r="FU42" s="35">
        <f t="shared" si="421"/>
        <v>3.124784375E-2</v>
      </c>
      <c r="FV42" s="35">
        <f t="shared" si="422"/>
        <v>6.24946875E-2</v>
      </c>
      <c r="FW42" s="35">
        <f t="shared" si="423"/>
        <v>4.6871265624999998E-2</v>
      </c>
      <c r="FX42" s="35">
        <f t="shared" si="424"/>
        <v>-4.4878554500902279E-3</v>
      </c>
      <c r="FY42" s="35">
        <f t="shared" si="425"/>
        <v>3.124784375E-2</v>
      </c>
      <c r="FZ42" s="35">
        <f t="shared" si="426"/>
        <v>4.6871265624999998E-2</v>
      </c>
      <c r="GA42" s="35">
        <f t="shared" si="427"/>
        <v>3.9059554687499998E-2</v>
      </c>
      <c r="GB42" s="35">
        <f t="shared" si="428"/>
        <v>-5.781492124693477E-4</v>
      </c>
      <c r="GC42" s="35">
        <f t="shared" si="429"/>
        <v>3.124784375E-2</v>
      </c>
      <c r="GD42" s="35">
        <f t="shared" si="430"/>
        <v>3.9059554687499998E-2</v>
      </c>
      <c r="GE42" s="35">
        <f t="shared" si="431"/>
        <v>3.5153699218750001E-2</v>
      </c>
      <c r="GF42" s="35">
        <f t="shared" si="432"/>
        <v>1.3716389436695398E-3</v>
      </c>
      <c r="GG42" s="35">
        <f t="shared" si="433"/>
        <v>3.5153699218750001E-2</v>
      </c>
      <c r="GH42" s="35">
        <f t="shared" si="434"/>
        <v>3.9059554687499998E-2</v>
      </c>
      <c r="GI42" s="35">
        <f t="shared" si="435"/>
        <v>3.7106626953124999E-2</v>
      </c>
      <c r="GJ42" s="35">
        <f t="shared" si="436"/>
        <v>3.9716990681593067E-4</v>
      </c>
      <c r="GK42" s="35">
        <f t="shared" si="437"/>
        <v>3.7106626953124999E-2</v>
      </c>
      <c r="GL42" s="35">
        <f t="shared" si="438"/>
        <v>3.9059554687499998E-2</v>
      </c>
      <c r="GM42" s="35">
        <f t="shared" si="439"/>
        <v>3.8083090820312498E-2</v>
      </c>
      <c r="GN42" s="35">
        <f t="shared" si="440"/>
        <v>-9.0383612486366616E-5</v>
      </c>
      <c r="GO42" s="35">
        <f t="shared" si="441"/>
        <v>3.7106626953124999E-2</v>
      </c>
      <c r="GP42" s="35">
        <f t="shared" si="442"/>
        <v>3.8083090820312498E-2</v>
      </c>
      <c r="GQ42" s="35">
        <f t="shared" si="443"/>
        <v>3.7594858886718749E-2</v>
      </c>
      <c r="GR42" s="35">
        <f t="shared" si="444"/>
        <v>1.5341968481852319E-4</v>
      </c>
      <c r="GS42" s="35">
        <f t="shared" si="445"/>
        <v>3.7594858886718749E-2</v>
      </c>
      <c r="GT42" s="35">
        <f t="shared" si="446"/>
        <v>3.8083090820312498E-2</v>
      </c>
      <c r="GU42" s="35">
        <f t="shared" si="447"/>
        <v>3.7838974853515624E-2</v>
      </c>
      <c r="GV42" s="35">
        <f t="shared" si="448"/>
        <v>3.1524667138072004E-5</v>
      </c>
      <c r="GW42" s="35">
        <f t="shared" si="449"/>
        <v>3.7838974853515624E-2</v>
      </c>
      <c r="GX42" s="35">
        <f t="shared" si="450"/>
        <v>3.8083090820312498E-2</v>
      </c>
      <c r="GY42" s="35">
        <f t="shared" si="451"/>
        <v>3.7961032836914058E-2</v>
      </c>
      <c r="GZ42" s="35">
        <f t="shared" si="452"/>
        <v>-2.9427815361748877E-5</v>
      </c>
      <c r="HA42" s="35">
        <f t="shared" si="453"/>
        <v>3.7838974853515624E-2</v>
      </c>
      <c r="HB42" s="35">
        <f t="shared" si="454"/>
        <v>3.7961032836914058E-2</v>
      </c>
      <c r="HC42" s="35">
        <f t="shared" si="455"/>
        <v>3.7900003845214844E-2</v>
      </c>
      <c r="HD42" s="35">
        <f t="shared" si="456"/>
        <v>1.0488402699682098E-6</v>
      </c>
      <c r="HE42" s="35">
        <f t="shared" si="457"/>
        <v>3.7900003845214844E-2</v>
      </c>
      <c r="HF42" s="35">
        <f t="shared" si="458"/>
        <v>3.7961032836914058E-2</v>
      </c>
      <c r="HG42" s="35">
        <f t="shared" si="459"/>
        <v>3.7930518341064451E-2</v>
      </c>
      <c r="HH42" s="35">
        <f t="shared" si="460"/>
        <v>-1.4189383957141644E-5</v>
      </c>
      <c r="HI42" s="35">
        <f t="shared" si="461"/>
        <v>3.7900003845214844E-2</v>
      </c>
      <c r="HJ42" s="35">
        <f t="shared" si="462"/>
        <v>3.7930518341064451E-2</v>
      </c>
      <c r="HK42" s="35">
        <f t="shared" si="463"/>
        <v>3.7915261093139647E-2</v>
      </c>
      <c r="HL42" s="35">
        <f t="shared" si="464"/>
        <v>-6.5702459454142215E-6</v>
      </c>
      <c r="HM42" s="35">
        <f t="shared" si="465"/>
        <v>3.7900003845214844E-2</v>
      </c>
      <c r="HN42" s="35">
        <f t="shared" si="466"/>
        <v>3.7915261093139647E-2</v>
      </c>
      <c r="HO42" s="35">
        <f t="shared" si="467"/>
        <v>3.7907632469177249E-2</v>
      </c>
      <c r="HP42" s="35">
        <f t="shared" si="468"/>
        <v>-2.7606963630688597E-6</v>
      </c>
      <c r="HQ42" s="35">
        <f t="shared" si="469"/>
        <v>3.7900003845214844E-2</v>
      </c>
      <c r="HR42" s="35">
        <f t="shared" si="470"/>
        <v>3.7907632469177249E-2</v>
      </c>
      <c r="HS42" s="35">
        <f t="shared" si="471"/>
        <v>3.7903818157196047E-2</v>
      </c>
      <c r="HT42" s="35">
        <f t="shared" si="472"/>
        <v>-8.5592642795617735E-7</v>
      </c>
      <c r="HU42" s="35">
        <f t="shared" si="473"/>
        <v>3.7900003845214844E-2</v>
      </c>
      <c r="HV42" s="35">
        <f t="shared" si="474"/>
        <v>3.7903818157196047E-2</v>
      </c>
      <c r="HW42" s="35">
        <f t="shared" si="475"/>
        <v>3.7901911001205449E-2</v>
      </c>
      <c r="HX42" s="35">
        <f t="shared" si="476"/>
        <v>9.6457325682308692E-8</v>
      </c>
      <c r="HY42" s="35">
        <f t="shared" si="477"/>
        <v>3.7901911001205449E-2</v>
      </c>
      <c r="HZ42" s="35">
        <f t="shared" si="478"/>
        <v>3.7903818157196047E-2</v>
      </c>
      <c r="IA42" s="35">
        <f t="shared" si="479"/>
        <v>3.7902864579200751E-2</v>
      </c>
      <c r="IB42" s="35">
        <f t="shared" si="480"/>
        <v>-3.7973444988459448E-7</v>
      </c>
      <c r="IC42" s="35">
        <f t="shared" si="481"/>
        <v>3.7901911001205449E-2</v>
      </c>
      <c r="ID42" s="35">
        <f t="shared" si="482"/>
        <v>3.7902864579200751E-2</v>
      </c>
      <c r="IE42" s="35">
        <f t="shared" si="483"/>
        <v>3.79023877902031E-2</v>
      </c>
      <c r="IF42" s="35">
        <f t="shared" si="484"/>
        <v>-1.4163853667703563E-7</v>
      </c>
      <c r="IG42" s="35">
        <f t="shared" si="485"/>
        <v>3.7901911001205449E-2</v>
      </c>
      <c r="IH42" s="35">
        <f t="shared" si="486"/>
        <v>3.79023877902031E-2</v>
      </c>
      <c r="II42" s="35">
        <f t="shared" si="487"/>
        <v>3.7902149395704271E-2</v>
      </c>
      <c r="IJ42" s="35">
        <f t="shared" si="488"/>
        <v>-2.2590599058069927E-8</v>
      </c>
      <c r="IK42" s="35">
        <f t="shared" si="489"/>
        <v>3.7901911001205449E-2</v>
      </c>
      <c r="IL42" s="35">
        <f t="shared" si="490"/>
        <v>3.7902149395704271E-2</v>
      </c>
      <c r="IM42" s="35">
        <f t="shared" si="491"/>
        <v>3.790203019845486E-2</v>
      </c>
      <c r="IN42" s="35">
        <f t="shared" si="492"/>
        <v>3.6933365032965071E-8</v>
      </c>
      <c r="IO42" s="35">
        <f t="shared" si="493"/>
        <v>3.790203019845486E-2</v>
      </c>
      <c r="IP42" s="35">
        <f t="shared" si="494"/>
        <v>3.7902149395704271E-2</v>
      </c>
      <c r="IQ42" s="35">
        <f t="shared" si="495"/>
        <v>3.7902089797079569E-2</v>
      </c>
      <c r="IR42" s="35">
        <f t="shared" si="496"/>
        <v>7.1713832650033282E-9</v>
      </c>
      <c r="IS42" s="35">
        <f t="shared" si="497"/>
        <v>3.7902089797079569E-2</v>
      </c>
      <c r="IT42" s="35">
        <f t="shared" si="498"/>
        <v>3.7902149395704271E-2</v>
      </c>
      <c r="IU42" s="35">
        <f t="shared" si="499"/>
        <v>3.790211959639192E-2</v>
      </c>
      <c r="IV42" s="35">
        <f t="shared" si="500"/>
        <v>-7.709607841022148E-9</v>
      </c>
      <c r="IW42" s="35">
        <f t="shared" si="501"/>
        <v>3.7902089797079569E-2</v>
      </c>
      <c r="IX42" s="35">
        <f t="shared" si="502"/>
        <v>3.790211959639192E-2</v>
      </c>
      <c r="IY42" s="35">
        <f t="shared" si="503"/>
        <v>3.7902104696735744E-2</v>
      </c>
      <c r="IZ42" s="35">
        <f t="shared" si="504"/>
        <v>-2.6911217698710743E-10</v>
      </c>
      <c r="JA42" s="35">
        <f t="shared" si="505"/>
        <v>3.7902089797079569E-2</v>
      </c>
      <c r="JB42" s="35">
        <f t="shared" si="506"/>
        <v>3.7902104696735744E-2</v>
      </c>
      <c r="JC42" s="35">
        <f t="shared" si="507"/>
        <v>3.7902097246907657E-2</v>
      </c>
      <c r="JD42" s="35">
        <f t="shared" si="508"/>
        <v>3.4511355995192616E-9</v>
      </c>
      <c r="JE42" s="35">
        <f t="shared" si="509"/>
        <v>3.7902097246907657E-2</v>
      </c>
      <c r="JF42" s="35">
        <f t="shared" si="510"/>
        <v>3.7902104696735744E-2</v>
      </c>
      <c r="JG42" s="35">
        <f t="shared" si="511"/>
        <v>3.7902100971821701E-2</v>
      </c>
      <c r="JH42" s="35">
        <f t="shared" si="512"/>
        <v>1.5910115447326234E-9</v>
      </c>
      <c r="JI42" s="35">
        <f t="shared" si="513"/>
        <v>3.7902100971821701E-2</v>
      </c>
      <c r="JJ42" s="35">
        <f t="shared" si="514"/>
        <v>3.7902104696735744E-2</v>
      </c>
      <c r="JK42" s="35">
        <f t="shared" si="515"/>
        <v>3.7902102834278723E-2</v>
      </c>
      <c r="JL42" s="35">
        <f t="shared" si="516"/>
        <v>6.6094951733930429E-10</v>
      </c>
      <c r="JM42" s="35">
        <f t="shared" si="517"/>
        <v>3.7902102834278723E-2</v>
      </c>
      <c r="JN42" s="35">
        <f t="shared" si="518"/>
        <v>3.7902104696735744E-2</v>
      </c>
      <c r="JO42" s="35">
        <f t="shared" si="519"/>
        <v>3.7902103765507233E-2</v>
      </c>
      <c r="JP42" s="35">
        <f t="shared" si="520"/>
        <v>1.9591883670955212E-10</v>
      </c>
      <c r="JQ42" s="35">
        <f t="shared" si="521"/>
        <v>3.7902103765507233E-2</v>
      </c>
      <c r="JR42" s="35">
        <f t="shared" si="522"/>
        <v>3.7902104696735744E-2</v>
      </c>
      <c r="JS42" s="35">
        <f t="shared" si="523"/>
        <v>3.7902104231121489E-2</v>
      </c>
      <c r="JT42" s="35">
        <f t="shared" si="524"/>
        <v>-3.6596725649928885E-11</v>
      </c>
      <c r="JU42" s="35">
        <f t="shared" si="525"/>
        <v>3.7902103765507233E-2</v>
      </c>
      <c r="JV42" s="35">
        <f t="shared" si="526"/>
        <v>3.7902104231121489E-2</v>
      </c>
      <c r="JW42" s="35">
        <f t="shared" si="527"/>
        <v>3.7902103998314361E-2</v>
      </c>
      <c r="JX42" s="35">
        <f t="shared" si="528"/>
        <v>7.9661166552114082E-11</v>
      </c>
      <c r="JY42" s="35">
        <f t="shared" si="529"/>
        <v>3.7902103998314361E-2</v>
      </c>
      <c r="JZ42" s="35">
        <f t="shared" si="530"/>
        <v>3.7902104231121489E-2</v>
      </c>
      <c r="KA42" s="35">
        <f t="shared" si="531"/>
        <v>1.0573918206384398</v>
      </c>
      <c r="KB42" s="35">
        <f t="shared" si="532"/>
        <v>3.7902104114717922E-2</v>
      </c>
    </row>
    <row r="43" spans="1:288" ht="15" customHeight="1" x14ac:dyDescent="0.3">
      <c r="A43" s="30">
        <f>Odds_Input!A43</f>
        <v>35</v>
      </c>
      <c r="B43" s="7" t="str">
        <f>Odds_Input!B43</f>
        <v>CONF_EAST</v>
      </c>
      <c r="C43" s="7" t="str">
        <f>Odds_Input!C43</f>
        <v>Cleveland Cavaliers</v>
      </c>
      <c r="D43" s="7" t="str">
        <f>Odds_Input!D43</f>
        <v>YES</v>
      </c>
      <c r="E43" s="31" t="str">
        <f>Odds_Input!E43</f>
        <v>-</v>
      </c>
      <c r="F43" s="32">
        <f>Odds_Input!F43</f>
        <v>900</v>
      </c>
      <c r="G43" s="6" t="str">
        <f t="shared" si="0"/>
        <v>CONF_EAST</v>
      </c>
      <c r="H43" s="14">
        <f t="shared" si="1"/>
        <v>10</v>
      </c>
      <c r="I43" s="33">
        <f t="shared" si="2"/>
        <v>0.1</v>
      </c>
      <c r="J43" s="17">
        <f t="shared" si="3"/>
        <v>1</v>
      </c>
      <c r="K43" s="17">
        <f t="shared" si="4"/>
        <v>15</v>
      </c>
      <c r="L43" s="18">
        <f t="shared" si="5"/>
        <v>1.2088752212862357</v>
      </c>
      <c r="M43" s="34">
        <f t="shared" si="6"/>
        <v>0.2088752212862357</v>
      </c>
      <c r="N43" s="33">
        <f t="shared" si="7"/>
        <v>8.2721523478329409E-2</v>
      </c>
      <c r="O43" s="33">
        <f t="shared" si="8"/>
        <v>8.1291994981658969E-2</v>
      </c>
      <c r="P43" s="33">
        <f t="shared" si="9"/>
        <v>8.3128087470530479E-2</v>
      </c>
      <c r="Q43" s="33">
        <f t="shared" si="10"/>
        <v>8.3128087470530479E-2</v>
      </c>
      <c r="R43" s="35">
        <f t="shared" si="11"/>
        <v>1.0899522183230146</v>
      </c>
      <c r="S43" s="35">
        <f t="shared" si="12"/>
        <v>1.7868178675567389E-2</v>
      </c>
      <c r="X43" s="6" t="s">
        <v>818</v>
      </c>
      <c r="Y43" s="6">
        <f t="shared" si="273"/>
        <v>1</v>
      </c>
      <c r="Z43" s="18">
        <f t="shared" si="274"/>
        <v>1.0470788428814521</v>
      </c>
      <c r="AA43" s="10">
        <v>0.2</v>
      </c>
      <c r="AB43" s="10">
        <v>10</v>
      </c>
      <c r="AC43" s="35">
        <f t="shared" si="275"/>
        <v>5.0999999999999996</v>
      </c>
      <c r="AD43" s="35">
        <f t="shared" si="276"/>
        <v>-0.92590326122907141</v>
      </c>
      <c r="AE43" s="35">
        <f t="shared" si="277"/>
        <v>0.2</v>
      </c>
      <c r="AF43" s="35">
        <f t="shared" si="278"/>
        <v>5.0999999999999996</v>
      </c>
      <c r="AG43" s="35">
        <f t="shared" si="279"/>
        <v>2.65</v>
      </c>
      <c r="AH43" s="35">
        <f t="shared" si="280"/>
        <v>-0.63967744874956778</v>
      </c>
      <c r="AI43" s="35">
        <f t="shared" si="281"/>
        <v>0.2</v>
      </c>
      <c r="AJ43" s="35">
        <f t="shared" si="282"/>
        <v>2.65</v>
      </c>
      <c r="AK43" s="35">
        <f t="shared" si="283"/>
        <v>1.425</v>
      </c>
      <c r="AL43" s="35">
        <f t="shared" si="284"/>
        <v>-0.20458345686739732</v>
      </c>
      <c r="AM43" s="35">
        <f t="shared" si="285"/>
        <v>0.2</v>
      </c>
      <c r="AN43" s="35">
        <f t="shared" si="286"/>
        <v>1.425</v>
      </c>
      <c r="AO43" s="35">
        <f t="shared" si="287"/>
        <v>0.8125</v>
      </c>
      <c r="AP43" s="35">
        <f t="shared" si="288"/>
        <v>0.18211802588758319</v>
      </c>
      <c r="AQ43" s="35">
        <f t="shared" si="289"/>
        <v>0.8125</v>
      </c>
      <c r="AR43" s="35">
        <f t="shared" si="290"/>
        <v>1.425</v>
      </c>
      <c r="AS43" s="35">
        <f t="shared" si="291"/>
        <v>1.1187499999999999</v>
      </c>
      <c r="AT43" s="35">
        <f t="shared" si="292"/>
        <v>-3.0342926483008625E-2</v>
      </c>
      <c r="AU43" s="35">
        <f t="shared" si="293"/>
        <v>0.8125</v>
      </c>
      <c r="AV43" s="35">
        <f t="shared" si="294"/>
        <v>1.1187499999999999</v>
      </c>
      <c r="AW43" s="35">
        <f t="shared" si="295"/>
        <v>0.96562499999999996</v>
      </c>
      <c r="AX43" s="35">
        <f t="shared" si="296"/>
        <v>7.0624345005433353E-2</v>
      </c>
      <c r="AY43" s="35">
        <f t="shared" si="297"/>
        <v>0.96562499999999996</v>
      </c>
      <c r="AZ43" s="35">
        <f t="shared" si="298"/>
        <v>1.1187499999999999</v>
      </c>
      <c r="BA43" s="35">
        <f t="shared" si="299"/>
        <v>1.0421874999999998</v>
      </c>
      <c r="BB43" s="35">
        <f t="shared" si="300"/>
        <v>1.8889401534555095E-2</v>
      </c>
      <c r="BC43" s="35">
        <f t="shared" si="301"/>
        <v>1.0421874999999998</v>
      </c>
      <c r="BD43" s="35">
        <f t="shared" si="302"/>
        <v>1.1187499999999999</v>
      </c>
      <c r="BE43" s="35">
        <f t="shared" si="303"/>
        <v>1.0804687499999999</v>
      </c>
      <c r="BF43" s="35">
        <f t="shared" si="304"/>
        <v>-6.0318739009772582E-3</v>
      </c>
      <c r="BG43" s="35">
        <f t="shared" si="305"/>
        <v>1.0421874999999998</v>
      </c>
      <c r="BH43" s="35">
        <f t="shared" si="306"/>
        <v>1.0804687499999999</v>
      </c>
      <c r="BI43" s="35">
        <f t="shared" si="307"/>
        <v>1.0613281249999997</v>
      </c>
      <c r="BJ43" s="35">
        <f t="shared" si="308"/>
        <v>6.3515364796720153E-3</v>
      </c>
      <c r="BK43" s="35">
        <f t="shared" si="309"/>
        <v>1.0613281249999997</v>
      </c>
      <c r="BL43" s="35">
        <f t="shared" si="310"/>
        <v>1.0804687499999999</v>
      </c>
      <c r="BM43" s="35">
        <f t="shared" si="311"/>
        <v>1.0708984374999999</v>
      </c>
      <c r="BN43" s="35">
        <f t="shared" si="312"/>
        <v>1.4064406221159231E-4</v>
      </c>
      <c r="BO43" s="35">
        <f t="shared" si="313"/>
        <v>1.0708984374999999</v>
      </c>
      <c r="BP43" s="35">
        <f t="shared" si="314"/>
        <v>1.0804687499999999</v>
      </c>
      <c r="BQ43" s="35">
        <f t="shared" si="315"/>
        <v>1.07568359375</v>
      </c>
      <c r="BR43" s="35">
        <f t="shared" si="316"/>
        <v>-2.9503968564081884E-3</v>
      </c>
      <c r="BS43" s="35">
        <f t="shared" si="317"/>
        <v>1.0708984374999999</v>
      </c>
      <c r="BT43" s="35">
        <f t="shared" si="318"/>
        <v>1.07568359375</v>
      </c>
      <c r="BU43" s="35">
        <f t="shared" si="319"/>
        <v>1.073291015625</v>
      </c>
      <c r="BV43" s="35">
        <f t="shared" si="320"/>
        <v>-1.4060737364669507E-3</v>
      </c>
      <c r="BW43" s="35">
        <f t="shared" si="321"/>
        <v>1.0708984374999999</v>
      </c>
      <c r="BX43" s="35">
        <f t="shared" si="322"/>
        <v>1.073291015625</v>
      </c>
      <c r="BY43" s="35">
        <f t="shared" si="323"/>
        <v>1.0720947265624998</v>
      </c>
      <c r="BZ43" s="35">
        <f t="shared" si="324"/>
        <v>-6.330144041740704E-4</v>
      </c>
      <c r="CA43" s="35">
        <f t="shared" si="325"/>
        <v>1.0708984374999999</v>
      </c>
      <c r="CB43" s="35">
        <f t="shared" si="326"/>
        <v>1.0720947265624998</v>
      </c>
      <c r="CC43" s="35">
        <f t="shared" si="327"/>
        <v>1.0714965820312499</v>
      </c>
      <c r="CD43" s="35">
        <f t="shared" si="328"/>
        <v>-2.4626009178807529E-4</v>
      </c>
      <c r="CE43" s="35">
        <f t="shared" si="329"/>
        <v>1.0708984374999999</v>
      </c>
      <c r="CF43" s="35">
        <f t="shared" si="330"/>
        <v>1.0714965820312499</v>
      </c>
      <c r="CG43" s="35">
        <f t="shared" si="331"/>
        <v>1.071197509765625</v>
      </c>
      <c r="CH43" s="35">
        <f t="shared" si="332"/>
        <v>-5.2826748621948028E-5</v>
      </c>
      <c r="CI43" s="35">
        <f t="shared" si="333"/>
        <v>1.0708984374999999</v>
      </c>
      <c r="CJ43" s="35">
        <f t="shared" si="334"/>
        <v>1.071197509765625</v>
      </c>
      <c r="CK43" s="35">
        <f t="shared" si="335"/>
        <v>1.0710479736328125</v>
      </c>
      <c r="CL43" s="35">
        <f t="shared" si="336"/>
        <v>4.3903972882342046E-5</v>
      </c>
      <c r="CM43" s="35">
        <f t="shared" si="337"/>
        <v>1.0710479736328125</v>
      </c>
      <c r="CN43" s="35">
        <f t="shared" si="338"/>
        <v>1.071197509765625</v>
      </c>
      <c r="CO43" s="35">
        <f t="shared" si="339"/>
        <v>1.0711227416992188</v>
      </c>
      <c r="CP43" s="35">
        <f t="shared" si="340"/>
        <v>-4.4625587911628628E-6</v>
      </c>
      <c r="CQ43" s="35">
        <f t="shared" si="341"/>
        <v>1.0710479736328125</v>
      </c>
      <c r="CR43" s="35">
        <f t="shared" si="342"/>
        <v>1.0711227416992188</v>
      </c>
      <c r="CS43" s="35">
        <f t="shared" si="343"/>
        <v>1.0710853576660155</v>
      </c>
      <c r="CT43" s="35">
        <f t="shared" si="344"/>
        <v>1.9720414308199707E-5</v>
      </c>
      <c r="CU43" s="35">
        <f t="shared" si="345"/>
        <v>1.0710853576660155</v>
      </c>
      <c r="CV43" s="35">
        <f t="shared" si="346"/>
        <v>1.0711227416992188</v>
      </c>
      <c r="CW43" s="35">
        <f t="shared" si="347"/>
        <v>1.0711040496826172</v>
      </c>
      <c r="CX43" s="35">
        <f t="shared" si="348"/>
        <v>7.6288545749481074E-6</v>
      </c>
      <c r="CY43" s="35">
        <f t="shared" si="349"/>
        <v>1.0711040496826172</v>
      </c>
      <c r="CZ43" s="35">
        <f t="shared" si="350"/>
        <v>1.0711227416992188</v>
      </c>
      <c r="DA43" s="35">
        <f t="shared" si="351"/>
        <v>1.071113395690918</v>
      </c>
      <c r="DB43" s="35">
        <f t="shared" si="352"/>
        <v>1.5831295960833103E-6</v>
      </c>
      <c r="DC43" s="35">
        <f t="shared" si="353"/>
        <v>1.071113395690918</v>
      </c>
      <c r="DD43" s="35">
        <f t="shared" si="354"/>
        <v>1.0711227416992188</v>
      </c>
      <c r="DE43" s="35">
        <f t="shared" si="355"/>
        <v>1.0711180686950685</v>
      </c>
      <c r="DF43" s="35">
        <f t="shared" si="356"/>
        <v>-1.4397191714365931E-6</v>
      </c>
      <c r="DG43" s="35">
        <f t="shared" si="357"/>
        <v>1.071113395690918</v>
      </c>
      <c r="DH43" s="35">
        <f t="shared" si="358"/>
        <v>1.0711180686950685</v>
      </c>
      <c r="DI43" s="35">
        <f t="shared" si="359"/>
        <v>1.0711157321929932</v>
      </c>
      <c r="DJ43" s="35">
        <f t="shared" si="360"/>
        <v>7.1704068904665519E-8</v>
      </c>
      <c r="DK43" s="35">
        <f t="shared" si="361"/>
        <v>1.0711157321929932</v>
      </c>
      <c r="DL43" s="35">
        <f t="shared" si="362"/>
        <v>1.0711180686950685</v>
      </c>
      <c r="DM43" s="35">
        <f t="shared" si="363"/>
        <v>1.0711169004440309</v>
      </c>
      <c r="DN43" s="35">
        <f t="shared" si="364"/>
        <v>-6.8400783725941494E-7</v>
      </c>
      <c r="DO43" s="35">
        <f t="shared" si="365"/>
        <v>1.0711157321929932</v>
      </c>
      <c r="DP43" s="35">
        <f t="shared" si="366"/>
        <v>1.0711169004440309</v>
      </c>
      <c r="DQ43" s="35">
        <f t="shared" si="367"/>
        <v>1.071116316318512</v>
      </c>
      <c r="DR43" s="35">
        <f t="shared" si="368"/>
        <v>-3.0615195556471519E-7</v>
      </c>
      <c r="DS43" s="35">
        <f t="shared" si="369"/>
        <v>1.0711157321929932</v>
      </c>
      <c r="DT43" s="35">
        <f t="shared" si="370"/>
        <v>1.071116316318512</v>
      </c>
      <c r="DU43" s="35">
        <f t="shared" si="371"/>
        <v>1.0711160242557525</v>
      </c>
      <c r="DV43" s="35">
        <f t="shared" si="372"/>
        <v>-1.1722396109359323E-7</v>
      </c>
      <c r="DW43" s="35">
        <f t="shared" si="373"/>
        <v>1.0711157321929932</v>
      </c>
      <c r="DX43" s="35">
        <f t="shared" si="374"/>
        <v>1.0711160242557525</v>
      </c>
      <c r="DY43" s="35">
        <f t="shared" si="375"/>
        <v>1.0711158782243728</v>
      </c>
      <c r="DZ43" s="35">
        <f t="shared" si="376"/>
        <v>-2.2759950590867106E-8</v>
      </c>
      <c r="EA43" s="35">
        <f t="shared" si="377"/>
        <v>1.0711157321929932</v>
      </c>
      <c r="EB43" s="35">
        <f t="shared" si="378"/>
        <v>1.0711158782243728</v>
      </c>
      <c r="EC43" s="35">
        <f t="shared" si="379"/>
        <v>1.0711158052086831</v>
      </c>
      <c r="ED43" s="35">
        <f t="shared" si="380"/>
        <v>2.4472057935653879E-8</v>
      </c>
      <c r="EE43" s="35">
        <f t="shared" si="381"/>
        <v>1.0711158052086831</v>
      </c>
      <c r="EF43" s="35">
        <f t="shared" si="382"/>
        <v>1.0711158782243728</v>
      </c>
      <c r="EG43" s="35">
        <f t="shared" si="383"/>
        <v>1.0711158417165279</v>
      </c>
      <c r="EH43" s="35">
        <f t="shared" si="384"/>
        <v>8.5605345034878155E-10</v>
      </c>
      <c r="EI43" s="35">
        <f t="shared" si="385"/>
        <v>1.0711158417165279</v>
      </c>
      <c r="EJ43" s="35">
        <f t="shared" si="386"/>
        <v>1.0711158782243728</v>
      </c>
      <c r="EK43" s="35">
        <f t="shared" si="387"/>
        <v>1.0711158599704502</v>
      </c>
      <c r="EL43" s="35">
        <f t="shared" si="388"/>
        <v>-1.0951948570259162E-8</v>
      </c>
      <c r="EM43" s="35">
        <f t="shared" si="389"/>
        <v>1.0711158417165279</v>
      </c>
      <c r="EN43" s="35">
        <f t="shared" si="390"/>
        <v>1.0711158599704502</v>
      </c>
      <c r="EO43" s="35">
        <f t="shared" si="391"/>
        <v>1.071115850843489</v>
      </c>
      <c r="EP43" s="35">
        <f t="shared" si="392"/>
        <v>-5.0479476154663416E-9</v>
      </c>
      <c r="EQ43" s="35">
        <f t="shared" si="393"/>
        <v>1.0711158417165279</v>
      </c>
      <c r="ER43" s="35">
        <f t="shared" si="394"/>
        <v>1.071115850843489</v>
      </c>
      <c r="ES43" s="35">
        <f t="shared" si="395"/>
        <v>1.0711158462800086</v>
      </c>
      <c r="ET43" s="35">
        <f t="shared" si="396"/>
        <v>-2.0959471935810825E-9</v>
      </c>
      <c r="EU43" s="35">
        <f t="shared" si="397"/>
        <v>1.0711158417165279</v>
      </c>
      <c r="EV43" s="35">
        <f t="shared" si="398"/>
        <v>1.0711158462800086</v>
      </c>
      <c r="EW43" s="35">
        <f t="shared" si="399"/>
        <v>1.0711158439982682</v>
      </c>
      <c r="EX43" s="35">
        <f t="shared" si="400"/>
        <v>-6.1994676059384801E-10</v>
      </c>
      <c r="EY43" s="35">
        <f t="shared" si="401"/>
        <v>1.0711158417165279</v>
      </c>
      <c r="EZ43" s="35">
        <f t="shared" si="402"/>
        <v>1.0711158439982682</v>
      </c>
      <c r="FA43" s="10">
        <v>9.9999999999999995E-7</v>
      </c>
      <c r="FB43" s="10">
        <v>0.99990000000000001</v>
      </c>
      <c r="FC43" s="35">
        <f t="shared" si="403"/>
        <v>0.49995050000000002</v>
      </c>
      <c r="FD43" s="35">
        <f t="shared" si="404"/>
        <v>-0.24086136856262763</v>
      </c>
      <c r="FE43" s="35">
        <f t="shared" si="405"/>
        <v>9.9999999999999995E-7</v>
      </c>
      <c r="FF43" s="35">
        <f t="shared" si="406"/>
        <v>0.49995050000000002</v>
      </c>
      <c r="FG43" s="35">
        <f t="shared" si="407"/>
        <v>0.24997575</v>
      </c>
      <c r="FH43" s="35">
        <f t="shared" si="408"/>
        <v>-0.10561327555086264</v>
      </c>
      <c r="FI43" s="35">
        <f t="shared" si="409"/>
        <v>9.9999999999999995E-7</v>
      </c>
      <c r="FJ43" s="35">
        <f t="shared" si="410"/>
        <v>0.24997575</v>
      </c>
      <c r="FK43" s="35">
        <f t="shared" si="411"/>
        <v>0.124988375</v>
      </c>
      <c r="FL43" s="35">
        <f t="shared" si="412"/>
        <v>-3.9638041010535141E-2</v>
      </c>
      <c r="FM43" s="35">
        <f t="shared" si="413"/>
        <v>9.9999999999999995E-7</v>
      </c>
      <c r="FN43" s="35">
        <f t="shared" si="414"/>
        <v>0.124988375</v>
      </c>
      <c r="FO43" s="35">
        <f t="shared" si="415"/>
        <v>6.24946875E-2</v>
      </c>
      <c r="FP43" s="35">
        <f t="shared" si="416"/>
        <v>-7.7349932585346615E-3</v>
      </c>
      <c r="FQ43" s="35">
        <f t="shared" si="417"/>
        <v>9.9999999999999995E-7</v>
      </c>
      <c r="FR43" s="35">
        <f t="shared" si="418"/>
        <v>6.24946875E-2</v>
      </c>
      <c r="FS43" s="35">
        <f t="shared" si="419"/>
        <v>3.124784375E-2</v>
      </c>
      <c r="FT43" s="35">
        <f t="shared" si="420"/>
        <v>7.8856161408691339E-3</v>
      </c>
      <c r="FU43" s="35">
        <f t="shared" si="421"/>
        <v>3.124784375E-2</v>
      </c>
      <c r="FV43" s="35">
        <f t="shared" si="422"/>
        <v>6.24946875E-2</v>
      </c>
      <c r="FW43" s="35">
        <f t="shared" si="423"/>
        <v>4.6871265624999998E-2</v>
      </c>
      <c r="FX43" s="35">
        <f t="shared" si="424"/>
        <v>1.0432361907253274E-4</v>
      </c>
      <c r="FY43" s="35">
        <f t="shared" si="425"/>
        <v>4.6871265624999998E-2</v>
      </c>
      <c r="FZ43" s="35">
        <f t="shared" si="426"/>
        <v>6.24946875E-2</v>
      </c>
      <c r="GA43" s="35">
        <f t="shared" si="427"/>
        <v>5.4682976562499999E-2</v>
      </c>
      <c r="GB43" s="35">
        <f t="shared" si="428"/>
        <v>-3.8081807415185631E-3</v>
      </c>
      <c r="GC43" s="35">
        <f t="shared" si="429"/>
        <v>4.6871265624999998E-2</v>
      </c>
      <c r="GD43" s="35">
        <f t="shared" si="430"/>
        <v>5.4682976562499999E-2</v>
      </c>
      <c r="GE43" s="35">
        <f t="shared" si="431"/>
        <v>5.0777121093750002E-2</v>
      </c>
      <c r="GF43" s="35">
        <f t="shared" si="432"/>
        <v>-1.8501273722790756E-3</v>
      </c>
      <c r="GG43" s="35">
        <f t="shared" si="433"/>
        <v>4.6871265624999998E-2</v>
      </c>
      <c r="GH43" s="35">
        <f t="shared" si="434"/>
        <v>5.0777121093750002E-2</v>
      </c>
      <c r="GI43" s="35">
        <f t="shared" si="435"/>
        <v>4.8824193359375004E-2</v>
      </c>
      <c r="GJ43" s="35">
        <f t="shared" si="436"/>
        <v>-8.7245002193159227E-4</v>
      </c>
      <c r="GK43" s="35">
        <f t="shared" si="437"/>
        <v>4.6871265624999998E-2</v>
      </c>
      <c r="GL43" s="35">
        <f t="shared" si="438"/>
        <v>4.8824193359375004E-2</v>
      </c>
      <c r="GM43" s="35">
        <f t="shared" si="439"/>
        <v>4.7847729492187505E-2</v>
      </c>
      <c r="GN43" s="35">
        <f t="shared" si="440"/>
        <v>-3.8395004471636351E-4</v>
      </c>
      <c r="GO43" s="35">
        <f t="shared" si="441"/>
        <v>4.6871265624999998E-2</v>
      </c>
      <c r="GP43" s="35">
        <f t="shared" si="442"/>
        <v>4.7847729492187505E-2</v>
      </c>
      <c r="GQ43" s="35">
        <f t="shared" si="443"/>
        <v>4.7359497558593755E-2</v>
      </c>
      <c r="GR43" s="35">
        <f t="shared" si="444"/>
        <v>-1.3978489961485874E-4</v>
      </c>
      <c r="GS43" s="35">
        <f t="shared" si="445"/>
        <v>4.6871265624999998E-2</v>
      </c>
      <c r="GT43" s="35">
        <f t="shared" si="446"/>
        <v>4.7359497558593755E-2</v>
      </c>
      <c r="GU43" s="35">
        <f t="shared" si="447"/>
        <v>4.7115381591796873E-2</v>
      </c>
      <c r="GV43" s="35">
        <f t="shared" si="448"/>
        <v>-1.772355897211586E-5</v>
      </c>
      <c r="GW43" s="35">
        <f t="shared" si="449"/>
        <v>4.6871265624999998E-2</v>
      </c>
      <c r="GX43" s="35">
        <f t="shared" si="450"/>
        <v>4.7115381591796873E-2</v>
      </c>
      <c r="GY43" s="35">
        <f t="shared" si="451"/>
        <v>4.6993323608398432E-2</v>
      </c>
      <c r="GZ43" s="35">
        <f t="shared" si="452"/>
        <v>4.3301800749295793E-5</v>
      </c>
      <c r="HA43" s="35">
        <f t="shared" si="453"/>
        <v>4.6993323608398432E-2</v>
      </c>
      <c r="HB43" s="35">
        <f t="shared" si="454"/>
        <v>4.7115381591796873E-2</v>
      </c>
      <c r="HC43" s="35">
        <f t="shared" si="455"/>
        <v>4.7054352600097653E-2</v>
      </c>
      <c r="HD43" s="35">
        <f t="shared" si="456"/>
        <v>1.278956351646876E-5</v>
      </c>
      <c r="HE43" s="35">
        <f t="shared" si="457"/>
        <v>4.7054352600097653E-2</v>
      </c>
      <c r="HF43" s="35">
        <f t="shared" si="458"/>
        <v>4.7115381591796873E-2</v>
      </c>
      <c r="HG43" s="35">
        <f t="shared" si="459"/>
        <v>4.7084867095947266E-2</v>
      </c>
      <c r="HH43" s="35">
        <f t="shared" si="460"/>
        <v>-2.4668870767241557E-6</v>
      </c>
      <c r="HI43" s="35">
        <f t="shared" si="461"/>
        <v>4.7054352600097653E-2</v>
      </c>
      <c r="HJ43" s="35">
        <f t="shared" si="462"/>
        <v>4.7084867095947266E-2</v>
      </c>
      <c r="HK43" s="35">
        <f t="shared" si="463"/>
        <v>4.7069609848022456E-2</v>
      </c>
      <c r="HL43" s="35">
        <f t="shared" si="464"/>
        <v>5.1613658835769627E-6</v>
      </c>
      <c r="HM43" s="35">
        <f t="shared" si="465"/>
        <v>4.7069609848022456E-2</v>
      </c>
      <c r="HN43" s="35">
        <f t="shared" si="466"/>
        <v>4.7084867095947266E-2</v>
      </c>
      <c r="HO43" s="35">
        <f t="shared" si="467"/>
        <v>4.7077238471984861E-2</v>
      </c>
      <c r="HP43" s="35">
        <f t="shared" si="468"/>
        <v>1.3472463189501127E-6</v>
      </c>
      <c r="HQ43" s="35">
        <f t="shared" si="469"/>
        <v>4.7077238471984861E-2</v>
      </c>
      <c r="HR43" s="35">
        <f t="shared" si="470"/>
        <v>4.7084867095947266E-2</v>
      </c>
      <c r="HS43" s="35">
        <f t="shared" si="471"/>
        <v>4.7081052783966064E-2</v>
      </c>
      <c r="HT43" s="35">
        <f t="shared" si="472"/>
        <v>-5.5981864988119412E-7</v>
      </c>
      <c r="HU43" s="35">
        <f t="shared" si="473"/>
        <v>4.7077238471984861E-2</v>
      </c>
      <c r="HV43" s="35">
        <f t="shared" si="474"/>
        <v>4.7081052783966064E-2</v>
      </c>
      <c r="HW43" s="35">
        <f t="shared" si="475"/>
        <v>4.7079145627975466E-2</v>
      </c>
      <c r="HX43" s="35">
        <f t="shared" si="476"/>
        <v>3.9371426696632739E-7</v>
      </c>
      <c r="HY43" s="35">
        <f t="shared" si="477"/>
        <v>4.7079145627975466E-2</v>
      </c>
      <c r="HZ43" s="35">
        <f t="shared" si="478"/>
        <v>4.7081052783966064E-2</v>
      </c>
      <c r="IA43" s="35">
        <f t="shared" si="479"/>
        <v>4.7080099205970768E-2</v>
      </c>
      <c r="IB43" s="35">
        <f t="shared" si="480"/>
        <v>-8.305208343273307E-8</v>
      </c>
      <c r="IC43" s="35">
        <f t="shared" si="481"/>
        <v>4.7079145627975466E-2</v>
      </c>
      <c r="ID43" s="35">
        <f t="shared" si="482"/>
        <v>4.7080099205970768E-2</v>
      </c>
      <c r="IE43" s="35">
        <f t="shared" si="483"/>
        <v>4.7079622416973117E-2</v>
      </c>
      <c r="IF43" s="35">
        <f t="shared" si="484"/>
        <v>1.5533111885623896E-7</v>
      </c>
      <c r="IG43" s="35">
        <f t="shared" si="485"/>
        <v>4.7079622416973117E-2</v>
      </c>
      <c r="IH43" s="35">
        <f t="shared" si="486"/>
        <v>4.7080099205970768E-2</v>
      </c>
      <c r="II43" s="35">
        <f t="shared" si="487"/>
        <v>4.7079860811471946E-2</v>
      </c>
      <c r="IJ43" s="35">
        <f t="shared" si="488"/>
        <v>3.6139524484113394E-8</v>
      </c>
      <c r="IK43" s="35">
        <f t="shared" si="489"/>
        <v>4.7079860811471946E-2</v>
      </c>
      <c r="IL43" s="35">
        <f t="shared" si="490"/>
        <v>4.7080099205970768E-2</v>
      </c>
      <c r="IM43" s="35">
        <f t="shared" si="491"/>
        <v>4.7079980008721357E-2</v>
      </c>
      <c r="IN43" s="35">
        <f t="shared" si="492"/>
        <v>-2.3456277919997603E-8</v>
      </c>
      <c r="IO43" s="35">
        <f t="shared" si="493"/>
        <v>4.7079860811471946E-2</v>
      </c>
      <c r="IP43" s="35">
        <f t="shared" si="494"/>
        <v>4.7079980008721357E-2</v>
      </c>
      <c r="IQ43" s="35">
        <f t="shared" si="495"/>
        <v>4.7079920410096648E-2</v>
      </c>
      <c r="IR43" s="35">
        <f t="shared" si="496"/>
        <v>6.3416236706359541E-9</v>
      </c>
      <c r="IS43" s="35">
        <f t="shared" si="497"/>
        <v>4.7079920410096648E-2</v>
      </c>
      <c r="IT43" s="35">
        <f t="shared" si="498"/>
        <v>4.7079980008721357E-2</v>
      </c>
      <c r="IU43" s="35">
        <f t="shared" si="499"/>
        <v>4.7079950209408999E-2</v>
      </c>
      <c r="IV43" s="35">
        <f t="shared" si="500"/>
        <v>-8.557326958147371E-9</v>
      </c>
      <c r="IW43" s="35">
        <f t="shared" si="501"/>
        <v>4.7079920410096648E-2</v>
      </c>
      <c r="IX43" s="35">
        <f t="shared" si="502"/>
        <v>4.7079950209408999E-2</v>
      </c>
      <c r="IY43" s="35">
        <f t="shared" si="503"/>
        <v>4.7079935309752824E-2</v>
      </c>
      <c r="IZ43" s="35">
        <f t="shared" si="504"/>
        <v>-1.1078515882445572E-9</v>
      </c>
      <c r="JA43" s="35">
        <f t="shared" si="505"/>
        <v>4.7079920410096648E-2</v>
      </c>
      <c r="JB43" s="35">
        <f t="shared" si="506"/>
        <v>4.7079935309752824E-2</v>
      </c>
      <c r="JC43" s="35">
        <f t="shared" si="507"/>
        <v>4.7079927859924736E-2</v>
      </c>
      <c r="JD43" s="35">
        <f t="shared" si="508"/>
        <v>2.6168858191510935E-9</v>
      </c>
      <c r="JE43" s="35">
        <f t="shared" si="509"/>
        <v>4.7079927859924736E-2</v>
      </c>
      <c r="JF43" s="35">
        <f t="shared" si="510"/>
        <v>4.7079935309752824E-2</v>
      </c>
      <c r="JG43" s="35">
        <f t="shared" si="511"/>
        <v>4.707993158483878E-2</v>
      </c>
      <c r="JH43" s="35">
        <f t="shared" si="512"/>
        <v>7.5451733749787309E-10</v>
      </c>
      <c r="JI43" s="35">
        <f t="shared" si="513"/>
        <v>4.707993158483878E-2</v>
      </c>
      <c r="JJ43" s="35">
        <f t="shared" si="514"/>
        <v>4.7079935309752824E-2</v>
      </c>
      <c r="JK43" s="35">
        <f t="shared" si="515"/>
        <v>4.7079933447295802E-2</v>
      </c>
      <c r="JL43" s="35">
        <f t="shared" si="516"/>
        <v>-1.7666712537334206E-10</v>
      </c>
      <c r="JM43" s="35">
        <f t="shared" si="517"/>
        <v>4.707993158483878E-2</v>
      </c>
      <c r="JN43" s="35">
        <f t="shared" si="518"/>
        <v>4.7079933447295802E-2</v>
      </c>
      <c r="JO43" s="35">
        <f t="shared" si="519"/>
        <v>4.7079932516067291E-2</v>
      </c>
      <c r="JP43" s="35">
        <f t="shared" si="520"/>
        <v>2.8892510606226551E-10</v>
      </c>
      <c r="JQ43" s="35">
        <f t="shared" si="521"/>
        <v>4.7079932516067291E-2</v>
      </c>
      <c r="JR43" s="35">
        <f t="shared" si="522"/>
        <v>4.7079933447295802E-2</v>
      </c>
      <c r="JS43" s="35">
        <f t="shared" si="523"/>
        <v>4.7079932981681546E-2</v>
      </c>
      <c r="JT43" s="35">
        <f t="shared" si="524"/>
        <v>5.6128879322159264E-11</v>
      </c>
      <c r="JU43" s="35">
        <f t="shared" si="525"/>
        <v>4.7079932981681546E-2</v>
      </c>
      <c r="JV43" s="35">
        <f t="shared" si="526"/>
        <v>4.7079933447295802E-2</v>
      </c>
      <c r="JW43" s="35">
        <f t="shared" si="527"/>
        <v>4.7079933214488674E-2</v>
      </c>
      <c r="JX43" s="35">
        <f t="shared" si="528"/>
        <v>-6.0269123025591398E-11</v>
      </c>
      <c r="JY43" s="35">
        <f t="shared" si="529"/>
        <v>4.7079932981681546E-2</v>
      </c>
      <c r="JZ43" s="35">
        <f t="shared" si="530"/>
        <v>4.7079933214488674E-2</v>
      </c>
      <c r="KA43" s="35">
        <f t="shared" si="531"/>
        <v>1.0711158428573979</v>
      </c>
      <c r="KB43" s="35">
        <f t="shared" si="532"/>
        <v>4.7079933098085114E-2</v>
      </c>
    </row>
    <row r="44" spans="1:288" ht="15" customHeight="1" x14ac:dyDescent="0.3">
      <c r="A44" s="30">
        <f>Odds_Input!A44</f>
        <v>36</v>
      </c>
      <c r="B44" s="7" t="str">
        <f>Odds_Input!B44</f>
        <v>CONF_EAST</v>
      </c>
      <c r="C44" s="7" t="str">
        <f>Odds_Input!C44</f>
        <v>Detroit Pistons</v>
      </c>
      <c r="D44" s="7" t="str">
        <f>Odds_Input!D44</f>
        <v>YES</v>
      </c>
      <c r="E44" s="31" t="str">
        <f>Odds_Input!E44</f>
        <v>-</v>
      </c>
      <c r="F44" s="32">
        <f>Odds_Input!F44</f>
        <v>900</v>
      </c>
      <c r="G44" s="6" t="str">
        <f t="shared" si="0"/>
        <v>CONF_EAST</v>
      </c>
      <c r="H44" s="14">
        <f t="shared" si="1"/>
        <v>10</v>
      </c>
      <c r="I44" s="33">
        <f t="shared" si="2"/>
        <v>0.1</v>
      </c>
      <c r="J44" s="17">
        <f t="shared" si="3"/>
        <v>1</v>
      </c>
      <c r="K44" s="17">
        <f t="shared" si="4"/>
        <v>15</v>
      </c>
      <c r="L44" s="18">
        <f t="shared" si="5"/>
        <v>1.2088752212862357</v>
      </c>
      <c r="M44" s="34">
        <f t="shared" si="6"/>
        <v>0.2088752212862357</v>
      </c>
      <c r="N44" s="33">
        <f t="shared" si="7"/>
        <v>8.2721523478329409E-2</v>
      </c>
      <c r="O44" s="33">
        <f t="shared" si="8"/>
        <v>8.1291994981658969E-2</v>
      </c>
      <c r="P44" s="33">
        <f t="shared" si="9"/>
        <v>8.3128087470530479E-2</v>
      </c>
      <c r="Q44" s="33">
        <f t="shared" si="10"/>
        <v>8.3128087470530479E-2</v>
      </c>
      <c r="R44" s="35">
        <f t="shared" si="11"/>
        <v>1.0899522183230146</v>
      </c>
      <c r="S44" s="35">
        <f t="shared" si="12"/>
        <v>1.7868178675567389E-2</v>
      </c>
      <c r="X44" s="6" t="s">
        <v>819</v>
      </c>
      <c r="Y44" s="6">
        <f t="shared" si="273"/>
        <v>1</v>
      </c>
      <c r="Z44" s="18">
        <f t="shared" si="274"/>
        <v>1.0395843641761504</v>
      </c>
      <c r="AA44" s="10">
        <v>0.2</v>
      </c>
      <c r="AB44" s="10">
        <v>10</v>
      </c>
      <c r="AC44" s="35">
        <f t="shared" si="275"/>
        <v>5.0999999999999996</v>
      </c>
      <c r="AD44" s="35">
        <f t="shared" si="276"/>
        <v>-0.92064553529415616</v>
      </c>
      <c r="AE44" s="35">
        <f t="shared" si="277"/>
        <v>0.2</v>
      </c>
      <c r="AF44" s="35">
        <f t="shared" si="278"/>
        <v>5.0999999999999996</v>
      </c>
      <c r="AG44" s="35">
        <f t="shared" si="279"/>
        <v>2.65</v>
      </c>
      <c r="AH44" s="35">
        <f t="shared" si="280"/>
        <v>-0.63829283885202392</v>
      </c>
      <c r="AI44" s="35">
        <f t="shared" si="281"/>
        <v>0.2</v>
      </c>
      <c r="AJ44" s="35">
        <f t="shared" si="282"/>
        <v>2.65</v>
      </c>
      <c r="AK44" s="35">
        <f t="shared" si="283"/>
        <v>1.425</v>
      </c>
      <c r="AL44" s="35">
        <f t="shared" si="284"/>
        <v>-0.21015612438115294</v>
      </c>
      <c r="AM44" s="35">
        <f t="shared" si="285"/>
        <v>0.2</v>
      </c>
      <c r="AN44" s="35">
        <f t="shared" si="286"/>
        <v>1.425</v>
      </c>
      <c r="AO44" s="35">
        <f t="shared" si="287"/>
        <v>0.8125</v>
      </c>
      <c r="AP44" s="35">
        <f t="shared" si="288"/>
        <v>0.17428793920463548</v>
      </c>
      <c r="AQ44" s="35">
        <f t="shared" si="289"/>
        <v>0.8125</v>
      </c>
      <c r="AR44" s="35">
        <f t="shared" si="290"/>
        <v>1.425</v>
      </c>
      <c r="AS44" s="35">
        <f t="shared" si="291"/>
        <v>1.1187499999999999</v>
      </c>
      <c r="AT44" s="35">
        <f t="shared" si="292"/>
        <v>-3.742608980533646E-2</v>
      </c>
      <c r="AU44" s="35">
        <f t="shared" si="293"/>
        <v>0.8125</v>
      </c>
      <c r="AV44" s="35">
        <f t="shared" si="294"/>
        <v>1.1187499999999999</v>
      </c>
      <c r="AW44" s="35">
        <f t="shared" si="295"/>
        <v>0.96562499999999996</v>
      </c>
      <c r="AX44" s="35">
        <f t="shared" si="296"/>
        <v>6.3036501947349777E-2</v>
      </c>
      <c r="AY44" s="35">
        <f t="shared" si="297"/>
        <v>0.96562499999999996</v>
      </c>
      <c r="AZ44" s="35">
        <f t="shared" si="298"/>
        <v>1.1187499999999999</v>
      </c>
      <c r="BA44" s="35">
        <f t="shared" si="299"/>
        <v>1.0421874999999998</v>
      </c>
      <c r="BB44" s="35">
        <f t="shared" si="300"/>
        <v>1.1526148082855681E-2</v>
      </c>
      <c r="BC44" s="35">
        <f t="shared" si="301"/>
        <v>1.0421874999999998</v>
      </c>
      <c r="BD44" s="35">
        <f t="shared" si="302"/>
        <v>1.1187499999999999</v>
      </c>
      <c r="BE44" s="35">
        <f t="shared" si="303"/>
        <v>1.0804687499999999</v>
      </c>
      <c r="BF44" s="35">
        <f t="shared" si="304"/>
        <v>-1.3261442965462944E-2</v>
      </c>
      <c r="BG44" s="35">
        <f t="shared" si="305"/>
        <v>1.0421874999999998</v>
      </c>
      <c r="BH44" s="35">
        <f t="shared" si="306"/>
        <v>1.0804687499999999</v>
      </c>
      <c r="BI44" s="35">
        <f t="shared" si="307"/>
        <v>1.0613281249999997</v>
      </c>
      <c r="BJ44" s="35">
        <f t="shared" si="308"/>
        <v>-9.4653474145145466E-4</v>
      </c>
      <c r="BK44" s="35">
        <f t="shared" si="309"/>
        <v>1.0421874999999998</v>
      </c>
      <c r="BL44" s="35">
        <f t="shared" si="310"/>
        <v>1.0613281249999997</v>
      </c>
      <c r="BM44" s="35">
        <f t="shared" si="311"/>
        <v>1.0517578124999998</v>
      </c>
      <c r="BN44" s="35">
        <f t="shared" si="312"/>
        <v>5.2699559433702081E-3</v>
      </c>
      <c r="BO44" s="35">
        <f t="shared" si="313"/>
        <v>1.0517578124999998</v>
      </c>
      <c r="BP44" s="35">
        <f t="shared" si="314"/>
        <v>1.0613281249999997</v>
      </c>
      <c r="BQ44" s="35">
        <f t="shared" si="315"/>
        <v>1.0565429687499996</v>
      </c>
      <c r="BR44" s="35">
        <f t="shared" si="316"/>
        <v>2.1567640991575487E-3</v>
      </c>
      <c r="BS44" s="35">
        <f t="shared" si="317"/>
        <v>1.0565429687499996</v>
      </c>
      <c r="BT44" s="35">
        <f t="shared" si="318"/>
        <v>1.0613281249999997</v>
      </c>
      <c r="BU44" s="35">
        <f t="shared" si="319"/>
        <v>1.0589355468749997</v>
      </c>
      <c r="BV44" s="35">
        <f t="shared" si="320"/>
        <v>6.0388007000455879E-4</v>
      </c>
      <c r="BW44" s="35">
        <f t="shared" si="321"/>
        <v>1.0589355468749997</v>
      </c>
      <c r="BX44" s="35">
        <f t="shared" si="322"/>
        <v>1.0613281249999997</v>
      </c>
      <c r="BY44" s="35">
        <f t="shared" si="323"/>
        <v>1.0601318359374998</v>
      </c>
      <c r="BZ44" s="35">
        <f t="shared" si="324"/>
        <v>-1.7163573622824835E-4</v>
      </c>
      <c r="CA44" s="35">
        <f t="shared" si="325"/>
        <v>1.0589355468749997</v>
      </c>
      <c r="CB44" s="35">
        <f t="shared" si="326"/>
        <v>1.0601318359374998</v>
      </c>
      <c r="CC44" s="35">
        <f t="shared" si="327"/>
        <v>1.0595336914062496</v>
      </c>
      <c r="CD44" s="35">
        <f t="shared" si="328"/>
        <v>2.1604503531502672E-4</v>
      </c>
      <c r="CE44" s="35">
        <f t="shared" si="329"/>
        <v>1.0595336914062496</v>
      </c>
      <c r="CF44" s="35">
        <f t="shared" si="330"/>
        <v>1.0601318359374998</v>
      </c>
      <c r="CG44" s="35">
        <f t="shared" si="331"/>
        <v>1.0598327636718747</v>
      </c>
      <c r="CH44" s="35">
        <f t="shared" si="332"/>
        <v>2.2185370581961905E-5</v>
      </c>
      <c r="CI44" s="35">
        <f t="shared" si="333"/>
        <v>1.0598327636718747</v>
      </c>
      <c r="CJ44" s="35">
        <f t="shared" si="334"/>
        <v>1.0601318359374998</v>
      </c>
      <c r="CK44" s="35">
        <f t="shared" si="335"/>
        <v>1.0599822998046873</v>
      </c>
      <c r="CL44" s="35">
        <f t="shared" si="336"/>
        <v>-7.4730002072032065E-5</v>
      </c>
      <c r="CM44" s="35">
        <f t="shared" si="337"/>
        <v>1.0598327636718747</v>
      </c>
      <c r="CN44" s="35">
        <f t="shared" si="338"/>
        <v>1.0599822998046873</v>
      </c>
      <c r="CO44" s="35">
        <f t="shared" si="339"/>
        <v>1.0599075317382809</v>
      </c>
      <c r="CP44" s="35">
        <f t="shared" si="340"/>
        <v>-2.6273520618791402E-5</v>
      </c>
      <c r="CQ44" s="35">
        <f t="shared" si="341"/>
        <v>1.0598327636718747</v>
      </c>
      <c r="CR44" s="35">
        <f t="shared" si="342"/>
        <v>1.0599075317382809</v>
      </c>
      <c r="CS44" s="35">
        <f t="shared" si="343"/>
        <v>1.0598701477050778</v>
      </c>
      <c r="CT44" s="35">
        <f t="shared" si="344"/>
        <v>-2.0443762445143676E-6</v>
      </c>
      <c r="CU44" s="35">
        <f t="shared" si="345"/>
        <v>1.0598327636718747</v>
      </c>
      <c r="CV44" s="35">
        <f t="shared" si="346"/>
        <v>1.0598701477050778</v>
      </c>
      <c r="CW44" s="35">
        <f t="shared" si="347"/>
        <v>1.0598514556884764</v>
      </c>
      <c r="CX44" s="35">
        <f t="shared" si="348"/>
        <v>1.0070421861296808E-5</v>
      </c>
      <c r="CY44" s="35">
        <f t="shared" si="349"/>
        <v>1.0598514556884764</v>
      </c>
      <c r="CZ44" s="35">
        <f t="shared" si="350"/>
        <v>1.0598701477050778</v>
      </c>
      <c r="DA44" s="35">
        <f t="shared" si="351"/>
        <v>1.059860801696777</v>
      </c>
      <c r="DB44" s="35">
        <f t="shared" si="352"/>
        <v>4.0130039815622354E-6</v>
      </c>
      <c r="DC44" s="35">
        <f t="shared" si="353"/>
        <v>1.059860801696777</v>
      </c>
      <c r="DD44" s="35">
        <f t="shared" si="354"/>
        <v>1.0598701477050778</v>
      </c>
      <c r="DE44" s="35">
        <f t="shared" si="355"/>
        <v>1.0598654747009273</v>
      </c>
      <c r="DF44" s="35">
        <f t="shared" si="356"/>
        <v>9.8430916217751019E-7</v>
      </c>
      <c r="DG44" s="35">
        <f t="shared" si="357"/>
        <v>1.0598654747009273</v>
      </c>
      <c r="DH44" s="35">
        <f t="shared" si="358"/>
        <v>1.0598701477050778</v>
      </c>
      <c r="DI44" s="35">
        <f t="shared" si="359"/>
        <v>1.0598678112030027</v>
      </c>
      <c r="DJ44" s="35">
        <f t="shared" si="360"/>
        <v>-5.3003471789381251E-7</v>
      </c>
      <c r="DK44" s="35">
        <f t="shared" si="361"/>
        <v>1.0598654747009273</v>
      </c>
      <c r="DL44" s="35">
        <f t="shared" si="362"/>
        <v>1.0598678112030027</v>
      </c>
      <c r="DM44" s="35">
        <f t="shared" si="363"/>
        <v>1.059866642951965</v>
      </c>
      <c r="DN44" s="35">
        <f t="shared" si="364"/>
        <v>2.2713692793274731E-7</v>
      </c>
      <c r="DO44" s="35">
        <f t="shared" si="365"/>
        <v>1.059866642951965</v>
      </c>
      <c r="DP44" s="35">
        <f t="shared" si="366"/>
        <v>1.0598678112030027</v>
      </c>
      <c r="DQ44" s="35">
        <f t="shared" si="367"/>
        <v>1.0598672270774838</v>
      </c>
      <c r="DR44" s="35">
        <f t="shared" si="368"/>
        <v>-1.5144896858831913E-7</v>
      </c>
      <c r="DS44" s="35">
        <f t="shared" si="369"/>
        <v>1.059866642951965</v>
      </c>
      <c r="DT44" s="35">
        <f t="shared" si="370"/>
        <v>1.0598672270774838</v>
      </c>
      <c r="DU44" s="35">
        <f t="shared" si="371"/>
        <v>1.0598669350147243</v>
      </c>
      <c r="DV44" s="35">
        <f t="shared" si="372"/>
        <v>3.7843961298023032E-8</v>
      </c>
      <c r="DW44" s="35">
        <f t="shared" si="373"/>
        <v>1.0598669350147243</v>
      </c>
      <c r="DX44" s="35">
        <f t="shared" si="374"/>
        <v>1.0598672270774838</v>
      </c>
      <c r="DY44" s="35">
        <f t="shared" si="375"/>
        <v>1.0598670810461042</v>
      </c>
      <c r="DZ44" s="35">
        <f t="shared" si="376"/>
        <v>-5.6802508363595905E-8</v>
      </c>
      <c r="EA44" s="35">
        <f t="shared" si="377"/>
        <v>1.0598669350147243</v>
      </c>
      <c r="EB44" s="35">
        <f t="shared" si="378"/>
        <v>1.0598670810461042</v>
      </c>
      <c r="EC44" s="35">
        <f t="shared" si="379"/>
        <v>1.0598670080304142</v>
      </c>
      <c r="ED44" s="35">
        <f t="shared" si="380"/>
        <v>-9.4792746985206122E-9</v>
      </c>
      <c r="EE44" s="35">
        <f t="shared" si="381"/>
        <v>1.0598669350147243</v>
      </c>
      <c r="EF44" s="35">
        <f t="shared" si="382"/>
        <v>1.0598670080304142</v>
      </c>
      <c r="EG44" s="35">
        <f t="shared" si="383"/>
        <v>1.0598669715225693</v>
      </c>
      <c r="EH44" s="35">
        <f t="shared" si="384"/>
        <v>1.4182343077706605E-8</v>
      </c>
      <c r="EI44" s="35">
        <f t="shared" si="385"/>
        <v>1.0598669715225693</v>
      </c>
      <c r="EJ44" s="35">
        <f t="shared" si="386"/>
        <v>1.0598670080304142</v>
      </c>
      <c r="EK44" s="35">
        <f t="shared" si="387"/>
        <v>1.0598669897764919</v>
      </c>
      <c r="EL44" s="35">
        <f t="shared" si="388"/>
        <v>2.351534078570694E-9</v>
      </c>
      <c r="EM44" s="35">
        <f t="shared" si="389"/>
        <v>1.0598669897764919</v>
      </c>
      <c r="EN44" s="35">
        <f t="shared" si="390"/>
        <v>1.0598670080304142</v>
      </c>
      <c r="EO44" s="35">
        <f t="shared" si="391"/>
        <v>1.059866998903453</v>
      </c>
      <c r="EP44" s="35">
        <f t="shared" si="392"/>
        <v>-3.5638703099749591E-9</v>
      </c>
      <c r="EQ44" s="35">
        <f t="shared" si="393"/>
        <v>1.0598669897764919</v>
      </c>
      <c r="ER44" s="35">
        <f t="shared" si="394"/>
        <v>1.059866998903453</v>
      </c>
      <c r="ES44" s="35">
        <f t="shared" si="395"/>
        <v>1.0598669943399726</v>
      </c>
      <c r="ET44" s="35">
        <f t="shared" si="396"/>
        <v>-6.0616811570213258E-10</v>
      </c>
      <c r="EU44" s="35">
        <f t="shared" si="397"/>
        <v>1.0598669897764919</v>
      </c>
      <c r="EV44" s="35">
        <f t="shared" si="398"/>
        <v>1.0598669943399726</v>
      </c>
      <c r="EW44" s="35">
        <f t="shared" si="399"/>
        <v>1.0598669920582322</v>
      </c>
      <c r="EX44" s="35">
        <f t="shared" si="400"/>
        <v>8.72682814900827E-10</v>
      </c>
      <c r="EY44" s="35">
        <f t="shared" si="401"/>
        <v>1.0598669920582322</v>
      </c>
      <c r="EZ44" s="35">
        <f t="shared" si="402"/>
        <v>1.0598669943399726</v>
      </c>
      <c r="FA44" s="10">
        <v>9.9999999999999995E-7</v>
      </c>
      <c r="FB44" s="10">
        <v>0.99990000000000001</v>
      </c>
      <c r="FC44" s="35">
        <f t="shared" si="403"/>
        <v>0.49995050000000002</v>
      </c>
      <c r="FD44" s="35">
        <f t="shared" si="404"/>
        <v>-0.24307958617037484</v>
      </c>
      <c r="FE44" s="35">
        <f t="shared" si="405"/>
        <v>9.9999999999999995E-7</v>
      </c>
      <c r="FF44" s="35">
        <f t="shared" si="406"/>
        <v>0.49995050000000002</v>
      </c>
      <c r="FG44" s="35">
        <f t="shared" si="407"/>
        <v>0.24997575</v>
      </c>
      <c r="FH44" s="35">
        <f t="shared" si="408"/>
        <v>-0.10924005749607935</v>
      </c>
      <c r="FI44" s="35">
        <f t="shared" si="409"/>
        <v>9.9999999999999995E-7</v>
      </c>
      <c r="FJ44" s="35">
        <f t="shared" si="410"/>
        <v>0.24997575</v>
      </c>
      <c r="FK44" s="35">
        <f t="shared" si="411"/>
        <v>0.124988375</v>
      </c>
      <c r="FL44" s="35">
        <f t="shared" si="412"/>
        <v>-4.3429023960915969E-2</v>
      </c>
      <c r="FM44" s="35">
        <f t="shared" si="413"/>
        <v>9.9999999999999995E-7</v>
      </c>
      <c r="FN44" s="35">
        <f t="shared" si="414"/>
        <v>0.124988375</v>
      </c>
      <c r="FO44" s="35">
        <f t="shared" si="415"/>
        <v>6.24946875E-2</v>
      </c>
      <c r="FP44" s="35">
        <f t="shared" si="416"/>
        <v>-1.1493878432796811E-2</v>
      </c>
      <c r="FQ44" s="35">
        <f t="shared" si="417"/>
        <v>9.9999999999999995E-7</v>
      </c>
      <c r="FR44" s="35">
        <f t="shared" si="418"/>
        <v>6.24946875E-2</v>
      </c>
      <c r="FS44" s="35">
        <f t="shared" si="419"/>
        <v>3.124784375E-2</v>
      </c>
      <c r="FT44" s="35">
        <f t="shared" si="420"/>
        <v>4.1654885550326259E-3</v>
      </c>
      <c r="FU44" s="35">
        <f t="shared" si="421"/>
        <v>3.124784375E-2</v>
      </c>
      <c r="FV44" s="35">
        <f t="shared" si="422"/>
        <v>6.24946875E-2</v>
      </c>
      <c r="FW44" s="35">
        <f t="shared" si="423"/>
        <v>4.6871265624999998E-2</v>
      </c>
      <c r="FX44" s="35">
        <f t="shared" si="424"/>
        <v>-3.6368891329645603E-3</v>
      </c>
      <c r="FY44" s="35">
        <f t="shared" si="425"/>
        <v>3.124784375E-2</v>
      </c>
      <c r="FZ44" s="35">
        <f t="shared" si="426"/>
        <v>4.6871265624999998E-2</v>
      </c>
      <c r="GA44" s="35">
        <f t="shared" si="427"/>
        <v>3.9059554687499998E-2</v>
      </c>
      <c r="GB44" s="35">
        <f t="shared" si="428"/>
        <v>2.7123717707744355E-4</v>
      </c>
      <c r="GC44" s="35">
        <f t="shared" si="429"/>
        <v>3.9059554687499998E-2</v>
      </c>
      <c r="GD44" s="35">
        <f t="shared" si="430"/>
        <v>4.6871265624999998E-2</v>
      </c>
      <c r="GE44" s="35">
        <f t="shared" si="431"/>
        <v>4.2965410156249995E-2</v>
      </c>
      <c r="GF44" s="35">
        <f t="shared" si="432"/>
        <v>-1.6811051878646843E-3</v>
      </c>
      <c r="GG44" s="35">
        <f t="shared" si="433"/>
        <v>3.9059554687499998E-2</v>
      </c>
      <c r="GH44" s="35">
        <f t="shared" si="434"/>
        <v>4.2965410156249995E-2</v>
      </c>
      <c r="GI44" s="35">
        <f t="shared" si="435"/>
        <v>4.1012482421874996E-2</v>
      </c>
      <c r="GJ44" s="35">
        <f t="shared" si="436"/>
        <v>-7.0450209209305115E-4</v>
      </c>
      <c r="GK44" s="35">
        <f t="shared" si="437"/>
        <v>3.9059554687499998E-2</v>
      </c>
      <c r="GL44" s="35">
        <f t="shared" si="438"/>
        <v>4.1012482421874996E-2</v>
      </c>
      <c r="GM44" s="35">
        <f t="shared" si="439"/>
        <v>4.0036018554687497E-2</v>
      </c>
      <c r="GN44" s="35">
        <f t="shared" si="440"/>
        <v>-2.1652426635054844E-4</v>
      </c>
      <c r="GO44" s="35">
        <f t="shared" si="441"/>
        <v>3.9059554687499998E-2</v>
      </c>
      <c r="GP44" s="35">
        <f t="shared" si="442"/>
        <v>4.0036018554687497E-2</v>
      </c>
      <c r="GQ44" s="35">
        <f t="shared" si="443"/>
        <v>3.9547786621093747E-2</v>
      </c>
      <c r="GR44" s="35">
        <f t="shared" si="444"/>
        <v>2.7383529654256833E-5</v>
      </c>
      <c r="GS44" s="35">
        <f t="shared" si="445"/>
        <v>3.9547786621093747E-2</v>
      </c>
      <c r="GT44" s="35">
        <f t="shared" si="446"/>
        <v>4.0036018554687497E-2</v>
      </c>
      <c r="GU44" s="35">
        <f t="shared" si="447"/>
        <v>3.9791902587890622E-2</v>
      </c>
      <c r="GV44" s="35">
        <f t="shared" si="448"/>
        <v>-9.4563603083575032E-5</v>
      </c>
      <c r="GW44" s="35">
        <f t="shared" si="449"/>
        <v>3.9547786621093747E-2</v>
      </c>
      <c r="GX44" s="35">
        <f t="shared" si="450"/>
        <v>3.9791902587890622E-2</v>
      </c>
      <c r="GY44" s="35">
        <f t="shared" si="451"/>
        <v>3.9669844604492188E-2</v>
      </c>
      <c r="GZ44" s="35">
        <f t="shared" si="452"/>
        <v>-3.3588344984569751E-5</v>
      </c>
      <c r="HA44" s="35">
        <f t="shared" si="453"/>
        <v>3.9547786621093747E-2</v>
      </c>
      <c r="HB44" s="35">
        <f t="shared" si="454"/>
        <v>3.9669844604492188E-2</v>
      </c>
      <c r="HC44" s="35">
        <f t="shared" si="455"/>
        <v>3.9608815612792968E-2</v>
      </c>
      <c r="HD44" s="35">
        <f t="shared" si="456"/>
        <v>-3.1019846810087515E-6</v>
      </c>
      <c r="HE44" s="35">
        <f t="shared" si="457"/>
        <v>3.9547786621093747E-2</v>
      </c>
      <c r="HF44" s="35">
        <f t="shared" si="458"/>
        <v>3.9608815612792968E-2</v>
      </c>
      <c r="HG44" s="35">
        <f t="shared" si="459"/>
        <v>3.9578301116943354E-2</v>
      </c>
      <c r="HH44" s="35">
        <f t="shared" si="460"/>
        <v>1.2140878239197406E-5</v>
      </c>
      <c r="HI44" s="35">
        <f t="shared" si="461"/>
        <v>3.9578301116943354E-2</v>
      </c>
      <c r="HJ44" s="35">
        <f t="shared" si="462"/>
        <v>3.9608815612792968E-2</v>
      </c>
      <c r="HK44" s="35">
        <f t="shared" si="463"/>
        <v>3.9593558364868164E-2</v>
      </c>
      <c r="HL44" s="35">
        <f t="shared" si="464"/>
        <v>4.5194732165576568E-6</v>
      </c>
      <c r="HM44" s="35">
        <f t="shared" si="465"/>
        <v>3.9593558364868164E-2</v>
      </c>
      <c r="HN44" s="35">
        <f t="shared" si="466"/>
        <v>3.9608815612792968E-2</v>
      </c>
      <c r="HO44" s="35">
        <f t="shared" si="467"/>
        <v>3.960118698883057E-2</v>
      </c>
      <c r="HP44" s="35">
        <f t="shared" si="468"/>
        <v>7.0875087687660709E-7</v>
      </c>
      <c r="HQ44" s="35">
        <f t="shared" si="469"/>
        <v>3.960118698883057E-2</v>
      </c>
      <c r="HR44" s="35">
        <f t="shared" si="470"/>
        <v>3.9608815612792968E-2</v>
      </c>
      <c r="HS44" s="35">
        <f t="shared" si="471"/>
        <v>3.9605001300811765E-2</v>
      </c>
      <c r="HT44" s="35">
        <f t="shared" si="472"/>
        <v>-1.1966152496656335E-6</v>
      </c>
      <c r="HU44" s="35">
        <f t="shared" si="473"/>
        <v>3.960118698883057E-2</v>
      </c>
      <c r="HV44" s="35">
        <f t="shared" si="474"/>
        <v>3.9605001300811765E-2</v>
      </c>
      <c r="HW44" s="35">
        <f t="shared" si="475"/>
        <v>3.9603094144821167E-2</v>
      </c>
      <c r="HX44" s="35">
        <f t="shared" si="476"/>
        <v>-2.4393177333603688E-7</v>
      </c>
      <c r="HY44" s="35">
        <f t="shared" si="477"/>
        <v>3.960118698883057E-2</v>
      </c>
      <c r="HZ44" s="35">
        <f t="shared" si="478"/>
        <v>3.9603094144821167E-2</v>
      </c>
      <c r="IA44" s="35">
        <f t="shared" si="479"/>
        <v>3.9602140566825872E-2</v>
      </c>
      <c r="IB44" s="35">
        <f t="shared" si="480"/>
        <v>2.3240965507653755E-7</v>
      </c>
      <c r="IC44" s="35">
        <f t="shared" si="481"/>
        <v>3.9602140566825872E-2</v>
      </c>
      <c r="ID44" s="35">
        <f t="shared" si="482"/>
        <v>3.9603094144821167E-2</v>
      </c>
      <c r="IE44" s="35">
        <f t="shared" si="483"/>
        <v>3.9602617355823516E-2</v>
      </c>
      <c r="IF44" s="35">
        <f t="shared" si="484"/>
        <v>-5.7610332060420433E-9</v>
      </c>
      <c r="IG44" s="35">
        <f t="shared" si="485"/>
        <v>3.9602140566825872E-2</v>
      </c>
      <c r="IH44" s="35">
        <f t="shared" si="486"/>
        <v>3.9602617355823516E-2</v>
      </c>
      <c r="II44" s="35">
        <f t="shared" si="487"/>
        <v>3.9602378961324694E-2</v>
      </c>
      <c r="IJ44" s="35">
        <f t="shared" si="488"/>
        <v>1.1332431726351899E-7</v>
      </c>
      <c r="IK44" s="35">
        <f t="shared" si="489"/>
        <v>3.9602378961324694E-2</v>
      </c>
      <c r="IL44" s="35">
        <f t="shared" si="490"/>
        <v>3.9602617355823516E-2</v>
      </c>
      <c r="IM44" s="35">
        <f t="shared" si="491"/>
        <v>3.9602498158574105E-2</v>
      </c>
      <c r="IN44" s="35">
        <f t="shared" si="492"/>
        <v>5.3781643583050709E-8</v>
      </c>
      <c r="IO44" s="35">
        <f t="shared" si="493"/>
        <v>3.9602498158574105E-2</v>
      </c>
      <c r="IP44" s="35">
        <f t="shared" si="494"/>
        <v>3.9602617355823516E-2</v>
      </c>
      <c r="IQ44" s="35">
        <f t="shared" si="495"/>
        <v>3.9602557757198814E-2</v>
      </c>
      <c r="IR44" s="35">
        <f t="shared" si="496"/>
        <v>2.4010305743615845E-8</v>
      </c>
      <c r="IS44" s="35">
        <f t="shared" si="497"/>
        <v>3.9602557757198814E-2</v>
      </c>
      <c r="IT44" s="35">
        <f t="shared" si="498"/>
        <v>3.9602617355823516E-2</v>
      </c>
      <c r="IU44" s="35">
        <f t="shared" si="499"/>
        <v>3.9602587556511165E-2</v>
      </c>
      <c r="IV44" s="35">
        <f t="shared" si="500"/>
        <v>9.1246361577645985E-9</v>
      </c>
      <c r="IW44" s="35">
        <f t="shared" si="501"/>
        <v>3.9602587556511165E-2</v>
      </c>
      <c r="IX44" s="35">
        <f t="shared" si="502"/>
        <v>3.9602617355823516E-2</v>
      </c>
      <c r="IY44" s="35">
        <f t="shared" si="503"/>
        <v>3.9602602456167341E-2</v>
      </c>
      <c r="IZ44" s="35">
        <f t="shared" si="504"/>
        <v>1.681801808928185E-9</v>
      </c>
      <c r="JA44" s="35">
        <f t="shared" si="505"/>
        <v>3.9602602456167341E-2</v>
      </c>
      <c r="JB44" s="35">
        <f t="shared" si="506"/>
        <v>3.9602617355823516E-2</v>
      </c>
      <c r="JC44" s="35">
        <f t="shared" si="507"/>
        <v>3.9602609905995428E-2</v>
      </c>
      <c r="JD44" s="35">
        <f t="shared" si="508"/>
        <v>-2.0396159206015341E-9</v>
      </c>
      <c r="JE44" s="35">
        <f t="shared" si="509"/>
        <v>3.9602602456167341E-2</v>
      </c>
      <c r="JF44" s="35">
        <f t="shared" si="510"/>
        <v>3.9602609905995428E-2</v>
      </c>
      <c r="JG44" s="35">
        <f t="shared" si="511"/>
        <v>3.9602606181081385E-2</v>
      </c>
      <c r="JH44" s="35">
        <f t="shared" si="512"/>
        <v>-1.7890711134782578E-10</v>
      </c>
      <c r="JI44" s="35">
        <f t="shared" si="513"/>
        <v>3.9602602456167341E-2</v>
      </c>
      <c r="JJ44" s="35">
        <f t="shared" si="514"/>
        <v>3.9602606181081385E-2</v>
      </c>
      <c r="JK44" s="35">
        <f t="shared" si="515"/>
        <v>3.9602604318624363E-2</v>
      </c>
      <c r="JL44" s="35">
        <f t="shared" si="516"/>
        <v>7.5144712674557468E-10</v>
      </c>
      <c r="JM44" s="35">
        <f t="shared" si="517"/>
        <v>3.9602604318624363E-2</v>
      </c>
      <c r="JN44" s="35">
        <f t="shared" si="518"/>
        <v>3.9602606181081385E-2</v>
      </c>
      <c r="JO44" s="35">
        <f t="shared" si="519"/>
        <v>3.9602605249852874E-2</v>
      </c>
      <c r="JP44" s="35">
        <f t="shared" si="520"/>
        <v>2.8626989667657199E-10</v>
      </c>
      <c r="JQ44" s="35">
        <f t="shared" si="521"/>
        <v>3.9602605249852874E-2</v>
      </c>
      <c r="JR44" s="35">
        <f t="shared" si="522"/>
        <v>3.9602606181081385E-2</v>
      </c>
      <c r="JS44" s="35">
        <f t="shared" si="523"/>
        <v>3.9602605715467129E-2</v>
      </c>
      <c r="JT44" s="35">
        <f t="shared" si="524"/>
        <v>5.3681503686675569E-11</v>
      </c>
      <c r="JU44" s="35">
        <f t="shared" si="525"/>
        <v>3.9602605715467129E-2</v>
      </c>
      <c r="JV44" s="35">
        <f t="shared" si="526"/>
        <v>3.9602606181081385E-2</v>
      </c>
      <c r="JW44" s="35">
        <f t="shared" si="527"/>
        <v>3.9602605948274257E-2</v>
      </c>
      <c r="JX44" s="35">
        <f t="shared" si="528"/>
        <v>-6.2612914852877566E-11</v>
      </c>
      <c r="JY44" s="35">
        <f t="shared" si="529"/>
        <v>3.9602605715467129E-2</v>
      </c>
      <c r="JZ44" s="35">
        <f t="shared" si="530"/>
        <v>3.9602605948274257E-2</v>
      </c>
      <c r="KA44" s="35">
        <f t="shared" si="531"/>
        <v>1.0598669931991025</v>
      </c>
      <c r="KB44" s="35">
        <f t="shared" si="532"/>
        <v>3.9602605831870696E-2</v>
      </c>
    </row>
    <row r="45" spans="1:288" ht="15" customHeight="1" x14ac:dyDescent="0.3">
      <c r="A45" s="30">
        <f>Odds_Input!A45</f>
        <v>37</v>
      </c>
      <c r="B45" s="7" t="str">
        <f>Odds_Input!B45</f>
        <v>CONF_EAST</v>
      </c>
      <c r="C45" s="7" t="str">
        <f>Odds_Input!C45</f>
        <v>Indiana Pacers</v>
      </c>
      <c r="D45" s="7" t="str">
        <f>Odds_Input!D45</f>
        <v>YES</v>
      </c>
      <c r="E45" s="31" t="str">
        <f>Odds_Input!E45</f>
        <v>-</v>
      </c>
      <c r="F45" s="32">
        <f>Odds_Input!F45</f>
        <v>1600</v>
      </c>
      <c r="G45" s="6" t="str">
        <f t="shared" si="0"/>
        <v>CONF_EAST</v>
      </c>
      <c r="H45" s="14">
        <f t="shared" si="1"/>
        <v>17</v>
      </c>
      <c r="I45" s="33">
        <f t="shared" si="2"/>
        <v>5.8823529411764705E-2</v>
      </c>
      <c r="J45" s="17">
        <f t="shared" si="3"/>
        <v>1</v>
      </c>
      <c r="K45" s="17">
        <f t="shared" si="4"/>
        <v>15</v>
      </c>
      <c r="L45" s="18">
        <f t="shared" si="5"/>
        <v>1.2088752212862357</v>
      </c>
      <c r="M45" s="34">
        <f t="shared" si="6"/>
        <v>0.2088752212862357</v>
      </c>
      <c r="N45" s="33">
        <f t="shared" si="7"/>
        <v>4.8659719693134942E-2</v>
      </c>
      <c r="O45" s="33">
        <f t="shared" si="8"/>
        <v>4.5589987026015501E-2</v>
      </c>
      <c r="P45" s="33">
        <f t="shared" si="9"/>
        <v>4.5649697735921299E-2</v>
      </c>
      <c r="Q45" s="33">
        <f t="shared" si="10"/>
        <v>4.5649697735921299E-2</v>
      </c>
      <c r="R45" s="35">
        <f t="shared" si="11"/>
        <v>1.0899522183230146</v>
      </c>
      <c r="S45" s="35">
        <f t="shared" si="12"/>
        <v>1.7868178675567389E-2</v>
      </c>
      <c r="X45" s="6" t="s">
        <v>820</v>
      </c>
      <c r="Y45" s="6">
        <f t="shared" si="273"/>
        <v>1</v>
      </c>
      <c r="Z45" s="18">
        <f t="shared" si="274"/>
        <v>1.033375052148519</v>
      </c>
      <c r="AA45" s="10">
        <v>0.2</v>
      </c>
      <c r="AB45" s="10">
        <v>10</v>
      </c>
      <c r="AC45" s="35">
        <f t="shared" si="275"/>
        <v>5.0999999999999996</v>
      </c>
      <c r="AD45" s="35">
        <f t="shared" si="276"/>
        <v>-0.90824265761554324</v>
      </c>
      <c r="AE45" s="35">
        <f t="shared" si="277"/>
        <v>0.2</v>
      </c>
      <c r="AF45" s="35">
        <f t="shared" si="278"/>
        <v>5.0999999999999996</v>
      </c>
      <c r="AG45" s="35">
        <f t="shared" si="279"/>
        <v>2.65</v>
      </c>
      <c r="AH45" s="35">
        <f t="shared" si="280"/>
        <v>-0.62875704115763242</v>
      </c>
      <c r="AI45" s="35">
        <f t="shared" si="281"/>
        <v>0.2</v>
      </c>
      <c r="AJ45" s="35">
        <f t="shared" si="282"/>
        <v>2.65</v>
      </c>
      <c r="AK45" s="35">
        <f t="shared" si="283"/>
        <v>1.425</v>
      </c>
      <c r="AL45" s="35">
        <f t="shared" si="284"/>
        <v>-0.21211366641140483</v>
      </c>
      <c r="AM45" s="35">
        <f t="shared" si="285"/>
        <v>0.2</v>
      </c>
      <c r="AN45" s="35">
        <f t="shared" si="286"/>
        <v>1.425</v>
      </c>
      <c r="AO45" s="35">
        <f t="shared" si="287"/>
        <v>0.8125</v>
      </c>
      <c r="AP45" s="35">
        <f t="shared" si="288"/>
        <v>0.16678221822526762</v>
      </c>
      <c r="AQ45" s="35">
        <f t="shared" si="289"/>
        <v>0.8125</v>
      </c>
      <c r="AR45" s="35">
        <f t="shared" si="290"/>
        <v>1.425</v>
      </c>
      <c r="AS45" s="35">
        <f t="shared" si="291"/>
        <v>1.1187499999999999</v>
      </c>
      <c r="AT45" s="35">
        <f t="shared" si="292"/>
        <v>-4.2575196378175084E-2</v>
      </c>
      <c r="AU45" s="35">
        <f t="shared" si="293"/>
        <v>0.8125</v>
      </c>
      <c r="AV45" s="35">
        <f t="shared" si="294"/>
        <v>1.1187499999999999</v>
      </c>
      <c r="AW45" s="35">
        <f t="shared" si="295"/>
        <v>0.96562499999999996</v>
      </c>
      <c r="AX45" s="35">
        <f t="shared" si="296"/>
        <v>5.6550152241093166E-2</v>
      </c>
      <c r="AY45" s="35">
        <f t="shared" si="297"/>
        <v>0.96562499999999996</v>
      </c>
      <c r="AZ45" s="35">
        <f t="shared" si="298"/>
        <v>1.1187499999999999</v>
      </c>
      <c r="BA45" s="35">
        <f t="shared" si="299"/>
        <v>1.0421874999999998</v>
      </c>
      <c r="BB45" s="35">
        <f t="shared" si="300"/>
        <v>5.6764989414344047E-3</v>
      </c>
      <c r="BC45" s="35">
        <f t="shared" si="301"/>
        <v>1.0421874999999998</v>
      </c>
      <c r="BD45" s="35">
        <f t="shared" si="302"/>
        <v>1.1187499999999999</v>
      </c>
      <c r="BE45" s="35">
        <f t="shared" si="303"/>
        <v>1.0804687499999999</v>
      </c>
      <c r="BF45" s="35">
        <f t="shared" si="304"/>
        <v>-1.8767918456356947E-2</v>
      </c>
      <c r="BG45" s="35">
        <f t="shared" si="305"/>
        <v>1.0421874999999998</v>
      </c>
      <c r="BH45" s="35">
        <f t="shared" si="306"/>
        <v>1.0804687499999999</v>
      </c>
      <c r="BI45" s="35">
        <f t="shared" si="307"/>
        <v>1.0613281249999997</v>
      </c>
      <c r="BJ45" s="35">
        <f t="shared" si="308"/>
        <v>-6.62647784375614E-3</v>
      </c>
      <c r="BK45" s="35">
        <f t="shared" si="309"/>
        <v>1.0421874999999998</v>
      </c>
      <c r="BL45" s="35">
        <f t="shared" si="310"/>
        <v>1.0613281249999997</v>
      </c>
      <c r="BM45" s="35">
        <f t="shared" si="311"/>
        <v>1.0517578124999998</v>
      </c>
      <c r="BN45" s="35">
        <f t="shared" si="312"/>
        <v>-4.953240106425616E-4</v>
      </c>
      <c r="BO45" s="35">
        <f t="shared" si="313"/>
        <v>1.0421874999999998</v>
      </c>
      <c r="BP45" s="35">
        <f t="shared" si="314"/>
        <v>1.0517578124999998</v>
      </c>
      <c r="BQ45" s="35">
        <f t="shared" si="315"/>
        <v>1.0469726562499999</v>
      </c>
      <c r="BR45" s="35">
        <f t="shared" si="316"/>
        <v>2.5854858924987401E-3</v>
      </c>
      <c r="BS45" s="35">
        <f t="shared" si="317"/>
        <v>1.0469726562499999</v>
      </c>
      <c r="BT45" s="35">
        <f t="shared" si="318"/>
        <v>1.0517578124999998</v>
      </c>
      <c r="BU45" s="35">
        <f t="shared" si="319"/>
        <v>1.0493652343749997</v>
      </c>
      <c r="BV45" s="35">
        <f t="shared" si="320"/>
        <v>1.043807794527174E-3</v>
      </c>
      <c r="BW45" s="35">
        <f t="shared" si="321"/>
        <v>1.0493652343749997</v>
      </c>
      <c r="BX45" s="35">
        <f t="shared" si="322"/>
        <v>1.0517578124999998</v>
      </c>
      <c r="BY45" s="35">
        <f t="shared" si="323"/>
        <v>1.0505615234374996</v>
      </c>
      <c r="BZ45" s="35">
        <f t="shared" si="324"/>
        <v>2.7392388573965754E-4</v>
      </c>
      <c r="CA45" s="35">
        <f t="shared" si="325"/>
        <v>1.0505615234374996</v>
      </c>
      <c r="CB45" s="35">
        <f t="shared" si="326"/>
        <v>1.0517578124999998</v>
      </c>
      <c r="CC45" s="35">
        <f t="shared" si="327"/>
        <v>1.0511596679687498</v>
      </c>
      <c r="CD45" s="35">
        <f t="shared" si="328"/>
        <v>-1.1077952898097543E-4</v>
      </c>
      <c r="CE45" s="35">
        <f t="shared" si="329"/>
        <v>1.0505615234374996</v>
      </c>
      <c r="CF45" s="35">
        <f t="shared" si="330"/>
        <v>1.0511596679687498</v>
      </c>
      <c r="CG45" s="35">
        <f t="shared" si="331"/>
        <v>1.0508605957031247</v>
      </c>
      <c r="CH45" s="35">
        <f t="shared" si="332"/>
        <v>8.1552307370724719E-5</v>
      </c>
      <c r="CI45" s="35">
        <f t="shared" si="333"/>
        <v>1.0508605957031247</v>
      </c>
      <c r="CJ45" s="35">
        <f t="shared" si="334"/>
        <v>1.0511596679687498</v>
      </c>
      <c r="CK45" s="35">
        <f t="shared" si="335"/>
        <v>1.0510101318359373</v>
      </c>
      <c r="CL45" s="35">
        <f t="shared" si="336"/>
        <v>-1.4618578010217043E-5</v>
      </c>
      <c r="CM45" s="35">
        <f t="shared" si="337"/>
        <v>1.0508605957031247</v>
      </c>
      <c r="CN45" s="35">
        <f t="shared" si="338"/>
        <v>1.0510101318359373</v>
      </c>
      <c r="CO45" s="35">
        <f t="shared" si="339"/>
        <v>1.0509353637695309</v>
      </c>
      <c r="CP45" s="35">
        <f t="shared" si="340"/>
        <v>3.34656228107022E-5</v>
      </c>
      <c r="CQ45" s="35">
        <f t="shared" si="341"/>
        <v>1.0509353637695309</v>
      </c>
      <c r="CR45" s="35">
        <f t="shared" si="342"/>
        <v>1.0510101318359373</v>
      </c>
      <c r="CS45" s="35">
        <f t="shared" si="343"/>
        <v>1.0509727478027342</v>
      </c>
      <c r="CT45" s="35">
        <f t="shared" si="344"/>
        <v>9.4232119414172644E-6</v>
      </c>
      <c r="CU45" s="35">
        <f t="shared" si="345"/>
        <v>1.0509727478027342</v>
      </c>
      <c r="CV45" s="35">
        <f t="shared" si="346"/>
        <v>1.0510101318359373</v>
      </c>
      <c r="CW45" s="35">
        <f t="shared" si="347"/>
        <v>1.0509914398193358</v>
      </c>
      <c r="CX45" s="35">
        <f t="shared" si="348"/>
        <v>-2.5977606481486504E-6</v>
      </c>
      <c r="CY45" s="35">
        <f t="shared" si="349"/>
        <v>1.0509727478027342</v>
      </c>
      <c r="CZ45" s="35">
        <f t="shared" si="350"/>
        <v>1.0509914398193358</v>
      </c>
      <c r="DA45" s="35">
        <f t="shared" si="351"/>
        <v>1.050982093811035</v>
      </c>
      <c r="DB45" s="35">
        <f t="shared" si="352"/>
        <v>3.4127062429334387E-6</v>
      </c>
      <c r="DC45" s="35">
        <f t="shared" si="353"/>
        <v>1.050982093811035</v>
      </c>
      <c r="DD45" s="35">
        <f t="shared" si="354"/>
        <v>1.0509914398193358</v>
      </c>
      <c r="DE45" s="35">
        <f t="shared" si="355"/>
        <v>1.0509867668151855</v>
      </c>
      <c r="DF45" s="35">
        <f t="shared" si="356"/>
        <v>4.0746794649493268E-7</v>
      </c>
      <c r="DG45" s="35">
        <f t="shared" si="357"/>
        <v>1.0509867668151855</v>
      </c>
      <c r="DH45" s="35">
        <f t="shared" si="358"/>
        <v>1.0509914398193358</v>
      </c>
      <c r="DI45" s="35">
        <f t="shared" si="359"/>
        <v>1.0509891033172607</v>
      </c>
      <c r="DJ45" s="35">
        <f t="shared" si="360"/>
        <v>-1.0951475635234686E-6</v>
      </c>
      <c r="DK45" s="35">
        <f t="shared" si="361"/>
        <v>1.0509867668151855</v>
      </c>
      <c r="DL45" s="35">
        <f t="shared" si="362"/>
        <v>1.0509891033172607</v>
      </c>
      <c r="DM45" s="35">
        <f t="shared" si="363"/>
        <v>1.0509879350662232</v>
      </c>
      <c r="DN45" s="35">
        <f t="shared" si="364"/>
        <v>-3.4384011171617601E-7</v>
      </c>
      <c r="DO45" s="35">
        <f t="shared" si="365"/>
        <v>1.0509867668151855</v>
      </c>
      <c r="DP45" s="35">
        <f t="shared" si="366"/>
        <v>1.0509879350662232</v>
      </c>
      <c r="DQ45" s="35">
        <f t="shared" si="367"/>
        <v>1.0509873509407044</v>
      </c>
      <c r="DR45" s="35">
        <f t="shared" si="368"/>
        <v>3.181384156114575E-8</v>
      </c>
      <c r="DS45" s="35">
        <f t="shared" si="369"/>
        <v>1.0509873509407044</v>
      </c>
      <c r="DT45" s="35">
        <f t="shared" si="370"/>
        <v>1.0509879350662232</v>
      </c>
      <c r="DU45" s="35">
        <f t="shared" si="371"/>
        <v>1.0509876430034639</v>
      </c>
      <c r="DV45" s="35">
        <f t="shared" si="372"/>
        <v>-1.5601315417335115E-7</v>
      </c>
      <c r="DW45" s="35">
        <f t="shared" si="373"/>
        <v>1.0509873509407044</v>
      </c>
      <c r="DX45" s="35">
        <f t="shared" si="374"/>
        <v>1.0509876430034639</v>
      </c>
      <c r="DY45" s="35">
        <f t="shared" si="375"/>
        <v>1.050987496972084</v>
      </c>
      <c r="DZ45" s="35">
        <f t="shared" si="376"/>
        <v>-6.2099660969039405E-8</v>
      </c>
      <c r="EA45" s="35">
        <f t="shared" si="377"/>
        <v>1.0509873509407044</v>
      </c>
      <c r="EB45" s="35">
        <f t="shared" si="378"/>
        <v>1.050987496972084</v>
      </c>
      <c r="EC45" s="35">
        <f t="shared" si="379"/>
        <v>1.0509874239563941</v>
      </c>
      <c r="ED45" s="35">
        <f t="shared" si="380"/>
        <v>-1.514291070314755E-8</v>
      </c>
      <c r="EE45" s="35">
        <f t="shared" si="381"/>
        <v>1.0509873509407044</v>
      </c>
      <c r="EF45" s="35">
        <f t="shared" si="382"/>
        <v>1.0509874239563941</v>
      </c>
      <c r="EG45" s="35">
        <f t="shared" si="383"/>
        <v>1.0509873874485494</v>
      </c>
      <c r="EH45" s="35">
        <f t="shared" si="384"/>
        <v>8.3354649849098905E-9</v>
      </c>
      <c r="EI45" s="35">
        <f t="shared" si="385"/>
        <v>1.0509873874485494</v>
      </c>
      <c r="EJ45" s="35">
        <f t="shared" si="386"/>
        <v>1.0509874239563941</v>
      </c>
      <c r="EK45" s="35">
        <f t="shared" si="387"/>
        <v>1.0509874057024717</v>
      </c>
      <c r="EL45" s="35">
        <f t="shared" si="388"/>
        <v>-3.403722970141132E-9</v>
      </c>
      <c r="EM45" s="35">
        <f t="shared" si="389"/>
        <v>1.0509873874485494</v>
      </c>
      <c r="EN45" s="35">
        <f t="shared" si="390"/>
        <v>1.0509874057024717</v>
      </c>
      <c r="EO45" s="35">
        <f t="shared" si="391"/>
        <v>1.0509873965755105</v>
      </c>
      <c r="EP45" s="35">
        <f t="shared" si="392"/>
        <v>2.4658710628955305E-9</v>
      </c>
      <c r="EQ45" s="35">
        <f t="shared" si="393"/>
        <v>1.0509873965755105</v>
      </c>
      <c r="ER45" s="35">
        <f t="shared" si="394"/>
        <v>1.0509874057024717</v>
      </c>
      <c r="ES45" s="35">
        <f t="shared" si="395"/>
        <v>1.050987401138991</v>
      </c>
      <c r="ET45" s="35">
        <f t="shared" si="396"/>
        <v>-4.6892600913395199E-10</v>
      </c>
      <c r="EU45" s="35">
        <f t="shared" si="397"/>
        <v>1.0509873965755105</v>
      </c>
      <c r="EV45" s="35">
        <f t="shared" si="398"/>
        <v>1.050987401138991</v>
      </c>
      <c r="EW45" s="35">
        <f t="shared" si="399"/>
        <v>1.0509873988572509</v>
      </c>
      <c r="EX45" s="35">
        <f t="shared" si="400"/>
        <v>9.9847241585848678E-10</v>
      </c>
      <c r="EY45" s="35">
        <f t="shared" si="401"/>
        <v>1.0509873988572509</v>
      </c>
      <c r="EZ45" s="35">
        <f t="shared" si="402"/>
        <v>1.050987401138991</v>
      </c>
      <c r="FA45" s="10">
        <v>9.9999999999999995E-7</v>
      </c>
      <c r="FB45" s="10">
        <v>0.99990000000000001</v>
      </c>
      <c r="FC45" s="35">
        <f t="shared" si="403"/>
        <v>0.49995050000000002</v>
      </c>
      <c r="FD45" s="35">
        <f t="shared" si="404"/>
        <v>-0.24269705696294908</v>
      </c>
      <c r="FE45" s="35">
        <f t="shared" si="405"/>
        <v>9.9999999999999995E-7</v>
      </c>
      <c r="FF45" s="35">
        <f t="shared" si="406"/>
        <v>0.49995050000000002</v>
      </c>
      <c r="FG45" s="35">
        <f t="shared" si="407"/>
        <v>0.24997575</v>
      </c>
      <c r="FH45" s="35">
        <f t="shared" si="408"/>
        <v>-0.11175097350644592</v>
      </c>
      <c r="FI45" s="35">
        <f t="shared" si="409"/>
        <v>9.9999999999999995E-7</v>
      </c>
      <c r="FJ45" s="35">
        <f t="shared" si="410"/>
        <v>0.24997575</v>
      </c>
      <c r="FK45" s="35">
        <f t="shared" si="411"/>
        <v>0.124988375</v>
      </c>
      <c r="FL45" s="35">
        <f t="shared" si="412"/>
        <v>-4.6469838092348392E-2</v>
      </c>
      <c r="FM45" s="35">
        <f t="shared" si="413"/>
        <v>9.9999999999999995E-7</v>
      </c>
      <c r="FN45" s="35">
        <f t="shared" si="414"/>
        <v>0.124988375</v>
      </c>
      <c r="FO45" s="35">
        <f t="shared" si="415"/>
        <v>6.24946875E-2</v>
      </c>
      <c r="FP45" s="35">
        <f t="shared" si="416"/>
        <v>-1.4593012142867234E-2</v>
      </c>
      <c r="FQ45" s="35">
        <f t="shared" si="417"/>
        <v>9.9999999999999995E-7</v>
      </c>
      <c r="FR45" s="35">
        <f t="shared" si="418"/>
        <v>6.24946875E-2</v>
      </c>
      <c r="FS45" s="35">
        <f t="shared" si="419"/>
        <v>3.124784375E-2</v>
      </c>
      <c r="FT45" s="35">
        <f t="shared" si="420"/>
        <v>1.0792130088908003E-3</v>
      </c>
      <c r="FU45" s="35">
        <f t="shared" si="421"/>
        <v>3.124784375E-2</v>
      </c>
      <c r="FV45" s="35">
        <f t="shared" si="422"/>
        <v>6.24946875E-2</v>
      </c>
      <c r="FW45" s="35">
        <f t="shared" si="423"/>
        <v>4.6871265624999998E-2</v>
      </c>
      <c r="FX45" s="35">
        <f t="shared" si="424"/>
        <v>-6.7327739888249916E-3</v>
      </c>
      <c r="FY45" s="35">
        <f t="shared" si="425"/>
        <v>3.124784375E-2</v>
      </c>
      <c r="FZ45" s="35">
        <f t="shared" si="426"/>
        <v>4.6871265624999998E-2</v>
      </c>
      <c r="GA45" s="35">
        <f t="shared" si="427"/>
        <v>3.9059554687499998E-2</v>
      </c>
      <c r="GB45" s="35">
        <f t="shared" si="428"/>
        <v>-2.8206136668474935E-3</v>
      </c>
      <c r="GC45" s="35">
        <f t="shared" si="429"/>
        <v>3.124784375E-2</v>
      </c>
      <c r="GD45" s="35">
        <f t="shared" si="430"/>
        <v>3.9059554687499998E-2</v>
      </c>
      <c r="GE45" s="35">
        <f t="shared" si="431"/>
        <v>3.5153699218750001E-2</v>
      </c>
      <c r="GF45" s="35">
        <f t="shared" si="432"/>
        <v>-8.6914211340338721E-4</v>
      </c>
      <c r="GG45" s="35">
        <f t="shared" si="433"/>
        <v>3.124784375E-2</v>
      </c>
      <c r="GH45" s="35">
        <f t="shared" si="434"/>
        <v>3.5153699218750001E-2</v>
      </c>
      <c r="GI45" s="35">
        <f t="shared" si="435"/>
        <v>3.3200771484375002E-2</v>
      </c>
      <c r="GJ45" s="35">
        <f t="shared" si="436"/>
        <v>1.0542703907368001E-4</v>
      </c>
      <c r="GK45" s="35">
        <f t="shared" si="437"/>
        <v>3.3200771484375002E-2</v>
      </c>
      <c r="GL45" s="35">
        <f t="shared" si="438"/>
        <v>3.5153699218750001E-2</v>
      </c>
      <c r="GM45" s="35">
        <f t="shared" si="439"/>
        <v>3.4177235351562502E-2</v>
      </c>
      <c r="GN45" s="35">
        <f t="shared" si="440"/>
        <v>-3.8175989283650846E-4</v>
      </c>
      <c r="GO45" s="35">
        <f t="shared" si="441"/>
        <v>3.3200771484375002E-2</v>
      </c>
      <c r="GP45" s="35">
        <f t="shared" si="442"/>
        <v>3.4177235351562502E-2</v>
      </c>
      <c r="GQ45" s="35">
        <f t="shared" si="443"/>
        <v>3.3689003417968752E-2</v>
      </c>
      <c r="GR45" s="35">
        <f t="shared" si="444"/>
        <v>-1.3814198403794276E-4</v>
      </c>
      <c r="GS45" s="35">
        <f t="shared" si="445"/>
        <v>3.3200771484375002E-2</v>
      </c>
      <c r="GT45" s="35">
        <f t="shared" si="446"/>
        <v>3.3689003417968752E-2</v>
      </c>
      <c r="GU45" s="35">
        <f t="shared" si="447"/>
        <v>3.3444887451171877E-2</v>
      </c>
      <c r="GV45" s="35">
        <f t="shared" si="448"/>
        <v>-1.6351357807531386E-5</v>
      </c>
      <c r="GW45" s="35">
        <f t="shared" si="449"/>
        <v>3.3200771484375002E-2</v>
      </c>
      <c r="GX45" s="35">
        <f t="shared" si="450"/>
        <v>3.3444887451171877E-2</v>
      </c>
      <c r="GY45" s="35">
        <f t="shared" si="451"/>
        <v>3.3322829467773443E-2</v>
      </c>
      <c r="GZ45" s="35">
        <f t="shared" si="452"/>
        <v>4.4539369796980921E-5</v>
      </c>
      <c r="HA45" s="35">
        <f t="shared" si="453"/>
        <v>3.3322829467773443E-2</v>
      </c>
      <c r="HB45" s="35">
        <f t="shared" si="454"/>
        <v>3.3444887451171877E-2</v>
      </c>
      <c r="HC45" s="35">
        <f t="shared" si="455"/>
        <v>3.3383858459472657E-2</v>
      </c>
      <c r="HD45" s="35">
        <f t="shared" si="456"/>
        <v>1.4094388223639953E-5</v>
      </c>
      <c r="HE45" s="35">
        <f t="shared" si="457"/>
        <v>3.3383858459472657E-2</v>
      </c>
      <c r="HF45" s="35">
        <f t="shared" si="458"/>
        <v>3.3444887451171877E-2</v>
      </c>
      <c r="HG45" s="35">
        <f t="shared" si="459"/>
        <v>3.3414372955322263E-2</v>
      </c>
      <c r="HH45" s="35">
        <f t="shared" si="460"/>
        <v>-1.1283892423774589E-6</v>
      </c>
      <c r="HI45" s="35">
        <f t="shared" si="461"/>
        <v>3.3383858459472657E-2</v>
      </c>
      <c r="HJ45" s="35">
        <f t="shared" si="462"/>
        <v>3.3414372955322263E-2</v>
      </c>
      <c r="HK45" s="35">
        <f t="shared" si="463"/>
        <v>3.339911570739746E-2</v>
      </c>
      <c r="HL45" s="35">
        <f t="shared" si="464"/>
        <v>6.4830233788004676E-6</v>
      </c>
      <c r="HM45" s="35">
        <f t="shared" si="465"/>
        <v>3.339911570739746E-2</v>
      </c>
      <c r="HN45" s="35">
        <f t="shared" si="466"/>
        <v>3.3414372955322263E-2</v>
      </c>
      <c r="HO45" s="35">
        <f t="shared" si="467"/>
        <v>3.3406744331359858E-2</v>
      </c>
      <c r="HP45" s="35">
        <f t="shared" si="468"/>
        <v>2.677323040156665E-6</v>
      </c>
      <c r="HQ45" s="35">
        <f t="shared" si="469"/>
        <v>3.3406744331359858E-2</v>
      </c>
      <c r="HR45" s="35">
        <f t="shared" si="470"/>
        <v>3.3414372955322263E-2</v>
      </c>
      <c r="HS45" s="35">
        <f t="shared" si="471"/>
        <v>3.3410558643341061E-2</v>
      </c>
      <c r="HT45" s="35">
        <f t="shared" si="472"/>
        <v>7.7446839186201544E-7</v>
      </c>
      <c r="HU45" s="35">
        <f t="shared" si="473"/>
        <v>3.3410558643341061E-2</v>
      </c>
      <c r="HV45" s="35">
        <f t="shared" si="474"/>
        <v>3.3414372955322263E-2</v>
      </c>
      <c r="HW45" s="35">
        <f t="shared" si="475"/>
        <v>3.3412465799331659E-2</v>
      </c>
      <c r="HX45" s="35">
        <f t="shared" si="476"/>
        <v>-1.7696005194522968E-7</v>
      </c>
      <c r="HY45" s="35">
        <f t="shared" si="477"/>
        <v>3.3410558643341061E-2</v>
      </c>
      <c r="HZ45" s="35">
        <f t="shared" si="478"/>
        <v>3.3412465799331659E-2</v>
      </c>
      <c r="IA45" s="35">
        <f t="shared" si="479"/>
        <v>3.3411512221336356E-2</v>
      </c>
      <c r="IB45" s="35">
        <f t="shared" si="480"/>
        <v>2.9875426332814925E-7</v>
      </c>
      <c r="IC45" s="35">
        <f t="shared" si="481"/>
        <v>3.3411512221336356E-2</v>
      </c>
      <c r="ID45" s="35">
        <f t="shared" si="482"/>
        <v>3.3412465799331659E-2</v>
      </c>
      <c r="IE45" s="35">
        <f t="shared" si="483"/>
        <v>3.3411989010334008E-2</v>
      </c>
      <c r="IF45" s="35">
        <f t="shared" si="484"/>
        <v>6.0897128895121E-8</v>
      </c>
      <c r="IG45" s="35">
        <f t="shared" si="485"/>
        <v>3.3411989010334008E-2</v>
      </c>
      <c r="IH45" s="35">
        <f t="shared" si="486"/>
        <v>3.3412465799331659E-2</v>
      </c>
      <c r="II45" s="35">
        <f t="shared" si="487"/>
        <v>3.3412227404832837E-2</v>
      </c>
      <c r="IJ45" s="35">
        <f t="shared" si="488"/>
        <v>-5.8031455751894612E-8</v>
      </c>
      <c r="IK45" s="35">
        <f t="shared" si="489"/>
        <v>3.3411989010334008E-2</v>
      </c>
      <c r="IL45" s="35">
        <f t="shared" si="490"/>
        <v>3.3412227404832837E-2</v>
      </c>
      <c r="IM45" s="35">
        <f t="shared" si="491"/>
        <v>3.3412108207583419E-2</v>
      </c>
      <c r="IN45" s="35">
        <f t="shared" si="492"/>
        <v>1.4328380704142774E-9</v>
      </c>
      <c r="IO45" s="35">
        <f t="shared" si="493"/>
        <v>3.3412108207583419E-2</v>
      </c>
      <c r="IP45" s="35">
        <f t="shared" si="494"/>
        <v>3.3412227404832837E-2</v>
      </c>
      <c r="IQ45" s="35">
        <f t="shared" si="495"/>
        <v>3.3412167806208128E-2</v>
      </c>
      <c r="IR45" s="35">
        <f t="shared" si="496"/>
        <v>-2.8299308452162109E-8</v>
      </c>
      <c r="IS45" s="35">
        <f t="shared" si="497"/>
        <v>3.3412108207583419E-2</v>
      </c>
      <c r="IT45" s="35">
        <f t="shared" si="498"/>
        <v>3.3412167806208128E-2</v>
      </c>
      <c r="IU45" s="35">
        <f t="shared" si="499"/>
        <v>3.341213800689577E-2</v>
      </c>
      <c r="IV45" s="35">
        <f t="shared" si="500"/>
        <v>-1.3433235079851613E-8</v>
      </c>
      <c r="IW45" s="35">
        <f t="shared" si="501"/>
        <v>3.3412108207583419E-2</v>
      </c>
      <c r="IX45" s="35">
        <f t="shared" si="502"/>
        <v>3.341213800689577E-2</v>
      </c>
      <c r="IY45" s="35">
        <f t="shared" si="503"/>
        <v>3.3412123107239594E-2</v>
      </c>
      <c r="IZ45" s="35">
        <f t="shared" si="504"/>
        <v>-6.0001985602298191E-9</v>
      </c>
      <c r="JA45" s="35">
        <f t="shared" si="505"/>
        <v>3.3412108207583419E-2</v>
      </c>
      <c r="JB45" s="35">
        <f t="shared" si="506"/>
        <v>3.3412123107239594E-2</v>
      </c>
      <c r="JC45" s="35">
        <f t="shared" si="507"/>
        <v>3.3412115657411506E-2</v>
      </c>
      <c r="JD45" s="35">
        <f t="shared" si="508"/>
        <v>-2.2836802449077709E-9</v>
      </c>
      <c r="JE45" s="35">
        <f t="shared" si="509"/>
        <v>3.3412108207583419E-2</v>
      </c>
      <c r="JF45" s="35">
        <f t="shared" si="510"/>
        <v>3.3412115657411506E-2</v>
      </c>
      <c r="JG45" s="35">
        <f t="shared" si="511"/>
        <v>3.3412111932497462E-2</v>
      </c>
      <c r="JH45" s="35">
        <f t="shared" si="512"/>
        <v>-4.2542103173559553E-10</v>
      </c>
      <c r="JI45" s="35">
        <f t="shared" si="513"/>
        <v>3.3412108207583419E-2</v>
      </c>
      <c r="JJ45" s="35">
        <f t="shared" si="514"/>
        <v>3.3412111932497462E-2</v>
      </c>
      <c r="JK45" s="35">
        <f t="shared" si="515"/>
        <v>3.3412110070040441E-2</v>
      </c>
      <c r="JL45" s="35">
        <f t="shared" si="516"/>
        <v>5.0370840831703845E-10</v>
      </c>
      <c r="JM45" s="35">
        <f t="shared" si="517"/>
        <v>3.3412110070040441E-2</v>
      </c>
      <c r="JN45" s="35">
        <f t="shared" si="518"/>
        <v>3.3412111932497462E-2</v>
      </c>
      <c r="JO45" s="35">
        <f t="shared" si="519"/>
        <v>3.3412111001268952E-2</v>
      </c>
      <c r="JP45" s="35">
        <f t="shared" si="520"/>
        <v>3.9143577268418994E-11</v>
      </c>
      <c r="JQ45" s="35">
        <f t="shared" si="521"/>
        <v>3.3412111001268952E-2</v>
      </c>
      <c r="JR45" s="35">
        <f t="shared" si="522"/>
        <v>3.3412111932497462E-2</v>
      </c>
      <c r="JS45" s="35">
        <f t="shared" si="523"/>
        <v>3.3412111466883207E-2</v>
      </c>
      <c r="JT45" s="35">
        <f t="shared" si="524"/>
        <v>-1.9313861621128581E-10</v>
      </c>
      <c r="JU45" s="35">
        <f t="shared" si="525"/>
        <v>3.3412111001268952E-2</v>
      </c>
      <c r="JV45" s="35">
        <f t="shared" si="526"/>
        <v>3.3412111466883207E-2</v>
      </c>
      <c r="JW45" s="35">
        <f t="shared" si="527"/>
        <v>3.3412111234076079E-2</v>
      </c>
      <c r="JX45" s="35">
        <f t="shared" si="528"/>
        <v>-7.6997408449130944E-11</v>
      </c>
      <c r="JY45" s="35">
        <f t="shared" si="529"/>
        <v>3.3412111001268952E-2</v>
      </c>
      <c r="JZ45" s="35">
        <f t="shared" si="530"/>
        <v>3.3412111234076079E-2</v>
      </c>
      <c r="KA45" s="35">
        <f t="shared" si="531"/>
        <v>1.050987399998121</v>
      </c>
      <c r="KB45" s="35">
        <f t="shared" si="532"/>
        <v>3.3412111117672519E-2</v>
      </c>
    </row>
    <row r="46" spans="1:288" ht="15" customHeight="1" x14ac:dyDescent="0.3">
      <c r="A46" s="30">
        <f>Odds_Input!A46</f>
        <v>38</v>
      </c>
      <c r="B46" s="7" t="str">
        <f>Odds_Input!B46</f>
        <v>CONF_EAST</v>
      </c>
      <c r="C46" s="7" t="str">
        <f>Odds_Input!C46</f>
        <v>Miami Heat</v>
      </c>
      <c r="D46" s="7" t="str">
        <f>Odds_Input!D46</f>
        <v>YES</v>
      </c>
      <c r="E46" s="31" t="str">
        <f>Odds_Input!E46</f>
        <v>-</v>
      </c>
      <c r="F46" s="32">
        <f>Odds_Input!F46</f>
        <v>1100</v>
      </c>
      <c r="G46" s="6" t="str">
        <f t="shared" si="0"/>
        <v>CONF_EAST</v>
      </c>
      <c r="H46" s="14">
        <f t="shared" si="1"/>
        <v>12</v>
      </c>
      <c r="I46" s="33">
        <f t="shared" si="2"/>
        <v>8.3333333333333329E-2</v>
      </c>
      <c r="J46" s="17">
        <f t="shared" si="3"/>
        <v>1</v>
      </c>
      <c r="K46" s="17">
        <f t="shared" si="4"/>
        <v>15</v>
      </c>
      <c r="L46" s="18">
        <f t="shared" si="5"/>
        <v>1.2088752212862357</v>
      </c>
      <c r="M46" s="34">
        <f t="shared" si="6"/>
        <v>0.2088752212862357</v>
      </c>
      <c r="N46" s="33">
        <f t="shared" si="7"/>
        <v>6.8934602898607839E-2</v>
      </c>
      <c r="O46" s="33">
        <f t="shared" si="8"/>
        <v>6.6641383851379313E-2</v>
      </c>
      <c r="P46" s="33">
        <f t="shared" si="9"/>
        <v>6.7921621552925582E-2</v>
      </c>
      <c r="Q46" s="33">
        <f t="shared" si="10"/>
        <v>6.7921621552925582E-2</v>
      </c>
      <c r="R46" s="35">
        <f t="shared" si="11"/>
        <v>1.0899522183230146</v>
      </c>
      <c r="S46" s="35">
        <f t="shared" si="12"/>
        <v>1.7868178675567389E-2</v>
      </c>
      <c r="X46" s="6" t="s">
        <v>821</v>
      </c>
      <c r="Y46" s="6">
        <f t="shared" si="273"/>
        <v>1</v>
      </c>
      <c r="Z46" s="18">
        <f t="shared" si="274"/>
        <v>1.0395843641761504</v>
      </c>
      <c r="AA46" s="10">
        <v>0.2</v>
      </c>
      <c r="AB46" s="10">
        <v>10</v>
      </c>
      <c r="AC46" s="35">
        <f t="shared" si="275"/>
        <v>5.0999999999999996</v>
      </c>
      <c r="AD46" s="35">
        <f t="shared" si="276"/>
        <v>-0.92064553529415616</v>
      </c>
      <c r="AE46" s="35">
        <f t="shared" si="277"/>
        <v>0.2</v>
      </c>
      <c r="AF46" s="35">
        <f t="shared" si="278"/>
        <v>5.0999999999999996</v>
      </c>
      <c r="AG46" s="35">
        <f t="shared" si="279"/>
        <v>2.65</v>
      </c>
      <c r="AH46" s="35">
        <f t="shared" si="280"/>
        <v>-0.63829283885202392</v>
      </c>
      <c r="AI46" s="35">
        <f t="shared" si="281"/>
        <v>0.2</v>
      </c>
      <c r="AJ46" s="35">
        <f t="shared" si="282"/>
        <v>2.65</v>
      </c>
      <c r="AK46" s="35">
        <f t="shared" si="283"/>
        <v>1.425</v>
      </c>
      <c r="AL46" s="35">
        <f t="shared" si="284"/>
        <v>-0.21015612438115294</v>
      </c>
      <c r="AM46" s="35">
        <f t="shared" si="285"/>
        <v>0.2</v>
      </c>
      <c r="AN46" s="35">
        <f t="shared" si="286"/>
        <v>1.425</v>
      </c>
      <c r="AO46" s="35">
        <f t="shared" si="287"/>
        <v>0.8125</v>
      </c>
      <c r="AP46" s="35">
        <f t="shared" si="288"/>
        <v>0.17428793920463548</v>
      </c>
      <c r="AQ46" s="35">
        <f t="shared" si="289"/>
        <v>0.8125</v>
      </c>
      <c r="AR46" s="35">
        <f t="shared" si="290"/>
        <v>1.425</v>
      </c>
      <c r="AS46" s="35">
        <f t="shared" si="291"/>
        <v>1.1187499999999999</v>
      </c>
      <c r="AT46" s="35">
        <f t="shared" si="292"/>
        <v>-3.742608980533646E-2</v>
      </c>
      <c r="AU46" s="35">
        <f t="shared" si="293"/>
        <v>0.8125</v>
      </c>
      <c r="AV46" s="35">
        <f t="shared" si="294"/>
        <v>1.1187499999999999</v>
      </c>
      <c r="AW46" s="35">
        <f t="shared" si="295"/>
        <v>0.96562499999999996</v>
      </c>
      <c r="AX46" s="35">
        <f t="shared" si="296"/>
        <v>6.3036501947349777E-2</v>
      </c>
      <c r="AY46" s="35">
        <f t="shared" si="297"/>
        <v>0.96562499999999996</v>
      </c>
      <c r="AZ46" s="35">
        <f t="shared" si="298"/>
        <v>1.1187499999999999</v>
      </c>
      <c r="BA46" s="35">
        <f t="shared" si="299"/>
        <v>1.0421874999999998</v>
      </c>
      <c r="BB46" s="35">
        <f t="shared" si="300"/>
        <v>1.1526148082855681E-2</v>
      </c>
      <c r="BC46" s="35">
        <f t="shared" si="301"/>
        <v>1.0421874999999998</v>
      </c>
      <c r="BD46" s="35">
        <f t="shared" si="302"/>
        <v>1.1187499999999999</v>
      </c>
      <c r="BE46" s="35">
        <f t="shared" si="303"/>
        <v>1.0804687499999999</v>
      </c>
      <c r="BF46" s="35">
        <f t="shared" si="304"/>
        <v>-1.3261442965462944E-2</v>
      </c>
      <c r="BG46" s="35">
        <f t="shared" si="305"/>
        <v>1.0421874999999998</v>
      </c>
      <c r="BH46" s="35">
        <f t="shared" si="306"/>
        <v>1.0804687499999999</v>
      </c>
      <c r="BI46" s="35">
        <f t="shared" si="307"/>
        <v>1.0613281249999997</v>
      </c>
      <c r="BJ46" s="35">
        <f t="shared" si="308"/>
        <v>-9.4653474145145466E-4</v>
      </c>
      <c r="BK46" s="35">
        <f t="shared" si="309"/>
        <v>1.0421874999999998</v>
      </c>
      <c r="BL46" s="35">
        <f t="shared" si="310"/>
        <v>1.0613281249999997</v>
      </c>
      <c r="BM46" s="35">
        <f t="shared" si="311"/>
        <v>1.0517578124999998</v>
      </c>
      <c r="BN46" s="35">
        <f t="shared" si="312"/>
        <v>5.2699559433702081E-3</v>
      </c>
      <c r="BO46" s="35">
        <f t="shared" si="313"/>
        <v>1.0517578124999998</v>
      </c>
      <c r="BP46" s="35">
        <f t="shared" si="314"/>
        <v>1.0613281249999997</v>
      </c>
      <c r="BQ46" s="35">
        <f t="shared" si="315"/>
        <v>1.0565429687499996</v>
      </c>
      <c r="BR46" s="35">
        <f t="shared" si="316"/>
        <v>2.1567640991575487E-3</v>
      </c>
      <c r="BS46" s="35">
        <f t="shared" si="317"/>
        <v>1.0565429687499996</v>
      </c>
      <c r="BT46" s="35">
        <f t="shared" si="318"/>
        <v>1.0613281249999997</v>
      </c>
      <c r="BU46" s="35">
        <f t="shared" si="319"/>
        <v>1.0589355468749997</v>
      </c>
      <c r="BV46" s="35">
        <f t="shared" si="320"/>
        <v>6.0388007000455879E-4</v>
      </c>
      <c r="BW46" s="35">
        <f t="shared" si="321"/>
        <v>1.0589355468749997</v>
      </c>
      <c r="BX46" s="35">
        <f t="shared" si="322"/>
        <v>1.0613281249999997</v>
      </c>
      <c r="BY46" s="35">
        <f t="shared" si="323"/>
        <v>1.0601318359374998</v>
      </c>
      <c r="BZ46" s="35">
        <f t="shared" si="324"/>
        <v>-1.7163573622824835E-4</v>
      </c>
      <c r="CA46" s="35">
        <f t="shared" si="325"/>
        <v>1.0589355468749997</v>
      </c>
      <c r="CB46" s="35">
        <f t="shared" si="326"/>
        <v>1.0601318359374998</v>
      </c>
      <c r="CC46" s="35">
        <f t="shared" si="327"/>
        <v>1.0595336914062496</v>
      </c>
      <c r="CD46" s="35">
        <f t="shared" si="328"/>
        <v>2.1604503531502672E-4</v>
      </c>
      <c r="CE46" s="35">
        <f t="shared" si="329"/>
        <v>1.0595336914062496</v>
      </c>
      <c r="CF46" s="35">
        <f t="shared" si="330"/>
        <v>1.0601318359374998</v>
      </c>
      <c r="CG46" s="35">
        <f t="shared" si="331"/>
        <v>1.0598327636718747</v>
      </c>
      <c r="CH46" s="35">
        <f t="shared" si="332"/>
        <v>2.2185370581961905E-5</v>
      </c>
      <c r="CI46" s="35">
        <f t="shared" si="333"/>
        <v>1.0598327636718747</v>
      </c>
      <c r="CJ46" s="35">
        <f t="shared" si="334"/>
        <v>1.0601318359374998</v>
      </c>
      <c r="CK46" s="35">
        <f t="shared" si="335"/>
        <v>1.0599822998046873</v>
      </c>
      <c r="CL46" s="35">
        <f t="shared" si="336"/>
        <v>-7.4730002072032065E-5</v>
      </c>
      <c r="CM46" s="35">
        <f t="shared" si="337"/>
        <v>1.0598327636718747</v>
      </c>
      <c r="CN46" s="35">
        <f t="shared" si="338"/>
        <v>1.0599822998046873</v>
      </c>
      <c r="CO46" s="35">
        <f t="shared" si="339"/>
        <v>1.0599075317382809</v>
      </c>
      <c r="CP46" s="35">
        <f t="shared" si="340"/>
        <v>-2.6273520618791402E-5</v>
      </c>
      <c r="CQ46" s="35">
        <f t="shared" si="341"/>
        <v>1.0598327636718747</v>
      </c>
      <c r="CR46" s="35">
        <f t="shared" si="342"/>
        <v>1.0599075317382809</v>
      </c>
      <c r="CS46" s="35">
        <f t="shared" si="343"/>
        <v>1.0598701477050778</v>
      </c>
      <c r="CT46" s="35">
        <f t="shared" si="344"/>
        <v>-2.0443762445143676E-6</v>
      </c>
      <c r="CU46" s="35">
        <f t="shared" si="345"/>
        <v>1.0598327636718747</v>
      </c>
      <c r="CV46" s="35">
        <f t="shared" si="346"/>
        <v>1.0598701477050778</v>
      </c>
      <c r="CW46" s="35">
        <f t="shared" si="347"/>
        <v>1.0598514556884764</v>
      </c>
      <c r="CX46" s="35">
        <f t="shared" si="348"/>
        <v>1.0070421861296808E-5</v>
      </c>
      <c r="CY46" s="35">
        <f t="shared" si="349"/>
        <v>1.0598514556884764</v>
      </c>
      <c r="CZ46" s="35">
        <f t="shared" si="350"/>
        <v>1.0598701477050778</v>
      </c>
      <c r="DA46" s="35">
        <f t="shared" si="351"/>
        <v>1.059860801696777</v>
      </c>
      <c r="DB46" s="35">
        <f t="shared" si="352"/>
        <v>4.0130039815622354E-6</v>
      </c>
      <c r="DC46" s="35">
        <f t="shared" si="353"/>
        <v>1.059860801696777</v>
      </c>
      <c r="DD46" s="35">
        <f t="shared" si="354"/>
        <v>1.0598701477050778</v>
      </c>
      <c r="DE46" s="35">
        <f t="shared" si="355"/>
        <v>1.0598654747009273</v>
      </c>
      <c r="DF46" s="35">
        <f t="shared" si="356"/>
        <v>9.8430916217751019E-7</v>
      </c>
      <c r="DG46" s="35">
        <f t="shared" si="357"/>
        <v>1.0598654747009273</v>
      </c>
      <c r="DH46" s="35">
        <f t="shared" si="358"/>
        <v>1.0598701477050778</v>
      </c>
      <c r="DI46" s="35">
        <f t="shared" si="359"/>
        <v>1.0598678112030027</v>
      </c>
      <c r="DJ46" s="35">
        <f t="shared" si="360"/>
        <v>-5.3003471789381251E-7</v>
      </c>
      <c r="DK46" s="35">
        <f t="shared" si="361"/>
        <v>1.0598654747009273</v>
      </c>
      <c r="DL46" s="35">
        <f t="shared" si="362"/>
        <v>1.0598678112030027</v>
      </c>
      <c r="DM46" s="35">
        <f t="shared" si="363"/>
        <v>1.059866642951965</v>
      </c>
      <c r="DN46" s="35">
        <f t="shared" si="364"/>
        <v>2.2713692793274731E-7</v>
      </c>
      <c r="DO46" s="35">
        <f t="shared" si="365"/>
        <v>1.059866642951965</v>
      </c>
      <c r="DP46" s="35">
        <f t="shared" si="366"/>
        <v>1.0598678112030027</v>
      </c>
      <c r="DQ46" s="35">
        <f t="shared" si="367"/>
        <v>1.0598672270774838</v>
      </c>
      <c r="DR46" s="35">
        <f t="shared" si="368"/>
        <v>-1.5144896858831913E-7</v>
      </c>
      <c r="DS46" s="35">
        <f t="shared" si="369"/>
        <v>1.059866642951965</v>
      </c>
      <c r="DT46" s="35">
        <f t="shared" si="370"/>
        <v>1.0598672270774838</v>
      </c>
      <c r="DU46" s="35">
        <f t="shared" si="371"/>
        <v>1.0598669350147243</v>
      </c>
      <c r="DV46" s="35">
        <f t="shared" si="372"/>
        <v>3.7843961298023032E-8</v>
      </c>
      <c r="DW46" s="35">
        <f t="shared" si="373"/>
        <v>1.0598669350147243</v>
      </c>
      <c r="DX46" s="35">
        <f t="shared" si="374"/>
        <v>1.0598672270774838</v>
      </c>
      <c r="DY46" s="35">
        <f t="shared" si="375"/>
        <v>1.0598670810461042</v>
      </c>
      <c r="DZ46" s="35">
        <f t="shared" si="376"/>
        <v>-5.6802508363595905E-8</v>
      </c>
      <c r="EA46" s="35">
        <f t="shared" si="377"/>
        <v>1.0598669350147243</v>
      </c>
      <c r="EB46" s="35">
        <f t="shared" si="378"/>
        <v>1.0598670810461042</v>
      </c>
      <c r="EC46" s="35">
        <f t="shared" si="379"/>
        <v>1.0598670080304142</v>
      </c>
      <c r="ED46" s="35">
        <f t="shared" si="380"/>
        <v>-9.4792746985206122E-9</v>
      </c>
      <c r="EE46" s="35">
        <f t="shared" si="381"/>
        <v>1.0598669350147243</v>
      </c>
      <c r="EF46" s="35">
        <f t="shared" si="382"/>
        <v>1.0598670080304142</v>
      </c>
      <c r="EG46" s="35">
        <f t="shared" si="383"/>
        <v>1.0598669715225693</v>
      </c>
      <c r="EH46" s="35">
        <f t="shared" si="384"/>
        <v>1.4182343077706605E-8</v>
      </c>
      <c r="EI46" s="35">
        <f t="shared" si="385"/>
        <v>1.0598669715225693</v>
      </c>
      <c r="EJ46" s="35">
        <f t="shared" si="386"/>
        <v>1.0598670080304142</v>
      </c>
      <c r="EK46" s="35">
        <f t="shared" si="387"/>
        <v>1.0598669897764919</v>
      </c>
      <c r="EL46" s="35">
        <f t="shared" si="388"/>
        <v>2.351534078570694E-9</v>
      </c>
      <c r="EM46" s="35">
        <f t="shared" si="389"/>
        <v>1.0598669897764919</v>
      </c>
      <c r="EN46" s="35">
        <f t="shared" si="390"/>
        <v>1.0598670080304142</v>
      </c>
      <c r="EO46" s="35">
        <f t="shared" si="391"/>
        <v>1.059866998903453</v>
      </c>
      <c r="EP46" s="35">
        <f t="shared" si="392"/>
        <v>-3.5638703099749591E-9</v>
      </c>
      <c r="EQ46" s="35">
        <f t="shared" si="393"/>
        <v>1.0598669897764919</v>
      </c>
      <c r="ER46" s="35">
        <f t="shared" si="394"/>
        <v>1.059866998903453</v>
      </c>
      <c r="ES46" s="35">
        <f t="shared" si="395"/>
        <v>1.0598669943399726</v>
      </c>
      <c r="ET46" s="35">
        <f t="shared" si="396"/>
        <v>-6.0616811570213258E-10</v>
      </c>
      <c r="EU46" s="35">
        <f t="shared" si="397"/>
        <v>1.0598669897764919</v>
      </c>
      <c r="EV46" s="35">
        <f t="shared" si="398"/>
        <v>1.0598669943399726</v>
      </c>
      <c r="EW46" s="35">
        <f t="shared" si="399"/>
        <v>1.0598669920582322</v>
      </c>
      <c r="EX46" s="35">
        <f t="shared" si="400"/>
        <v>8.72682814900827E-10</v>
      </c>
      <c r="EY46" s="35">
        <f t="shared" si="401"/>
        <v>1.0598669920582322</v>
      </c>
      <c r="EZ46" s="35">
        <f t="shared" si="402"/>
        <v>1.0598669943399726</v>
      </c>
      <c r="FA46" s="10">
        <v>9.9999999999999995E-7</v>
      </c>
      <c r="FB46" s="10">
        <v>0.99990000000000001</v>
      </c>
      <c r="FC46" s="35">
        <f t="shared" si="403"/>
        <v>0.49995050000000002</v>
      </c>
      <c r="FD46" s="35">
        <f t="shared" si="404"/>
        <v>-0.24307958617037484</v>
      </c>
      <c r="FE46" s="35">
        <f t="shared" si="405"/>
        <v>9.9999999999999995E-7</v>
      </c>
      <c r="FF46" s="35">
        <f t="shared" si="406"/>
        <v>0.49995050000000002</v>
      </c>
      <c r="FG46" s="35">
        <f t="shared" si="407"/>
        <v>0.24997575</v>
      </c>
      <c r="FH46" s="35">
        <f t="shared" si="408"/>
        <v>-0.10924005749607935</v>
      </c>
      <c r="FI46" s="35">
        <f t="shared" si="409"/>
        <v>9.9999999999999995E-7</v>
      </c>
      <c r="FJ46" s="35">
        <f t="shared" si="410"/>
        <v>0.24997575</v>
      </c>
      <c r="FK46" s="35">
        <f t="shared" si="411"/>
        <v>0.124988375</v>
      </c>
      <c r="FL46" s="35">
        <f t="shared" si="412"/>
        <v>-4.3429023960915969E-2</v>
      </c>
      <c r="FM46" s="35">
        <f t="shared" si="413"/>
        <v>9.9999999999999995E-7</v>
      </c>
      <c r="FN46" s="35">
        <f t="shared" si="414"/>
        <v>0.124988375</v>
      </c>
      <c r="FO46" s="35">
        <f t="shared" si="415"/>
        <v>6.24946875E-2</v>
      </c>
      <c r="FP46" s="35">
        <f t="shared" si="416"/>
        <v>-1.1493878432796811E-2</v>
      </c>
      <c r="FQ46" s="35">
        <f t="shared" si="417"/>
        <v>9.9999999999999995E-7</v>
      </c>
      <c r="FR46" s="35">
        <f t="shared" si="418"/>
        <v>6.24946875E-2</v>
      </c>
      <c r="FS46" s="35">
        <f t="shared" si="419"/>
        <v>3.124784375E-2</v>
      </c>
      <c r="FT46" s="35">
        <f t="shared" si="420"/>
        <v>4.1654885550326259E-3</v>
      </c>
      <c r="FU46" s="35">
        <f t="shared" si="421"/>
        <v>3.124784375E-2</v>
      </c>
      <c r="FV46" s="35">
        <f t="shared" si="422"/>
        <v>6.24946875E-2</v>
      </c>
      <c r="FW46" s="35">
        <f t="shared" si="423"/>
        <v>4.6871265624999998E-2</v>
      </c>
      <c r="FX46" s="35">
        <f t="shared" si="424"/>
        <v>-3.6368891329645603E-3</v>
      </c>
      <c r="FY46" s="35">
        <f t="shared" si="425"/>
        <v>3.124784375E-2</v>
      </c>
      <c r="FZ46" s="35">
        <f t="shared" si="426"/>
        <v>4.6871265624999998E-2</v>
      </c>
      <c r="GA46" s="35">
        <f t="shared" si="427"/>
        <v>3.9059554687499998E-2</v>
      </c>
      <c r="GB46" s="35">
        <f t="shared" si="428"/>
        <v>2.7123717707744355E-4</v>
      </c>
      <c r="GC46" s="35">
        <f t="shared" si="429"/>
        <v>3.9059554687499998E-2</v>
      </c>
      <c r="GD46" s="35">
        <f t="shared" si="430"/>
        <v>4.6871265624999998E-2</v>
      </c>
      <c r="GE46" s="35">
        <f t="shared" si="431"/>
        <v>4.2965410156249995E-2</v>
      </c>
      <c r="GF46" s="35">
        <f t="shared" si="432"/>
        <v>-1.6811051878646843E-3</v>
      </c>
      <c r="GG46" s="35">
        <f t="shared" si="433"/>
        <v>3.9059554687499998E-2</v>
      </c>
      <c r="GH46" s="35">
        <f t="shared" si="434"/>
        <v>4.2965410156249995E-2</v>
      </c>
      <c r="GI46" s="35">
        <f t="shared" si="435"/>
        <v>4.1012482421874996E-2</v>
      </c>
      <c r="GJ46" s="35">
        <f t="shared" si="436"/>
        <v>-7.0450209209305115E-4</v>
      </c>
      <c r="GK46" s="35">
        <f t="shared" si="437"/>
        <v>3.9059554687499998E-2</v>
      </c>
      <c r="GL46" s="35">
        <f t="shared" si="438"/>
        <v>4.1012482421874996E-2</v>
      </c>
      <c r="GM46" s="35">
        <f t="shared" si="439"/>
        <v>4.0036018554687497E-2</v>
      </c>
      <c r="GN46" s="35">
        <f t="shared" si="440"/>
        <v>-2.1652426635054844E-4</v>
      </c>
      <c r="GO46" s="35">
        <f t="shared" si="441"/>
        <v>3.9059554687499998E-2</v>
      </c>
      <c r="GP46" s="35">
        <f t="shared" si="442"/>
        <v>4.0036018554687497E-2</v>
      </c>
      <c r="GQ46" s="35">
        <f t="shared" si="443"/>
        <v>3.9547786621093747E-2</v>
      </c>
      <c r="GR46" s="35">
        <f t="shared" si="444"/>
        <v>2.7383529654256833E-5</v>
      </c>
      <c r="GS46" s="35">
        <f t="shared" si="445"/>
        <v>3.9547786621093747E-2</v>
      </c>
      <c r="GT46" s="35">
        <f t="shared" si="446"/>
        <v>4.0036018554687497E-2</v>
      </c>
      <c r="GU46" s="35">
        <f t="shared" si="447"/>
        <v>3.9791902587890622E-2</v>
      </c>
      <c r="GV46" s="35">
        <f t="shared" si="448"/>
        <v>-9.4563603083575032E-5</v>
      </c>
      <c r="GW46" s="35">
        <f t="shared" si="449"/>
        <v>3.9547786621093747E-2</v>
      </c>
      <c r="GX46" s="35">
        <f t="shared" si="450"/>
        <v>3.9791902587890622E-2</v>
      </c>
      <c r="GY46" s="35">
        <f t="shared" si="451"/>
        <v>3.9669844604492188E-2</v>
      </c>
      <c r="GZ46" s="35">
        <f t="shared" si="452"/>
        <v>-3.3588344984569751E-5</v>
      </c>
      <c r="HA46" s="35">
        <f t="shared" si="453"/>
        <v>3.9547786621093747E-2</v>
      </c>
      <c r="HB46" s="35">
        <f t="shared" si="454"/>
        <v>3.9669844604492188E-2</v>
      </c>
      <c r="HC46" s="35">
        <f t="shared" si="455"/>
        <v>3.9608815612792968E-2</v>
      </c>
      <c r="HD46" s="35">
        <f t="shared" si="456"/>
        <v>-3.1019846810087515E-6</v>
      </c>
      <c r="HE46" s="35">
        <f t="shared" si="457"/>
        <v>3.9547786621093747E-2</v>
      </c>
      <c r="HF46" s="35">
        <f t="shared" si="458"/>
        <v>3.9608815612792968E-2</v>
      </c>
      <c r="HG46" s="35">
        <f t="shared" si="459"/>
        <v>3.9578301116943354E-2</v>
      </c>
      <c r="HH46" s="35">
        <f t="shared" si="460"/>
        <v>1.2140878239197406E-5</v>
      </c>
      <c r="HI46" s="35">
        <f t="shared" si="461"/>
        <v>3.9578301116943354E-2</v>
      </c>
      <c r="HJ46" s="35">
        <f t="shared" si="462"/>
        <v>3.9608815612792968E-2</v>
      </c>
      <c r="HK46" s="35">
        <f t="shared" si="463"/>
        <v>3.9593558364868164E-2</v>
      </c>
      <c r="HL46" s="35">
        <f t="shared" si="464"/>
        <v>4.5194732165576568E-6</v>
      </c>
      <c r="HM46" s="35">
        <f t="shared" si="465"/>
        <v>3.9593558364868164E-2</v>
      </c>
      <c r="HN46" s="35">
        <f t="shared" si="466"/>
        <v>3.9608815612792968E-2</v>
      </c>
      <c r="HO46" s="35">
        <f t="shared" si="467"/>
        <v>3.960118698883057E-2</v>
      </c>
      <c r="HP46" s="35">
        <f t="shared" si="468"/>
        <v>7.0875087687660709E-7</v>
      </c>
      <c r="HQ46" s="35">
        <f t="shared" si="469"/>
        <v>3.960118698883057E-2</v>
      </c>
      <c r="HR46" s="35">
        <f t="shared" si="470"/>
        <v>3.9608815612792968E-2</v>
      </c>
      <c r="HS46" s="35">
        <f t="shared" si="471"/>
        <v>3.9605001300811765E-2</v>
      </c>
      <c r="HT46" s="35">
        <f t="shared" si="472"/>
        <v>-1.1966152496656335E-6</v>
      </c>
      <c r="HU46" s="35">
        <f t="shared" si="473"/>
        <v>3.960118698883057E-2</v>
      </c>
      <c r="HV46" s="35">
        <f t="shared" si="474"/>
        <v>3.9605001300811765E-2</v>
      </c>
      <c r="HW46" s="35">
        <f t="shared" si="475"/>
        <v>3.9603094144821167E-2</v>
      </c>
      <c r="HX46" s="35">
        <f t="shared" si="476"/>
        <v>-2.4393177333603688E-7</v>
      </c>
      <c r="HY46" s="35">
        <f t="shared" si="477"/>
        <v>3.960118698883057E-2</v>
      </c>
      <c r="HZ46" s="35">
        <f t="shared" si="478"/>
        <v>3.9603094144821167E-2</v>
      </c>
      <c r="IA46" s="35">
        <f t="shared" si="479"/>
        <v>3.9602140566825872E-2</v>
      </c>
      <c r="IB46" s="35">
        <f t="shared" si="480"/>
        <v>2.3240965507653755E-7</v>
      </c>
      <c r="IC46" s="35">
        <f t="shared" si="481"/>
        <v>3.9602140566825872E-2</v>
      </c>
      <c r="ID46" s="35">
        <f t="shared" si="482"/>
        <v>3.9603094144821167E-2</v>
      </c>
      <c r="IE46" s="35">
        <f t="shared" si="483"/>
        <v>3.9602617355823516E-2</v>
      </c>
      <c r="IF46" s="35">
        <f t="shared" si="484"/>
        <v>-5.7610332060420433E-9</v>
      </c>
      <c r="IG46" s="35">
        <f t="shared" si="485"/>
        <v>3.9602140566825872E-2</v>
      </c>
      <c r="IH46" s="35">
        <f t="shared" si="486"/>
        <v>3.9602617355823516E-2</v>
      </c>
      <c r="II46" s="35">
        <f t="shared" si="487"/>
        <v>3.9602378961324694E-2</v>
      </c>
      <c r="IJ46" s="35">
        <f t="shared" si="488"/>
        <v>1.1332431726351899E-7</v>
      </c>
      <c r="IK46" s="35">
        <f t="shared" si="489"/>
        <v>3.9602378961324694E-2</v>
      </c>
      <c r="IL46" s="35">
        <f t="shared" si="490"/>
        <v>3.9602617355823516E-2</v>
      </c>
      <c r="IM46" s="35">
        <f t="shared" si="491"/>
        <v>3.9602498158574105E-2</v>
      </c>
      <c r="IN46" s="35">
        <f t="shared" si="492"/>
        <v>5.3781643583050709E-8</v>
      </c>
      <c r="IO46" s="35">
        <f t="shared" si="493"/>
        <v>3.9602498158574105E-2</v>
      </c>
      <c r="IP46" s="35">
        <f t="shared" si="494"/>
        <v>3.9602617355823516E-2</v>
      </c>
      <c r="IQ46" s="35">
        <f t="shared" si="495"/>
        <v>3.9602557757198814E-2</v>
      </c>
      <c r="IR46" s="35">
        <f t="shared" si="496"/>
        <v>2.4010305743615845E-8</v>
      </c>
      <c r="IS46" s="35">
        <f t="shared" si="497"/>
        <v>3.9602557757198814E-2</v>
      </c>
      <c r="IT46" s="35">
        <f t="shared" si="498"/>
        <v>3.9602617355823516E-2</v>
      </c>
      <c r="IU46" s="35">
        <f t="shared" si="499"/>
        <v>3.9602587556511165E-2</v>
      </c>
      <c r="IV46" s="35">
        <f t="shared" si="500"/>
        <v>9.1246361577645985E-9</v>
      </c>
      <c r="IW46" s="35">
        <f t="shared" si="501"/>
        <v>3.9602587556511165E-2</v>
      </c>
      <c r="IX46" s="35">
        <f t="shared" si="502"/>
        <v>3.9602617355823516E-2</v>
      </c>
      <c r="IY46" s="35">
        <f t="shared" si="503"/>
        <v>3.9602602456167341E-2</v>
      </c>
      <c r="IZ46" s="35">
        <f t="shared" si="504"/>
        <v>1.681801808928185E-9</v>
      </c>
      <c r="JA46" s="35">
        <f t="shared" si="505"/>
        <v>3.9602602456167341E-2</v>
      </c>
      <c r="JB46" s="35">
        <f t="shared" si="506"/>
        <v>3.9602617355823516E-2</v>
      </c>
      <c r="JC46" s="35">
        <f t="shared" si="507"/>
        <v>3.9602609905995428E-2</v>
      </c>
      <c r="JD46" s="35">
        <f t="shared" si="508"/>
        <v>-2.0396159206015341E-9</v>
      </c>
      <c r="JE46" s="35">
        <f t="shared" si="509"/>
        <v>3.9602602456167341E-2</v>
      </c>
      <c r="JF46" s="35">
        <f t="shared" si="510"/>
        <v>3.9602609905995428E-2</v>
      </c>
      <c r="JG46" s="35">
        <f t="shared" si="511"/>
        <v>3.9602606181081385E-2</v>
      </c>
      <c r="JH46" s="35">
        <f t="shared" si="512"/>
        <v>-1.7890711134782578E-10</v>
      </c>
      <c r="JI46" s="35">
        <f t="shared" si="513"/>
        <v>3.9602602456167341E-2</v>
      </c>
      <c r="JJ46" s="35">
        <f t="shared" si="514"/>
        <v>3.9602606181081385E-2</v>
      </c>
      <c r="JK46" s="35">
        <f t="shared" si="515"/>
        <v>3.9602604318624363E-2</v>
      </c>
      <c r="JL46" s="35">
        <f t="shared" si="516"/>
        <v>7.5144712674557468E-10</v>
      </c>
      <c r="JM46" s="35">
        <f t="shared" si="517"/>
        <v>3.9602604318624363E-2</v>
      </c>
      <c r="JN46" s="35">
        <f t="shared" si="518"/>
        <v>3.9602606181081385E-2</v>
      </c>
      <c r="JO46" s="35">
        <f t="shared" si="519"/>
        <v>3.9602605249852874E-2</v>
      </c>
      <c r="JP46" s="35">
        <f t="shared" si="520"/>
        <v>2.8626989667657199E-10</v>
      </c>
      <c r="JQ46" s="35">
        <f t="shared" si="521"/>
        <v>3.9602605249852874E-2</v>
      </c>
      <c r="JR46" s="35">
        <f t="shared" si="522"/>
        <v>3.9602606181081385E-2</v>
      </c>
      <c r="JS46" s="35">
        <f t="shared" si="523"/>
        <v>3.9602605715467129E-2</v>
      </c>
      <c r="JT46" s="35">
        <f t="shared" si="524"/>
        <v>5.3681503686675569E-11</v>
      </c>
      <c r="JU46" s="35">
        <f t="shared" si="525"/>
        <v>3.9602605715467129E-2</v>
      </c>
      <c r="JV46" s="35">
        <f t="shared" si="526"/>
        <v>3.9602606181081385E-2</v>
      </c>
      <c r="JW46" s="35">
        <f t="shared" si="527"/>
        <v>3.9602605948274257E-2</v>
      </c>
      <c r="JX46" s="35">
        <f t="shared" si="528"/>
        <v>-6.2612914852877566E-11</v>
      </c>
      <c r="JY46" s="35">
        <f t="shared" si="529"/>
        <v>3.9602605715467129E-2</v>
      </c>
      <c r="JZ46" s="35">
        <f t="shared" si="530"/>
        <v>3.9602605948274257E-2</v>
      </c>
      <c r="KA46" s="35">
        <f t="shared" si="531"/>
        <v>1.0598669931991025</v>
      </c>
      <c r="KB46" s="35">
        <f t="shared" si="532"/>
        <v>3.9602605831870696E-2</v>
      </c>
    </row>
    <row r="47" spans="1:288" ht="15" customHeight="1" x14ac:dyDescent="0.3">
      <c r="A47" s="30">
        <f>Odds_Input!A47</f>
        <v>39</v>
      </c>
      <c r="B47" s="7" t="str">
        <f>Odds_Input!B47</f>
        <v>CONF_EAST</v>
      </c>
      <c r="C47" s="7" t="str">
        <f>Odds_Input!C47</f>
        <v>Milwaukee Bucks</v>
      </c>
      <c r="D47" s="7" t="str">
        <f>Odds_Input!D47</f>
        <v>YES</v>
      </c>
      <c r="E47" s="31" t="str">
        <f>Odds_Input!E47</f>
        <v>-</v>
      </c>
      <c r="F47" s="32">
        <f>Odds_Input!F47</f>
        <v>25000</v>
      </c>
      <c r="G47" s="6" t="str">
        <f t="shared" si="0"/>
        <v>CONF_EAST</v>
      </c>
      <c r="H47" s="14">
        <f t="shared" si="1"/>
        <v>251</v>
      </c>
      <c r="I47" s="33">
        <f t="shared" si="2"/>
        <v>3.9840637450199202E-3</v>
      </c>
      <c r="J47" s="17">
        <f t="shared" si="3"/>
        <v>1</v>
      </c>
      <c r="K47" s="17">
        <f t="shared" si="4"/>
        <v>15</v>
      </c>
      <c r="L47" s="18">
        <f t="shared" si="5"/>
        <v>1.2088752212862357</v>
      </c>
      <c r="M47" s="34">
        <f t="shared" si="6"/>
        <v>0.2088752212862357</v>
      </c>
      <c r="N47" s="33">
        <f t="shared" si="7"/>
        <v>3.2956782262282629E-3</v>
      </c>
      <c r="O47" s="33">
        <f t="shared" si="8"/>
        <v>2.4236522355589778E-3</v>
      </c>
      <c r="P47" s="33">
        <f t="shared" si="9"/>
        <v>7.073360919281807E-4</v>
      </c>
      <c r="Q47" s="33">
        <f t="shared" si="10"/>
        <v>7.073360919281807E-4</v>
      </c>
      <c r="R47" s="35">
        <f t="shared" si="11"/>
        <v>1.0899522183230146</v>
      </c>
      <c r="S47" s="35">
        <f t="shared" si="12"/>
        <v>1.7868178675567389E-2</v>
      </c>
      <c r="X47" s="6" t="s">
        <v>822</v>
      </c>
      <c r="Y47" s="6">
        <f t="shared" si="273"/>
        <v>1</v>
      </c>
      <c r="Z47" s="18">
        <f t="shared" si="274"/>
        <v>1.0433604336043361</v>
      </c>
      <c r="AA47" s="10">
        <v>0.2</v>
      </c>
      <c r="AB47" s="10">
        <v>10</v>
      </c>
      <c r="AC47" s="35">
        <f t="shared" si="275"/>
        <v>5.0999999999999996</v>
      </c>
      <c r="AD47" s="35">
        <f t="shared" si="276"/>
        <v>-0.92439165644795407</v>
      </c>
      <c r="AE47" s="35">
        <f t="shared" si="277"/>
        <v>0.2</v>
      </c>
      <c r="AF47" s="35">
        <f t="shared" si="278"/>
        <v>5.0999999999999996</v>
      </c>
      <c r="AG47" s="35">
        <f t="shared" si="279"/>
        <v>2.65</v>
      </c>
      <c r="AH47" s="35">
        <f t="shared" si="280"/>
        <v>-0.64013762771461891</v>
      </c>
      <c r="AI47" s="35">
        <f t="shared" si="281"/>
        <v>0.2</v>
      </c>
      <c r="AJ47" s="35">
        <f t="shared" si="282"/>
        <v>2.65</v>
      </c>
      <c r="AK47" s="35">
        <f t="shared" si="283"/>
        <v>1.425</v>
      </c>
      <c r="AL47" s="35">
        <f t="shared" si="284"/>
        <v>-0.207707469276325</v>
      </c>
      <c r="AM47" s="35">
        <f t="shared" si="285"/>
        <v>0.2</v>
      </c>
      <c r="AN47" s="35">
        <f t="shared" si="286"/>
        <v>1.425</v>
      </c>
      <c r="AO47" s="35">
        <f t="shared" si="287"/>
        <v>0.8125</v>
      </c>
      <c r="AP47" s="35">
        <f t="shared" si="288"/>
        <v>0.17836926434639722</v>
      </c>
      <c r="AQ47" s="35">
        <f t="shared" si="289"/>
        <v>0.8125</v>
      </c>
      <c r="AR47" s="35">
        <f t="shared" si="290"/>
        <v>1.425</v>
      </c>
      <c r="AS47" s="35">
        <f t="shared" si="291"/>
        <v>1.1187499999999999</v>
      </c>
      <c r="AT47" s="35">
        <f t="shared" si="292"/>
        <v>-3.3953955076346354E-2</v>
      </c>
      <c r="AU47" s="35">
        <f t="shared" si="293"/>
        <v>0.8125</v>
      </c>
      <c r="AV47" s="35">
        <f t="shared" si="294"/>
        <v>1.1187499999999999</v>
      </c>
      <c r="AW47" s="35">
        <f t="shared" si="295"/>
        <v>0.96562499999999996</v>
      </c>
      <c r="AX47" s="35">
        <f t="shared" si="296"/>
        <v>6.6886383413200523E-2</v>
      </c>
      <c r="AY47" s="35">
        <f t="shared" si="297"/>
        <v>0.96562499999999996</v>
      </c>
      <c r="AZ47" s="35">
        <f t="shared" si="298"/>
        <v>1.1187499999999999</v>
      </c>
      <c r="BA47" s="35">
        <f t="shared" si="299"/>
        <v>1.0421874999999998</v>
      </c>
      <c r="BB47" s="35">
        <f t="shared" si="300"/>
        <v>1.5202414329130054E-2</v>
      </c>
      <c r="BC47" s="35">
        <f t="shared" si="301"/>
        <v>1.0421874999999998</v>
      </c>
      <c r="BD47" s="35">
        <f t="shared" si="302"/>
        <v>1.1187499999999999</v>
      </c>
      <c r="BE47" s="35">
        <f t="shared" si="303"/>
        <v>1.0804687499999999</v>
      </c>
      <c r="BF47" s="35">
        <f t="shared" si="304"/>
        <v>-9.6837727905547677E-3</v>
      </c>
      <c r="BG47" s="35">
        <f t="shared" si="305"/>
        <v>1.0421874999999998</v>
      </c>
      <c r="BH47" s="35">
        <f t="shared" si="306"/>
        <v>1.0804687499999999</v>
      </c>
      <c r="BI47" s="35">
        <f t="shared" si="307"/>
        <v>1.0613281249999997</v>
      </c>
      <c r="BJ47" s="35">
        <f t="shared" si="308"/>
        <v>2.681342569118339E-3</v>
      </c>
      <c r="BK47" s="35">
        <f t="shared" si="309"/>
        <v>1.0613281249999997</v>
      </c>
      <c r="BL47" s="35">
        <f t="shared" si="310"/>
        <v>1.0804687499999999</v>
      </c>
      <c r="BM47" s="35">
        <f t="shared" si="311"/>
        <v>1.0708984374999999</v>
      </c>
      <c r="BN47" s="35">
        <f t="shared" si="312"/>
        <v>-3.5205864848550927E-3</v>
      </c>
      <c r="BO47" s="35">
        <f t="shared" si="313"/>
        <v>1.0613281249999997</v>
      </c>
      <c r="BP47" s="35">
        <f t="shared" si="314"/>
        <v>1.0708984374999999</v>
      </c>
      <c r="BQ47" s="35">
        <f t="shared" si="315"/>
        <v>1.0661132812499998</v>
      </c>
      <c r="BR47" s="35">
        <f t="shared" si="316"/>
        <v>-4.2448013693174858E-4</v>
      </c>
      <c r="BS47" s="35">
        <f t="shared" si="317"/>
        <v>1.0613281249999997</v>
      </c>
      <c r="BT47" s="35">
        <f t="shared" si="318"/>
        <v>1.0661132812499998</v>
      </c>
      <c r="BU47" s="35">
        <f t="shared" si="319"/>
        <v>1.0637207031249998</v>
      </c>
      <c r="BV47" s="35">
        <f t="shared" si="320"/>
        <v>1.127214749024219E-3</v>
      </c>
      <c r="BW47" s="35">
        <f t="shared" si="321"/>
        <v>1.0637207031249998</v>
      </c>
      <c r="BX47" s="35">
        <f t="shared" si="322"/>
        <v>1.0661132812499998</v>
      </c>
      <c r="BY47" s="35">
        <f t="shared" si="323"/>
        <v>1.0649169921874999</v>
      </c>
      <c r="BZ47" s="35">
        <f t="shared" si="324"/>
        <v>3.5106342980673055E-4</v>
      </c>
      <c r="CA47" s="35">
        <f t="shared" si="325"/>
        <v>1.0649169921874999</v>
      </c>
      <c r="CB47" s="35">
        <f t="shared" si="326"/>
        <v>1.0661132812499998</v>
      </c>
      <c r="CC47" s="35">
        <f t="shared" si="327"/>
        <v>1.0655151367187499</v>
      </c>
      <c r="CD47" s="35">
        <f t="shared" si="328"/>
        <v>-3.6784292577363153E-5</v>
      </c>
      <c r="CE47" s="35">
        <f t="shared" si="329"/>
        <v>1.0649169921874999</v>
      </c>
      <c r="CF47" s="35">
        <f t="shared" si="330"/>
        <v>1.0655151367187499</v>
      </c>
      <c r="CG47" s="35">
        <f t="shared" si="331"/>
        <v>1.065216064453125</v>
      </c>
      <c r="CH47" s="35">
        <f t="shared" si="332"/>
        <v>1.5712058010630692E-4</v>
      </c>
      <c r="CI47" s="35">
        <f t="shared" si="333"/>
        <v>1.065216064453125</v>
      </c>
      <c r="CJ47" s="35">
        <f t="shared" si="334"/>
        <v>1.0655151367187499</v>
      </c>
      <c r="CK47" s="35">
        <f t="shared" si="335"/>
        <v>1.0653656005859373</v>
      </c>
      <c r="CL47" s="35">
        <f t="shared" si="336"/>
        <v>6.0163397106904881E-5</v>
      </c>
      <c r="CM47" s="35">
        <f t="shared" si="337"/>
        <v>1.0653656005859373</v>
      </c>
      <c r="CN47" s="35">
        <f t="shared" si="338"/>
        <v>1.0655151367187499</v>
      </c>
      <c r="CO47" s="35">
        <f t="shared" si="339"/>
        <v>1.0654403686523435</v>
      </c>
      <c r="CP47" s="35">
        <f t="shared" si="340"/>
        <v>1.1688365659123789E-5</v>
      </c>
      <c r="CQ47" s="35">
        <f t="shared" si="341"/>
        <v>1.0654403686523435</v>
      </c>
      <c r="CR47" s="35">
        <f t="shared" si="342"/>
        <v>1.0655151367187499</v>
      </c>
      <c r="CS47" s="35">
        <f t="shared" si="343"/>
        <v>1.0654777526855468</v>
      </c>
      <c r="CT47" s="35">
        <f t="shared" si="344"/>
        <v>-1.2548260103328879E-5</v>
      </c>
      <c r="CU47" s="35">
        <f t="shared" si="345"/>
        <v>1.0654403686523435</v>
      </c>
      <c r="CV47" s="35">
        <f t="shared" si="346"/>
        <v>1.0654777526855468</v>
      </c>
      <c r="CW47" s="35">
        <f t="shared" si="347"/>
        <v>1.0654590606689451</v>
      </c>
      <c r="CX47" s="35">
        <f t="shared" si="348"/>
        <v>-4.3002138416792235E-7</v>
      </c>
      <c r="CY47" s="35">
        <f t="shared" si="349"/>
        <v>1.0654403686523435</v>
      </c>
      <c r="CZ47" s="35">
        <f t="shared" si="350"/>
        <v>1.0654590606689451</v>
      </c>
      <c r="DA47" s="35">
        <f t="shared" si="351"/>
        <v>1.0654497146606443</v>
      </c>
      <c r="DB47" s="35">
        <f t="shared" si="352"/>
        <v>5.6291535970309781E-6</v>
      </c>
      <c r="DC47" s="35">
        <f t="shared" si="353"/>
        <v>1.0654497146606443</v>
      </c>
      <c r="DD47" s="35">
        <f t="shared" si="354"/>
        <v>1.0654590606689451</v>
      </c>
      <c r="DE47" s="35">
        <f t="shared" si="355"/>
        <v>1.0654543876647948</v>
      </c>
      <c r="DF47" s="35">
        <f t="shared" si="356"/>
        <v>2.5995614711948889E-6</v>
      </c>
      <c r="DG47" s="35">
        <f t="shared" si="357"/>
        <v>1.0654543876647948</v>
      </c>
      <c r="DH47" s="35">
        <f t="shared" si="358"/>
        <v>1.0654590606689451</v>
      </c>
      <c r="DI47" s="35">
        <f t="shared" si="359"/>
        <v>1.06545672416687</v>
      </c>
      <c r="DJ47" s="35">
        <f t="shared" si="360"/>
        <v>1.0847688847182013E-6</v>
      </c>
      <c r="DK47" s="35">
        <f t="shared" si="361"/>
        <v>1.06545672416687</v>
      </c>
      <c r="DL47" s="35">
        <f t="shared" si="362"/>
        <v>1.0654590606689451</v>
      </c>
      <c r="DM47" s="35">
        <f t="shared" si="363"/>
        <v>1.0654578924179074</v>
      </c>
      <c r="DN47" s="35">
        <f t="shared" si="364"/>
        <v>3.2737346078448581E-7</v>
      </c>
      <c r="DO47" s="35">
        <f t="shared" si="365"/>
        <v>1.0654578924179074</v>
      </c>
      <c r="DP47" s="35">
        <f t="shared" si="366"/>
        <v>1.0654590606689451</v>
      </c>
      <c r="DQ47" s="35">
        <f t="shared" si="367"/>
        <v>1.0654584765434263</v>
      </c>
      <c r="DR47" s="35">
        <f t="shared" si="368"/>
        <v>-5.1324034133770624E-8</v>
      </c>
      <c r="DS47" s="35">
        <f t="shared" si="369"/>
        <v>1.0654578924179074</v>
      </c>
      <c r="DT47" s="35">
        <f t="shared" si="370"/>
        <v>1.0654584765434263</v>
      </c>
      <c r="DU47" s="35">
        <f t="shared" si="371"/>
        <v>1.0654581844806668</v>
      </c>
      <c r="DV47" s="35">
        <f t="shared" si="372"/>
        <v>1.3802469522872229E-7</v>
      </c>
      <c r="DW47" s="35">
        <f t="shared" si="373"/>
        <v>1.0654581844806668</v>
      </c>
      <c r="DX47" s="35">
        <f t="shared" si="374"/>
        <v>1.0654584765434263</v>
      </c>
      <c r="DY47" s="35">
        <f t="shared" si="375"/>
        <v>1.0654583305120466</v>
      </c>
      <c r="DZ47" s="35">
        <f t="shared" si="376"/>
        <v>4.3350325995561434E-8</v>
      </c>
      <c r="EA47" s="35">
        <f t="shared" si="377"/>
        <v>1.0654583305120466</v>
      </c>
      <c r="EB47" s="35">
        <f t="shared" si="378"/>
        <v>1.0654584765434263</v>
      </c>
      <c r="EC47" s="35">
        <f t="shared" si="379"/>
        <v>1.0654584035277366</v>
      </c>
      <c r="ED47" s="35">
        <f t="shared" si="380"/>
        <v>-3.9868552903499221E-9</v>
      </c>
      <c r="EE47" s="35">
        <f t="shared" si="381"/>
        <v>1.0654583305120466</v>
      </c>
      <c r="EF47" s="35">
        <f t="shared" si="382"/>
        <v>1.0654584035277366</v>
      </c>
      <c r="EG47" s="35">
        <f t="shared" si="383"/>
        <v>1.0654583670198916</v>
      </c>
      <c r="EH47" s="35">
        <f t="shared" si="384"/>
        <v>1.9681735130561151E-8</v>
      </c>
      <c r="EI47" s="35">
        <f t="shared" si="385"/>
        <v>1.0654583670198916</v>
      </c>
      <c r="EJ47" s="35">
        <f t="shared" si="386"/>
        <v>1.0654584035277366</v>
      </c>
      <c r="EK47" s="35">
        <f t="shared" si="387"/>
        <v>1.0654583852738142</v>
      </c>
      <c r="EL47" s="35">
        <f t="shared" si="388"/>
        <v>7.847439809083312E-9</v>
      </c>
      <c r="EM47" s="35">
        <f t="shared" si="389"/>
        <v>1.0654583852738142</v>
      </c>
      <c r="EN47" s="35">
        <f t="shared" si="390"/>
        <v>1.0654584035277366</v>
      </c>
      <c r="EO47" s="35">
        <f t="shared" si="391"/>
        <v>1.0654583944007754</v>
      </c>
      <c r="EP47" s="35">
        <f t="shared" si="392"/>
        <v>1.9302921483443924E-9</v>
      </c>
      <c r="EQ47" s="35">
        <f t="shared" si="393"/>
        <v>1.0654583944007754</v>
      </c>
      <c r="ER47" s="35">
        <f t="shared" si="394"/>
        <v>1.0654584035277366</v>
      </c>
      <c r="ES47" s="35">
        <f t="shared" si="395"/>
        <v>1.0654583989642559</v>
      </c>
      <c r="ET47" s="35">
        <f t="shared" si="396"/>
        <v>-1.0282814599804624E-9</v>
      </c>
      <c r="EU47" s="35">
        <f t="shared" si="397"/>
        <v>1.0654583944007754</v>
      </c>
      <c r="EV47" s="35">
        <f t="shared" si="398"/>
        <v>1.0654583989642559</v>
      </c>
      <c r="EW47" s="35">
        <f t="shared" si="399"/>
        <v>1.0654583966825157</v>
      </c>
      <c r="EX47" s="35">
        <f t="shared" si="400"/>
        <v>4.5100545520426749E-10</v>
      </c>
      <c r="EY47" s="35">
        <f t="shared" si="401"/>
        <v>1.0654583966825157</v>
      </c>
      <c r="EZ47" s="35">
        <f t="shared" si="402"/>
        <v>1.0654583989642559</v>
      </c>
      <c r="FA47" s="10">
        <v>9.9999999999999995E-7</v>
      </c>
      <c r="FB47" s="10">
        <v>0.99990000000000001</v>
      </c>
      <c r="FC47" s="35">
        <f t="shared" si="403"/>
        <v>0.49995050000000002</v>
      </c>
      <c r="FD47" s="35">
        <f t="shared" si="404"/>
        <v>-0.24225442311361345</v>
      </c>
      <c r="FE47" s="35">
        <f t="shared" si="405"/>
        <v>9.9999999999999995E-7</v>
      </c>
      <c r="FF47" s="35">
        <f t="shared" si="406"/>
        <v>0.49995050000000002</v>
      </c>
      <c r="FG47" s="35">
        <f t="shared" si="407"/>
        <v>0.24997575</v>
      </c>
      <c r="FH47" s="35">
        <f t="shared" si="408"/>
        <v>-0.10747622360140519</v>
      </c>
      <c r="FI47" s="35">
        <f t="shared" si="409"/>
        <v>9.9999999999999995E-7</v>
      </c>
      <c r="FJ47" s="35">
        <f t="shared" si="410"/>
        <v>0.24997575</v>
      </c>
      <c r="FK47" s="35">
        <f t="shared" si="411"/>
        <v>0.124988375</v>
      </c>
      <c r="FL47" s="35">
        <f t="shared" si="412"/>
        <v>-4.1531448951261152E-2</v>
      </c>
      <c r="FM47" s="35">
        <f t="shared" si="413"/>
        <v>9.9999999999999995E-7</v>
      </c>
      <c r="FN47" s="35">
        <f t="shared" si="414"/>
        <v>0.124988375</v>
      </c>
      <c r="FO47" s="35">
        <f t="shared" si="415"/>
        <v>6.24946875E-2</v>
      </c>
      <c r="FP47" s="35">
        <f t="shared" si="416"/>
        <v>-9.6015564214432247E-3</v>
      </c>
      <c r="FQ47" s="35">
        <f t="shared" si="417"/>
        <v>9.9999999999999995E-7</v>
      </c>
      <c r="FR47" s="35">
        <f t="shared" si="418"/>
        <v>6.24946875E-2</v>
      </c>
      <c r="FS47" s="35">
        <f t="shared" si="419"/>
        <v>3.124784375E-2</v>
      </c>
      <c r="FT47" s="35">
        <f t="shared" si="420"/>
        <v>6.0407516213261125E-3</v>
      </c>
      <c r="FU47" s="35">
        <f t="shared" si="421"/>
        <v>3.124784375E-2</v>
      </c>
      <c r="FV47" s="35">
        <f t="shared" si="422"/>
        <v>6.24946875E-2</v>
      </c>
      <c r="FW47" s="35">
        <f t="shared" si="423"/>
        <v>4.6871265624999998E-2</v>
      </c>
      <c r="FX47" s="35">
        <f t="shared" si="424"/>
        <v>-1.7520096273285768E-3</v>
      </c>
      <c r="FY47" s="35">
        <f t="shared" si="425"/>
        <v>3.124784375E-2</v>
      </c>
      <c r="FZ47" s="35">
        <f t="shared" si="426"/>
        <v>4.6871265624999998E-2</v>
      </c>
      <c r="GA47" s="35">
        <f t="shared" si="427"/>
        <v>3.9059554687499998E-2</v>
      </c>
      <c r="GB47" s="35">
        <f t="shared" si="428"/>
        <v>2.1515714985638201E-3</v>
      </c>
      <c r="GC47" s="35">
        <f t="shared" si="429"/>
        <v>3.9059554687499998E-2</v>
      </c>
      <c r="GD47" s="35">
        <f t="shared" si="430"/>
        <v>4.6871265624999998E-2</v>
      </c>
      <c r="GE47" s="35">
        <f t="shared" si="431"/>
        <v>4.2965410156249995E-2</v>
      </c>
      <c r="GF47" s="35">
        <f t="shared" si="432"/>
        <v>2.0156857126796268E-4</v>
      </c>
      <c r="GG47" s="35">
        <f t="shared" si="433"/>
        <v>4.2965410156249995E-2</v>
      </c>
      <c r="GH47" s="35">
        <f t="shared" si="434"/>
        <v>4.6871265624999998E-2</v>
      </c>
      <c r="GI47" s="35">
        <f t="shared" si="435"/>
        <v>4.4918337890624993E-2</v>
      </c>
      <c r="GJ47" s="35">
        <f t="shared" si="436"/>
        <v>-7.7477520638735697E-4</v>
      </c>
      <c r="GK47" s="35">
        <f t="shared" si="437"/>
        <v>4.2965410156249995E-2</v>
      </c>
      <c r="GL47" s="35">
        <f t="shared" si="438"/>
        <v>4.4918337890624993E-2</v>
      </c>
      <c r="GM47" s="35">
        <f t="shared" si="439"/>
        <v>4.3941874023437494E-2</v>
      </c>
      <c r="GN47" s="35">
        <f t="shared" si="440"/>
        <v>-2.8649178757422789E-4</v>
      </c>
      <c r="GO47" s="35">
        <f t="shared" si="441"/>
        <v>4.2965410156249995E-2</v>
      </c>
      <c r="GP47" s="35">
        <f t="shared" si="442"/>
        <v>4.3941874023437494E-2</v>
      </c>
      <c r="GQ47" s="35">
        <f t="shared" si="443"/>
        <v>4.3453642089843744E-2</v>
      </c>
      <c r="GR47" s="35">
        <f t="shared" si="444"/>
        <v>-4.2433700812027908E-5</v>
      </c>
      <c r="GS47" s="35">
        <f t="shared" si="445"/>
        <v>4.2965410156249995E-2</v>
      </c>
      <c r="GT47" s="35">
        <f t="shared" si="446"/>
        <v>4.3453642089843744E-2</v>
      </c>
      <c r="GU47" s="35">
        <f t="shared" si="447"/>
        <v>4.3209526123046869E-2</v>
      </c>
      <c r="GV47" s="35">
        <f t="shared" si="448"/>
        <v>7.95744151622646E-5</v>
      </c>
      <c r="GW47" s="35">
        <f t="shared" si="449"/>
        <v>4.3209526123046869E-2</v>
      </c>
      <c r="GX47" s="35">
        <f t="shared" si="450"/>
        <v>4.3453642089843744E-2</v>
      </c>
      <c r="GY47" s="35">
        <f t="shared" si="451"/>
        <v>4.3331584106445303E-2</v>
      </c>
      <c r="GZ47" s="35">
        <f t="shared" si="452"/>
        <v>1.8572101771807681E-5</v>
      </c>
      <c r="HA47" s="35">
        <f t="shared" si="453"/>
        <v>4.3331584106445303E-2</v>
      </c>
      <c r="HB47" s="35">
        <f t="shared" si="454"/>
        <v>4.3453642089843744E-2</v>
      </c>
      <c r="HC47" s="35">
        <f t="shared" si="455"/>
        <v>4.3392613098144524E-2</v>
      </c>
      <c r="HD47" s="35">
        <f t="shared" si="456"/>
        <v>-1.1930363419287993E-5</v>
      </c>
      <c r="HE47" s="35">
        <f t="shared" si="457"/>
        <v>4.3331584106445303E-2</v>
      </c>
      <c r="HF47" s="35">
        <f t="shared" si="458"/>
        <v>4.3392613098144524E-2</v>
      </c>
      <c r="HG47" s="35">
        <f t="shared" si="459"/>
        <v>4.336209860229491E-2</v>
      </c>
      <c r="HH47" s="35">
        <f t="shared" si="460"/>
        <v>3.3209782073218008E-6</v>
      </c>
      <c r="HI47" s="35">
        <f t="shared" si="461"/>
        <v>4.336209860229491E-2</v>
      </c>
      <c r="HJ47" s="35">
        <f t="shared" si="462"/>
        <v>4.3392613098144524E-2</v>
      </c>
      <c r="HK47" s="35">
        <f t="shared" si="463"/>
        <v>4.337735585021972E-2</v>
      </c>
      <c r="HL47" s="35">
        <f t="shared" si="464"/>
        <v>-4.3046653489531295E-6</v>
      </c>
      <c r="HM47" s="35">
        <f t="shared" si="465"/>
        <v>4.336209860229491E-2</v>
      </c>
      <c r="HN47" s="35">
        <f t="shared" si="466"/>
        <v>4.337735585021972E-2</v>
      </c>
      <c r="HO47" s="35">
        <f t="shared" si="467"/>
        <v>4.3369727226257315E-2</v>
      </c>
      <c r="HP47" s="35">
        <f t="shared" si="468"/>
        <v>-4.9183675654429493E-7</v>
      </c>
      <c r="HQ47" s="35">
        <f t="shared" si="469"/>
        <v>4.336209860229491E-2</v>
      </c>
      <c r="HR47" s="35">
        <f t="shared" si="470"/>
        <v>4.3369727226257315E-2</v>
      </c>
      <c r="HS47" s="35">
        <f t="shared" si="471"/>
        <v>4.3365912914276113E-2</v>
      </c>
      <c r="HT47" s="35">
        <f t="shared" si="472"/>
        <v>1.4145724289704731E-6</v>
      </c>
      <c r="HU47" s="35">
        <f t="shared" si="473"/>
        <v>4.3365912914276113E-2</v>
      </c>
      <c r="HV47" s="35">
        <f t="shared" si="474"/>
        <v>4.3369727226257315E-2</v>
      </c>
      <c r="HW47" s="35">
        <f t="shared" si="475"/>
        <v>4.336782007026671E-2</v>
      </c>
      <c r="HX47" s="35">
        <f t="shared" si="476"/>
        <v>4.6136826203913017E-7</v>
      </c>
      <c r="HY47" s="35">
        <f t="shared" si="477"/>
        <v>4.336782007026671E-2</v>
      </c>
      <c r="HZ47" s="35">
        <f t="shared" si="478"/>
        <v>4.3369727226257315E-2</v>
      </c>
      <c r="IA47" s="35">
        <f t="shared" si="479"/>
        <v>4.3368773648262013E-2</v>
      </c>
      <c r="IB47" s="35">
        <f t="shared" si="480"/>
        <v>-1.5234140615660863E-8</v>
      </c>
      <c r="IC47" s="35">
        <f t="shared" si="481"/>
        <v>4.336782007026671E-2</v>
      </c>
      <c r="ID47" s="35">
        <f t="shared" si="482"/>
        <v>4.3368773648262013E-2</v>
      </c>
      <c r="IE47" s="35">
        <f t="shared" si="483"/>
        <v>4.3368296859264362E-2</v>
      </c>
      <c r="IF47" s="35">
        <f t="shared" si="484"/>
        <v>2.2306708724606494E-7</v>
      </c>
      <c r="IG47" s="35">
        <f t="shared" si="485"/>
        <v>4.3368296859264362E-2</v>
      </c>
      <c r="IH47" s="35">
        <f t="shared" si="486"/>
        <v>4.3368773648262013E-2</v>
      </c>
      <c r="II47" s="35">
        <f t="shared" si="487"/>
        <v>4.3368535253763191E-2</v>
      </c>
      <c r="IJ47" s="35">
        <f t="shared" si="488"/>
        <v>1.0391648008756249E-7</v>
      </c>
      <c r="IK47" s="35">
        <f t="shared" si="489"/>
        <v>4.3368535253763191E-2</v>
      </c>
      <c r="IL47" s="35">
        <f t="shared" si="490"/>
        <v>4.3368773648262013E-2</v>
      </c>
      <c r="IM47" s="35">
        <f t="shared" si="491"/>
        <v>4.3368654451012602E-2</v>
      </c>
      <c r="IN47" s="35">
        <f t="shared" si="492"/>
        <v>4.4341171179240746E-8</v>
      </c>
      <c r="IO47" s="35">
        <f t="shared" si="493"/>
        <v>4.3368654451012602E-2</v>
      </c>
      <c r="IP47" s="35">
        <f t="shared" si="494"/>
        <v>4.3368773648262013E-2</v>
      </c>
      <c r="IQ47" s="35">
        <f t="shared" si="495"/>
        <v>4.3368714049637311E-2</v>
      </c>
      <c r="IR47" s="35">
        <f t="shared" si="496"/>
        <v>1.4553515947923756E-8</v>
      </c>
      <c r="IS47" s="35">
        <f t="shared" si="497"/>
        <v>4.3368714049637311E-2</v>
      </c>
      <c r="IT47" s="35">
        <f t="shared" si="498"/>
        <v>4.3368773648262013E-2</v>
      </c>
      <c r="IU47" s="35">
        <f t="shared" si="499"/>
        <v>4.3368743848949662E-2</v>
      </c>
      <c r="IV47" s="35">
        <f t="shared" si="500"/>
        <v>-3.4031222284625073E-10</v>
      </c>
      <c r="IW47" s="35">
        <f t="shared" si="501"/>
        <v>4.3368714049637311E-2</v>
      </c>
      <c r="IX47" s="35">
        <f t="shared" si="502"/>
        <v>4.3368743848949662E-2</v>
      </c>
      <c r="IY47" s="35">
        <f t="shared" si="503"/>
        <v>4.3368728949293486E-2</v>
      </c>
      <c r="IZ47" s="35">
        <f t="shared" si="504"/>
        <v>7.1066017515164503E-9</v>
      </c>
      <c r="JA47" s="35">
        <f t="shared" si="505"/>
        <v>4.3368728949293486E-2</v>
      </c>
      <c r="JB47" s="35">
        <f t="shared" si="506"/>
        <v>4.3368743848949662E-2</v>
      </c>
      <c r="JC47" s="35">
        <f t="shared" si="507"/>
        <v>4.3368736399121574E-2</v>
      </c>
      <c r="JD47" s="35">
        <f t="shared" si="508"/>
        <v>3.3831446533127973E-9</v>
      </c>
      <c r="JE47" s="35">
        <f t="shared" si="509"/>
        <v>4.3368736399121574E-2</v>
      </c>
      <c r="JF47" s="35">
        <f t="shared" si="510"/>
        <v>4.3368743848949662E-2</v>
      </c>
      <c r="JG47" s="35">
        <f t="shared" si="511"/>
        <v>4.3368740124035618E-2</v>
      </c>
      <c r="JH47" s="35">
        <f t="shared" si="512"/>
        <v>1.5214161042109708E-9</v>
      </c>
      <c r="JI47" s="35">
        <f t="shared" si="513"/>
        <v>4.3368740124035618E-2</v>
      </c>
      <c r="JJ47" s="35">
        <f t="shared" si="514"/>
        <v>4.3368743848949662E-2</v>
      </c>
      <c r="JK47" s="35">
        <f t="shared" si="515"/>
        <v>4.336874198649264E-2</v>
      </c>
      <c r="JL47" s="35">
        <f t="shared" si="516"/>
        <v>5.9055205170466252E-10</v>
      </c>
      <c r="JM47" s="35">
        <f t="shared" si="517"/>
        <v>4.336874198649264E-2</v>
      </c>
      <c r="JN47" s="35">
        <f t="shared" si="518"/>
        <v>4.3368743848949662E-2</v>
      </c>
      <c r="JO47" s="35">
        <f t="shared" si="519"/>
        <v>4.3368742917721151E-2</v>
      </c>
      <c r="JP47" s="35">
        <f t="shared" si="520"/>
        <v>1.2511991442920589E-10</v>
      </c>
      <c r="JQ47" s="35">
        <f t="shared" si="521"/>
        <v>4.3368742917721151E-2</v>
      </c>
      <c r="JR47" s="35">
        <f t="shared" si="522"/>
        <v>4.3368743848949662E-2</v>
      </c>
      <c r="JS47" s="35">
        <f t="shared" si="523"/>
        <v>4.3368743383335406E-2</v>
      </c>
      <c r="JT47" s="35">
        <f t="shared" si="524"/>
        <v>-1.0759626523082488E-10</v>
      </c>
      <c r="JU47" s="35">
        <f t="shared" si="525"/>
        <v>4.3368742917721151E-2</v>
      </c>
      <c r="JV47" s="35">
        <f t="shared" si="526"/>
        <v>4.3368743383335406E-2</v>
      </c>
      <c r="JW47" s="35">
        <f t="shared" si="527"/>
        <v>4.3368743150528279E-2</v>
      </c>
      <c r="JX47" s="35">
        <f t="shared" si="528"/>
        <v>8.7616580657368104E-12</v>
      </c>
      <c r="JY47" s="35">
        <f t="shared" si="529"/>
        <v>4.3368743150528279E-2</v>
      </c>
      <c r="JZ47" s="35">
        <f t="shared" si="530"/>
        <v>4.3368743383335406E-2</v>
      </c>
      <c r="KA47" s="35">
        <f t="shared" si="531"/>
        <v>1.0654583978233858</v>
      </c>
      <c r="KB47" s="35">
        <f t="shared" si="532"/>
        <v>4.3368743266931839E-2</v>
      </c>
    </row>
    <row r="48" spans="1:288" ht="15" customHeight="1" x14ac:dyDescent="0.3">
      <c r="A48" s="30">
        <f>Odds_Input!A48</f>
        <v>40</v>
      </c>
      <c r="B48" s="7" t="str">
        <f>Odds_Input!B48</f>
        <v>CONF_EAST</v>
      </c>
      <c r="C48" s="7" t="str">
        <f>Odds_Input!C48</f>
        <v>New York Knicks</v>
      </c>
      <c r="D48" s="7" t="str">
        <f>Odds_Input!D48</f>
        <v>YES</v>
      </c>
      <c r="E48" s="31" t="str">
        <f>Odds_Input!E48</f>
        <v>-</v>
      </c>
      <c r="F48" s="32">
        <f>Odds_Input!F48</f>
        <v>375</v>
      </c>
      <c r="G48" s="6" t="str">
        <f t="shared" si="0"/>
        <v>CONF_EAST</v>
      </c>
      <c r="H48" s="14">
        <f t="shared" si="1"/>
        <v>4.75</v>
      </c>
      <c r="I48" s="33">
        <f t="shared" si="2"/>
        <v>0.21052631578947367</v>
      </c>
      <c r="J48" s="17">
        <f t="shared" si="3"/>
        <v>1</v>
      </c>
      <c r="K48" s="17">
        <f t="shared" si="4"/>
        <v>15</v>
      </c>
      <c r="L48" s="18">
        <f t="shared" si="5"/>
        <v>1.2088752212862357</v>
      </c>
      <c r="M48" s="34">
        <f t="shared" si="6"/>
        <v>0.2088752212862357</v>
      </c>
      <c r="N48" s="33">
        <f t="shared" si="7"/>
        <v>0.17415057574385137</v>
      </c>
      <c r="O48" s="33">
        <f t="shared" si="8"/>
        <v>0.18299376771773102</v>
      </c>
      <c r="P48" s="33">
        <f t="shared" si="9"/>
        <v>0.18432790951462147</v>
      </c>
      <c r="Q48" s="33">
        <f t="shared" si="10"/>
        <v>0.18432790951462147</v>
      </c>
      <c r="R48" s="35">
        <f t="shared" si="11"/>
        <v>1.0899522183230146</v>
      </c>
      <c r="S48" s="35">
        <f t="shared" si="12"/>
        <v>1.7868178675567389E-2</v>
      </c>
      <c r="X48" s="6" t="s">
        <v>823</v>
      </c>
      <c r="Y48" s="6">
        <f t="shared" si="273"/>
        <v>1</v>
      </c>
      <c r="Z48" s="18">
        <f t="shared" si="274"/>
        <v>1.0378787878787878</v>
      </c>
      <c r="AA48" s="10">
        <v>0.2</v>
      </c>
      <c r="AB48" s="10">
        <v>10</v>
      </c>
      <c r="AC48" s="35">
        <f t="shared" si="275"/>
        <v>5.0999999999999996</v>
      </c>
      <c r="AD48" s="35">
        <f t="shared" si="276"/>
        <v>-0.91806799327982047</v>
      </c>
      <c r="AE48" s="35">
        <f t="shared" si="277"/>
        <v>0.2</v>
      </c>
      <c r="AF48" s="35">
        <f t="shared" si="278"/>
        <v>5.0999999999999996</v>
      </c>
      <c r="AG48" s="35">
        <f t="shared" si="279"/>
        <v>2.65</v>
      </c>
      <c r="AH48" s="35">
        <f t="shared" si="280"/>
        <v>-0.63653378467049637</v>
      </c>
      <c r="AI48" s="35">
        <f t="shared" si="281"/>
        <v>0.2</v>
      </c>
      <c r="AJ48" s="35">
        <f t="shared" si="282"/>
        <v>2.65</v>
      </c>
      <c r="AK48" s="35">
        <f t="shared" si="283"/>
        <v>1.425</v>
      </c>
      <c r="AL48" s="35">
        <f t="shared" si="284"/>
        <v>-0.2109694701974747</v>
      </c>
      <c r="AM48" s="35">
        <f t="shared" si="285"/>
        <v>0.2</v>
      </c>
      <c r="AN48" s="35">
        <f t="shared" si="286"/>
        <v>1.425</v>
      </c>
      <c r="AO48" s="35">
        <f t="shared" si="287"/>
        <v>0.8125</v>
      </c>
      <c r="AP48" s="35">
        <f t="shared" si="288"/>
        <v>0.17233270998718608</v>
      </c>
      <c r="AQ48" s="35">
        <f t="shared" si="289"/>
        <v>0.8125</v>
      </c>
      <c r="AR48" s="35">
        <f t="shared" si="290"/>
        <v>1.425</v>
      </c>
      <c r="AS48" s="35">
        <f t="shared" si="291"/>
        <v>1.1187499999999999</v>
      </c>
      <c r="AT48" s="35">
        <f t="shared" si="292"/>
        <v>-3.891531114315816E-2</v>
      </c>
      <c r="AU48" s="35">
        <f t="shared" si="293"/>
        <v>0.8125</v>
      </c>
      <c r="AV48" s="35">
        <f t="shared" si="294"/>
        <v>1.1187499999999999</v>
      </c>
      <c r="AW48" s="35">
        <f t="shared" si="295"/>
        <v>0.96562499999999996</v>
      </c>
      <c r="AX48" s="35">
        <f t="shared" si="296"/>
        <v>6.1275653127510488E-2</v>
      </c>
      <c r="AY48" s="35">
        <f t="shared" si="297"/>
        <v>0.96562499999999996</v>
      </c>
      <c r="AZ48" s="35">
        <f t="shared" si="298"/>
        <v>1.1187499999999999</v>
      </c>
      <c r="BA48" s="35">
        <f t="shared" si="299"/>
        <v>1.0421874999999998</v>
      </c>
      <c r="BB48" s="35">
        <f t="shared" si="300"/>
        <v>9.8932233660302682E-3</v>
      </c>
      <c r="BC48" s="35">
        <f t="shared" si="301"/>
        <v>1.0421874999999998</v>
      </c>
      <c r="BD48" s="35">
        <f t="shared" si="302"/>
        <v>1.1187499999999999</v>
      </c>
      <c r="BE48" s="35">
        <f t="shared" si="303"/>
        <v>1.0804687499999999</v>
      </c>
      <c r="BF48" s="35">
        <f t="shared" si="304"/>
        <v>-1.4824288182540002E-2</v>
      </c>
      <c r="BG48" s="35">
        <f t="shared" si="305"/>
        <v>1.0421874999999998</v>
      </c>
      <c r="BH48" s="35">
        <f t="shared" si="306"/>
        <v>1.0804687499999999</v>
      </c>
      <c r="BI48" s="35">
        <f t="shared" si="307"/>
        <v>1.0613281249999997</v>
      </c>
      <c r="BJ48" s="35">
        <f t="shared" si="308"/>
        <v>-2.5448869179010014E-3</v>
      </c>
      <c r="BK48" s="35">
        <f t="shared" si="309"/>
        <v>1.0421874999999998</v>
      </c>
      <c r="BL48" s="35">
        <f t="shared" si="310"/>
        <v>1.0613281249999997</v>
      </c>
      <c r="BM48" s="35">
        <f t="shared" si="311"/>
        <v>1.0517578124999998</v>
      </c>
      <c r="BN48" s="35">
        <f t="shared" si="312"/>
        <v>3.6541975999020426E-3</v>
      </c>
      <c r="BO48" s="35">
        <f t="shared" si="313"/>
        <v>1.0517578124999998</v>
      </c>
      <c r="BP48" s="35">
        <f t="shared" si="314"/>
        <v>1.0613281249999997</v>
      </c>
      <c r="BQ48" s="35">
        <f t="shared" si="315"/>
        <v>1.0565429687499996</v>
      </c>
      <c r="BR48" s="35">
        <f t="shared" si="316"/>
        <v>5.4967925515869709E-4</v>
      </c>
      <c r="BS48" s="35">
        <f t="shared" si="317"/>
        <v>1.0565429687499996</v>
      </c>
      <c r="BT48" s="35">
        <f t="shared" si="318"/>
        <v>1.0613281249999997</v>
      </c>
      <c r="BU48" s="35">
        <f t="shared" si="319"/>
        <v>1.0589355468749997</v>
      </c>
      <c r="BV48" s="35">
        <f t="shared" si="320"/>
        <v>-9.9884578775411015E-4</v>
      </c>
      <c r="BW48" s="35">
        <f t="shared" si="321"/>
        <v>1.0565429687499996</v>
      </c>
      <c r="BX48" s="35">
        <f t="shared" si="322"/>
        <v>1.0589355468749997</v>
      </c>
      <c r="BY48" s="35">
        <f t="shared" si="323"/>
        <v>1.0577392578124996</v>
      </c>
      <c r="BZ48" s="35">
        <f t="shared" si="324"/>
        <v>-2.2489401325187508E-4</v>
      </c>
      <c r="CA48" s="35">
        <f t="shared" si="325"/>
        <v>1.0565429687499996</v>
      </c>
      <c r="CB48" s="35">
        <f t="shared" si="326"/>
        <v>1.0577392578124996</v>
      </c>
      <c r="CC48" s="35">
        <f t="shared" si="327"/>
        <v>1.0571411132812496</v>
      </c>
      <c r="CD48" s="35">
        <f t="shared" si="328"/>
        <v>1.6231490195850462E-4</v>
      </c>
      <c r="CE48" s="35">
        <f t="shared" si="329"/>
        <v>1.0571411132812496</v>
      </c>
      <c r="CF48" s="35">
        <f t="shared" si="330"/>
        <v>1.0577392578124996</v>
      </c>
      <c r="CG48" s="35">
        <f t="shared" si="331"/>
        <v>1.0574401855468745</v>
      </c>
      <c r="CH48" s="35">
        <f t="shared" si="332"/>
        <v>-3.1308981362276889E-5</v>
      </c>
      <c r="CI48" s="35">
        <f t="shared" si="333"/>
        <v>1.0571411132812496</v>
      </c>
      <c r="CJ48" s="35">
        <f t="shared" si="334"/>
        <v>1.0574401855468745</v>
      </c>
      <c r="CK48" s="35">
        <f t="shared" si="335"/>
        <v>1.0572906494140621</v>
      </c>
      <c r="CL48" s="35">
        <f t="shared" si="336"/>
        <v>6.5498103364980409E-5</v>
      </c>
      <c r="CM48" s="35">
        <f t="shared" si="337"/>
        <v>1.0572906494140621</v>
      </c>
      <c r="CN48" s="35">
        <f t="shared" si="338"/>
        <v>1.0574401855468745</v>
      </c>
      <c r="CO48" s="35">
        <f t="shared" si="339"/>
        <v>1.0573654174804683</v>
      </c>
      <c r="CP48" s="35">
        <f t="shared" si="340"/>
        <v>1.7093346831309475E-5</v>
      </c>
      <c r="CQ48" s="35">
        <f t="shared" si="341"/>
        <v>1.0573654174804683</v>
      </c>
      <c r="CR48" s="35">
        <f t="shared" si="342"/>
        <v>1.0574401855468745</v>
      </c>
      <c r="CS48" s="35">
        <f t="shared" si="343"/>
        <v>1.0574028015136714</v>
      </c>
      <c r="CT48" s="35">
        <f t="shared" si="344"/>
        <v>-7.1081208001810836E-6</v>
      </c>
      <c r="CU48" s="35">
        <f t="shared" si="345"/>
        <v>1.0573654174804683</v>
      </c>
      <c r="CV48" s="35">
        <f t="shared" si="346"/>
        <v>1.0574028015136714</v>
      </c>
      <c r="CW48" s="35">
        <f t="shared" si="347"/>
        <v>1.05738410949707</v>
      </c>
      <c r="CX48" s="35">
        <f t="shared" si="348"/>
        <v>4.9925371308212618E-6</v>
      </c>
      <c r="CY48" s="35">
        <f t="shared" si="349"/>
        <v>1.05738410949707</v>
      </c>
      <c r="CZ48" s="35">
        <f t="shared" si="350"/>
        <v>1.0574028015136714</v>
      </c>
      <c r="DA48" s="35">
        <f t="shared" si="351"/>
        <v>1.0573934555053706</v>
      </c>
      <c r="DB48" s="35">
        <f t="shared" si="352"/>
        <v>-1.0578108057268665E-6</v>
      </c>
      <c r="DC48" s="35">
        <f t="shared" si="353"/>
        <v>1.05738410949707</v>
      </c>
      <c r="DD48" s="35">
        <f t="shared" si="354"/>
        <v>1.0573934555053706</v>
      </c>
      <c r="DE48" s="35">
        <f t="shared" si="355"/>
        <v>1.0573887825012203</v>
      </c>
      <c r="DF48" s="35">
        <f t="shared" si="356"/>
        <v>1.9673584197299476E-6</v>
      </c>
      <c r="DG48" s="35">
        <f t="shared" si="357"/>
        <v>1.0573887825012203</v>
      </c>
      <c r="DH48" s="35">
        <f t="shared" si="358"/>
        <v>1.0573934555053706</v>
      </c>
      <c r="DI48" s="35">
        <f t="shared" si="359"/>
        <v>1.0573911190032954</v>
      </c>
      <c r="DJ48" s="35">
        <f t="shared" si="360"/>
        <v>4.5477262133886143E-7</v>
      </c>
      <c r="DK48" s="35">
        <f t="shared" si="361"/>
        <v>1.0573911190032954</v>
      </c>
      <c r="DL48" s="35">
        <f t="shared" si="362"/>
        <v>1.0573934555053706</v>
      </c>
      <c r="DM48" s="35">
        <f t="shared" si="363"/>
        <v>1.0573922872543329</v>
      </c>
      <c r="DN48" s="35">
        <f t="shared" si="364"/>
        <v>-3.0151938856803895E-7</v>
      </c>
      <c r="DO48" s="35">
        <f t="shared" si="365"/>
        <v>1.0573911190032954</v>
      </c>
      <c r="DP48" s="35">
        <f t="shared" si="366"/>
        <v>1.0573922872543329</v>
      </c>
      <c r="DQ48" s="35">
        <f t="shared" si="367"/>
        <v>1.0573917031288143</v>
      </c>
      <c r="DR48" s="35">
        <f t="shared" si="368"/>
        <v>7.6626542222513194E-8</v>
      </c>
      <c r="DS48" s="35">
        <f t="shared" si="369"/>
        <v>1.0573917031288143</v>
      </c>
      <c r="DT48" s="35">
        <f t="shared" si="370"/>
        <v>1.0573922872543329</v>
      </c>
      <c r="DU48" s="35">
        <f t="shared" si="371"/>
        <v>1.0573919951915736</v>
      </c>
      <c r="DV48" s="35">
        <f t="shared" si="372"/>
        <v>-1.1244644171348739E-7</v>
      </c>
      <c r="DW48" s="35">
        <f t="shared" si="373"/>
        <v>1.0573917031288143</v>
      </c>
      <c r="DX48" s="35">
        <f t="shared" si="374"/>
        <v>1.0573919951915736</v>
      </c>
      <c r="DY48" s="35">
        <f t="shared" si="375"/>
        <v>1.0573918491601939</v>
      </c>
      <c r="DZ48" s="35">
        <f t="shared" si="376"/>
        <v>-1.79099544084238E-8</v>
      </c>
      <c r="EA48" s="35">
        <f t="shared" si="377"/>
        <v>1.0573917031288143</v>
      </c>
      <c r="EB48" s="35">
        <f t="shared" si="378"/>
        <v>1.0573918491601939</v>
      </c>
      <c r="EC48" s="35">
        <f t="shared" si="379"/>
        <v>1.0573917761445042</v>
      </c>
      <c r="ED48" s="35">
        <f t="shared" si="380"/>
        <v>2.935829268579937E-8</v>
      </c>
      <c r="EE48" s="35">
        <f t="shared" si="381"/>
        <v>1.0573917761445042</v>
      </c>
      <c r="EF48" s="35">
        <f t="shared" si="382"/>
        <v>1.0573918491601939</v>
      </c>
      <c r="EG48" s="35">
        <f t="shared" si="383"/>
        <v>1.0573918126523489</v>
      </c>
      <c r="EH48" s="35">
        <f t="shared" si="384"/>
        <v>5.7241689166431797E-9</v>
      </c>
      <c r="EI48" s="35">
        <f t="shared" si="385"/>
        <v>1.0573918126523489</v>
      </c>
      <c r="EJ48" s="35">
        <f t="shared" si="386"/>
        <v>1.0573918491601939</v>
      </c>
      <c r="EK48" s="35">
        <f t="shared" si="387"/>
        <v>1.0573918309062713</v>
      </c>
      <c r="EL48" s="35">
        <f t="shared" si="388"/>
        <v>-6.0928926348680079E-9</v>
      </c>
      <c r="EM48" s="35">
        <f t="shared" si="389"/>
        <v>1.0573918126523489</v>
      </c>
      <c r="EN48" s="35">
        <f t="shared" si="390"/>
        <v>1.0573918309062713</v>
      </c>
      <c r="EO48" s="35">
        <f t="shared" si="391"/>
        <v>1.0573918217793101</v>
      </c>
      <c r="EP48" s="35">
        <f t="shared" si="392"/>
        <v>-1.8436197013471656E-10</v>
      </c>
      <c r="EQ48" s="35">
        <f t="shared" si="393"/>
        <v>1.0573918126523489</v>
      </c>
      <c r="ER48" s="35">
        <f t="shared" si="394"/>
        <v>1.0573918217793101</v>
      </c>
      <c r="ES48" s="35">
        <f t="shared" si="395"/>
        <v>1.0573918172158296</v>
      </c>
      <c r="ET48" s="35">
        <f t="shared" si="396"/>
        <v>2.7699034177430804E-9</v>
      </c>
      <c r="EU48" s="35">
        <f t="shared" si="397"/>
        <v>1.0573918172158296</v>
      </c>
      <c r="EV48" s="35">
        <f t="shared" si="398"/>
        <v>1.0573918217793101</v>
      </c>
      <c r="EW48" s="35">
        <f t="shared" si="399"/>
        <v>1.0573918194975698</v>
      </c>
      <c r="EX48" s="35">
        <f t="shared" si="400"/>
        <v>1.2927707793153331E-9</v>
      </c>
      <c r="EY48" s="35">
        <f t="shared" si="401"/>
        <v>1.0573918194975698</v>
      </c>
      <c r="EZ48" s="35">
        <f t="shared" si="402"/>
        <v>1.0573918217793101</v>
      </c>
      <c r="FA48" s="10">
        <v>9.9999999999999995E-7</v>
      </c>
      <c r="FB48" s="10">
        <v>0.99990000000000001</v>
      </c>
      <c r="FC48" s="35">
        <f t="shared" si="403"/>
        <v>0.49995050000000002</v>
      </c>
      <c r="FD48" s="35">
        <f t="shared" si="404"/>
        <v>-0.24320936113443614</v>
      </c>
      <c r="FE48" s="35">
        <f t="shared" si="405"/>
        <v>9.9999999999999995E-7</v>
      </c>
      <c r="FF48" s="35">
        <f t="shared" si="406"/>
        <v>0.49995050000000002</v>
      </c>
      <c r="FG48" s="35">
        <f t="shared" si="407"/>
        <v>0.24997575</v>
      </c>
      <c r="FH48" s="35">
        <f t="shared" si="408"/>
        <v>-0.10998303444909863</v>
      </c>
      <c r="FI48" s="35">
        <f t="shared" si="409"/>
        <v>9.9999999999999995E-7</v>
      </c>
      <c r="FJ48" s="35">
        <f t="shared" si="410"/>
        <v>0.24997575</v>
      </c>
      <c r="FK48" s="35">
        <f t="shared" si="411"/>
        <v>0.124988375</v>
      </c>
      <c r="FL48" s="35">
        <f t="shared" si="412"/>
        <v>-4.4275267303020116E-2</v>
      </c>
      <c r="FM48" s="35">
        <f t="shared" si="413"/>
        <v>9.9999999999999995E-7</v>
      </c>
      <c r="FN48" s="35">
        <f t="shared" si="414"/>
        <v>0.124988375</v>
      </c>
      <c r="FO48" s="35">
        <f t="shared" si="415"/>
        <v>6.24946875E-2</v>
      </c>
      <c r="FP48" s="35">
        <f t="shared" si="416"/>
        <v>-1.2346969821587228E-2</v>
      </c>
      <c r="FQ48" s="35">
        <f t="shared" si="417"/>
        <v>9.9999999999999995E-7</v>
      </c>
      <c r="FR48" s="35">
        <f t="shared" si="418"/>
        <v>6.24946875E-2</v>
      </c>
      <c r="FS48" s="35">
        <f t="shared" si="419"/>
        <v>3.124784375E-2</v>
      </c>
      <c r="FT48" s="35">
        <f t="shared" si="420"/>
        <v>3.3180127973544415E-3</v>
      </c>
      <c r="FU48" s="35">
        <f t="shared" si="421"/>
        <v>3.124784375E-2</v>
      </c>
      <c r="FV48" s="35">
        <f t="shared" si="422"/>
        <v>6.24946875E-2</v>
      </c>
      <c r="FW48" s="35">
        <f t="shared" si="423"/>
        <v>4.6871265624999998E-2</v>
      </c>
      <c r="FX48" s="35">
        <f t="shared" si="424"/>
        <v>-4.4878554500902279E-3</v>
      </c>
      <c r="FY48" s="35">
        <f t="shared" si="425"/>
        <v>3.124784375E-2</v>
      </c>
      <c r="FZ48" s="35">
        <f t="shared" si="426"/>
        <v>4.6871265624999998E-2</v>
      </c>
      <c r="GA48" s="35">
        <f t="shared" si="427"/>
        <v>3.9059554687499998E-2</v>
      </c>
      <c r="GB48" s="35">
        <f t="shared" si="428"/>
        <v>-5.781492124693477E-4</v>
      </c>
      <c r="GC48" s="35">
        <f t="shared" si="429"/>
        <v>3.124784375E-2</v>
      </c>
      <c r="GD48" s="35">
        <f t="shared" si="430"/>
        <v>3.9059554687499998E-2</v>
      </c>
      <c r="GE48" s="35">
        <f t="shared" si="431"/>
        <v>3.5153699218750001E-2</v>
      </c>
      <c r="GF48" s="35">
        <f t="shared" si="432"/>
        <v>1.3716389436695398E-3</v>
      </c>
      <c r="GG48" s="35">
        <f t="shared" si="433"/>
        <v>3.5153699218750001E-2</v>
      </c>
      <c r="GH48" s="35">
        <f t="shared" si="434"/>
        <v>3.9059554687499998E-2</v>
      </c>
      <c r="GI48" s="35">
        <f t="shared" si="435"/>
        <v>3.7106626953124999E-2</v>
      </c>
      <c r="GJ48" s="35">
        <f t="shared" si="436"/>
        <v>3.9716990681593067E-4</v>
      </c>
      <c r="GK48" s="35">
        <f t="shared" si="437"/>
        <v>3.7106626953124999E-2</v>
      </c>
      <c r="GL48" s="35">
        <f t="shared" si="438"/>
        <v>3.9059554687499998E-2</v>
      </c>
      <c r="GM48" s="35">
        <f t="shared" si="439"/>
        <v>3.8083090820312498E-2</v>
      </c>
      <c r="GN48" s="35">
        <f t="shared" si="440"/>
        <v>-9.0383612486366616E-5</v>
      </c>
      <c r="GO48" s="35">
        <f t="shared" si="441"/>
        <v>3.7106626953124999E-2</v>
      </c>
      <c r="GP48" s="35">
        <f t="shared" si="442"/>
        <v>3.8083090820312498E-2</v>
      </c>
      <c r="GQ48" s="35">
        <f t="shared" si="443"/>
        <v>3.7594858886718749E-2</v>
      </c>
      <c r="GR48" s="35">
        <f t="shared" si="444"/>
        <v>1.5341968481852319E-4</v>
      </c>
      <c r="GS48" s="35">
        <f t="shared" si="445"/>
        <v>3.7594858886718749E-2</v>
      </c>
      <c r="GT48" s="35">
        <f t="shared" si="446"/>
        <v>3.8083090820312498E-2</v>
      </c>
      <c r="GU48" s="35">
        <f t="shared" si="447"/>
        <v>3.7838974853515624E-2</v>
      </c>
      <c r="GV48" s="35">
        <f t="shared" si="448"/>
        <v>3.1524667138072004E-5</v>
      </c>
      <c r="GW48" s="35">
        <f t="shared" si="449"/>
        <v>3.7838974853515624E-2</v>
      </c>
      <c r="GX48" s="35">
        <f t="shared" si="450"/>
        <v>3.8083090820312498E-2</v>
      </c>
      <c r="GY48" s="35">
        <f t="shared" si="451"/>
        <v>3.7961032836914058E-2</v>
      </c>
      <c r="GZ48" s="35">
        <f t="shared" si="452"/>
        <v>-2.9427815361748877E-5</v>
      </c>
      <c r="HA48" s="35">
        <f t="shared" si="453"/>
        <v>3.7838974853515624E-2</v>
      </c>
      <c r="HB48" s="35">
        <f t="shared" si="454"/>
        <v>3.7961032836914058E-2</v>
      </c>
      <c r="HC48" s="35">
        <f t="shared" si="455"/>
        <v>3.7900003845214844E-2</v>
      </c>
      <c r="HD48" s="35">
        <f t="shared" si="456"/>
        <v>1.0488402699682098E-6</v>
      </c>
      <c r="HE48" s="35">
        <f t="shared" si="457"/>
        <v>3.7900003845214844E-2</v>
      </c>
      <c r="HF48" s="35">
        <f t="shared" si="458"/>
        <v>3.7961032836914058E-2</v>
      </c>
      <c r="HG48" s="35">
        <f t="shared" si="459"/>
        <v>3.7930518341064451E-2</v>
      </c>
      <c r="HH48" s="35">
        <f t="shared" si="460"/>
        <v>-1.4189383957141644E-5</v>
      </c>
      <c r="HI48" s="35">
        <f t="shared" si="461"/>
        <v>3.7900003845214844E-2</v>
      </c>
      <c r="HJ48" s="35">
        <f t="shared" si="462"/>
        <v>3.7930518341064451E-2</v>
      </c>
      <c r="HK48" s="35">
        <f t="shared" si="463"/>
        <v>3.7915261093139647E-2</v>
      </c>
      <c r="HL48" s="35">
        <f t="shared" si="464"/>
        <v>-6.5702459454142215E-6</v>
      </c>
      <c r="HM48" s="35">
        <f t="shared" si="465"/>
        <v>3.7900003845214844E-2</v>
      </c>
      <c r="HN48" s="35">
        <f t="shared" si="466"/>
        <v>3.7915261093139647E-2</v>
      </c>
      <c r="HO48" s="35">
        <f t="shared" si="467"/>
        <v>3.7907632469177249E-2</v>
      </c>
      <c r="HP48" s="35">
        <f t="shared" si="468"/>
        <v>-2.7606963630688597E-6</v>
      </c>
      <c r="HQ48" s="35">
        <f t="shared" si="469"/>
        <v>3.7900003845214844E-2</v>
      </c>
      <c r="HR48" s="35">
        <f t="shared" si="470"/>
        <v>3.7907632469177249E-2</v>
      </c>
      <c r="HS48" s="35">
        <f t="shared" si="471"/>
        <v>3.7903818157196047E-2</v>
      </c>
      <c r="HT48" s="35">
        <f t="shared" si="472"/>
        <v>-8.5592642795617735E-7</v>
      </c>
      <c r="HU48" s="35">
        <f t="shared" si="473"/>
        <v>3.7900003845214844E-2</v>
      </c>
      <c r="HV48" s="35">
        <f t="shared" si="474"/>
        <v>3.7903818157196047E-2</v>
      </c>
      <c r="HW48" s="35">
        <f t="shared" si="475"/>
        <v>3.7901911001205449E-2</v>
      </c>
      <c r="HX48" s="35">
        <f t="shared" si="476"/>
        <v>9.6457325682308692E-8</v>
      </c>
      <c r="HY48" s="35">
        <f t="shared" si="477"/>
        <v>3.7901911001205449E-2</v>
      </c>
      <c r="HZ48" s="35">
        <f t="shared" si="478"/>
        <v>3.7903818157196047E-2</v>
      </c>
      <c r="IA48" s="35">
        <f t="shared" si="479"/>
        <v>3.7902864579200751E-2</v>
      </c>
      <c r="IB48" s="35">
        <f t="shared" si="480"/>
        <v>-3.7973444988459448E-7</v>
      </c>
      <c r="IC48" s="35">
        <f t="shared" si="481"/>
        <v>3.7901911001205449E-2</v>
      </c>
      <c r="ID48" s="35">
        <f t="shared" si="482"/>
        <v>3.7902864579200751E-2</v>
      </c>
      <c r="IE48" s="35">
        <f t="shared" si="483"/>
        <v>3.79023877902031E-2</v>
      </c>
      <c r="IF48" s="35">
        <f t="shared" si="484"/>
        <v>-1.4163853667703563E-7</v>
      </c>
      <c r="IG48" s="35">
        <f t="shared" si="485"/>
        <v>3.7901911001205449E-2</v>
      </c>
      <c r="IH48" s="35">
        <f t="shared" si="486"/>
        <v>3.79023877902031E-2</v>
      </c>
      <c r="II48" s="35">
        <f t="shared" si="487"/>
        <v>3.7902149395704271E-2</v>
      </c>
      <c r="IJ48" s="35">
        <f t="shared" si="488"/>
        <v>-2.2590599058069927E-8</v>
      </c>
      <c r="IK48" s="35">
        <f t="shared" si="489"/>
        <v>3.7901911001205449E-2</v>
      </c>
      <c r="IL48" s="35">
        <f t="shared" si="490"/>
        <v>3.7902149395704271E-2</v>
      </c>
      <c r="IM48" s="35">
        <f t="shared" si="491"/>
        <v>3.790203019845486E-2</v>
      </c>
      <c r="IN48" s="35">
        <f t="shared" si="492"/>
        <v>3.6933365032965071E-8</v>
      </c>
      <c r="IO48" s="35">
        <f t="shared" si="493"/>
        <v>3.790203019845486E-2</v>
      </c>
      <c r="IP48" s="35">
        <f t="shared" si="494"/>
        <v>3.7902149395704271E-2</v>
      </c>
      <c r="IQ48" s="35">
        <f t="shared" si="495"/>
        <v>3.7902089797079569E-2</v>
      </c>
      <c r="IR48" s="35">
        <f t="shared" si="496"/>
        <v>7.1713832650033282E-9</v>
      </c>
      <c r="IS48" s="35">
        <f t="shared" si="497"/>
        <v>3.7902089797079569E-2</v>
      </c>
      <c r="IT48" s="35">
        <f t="shared" si="498"/>
        <v>3.7902149395704271E-2</v>
      </c>
      <c r="IU48" s="35">
        <f t="shared" si="499"/>
        <v>3.790211959639192E-2</v>
      </c>
      <c r="IV48" s="35">
        <f t="shared" si="500"/>
        <v>-7.709607841022148E-9</v>
      </c>
      <c r="IW48" s="35">
        <f t="shared" si="501"/>
        <v>3.7902089797079569E-2</v>
      </c>
      <c r="IX48" s="35">
        <f t="shared" si="502"/>
        <v>3.790211959639192E-2</v>
      </c>
      <c r="IY48" s="35">
        <f t="shared" si="503"/>
        <v>3.7902104696735744E-2</v>
      </c>
      <c r="IZ48" s="35">
        <f t="shared" si="504"/>
        <v>-2.6911217698710743E-10</v>
      </c>
      <c r="JA48" s="35">
        <f t="shared" si="505"/>
        <v>3.7902089797079569E-2</v>
      </c>
      <c r="JB48" s="35">
        <f t="shared" si="506"/>
        <v>3.7902104696735744E-2</v>
      </c>
      <c r="JC48" s="35">
        <f t="shared" si="507"/>
        <v>3.7902097246907657E-2</v>
      </c>
      <c r="JD48" s="35">
        <f t="shared" si="508"/>
        <v>3.4511355995192616E-9</v>
      </c>
      <c r="JE48" s="35">
        <f t="shared" si="509"/>
        <v>3.7902097246907657E-2</v>
      </c>
      <c r="JF48" s="35">
        <f t="shared" si="510"/>
        <v>3.7902104696735744E-2</v>
      </c>
      <c r="JG48" s="35">
        <f t="shared" si="511"/>
        <v>3.7902100971821701E-2</v>
      </c>
      <c r="JH48" s="35">
        <f t="shared" si="512"/>
        <v>1.5910115447326234E-9</v>
      </c>
      <c r="JI48" s="35">
        <f t="shared" si="513"/>
        <v>3.7902100971821701E-2</v>
      </c>
      <c r="JJ48" s="35">
        <f t="shared" si="514"/>
        <v>3.7902104696735744E-2</v>
      </c>
      <c r="JK48" s="35">
        <f t="shared" si="515"/>
        <v>3.7902102834278723E-2</v>
      </c>
      <c r="JL48" s="35">
        <f t="shared" si="516"/>
        <v>6.6094951733930429E-10</v>
      </c>
      <c r="JM48" s="35">
        <f t="shared" si="517"/>
        <v>3.7902102834278723E-2</v>
      </c>
      <c r="JN48" s="35">
        <f t="shared" si="518"/>
        <v>3.7902104696735744E-2</v>
      </c>
      <c r="JO48" s="35">
        <f t="shared" si="519"/>
        <v>3.7902103765507233E-2</v>
      </c>
      <c r="JP48" s="35">
        <f t="shared" si="520"/>
        <v>1.9591883670955212E-10</v>
      </c>
      <c r="JQ48" s="35">
        <f t="shared" si="521"/>
        <v>3.7902103765507233E-2</v>
      </c>
      <c r="JR48" s="35">
        <f t="shared" si="522"/>
        <v>3.7902104696735744E-2</v>
      </c>
      <c r="JS48" s="35">
        <f t="shared" si="523"/>
        <v>3.7902104231121489E-2</v>
      </c>
      <c r="JT48" s="35">
        <f t="shared" si="524"/>
        <v>-3.6596725649928885E-11</v>
      </c>
      <c r="JU48" s="35">
        <f t="shared" si="525"/>
        <v>3.7902103765507233E-2</v>
      </c>
      <c r="JV48" s="35">
        <f t="shared" si="526"/>
        <v>3.7902104231121489E-2</v>
      </c>
      <c r="JW48" s="35">
        <f t="shared" si="527"/>
        <v>3.7902103998314361E-2</v>
      </c>
      <c r="JX48" s="35">
        <f t="shared" si="528"/>
        <v>7.9661166552114082E-11</v>
      </c>
      <c r="JY48" s="35">
        <f t="shared" si="529"/>
        <v>3.7902103998314361E-2</v>
      </c>
      <c r="JZ48" s="35">
        <f t="shared" si="530"/>
        <v>3.7902104231121489E-2</v>
      </c>
      <c r="KA48" s="35">
        <f t="shared" si="531"/>
        <v>1.0573918206384398</v>
      </c>
      <c r="KB48" s="35">
        <f t="shared" si="532"/>
        <v>3.7902104114717922E-2</v>
      </c>
    </row>
    <row r="49" spans="1:288" ht="15" customHeight="1" x14ac:dyDescent="0.3">
      <c r="A49" s="30">
        <f>Odds_Input!A49</f>
        <v>41</v>
      </c>
      <c r="B49" s="7" t="str">
        <f>Odds_Input!B49</f>
        <v>CONF_EAST</v>
      </c>
      <c r="C49" s="7" t="str">
        <f>Odds_Input!C49</f>
        <v>Orlando Magic</v>
      </c>
      <c r="D49" s="7" t="str">
        <f>Odds_Input!D49</f>
        <v>YES</v>
      </c>
      <c r="E49" s="31" t="str">
        <f>Odds_Input!E49</f>
        <v>-</v>
      </c>
      <c r="F49" s="32">
        <f>Odds_Input!F49</f>
        <v>1950</v>
      </c>
      <c r="G49" s="6" t="str">
        <f t="shared" si="0"/>
        <v>CONF_EAST</v>
      </c>
      <c r="H49" s="14">
        <f t="shared" si="1"/>
        <v>20.5</v>
      </c>
      <c r="I49" s="33">
        <f t="shared" si="2"/>
        <v>4.878048780487805E-2</v>
      </c>
      <c r="J49" s="17">
        <f t="shared" si="3"/>
        <v>1</v>
      </c>
      <c r="K49" s="17">
        <f t="shared" si="4"/>
        <v>15</v>
      </c>
      <c r="L49" s="18">
        <f t="shared" si="5"/>
        <v>1.2088752212862357</v>
      </c>
      <c r="M49" s="34">
        <f t="shared" si="6"/>
        <v>0.2088752212862357</v>
      </c>
      <c r="N49" s="33">
        <f t="shared" si="7"/>
        <v>4.0351962672355808E-2</v>
      </c>
      <c r="O49" s="33">
        <f t="shared" si="8"/>
        <v>3.7174999319877125E-2</v>
      </c>
      <c r="P49" s="33">
        <f t="shared" si="9"/>
        <v>3.6586501839075275E-2</v>
      </c>
      <c r="Q49" s="33">
        <f t="shared" si="10"/>
        <v>3.6586501839075275E-2</v>
      </c>
      <c r="R49" s="35">
        <f t="shared" si="11"/>
        <v>1.0899522183230146</v>
      </c>
      <c r="S49" s="35">
        <f t="shared" si="12"/>
        <v>1.7868178675567389E-2</v>
      </c>
      <c r="X49" s="6" t="s">
        <v>824</v>
      </c>
      <c r="Y49" s="6">
        <f t="shared" si="273"/>
        <v>1</v>
      </c>
      <c r="Z49" s="18">
        <f t="shared" si="274"/>
        <v>1.0713489409141581</v>
      </c>
      <c r="AA49" s="10">
        <v>0.2</v>
      </c>
      <c r="AB49" s="10">
        <v>10</v>
      </c>
      <c r="AC49" s="35">
        <f t="shared" si="275"/>
        <v>5.0999999999999996</v>
      </c>
      <c r="AD49" s="35">
        <f t="shared" si="276"/>
        <v>-0.4240056158810156</v>
      </c>
      <c r="AE49" s="35">
        <f t="shared" si="277"/>
        <v>0.2</v>
      </c>
      <c r="AF49" s="35">
        <f t="shared" si="278"/>
        <v>5.0999999999999996</v>
      </c>
      <c r="AG49" s="35">
        <f t="shared" si="279"/>
        <v>2.65</v>
      </c>
      <c r="AH49" s="35">
        <f t="shared" si="280"/>
        <v>-0.23961020718982373</v>
      </c>
      <c r="AI49" s="35">
        <f t="shared" si="281"/>
        <v>0.2</v>
      </c>
      <c r="AJ49" s="35">
        <f t="shared" si="282"/>
        <v>2.65</v>
      </c>
      <c r="AK49" s="35">
        <f t="shared" si="283"/>
        <v>1.425</v>
      </c>
      <c r="AL49" s="35">
        <f t="shared" si="284"/>
        <v>-6.0209280759456307E-2</v>
      </c>
      <c r="AM49" s="35">
        <f t="shared" si="285"/>
        <v>0.2</v>
      </c>
      <c r="AN49" s="35">
        <f t="shared" si="286"/>
        <v>1.425</v>
      </c>
      <c r="AO49" s="35">
        <f t="shared" si="287"/>
        <v>0.8125</v>
      </c>
      <c r="AP49" s="35">
        <f t="shared" si="288"/>
        <v>0.1572490277407832</v>
      </c>
      <c r="AQ49" s="35">
        <f t="shared" si="289"/>
        <v>0.8125</v>
      </c>
      <c r="AR49" s="35">
        <f t="shared" si="290"/>
        <v>1.425</v>
      </c>
      <c r="AS49" s="35">
        <f t="shared" si="291"/>
        <v>1.1187499999999999</v>
      </c>
      <c r="AT49" s="35">
        <f t="shared" si="292"/>
        <v>2.7270611314585302E-2</v>
      </c>
      <c r="AU49" s="35">
        <f t="shared" si="293"/>
        <v>1.1187499999999999</v>
      </c>
      <c r="AV49" s="35">
        <f t="shared" si="294"/>
        <v>1.425</v>
      </c>
      <c r="AW49" s="35">
        <f t="shared" si="295"/>
        <v>1.2718750000000001</v>
      </c>
      <c r="AX49" s="35">
        <f t="shared" si="296"/>
        <v>-2.0489588537731085E-2</v>
      </c>
      <c r="AY49" s="35">
        <f t="shared" si="297"/>
        <v>1.1187499999999999</v>
      </c>
      <c r="AZ49" s="35">
        <f t="shared" si="298"/>
        <v>1.2718750000000001</v>
      </c>
      <c r="BA49" s="35">
        <f t="shared" si="299"/>
        <v>1.1953125</v>
      </c>
      <c r="BB49" s="35">
        <f t="shared" si="300"/>
        <v>2.2504393351530094E-3</v>
      </c>
      <c r="BC49" s="35">
        <f t="shared" si="301"/>
        <v>1.1953125</v>
      </c>
      <c r="BD49" s="35">
        <f t="shared" si="302"/>
        <v>1.2718750000000001</v>
      </c>
      <c r="BE49" s="35">
        <f t="shared" si="303"/>
        <v>1.23359375</v>
      </c>
      <c r="BF49" s="35">
        <f t="shared" si="304"/>
        <v>-9.3862987606662118E-3</v>
      </c>
      <c r="BG49" s="35">
        <f t="shared" si="305"/>
        <v>1.1953125</v>
      </c>
      <c r="BH49" s="35">
        <f t="shared" si="306"/>
        <v>1.23359375</v>
      </c>
      <c r="BI49" s="35">
        <f t="shared" si="307"/>
        <v>1.2144531249999999</v>
      </c>
      <c r="BJ49" s="35">
        <f t="shared" si="308"/>
        <v>-3.6368022857512505E-3</v>
      </c>
      <c r="BK49" s="35">
        <f t="shared" si="309"/>
        <v>1.1953125</v>
      </c>
      <c r="BL49" s="35">
        <f t="shared" si="310"/>
        <v>1.2144531249999999</v>
      </c>
      <c r="BM49" s="35">
        <f t="shared" si="311"/>
        <v>1.2048828125</v>
      </c>
      <c r="BN49" s="35">
        <f t="shared" si="312"/>
        <v>-7.1068163899901116E-4</v>
      </c>
      <c r="BO49" s="35">
        <f t="shared" si="313"/>
        <v>1.1953125</v>
      </c>
      <c r="BP49" s="35">
        <f t="shared" si="314"/>
        <v>1.2048828125</v>
      </c>
      <c r="BQ49" s="35">
        <f t="shared" si="315"/>
        <v>1.2000976562500001</v>
      </c>
      <c r="BR49" s="35">
        <f t="shared" si="316"/>
        <v>7.6546803690424881E-4</v>
      </c>
      <c r="BS49" s="35">
        <f t="shared" si="317"/>
        <v>1.2000976562500001</v>
      </c>
      <c r="BT49" s="35">
        <f t="shared" si="318"/>
        <v>1.2048828125</v>
      </c>
      <c r="BU49" s="35">
        <f t="shared" si="319"/>
        <v>1.2024902343749999</v>
      </c>
      <c r="BV49" s="35">
        <f t="shared" si="320"/>
        <v>2.6294990803643614E-5</v>
      </c>
      <c r="BW49" s="35">
        <f t="shared" si="321"/>
        <v>1.2024902343749999</v>
      </c>
      <c r="BX49" s="35">
        <f t="shared" si="322"/>
        <v>1.2048828125</v>
      </c>
      <c r="BY49" s="35">
        <f t="shared" si="323"/>
        <v>1.2036865234374998</v>
      </c>
      <c r="BZ49" s="35">
        <f t="shared" si="324"/>
        <v>-3.42467316356454E-4</v>
      </c>
      <c r="CA49" s="35">
        <f t="shared" si="325"/>
        <v>1.2024902343749999</v>
      </c>
      <c r="CB49" s="35">
        <f t="shared" si="326"/>
        <v>1.2036865234374998</v>
      </c>
      <c r="CC49" s="35">
        <f t="shared" si="327"/>
        <v>1.2030883789062499</v>
      </c>
      <c r="CD49" s="35">
        <f t="shared" si="328"/>
        <v>-1.5815473072211539E-4</v>
      </c>
      <c r="CE49" s="35">
        <f t="shared" si="329"/>
        <v>1.2024902343749999</v>
      </c>
      <c r="CF49" s="35">
        <f t="shared" si="330"/>
        <v>1.2030883789062499</v>
      </c>
      <c r="CG49" s="35">
        <f t="shared" si="331"/>
        <v>1.202789306640625</v>
      </c>
      <c r="CH49" s="35">
        <f t="shared" si="332"/>
        <v>-6.5947020688850166E-5</v>
      </c>
      <c r="CI49" s="35">
        <f t="shared" si="333"/>
        <v>1.2024902343749999</v>
      </c>
      <c r="CJ49" s="35">
        <f t="shared" si="334"/>
        <v>1.202789306640625</v>
      </c>
      <c r="CK49" s="35">
        <f t="shared" si="335"/>
        <v>1.2026397705078125</v>
      </c>
      <c r="CL49" s="35">
        <f t="shared" si="336"/>
        <v>-1.9830303718437747E-5</v>
      </c>
      <c r="CM49" s="35">
        <f t="shared" si="337"/>
        <v>1.2024902343749999</v>
      </c>
      <c r="CN49" s="35">
        <f t="shared" si="338"/>
        <v>1.2026397705078125</v>
      </c>
      <c r="CO49" s="35">
        <f t="shared" si="339"/>
        <v>1.2025650024414061</v>
      </c>
      <c r="CP49" s="35">
        <f t="shared" si="340"/>
        <v>3.2312712119342279E-6</v>
      </c>
      <c r="CQ49" s="35">
        <f t="shared" si="341"/>
        <v>1.2025650024414061</v>
      </c>
      <c r="CR49" s="35">
        <f t="shared" si="342"/>
        <v>1.2026397705078125</v>
      </c>
      <c r="CS49" s="35">
        <f t="shared" si="343"/>
        <v>1.2026023864746094</v>
      </c>
      <c r="CT49" s="35">
        <f t="shared" si="344"/>
        <v>-8.2997843188215015E-6</v>
      </c>
      <c r="CU49" s="35">
        <f t="shared" si="345"/>
        <v>1.2025650024414061</v>
      </c>
      <c r="CV49" s="35">
        <f t="shared" si="346"/>
        <v>1.2026023864746094</v>
      </c>
      <c r="CW49" s="35">
        <f t="shared" si="347"/>
        <v>1.2025836944580077</v>
      </c>
      <c r="CX49" s="35">
        <f t="shared" si="348"/>
        <v>-2.5343235720010071E-6</v>
      </c>
      <c r="CY49" s="35">
        <f t="shared" si="349"/>
        <v>1.2025650024414061</v>
      </c>
      <c r="CZ49" s="35">
        <f t="shared" si="350"/>
        <v>1.2025836944580077</v>
      </c>
      <c r="DA49" s="35">
        <f t="shared" si="351"/>
        <v>1.2025743484497069</v>
      </c>
      <c r="DB49" s="35">
        <f t="shared" si="352"/>
        <v>3.4845706520236774E-7</v>
      </c>
      <c r="DC49" s="35">
        <f t="shared" si="353"/>
        <v>1.2025743484497069</v>
      </c>
      <c r="DD49" s="35">
        <f t="shared" si="354"/>
        <v>1.2025836944580077</v>
      </c>
      <c r="DE49" s="35">
        <f t="shared" si="355"/>
        <v>1.2025790214538574</v>
      </c>
      <c r="DF49" s="35">
        <f t="shared" si="356"/>
        <v>-1.0929374422152804E-6</v>
      </c>
      <c r="DG49" s="35">
        <f t="shared" si="357"/>
        <v>1.2025743484497069</v>
      </c>
      <c r="DH49" s="35">
        <f t="shared" si="358"/>
        <v>1.2025790214538574</v>
      </c>
      <c r="DI49" s="35">
        <f t="shared" si="359"/>
        <v>1.202576684951782</v>
      </c>
      <c r="DJ49" s="35">
        <f t="shared" si="360"/>
        <v>-3.7224123572432433E-7</v>
      </c>
      <c r="DK49" s="35">
        <f t="shared" si="361"/>
        <v>1.2025743484497069</v>
      </c>
      <c r="DL49" s="35">
        <f t="shared" si="362"/>
        <v>1.202576684951782</v>
      </c>
      <c r="DM49" s="35">
        <f t="shared" si="363"/>
        <v>1.2025755167007444</v>
      </c>
      <c r="DN49" s="35">
        <f t="shared" si="364"/>
        <v>-1.1892347107078649E-8</v>
      </c>
      <c r="DO49" s="35">
        <f t="shared" si="365"/>
        <v>1.2025743484497069</v>
      </c>
      <c r="DP49" s="35">
        <f t="shared" si="366"/>
        <v>1.2025755167007444</v>
      </c>
      <c r="DQ49" s="35">
        <f t="shared" si="367"/>
        <v>1.2025749325752257</v>
      </c>
      <c r="DR49" s="35">
        <f t="shared" si="368"/>
        <v>1.682822936555084E-7</v>
      </c>
      <c r="DS49" s="35">
        <f t="shared" si="369"/>
        <v>1.2025749325752257</v>
      </c>
      <c r="DT49" s="35">
        <f t="shared" si="370"/>
        <v>1.2025755167007444</v>
      </c>
      <c r="DU49" s="35">
        <f t="shared" si="371"/>
        <v>1.2025752246379851</v>
      </c>
      <c r="DV49" s="35">
        <f t="shared" si="372"/>
        <v>7.8194956731891807E-8</v>
      </c>
      <c r="DW49" s="35">
        <f t="shared" si="373"/>
        <v>1.2025752246379851</v>
      </c>
      <c r="DX49" s="35">
        <f t="shared" si="374"/>
        <v>1.2025755167007444</v>
      </c>
      <c r="DY49" s="35">
        <f t="shared" si="375"/>
        <v>1.2025753706693647</v>
      </c>
      <c r="DZ49" s="35">
        <f t="shared" si="376"/>
        <v>3.315130081560369E-8</v>
      </c>
      <c r="EA49" s="35">
        <f t="shared" si="377"/>
        <v>1.2025753706693647</v>
      </c>
      <c r="EB49" s="35">
        <f t="shared" si="378"/>
        <v>1.2025755167007444</v>
      </c>
      <c r="EC49" s="35">
        <f t="shared" si="379"/>
        <v>1.2025754436850544</v>
      </c>
      <c r="ED49" s="35">
        <f t="shared" si="380"/>
        <v>1.0629475966084101E-8</v>
      </c>
      <c r="EE49" s="35">
        <f t="shared" si="381"/>
        <v>1.2025754436850544</v>
      </c>
      <c r="EF49" s="35">
        <f t="shared" si="382"/>
        <v>1.2025755167007444</v>
      </c>
      <c r="EG49" s="35">
        <f t="shared" si="383"/>
        <v>1.2025754801928994</v>
      </c>
      <c r="EH49" s="35">
        <f t="shared" si="384"/>
        <v>-6.3143590356418144E-10</v>
      </c>
      <c r="EI49" s="35">
        <f t="shared" si="385"/>
        <v>1.2025754436850544</v>
      </c>
      <c r="EJ49" s="35">
        <f t="shared" si="386"/>
        <v>1.2025754801928994</v>
      </c>
      <c r="EK49" s="35">
        <f t="shared" si="387"/>
        <v>1.2025754619389768</v>
      </c>
      <c r="EL49" s="35">
        <f t="shared" si="388"/>
        <v>4.999020086771111E-9</v>
      </c>
      <c r="EM49" s="35">
        <f t="shared" si="389"/>
        <v>1.2025754619389768</v>
      </c>
      <c r="EN49" s="35">
        <f t="shared" si="390"/>
        <v>1.2025754801928994</v>
      </c>
      <c r="EO49" s="35">
        <f t="shared" si="391"/>
        <v>1.2025754710659382</v>
      </c>
      <c r="EP49" s="35">
        <f t="shared" si="392"/>
        <v>2.1837920360923135E-9</v>
      </c>
      <c r="EQ49" s="35">
        <f t="shared" si="393"/>
        <v>1.2025754710659382</v>
      </c>
      <c r="ER49" s="35">
        <f t="shared" si="394"/>
        <v>1.2025754801928994</v>
      </c>
      <c r="ES49" s="35">
        <f t="shared" si="395"/>
        <v>1.2025754756294189</v>
      </c>
      <c r="ET49" s="35">
        <f t="shared" si="396"/>
        <v>7.7617801075291482E-10</v>
      </c>
      <c r="EU49" s="35">
        <f t="shared" si="397"/>
        <v>1.2025754756294189</v>
      </c>
      <c r="EV49" s="35">
        <f t="shared" si="398"/>
        <v>1.2025754801928994</v>
      </c>
      <c r="EW49" s="35">
        <f t="shared" si="399"/>
        <v>1.202575477911159</v>
      </c>
      <c r="EX49" s="35">
        <f t="shared" si="400"/>
        <v>7.2371220127820379E-11</v>
      </c>
      <c r="EY49" s="35">
        <f t="shared" si="401"/>
        <v>1.202575477911159</v>
      </c>
      <c r="EZ49" s="35">
        <f t="shared" si="402"/>
        <v>1.2025754801928994</v>
      </c>
      <c r="FA49" s="10">
        <v>9.9999999999999995E-7</v>
      </c>
      <c r="FB49" s="10">
        <v>0.99990000000000001</v>
      </c>
      <c r="FC49" s="35">
        <f t="shared" si="403"/>
        <v>0.49995050000000002</v>
      </c>
      <c r="FD49" s="35">
        <f t="shared" si="404"/>
        <v>-0.12219798363616108</v>
      </c>
      <c r="FE49" s="35">
        <f t="shared" si="405"/>
        <v>9.9999999999999995E-7</v>
      </c>
      <c r="FF49" s="35">
        <f t="shared" si="406"/>
        <v>0.49995050000000002</v>
      </c>
      <c r="FG49" s="35">
        <f t="shared" si="407"/>
        <v>0.24997575</v>
      </c>
      <c r="FH49" s="35">
        <f t="shared" si="408"/>
        <v>-6.2606619328297253E-2</v>
      </c>
      <c r="FI49" s="35">
        <f t="shared" si="409"/>
        <v>9.9999999999999995E-7</v>
      </c>
      <c r="FJ49" s="35">
        <f t="shared" si="410"/>
        <v>0.24997575</v>
      </c>
      <c r="FK49" s="35">
        <f t="shared" si="411"/>
        <v>0.124988375</v>
      </c>
      <c r="FL49" s="35">
        <f t="shared" si="412"/>
        <v>-1.9897873060369609E-2</v>
      </c>
      <c r="FM49" s="35">
        <f t="shared" si="413"/>
        <v>9.9999999999999995E-7</v>
      </c>
      <c r="FN49" s="35">
        <f t="shared" si="414"/>
        <v>0.124988375</v>
      </c>
      <c r="FO49" s="35">
        <f t="shared" si="415"/>
        <v>6.24946875E-2</v>
      </c>
      <c r="FP49" s="35">
        <f t="shared" si="416"/>
        <v>6.13355658342285E-3</v>
      </c>
      <c r="FQ49" s="35">
        <f t="shared" si="417"/>
        <v>6.24946875E-2</v>
      </c>
      <c r="FR49" s="35">
        <f t="shared" si="418"/>
        <v>0.124988375</v>
      </c>
      <c r="FS49" s="35">
        <f t="shared" si="419"/>
        <v>9.3741531249999996E-2</v>
      </c>
      <c r="FT49" s="35">
        <f t="shared" si="420"/>
        <v>-7.2740967158876346E-3</v>
      </c>
      <c r="FU49" s="35">
        <f t="shared" si="421"/>
        <v>6.24946875E-2</v>
      </c>
      <c r="FV49" s="35">
        <f t="shared" si="422"/>
        <v>9.3741531249999996E-2</v>
      </c>
      <c r="FW49" s="35">
        <f t="shared" si="423"/>
        <v>7.8118109374999994E-2</v>
      </c>
      <c r="FX49" s="35">
        <f t="shared" si="424"/>
        <v>-6.6576782133109802E-4</v>
      </c>
      <c r="FY49" s="35">
        <f t="shared" si="425"/>
        <v>6.24946875E-2</v>
      </c>
      <c r="FZ49" s="35">
        <f t="shared" si="426"/>
        <v>7.8118109374999994E-2</v>
      </c>
      <c r="GA49" s="35">
        <f t="shared" si="427"/>
        <v>7.0306398437500001E-2</v>
      </c>
      <c r="GB49" s="35">
        <f t="shared" si="428"/>
        <v>2.7104472378793876E-3</v>
      </c>
      <c r="GC49" s="35">
        <f t="shared" si="429"/>
        <v>7.0306398437500001E-2</v>
      </c>
      <c r="GD49" s="35">
        <f t="shared" si="430"/>
        <v>7.8118109374999994E-2</v>
      </c>
      <c r="GE49" s="35">
        <f t="shared" si="431"/>
        <v>7.4212253906249998E-2</v>
      </c>
      <c r="GF49" s="35">
        <f t="shared" si="432"/>
        <v>1.0164193612389738E-3</v>
      </c>
      <c r="GG49" s="35">
        <f t="shared" si="433"/>
        <v>7.4212253906249998E-2</v>
      </c>
      <c r="GH49" s="35">
        <f t="shared" si="434"/>
        <v>7.8118109374999994E-2</v>
      </c>
      <c r="GI49" s="35">
        <f t="shared" si="435"/>
        <v>7.6165181640624996E-2</v>
      </c>
      <c r="GJ49" s="35">
        <f t="shared" si="436"/>
        <v>1.7383881023103065E-4</v>
      </c>
      <c r="GK49" s="35">
        <f t="shared" si="437"/>
        <v>7.6165181640624996E-2</v>
      </c>
      <c r="GL49" s="35">
        <f t="shared" si="438"/>
        <v>7.8118109374999994E-2</v>
      </c>
      <c r="GM49" s="35">
        <f t="shared" si="439"/>
        <v>7.7141645507812495E-2</v>
      </c>
      <c r="GN49" s="35">
        <f t="shared" si="440"/>
        <v>-2.4633707644206027E-4</v>
      </c>
      <c r="GO49" s="35">
        <f t="shared" si="441"/>
        <v>7.6165181640624996E-2</v>
      </c>
      <c r="GP49" s="35">
        <f t="shared" si="442"/>
        <v>7.7141645507812495E-2</v>
      </c>
      <c r="GQ49" s="35">
        <f t="shared" si="443"/>
        <v>7.6653413574218746E-2</v>
      </c>
      <c r="GR49" s="35">
        <f t="shared" si="444"/>
        <v>-3.6342173219017226E-5</v>
      </c>
      <c r="GS49" s="35">
        <f t="shared" si="445"/>
        <v>7.6165181640624996E-2</v>
      </c>
      <c r="GT49" s="35">
        <f t="shared" si="446"/>
        <v>7.6653413574218746E-2</v>
      </c>
      <c r="GU49" s="35">
        <f t="shared" si="447"/>
        <v>7.6409297607421878E-2</v>
      </c>
      <c r="GV49" s="35">
        <f t="shared" si="448"/>
        <v>6.872507141419959E-5</v>
      </c>
      <c r="GW49" s="35">
        <f t="shared" si="449"/>
        <v>7.6409297607421878E-2</v>
      </c>
      <c r="GX49" s="35">
        <f t="shared" si="450"/>
        <v>7.6653413574218746E-2</v>
      </c>
      <c r="GY49" s="35">
        <f t="shared" si="451"/>
        <v>7.6531355590820305E-2</v>
      </c>
      <c r="GZ49" s="35">
        <f t="shared" si="452"/>
        <v>1.6185635702603562E-5</v>
      </c>
      <c r="HA49" s="35">
        <f t="shared" si="453"/>
        <v>7.6531355590820305E-2</v>
      </c>
      <c r="HB49" s="35">
        <f t="shared" si="454"/>
        <v>7.6653413574218746E-2</v>
      </c>
      <c r="HC49" s="35">
        <f t="shared" si="455"/>
        <v>7.6592384582519518E-2</v>
      </c>
      <c r="HD49" s="35">
        <f t="shared" si="456"/>
        <v>-1.0079722309264127E-5</v>
      </c>
      <c r="HE49" s="35">
        <f t="shared" si="457"/>
        <v>7.6531355590820305E-2</v>
      </c>
      <c r="HF49" s="35">
        <f t="shared" si="458"/>
        <v>7.6592384582519518E-2</v>
      </c>
      <c r="HG49" s="35">
        <f t="shared" si="459"/>
        <v>7.6561870086669911E-2</v>
      </c>
      <c r="HH49" s="35">
        <f t="shared" si="460"/>
        <v>3.0525933341074563E-6</v>
      </c>
      <c r="HI49" s="35">
        <f t="shared" si="461"/>
        <v>7.6561870086669911E-2</v>
      </c>
      <c r="HJ49" s="35">
        <f t="shared" si="462"/>
        <v>7.6592384582519518E-2</v>
      </c>
      <c r="HK49" s="35">
        <f t="shared" si="463"/>
        <v>7.6577127334594708E-2</v>
      </c>
      <c r="HL49" s="35">
        <f t="shared" si="464"/>
        <v>-3.5136553312442587E-6</v>
      </c>
      <c r="HM49" s="35">
        <f t="shared" si="465"/>
        <v>7.6561870086669911E-2</v>
      </c>
      <c r="HN49" s="35">
        <f t="shared" si="466"/>
        <v>7.6577127334594708E-2</v>
      </c>
      <c r="HO49" s="35">
        <f t="shared" si="467"/>
        <v>7.6569498710632317E-2</v>
      </c>
      <c r="HP49" s="35">
        <f t="shared" si="468"/>
        <v>-2.3055370912405948E-7</v>
      </c>
      <c r="HQ49" s="35">
        <f t="shared" si="469"/>
        <v>7.6561870086669911E-2</v>
      </c>
      <c r="HR49" s="35">
        <f t="shared" si="470"/>
        <v>7.6569498710632317E-2</v>
      </c>
      <c r="HS49" s="35">
        <f t="shared" si="471"/>
        <v>7.6565684398651107E-2</v>
      </c>
      <c r="HT49" s="35">
        <f t="shared" si="472"/>
        <v>1.4110141350887062E-6</v>
      </c>
      <c r="HU49" s="35">
        <f t="shared" si="473"/>
        <v>7.6565684398651107E-2</v>
      </c>
      <c r="HV49" s="35">
        <f t="shared" si="474"/>
        <v>7.6569498710632317E-2</v>
      </c>
      <c r="HW49" s="35">
        <f t="shared" si="475"/>
        <v>7.6567591554641712E-2</v>
      </c>
      <c r="HX49" s="35">
        <f t="shared" si="476"/>
        <v>5.9022879361769753E-7</v>
      </c>
      <c r="HY49" s="35">
        <f t="shared" si="477"/>
        <v>7.6567591554641712E-2</v>
      </c>
      <c r="HZ49" s="35">
        <f t="shared" si="478"/>
        <v>7.6569498710632317E-2</v>
      </c>
      <c r="IA49" s="35">
        <f t="shared" si="479"/>
        <v>7.6568545132637014E-2</v>
      </c>
      <c r="IB49" s="35">
        <f t="shared" si="480"/>
        <v>1.7983718758607381E-7</v>
      </c>
      <c r="IC49" s="35">
        <f t="shared" si="481"/>
        <v>7.6568545132637014E-2</v>
      </c>
      <c r="ID49" s="35">
        <f t="shared" si="482"/>
        <v>7.6569498710632317E-2</v>
      </c>
      <c r="IE49" s="35">
        <f t="shared" si="483"/>
        <v>7.6569021921634672E-2</v>
      </c>
      <c r="IF49" s="35">
        <f t="shared" si="484"/>
        <v>-2.5358349531323654E-8</v>
      </c>
      <c r="IG49" s="35">
        <f t="shared" si="485"/>
        <v>7.6568545132637014E-2</v>
      </c>
      <c r="IH49" s="35">
        <f t="shared" si="486"/>
        <v>7.6569021921634672E-2</v>
      </c>
      <c r="II49" s="35">
        <f t="shared" si="487"/>
        <v>7.6568783527135836E-2</v>
      </c>
      <c r="IJ49" s="35">
        <f t="shared" si="488"/>
        <v>7.7239396878425737E-8</v>
      </c>
      <c r="IK49" s="35">
        <f t="shared" si="489"/>
        <v>7.6568783527135836E-2</v>
      </c>
      <c r="IL49" s="35">
        <f t="shared" si="490"/>
        <v>7.6569021921634672E-2</v>
      </c>
      <c r="IM49" s="35">
        <f t="shared" si="491"/>
        <v>7.6568902724385254E-2</v>
      </c>
      <c r="IN49" s="35">
        <f t="shared" si="492"/>
        <v>2.5940517955902465E-8</v>
      </c>
      <c r="IO49" s="35">
        <f t="shared" si="493"/>
        <v>7.6568902724385254E-2</v>
      </c>
      <c r="IP49" s="35">
        <f t="shared" si="494"/>
        <v>7.6569021921634672E-2</v>
      </c>
      <c r="IQ49" s="35">
        <f t="shared" si="495"/>
        <v>7.656896232300997E-2</v>
      </c>
      <c r="IR49" s="35">
        <f t="shared" si="496"/>
        <v>2.9108293553292697E-10</v>
      </c>
      <c r="IS49" s="35">
        <f t="shared" si="497"/>
        <v>7.656896232300997E-2</v>
      </c>
      <c r="IT49" s="35">
        <f t="shared" si="498"/>
        <v>7.6569021921634672E-2</v>
      </c>
      <c r="IU49" s="35">
        <f t="shared" si="499"/>
        <v>7.6568992122322321E-2</v>
      </c>
      <c r="IV49" s="35">
        <f t="shared" si="500"/>
        <v>-1.2533633686473422E-8</v>
      </c>
      <c r="IW49" s="35">
        <f t="shared" si="501"/>
        <v>7.656896232300997E-2</v>
      </c>
      <c r="IX49" s="35">
        <f t="shared" si="502"/>
        <v>7.6568992122322321E-2</v>
      </c>
      <c r="IY49" s="35">
        <f t="shared" si="503"/>
        <v>7.6568977222666146E-2</v>
      </c>
      <c r="IZ49" s="35">
        <f t="shared" si="504"/>
        <v>-6.1212755975148525E-9</v>
      </c>
      <c r="JA49" s="35">
        <f t="shared" si="505"/>
        <v>7.656896232300997E-2</v>
      </c>
      <c r="JB49" s="35">
        <f t="shared" si="506"/>
        <v>7.6568977222666146E-2</v>
      </c>
      <c r="JC49" s="35">
        <f t="shared" si="507"/>
        <v>7.6568969772838058E-2</v>
      </c>
      <c r="JD49" s="35">
        <f t="shared" si="508"/>
        <v>-2.915096386502114E-9</v>
      </c>
      <c r="JE49" s="35">
        <f t="shared" si="509"/>
        <v>7.656896232300997E-2</v>
      </c>
      <c r="JF49" s="35">
        <f t="shared" si="510"/>
        <v>7.6568969772838058E-2</v>
      </c>
      <c r="JG49" s="35">
        <f t="shared" si="511"/>
        <v>7.6568966047924014E-2</v>
      </c>
      <c r="JH49" s="35">
        <f t="shared" si="512"/>
        <v>-1.3120067254845935E-9</v>
      </c>
      <c r="JI49" s="35">
        <f t="shared" si="513"/>
        <v>7.656896232300997E-2</v>
      </c>
      <c r="JJ49" s="35">
        <f t="shared" si="514"/>
        <v>7.6568966047924014E-2</v>
      </c>
      <c r="JK49" s="35">
        <f t="shared" si="515"/>
        <v>7.6568964185466992E-2</v>
      </c>
      <c r="JL49" s="35">
        <f t="shared" si="516"/>
        <v>-5.1046189497583327E-10</v>
      </c>
      <c r="JM49" s="35">
        <f t="shared" si="517"/>
        <v>7.656896232300997E-2</v>
      </c>
      <c r="JN49" s="35">
        <f t="shared" si="518"/>
        <v>7.6568964185466992E-2</v>
      </c>
      <c r="JO49" s="35">
        <f t="shared" si="519"/>
        <v>7.6568963254238481E-2</v>
      </c>
      <c r="JP49" s="35">
        <f t="shared" si="520"/>
        <v>-1.0968947972145315E-10</v>
      </c>
      <c r="JQ49" s="35">
        <f t="shared" si="521"/>
        <v>7.656896232300997E-2</v>
      </c>
      <c r="JR49" s="35">
        <f t="shared" si="522"/>
        <v>7.6568963254238481E-2</v>
      </c>
      <c r="JS49" s="35">
        <f t="shared" si="523"/>
        <v>7.6568962788624226E-2</v>
      </c>
      <c r="JT49" s="35">
        <f t="shared" si="524"/>
        <v>9.0696561372283213E-11</v>
      </c>
      <c r="JU49" s="35">
        <f t="shared" si="525"/>
        <v>7.6568962788624226E-2</v>
      </c>
      <c r="JV49" s="35">
        <f t="shared" si="526"/>
        <v>7.6568963254238481E-2</v>
      </c>
      <c r="JW49" s="35">
        <f t="shared" si="527"/>
        <v>7.6568963021431347E-2</v>
      </c>
      <c r="JX49" s="35">
        <f t="shared" si="528"/>
        <v>-9.496403663433739E-12</v>
      </c>
      <c r="JY49" s="35">
        <f t="shared" si="529"/>
        <v>7.6568962788624226E-2</v>
      </c>
      <c r="JZ49" s="35">
        <f t="shared" si="530"/>
        <v>7.6568963021431347E-2</v>
      </c>
      <c r="KA49" s="35">
        <f t="shared" si="531"/>
        <v>1.2025754790520291</v>
      </c>
      <c r="KB49" s="35">
        <f t="shared" si="532"/>
        <v>7.6568962905027793E-2</v>
      </c>
    </row>
    <row r="50" spans="1:288" ht="15" customHeight="1" x14ac:dyDescent="0.3">
      <c r="A50" s="30">
        <f>Odds_Input!A50</f>
        <v>42</v>
      </c>
      <c r="B50" s="7" t="str">
        <f>Odds_Input!B50</f>
        <v>CONF_EAST</v>
      </c>
      <c r="C50" s="7" t="str">
        <f>Odds_Input!C50</f>
        <v>Philadelphia 76ers</v>
      </c>
      <c r="D50" s="7" t="str">
        <f>Odds_Input!D50</f>
        <v>YES</v>
      </c>
      <c r="E50" s="31" t="str">
        <f>Odds_Input!E50</f>
        <v>-</v>
      </c>
      <c r="F50" s="32">
        <f>Odds_Input!F50</f>
        <v>325</v>
      </c>
      <c r="G50" s="6" t="str">
        <f t="shared" si="0"/>
        <v>CONF_EAST</v>
      </c>
      <c r="H50" s="14">
        <f t="shared" si="1"/>
        <v>4.25</v>
      </c>
      <c r="I50" s="33">
        <f t="shared" si="2"/>
        <v>0.23529411764705882</v>
      </c>
      <c r="J50" s="17">
        <f t="shared" si="3"/>
        <v>1</v>
      </c>
      <c r="K50" s="17">
        <f t="shared" si="4"/>
        <v>15</v>
      </c>
      <c r="L50" s="18">
        <f t="shared" si="5"/>
        <v>1.2088752212862357</v>
      </c>
      <c r="M50" s="34">
        <f t="shared" si="6"/>
        <v>0.2088752212862357</v>
      </c>
      <c r="N50" s="33">
        <f t="shared" si="7"/>
        <v>0.19463887877253977</v>
      </c>
      <c r="O50" s="33">
        <f t="shared" si="8"/>
        <v>0.20657896239640805</v>
      </c>
      <c r="P50" s="33">
        <f t="shared" si="9"/>
        <v>0.20703605093231997</v>
      </c>
      <c r="Q50" s="33">
        <f t="shared" si="10"/>
        <v>0.20703605093231997</v>
      </c>
      <c r="R50" s="35">
        <f t="shared" si="11"/>
        <v>1.0899522183230146</v>
      </c>
      <c r="S50" s="35">
        <f t="shared" si="12"/>
        <v>1.7868178675567389E-2</v>
      </c>
      <c r="X50" s="6" t="s">
        <v>825</v>
      </c>
      <c r="Y50" s="6">
        <f t="shared" si="273"/>
        <v>1</v>
      </c>
      <c r="Z50" s="18">
        <f t="shared" si="274"/>
        <v>1.0566801619433197</v>
      </c>
      <c r="AA50" s="10">
        <v>0.2</v>
      </c>
      <c r="AB50" s="10">
        <v>10</v>
      </c>
      <c r="AC50" s="35">
        <f t="shared" si="275"/>
        <v>5.0999999999999996</v>
      </c>
      <c r="AD50" s="35">
        <f t="shared" si="276"/>
        <v>-0.57307484895679273</v>
      </c>
      <c r="AE50" s="35">
        <f t="shared" si="277"/>
        <v>0.2</v>
      </c>
      <c r="AF50" s="35">
        <f t="shared" si="278"/>
        <v>5.0999999999999996</v>
      </c>
      <c r="AG50" s="35">
        <f t="shared" si="279"/>
        <v>2.65</v>
      </c>
      <c r="AH50" s="35">
        <f t="shared" si="280"/>
        <v>-0.34159821431558346</v>
      </c>
      <c r="AI50" s="35">
        <f t="shared" si="281"/>
        <v>0.2</v>
      </c>
      <c r="AJ50" s="35">
        <f t="shared" si="282"/>
        <v>2.65</v>
      </c>
      <c r="AK50" s="35">
        <f t="shared" si="283"/>
        <v>1.425</v>
      </c>
      <c r="AL50" s="35">
        <f t="shared" si="284"/>
        <v>-0.10326790795989271</v>
      </c>
      <c r="AM50" s="35">
        <f t="shared" si="285"/>
        <v>0.2</v>
      </c>
      <c r="AN50" s="35">
        <f t="shared" si="286"/>
        <v>1.425</v>
      </c>
      <c r="AO50" s="35">
        <f t="shared" si="287"/>
        <v>0.8125</v>
      </c>
      <c r="AP50" s="35">
        <f t="shared" si="288"/>
        <v>0.15503638327173164</v>
      </c>
      <c r="AQ50" s="35">
        <f t="shared" si="289"/>
        <v>0.8125</v>
      </c>
      <c r="AR50" s="35">
        <f t="shared" si="290"/>
        <v>1.425</v>
      </c>
      <c r="AS50" s="35">
        <f t="shared" si="291"/>
        <v>1.1187499999999999</v>
      </c>
      <c r="AT50" s="35">
        <f t="shared" si="292"/>
        <v>4.4976536028855651E-3</v>
      </c>
      <c r="AU50" s="35">
        <f t="shared" si="293"/>
        <v>1.1187499999999999</v>
      </c>
      <c r="AV50" s="35">
        <f t="shared" si="294"/>
        <v>1.425</v>
      </c>
      <c r="AW50" s="35">
        <f t="shared" si="295"/>
        <v>1.2718750000000001</v>
      </c>
      <c r="AX50" s="35">
        <f t="shared" si="296"/>
        <v>-5.3591239686168302E-2</v>
      </c>
      <c r="AY50" s="35">
        <f t="shared" si="297"/>
        <v>1.1187499999999999</v>
      </c>
      <c r="AZ50" s="35">
        <f t="shared" si="298"/>
        <v>1.2718750000000001</v>
      </c>
      <c r="BA50" s="35">
        <f t="shared" si="299"/>
        <v>1.1953125</v>
      </c>
      <c r="BB50" s="35">
        <f t="shared" si="300"/>
        <v>-2.5720080458371819E-2</v>
      </c>
      <c r="BC50" s="35">
        <f t="shared" si="301"/>
        <v>1.1187499999999999</v>
      </c>
      <c r="BD50" s="35">
        <f t="shared" si="302"/>
        <v>1.1953125</v>
      </c>
      <c r="BE50" s="35">
        <f t="shared" si="303"/>
        <v>1.15703125</v>
      </c>
      <c r="BF50" s="35">
        <f t="shared" si="304"/>
        <v>-1.0921380569162253E-2</v>
      </c>
      <c r="BG50" s="35">
        <f t="shared" si="305"/>
        <v>1.1187499999999999</v>
      </c>
      <c r="BH50" s="35">
        <f t="shared" si="306"/>
        <v>1.15703125</v>
      </c>
      <c r="BI50" s="35">
        <f t="shared" si="307"/>
        <v>1.1378906249999998</v>
      </c>
      <c r="BJ50" s="35">
        <f t="shared" si="308"/>
        <v>-3.291621822841595E-3</v>
      </c>
      <c r="BK50" s="35">
        <f t="shared" si="309"/>
        <v>1.1187499999999999</v>
      </c>
      <c r="BL50" s="35">
        <f t="shared" si="310"/>
        <v>1.1378906249999998</v>
      </c>
      <c r="BM50" s="35">
        <f t="shared" si="311"/>
        <v>1.1283203124999999</v>
      </c>
      <c r="BN50" s="35">
        <f t="shared" si="312"/>
        <v>5.8279199125466086E-4</v>
      </c>
      <c r="BO50" s="35">
        <f t="shared" si="313"/>
        <v>1.1283203124999999</v>
      </c>
      <c r="BP50" s="35">
        <f t="shared" si="314"/>
        <v>1.1378906249999998</v>
      </c>
      <c r="BQ50" s="35">
        <f t="shared" si="315"/>
        <v>1.1331054687499997</v>
      </c>
      <c r="BR50" s="35">
        <f t="shared" si="316"/>
        <v>-1.3594350215485607E-3</v>
      </c>
      <c r="BS50" s="35">
        <f t="shared" si="317"/>
        <v>1.1283203124999999</v>
      </c>
      <c r="BT50" s="35">
        <f t="shared" si="318"/>
        <v>1.1331054687499997</v>
      </c>
      <c r="BU50" s="35">
        <f t="shared" si="319"/>
        <v>1.1307128906249999</v>
      </c>
      <c r="BV50" s="35">
        <f t="shared" si="320"/>
        <v>-3.8958100442698651E-4</v>
      </c>
      <c r="BW50" s="35">
        <f t="shared" si="321"/>
        <v>1.1283203124999999</v>
      </c>
      <c r="BX50" s="35">
        <f t="shared" si="322"/>
        <v>1.1307128906249999</v>
      </c>
      <c r="BY50" s="35">
        <f t="shared" si="323"/>
        <v>1.1295166015625</v>
      </c>
      <c r="BZ50" s="35">
        <f t="shared" si="324"/>
        <v>9.629006142675145E-5</v>
      </c>
      <c r="CA50" s="35">
        <f t="shared" si="325"/>
        <v>1.1295166015625</v>
      </c>
      <c r="CB50" s="35">
        <f t="shared" si="326"/>
        <v>1.1307128906249999</v>
      </c>
      <c r="CC50" s="35">
        <f t="shared" si="327"/>
        <v>1.13011474609375</v>
      </c>
      <c r="CD50" s="35">
        <f t="shared" si="328"/>
        <v>-1.4672425945749801E-4</v>
      </c>
      <c r="CE50" s="35">
        <f t="shared" si="329"/>
        <v>1.1295166015625</v>
      </c>
      <c r="CF50" s="35">
        <f t="shared" si="330"/>
        <v>1.13011474609375</v>
      </c>
      <c r="CG50" s="35">
        <f t="shared" si="331"/>
        <v>1.1298156738281251</v>
      </c>
      <c r="CH50" s="35">
        <f t="shared" si="332"/>
        <v>-2.5236804754524833E-5</v>
      </c>
      <c r="CI50" s="35">
        <f t="shared" si="333"/>
        <v>1.1295166015625</v>
      </c>
      <c r="CJ50" s="35">
        <f t="shared" si="334"/>
        <v>1.1298156738281251</v>
      </c>
      <c r="CK50" s="35">
        <f t="shared" si="335"/>
        <v>1.1296661376953125</v>
      </c>
      <c r="CL50" s="35">
        <f t="shared" si="336"/>
        <v>3.5521700807228385E-5</v>
      </c>
      <c r="CM50" s="35">
        <f t="shared" si="337"/>
        <v>1.1296661376953125</v>
      </c>
      <c r="CN50" s="35">
        <f t="shared" si="338"/>
        <v>1.1298156738281251</v>
      </c>
      <c r="CO50" s="35">
        <f t="shared" si="339"/>
        <v>1.1297409057617189</v>
      </c>
      <c r="CP50" s="35">
        <f t="shared" si="340"/>
        <v>5.1412162807018547E-6</v>
      </c>
      <c r="CQ50" s="35">
        <f t="shared" si="341"/>
        <v>1.1297409057617189</v>
      </c>
      <c r="CR50" s="35">
        <f t="shared" si="342"/>
        <v>1.1298156738281251</v>
      </c>
      <c r="CS50" s="35">
        <f t="shared" si="343"/>
        <v>1.129778289794922</v>
      </c>
      <c r="CT50" s="35">
        <f t="shared" si="344"/>
        <v>-1.0048102156101635E-5</v>
      </c>
      <c r="CU50" s="35">
        <f t="shared" si="345"/>
        <v>1.1297409057617189</v>
      </c>
      <c r="CV50" s="35">
        <f t="shared" si="346"/>
        <v>1.129778289794922</v>
      </c>
      <c r="CW50" s="35">
        <f t="shared" si="347"/>
        <v>1.1297595977783206</v>
      </c>
      <c r="CX50" s="35">
        <f t="shared" si="348"/>
        <v>-2.4535199196762392E-6</v>
      </c>
      <c r="CY50" s="35">
        <f t="shared" si="349"/>
        <v>1.1297409057617189</v>
      </c>
      <c r="CZ50" s="35">
        <f t="shared" si="350"/>
        <v>1.1297595977783206</v>
      </c>
      <c r="DA50" s="35">
        <f t="shared" si="351"/>
        <v>1.1297502517700198</v>
      </c>
      <c r="DB50" s="35">
        <f t="shared" si="352"/>
        <v>1.3438289347966759E-6</v>
      </c>
      <c r="DC50" s="35">
        <f t="shared" si="353"/>
        <v>1.1297502517700198</v>
      </c>
      <c r="DD50" s="35">
        <f t="shared" si="354"/>
        <v>1.1297595977783206</v>
      </c>
      <c r="DE50" s="35">
        <f t="shared" si="355"/>
        <v>1.1297549247741703</v>
      </c>
      <c r="DF50" s="35">
        <f t="shared" si="356"/>
        <v>-5.5485030381330347E-7</v>
      </c>
      <c r="DG50" s="35">
        <f t="shared" si="357"/>
        <v>1.1297502517700198</v>
      </c>
      <c r="DH50" s="35">
        <f t="shared" si="358"/>
        <v>1.1297549247741703</v>
      </c>
      <c r="DI50" s="35">
        <f t="shared" si="359"/>
        <v>1.1297525882720949</v>
      </c>
      <c r="DJ50" s="35">
        <f t="shared" si="360"/>
        <v>3.9448811262055017E-7</v>
      </c>
      <c r="DK50" s="35">
        <f t="shared" si="361"/>
        <v>1.1297525882720949</v>
      </c>
      <c r="DL50" s="35">
        <f t="shared" si="362"/>
        <v>1.1297549247741703</v>
      </c>
      <c r="DM50" s="35">
        <f t="shared" si="363"/>
        <v>1.1297537565231326</v>
      </c>
      <c r="DN50" s="35">
        <f t="shared" si="364"/>
        <v>-8.018139630028287E-8</v>
      </c>
      <c r="DO50" s="35">
        <f t="shared" si="365"/>
        <v>1.1297525882720949</v>
      </c>
      <c r="DP50" s="35">
        <f t="shared" si="366"/>
        <v>1.1297537565231326</v>
      </c>
      <c r="DQ50" s="35">
        <f t="shared" si="367"/>
        <v>1.1297531723976137</v>
      </c>
      <c r="DR50" s="35">
        <f t="shared" si="368"/>
        <v>1.5715328305354603E-7</v>
      </c>
      <c r="DS50" s="35">
        <f t="shared" si="369"/>
        <v>1.1297531723976137</v>
      </c>
      <c r="DT50" s="35">
        <f t="shared" si="370"/>
        <v>1.1297537565231326</v>
      </c>
      <c r="DU50" s="35">
        <f t="shared" si="371"/>
        <v>1.1297534644603733</v>
      </c>
      <c r="DV50" s="35">
        <f t="shared" si="372"/>
        <v>3.8485924447329012E-8</v>
      </c>
      <c r="DW50" s="35">
        <f t="shared" si="373"/>
        <v>1.1297534644603733</v>
      </c>
      <c r="DX50" s="35">
        <f t="shared" si="374"/>
        <v>1.1297537565231326</v>
      </c>
      <c r="DY50" s="35">
        <f t="shared" si="375"/>
        <v>1.1297536104917529</v>
      </c>
      <c r="DZ50" s="35">
        <f t="shared" si="376"/>
        <v>-2.0847740644924784E-8</v>
      </c>
      <c r="EA50" s="35">
        <f t="shared" si="377"/>
        <v>1.1297534644603733</v>
      </c>
      <c r="EB50" s="35">
        <f t="shared" si="378"/>
        <v>1.1297536104917529</v>
      </c>
      <c r="EC50" s="35">
        <f t="shared" si="379"/>
        <v>1.1297535374760632</v>
      </c>
      <c r="ED50" s="35">
        <f t="shared" si="380"/>
        <v>8.8190907909790894E-9</v>
      </c>
      <c r="EE50" s="35">
        <f t="shared" si="381"/>
        <v>1.1297535374760632</v>
      </c>
      <c r="EF50" s="35">
        <f t="shared" si="382"/>
        <v>1.1297536104917529</v>
      </c>
      <c r="EG50" s="35">
        <f t="shared" si="383"/>
        <v>1.129753573983908</v>
      </c>
      <c r="EH50" s="35">
        <f t="shared" si="384"/>
        <v>-6.0143251490174521E-9</v>
      </c>
      <c r="EI50" s="35">
        <f t="shared" si="385"/>
        <v>1.1297535374760632</v>
      </c>
      <c r="EJ50" s="35">
        <f t="shared" si="386"/>
        <v>1.129753573983908</v>
      </c>
      <c r="EK50" s="35">
        <f t="shared" si="387"/>
        <v>1.1297535557299856</v>
      </c>
      <c r="EL50" s="35">
        <f t="shared" si="388"/>
        <v>1.402382654447365E-9</v>
      </c>
      <c r="EM50" s="35">
        <f t="shared" si="389"/>
        <v>1.1297535557299856</v>
      </c>
      <c r="EN50" s="35">
        <f t="shared" si="390"/>
        <v>1.129753573983908</v>
      </c>
      <c r="EO50" s="35">
        <f t="shared" si="391"/>
        <v>1.1297535648569468</v>
      </c>
      <c r="EP50" s="35">
        <f t="shared" si="392"/>
        <v>-2.3059713027961948E-9</v>
      </c>
      <c r="EQ50" s="35">
        <f t="shared" si="393"/>
        <v>1.1297535557299856</v>
      </c>
      <c r="ER50" s="35">
        <f t="shared" si="394"/>
        <v>1.1297535648569468</v>
      </c>
      <c r="ES50" s="35">
        <f t="shared" si="395"/>
        <v>1.1297535602934663</v>
      </c>
      <c r="ET50" s="35">
        <f t="shared" si="396"/>
        <v>-4.5179437968556613E-10</v>
      </c>
      <c r="EU50" s="35">
        <f t="shared" si="397"/>
        <v>1.1297535557299856</v>
      </c>
      <c r="EV50" s="35">
        <f t="shared" si="398"/>
        <v>1.1297535602934663</v>
      </c>
      <c r="EW50" s="35">
        <f t="shared" si="399"/>
        <v>1.1297535580117259</v>
      </c>
      <c r="EX50" s="35">
        <f t="shared" si="400"/>
        <v>4.7529424840320189E-10</v>
      </c>
      <c r="EY50" s="35">
        <f t="shared" si="401"/>
        <v>1.1297535580117259</v>
      </c>
      <c r="EZ50" s="35">
        <f t="shared" si="402"/>
        <v>1.1297535602934663</v>
      </c>
      <c r="FA50" s="10">
        <v>9.9999999999999995E-7</v>
      </c>
      <c r="FB50" s="10">
        <v>0.99990000000000001</v>
      </c>
      <c r="FC50" s="35">
        <f t="shared" si="403"/>
        <v>0.49995050000000002</v>
      </c>
      <c r="FD50" s="35">
        <f t="shared" si="404"/>
        <v>-0.15521418701872147</v>
      </c>
      <c r="FE50" s="35">
        <f t="shared" si="405"/>
        <v>9.9999999999999995E-7</v>
      </c>
      <c r="FF50" s="35">
        <f t="shared" si="406"/>
        <v>0.49995050000000002</v>
      </c>
      <c r="FG50" s="35">
        <f t="shared" si="407"/>
        <v>0.24997575</v>
      </c>
      <c r="FH50" s="35">
        <f t="shared" si="408"/>
        <v>-7.9019495512587468E-2</v>
      </c>
      <c r="FI50" s="35">
        <f t="shared" si="409"/>
        <v>9.9999999999999995E-7</v>
      </c>
      <c r="FJ50" s="35">
        <f t="shared" si="410"/>
        <v>0.24997575</v>
      </c>
      <c r="FK50" s="35">
        <f t="shared" si="411"/>
        <v>0.124988375</v>
      </c>
      <c r="FL50" s="35">
        <f t="shared" si="412"/>
        <v>-2.9676729252918754E-2</v>
      </c>
      <c r="FM50" s="35">
        <f t="shared" si="413"/>
        <v>9.9999999999999995E-7</v>
      </c>
      <c r="FN50" s="35">
        <f t="shared" si="414"/>
        <v>0.124988375</v>
      </c>
      <c r="FO50" s="35">
        <f t="shared" si="415"/>
        <v>6.24946875E-2</v>
      </c>
      <c r="FP50" s="35">
        <f t="shared" si="416"/>
        <v>-1.7389048874490998E-3</v>
      </c>
      <c r="FQ50" s="35">
        <f t="shared" si="417"/>
        <v>9.9999999999999995E-7</v>
      </c>
      <c r="FR50" s="35">
        <f t="shared" si="418"/>
        <v>6.24946875E-2</v>
      </c>
      <c r="FS50" s="35">
        <f t="shared" si="419"/>
        <v>3.124784375E-2</v>
      </c>
      <c r="FT50" s="35">
        <f t="shared" si="420"/>
        <v>1.292038256696415E-2</v>
      </c>
      <c r="FU50" s="35">
        <f t="shared" si="421"/>
        <v>3.124784375E-2</v>
      </c>
      <c r="FV50" s="35">
        <f t="shared" si="422"/>
        <v>6.24946875E-2</v>
      </c>
      <c r="FW50" s="35">
        <f t="shared" si="423"/>
        <v>4.6871265624999998E-2</v>
      </c>
      <c r="FX50" s="35">
        <f t="shared" si="424"/>
        <v>5.5398115541118731E-3</v>
      </c>
      <c r="FY50" s="35">
        <f t="shared" si="425"/>
        <v>4.6871265624999998E-2</v>
      </c>
      <c r="FZ50" s="35">
        <f t="shared" si="426"/>
        <v>6.24946875E-2</v>
      </c>
      <c r="GA50" s="35">
        <f t="shared" si="427"/>
        <v>5.4682976562499999E-2</v>
      </c>
      <c r="GB50" s="35">
        <f t="shared" si="428"/>
        <v>1.8871638644966104E-3</v>
      </c>
      <c r="GC50" s="35">
        <f t="shared" si="429"/>
        <v>5.4682976562499999E-2</v>
      </c>
      <c r="GD50" s="35">
        <f t="shared" si="430"/>
        <v>6.24946875E-2</v>
      </c>
      <c r="GE50" s="35">
        <f t="shared" si="431"/>
        <v>5.8588832031249996E-2</v>
      </c>
      <c r="GF50" s="35">
        <f t="shared" si="432"/>
        <v>7.0740107927624862E-5</v>
      </c>
      <c r="GG50" s="35">
        <f t="shared" si="433"/>
        <v>5.8588832031249996E-2</v>
      </c>
      <c r="GH50" s="35">
        <f t="shared" si="434"/>
        <v>6.24946875E-2</v>
      </c>
      <c r="GI50" s="35">
        <f t="shared" si="435"/>
        <v>6.0541759765624995E-2</v>
      </c>
      <c r="GJ50" s="35">
        <f t="shared" si="436"/>
        <v>-8.3493793286504303E-4</v>
      </c>
      <c r="GK50" s="35">
        <f t="shared" si="437"/>
        <v>5.8588832031249996E-2</v>
      </c>
      <c r="GL50" s="35">
        <f t="shared" si="438"/>
        <v>6.0541759765624995E-2</v>
      </c>
      <c r="GM50" s="35">
        <f t="shared" si="439"/>
        <v>5.9565295898437495E-2</v>
      </c>
      <c r="GN50" s="35">
        <f t="shared" si="440"/>
        <v>-3.8231178167258406E-4</v>
      </c>
      <c r="GO50" s="35">
        <f t="shared" si="441"/>
        <v>5.8588832031249996E-2</v>
      </c>
      <c r="GP50" s="35">
        <f t="shared" si="442"/>
        <v>5.9565295898437495E-2</v>
      </c>
      <c r="GQ50" s="35">
        <f t="shared" si="443"/>
        <v>5.9077063964843746E-2</v>
      </c>
      <c r="GR50" s="35">
        <f t="shared" si="444"/>
        <v>-1.5583892638115771E-4</v>
      </c>
      <c r="GS50" s="35">
        <f t="shared" si="445"/>
        <v>5.8588832031249996E-2</v>
      </c>
      <c r="GT50" s="35">
        <f t="shared" si="446"/>
        <v>5.9077063964843746E-2</v>
      </c>
      <c r="GU50" s="35">
        <f t="shared" si="447"/>
        <v>5.8832947998046871E-2</v>
      </c>
      <c r="GV50" s="35">
        <f t="shared" si="448"/>
        <v>-4.2562665585110793E-5</v>
      </c>
      <c r="GW50" s="35">
        <f t="shared" si="449"/>
        <v>5.8588832031249996E-2</v>
      </c>
      <c r="GX50" s="35">
        <f t="shared" si="450"/>
        <v>5.8832947998046871E-2</v>
      </c>
      <c r="GY50" s="35">
        <f t="shared" si="451"/>
        <v>5.8710890014648437E-2</v>
      </c>
      <c r="GZ50" s="35">
        <f t="shared" si="452"/>
        <v>1.4085409086872502E-5</v>
      </c>
      <c r="HA50" s="35">
        <f t="shared" si="453"/>
        <v>5.8710890014648437E-2</v>
      </c>
      <c r="HB50" s="35">
        <f t="shared" si="454"/>
        <v>5.8832947998046871E-2</v>
      </c>
      <c r="HC50" s="35">
        <f t="shared" si="455"/>
        <v>5.877191900634765E-2</v>
      </c>
      <c r="HD50" s="35">
        <f t="shared" si="456"/>
        <v>-1.423945652101466E-5</v>
      </c>
      <c r="HE50" s="35">
        <f t="shared" si="457"/>
        <v>5.8710890014648437E-2</v>
      </c>
      <c r="HF50" s="35">
        <f t="shared" si="458"/>
        <v>5.877191900634765E-2</v>
      </c>
      <c r="HG50" s="35">
        <f t="shared" si="459"/>
        <v>5.8741404510498044E-2</v>
      </c>
      <c r="HH50" s="35">
        <f t="shared" si="460"/>
        <v>-7.7230753681156727E-8</v>
      </c>
      <c r="HI50" s="35">
        <f t="shared" si="461"/>
        <v>5.8710890014648437E-2</v>
      </c>
      <c r="HJ50" s="35">
        <f t="shared" si="462"/>
        <v>5.8741404510498044E-2</v>
      </c>
      <c r="HK50" s="35">
        <f t="shared" si="463"/>
        <v>5.872614726257324E-2</v>
      </c>
      <c r="HL50" s="35">
        <f t="shared" si="464"/>
        <v>7.0040374111624004E-6</v>
      </c>
      <c r="HM50" s="35">
        <f t="shared" si="465"/>
        <v>5.872614726257324E-2</v>
      </c>
      <c r="HN50" s="35">
        <f t="shared" si="466"/>
        <v>5.8741404510498044E-2</v>
      </c>
      <c r="HO50" s="35">
        <f t="shared" si="467"/>
        <v>5.8733775886535639E-2</v>
      </c>
      <c r="HP50" s="35">
        <f t="shared" si="468"/>
        <v>3.4633903893688256E-6</v>
      </c>
      <c r="HQ50" s="35">
        <f t="shared" si="469"/>
        <v>5.8733775886535639E-2</v>
      </c>
      <c r="HR50" s="35">
        <f t="shared" si="470"/>
        <v>5.8741404510498044E-2</v>
      </c>
      <c r="HS50" s="35">
        <f t="shared" si="471"/>
        <v>5.8737590198516841E-2</v>
      </c>
      <c r="HT50" s="35">
        <f t="shared" si="472"/>
        <v>1.6930765829314964E-6</v>
      </c>
      <c r="HU50" s="35">
        <f t="shared" si="473"/>
        <v>5.8737590198516841E-2</v>
      </c>
      <c r="HV50" s="35">
        <f t="shared" si="474"/>
        <v>5.8741404510498044E-2</v>
      </c>
      <c r="HW50" s="35">
        <f t="shared" si="475"/>
        <v>5.8739497354507439E-2</v>
      </c>
      <c r="HX50" s="35">
        <f t="shared" si="476"/>
        <v>8.0792210588320756E-7</v>
      </c>
      <c r="HY50" s="35">
        <f t="shared" si="477"/>
        <v>5.8739497354507439E-2</v>
      </c>
      <c r="HZ50" s="35">
        <f t="shared" si="478"/>
        <v>5.8741404510498044E-2</v>
      </c>
      <c r="IA50" s="35">
        <f t="shared" si="479"/>
        <v>5.8740450932502741E-2</v>
      </c>
      <c r="IB50" s="35">
        <f t="shared" si="480"/>
        <v>3.6534547409594609E-7</v>
      </c>
      <c r="IC50" s="35">
        <f t="shared" si="481"/>
        <v>5.8740450932502741E-2</v>
      </c>
      <c r="ID50" s="35">
        <f t="shared" si="482"/>
        <v>5.8741404510498044E-2</v>
      </c>
      <c r="IE50" s="35">
        <f t="shared" si="483"/>
        <v>5.8740927721500392E-2</v>
      </c>
      <c r="IF50" s="35">
        <f t="shared" si="484"/>
        <v>1.440573094146913E-7</v>
      </c>
      <c r="IG50" s="35">
        <f t="shared" si="485"/>
        <v>5.8740927721500392E-2</v>
      </c>
      <c r="IH50" s="35">
        <f t="shared" si="486"/>
        <v>5.8741404510498044E-2</v>
      </c>
      <c r="II50" s="35">
        <f t="shared" si="487"/>
        <v>5.8741166115999222E-2</v>
      </c>
      <c r="IJ50" s="35">
        <f t="shared" si="488"/>
        <v>3.3413265265735959E-8</v>
      </c>
      <c r="IK50" s="35">
        <f t="shared" si="489"/>
        <v>5.8741166115999222E-2</v>
      </c>
      <c r="IL50" s="35">
        <f t="shared" si="490"/>
        <v>5.8741404510498044E-2</v>
      </c>
      <c r="IM50" s="35">
        <f t="shared" si="491"/>
        <v>5.8741285313248633E-2</v>
      </c>
      <c r="IN50" s="35">
        <f t="shared" si="492"/>
        <v>-2.1908747482868307E-8</v>
      </c>
      <c r="IO50" s="35">
        <f t="shared" si="493"/>
        <v>5.8741166115999222E-2</v>
      </c>
      <c r="IP50" s="35">
        <f t="shared" si="494"/>
        <v>5.8741285313248633E-2</v>
      </c>
      <c r="IQ50" s="35">
        <f t="shared" si="495"/>
        <v>5.8741225714623924E-2</v>
      </c>
      <c r="IR50" s="35">
        <f t="shared" si="496"/>
        <v>5.752258003255406E-9</v>
      </c>
      <c r="IS50" s="35">
        <f t="shared" si="497"/>
        <v>5.8741225714623924E-2</v>
      </c>
      <c r="IT50" s="35">
        <f t="shared" si="498"/>
        <v>5.8741285313248633E-2</v>
      </c>
      <c r="IU50" s="35">
        <f t="shared" si="499"/>
        <v>5.8741255513936275E-2</v>
      </c>
      <c r="IV50" s="35">
        <f t="shared" si="500"/>
        <v>-8.0782447398064505E-9</v>
      </c>
      <c r="IW50" s="35">
        <f t="shared" si="501"/>
        <v>5.8741225714623924E-2</v>
      </c>
      <c r="IX50" s="35">
        <f t="shared" si="502"/>
        <v>5.8741255513936275E-2</v>
      </c>
      <c r="IY50" s="35">
        <f t="shared" si="503"/>
        <v>5.8741240614280099E-2</v>
      </c>
      <c r="IZ50" s="35">
        <f t="shared" si="504"/>
        <v>-1.1629933682755222E-9</v>
      </c>
      <c r="JA50" s="35">
        <f t="shared" si="505"/>
        <v>5.8741225714623924E-2</v>
      </c>
      <c r="JB50" s="35">
        <f t="shared" si="506"/>
        <v>5.8741240614280099E-2</v>
      </c>
      <c r="JC50" s="35">
        <f t="shared" si="507"/>
        <v>5.8741233164452011E-2</v>
      </c>
      <c r="JD50" s="35">
        <f t="shared" si="508"/>
        <v>2.2946324840233956E-9</v>
      </c>
      <c r="JE50" s="35">
        <f t="shared" si="509"/>
        <v>5.8741233164452011E-2</v>
      </c>
      <c r="JF50" s="35">
        <f t="shared" si="510"/>
        <v>5.8741240614280099E-2</v>
      </c>
      <c r="JG50" s="35">
        <f t="shared" si="511"/>
        <v>5.8741236889366055E-2</v>
      </c>
      <c r="JH50" s="35">
        <f t="shared" si="512"/>
        <v>5.6581961338508791E-10</v>
      </c>
      <c r="JI50" s="35">
        <f t="shared" si="513"/>
        <v>5.8741236889366055E-2</v>
      </c>
      <c r="JJ50" s="35">
        <f t="shared" si="514"/>
        <v>5.8741240614280099E-2</v>
      </c>
      <c r="JK50" s="35">
        <f t="shared" si="515"/>
        <v>5.8741238751823077E-2</v>
      </c>
      <c r="JL50" s="35">
        <f t="shared" si="516"/>
        <v>-2.9858704397867086E-10</v>
      </c>
      <c r="JM50" s="35">
        <f t="shared" si="517"/>
        <v>5.8741236889366055E-2</v>
      </c>
      <c r="JN50" s="35">
        <f t="shared" si="518"/>
        <v>5.8741238751823077E-2</v>
      </c>
      <c r="JO50" s="35">
        <f t="shared" si="519"/>
        <v>5.8741237820594566E-2</v>
      </c>
      <c r="JP50" s="35">
        <f t="shared" si="520"/>
        <v>1.3361622919205729E-10</v>
      </c>
      <c r="JQ50" s="35">
        <f t="shared" si="521"/>
        <v>5.8741237820594566E-2</v>
      </c>
      <c r="JR50" s="35">
        <f t="shared" si="522"/>
        <v>5.8741238751823077E-2</v>
      </c>
      <c r="JS50" s="35">
        <f t="shared" si="523"/>
        <v>5.8741238286208822E-2</v>
      </c>
      <c r="JT50" s="35">
        <f t="shared" si="524"/>
        <v>-8.2485462904458018E-11</v>
      </c>
      <c r="JU50" s="35">
        <f t="shared" si="525"/>
        <v>5.8741237820594566E-2</v>
      </c>
      <c r="JV50" s="35">
        <f t="shared" si="526"/>
        <v>5.8741238286208822E-2</v>
      </c>
      <c r="JW50" s="35">
        <f t="shared" si="527"/>
        <v>5.8741238053401694E-2</v>
      </c>
      <c r="JX50" s="35">
        <f t="shared" si="528"/>
        <v>2.556554967725333E-11</v>
      </c>
      <c r="JY50" s="35">
        <f t="shared" si="529"/>
        <v>5.8741238053401694E-2</v>
      </c>
      <c r="JZ50" s="35">
        <f t="shared" si="530"/>
        <v>5.8741238286208822E-2</v>
      </c>
      <c r="KA50" s="35">
        <f t="shared" si="531"/>
        <v>1.1297535591525962</v>
      </c>
      <c r="KB50" s="35">
        <f t="shared" si="532"/>
        <v>5.8741238169805254E-2</v>
      </c>
    </row>
    <row r="51" spans="1:288" ht="15" customHeight="1" x14ac:dyDescent="0.3">
      <c r="A51" s="30">
        <f>Odds_Input!A51</f>
        <v>43</v>
      </c>
      <c r="B51" s="7" t="str">
        <f>Odds_Input!B51</f>
        <v>CONF_EAST</v>
      </c>
      <c r="C51" s="7" t="str">
        <f>Odds_Input!C51</f>
        <v>Toronto Raptors</v>
      </c>
      <c r="D51" s="7" t="str">
        <f>Odds_Input!D51</f>
        <v>YES</v>
      </c>
      <c r="E51" s="31" t="str">
        <f>Odds_Input!E51</f>
        <v>-</v>
      </c>
      <c r="F51" s="32">
        <f>Odds_Input!F51</f>
        <v>900</v>
      </c>
      <c r="G51" s="6" t="str">
        <f t="shared" si="0"/>
        <v>CONF_EAST</v>
      </c>
      <c r="H51" s="14">
        <f t="shared" si="1"/>
        <v>10</v>
      </c>
      <c r="I51" s="33">
        <f t="shared" si="2"/>
        <v>0.1</v>
      </c>
      <c r="J51" s="17">
        <f t="shared" si="3"/>
        <v>1</v>
      </c>
      <c r="K51" s="17">
        <f t="shared" si="4"/>
        <v>15</v>
      </c>
      <c r="L51" s="18">
        <f t="shared" si="5"/>
        <v>1.2088752212862357</v>
      </c>
      <c r="M51" s="34">
        <f t="shared" si="6"/>
        <v>0.2088752212862357</v>
      </c>
      <c r="N51" s="33">
        <f t="shared" si="7"/>
        <v>8.2721523478329409E-2</v>
      </c>
      <c r="O51" s="33">
        <f t="shared" si="8"/>
        <v>8.1291994981658969E-2</v>
      </c>
      <c r="P51" s="33">
        <f t="shared" si="9"/>
        <v>8.3128087470530479E-2</v>
      </c>
      <c r="Q51" s="33">
        <f t="shared" si="10"/>
        <v>8.3128087470530479E-2</v>
      </c>
      <c r="R51" s="35">
        <f t="shared" si="11"/>
        <v>1.0899522183230146</v>
      </c>
      <c r="S51" s="35">
        <f t="shared" si="12"/>
        <v>1.7868178675567389E-2</v>
      </c>
      <c r="X51" s="6" t="s">
        <v>826</v>
      </c>
      <c r="Y51" s="6">
        <f t="shared" si="273"/>
        <v>1</v>
      </c>
      <c r="Z51" s="18">
        <f t="shared" si="274"/>
        <v>1.05</v>
      </c>
      <c r="AA51" s="10">
        <v>0.2</v>
      </c>
      <c r="AB51" s="10">
        <v>10</v>
      </c>
      <c r="AC51" s="35">
        <f t="shared" si="275"/>
        <v>5.0999999999999996</v>
      </c>
      <c r="AD51" s="35">
        <f t="shared" si="276"/>
        <v>-0.35834489041922335</v>
      </c>
      <c r="AE51" s="35">
        <f t="shared" si="277"/>
        <v>0.2</v>
      </c>
      <c r="AF51" s="35">
        <f t="shared" si="278"/>
        <v>5.0999999999999996</v>
      </c>
      <c r="AG51" s="35">
        <f t="shared" si="279"/>
        <v>2.65</v>
      </c>
      <c r="AH51" s="35">
        <f t="shared" si="280"/>
        <v>-0.20112890889418766</v>
      </c>
      <c r="AI51" s="35">
        <f t="shared" si="281"/>
        <v>0.2</v>
      </c>
      <c r="AJ51" s="35">
        <f t="shared" si="282"/>
        <v>2.65</v>
      </c>
      <c r="AK51" s="35">
        <f t="shared" si="283"/>
        <v>1.425</v>
      </c>
      <c r="AL51" s="35">
        <f t="shared" si="284"/>
        <v>-5.9983551673739366E-2</v>
      </c>
      <c r="AM51" s="35">
        <f t="shared" si="285"/>
        <v>0.2</v>
      </c>
      <c r="AN51" s="35">
        <f t="shared" si="286"/>
        <v>1.425</v>
      </c>
      <c r="AO51" s="35">
        <f t="shared" si="287"/>
        <v>0.8125</v>
      </c>
      <c r="AP51" s="35">
        <f t="shared" si="288"/>
        <v>0.12628611410582047</v>
      </c>
      <c r="AQ51" s="35">
        <f t="shared" si="289"/>
        <v>0.8125</v>
      </c>
      <c r="AR51" s="35">
        <f t="shared" si="290"/>
        <v>1.425</v>
      </c>
      <c r="AS51" s="35">
        <f t="shared" si="291"/>
        <v>1.1187499999999999</v>
      </c>
      <c r="AT51" s="35">
        <f t="shared" si="292"/>
        <v>1.2204216337958096E-2</v>
      </c>
      <c r="AU51" s="35">
        <f t="shared" si="293"/>
        <v>1.1187499999999999</v>
      </c>
      <c r="AV51" s="35">
        <f t="shared" si="294"/>
        <v>1.425</v>
      </c>
      <c r="AW51" s="35">
        <f t="shared" si="295"/>
        <v>1.2718750000000001</v>
      </c>
      <c r="AX51" s="35">
        <f t="shared" si="296"/>
        <v>-2.7667788901002077E-2</v>
      </c>
      <c r="AY51" s="35">
        <f t="shared" si="297"/>
        <v>1.1187499999999999</v>
      </c>
      <c r="AZ51" s="35">
        <f t="shared" si="298"/>
        <v>1.2718750000000001</v>
      </c>
      <c r="BA51" s="35">
        <f t="shared" si="299"/>
        <v>1.1953125</v>
      </c>
      <c r="BB51" s="35">
        <f t="shared" si="300"/>
        <v>-8.8242908417694998E-3</v>
      </c>
      <c r="BC51" s="35">
        <f t="shared" si="301"/>
        <v>1.1187499999999999</v>
      </c>
      <c r="BD51" s="35">
        <f t="shared" si="302"/>
        <v>1.1953125</v>
      </c>
      <c r="BE51" s="35">
        <f t="shared" si="303"/>
        <v>1.15703125</v>
      </c>
      <c r="BF51" s="35">
        <f t="shared" si="304"/>
        <v>1.395750365482229E-3</v>
      </c>
      <c r="BG51" s="35">
        <f t="shared" si="305"/>
        <v>1.15703125</v>
      </c>
      <c r="BH51" s="35">
        <f t="shared" si="306"/>
        <v>1.1953125</v>
      </c>
      <c r="BI51" s="35">
        <f t="shared" si="307"/>
        <v>1.1761718750000001</v>
      </c>
      <c r="BJ51" s="35">
        <f t="shared" si="308"/>
        <v>-3.7850601472969592E-3</v>
      </c>
      <c r="BK51" s="35">
        <f t="shared" si="309"/>
        <v>1.15703125</v>
      </c>
      <c r="BL51" s="35">
        <f t="shared" si="310"/>
        <v>1.1761718750000001</v>
      </c>
      <c r="BM51" s="35">
        <f t="shared" si="311"/>
        <v>1.1666015624999999</v>
      </c>
      <c r="BN51" s="35">
        <f t="shared" si="312"/>
        <v>-1.2126894639425956E-3</v>
      </c>
      <c r="BO51" s="35">
        <f t="shared" si="313"/>
        <v>1.15703125</v>
      </c>
      <c r="BP51" s="35">
        <f t="shared" si="314"/>
        <v>1.1666015624999999</v>
      </c>
      <c r="BQ51" s="35">
        <f t="shared" si="315"/>
        <v>1.1618164062499998</v>
      </c>
      <c r="BR51" s="35">
        <f t="shared" si="316"/>
        <v>8.6978956679084618E-5</v>
      </c>
      <c r="BS51" s="35">
        <f t="shared" si="317"/>
        <v>1.1618164062499998</v>
      </c>
      <c r="BT51" s="35">
        <f t="shared" si="318"/>
        <v>1.1666015624999999</v>
      </c>
      <c r="BU51" s="35">
        <f t="shared" si="319"/>
        <v>1.1642089843749999</v>
      </c>
      <c r="BV51" s="35">
        <f t="shared" si="320"/>
        <v>-5.6398773853116868E-4</v>
      </c>
      <c r="BW51" s="35">
        <f t="shared" si="321"/>
        <v>1.1618164062499998</v>
      </c>
      <c r="BX51" s="35">
        <f t="shared" si="322"/>
        <v>1.1642089843749999</v>
      </c>
      <c r="BY51" s="35">
        <f t="shared" si="323"/>
        <v>1.1630126953124997</v>
      </c>
      <c r="BZ51" s="35">
        <f t="shared" si="324"/>
        <v>-2.387881837012662E-4</v>
      </c>
      <c r="CA51" s="35">
        <f t="shared" si="325"/>
        <v>1.1618164062499998</v>
      </c>
      <c r="CB51" s="35">
        <f t="shared" si="326"/>
        <v>1.1630126953124997</v>
      </c>
      <c r="CC51" s="35">
        <f t="shared" si="327"/>
        <v>1.1624145507812498</v>
      </c>
      <c r="CD51" s="35">
        <f t="shared" si="328"/>
        <v>-7.597564582573213E-5</v>
      </c>
      <c r="CE51" s="35">
        <f t="shared" si="329"/>
        <v>1.1618164062499998</v>
      </c>
      <c r="CF51" s="35">
        <f t="shared" si="330"/>
        <v>1.1624145507812498</v>
      </c>
      <c r="CG51" s="35">
        <f t="shared" si="331"/>
        <v>1.1621154785156249</v>
      </c>
      <c r="CH51" s="35">
        <f t="shared" si="332"/>
        <v>5.4838868217554904E-6</v>
      </c>
      <c r="CI51" s="35">
        <f t="shared" si="333"/>
        <v>1.1621154785156249</v>
      </c>
      <c r="CJ51" s="35">
        <f t="shared" si="334"/>
        <v>1.1624145507812498</v>
      </c>
      <c r="CK51" s="35">
        <f t="shared" si="335"/>
        <v>1.1622650146484372</v>
      </c>
      <c r="CL51" s="35">
        <f t="shared" si="336"/>
        <v>-3.5250320336910335E-5</v>
      </c>
      <c r="CM51" s="35">
        <f t="shared" si="337"/>
        <v>1.1621154785156249</v>
      </c>
      <c r="CN51" s="35">
        <f t="shared" si="338"/>
        <v>1.1622650146484372</v>
      </c>
      <c r="CO51" s="35">
        <f t="shared" si="339"/>
        <v>1.1621902465820311</v>
      </c>
      <c r="CP51" s="35">
        <f t="shared" si="340"/>
        <v>-1.4884327130815223E-5</v>
      </c>
      <c r="CQ51" s="35">
        <f t="shared" si="341"/>
        <v>1.1621154785156249</v>
      </c>
      <c r="CR51" s="35">
        <f t="shared" si="342"/>
        <v>1.1621902465820311</v>
      </c>
      <c r="CS51" s="35">
        <f t="shared" si="343"/>
        <v>1.162152862548828</v>
      </c>
      <c r="CT51" s="35">
        <f t="shared" si="344"/>
        <v>-4.7004977683506866E-6</v>
      </c>
      <c r="CU51" s="35">
        <f t="shared" si="345"/>
        <v>1.1621154785156249</v>
      </c>
      <c r="CV51" s="35">
        <f t="shared" si="346"/>
        <v>1.162152862548828</v>
      </c>
      <c r="CW51" s="35">
        <f t="shared" si="347"/>
        <v>1.1621341705322266</v>
      </c>
      <c r="CX51" s="35">
        <f t="shared" si="348"/>
        <v>3.9162512055490595E-7</v>
      </c>
      <c r="CY51" s="35">
        <f t="shared" si="349"/>
        <v>1.1621341705322266</v>
      </c>
      <c r="CZ51" s="35">
        <f t="shared" si="350"/>
        <v>1.162152862548828</v>
      </c>
      <c r="DA51" s="35">
        <f t="shared" si="351"/>
        <v>1.1621435165405272</v>
      </c>
      <c r="DB51" s="35">
        <f t="shared" si="352"/>
        <v>-2.154453675129453E-6</v>
      </c>
      <c r="DC51" s="35">
        <f t="shared" si="353"/>
        <v>1.1621341705322266</v>
      </c>
      <c r="DD51" s="35">
        <f t="shared" si="354"/>
        <v>1.1621435165405272</v>
      </c>
      <c r="DE51" s="35">
        <f t="shared" si="355"/>
        <v>1.1621388435363769</v>
      </c>
      <c r="DF51" s="35">
        <f t="shared" si="356"/>
        <v>-8.8141861509516417E-7</v>
      </c>
      <c r="DG51" s="35">
        <f t="shared" si="357"/>
        <v>1.1621341705322266</v>
      </c>
      <c r="DH51" s="35">
        <f t="shared" si="358"/>
        <v>1.1621388435363769</v>
      </c>
      <c r="DI51" s="35">
        <f t="shared" si="359"/>
        <v>1.1621365070343017</v>
      </c>
      <c r="DJ51" s="35">
        <f t="shared" si="360"/>
        <v>-2.4489783168046841E-7</v>
      </c>
      <c r="DK51" s="35">
        <f t="shared" si="361"/>
        <v>1.1621341705322266</v>
      </c>
      <c r="DL51" s="35">
        <f t="shared" si="362"/>
        <v>1.1621365070343017</v>
      </c>
      <c r="DM51" s="35">
        <f t="shared" si="363"/>
        <v>1.1621353387832642</v>
      </c>
      <c r="DN51" s="35">
        <f t="shared" si="364"/>
        <v>7.3363373376267305E-8</v>
      </c>
      <c r="DO51" s="35">
        <f t="shared" si="365"/>
        <v>1.1621353387832642</v>
      </c>
      <c r="DP51" s="35">
        <f t="shared" si="366"/>
        <v>1.1621365070343017</v>
      </c>
      <c r="DQ51" s="35">
        <f t="shared" si="367"/>
        <v>1.1621359229087829</v>
      </c>
      <c r="DR51" s="35">
        <f t="shared" si="368"/>
        <v>-8.5767296931216208E-8</v>
      </c>
      <c r="DS51" s="35">
        <f t="shared" si="369"/>
        <v>1.1621353387832642</v>
      </c>
      <c r="DT51" s="35">
        <f t="shared" si="370"/>
        <v>1.1621359229087829</v>
      </c>
      <c r="DU51" s="35">
        <f t="shared" si="371"/>
        <v>1.1621356308460236</v>
      </c>
      <c r="DV51" s="35">
        <f t="shared" si="372"/>
        <v>-6.2019788193978798E-9</v>
      </c>
      <c r="DW51" s="35">
        <f t="shared" si="373"/>
        <v>1.1621353387832642</v>
      </c>
      <c r="DX51" s="35">
        <f t="shared" si="374"/>
        <v>1.1621356308460236</v>
      </c>
      <c r="DY51" s="35">
        <f t="shared" si="375"/>
        <v>1.1621354848146439</v>
      </c>
      <c r="DZ51" s="35">
        <f t="shared" si="376"/>
        <v>3.358069311509837E-8</v>
      </c>
      <c r="EA51" s="35">
        <f t="shared" si="377"/>
        <v>1.1621354848146439</v>
      </c>
      <c r="EB51" s="35">
        <f t="shared" si="378"/>
        <v>1.1621356308460236</v>
      </c>
      <c r="EC51" s="35">
        <f t="shared" si="379"/>
        <v>1.1621355578303336</v>
      </c>
      <c r="ED51" s="35">
        <f t="shared" si="380"/>
        <v>1.3689356093138372E-8</v>
      </c>
      <c r="EE51" s="35">
        <f t="shared" si="381"/>
        <v>1.1621355578303336</v>
      </c>
      <c r="EF51" s="35">
        <f t="shared" si="382"/>
        <v>1.1621356308460236</v>
      </c>
      <c r="EG51" s="35">
        <f t="shared" si="383"/>
        <v>1.1621355943381786</v>
      </c>
      <c r="EH51" s="35">
        <f t="shared" si="384"/>
        <v>3.7436884703367923E-9</v>
      </c>
      <c r="EI51" s="35">
        <f t="shared" si="385"/>
        <v>1.1621355943381786</v>
      </c>
      <c r="EJ51" s="35">
        <f t="shared" si="386"/>
        <v>1.1621356308460236</v>
      </c>
      <c r="EK51" s="35">
        <f t="shared" si="387"/>
        <v>1.1621356125921012</v>
      </c>
      <c r="EL51" s="35">
        <f t="shared" si="388"/>
        <v>-1.2291453410639974E-9</v>
      </c>
      <c r="EM51" s="35">
        <f t="shared" si="389"/>
        <v>1.1621355943381786</v>
      </c>
      <c r="EN51" s="35">
        <f t="shared" si="390"/>
        <v>1.1621356125921012</v>
      </c>
      <c r="EO51" s="35">
        <f t="shared" si="391"/>
        <v>1.1621356034651398</v>
      </c>
      <c r="EP51" s="35">
        <f t="shared" si="392"/>
        <v>1.2572716201475487E-9</v>
      </c>
      <c r="EQ51" s="35">
        <f t="shared" si="393"/>
        <v>1.1621356034651398</v>
      </c>
      <c r="ER51" s="35">
        <f t="shared" si="394"/>
        <v>1.1621356125921012</v>
      </c>
      <c r="ES51" s="35">
        <f t="shared" si="395"/>
        <v>1.1621356080286205</v>
      </c>
      <c r="ET51" s="35">
        <f t="shared" si="396"/>
        <v>1.4063195052926858E-11</v>
      </c>
      <c r="EU51" s="35">
        <f t="shared" si="397"/>
        <v>1.1621356080286205</v>
      </c>
      <c r="EV51" s="35">
        <f t="shared" si="398"/>
        <v>1.1621356125921012</v>
      </c>
      <c r="EW51" s="35">
        <f t="shared" si="399"/>
        <v>1.1621356103103608</v>
      </c>
      <c r="EX51" s="35">
        <f t="shared" si="400"/>
        <v>-6.0754112851668651E-10</v>
      </c>
      <c r="EY51" s="35">
        <f t="shared" si="401"/>
        <v>1.1621356080286205</v>
      </c>
      <c r="EZ51" s="35">
        <f t="shared" si="402"/>
        <v>1.1621356103103608</v>
      </c>
      <c r="FA51" s="10">
        <v>9.9999999999999995E-7</v>
      </c>
      <c r="FB51" s="10">
        <v>0.99990000000000001</v>
      </c>
      <c r="FC51" s="35">
        <f t="shared" si="403"/>
        <v>0.49995050000000002</v>
      </c>
      <c r="FD51" s="35">
        <f t="shared" si="404"/>
        <v>-0.10686372418922252</v>
      </c>
      <c r="FE51" s="35">
        <f t="shared" si="405"/>
        <v>9.9999999999999995E-7</v>
      </c>
      <c r="FF51" s="35">
        <f t="shared" si="406"/>
        <v>0.49995050000000002</v>
      </c>
      <c r="FG51" s="35">
        <f t="shared" si="407"/>
        <v>0.24997575</v>
      </c>
      <c r="FH51" s="35">
        <f t="shared" si="408"/>
        <v>-6.2608070222328727E-2</v>
      </c>
      <c r="FI51" s="35">
        <f t="shared" si="409"/>
        <v>9.9999999999999995E-7</v>
      </c>
      <c r="FJ51" s="35">
        <f t="shared" si="410"/>
        <v>0.24997575</v>
      </c>
      <c r="FK51" s="35">
        <f t="shared" si="411"/>
        <v>0.124988375</v>
      </c>
      <c r="FL51" s="35">
        <f t="shared" si="412"/>
        <v>-2.7477043473355334E-2</v>
      </c>
      <c r="FM51" s="35">
        <f t="shared" si="413"/>
        <v>9.9999999999999995E-7</v>
      </c>
      <c r="FN51" s="35">
        <f t="shared" si="414"/>
        <v>0.124988375</v>
      </c>
      <c r="FO51" s="35">
        <f t="shared" si="415"/>
        <v>6.24946875E-2</v>
      </c>
      <c r="FP51" s="35">
        <f t="shared" si="416"/>
        <v>-3.6905223681588106E-3</v>
      </c>
      <c r="FQ51" s="35">
        <f t="shared" si="417"/>
        <v>9.9999999999999995E-7</v>
      </c>
      <c r="FR51" s="35">
        <f t="shared" si="418"/>
        <v>6.24946875E-2</v>
      </c>
      <c r="FS51" s="35">
        <f t="shared" si="419"/>
        <v>3.124784375E-2</v>
      </c>
      <c r="FT51" s="35">
        <f t="shared" si="420"/>
        <v>9.957515666879635E-3</v>
      </c>
      <c r="FU51" s="35">
        <f t="shared" si="421"/>
        <v>3.124784375E-2</v>
      </c>
      <c r="FV51" s="35">
        <f t="shared" si="422"/>
        <v>6.24946875E-2</v>
      </c>
      <c r="FW51" s="35">
        <f t="shared" si="423"/>
        <v>4.6871265624999998E-2</v>
      </c>
      <c r="FX51" s="35">
        <f t="shared" si="424"/>
        <v>2.9907192052440745E-3</v>
      </c>
      <c r="FY51" s="35">
        <f t="shared" si="425"/>
        <v>4.6871265624999998E-2</v>
      </c>
      <c r="FZ51" s="35">
        <f t="shared" si="426"/>
        <v>6.24946875E-2</v>
      </c>
      <c r="GA51" s="35">
        <f t="shared" si="427"/>
        <v>5.4682976562499999E-2</v>
      </c>
      <c r="GB51" s="35">
        <f t="shared" si="428"/>
        <v>-3.8617828287679234E-4</v>
      </c>
      <c r="GC51" s="35">
        <f t="shared" si="429"/>
        <v>4.6871265624999998E-2</v>
      </c>
      <c r="GD51" s="35">
        <f t="shared" si="430"/>
        <v>5.4682976562499999E-2</v>
      </c>
      <c r="GE51" s="35">
        <f t="shared" si="431"/>
        <v>5.0777121093750002E-2</v>
      </c>
      <c r="GF51" s="35">
        <f t="shared" si="432"/>
        <v>1.2932625993964386E-3</v>
      </c>
      <c r="GG51" s="35">
        <f t="shared" si="433"/>
        <v>5.0777121093750002E-2</v>
      </c>
      <c r="GH51" s="35">
        <f t="shared" si="434"/>
        <v>5.4682976562499999E-2</v>
      </c>
      <c r="GI51" s="35">
        <f t="shared" si="435"/>
        <v>5.2730048828125001E-2</v>
      </c>
      <c r="GJ51" s="35">
        <f t="shared" si="436"/>
        <v>4.5128180752973535E-4</v>
      </c>
      <c r="GK51" s="35">
        <f t="shared" si="437"/>
        <v>5.2730048828125001E-2</v>
      </c>
      <c r="GL51" s="35">
        <f t="shared" si="438"/>
        <v>5.4682976562499999E-2</v>
      </c>
      <c r="GM51" s="35">
        <f t="shared" si="439"/>
        <v>5.37065126953125E-2</v>
      </c>
      <c r="GN51" s="35">
        <f t="shared" si="440"/>
        <v>3.1985689546099039E-5</v>
      </c>
      <c r="GO51" s="35">
        <f t="shared" si="441"/>
        <v>5.37065126953125E-2</v>
      </c>
      <c r="GP51" s="35">
        <f t="shared" si="442"/>
        <v>5.4682976562499999E-2</v>
      </c>
      <c r="GQ51" s="35">
        <f t="shared" si="443"/>
        <v>5.419474462890625E-2</v>
      </c>
      <c r="GR51" s="35">
        <f t="shared" si="444"/>
        <v>-1.7723793405277632E-4</v>
      </c>
      <c r="GS51" s="35">
        <f t="shared" si="445"/>
        <v>5.37065126953125E-2</v>
      </c>
      <c r="GT51" s="35">
        <f t="shared" si="446"/>
        <v>5.419474462890625E-2</v>
      </c>
      <c r="GU51" s="35">
        <f t="shared" si="447"/>
        <v>5.3950628662109375E-2</v>
      </c>
      <c r="GV51" s="35">
        <f t="shared" si="448"/>
        <v>-7.2661516877459142E-5</v>
      </c>
      <c r="GW51" s="35">
        <f t="shared" si="449"/>
        <v>5.37065126953125E-2</v>
      </c>
      <c r="GX51" s="35">
        <f t="shared" si="450"/>
        <v>5.3950628662109375E-2</v>
      </c>
      <c r="GY51" s="35">
        <f t="shared" si="451"/>
        <v>5.3828570678710941E-2</v>
      </c>
      <c r="GZ51" s="35">
        <f t="shared" si="452"/>
        <v>-2.0346760466027902E-5</v>
      </c>
      <c r="HA51" s="35">
        <f t="shared" si="453"/>
        <v>5.37065126953125E-2</v>
      </c>
      <c r="HB51" s="35">
        <f t="shared" si="454"/>
        <v>5.3828570678710941E-2</v>
      </c>
      <c r="HC51" s="35">
        <f t="shared" si="455"/>
        <v>5.376754168701172E-2</v>
      </c>
      <c r="HD51" s="35">
        <f t="shared" si="456"/>
        <v>5.8172530728040073E-6</v>
      </c>
      <c r="HE51" s="35">
        <f t="shared" si="457"/>
        <v>5.376754168701172E-2</v>
      </c>
      <c r="HF51" s="35">
        <f t="shared" si="458"/>
        <v>5.3828570678710941E-2</v>
      </c>
      <c r="HG51" s="35">
        <f t="shared" si="459"/>
        <v>5.3798056182861334E-2</v>
      </c>
      <c r="HH51" s="35">
        <f t="shared" si="460"/>
        <v>-7.2653065923411475E-6</v>
      </c>
      <c r="HI51" s="35">
        <f t="shared" si="461"/>
        <v>5.376754168701172E-2</v>
      </c>
      <c r="HJ51" s="35">
        <f t="shared" si="462"/>
        <v>5.3798056182861334E-2</v>
      </c>
      <c r="HK51" s="35">
        <f t="shared" si="463"/>
        <v>5.3782798934936524E-2</v>
      </c>
      <c r="HL51" s="35">
        <f t="shared" si="464"/>
        <v>-7.241649802036676E-7</v>
      </c>
      <c r="HM51" s="35">
        <f t="shared" si="465"/>
        <v>5.376754168701172E-2</v>
      </c>
      <c r="HN51" s="35">
        <f t="shared" si="466"/>
        <v>5.3782798934936524E-2</v>
      </c>
      <c r="HO51" s="35">
        <f t="shared" si="467"/>
        <v>5.3775170310974119E-2</v>
      </c>
      <c r="HP51" s="35">
        <f t="shared" si="468"/>
        <v>2.5465094917187514E-6</v>
      </c>
      <c r="HQ51" s="35">
        <f t="shared" si="469"/>
        <v>5.3775170310974119E-2</v>
      </c>
      <c r="HR51" s="35">
        <f t="shared" si="470"/>
        <v>5.3782798934936524E-2</v>
      </c>
      <c r="HS51" s="35">
        <f t="shared" si="471"/>
        <v>5.3778984622955321E-2</v>
      </c>
      <c r="HT51" s="35">
        <f t="shared" si="472"/>
        <v>9.111636172232096E-7</v>
      </c>
      <c r="HU51" s="35">
        <f t="shared" si="473"/>
        <v>5.3778984622955321E-2</v>
      </c>
      <c r="HV51" s="35">
        <f t="shared" si="474"/>
        <v>5.3782798934936524E-2</v>
      </c>
      <c r="HW51" s="35">
        <f t="shared" si="475"/>
        <v>5.3780891778945919E-2</v>
      </c>
      <c r="HX51" s="35">
        <f t="shared" si="476"/>
        <v>9.3497158681898895E-8</v>
      </c>
      <c r="HY51" s="35">
        <f t="shared" si="477"/>
        <v>5.3780891778945919E-2</v>
      </c>
      <c r="HZ51" s="35">
        <f t="shared" si="478"/>
        <v>5.3782798934936524E-2</v>
      </c>
      <c r="IA51" s="35">
        <f t="shared" si="479"/>
        <v>5.3781845356941221E-2</v>
      </c>
      <c r="IB51" s="35">
        <f t="shared" si="480"/>
        <v>-3.1533445055131892E-7</v>
      </c>
      <c r="IC51" s="35">
        <f t="shared" si="481"/>
        <v>5.3780891778945919E-2</v>
      </c>
      <c r="ID51" s="35">
        <f t="shared" si="482"/>
        <v>5.3781845356941221E-2</v>
      </c>
      <c r="IE51" s="35">
        <f t="shared" si="483"/>
        <v>5.378136856794357E-2</v>
      </c>
      <c r="IF51" s="35">
        <f t="shared" si="484"/>
        <v>-1.1091878093782981E-7</v>
      </c>
      <c r="IG51" s="35">
        <f t="shared" si="485"/>
        <v>5.3780891778945919E-2</v>
      </c>
      <c r="IH51" s="35">
        <f t="shared" si="486"/>
        <v>5.378136856794357E-2</v>
      </c>
      <c r="II51" s="35">
        <f t="shared" si="487"/>
        <v>5.3781130173444741E-2</v>
      </c>
      <c r="IJ51" s="35">
        <f t="shared" si="488"/>
        <v>-8.7108448232342539E-9</v>
      </c>
      <c r="IK51" s="35">
        <f t="shared" si="489"/>
        <v>5.3780891778945919E-2</v>
      </c>
      <c r="IL51" s="35">
        <f t="shared" si="490"/>
        <v>5.3781130173444741E-2</v>
      </c>
      <c r="IM51" s="35">
        <f t="shared" si="491"/>
        <v>5.378101097619533E-2</v>
      </c>
      <c r="IN51" s="35">
        <f t="shared" si="492"/>
        <v>4.2393148547148485E-8</v>
      </c>
      <c r="IO51" s="35">
        <f t="shared" si="493"/>
        <v>5.378101097619533E-2</v>
      </c>
      <c r="IP51" s="35">
        <f t="shared" si="494"/>
        <v>5.3781130173444741E-2</v>
      </c>
      <c r="IQ51" s="35">
        <f t="shared" si="495"/>
        <v>5.3781070574820039E-2</v>
      </c>
      <c r="IR51" s="35">
        <f t="shared" si="496"/>
        <v>1.6841149585999915E-8</v>
      </c>
      <c r="IS51" s="35">
        <f t="shared" si="497"/>
        <v>5.3781070574820039E-2</v>
      </c>
      <c r="IT51" s="35">
        <f t="shared" si="498"/>
        <v>5.3781130173444741E-2</v>
      </c>
      <c r="IU51" s="35">
        <f t="shared" si="499"/>
        <v>5.378110037413239E-2</v>
      </c>
      <c r="IV51" s="35">
        <f t="shared" si="500"/>
        <v>4.0651519928047719E-9</v>
      </c>
      <c r="IW51" s="35">
        <f t="shared" si="501"/>
        <v>5.378110037413239E-2</v>
      </c>
      <c r="IX51" s="35">
        <f t="shared" si="502"/>
        <v>5.3781130173444741E-2</v>
      </c>
      <c r="IY51" s="35">
        <f t="shared" si="503"/>
        <v>5.3781115273788566E-2</v>
      </c>
      <c r="IZ51" s="35">
        <f t="shared" si="504"/>
        <v>-2.3228465817481947E-9</v>
      </c>
      <c r="JA51" s="35">
        <f t="shared" si="505"/>
        <v>5.378110037413239E-2</v>
      </c>
      <c r="JB51" s="35">
        <f t="shared" si="506"/>
        <v>5.3781115273788566E-2</v>
      </c>
      <c r="JC51" s="35">
        <f t="shared" si="507"/>
        <v>5.3781107823960478E-2</v>
      </c>
      <c r="JD51" s="35">
        <f t="shared" si="508"/>
        <v>8.7115270552828861E-10</v>
      </c>
      <c r="JE51" s="35">
        <f t="shared" si="509"/>
        <v>5.3781107823960478E-2</v>
      </c>
      <c r="JF51" s="35">
        <f t="shared" si="510"/>
        <v>5.3781115273788566E-2</v>
      </c>
      <c r="JG51" s="35">
        <f t="shared" si="511"/>
        <v>5.3781111548874522E-2</v>
      </c>
      <c r="JH51" s="35">
        <f t="shared" si="512"/>
        <v>-7.2584693810995304E-10</v>
      </c>
      <c r="JI51" s="35">
        <f t="shared" si="513"/>
        <v>5.3781107823960478E-2</v>
      </c>
      <c r="JJ51" s="35">
        <f t="shared" si="514"/>
        <v>5.3781111548874522E-2</v>
      </c>
      <c r="JK51" s="35">
        <f t="shared" si="515"/>
        <v>5.37811096864175E-2</v>
      </c>
      <c r="JL51" s="35">
        <f t="shared" si="516"/>
        <v>7.2652772686865319E-11</v>
      </c>
      <c r="JM51" s="35">
        <f t="shared" si="517"/>
        <v>5.37811096864175E-2</v>
      </c>
      <c r="JN51" s="35">
        <f t="shared" si="518"/>
        <v>5.3781111548874522E-2</v>
      </c>
      <c r="JO51" s="35">
        <f t="shared" si="519"/>
        <v>5.3781110617646011E-2</v>
      </c>
      <c r="JP51" s="35">
        <f t="shared" si="520"/>
        <v>-3.2659708271154386E-10</v>
      </c>
      <c r="JQ51" s="35">
        <f t="shared" si="521"/>
        <v>5.37811096864175E-2</v>
      </c>
      <c r="JR51" s="35">
        <f t="shared" si="522"/>
        <v>5.3781110617646011E-2</v>
      </c>
      <c r="JS51" s="35">
        <f t="shared" si="523"/>
        <v>5.3781110152031755E-2</v>
      </c>
      <c r="JT51" s="35">
        <f t="shared" si="524"/>
        <v>-1.2697209950118804E-10</v>
      </c>
      <c r="JU51" s="35">
        <f t="shared" si="525"/>
        <v>5.37811096864175E-2</v>
      </c>
      <c r="JV51" s="35">
        <f t="shared" si="526"/>
        <v>5.3781110152031755E-2</v>
      </c>
      <c r="JW51" s="35">
        <f t="shared" si="527"/>
        <v>5.3781109919224628E-2</v>
      </c>
      <c r="JX51" s="35">
        <f t="shared" si="528"/>
        <v>-2.7159718918312592E-11</v>
      </c>
      <c r="JY51" s="35">
        <f t="shared" si="529"/>
        <v>5.37811096864175E-2</v>
      </c>
      <c r="JZ51" s="35">
        <f t="shared" si="530"/>
        <v>5.3781109919224628E-2</v>
      </c>
      <c r="KA51" s="35">
        <f t="shared" si="531"/>
        <v>1.1621356091694905</v>
      </c>
      <c r="KB51" s="35">
        <f t="shared" si="532"/>
        <v>5.3781109802821067E-2</v>
      </c>
    </row>
    <row r="52" spans="1:288" ht="15" customHeight="1" x14ac:dyDescent="0.3">
      <c r="A52" s="30">
        <f>Odds_Input!A52</f>
        <v>44</v>
      </c>
      <c r="B52" s="7" t="str">
        <f>Odds_Input!B52</f>
        <v>CONF_EAST</v>
      </c>
      <c r="C52" s="7" t="str">
        <f>Odds_Input!C52</f>
        <v>Washington Wizards</v>
      </c>
      <c r="D52" s="7" t="str">
        <f>Odds_Input!D52</f>
        <v>YES</v>
      </c>
      <c r="E52" s="31" t="str">
        <f>Odds_Input!E52</f>
        <v>-</v>
      </c>
      <c r="F52" s="32">
        <f>Odds_Input!F52</f>
        <v>5200</v>
      </c>
      <c r="G52" s="6" t="str">
        <f t="shared" si="0"/>
        <v>CONF_EAST</v>
      </c>
      <c r="H52" s="14">
        <f t="shared" si="1"/>
        <v>53</v>
      </c>
      <c r="I52" s="33">
        <f t="shared" si="2"/>
        <v>1.8867924528301886E-2</v>
      </c>
      <c r="J52" s="17">
        <f t="shared" si="3"/>
        <v>1</v>
      </c>
      <c r="K52" s="17">
        <f t="shared" si="4"/>
        <v>15</v>
      </c>
      <c r="L52" s="18">
        <f t="shared" si="5"/>
        <v>1.2088752212862357</v>
      </c>
      <c r="M52" s="34">
        <f t="shared" si="6"/>
        <v>0.2088752212862357</v>
      </c>
      <c r="N52" s="33">
        <f t="shared" si="7"/>
        <v>1.5607834618552717E-2</v>
      </c>
      <c r="O52" s="33">
        <f t="shared" si="8"/>
        <v>1.3201451694694069E-2</v>
      </c>
      <c r="P52" s="33">
        <f t="shared" si="9"/>
        <v>1.0463375598559154E-2</v>
      </c>
      <c r="Q52" s="33">
        <f t="shared" si="10"/>
        <v>1.0463375598559154E-2</v>
      </c>
      <c r="R52" s="35">
        <f t="shared" si="11"/>
        <v>1.0899522183230146</v>
      </c>
      <c r="S52" s="35">
        <f t="shared" si="12"/>
        <v>1.7868178675567389E-2</v>
      </c>
      <c r="X52" s="6" t="s">
        <v>827</v>
      </c>
      <c r="Y52" s="6">
        <f t="shared" si="273"/>
        <v>1</v>
      </c>
      <c r="Z52" s="18">
        <f t="shared" si="274"/>
        <v>1.0666666666666667</v>
      </c>
      <c r="AA52" s="10">
        <v>0.2</v>
      </c>
      <c r="AB52" s="10">
        <v>10</v>
      </c>
      <c r="AC52" s="35">
        <f t="shared" si="275"/>
        <v>5.0999999999999996</v>
      </c>
      <c r="AD52" s="35">
        <f t="shared" si="276"/>
        <v>-0.41559126823183368</v>
      </c>
      <c r="AE52" s="35">
        <f t="shared" si="277"/>
        <v>0.2</v>
      </c>
      <c r="AF52" s="35">
        <f t="shared" si="278"/>
        <v>5.0999999999999996</v>
      </c>
      <c r="AG52" s="35">
        <f t="shared" si="279"/>
        <v>2.65</v>
      </c>
      <c r="AH52" s="35">
        <f t="shared" si="280"/>
        <v>-0.23494784228147902</v>
      </c>
      <c r="AI52" s="35">
        <f t="shared" si="281"/>
        <v>0.2</v>
      </c>
      <c r="AJ52" s="35">
        <f t="shared" si="282"/>
        <v>2.65</v>
      </c>
      <c r="AK52" s="35">
        <f t="shared" si="283"/>
        <v>1.425</v>
      </c>
      <c r="AL52" s="35">
        <f t="shared" si="284"/>
        <v>-6.1583676701729484E-2</v>
      </c>
      <c r="AM52" s="35">
        <f t="shared" si="285"/>
        <v>0.2</v>
      </c>
      <c r="AN52" s="35">
        <f t="shared" si="286"/>
        <v>1.425</v>
      </c>
      <c r="AO52" s="35">
        <f t="shared" si="287"/>
        <v>0.8125</v>
      </c>
      <c r="AP52" s="35">
        <f t="shared" si="288"/>
        <v>0.15116902072265481</v>
      </c>
      <c r="AQ52" s="35">
        <f t="shared" si="289"/>
        <v>0.8125</v>
      </c>
      <c r="AR52" s="35">
        <f t="shared" si="290"/>
        <v>1.425</v>
      </c>
      <c r="AS52" s="35">
        <f t="shared" si="291"/>
        <v>1.1187499999999999</v>
      </c>
      <c r="AT52" s="35">
        <f t="shared" si="292"/>
        <v>2.3533223471048359E-2</v>
      </c>
      <c r="AU52" s="35">
        <f t="shared" si="293"/>
        <v>1.1187499999999999</v>
      </c>
      <c r="AV52" s="35">
        <f t="shared" si="294"/>
        <v>1.425</v>
      </c>
      <c r="AW52" s="35">
        <f t="shared" si="295"/>
        <v>1.2718750000000001</v>
      </c>
      <c r="AX52" s="35">
        <f t="shared" si="296"/>
        <v>-2.3017275330567299E-2</v>
      </c>
      <c r="AY52" s="35">
        <f t="shared" si="297"/>
        <v>1.1187499999999999</v>
      </c>
      <c r="AZ52" s="35">
        <f t="shared" si="298"/>
        <v>1.2718750000000001</v>
      </c>
      <c r="BA52" s="35">
        <f t="shared" si="299"/>
        <v>1.1953125</v>
      </c>
      <c r="BB52" s="35">
        <f t="shared" si="300"/>
        <v>-8.7761241280792657E-4</v>
      </c>
      <c r="BC52" s="35">
        <f t="shared" si="301"/>
        <v>1.1187499999999999</v>
      </c>
      <c r="BD52" s="35">
        <f t="shared" si="302"/>
        <v>1.1953125</v>
      </c>
      <c r="BE52" s="35">
        <f t="shared" si="303"/>
        <v>1.15703125</v>
      </c>
      <c r="BF52" s="35">
        <f t="shared" si="304"/>
        <v>1.1024581370609798E-2</v>
      </c>
      <c r="BG52" s="35">
        <f t="shared" si="305"/>
        <v>1.15703125</v>
      </c>
      <c r="BH52" s="35">
        <f t="shared" si="306"/>
        <v>1.1953125</v>
      </c>
      <c r="BI52" s="35">
        <f t="shared" si="307"/>
        <v>1.1761718750000001</v>
      </c>
      <c r="BJ52" s="35">
        <f t="shared" si="308"/>
        <v>5.0001981253300354E-3</v>
      </c>
      <c r="BK52" s="35">
        <f t="shared" si="309"/>
        <v>1.1761718750000001</v>
      </c>
      <c r="BL52" s="35">
        <f t="shared" si="310"/>
        <v>1.1953125</v>
      </c>
      <c r="BM52" s="35">
        <f t="shared" si="311"/>
        <v>1.1857421875</v>
      </c>
      <c r="BN52" s="35">
        <f t="shared" si="312"/>
        <v>2.0432768710902938E-3</v>
      </c>
      <c r="BO52" s="35">
        <f t="shared" si="313"/>
        <v>1.1857421875</v>
      </c>
      <c r="BP52" s="35">
        <f t="shared" si="314"/>
        <v>1.1953125</v>
      </c>
      <c r="BQ52" s="35">
        <f t="shared" si="315"/>
        <v>1.1905273437499999</v>
      </c>
      <c r="BR52" s="35">
        <f t="shared" si="316"/>
        <v>5.7836586333959161E-4</v>
      </c>
      <c r="BS52" s="35">
        <f t="shared" si="317"/>
        <v>1.1905273437499999</v>
      </c>
      <c r="BT52" s="35">
        <f t="shared" si="318"/>
        <v>1.1953125</v>
      </c>
      <c r="BU52" s="35">
        <f t="shared" si="319"/>
        <v>1.192919921875</v>
      </c>
      <c r="BV52" s="35">
        <f t="shared" si="320"/>
        <v>-1.5073519753638909E-4</v>
      </c>
      <c r="BW52" s="35">
        <f t="shared" si="321"/>
        <v>1.1905273437499999</v>
      </c>
      <c r="BX52" s="35">
        <f t="shared" si="322"/>
        <v>1.192919921875</v>
      </c>
      <c r="BY52" s="35">
        <f t="shared" si="323"/>
        <v>1.1917236328124998</v>
      </c>
      <c r="BZ52" s="35">
        <f t="shared" si="324"/>
        <v>2.1353677018098871E-4</v>
      </c>
      <c r="CA52" s="35">
        <f t="shared" si="325"/>
        <v>1.1917236328124998</v>
      </c>
      <c r="CB52" s="35">
        <f t="shared" si="326"/>
        <v>1.192919921875</v>
      </c>
      <c r="CC52" s="35">
        <f t="shared" si="327"/>
        <v>1.19232177734375</v>
      </c>
      <c r="CD52" s="35">
        <f t="shared" si="328"/>
        <v>3.1331218492081092E-5</v>
      </c>
      <c r="CE52" s="35">
        <f t="shared" si="329"/>
        <v>1.19232177734375</v>
      </c>
      <c r="CF52" s="35">
        <f t="shared" si="330"/>
        <v>1.192919921875</v>
      </c>
      <c r="CG52" s="35">
        <f t="shared" si="331"/>
        <v>1.1926208496093751</v>
      </c>
      <c r="CH52" s="35">
        <f t="shared" si="332"/>
        <v>-5.9719372382027736E-5</v>
      </c>
      <c r="CI52" s="35">
        <f t="shared" si="333"/>
        <v>1.19232177734375</v>
      </c>
      <c r="CJ52" s="35">
        <f t="shared" si="334"/>
        <v>1.1926208496093751</v>
      </c>
      <c r="CK52" s="35">
        <f t="shared" si="335"/>
        <v>1.1924713134765625</v>
      </c>
      <c r="CL52" s="35">
        <f t="shared" si="336"/>
        <v>-1.4198423796907278E-5</v>
      </c>
      <c r="CM52" s="35">
        <f t="shared" si="337"/>
        <v>1.19232177734375</v>
      </c>
      <c r="CN52" s="35">
        <f t="shared" si="338"/>
        <v>1.1924713134765625</v>
      </c>
      <c r="CO52" s="35">
        <f t="shared" si="339"/>
        <v>1.1923965454101562</v>
      </c>
      <c r="CP52" s="35">
        <f t="shared" si="340"/>
        <v>8.5653104924254819E-6</v>
      </c>
      <c r="CQ52" s="35">
        <f t="shared" si="341"/>
        <v>1.1923965454101562</v>
      </c>
      <c r="CR52" s="35">
        <f t="shared" si="342"/>
        <v>1.1924713134765625</v>
      </c>
      <c r="CS52" s="35">
        <f t="shared" si="343"/>
        <v>1.1924339294433595</v>
      </c>
      <c r="CT52" s="35">
        <f t="shared" si="344"/>
        <v>-2.816828348128908E-6</v>
      </c>
      <c r="CU52" s="35">
        <f t="shared" si="345"/>
        <v>1.1923965454101562</v>
      </c>
      <c r="CV52" s="35">
        <f t="shared" si="346"/>
        <v>1.1924339294433595</v>
      </c>
      <c r="CW52" s="35">
        <f t="shared" si="347"/>
        <v>1.1924152374267578</v>
      </c>
      <c r="CX52" s="35">
        <f t="shared" si="348"/>
        <v>2.8741731459280828E-6</v>
      </c>
      <c r="CY52" s="35">
        <f t="shared" si="349"/>
        <v>1.1924152374267578</v>
      </c>
      <c r="CZ52" s="35">
        <f t="shared" si="350"/>
        <v>1.1924339294433595</v>
      </c>
      <c r="DA52" s="35">
        <f t="shared" si="351"/>
        <v>1.1924245834350586</v>
      </c>
      <c r="DB52" s="35">
        <f t="shared" si="352"/>
        <v>2.8655417594336541E-8</v>
      </c>
      <c r="DC52" s="35">
        <f t="shared" si="353"/>
        <v>1.1924245834350586</v>
      </c>
      <c r="DD52" s="35">
        <f t="shared" si="354"/>
        <v>1.1924339294433595</v>
      </c>
      <c r="DE52" s="35">
        <f t="shared" si="355"/>
        <v>1.1924292564392092</v>
      </c>
      <c r="DF52" s="35">
        <f t="shared" si="356"/>
        <v>-1.3940907105380873E-6</v>
      </c>
      <c r="DG52" s="35">
        <f t="shared" si="357"/>
        <v>1.1924245834350586</v>
      </c>
      <c r="DH52" s="35">
        <f t="shared" si="358"/>
        <v>1.1924292564392092</v>
      </c>
      <c r="DI52" s="35">
        <f t="shared" si="359"/>
        <v>1.1924269199371338</v>
      </c>
      <c r="DJ52" s="35">
        <f t="shared" si="360"/>
        <v>-6.8271870778957577E-7</v>
      </c>
      <c r="DK52" s="35">
        <f t="shared" si="361"/>
        <v>1.1924245834350586</v>
      </c>
      <c r="DL52" s="35">
        <f t="shared" si="362"/>
        <v>1.1924269199371338</v>
      </c>
      <c r="DM52" s="35">
        <f t="shared" si="363"/>
        <v>1.1924257516860961</v>
      </c>
      <c r="DN52" s="35">
        <f t="shared" si="364"/>
        <v>-3.270319104409225E-7</v>
      </c>
      <c r="DO52" s="35">
        <f t="shared" si="365"/>
        <v>1.1924245834350586</v>
      </c>
      <c r="DP52" s="35">
        <f t="shared" si="366"/>
        <v>1.1924257516860961</v>
      </c>
      <c r="DQ52" s="35">
        <f t="shared" si="367"/>
        <v>1.1924251675605775</v>
      </c>
      <c r="DR52" s="35">
        <f t="shared" si="368"/>
        <v>-1.4918831270360755E-7</v>
      </c>
      <c r="DS52" s="35">
        <f t="shared" si="369"/>
        <v>1.1924245834350586</v>
      </c>
      <c r="DT52" s="35">
        <f t="shared" si="370"/>
        <v>1.1924251675605775</v>
      </c>
      <c r="DU52" s="35">
        <f t="shared" si="371"/>
        <v>1.1924248754978182</v>
      </c>
      <c r="DV52" s="35">
        <f t="shared" si="372"/>
        <v>-6.0266464152469723E-8</v>
      </c>
      <c r="DW52" s="35">
        <f t="shared" si="373"/>
        <v>1.1924245834350586</v>
      </c>
      <c r="DX52" s="35">
        <f t="shared" si="374"/>
        <v>1.1924248754978182</v>
      </c>
      <c r="DY52" s="35">
        <f t="shared" si="375"/>
        <v>1.1924247294664383</v>
      </c>
      <c r="DZ52" s="35">
        <f t="shared" si="376"/>
        <v>-1.5805527331380631E-8</v>
      </c>
      <c r="EA52" s="35">
        <f t="shared" si="377"/>
        <v>1.1924245834350586</v>
      </c>
      <c r="EB52" s="35">
        <f t="shared" si="378"/>
        <v>1.1924247294664383</v>
      </c>
      <c r="EC52" s="35">
        <f t="shared" si="379"/>
        <v>1.1924246564507484</v>
      </c>
      <c r="ED52" s="35">
        <f t="shared" si="380"/>
        <v>6.4249441322772327E-9</v>
      </c>
      <c r="EE52" s="35">
        <f t="shared" si="381"/>
        <v>1.1924246564507484</v>
      </c>
      <c r="EF52" s="35">
        <f t="shared" si="382"/>
        <v>1.1924247294664383</v>
      </c>
      <c r="EG52" s="35">
        <f t="shared" si="383"/>
        <v>1.1924246929585933</v>
      </c>
      <c r="EH52" s="35">
        <f t="shared" si="384"/>
        <v>-4.6902919326186066E-9</v>
      </c>
      <c r="EI52" s="35">
        <f t="shared" si="385"/>
        <v>1.1924246564507484</v>
      </c>
      <c r="EJ52" s="35">
        <f t="shared" si="386"/>
        <v>1.1924246929585933</v>
      </c>
      <c r="EK52" s="35">
        <f t="shared" si="387"/>
        <v>1.1924246747046707</v>
      </c>
      <c r="EL52" s="35">
        <f t="shared" si="388"/>
        <v>8.6732598880701062E-10</v>
      </c>
      <c r="EM52" s="35">
        <f t="shared" si="389"/>
        <v>1.1924246747046707</v>
      </c>
      <c r="EN52" s="35">
        <f t="shared" si="390"/>
        <v>1.1924246929585933</v>
      </c>
      <c r="EO52" s="35">
        <f t="shared" si="391"/>
        <v>1.1924246838316321</v>
      </c>
      <c r="EP52" s="35">
        <f t="shared" si="392"/>
        <v>-1.911482971905798E-9</v>
      </c>
      <c r="EQ52" s="35">
        <f t="shared" si="393"/>
        <v>1.1924246747046707</v>
      </c>
      <c r="ER52" s="35">
        <f t="shared" si="394"/>
        <v>1.1924246838316321</v>
      </c>
      <c r="ES52" s="35">
        <f t="shared" si="395"/>
        <v>1.1924246792681514</v>
      </c>
      <c r="ET52" s="35">
        <f t="shared" si="396"/>
        <v>-5.2207849154939368E-10</v>
      </c>
      <c r="EU52" s="35">
        <f t="shared" si="397"/>
        <v>1.1924246747046707</v>
      </c>
      <c r="EV52" s="35">
        <f t="shared" si="398"/>
        <v>1.1924246792681514</v>
      </c>
      <c r="EW52" s="35">
        <f t="shared" si="399"/>
        <v>1.1924246769864111</v>
      </c>
      <c r="EX52" s="35">
        <f t="shared" si="400"/>
        <v>1.7262391516226216E-10</v>
      </c>
      <c r="EY52" s="35">
        <f t="shared" si="401"/>
        <v>1.1924246769864111</v>
      </c>
      <c r="EZ52" s="35">
        <f t="shared" si="402"/>
        <v>1.1924246792681514</v>
      </c>
      <c r="FA52" s="10">
        <v>9.9999999999999995E-7</v>
      </c>
      <c r="FB52" s="10">
        <v>0.99990000000000001</v>
      </c>
      <c r="FC52" s="35">
        <f t="shared" si="403"/>
        <v>0.49995050000000002</v>
      </c>
      <c r="FD52" s="35">
        <f t="shared" si="404"/>
        <v>-0.12042581009471465</v>
      </c>
      <c r="FE52" s="35">
        <f t="shared" si="405"/>
        <v>9.9999999999999995E-7</v>
      </c>
      <c r="FF52" s="35">
        <f t="shared" si="406"/>
        <v>0.49995050000000002</v>
      </c>
      <c r="FG52" s="35">
        <f t="shared" si="407"/>
        <v>0.24997575</v>
      </c>
      <c r="FH52" s="35">
        <f t="shared" si="408"/>
        <v>-6.3386323476752215E-2</v>
      </c>
      <c r="FI52" s="35">
        <f t="shared" si="409"/>
        <v>9.9999999999999995E-7</v>
      </c>
      <c r="FJ52" s="35">
        <f t="shared" si="410"/>
        <v>0.24997575</v>
      </c>
      <c r="FK52" s="35">
        <f t="shared" si="411"/>
        <v>0.124988375</v>
      </c>
      <c r="FL52" s="35">
        <f t="shared" si="412"/>
        <v>-2.181093066785722E-2</v>
      </c>
      <c r="FM52" s="35">
        <f t="shared" si="413"/>
        <v>9.9999999999999995E-7</v>
      </c>
      <c r="FN52" s="35">
        <f t="shared" si="414"/>
        <v>0.124988375</v>
      </c>
      <c r="FO52" s="35">
        <f t="shared" si="415"/>
        <v>6.24946875E-2</v>
      </c>
      <c r="FP52" s="35">
        <f t="shared" si="416"/>
        <v>3.9200514473445303E-3</v>
      </c>
      <c r="FQ52" s="35">
        <f t="shared" si="417"/>
        <v>6.24946875E-2</v>
      </c>
      <c r="FR52" s="35">
        <f t="shared" si="418"/>
        <v>0.124988375</v>
      </c>
      <c r="FS52" s="35">
        <f t="shared" si="419"/>
        <v>9.3741531249999996E-2</v>
      </c>
      <c r="FT52" s="35">
        <f t="shared" si="420"/>
        <v>-9.3673390210202712E-3</v>
      </c>
      <c r="FU52" s="35">
        <f t="shared" si="421"/>
        <v>6.24946875E-2</v>
      </c>
      <c r="FV52" s="35">
        <f t="shared" si="422"/>
        <v>9.3741531249999996E-2</v>
      </c>
      <c r="FW52" s="35">
        <f t="shared" si="423"/>
        <v>7.8118109374999994E-2</v>
      </c>
      <c r="FX52" s="35">
        <f t="shared" si="424"/>
        <v>-2.8269764375844497E-3</v>
      </c>
      <c r="FY52" s="35">
        <f t="shared" si="425"/>
        <v>6.24946875E-2</v>
      </c>
      <c r="FZ52" s="35">
        <f t="shared" si="426"/>
        <v>7.8118109374999994E-2</v>
      </c>
      <c r="GA52" s="35">
        <f t="shared" si="427"/>
        <v>7.0306398437500001E-2</v>
      </c>
      <c r="GB52" s="35">
        <f t="shared" si="428"/>
        <v>5.2110414251904658E-4</v>
      </c>
      <c r="GC52" s="35">
        <f t="shared" si="429"/>
        <v>7.0306398437500001E-2</v>
      </c>
      <c r="GD52" s="35">
        <f t="shared" si="430"/>
        <v>7.8118109374999994E-2</v>
      </c>
      <c r="GE52" s="35">
        <f t="shared" si="431"/>
        <v>7.4212253906249998E-2</v>
      </c>
      <c r="GF52" s="35">
        <f t="shared" si="432"/>
        <v>-1.1593503606672773E-3</v>
      </c>
      <c r="GG52" s="35">
        <f t="shared" si="433"/>
        <v>7.0306398437500001E-2</v>
      </c>
      <c r="GH52" s="35">
        <f t="shared" si="434"/>
        <v>7.4212253906249998E-2</v>
      </c>
      <c r="GI52" s="35">
        <f t="shared" si="435"/>
        <v>7.2259326171874999E-2</v>
      </c>
      <c r="GJ52" s="35">
        <f t="shared" si="436"/>
        <v>-3.207200448283043E-4</v>
      </c>
      <c r="GK52" s="35">
        <f t="shared" si="437"/>
        <v>7.0306398437500001E-2</v>
      </c>
      <c r="GL52" s="35">
        <f t="shared" si="438"/>
        <v>7.2259326171874999E-2</v>
      </c>
      <c r="GM52" s="35">
        <f t="shared" si="439"/>
        <v>7.12828623046875E-2</v>
      </c>
      <c r="GN52" s="35">
        <f t="shared" si="440"/>
        <v>9.979367427748187E-5</v>
      </c>
      <c r="GO52" s="35">
        <f t="shared" si="441"/>
        <v>7.12828623046875E-2</v>
      </c>
      <c r="GP52" s="35">
        <f t="shared" si="442"/>
        <v>7.2259326171874999E-2</v>
      </c>
      <c r="GQ52" s="35">
        <f t="shared" si="443"/>
        <v>7.1771094238281249E-2</v>
      </c>
      <c r="GR52" s="35">
        <f t="shared" si="444"/>
        <v>-1.1056288777233636E-4</v>
      </c>
      <c r="GS52" s="35">
        <f t="shared" si="445"/>
        <v>7.12828623046875E-2</v>
      </c>
      <c r="GT52" s="35">
        <f t="shared" si="446"/>
        <v>7.1771094238281249E-2</v>
      </c>
      <c r="GU52" s="35">
        <f t="shared" si="447"/>
        <v>7.1526978271484382E-2</v>
      </c>
      <c r="GV52" s="35">
        <f t="shared" si="448"/>
        <v>-5.4095188543046291E-6</v>
      </c>
      <c r="GW52" s="35">
        <f t="shared" si="449"/>
        <v>7.12828623046875E-2</v>
      </c>
      <c r="GX52" s="35">
        <f t="shared" si="450"/>
        <v>7.1526978271484382E-2</v>
      </c>
      <c r="GY52" s="35">
        <f t="shared" si="451"/>
        <v>7.1404920288085941E-2</v>
      </c>
      <c r="GZ52" s="35">
        <f t="shared" si="452"/>
        <v>4.7185851382414157E-5</v>
      </c>
      <c r="HA52" s="35">
        <f t="shared" si="453"/>
        <v>7.1404920288085941E-2</v>
      </c>
      <c r="HB52" s="35">
        <f t="shared" si="454"/>
        <v>7.1526978271484382E-2</v>
      </c>
      <c r="HC52" s="35">
        <f t="shared" si="455"/>
        <v>7.1465949279785168E-2</v>
      </c>
      <c r="HD52" s="35">
        <f t="shared" si="456"/>
        <v>2.088660946908405E-5</v>
      </c>
      <c r="HE52" s="35">
        <f t="shared" si="457"/>
        <v>7.1465949279785168E-2</v>
      </c>
      <c r="HF52" s="35">
        <f t="shared" si="458"/>
        <v>7.1526978271484382E-2</v>
      </c>
      <c r="HG52" s="35">
        <f t="shared" si="459"/>
        <v>7.1496463775634775E-2</v>
      </c>
      <c r="HH52" s="35">
        <f t="shared" si="460"/>
        <v>7.7381560821265793E-6</v>
      </c>
      <c r="HI52" s="35">
        <f t="shared" si="461"/>
        <v>7.1496463775634775E-2</v>
      </c>
      <c r="HJ52" s="35">
        <f t="shared" si="462"/>
        <v>7.1526978271484382E-2</v>
      </c>
      <c r="HK52" s="35">
        <f t="shared" si="463"/>
        <v>7.1511721023559571E-2</v>
      </c>
      <c r="HL52" s="35">
        <f t="shared" si="464"/>
        <v>1.1642213042506455E-6</v>
      </c>
      <c r="HM52" s="35">
        <f t="shared" si="465"/>
        <v>7.1511721023559571E-2</v>
      </c>
      <c r="HN52" s="35">
        <f t="shared" si="466"/>
        <v>7.1526978271484382E-2</v>
      </c>
      <c r="HO52" s="35">
        <f t="shared" si="467"/>
        <v>7.1519349647521976E-2</v>
      </c>
      <c r="HP52" s="35">
        <f t="shared" si="468"/>
        <v>-2.1226731029555523E-6</v>
      </c>
      <c r="HQ52" s="35">
        <f t="shared" si="469"/>
        <v>7.1511721023559571E-2</v>
      </c>
      <c r="HR52" s="35">
        <f t="shared" si="470"/>
        <v>7.1519349647521976E-2</v>
      </c>
      <c r="HS52" s="35">
        <f t="shared" si="471"/>
        <v>7.1515535335540781E-2</v>
      </c>
      <c r="HT52" s="35">
        <f t="shared" si="472"/>
        <v>-4.7923198143173806E-7</v>
      </c>
      <c r="HU52" s="35">
        <f t="shared" si="473"/>
        <v>7.1511721023559571E-2</v>
      </c>
      <c r="HV52" s="35">
        <f t="shared" si="474"/>
        <v>7.1515535335540781E-2</v>
      </c>
      <c r="HW52" s="35">
        <f t="shared" si="475"/>
        <v>7.1513628179550176E-2</v>
      </c>
      <c r="HX52" s="35">
        <f t="shared" si="476"/>
        <v>3.4249314118106611E-7</v>
      </c>
      <c r="HY52" s="35">
        <f t="shared" si="477"/>
        <v>7.1513628179550176E-2</v>
      </c>
      <c r="HZ52" s="35">
        <f t="shared" si="478"/>
        <v>7.1515535335540781E-2</v>
      </c>
      <c r="IA52" s="35">
        <f t="shared" si="479"/>
        <v>7.1514581757545478E-2</v>
      </c>
      <c r="IB52" s="35">
        <f t="shared" si="480"/>
        <v>-6.8369800154677307E-8</v>
      </c>
      <c r="IC52" s="35">
        <f t="shared" si="481"/>
        <v>7.1513628179550176E-2</v>
      </c>
      <c r="ID52" s="35">
        <f t="shared" si="482"/>
        <v>7.1514581757545478E-2</v>
      </c>
      <c r="IE52" s="35">
        <f t="shared" si="483"/>
        <v>7.151410496854782E-2</v>
      </c>
      <c r="IF52" s="35">
        <f t="shared" si="484"/>
        <v>1.3706157520054774E-7</v>
      </c>
      <c r="IG52" s="35">
        <f t="shared" si="485"/>
        <v>7.151410496854782E-2</v>
      </c>
      <c r="IH52" s="35">
        <f t="shared" si="486"/>
        <v>7.1514581757545478E-2</v>
      </c>
      <c r="II52" s="35">
        <f t="shared" si="487"/>
        <v>7.1514343363046656E-2</v>
      </c>
      <c r="IJ52" s="35">
        <f t="shared" si="488"/>
        <v>3.4345863930695941E-8</v>
      </c>
      <c r="IK52" s="35">
        <f t="shared" si="489"/>
        <v>7.1514343363046656E-2</v>
      </c>
      <c r="IL52" s="35">
        <f t="shared" si="490"/>
        <v>7.1514581757545478E-2</v>
      </c>
      <c r="IM52" s="35">
        <f t="shared" si="491"/>
        <v>7.151446256029606E-2</v>
      </c>
      <c r="IN52" s="35">
        <f t="shared" si="492"/>
        <v>-1.7011974051683865E-8</v>
      </c>
      <c r="IO52" s="35">
        <f t="shared" si="493"/>
        <v>7.1514343363046656E-2</v>
      </c>
      <c r="IP52" s="35">
        <f t="shared" si="494"/>
        <v>7.151446256029606E-2</v>
      </c>
      <c r="IQ52" s="35">
        <f t="shared" si="495"/>
        <v>7.1514402961671358E-2</v>
      </c>
      <c r="IR52" s="35">
        <f t="shared" si="496"/>
        <v>8.6669433851938038E-9</v>
      </c>
      <c r="IS52" s="35">
        <f t="shared" si="497"/>
        <v>7.1514402961671358E-2</v>
      </c>
      <c r="IT52" s="35">
        <f t="shared" si="498"/>
        <v>7.151446256029606E-2</v>
      </c>
      <c r="IU52" s="35">
        <f t="shared" si="499"/>
        <v>7.1514432760983709E-2</v>
      </c>
      <c r="IV52" s="35">
        <f t="shared" si="500"/>
        <v>-4.1725156663119378E-9</v>
      </c>
      <c r="IW52" s="35">
        <f t="shared" si="501"/>
        <v>7.1514402961671358E-2</v>
      </c>
      <c r="IX52" s="35">
        <f t="shared" si="502"/>
        <v>7.1514432760983709E-2</v>
      </c>
      <c r="IY52" s="35">
        <f t="shared" si="503"/>
        <v>7.1514417861327534E-2</v>
      </c>
      <c r="IZ52" s="35">
        <f t="shared" si="504"/>
        <v>2.2472137484186305E-9</v>
      </c>
      <c r="JA52" s="35">
        <f t="shared" si="505"/>
        <v>7.1514417861327534E-2</v>
      </c>
      <c r="JB52" s="35">
        <f t="shared" si="506"/>
        <v>7.1514432760983709E-2</v>
      </c>
      <c r="JC52" s="35">
        <f t="shared" si="507"/>
        <v>7.1514425311155622E-2</v>
      </c>
      <c r="JD52" s="35">
        <f t="shared" si="508"/>
        <v>-9.6265106996895611E-10</v>
      </c>
      <c r="JE52" s="35">
        <f t="shared" si="509"/>
        <v>7.1514417861327534E-2</v>
      </c>
      <c r="JF52" s="35">
        <f t="shared" si="510"/>
        <v>7.1514425311155622E-2</v>
      </c>
      <c r="JG52" s="35">
        <f t="shared" si="511"/>
        <v>7.1514421586241578E-2</v>
      </c>
      <c r="JH52" s="35">
        <f t="shared" si="512"/>
        <v>6.4228133922483721E-10</v>
      </c>
      <c r="JI52" s="35">
        <f t="shared" si="513"/>
        <v>7.1514421586241578E-2</v>
      </c>
      <c r="JJ52" s="35">
        <f t="shared" si="514"/>
        <v>7.1514425311155622E-2</v>
      </c>
      <c r="JK52" s="35">
        <f t="shared" si="515"/>
        <v>7.15144234486986E-2</v>
      </c>
      <c r="JL52" s="35">
        <f t="shared" si="516"/>
        <v>-1.6018486537205945E-10</v>
      </c>
      <c r="JM52" s="35">
        <f t="shared" si="517"/>
        <v>7.1514421586241578E-2</v>
      </c>
      <c r="JN52" s="35">
        <f t="shared" si="518"/>
        <v>7.15144234486986E-2</v>
      </c>
      <c r="JO52" s="35">
        <f t="shared" si="519"/>
        <v>7.1514422517470089E-2</v>
      </c>
      <c r="JP52" s="35">
        <f t="shared" si="520"/>
        <v>2.4104829243754011E-10</v>
      </c>
      <c r="JQ52" s="35">
        <f t="shared" si="521"/>
        <v>7.1514422517470089E-2</v>
      </c>
      <c r="JR52" s="35">
        <f t="shared" si="522"/>
        <v>7.15144234486986E-2</v>
      </c>
      <c r="JS52" s="35">
        <f t="shared" si="523"/>
        <v>7.1514422983084344E-2</v>
      </c>
      <c r="JT52" s="35">
        <f t="shared" si="524"/>
        <v>4.0431658021589101E-11</v>
      </c>
      <c r="JU52" s="35">
        <f t="shared" si="525"/>
        <v>7.1514422983084344E-2</v>
      </c>
      <c r="JV52" s="35">
        <f t="shared" si="526"/>
        <v>7.15144234486986E-2</v>
      </c>
      <c r="JW52" s="35">
        <f t="shared" si="527"/>
        <v>7.1514423215891465E-2</v>
      </c>
      <c r="JX52" s="35">
        <f t="shared" si="528"/>
        <v>-5.9876659186386405E-11</v>
      </c>
      <c r="JY52" s="35">
        <f t="shared" si="529"/>
        <v>7.1514422983084344E-2</v>
      </c>
      <c r="JZ52" s="35">
        <f t="shared" si="530"/>
        <v>7.1514423215891465E-2</v>
      </c>
      <c r="KA52" s="35">
        <f t="shared" si="531"/>
        <v>1.1924246781272814</v>
      </c>
      <c r="KB52" s="35">
        <f t="shared" si="532"/>
        <v>7.1514423099487912E-2</v>
      </c>
    </row>
    <row r="53" spans="1:288" ht="15" customHeight="1" x14ac:dyDescent="0.3">
      <c r="A53" s="30">
        <f>Odds_Input!A53</f>
        <v>45</v>
      </c>
      <c r="B53" s="7" t="str">
        <f>Odds_Input!B53</f>
        <v>CONF_WEST</v>
      </c>
      <c r="C53" s="7" t="str">
        <f>Odds_Input!C53</f>
        <v>Dallas Mavericks</v>
      </c>
      <c r="D53" s="7" t="str">
        <f>Odds_Input!D53</f>
        <v>YES</v>
      </c>
      <c r="E53" s="31" t="str">
        <f>Odds_Input!E53</f>
        <v>-</v>
      </c>
      <c r="F53" s="32">
        <f>Odds_Input!F53</f>
        <v>8100</v>
      </c>
      <c r="G53" s="6" t="str">
        <f t="shared" si="0"/>
        <v>CONF_WEST</v>
      </c>
      <c r="H53" s="14">
        <f t="shared" si="1"/>
        <v>82</v>
      </c>
      <c r="I53" s="33">
        <f t="shared" si="2"/>
        <v>1.2195121951219513E-2</v>
      </c>
      <c r="J53" s="17">
        <f t="shared" si="3"/>
        <v>1</v>
      </c>
      <c r="K53" s="17">
        <f t="shared" si="4"/>
        <v>15</v>
      </c>
      <c r="L53" s="18">
        <f t="shared" si="5"/>
        <v>1.1953442022676133</v>
      </c>
      <c r="M53" s="34">
        <f t="shared" si="6"/>
        <v>0.19534420226761329</v>
      </c>
      <c r="N53" s="33">
        <f t="shared" si="7"/>
        <v>1.0202184381774641E-2</v>
      </c>
      <c r="O53" s="33">
        <f t="shared" si="8"/>
        <v>7.1572027847987612E-3</v>
      </c>
      <c r="P53" s="33">
        <f t="shared" si="9"/>
        <v>5.013537573077374E-3</v>
      </c>
      <c r="Q53" s="33">
        <f t="shared" si="10"/>
        <v>5.013537573077374E-3</v>
      </c>
      <c r="R53" s="35">
        <f t="shared" si="11"/>
        <v>1.120932777808048</v>
      </c>
      <c r="S53" s="35">
        <f t="shared" si="12"/>
        <v>1.9902430363003976E-2</v>
      </c>
      <c r="X53" s="6" t="s">
        <v>828</v>
      </c>
      <c r="Y53" s="6">
        <f t="shared" si="273"/>
        <v>1</v>
      </c>
      <c r="Z53" s="18">
        <f t="shared" si="274"/>
        <v>1.0309153364316024</v>
      </c>
      <c r="AA53" s="10">
        <v>0.2</v>
      </c>
      <c r="AB53" s="10">
        <v>10</v>
      </c>
      <c r="AC53" s="35">
        <f t="shared" si="275"/>
        <v>5.0999999999999996</v>
      </c>
      <c r="AD53" s="35">
        <f t="shared" si="276"/>
        <v>-4.9480499097246611E-2</v>
      </c>
      <c r="AE53" s="35">
        <f t="shared" si="277"/>
        <v>0.2</v>
      </c>
      <c r="AF53" s="35">
        <f t="shared" si="278"/>
        <v>5.0999999999999996</v>
      </c>
      <c r="AG53" s="35">
        <f t="shared" si="279"/>
        <v>2.65</v>
      </c>
      <c r="AH53" s="35">
        <f t="shared" si="280"/>
        <v>-2.5815456810676096E-2</v>
      </c>
      <c r="AI53" s="35">
        <f t="shared" si="281"/>
        <v>0.2</v>
      </c>
      <c r="AJ53" s="35">
        <f t="shared" si="282"/>
        <v>2.65</v>
      </c>
      <c r="AK53" s="35">
        <f t="shared" si="283"/>
        <v>1.425</v>
      </c>
      <c r="AL53" s="35">
        <f t="shared" si="284"/>
        <v>-3.5973103520985372E-3</v>
      </c>
      <c r="AM53" s="35">
        <f t="shared" si="285"/>
        <v>0.2</v>
      </c>
      <c r="AN53" s="35">
        <f t="shared" si="286"/>
        <v>1.425</v>
      </c>
      <c r="AO53" s="35">
        <f t="shared" si="287"/>
        <v>0.8125</v>
      </c>
      <c r="AP53" s="35">
        <f t="shared" si="288"/>
        <v>6.6301644164687534E-2</v>
      </c>
      <c r="AQ53" s="35">
        <f t="shared" si="289"/>
        <v>0.8125</v>
      </c>
      <c r="AR53" s="35">
        <f t="shared" si="290"/>
        <v>1.425</v>
      </c>
      <c r="AS53" s="35">
        <f t="shared" si="291"/>
        <v>1.1187499999999999</v>
      </c>
      <c r="AT53" s="35">
        <f t="shared" si="292"/>
        <v>1.6846907104035136E-2</v>
      </c>
      <c r="AU53" s="35">
        <f t="shared" si="293"/>
        <v>1.1187499999999999</v>
      </c>
      <c r="AV53" s="35">
        <f t="shared" si="294"/>
        <v>1.425</v>
      </c>
      <c r="AW53" s="35">
        <f t="shared" si="295"/>
        <v>1.2718750000000001</v>
      </c>
      <c r="AX53" s="35">
        <f t="shared" si="296"/>
        <v>4.5304011300275615E-3</v>
      </c>
      <c r="AY53" s="35">
        <f t="shared" si="297"/>
        <v>1.2718750000000001</v>
      </c>
      <c r="AZ53" s="35">
        <f t="shared" si="298"/>
        <v>1.425</v>
      </c>
      <c r="BA53" s="35">
        <f t="shared" si="299"/>
        <v>1.3484375000000002</v>
      </c>
      <c r="BB53" s="35">
        <f t="shared" si="300"/>
        <v>6.2699372658236996E-5</v>
      </c>
      <c r="BC53" s="35">
        <f t="shared" si="301"/>
        <v>1.3484375000000002</v>
      </c>
      <c r="BD53" s="35">
        <f t="shared" si="302"/>
        <v>1.425</v>
      </c>
      <c r="BE53" s="35">
        <f t="shared" si="303"/>
        <v>1.38671875</v>
      </c>
      <c r="BF53" s="35">
        <f t="shared" si="304"/>
        <v>-1.8563057263356608E-3</v>
      </c>
      <c r="BG53" s="35">
        <f t="shared" si="305"/>
        <v>1.3484375000000002</v>
      </c>
      <c r="BH53" s="35">
        <f t="shared" si="306"/>
        <v>1.38671875</v>
      </c>
      <c r="BI53" s="35">
        <f t="shared" si="307"/>
        <v>1.3675781250000001</v>
      </c>
      <c r="BJ53" s="35">
        <f t="shared" si="308"/>
        <v>-9.2043479125791805E-4</v>
      </c>
      <c r="BK53" s="35">
        <f t="shared" si="309"/>
        <v>1.3484375000000002</v>
      </c>
      <c r="BL53" s="35">
        <f t="shared" si="310"/>
        <v>1.3675781250000001</v>
      </c>
      <c r="BM53" s="35">
        <f t="shared" si="311"/>
        <v>1.3580078125000001</v>
      </c>
      <c r="BN53" s="35">
        <f t="shared" si="312"/>
        <v>-4.349576996486304E-4</v>
      </c>
      <c r="BO53" s="35">
        <f t="shared" si="313"/>
        <v>1.3484375000000002</v>
      </c>
      <c r="BP53" s="35">
        <f t="shared" si="314"/>
        <v>1.3580078125000001</v>
      </c>
      <c r="BQ53" s="35">
        <f t="shared" si="315"/>
        <v>1.3532226562500003</v>
      </c>
      <c r="BR53" s="35">
        <f t="shared" si="316"/>
        <v>-1.8767503624428361E-4</v>
      </c>
      <c r="BS53" s="35">
        <f t="shared" si="317"/>
        <v>1.3484375000000002</v>
      </c>
      <c r="BT53" s="35">
        <f t="shared" si="318"/>
        <v>1.3532226562500003</v>
      </c>
      <c r="BU53" s="35">
        <f t="shared" si="319"/>
        <v>1.3508300781250002</v>
      </c>
      <c r="BV53" s="35">
        <f t="shared" si="320"/>
        <v>-6.2877261157612274E-5</v>
      </c>
      <c r="BW53" s="35">
        <f t="shared" si="321"/>
        <v>1.3484375000000002</v>
      </c>
      <c r="BX53" s="35">
        <f t="shared" si="322"/>
        <v>1.3508300781250002</v>
      </c>
      <c r="BY53" s="35">
        <f t="shared" si="323"/>
        <v>1.3496337890625001</v>
      </c>
      <c r="BZ53" s="35">
        <f t="shared" si="324"/>
        <v>-1.8667422141405154E-7</v>
      </c>
      <c r="CA53" s="35">
        <f t="shared" si="325"/>
        <v>1.3484375000000002</v>
      </c>
      <c r="CB53" s="35">
        <f t="shared" si="326"/>
        <v>1.3496337890625001</v>
      </c>
      <c r="CC53" s="35">
        <f t="shared" si="327"/>
        <v>1.3490356445312501</v>
      </c>
      <c r="CD53" s="35">
        <f t="shared" si="328"/>
        <v>3.1231869990655525E-5</v>
      </c>
      <c r="CE53" s="35">
        <f t="shared" si="329"/>
        <v>1.3490356445312501</v>
      </c>
      <c r="CF53" s="35">
        <f t="shared" si="330"/>
        <v>1.3496337890625001</v>
      </c>
      <c r="CG53" s="35">
        <f t="shared" si="331"/>
        <v>1.349334716796875</v>
      </c>
      <c r="CH53" s="35">
        <f t="shared" si="332"/>
        <v>1.55164839266142E-5</v>
      </c>
      <c r="CI53" s="35">
        <f t="shared" si="333"/>
        <v>1.349334716796875</v>
      </c>
      <c r="CJ53" s="35">
        <f t="shared" si="334"/>
        <v>1.3496337890625001</v>
      </c>
      <c r="CK53" s="35">
        <f t="shared" si="335"/>
        <v>1.3494842529296875</v>
      </c>
      <c r="CL53" s="35">
        <f t="shared" si="336"/>
        <v>7.6633770935696788E-6</v>
      </c>
      <c r="CM53" s="35">
        <f t="shared" si="337"/>
        <v>1.3494842529296875</v>
      </c>
      <c r="CN53" s="35">
        <f t="shared" si="338"/>
        <v>1.3496337890625001</v>
      </c>
      <c r="CO53" s="35">
        <f t="shared" si="339"/>
        <v>1.3495590209960939</v>
      </c>
      <c r="CP53" s="35">
        <f t="shared" si="340"/>
        <v>3.7379695876360586E-6</v>
      </c>
      <c r="CQ53" s="35">
        <f t="shared" si="341"/>
        <v>1.3495590209960939</v>
      </c>
      <c r="CR53" s="35">
        <f t="shared" si="342"/>
        <v>1.3496337890625001</v>
      </c>
      <c r="CS53" s="35">
        <f t="shared" si="343"/>
        <v>1.349596405029297</v>
      </c>
      <c r="CT53" s="35">
        <f t="shared" si="344"/>
        <v>1.7755522323525952E-6</v>
      </c>
      <c r="CU53" s="35">
        <f t="shared" si="345"/>
        <v>1.349596405029297</v>
      </c>
      <c r="CV53" s="35">
        <f t="shared" si="346"/>
        <v>1.3496337890625001</v>
      </c>
      <c r="CW53" s="35">
        <f t="shared" si="347"/>
        <v>1.3496150970458984</v>
      </c>
      <c r="CX53" s="35">
        <f t="shared" si="348"/>
        <v>7.9441514433398197E-7</v>
      </c>
      <c r="CY53" s="35">
        <f t="shared" si="349"/>
        <v>1.3496150970458984</v>
      </c>
      <c r="CZ53" s="35">
        <f t="shared" si="350"/>
        <v>1.3496337890625001</v>
      </c>
      <c r="DA53" s="35">
        <f t="shared" si="351"/>
        <v>1.3496244430541993</v>
      </c>
      <c r="DB53" s="35">
        <f t="shared" si="352"/>
        <v>3.0386449645369851E-7</v>
      </c>
      <c r="DC53" s="35">
        <f t="shared" si="353"/>
        <v>1.3496244430541993</v>
      </c>
      <c r="DD53" s="35">
        <f t="shared" si="354"/>
        <v>1.3496337890625001</v>
      </c>
      <c r="DE53" s="35">
        <f t="shared" si="355"/>
        <v>1.3496291160583498</v>
      </c>
      <c r="DF53" s="35">
        <f t="shared" si="356"/>
        <v>5.8593646157234502E-8</v>
      </c>
      <c r="DG53" s="35">
        <f t="shared" si="357"/>
        <v>1.3496291160583498</v>
      </c>
      <c r="DH53" s="35">
        <f t="shared" si="358"/>
        <v>1.3496337890625001</v>
      </c>
      <c r="DI53" s="35">
        <f t="shared" si="359"/>
        <v>1.3496314525604249</v>
      </c>
      <c r="DJ53" s="35">
        <f t="shared" si="360"/>
        <v>-6.404066044130019E-8</v>
      </c>
      <c r="DK53" s="35">
        <f t="shared" si="361"/>
        <v>1.3496291160583498</v>
      </c>
      <c r="DL53" s="35">
        <f t="shared" si="362"/>
        <v>1.3496314525604249</v>
      </c>
      <c r="DM53" s="35">
        <f t="shared" si="363"/>
        <v>1.3496302843093875</v>
      </c>
      <c r="DN53" s="35">
        <f t="shared" si="364"/>
        <v>-2.7236002342334587E-9</v>
      </c>
      <c r="DO53" s="35">
        <f t="shared" si="365"/>
        <v>1.3496291160583498</v>
      </c>
      <c r="DP53" s="35">
        <f t="shared" si="366"/>
        <v>1.3496302843093875</v>
      </c>
      <c r="DQ53" s="35">
        <f t="shared" si="367"/>
        <v>1.3496297001838686</v>
      </c>
      <c r="DR53" s="35">
        <f t="shared" si="368"/>
        <v>2.7934999646817005E-8</v>
      </c>
      <c r="DS53" s="35">
        <f t="shared" si="369"/>
        <v>1.3496297001838686</v>
      </c>
      <c r="DT53" s="35">
        <f t="shared" si="370"/>
        <v>1.3496302843093875</v>
      </c>
      <c r="DU53" s="35">
        <f t="shared" si="371"/>
        <v>1.3496299922466282</v>
      </c>
      <c r="DV53" s="35">
        <f t="shared" si="372"/>
        <v>1.2605693822109743E-8</v>
      </c>
      <c r="DW53" s="35">
        <f t="shared" si="373"/>
        <v>1.3496299922466282</v>
      </c>
      <c r="DX53" s="35">
        <f t="shared" si="374"/>
        <v>1.3496302843093875</v>
      </c>
      <c r="DY53" s="35">
        <f t="shared" si="375"/>
        <v>1.3496301382780078</v>
      </c>
      <c r="DZ53" s="35">
        <f t="shared" si="376"/>
        <v>4.9410453506482099E-9</v>
      </c>
      <c r="EA53" s="35">
        <f t="shared" si="377"/>
        <v>1.3496301382780078</v>
      </c>
      <c r="EB53" s="35">
        <f t="shared" si="378"/>
        <v>1.3496302843093875</v>
      </c>
      <c r="EC53" s="35">
        <f t="shared" si="379"/>
        <v>1.3496302112936975</v>
      </c>
      <c r="ED53" s="35">
        <f t="shared" si="380"/>
        <v>1.1087222251404683E-9</v>
      </c>
      <c r="EE53" s="35">
        <f t="shared" si="381"/>
        <v>1.3496302112936975</v>
      </c>
      <c r="EF53" s="35">
        <f t="shared" si="382"/>
        <v>1.3496302843093875</v>
      </c>
      <c r="EG53" s="35">
        <f t="shared" si="383"/>
        <v>1.3496302478015425</v>
      </c>
      <c r="EH53" s="35">
        <f t="shared" si="384"/>
        <v>-8.0743911556879766E-10</v>
      </c>
      <c r="EI53" s="35">
        <f t="shared" si="385"/>
        <v>1.3496302112936975</v>
      </c>
      <c r="EJ53" s="35">
        <f t="shared" si="386"/>
        <v>1.3496302478015425</v>
      </c>
      <c r="EK53" s="35">
        <f t="shared" si="387"/>
        <v>1.3496302295476199</v>
      </c>
      <c r="EL53" s="35">
        <f t="shared" si="388"/>
        <v>1.5064149927468407E-10</v>
      </c>
      <c r="EM53" s="35">
        <f t="shared" si="389"/>
        <v>1.3496302295476199</v>
      </c>
      <c r="EN53" s="35">
        <f t="shared" si="390"/>
        <v>1.3496302478015425</v>
      </c>
      <c r="EO53" s="35">
        <f t="shared" si="391"/>
        <v>1.3496302386745813</v>
      </c>
      <c r="EP53" s="35">
        <f t="shared" si="392"/>
        <v>-3.2839886365820803E-10</v>
      </c>
      <c r="EQ53" s="35">
        <f t="shared" si="393"/>
        <v>1.3496302295476199</v>
      </c>
      <c r="ER53" s="35">
        <f t="shared" si="394"/>
        <v>1.3496302386745813</v>
      </c>
      <c r="ES53" s="35">
        <f t="shared" si="395"/>
        <v>1.3496302341111006</v>
      </c>
      <c r="ET53" s="35">
        <f t="shared" si="396"/>
        <v>-8.8878571169459519E-11</v>
      </c>
      <c r="EU53" s="35">
        <f t="shared" si="397"/>
        <v>1.3496302295476199</v>
      </c>
      <c r="EV53" s="35">
        <f t="shared" si="398"/>
        <v>1.3496302341111006</v>
      </c>
      <c r="EW53" s="35">
        <f t="shared" si="399"/>
        <v>1.3496302318293603</v>
      </c>
      <c r="EX53" s="35">
        <f t="shared" si="400"/>
        <v>3.0881519563763504E-11</v>
      </c>
      <c r="EY53" s="35">
        <f t="shared" si="401"/>
        <v>1.3496302318293603</v>
      </c>
      <c r="EZ53" s="35">
        <f t="shared" si="402"/>
        <v>1.3496302341111006</v>
      </c>
      <c r="FA53" s="10">
        <v>9.9999999999999995E-7</v>
      </c>
      <c r="FB53" s="10">
        <v>0.99990000000000001</v>
      </c>
      <c r="FC53" s="35">
        <f t="shared" si="403"/>
        <v>0.49995050000000002</v>
      </c>
      <c r="FD53" s="35">
        <f t="shared" si="404"/>
        <v>-2.9876349712175232E-2</v>
      </c>
      <c r="FE53" s="35">
        <f t="shared" si="405"/>
        <v>9.9999999999999995E-7</v>
      </c>
      <c r="FF53" s="35">
        <f t="shared" si="406"/>
        <v>0.49995050000000002</v>
      </c>
      <c r="FG53" s="35">
        <f t="shared" si="407"/>
        <v>0.24997575</v>
      </c>
      <c r="FH53" s="35">
        <f t="shared" si="408"/>
        <v>-2.2059326246176458E-2</v>
      </c>
      <c r="FI53" s="35">
        <f t="shared" si="409"/>
        <v>9.9999999999999995E-7</v>
      </c>
      <c r="FJ53" s="35">
        <f t="shared" si="410"/>
        <v>0.24997575</v>
      </c>
      <c r="FK53" s="35">
        <f t="shared" si="411"/>
        <v>0.124988375</v>
      </c>
      <c r="FL53" s="35">
        <f t="shared" si="412"/>
        <v>-1.4582790195949102E-2</v>
      </c>
      <c r="FM53" s="35">
        <f t="shared" si="413"/>
        <v>9.9999999999999995E-7</v>
      </c>
      <c r="FN53" s="35">
        <f t="shared" si="414"/>
        <v>0.124988375</v>
      </c>
      <c r="FO53" s="35">
        <f t="shared" si="415"/>
        <v>6.24946875E-2</v>
      </c>
      <c r="FP53" s="35">
        <f t="shared" si="416"/>
        <v>-5.7500747583177914E-3</v>
      </c>
      <c r="FQ53" s="35">
        <f t="shared" si="417"/>
        <v>9.9999999999999995E-7</v>
      </c>
      <c r="FR53" s="35">
        <f t="shared" si="418"/>
        <v>6.24946875E-2</v>
      </c>
      <c r="FS53" s="35">
        <f t="shared" si="419"/>
        <v>3.124784375E-2</v>
      </c>
      <c r="FT53" s="35">
        <f t="shared" si="420"/>
        <v>2.5297872428620138E-3</v>
      </c>
      <c r="FU53" s="35">
        <f t="shared" si="421"/>
        <v>3.124784375E-2</v>
      </c>
      <c r="FV53" s="35">
        <f t="shared" si="422"/>
        <v>6.24946875E-2</v>
      </c>
      <c r="FW53" s="35">
        <f t="shared" si="423"/>
        <v>4.6871265624999998E-2</v>
      </c>
      <c r="FX53" s="35">
        <f t="shared" si="424"/>
        <v>-2.0852439215566232E-3</v>
      </c>
      <c r="FY53" s="35">
        <f t="shared" si="425"/>
        <v>3.124784375E-2</v>
      </c>
      <c r="FZ53" s="35">
        <f t="shared" si="426"/>
        <v>4.6871265624999998E-2</v>
      </c>
      <c r="GA53" s="35">
        <f t="shared" si="427"/>
        <v>3.9059554687499998E-2</v>
      </c>
      <c r="GB53" s="35">
        <f t="shared" si="428"/>
        <v>9.0114237432992184E-5</v>
      </c>
      <c r="GC53" s="35">
        <f t="shared" si="429"/>
        <v>3.9059554687499998E-2</v>
      </c>
      <c r="GD53" s="35">
        <f t="shared" si="430"/>
        <v>4.6871265624999998E-2</v>
      </c>
      <c r="GE53" s="35">
        <f t="shared" si="431"/>
        <v>4.2965410156249995E-2</v>
      </c>
      <c r="GF53" s="35">
        <f t="shared" si="432"/>
        <v>-1.0289584930878171E-3</v>
      </c>
      <c r="GG53" s="35">
        <f t="shared" si="433"/>
        <v>3.9059554687499998E-2</v>
      </c>
      <c r="GH53" s="35">
        <f t="shared" si="434"/>
        <v>4.2965410156249995E-2</v>
      </c>
      <c r="GI53" s="35">
        <f t="shared" si="435"/>
        <v>4.1012482421874996E-2</v>
      </c>
      <c r="GJ53" s="35">
        <f t="shared" si="436"/>
        <v>-4.7748052517981865E-4</v>
      </c>
      <c r="GK53" s="35">
        <f t="shared" si="437"/>
        <v>3.9059554687499998E-2</v>
      </c>
      <c r="GL53" s="35">
        <f t="shared" si="438"/>
        <v>4.1012482421874996E-2</v>
      </c>
      <c r="GM53" s="35">
        <f t="shared" si="439"/>
        <v>4.0036018554687497E-2</v>
      </c>
      <c r="GN53" s="35">
        <f t="shared" si="440"/>
        <v>-1.957237233812803E-4</v>
      </c>
      <c r="GO53" s="35">
        <f t="shared" si="441"/>
        <v>3.9059554687499998E-2</v>
      </c>
      <c r="GP53" s="35">
        <f t="shared" si="442"/>
        <v>4.0036018554687497E-2</v>
      </c>
      <c r="GQ53" s="35">
        <f t="shared" si="443"/>
        <v>3.9547786621093747E-2</v>
      </c>
      <c r="GR53" s="35">
        <f t="shared" si="444"/>
        <v>-5.3318113354516861E-5</v>
      </c>
      <c r="GS53" s="35">
        <f t="shared" si="445"/>
        <v>3.9059554687499998E-2</v>
      </c>
      <c r="GT53" s="35">
        <f t="shared" si="446"/>
        <v>3.9547786621093747E-2</v>
      </c>
      <c r="GU53" s="35">
        <f t="shared" si="447"/>
        <v>3.9303670654296873E-2</v>
      </c>
      <c r="GV53" s="35">
        <f t="shared" si="448"/>
        <v>1.8269317804353591E-5</v>
      </c>
      <c r="GW53" s="35">
        <f t="shared" si="449"/>
        <v>3.9303670654296873E-2</v>
      </c>
      <c r="GX53" s="35">
        <f t="shared" si="450"/>
        <v>3.9547786621093747E-2</v>
      </c>
      <c r="GY53" s="35">
        <f t="shared" si="451"/>
        <v>3.9425728637695306E-2</v>
      </c>
      <c r="GZ53" s="35">
        <f t="shared" si="452"/>
        <v>-1.7556533701390542E-5</v>
      </c>
      <c r="HA53" s="35">
        <f t="shared" si="453"/>
        <v>3.9303670654296873E-2</v>
      </c>
      <c r="HB53" s="35">
        <f t="shared" si="454"/>
        <v>3.9425728637695306E-2</v>
      </c>
      <c r="HC53" s="35">
        <f t="shared" si="455"/>
        <v>3.9364699645996093E-2</v>
      </c>
      <c r="HD53" s="35">
        <f t="shared" si="456"/>
        <v>3.483517989621987E-7</v>
      </c>
      <c r="HE53" s="35">
        <f t="shared" si="457"/>
        <v>3.9364699645996093E-2</v>
      </c>
      <c r="HF53" s="35">
        <f t="shared" si="458"/>
        <v>3.9425728637695306E-2</v>
      </c>
      <c r="HG53" s="35">
        <f t="shared" si="459"/>
        <v>3.93952141418457E-2</v>
      </c>
      <c r="HH53" s="35">
        <f t="shared" si="460"/>
        <v>-8.6061002307902257E-6</v>
      </c>
      <c r="HI53" s="35">
        <f t="shared" si="461"/>
        <v>3.9364699645996093E-2</v>
      </c>
      <c r="HJ53" s="35">
        <f t="shared" si="462"/>
        <v>3.93952141418457E-2</v>
      </c>
      <c r="HK53" s="35">
        <f t="shared" si="463"/>
        <v>3.9379956893920896E-2</v>
      </c>
      <c r="HL53" s="35">
        <f t="shared" si="464"/>
        <v>-4.1293766339656202E-6</v>
      </c>
      <c r="HM53" s="35">
        <f t="shared" si="465"/>
        <v>3.9364699645996093E-2</v>
      </c>
      <c r="HN53" s="35">
        <f t="shared" si="466"/>
        <v>3.9379956893920896E-2</v>
      </c>
      <c r="HO53" s="35">
        <f t="shared" si="467"/>
        <v>3.9372328269958498E-2</v>
      </c>
      <c r="HP53" s="35">
        <f t="shared" si="468"/>
        <v>-1.8906380342409435E-6</v>
      </c>
      <c r="HQ53" s="35">
        <f t="shared" si="469"/>
        <v>3.9364699645996093E-2</v>
      </c>
      <c r="HR53" s="35">
        <f t="shared" si="470"/>
        <v>3.9372328269958498E-2</v>
      </c>
      <c r="HS53" s="35">
        <f t="shared" si="471"/>
        <v>3.9368513957977296E-2</v>
      </c>
      <c r="HT53" s="35">
        <f t="shared" si="472"/>
        <v>-7.7117452335073722E-7</v>
      </c>
      <c r="HU53" s="35">
        <f t="shared" si="473"/>
        <v>3.9364699645996093E-2</v>
      </c>
      <c r="HV53" s="35">
        <f t="shared" si="474"/>
        <v>3.9368513957977296E-2</v>
      </c>
      <c r="HW53" s="35">
        <f t="shared" si="475"/>
        <v>3.9366606801986698E-2</v>
      </c>
      <c r="HX53" s="35">
        <f t="shared" si="476"/>
        <v>-2.1141921402456632E-7</v>
      </c>
      <c r="HY53" s="35">
        <f t="shared" si="477"/>
        <v>3.9364699645996093E-2</v>
      </c>
      <c r="HZ53" s="35">
        <f t="shared" si="478"/>
        <v>3.9366606801986698E-2</v>
      </c>
      <c r="IA53" s="35">
        <f t="shared" si="479"/>
        <v>3.9365653223991395E-2</v>
      </c>
      <c r="IB53" s="35">
        <f t="shared" si="480"/>
        <v>6.8464329316952899E-8</v>
      </c>
      <c r="IC53" s="35">
        <f t="shared" si="481"/>
        <v>3.9365653223991395E-2</v>
      </c>
      <c r="ID53" s="35">
        <f t="shared" si="482"/>
        <v>3.9366606801986698E-2</v>
      </c>
      <c r="IE53" s="35">
        <f t="shared" si="483"/>
        <v>3.9366130012989047E-2</v>
      </c>
      <c r="IF53" s="35">
        <f t="shared" si="484"/>
        <v>-7.1477933016872441E-8</v>
      </c>
      <c r="IG53" s="35">
        <f t="shared" si="485"/>
        <v>3.9365653223991395E-2</v>
      </c>
      <c r="IH53" s="35">
        <f t="shared" si="486"/>
        <v>3.9366130012989047E-2</v>
      </c>
      <c r="II53" s="35">
        <f t="shared" si="487"/>
        <v>3.9365891618490217E-2</v>
      </c>
      <c r="IJ53" s="35">
        <f t="shared" si="488"/>
        <v>-1.5069244740928411E-9</v>
      </c>
      <c r="IK53" s="35">
        <f t="shared" si="489"/>
        <v>3.9365653223991395E-2</v>
      </c>
      <c r="IL53" s="35">
        <f t="shared" si="490"/>
        <v>3.9365891618490217E-2</v>
      </c>
      <c r="IM53" s="35">
        <f t="shared" si="491"/>
        <v>3.9365772421240806E-2</v>
      </c>
      <c r="IN53" s="35">
        <f t="shared" si="492"/>
        <v>3.34786718347857E-8</v>
      </c>
      <c r="IO53" s="35">
        <f t="shared" si="493"/>
        <v>3.9365772421240806E-2</v>
      </c>
      <c r="IP53" s="35">
        <f t="shared" si="494"/>
        <v>3.9365891618490217E-2</v>
      </c>
      <c r="IQ53" s="35">
        <f t="shared" si="495"/>
        <v>3.9365832019865515E-2</v>
      </c>
      <c r="IR53" s="35">
        <f t="shared" si="496"/>
        <v>1.5985865964296408E-8</v>
      </c>
      <c r="IS53" s="35">
        <f t="shared" si="497"/>
        <v>3.9365832019865515E-2</v>
      </c>
      <c r="IT53" s="35">
        <f t="shared" si="498"/>
        <v>3.9365891618490217E-2</v>
      </c>
      <c r="IU53" s="35">
        <f t="shared" si="499"/>
        <v>3.9365861819177866E-2</v>
      </c>
      <c r="IV53" s="35">
        <f t="shared" si="500"/>
        <v>7.2394690242560955E-9</v>
      </c>
      <c r="IW53" s="35">
        <f t="shared" si="501"/>
        <v>3.9365861819177866E-2</v>
      </c>
      <c r="IX53" s="35">
        <f t="shared" si="502"/>
        <v>3.9365891618490217E-2</v>
      </c>
      <c r="IY53" s="35">
        <f t="shared" si="503"/>
        <v>3.9365876718834042E-2</v>
      </c>
      <c r="IZ53" s="35">
        <f t="shared" si="504"/>
        <v>2.8662716644589636E-9</v>
      </c>
      <c r="JA53" s="35">
        <f t="shared" si="505"/>
        <v>3.9365876718834042E-2</v>
      </c>
      <c r="JB53" s="35">
        <f t="shared" si="506"/>
        <v>3.9365891618490217E-2</v>
      </c>
      <c r="JC53" s="35">
        <f t="shared" si="507"/>
        <v>3.936588416866213E-2</v>
      </c>
      <c r="JD53" s="35">
        <f t="shared" si="508"/>
        <v>6.7967342864960756E-10</v>
      </c>
      <c r="JE53" s="35">
        <f t="shared" si="509"/>
        <v>3.936588416866213E-2</v>
      </c>
      <c r="JF53" s="35">
        <f t="shared" si="510"/>
        <v>3.9365891618490217E-2</v>
      </c>
      <c r="JG53" s="35">
        <f t="shared" si="511"/>
        <v>3.9365887893576174E-2</v>
      </c>
      <c r="JH53" s="35">
        <f t="shared" si="512"/>
        <v>-4.1362546721046556E-10</v>
      </c>
      <c r="JI53" s="35">
        <f t="shared" si="513"/>
        <v>3.936588416866213E-2</v>
      </c>
      <c r="JJ53" s="35">
        <f t="shared" si="514"/>
        <v>3.9365887893576174E-2</v>
      </c>
      <c r="JK53" s="35">
        <f t="shared" si="515"/>
        <v>3.9365886031119152E-2</v>
      </c>
      <c r="JL53" s="35">
        <f t="shared" si="516"/>
        <v>1.3302403623072223E-10</v>
      </c>
      <c r="JM53" s="35">
        <f t="shared" si="517"/>
        <v>3.9365886031119152E-2</v>
      </c>
      <c r="JN53" s="35">
        <f t="shared" si="518"/>
        <v>3.9365887893576174E-2</v>
      </c>
      <c r="JO53" s="35">
        <f t="shared" si="519"/>
        <v>3.9365886962347663E-2</v>
      </c>
      <c r="JP53" s="35">
        <f t="shared" si="520"/>
        <v>-1.4030077100102289E-10</v>
      </c>
      <c r="JQ53" s="35">
        <f t="shared" si="521"/>
        <v>3.9365886031119152E-2</v>
      </c>
      <c r="JR53" s="35">
        <f t="shared" si="522"/>
        <v>3.9365886962347663E-2</v>
      </c>
      <c r="JS53" s="35">
        <f t="shared" si="523"/>
        <v>3.9365886496733407E-2</v>
      </c>
      <c r="JT53" s="35">
        <f t="shared" si="524"/>
        <v>-3.638422896301563E-12</v>
      </c>
      <c r="JU53" s="35">
        <f t="shared" si="525"/>
        <v>3.9365886031119152E-2</v>
      </c>
      <c r="JV53" s="35">
        <f t="shared" si="526"/>
        <v>3.9365886496733407E-2</v>
      </c>
      <c r="JW53" s="35">
        <f t="shared" si="527"/>
        <v>3.9365886263926279E-2</v>
      </c>
      <c r="JX53" s="35">
        <f t="shared" si="528"/>
        <v>6.4692695644907872E-11</v>
      </c>
      <c r="JY53" s="35">
        <f t="shared" si="529"/>
        <v>3.9365886263926279E-2</v>
      </c>
      <c r="JZ53" s="35">
        <f t="shared" si="530"/>
        <v>3.9365886496733407E-2</v>
      </c>
      <c r="KA53" s="35">
        <f t="shared" si="531"/>
        <v>1.3496302329702305</v>
      </c>
      <c r="KB53" s="35">
        <f t="shared" si="532"/>
        <v>3.936588638032984E-2</v>
      </c>
    </row>
    <row r="54" spans="1:288" ht="15" customHeight="1" x14ac:dyDescent="0.3">
      <c r="A54" s="30">
        <f>Odds_Input!A54</f>
        <v>46</v>
      </c>
      <c r="B54" s="7" t="str">
        <f>Odds_Input!B54</f>
        <v>CONF_WEST</v>
      </c>
      <c r="C54" s="7" t="str">
        <f>Odds_Input!C54</f>
        <v>Denver Nuggets</v>
      </c>
      <c r="D54" s="7" t="str">
        <f>Odds_Input!D54</f>
        <v>YES</v>
      </c>
      <c r="E54" s="31" t="str">
        <f>Odds_Input!E54</f>
        <v>-</v>
      </c>
      <c r="F54" s="32">
        <f>Odds_Input!F54</f>
        <v>1400</v>
      </c>
      <c r="G54" s="6" t="str">
        <f t="shared" si="0"/>
        <v>CONF_WEST</v>
      </c>
      <c r="H54" s="14">
        <f t="shared" si="1"/>
        <v>15</v>
      </c>
      <c r="I54" s="33">
        <f t="shared" si="2"/>
        <v>6.6666666666666666E-2</v>
      </c>
      <c r="J54" s="17">
        <f t="shared" si="3"/>
        <v>1</v>
      </c>
      <c r="K54" s="17">
        <f t="shared" si="4"/>
        <v>15</v>
      </c>
      <c r="L54" s="18">
        <f t="shared" si="5"/>
        <v>1.1953442022676133</v>
      </c>
      <c r="M54" s="34">
        <f t="shared" si="6"/>
        <v>0.19534420226761329</v>
      </c>
      <c r="N54" s="33">
        <f t="shared" si="7"/>
        <v>5.5771941287034707E-2</v>
      </c>
      <c r="O54" s="33">
        <f t="shared" si="8"/>
        <v>4.8048602207424816E-2</v>
      </c>
      <c r="P54" s="33">
        <f t="shared" si="9"/>
        <v>5.227043286955569E-2</v>
      </c>
      <c r="Q54" s="33">
        <f t="shared" si="10"/>
        <v>5.227043286955569E-2</v>
      </c>
      <c r="R54" s="35">
        <f t="shared" si="11"/>
        <v>1.120932777808048</v>
      </c>
      <c r="S54" s="35">
        <f t="shared" si="12"/>
        <v>1.9902430363003976E-2</v>
      </c>
      <c r="X54" s="6" t="s">
        <v>829</v>
      </c>
      <c r="Y54" s="6">
        <f t="shared" si="273"/>
        <v>1</v>
      </c>
      <c r="Z54" s="18">
        <f t="shared" si="274"/>
        <v>1.0309153364316024</v>
      </c>
      <c r="AA54" s="10">
        <v>0.2</v>
      </c>
      <c r="AB54" s="10">
        <v>10</v>
      </c>
      <c r="AC54" s="35">
        <f t="shared" si="275"/>
        <v>5.0999999999999996</v>
      </c>
      <c r="AD54" s="35">
        <f t="shared" si="276"/>
        <v>-4.9480499097246611E-2</v>
      </c>
      <c r="AE54" s="35">
        <f t="shared" si="277"/>
        <v>0.2</v>
      </c>
      <c r="AF54" s="35">
        <f t="shared" si="278"/>
        <v>5.0999999999999996</v>
      </c>
      <c r="AG54" s="35">
        <f t="shared" si="279"/>
        <v>2.65</v>
      </c>
      <c r="AH54" s="35">
        <f t="shared" si="280"/>
        <v>-2.5815456810676096E-2</v>
      </c>
      <c r="AI54" s="35">
        <f t="shared" si="281"/>
        <v>0.2</v>
      </c>
      <c r="AJ54" s="35">
        <f t="shared" si="282"/>
        <v>2.65</v>
      </c>
      <c r="AK54" s="35">
        <f t="shared" si="283"/>
        <v>1.425</v>
      </c>
      <c r="AL54" s="35">
        <f t="shared" si="284"/>
        <v>-3.5973103520985372E-3</v>
      </c>
      <c r="AM54" s="35">
        <f t="shared" si="285"/>
        <v>0.2</v>
      </c>
      <c r="AN54" s="35">
        <f t="shared" si="286"/>
        <v>1.425</v>
      </c>
      <c r="AO54" s="35">
        <f t="shared" si="287"/>
        <v>0.8125</v>
      </c>
      <c r="AP54" s="35">
        <f t="shared" si="288"/>
        <v>6.6301644164687534E-2</v>
      </c>
      <c r="AQ54" s="35">
        <f t="shared" si="289"/>
        <v>0.8125</v>
      </c>
      <c r="AR54" s="35">
        <f t="shared" si="290"/>
        <v>1.425</v>
      </c>
      <c r="AS54" s="35">
        <f t="shared" si="291"/>
        <v>1.1187499999999999</v>
      </c>
      <c r="AT54" s="35">
        <f t="shared" si="292"/>
        <v>1.6846907104035136E-2</v>
      </c>
      <c r="AU54" s="35">
        <f t="shared" si="293"/>
        <v>1.1187499999999999</v>
      </c>
      <c r="AV54" s="35">
        <f t="shared" si="294"/>
        <v>1.425</v>
      </c>
      <c r="AW54" s="35">
        <f t="shared" si="295"/>
        <v>1.2718750000000001</v>
      </c>
      <c r="AX54" s="35">
        <f t="shared" si="296"/>
        <v>4.5304011300275615E-3</v>
      </c>
      <c r="AY54" s="35">
        <f t="shared" si="297"/>
        <v>1.2718750000000001</v>
      </c>
      <c r="AZ54" s="35">
        <f t="shared" si="298"/>
        <v>1.425</v>
      </c>
      <c r="BA54" s="35">
        <f t="shared" si="299"/>
        <v>1.3484375000000002</v>
      </c>
      <c r="BB54" s="35">
        <f t="shared" si="300"/>
        <v>6.2699372658236996E-5</v>
      </c>
      <c r="BC54" s="35">
        <f t="shared" si="301"/>
        <v>1.3484375000000002</v>
      </c>
      <c r="BD54" s="35">
        <f t="shared" si="302"/>
        <v>1.425</v>
      </c>
      <c r="BE54" s="35">
        <f t="shared" si="303"/>
        <v>1.38671875</v>
      </c>
      <c r="BF54" s="35">
        <f t="shared" si="304"/>
        <v>-1.8563057263356608E-3</v>
      </c>
      <c r="BG54" s="35">
        <f t="shared" si="305"/>
        <v>1.3484375000000002</v>
      </c>
      <c r="BH54" s="35">
        <f t="shared" si="306"/>
        <v>1.38671875</v>
      </c>
      <c r="BI54" s="35">
        <f t="shared" si="307"/>
        <v>1.3675781250000001</v>
      </c>
      <c r="BJ54" s="35">
        <f t="shared" si="308"/>
        <v>-9.2043479125791805E-4</v>
      </c>
      <c r="BK54" s="35">
        <f t="shared" si="309"/>
        <v>1.3484375000000002</v>
      </c>
      <c r="BL54" s="35">
        <f t="shared" si="310"/>
        <v>1.3675781250000001</v>
      </c>
      <c r="BM54" s="35">
        <f t="shared" si="311"/>
        <v>1.3580078125000001</v>
      </c>
      <c r="BN54" s="35">
        <f t="shared" si="312"/>
        <v>-4.349576996486304E-4</v>
      </c>
      <c r="BO54" s="35">
        <f t="shared" si="313"/>
        <v>1.3484375000000002</v>
      </c>
      <c r="BP54" s="35">
        <f t="shared" si="314"/>
        <v>1.3580078125000001</v>
      </c>
      <c r="BQ54" s="35">
        <f t="shared" si="315"/>
        <v>1.3532226562500003</v>
      </c>
      <c r="BR54" s="35">
        <f t="shared" si="316"/>
        <v>-1.8767503624428361E-4</v>
      </c>
      <c r="BS54" s="35">
        <f t="shared" si="317"/>
        <v>1.3484375000000002</v>
      </c>
      <c r="BT54" s="35">
        <f t="shared" si="318"/>
        <v>1.3532226562500003</v>
      </c>
      <c r="BU54" s="35">
        <f t="shared" si="319"/>
        <v>1.3508300781250002</v>
      </c>
      <c r="BV54" s="35">
        <f t="shared" si="320"/>
        <v>-6.2877261157612274E-5</v>
      </c>
      <c r="BW54" s="35">
        <f t="shared" si="321"/>
        <v>1.3484375000000002</v>
      </c>
      <c r="BX54" s="35">
        <f t="shared" si="322"/>
        <v>1.3508300781250002</v>
      </c>
      <c r="BY54" s="35">
        <f t="shared" si="323"/>
        <v>1.3496337890625001</v>
      </c>
      <c r="BZ54" s="35">
        <f t="shared" si="324"/>
        <v>-1.8667422141405154E-7</v>
      </c>
      <c r="CA54" s="35">
        <f t="shared" si="325"/>
        <v>1.3484375000000002</v>
      </c>
      <c r="CB54" s="35">
        <f t="shared" si="326"/>
        <v>1.3496337890625001</v>
      </c>
      <c r="CC54" s="35">
        <f t="shared" si="327"/>
        <v>1.3490356445312501</v>
      </c>
      <c r="CD54" s="35">
        <f t="shared" si="328"/>
        <v>3.1231869990655525E-5</v>
      </c>
      <c r="CE54" s="35">
        <f t="shared" si="329"/>
        <v>1.3490356445312501</v>
      </c>
      <c r="CF54" s="35">
        <f t="shared" si="330"/>
        <v>1.3496337890625001</v>
      </c>
      <c r="CG54" s="35">
        <f t="shared" si="331"/>
        <v>1.349334716796875</v>
      </c>
      <c r="CH54" s="35">
        <f t="shared" si="332"/>
        <v>1.55164839266142E-5</v>
      </c>
      <c r="CI54" s="35">
        <f t="shared" si="333"/>
        <v>1.349334716796875</v>
      </c>
      <c r="CJ54" s="35">
        <f t="shared" si="334"/>
        <v>1.3496337890625001</v>
      </c>
      <c r="CK54" s="35">
        <f t="shared" si="335"/>
        <v>1.3494842529296875</v>
      </c>
      <c r="CL54" s="35">
        <f t="shared" si="336"/>
        <v>7.6633770935696788E-6</v>
      </c>
      <c r="CM54" s="35">
        <f t="shared" si="337"/>
        <v>1.3494842529296875</v>
      </c>
      <c r="CN54" s="35">
        <f t="shared" si="338"/>
        <v>1.3496337890625001</v>
      </c>
      <c r="CO54" s="35">
        <f t="shared" si="339"/>
        <v>1.3495590209960939</v>
      </c>
      <c r="CP54" s="35">
        <f t="shared" si="340"/>
        <v>3.7379695876360586E-6</v>
      </c>
      <c r="CQ54" s="35">
        <f t="shared" si="341"/>
        <v>1.3495590209960939</v>
      </c>
      <c r="CR54" s="35">
        <f t="shared" si="342"/>
        <v>1.3496337890625001</v>
      </c>
      <c r="CS54" s="35">
        <f t="shared" si="343"/>
        <v>1.349596405029297</v>
      </c>
      <c r="CT54" s="35">
        <f t="shared" si="344"/>
        <v>1.7755522323525952E-6</v>
      </c>
      <c r="CU54" s="35">
        <f t="shared" si="345"/>
        <v>1.349596405029297</v>
      </c>
      <c r="CV54" s="35">
        <f t="shared" si="346"/>
        <v>1.3496337890625001</v>
      </c>
      <c r="CW54" s="35">
        <f t="shared" si="347"/>
        <v>1.3496150970458984</v>
      </c>
      <c r="CX54" s="35">
        <f t="shared" si="348"/>
        <v>7.9441514433398197E-7</v>
      </c>
      <c r="CY54" s="35">
        <f t="shared" si="349"/>
        <v>1.3496150970458984</v>
      </c>
      <c r="CZ54" s="35">
        <f t="shared" si="350"/>
        <v>1.3496337890625001</v>
      </c>
      <c r="DA54" s="35">
        <f t="shared" si="351"/>
        <v>1.3496244430541993</v>
      </c>
      <c r="DB54" s="35">
        <f t="shared" si="352"/>
        <v>3.0386449645369851E-7</v>
      </c>
      <c r="DC54" s="35">
        <f t="shared" si="353"/>
        <v>1.3496244430541993</v>
      </c>
      <c r="DD54" s="35">
        <f t="shared" si="354"/>
        <v>1.3496337890625001</v>
      </c>
      <c r="DE54" s="35">
        <f t="shared" si="355"/>
        <v>1.3496291160583498</v>
      </c>
      <c r="DF54" s="35">
        <f t="shared" si="356"/>
        <v>5.8593646157234502E-8</v>
      </c>
      <c r="DG54" s="35">
        <f t="shared" si="357"/>
        <v>1.3496291160583498</v>
      </c>
      <c r="DH54" s="35">
        <f t="shared" si="358"/>
        <v>1.3496337890625001</v>
      </c>
      <c r="DI54" s="35">
        <f t="shared" si="359"/>
        <v>1.3496314525604249</v>
      </c>
      <c r="DJ54" s="35">
        <f t="shared" si="360"/>
        <v>-6.404066044130019E-8</v>
      </c>
      <c r="DK54" s="35">
        <f t="shared" si="361"/>
        <v>1.3496291160583498</v>
      </c>
      <c r="DL54" s="35">
        <f t="shared" si="362"/>
        <v>1.3496314525604249</v>
      </c>
      <c r="DM54" s="35">
        <f t="shared" si="363"/>
        <v>1.3496302843093875</v>
      </c>
      <c r="DN54" s="35">
        <f t="shared" si="364"/>
        <v>-2.7236002342334587E-9</v>
      </c>
      <c r="DO54" s="35">
        <f t="shared" si="365"/>
        <v>1.3496291160583498</v>
      </c>
      <c r="DP54" s="35">
        <f t="shared" si="366"/>
        <v>1.3496302843093875</v>
      </c>
      <c r="DQ54" s="35">
        <f t="shared" si="367"/>
        <v>1.3496297001838686</v>
      </c>
      <c r="DR54" s="35">
        <f t="shared" si="368"/>
        <v>2.7934999646817005E-8</v>
      </c>
      <c r="DS54" s="35">
        <f t="shared" si="369"/>
        <v>1.3496297001838686</v>
      </c>
      <c r="DT54" s="35">
        <f t="shared" si="370"/>
        <v>1.3496302843093875</v>
      </c>
      <c r="DU54" s="35">
        <f t="shared" si="371"/>
        <v>1.3496299922466282</v>
      </c>
      <c r="DV54" s="35">
        <f t="shared" si="372"/>
        <v>1.2605693822109743E-8</v>
      </c>
      <c r="DW54" s="35">
        <f t="shared" si="373"/>
        <v>1.3496299922466282</v>
      </c>
      <c r="DX54" s="35">
        <f t="shared" si="374"/>
        <v>1.3496302843093875</v>
      </c>
      <c r="DY54" s="35">
        <f t="shared" si="375"/>
        <v>1.3496301382780078</v>
      </c>
      <c r="DZ54" s="35">
        <f t="shared" si="376"/>
        <v>4.9410453506482099E-9</v>
      </c>
      <c r="EA54" s="35">
        <f t="shared" si="377"/>
        <v>1.3496301382780078</v>
      </c>
      <c r="EB54" s="35">
        <f t="shared" si="378"/>
        <v>1.3496302843093875</v>
      </c>
      <c r="EC54" s="35">
        <f t="shared" si="379"/>
        <v>1.3496302112936975</v>
      </c>
      <c r="ED54" s="35">
        <f t="shared" si="380"/>
        <v>1.1087222251404683E-9</v>
      </c>
      <c r="EE54" s="35">
        <f t="shared" si="381"/>
        <v>1.3496302112936975</v>
      </c>
      <c r="EF54" s="35">
        <f t="shared" si="382"/>
        <v>1.3496302843093875</v>
      </c>
      <c r="EG54" s="35">
        <f t="shared" si="383"/>
        <v>1.3496302478015425</v>
      </c>
      <c r="EH54" s="35">
        <f t="shared" si="384"/>
        <v>-8.0743911556879766E-10</v>
      </c>
      <c r="EI54" s="35">
        <f t="shared" si="385"/>
        <v>1.3496302112936975</v>
      </c>
      <c r="EJ54" s="35">
        <f t="shared" si="386"/>
        <v>1.3496302478015425</v>
      </c>
      <c r="EK54" s="35">
        <f t="shared" si="387"/>
        <v>1.3496302295476199</v>
      </c>
      <c r="EL54" s="35">
        <f t="shared" si="388"/>
        <v>1.5064149927468407E-10</v>
      </c>
      <c r="EM54" s="35">
        <f t="shared" si="389"/>
        <v>1.3496302295476199</v>
      </c>
      <c r="EN54" s="35">
        <f t="shared" si="390"/>
        <v>1.3496302478015425</v>
      </c>
      <c r="EO54" s="35">
        <f t="shared" si="391"/>
        <v>1.3496302386745813</v>
      </c>
      <c r="EP54" s="35">
        <f t="shared" si="392"/>
        <v>-3.2839886365820803E-10</v>
      </c>
      <c r="EQ54" s="35">
        <f t="shared" si="393"/>
        <v>1.3496302295476199</v>
      </c>
      <c r="ER54" s="35">
        <f t="shared" si="394"/>
        <v>1.3496302386745813</v>
      </c>
      <c r="ES54" s="35">
        <f t="shared" si="395"/>
        <v>1.3496302341111006</v>
      </c>
      <c r="ET54" s="35">
        <f t="shared" si="396"/>
        <v>-8.8878571169459519E-11</v>
      </c>
      <c r="EU54" s="35">
        <f t="shared" si="397"/>
        <v>1.3496302295476199</v>
      </c>
      <c r="EV54" s="35">
        <f t="shared" si="398"/>
        <v>1.3496302341111006</v>
      </c>
      <c r="EW54" s="35">
        <f t="shared" si="399"/>
        <v>1.3496302318293603</v>
      </c>
      <c r="EX54" s="35">
        <f t="shared" si="400"/>
        <v>3.0881519563763504E-11</v>
      </c>
      <c r="EY54" s="35">
        <f t="shared" si="401"/>
        <v>1.3496302318293603</v>
      </c>
      <c r="EZ54" s="35">
        <f t="shared" si="402"/>
        <v>1.3496302341111006</v>
      </c>
      <c r="FA54" s="10">
        <v>9.9999999999999995E-7</v>
      </c>
      <c r="FB54" s="10">
        <v>0.99990000000000001</v>
      </c>
      <c r="FC54" s="35">
        <f t="shared" si="403"/>
        <v>0.49995050000000002</v>
      </c>
      <c r="FD54" s="35">
        <f t="shared" si="404"/>
        <v>-2.9876349712175232E-2</v>
      </c>
      <c r="FE54" s="35">
        <f t="shared" si="405"/>
        <v>9.9999999999999995E-7</v>
      </c>
      <c r="FF54" s="35">
        <f t="shared" si="406"/>
        <v>0.49995050000000002</v>
      </c>
      <c r="FG54" s="35">
        <f t="shared" si="407"/>
        <v>0.24997575</v>
      </c>
      <c r="FH54" s="35">
        <f t="shared" si="408"/>
        <v>-2.2059326246176458E-2</v>
      </c>
      <c r="FI54" s="35">
        <f t="shared" si="409"/>
        <v>9.9999999999999995E-7</v>
      </c>
      <c r="FJ54" s="35">
        <f t="shared" si="410"/>
        <v>0.24997575</v>
      </c>
      <c r="FK54" s="35">
        <f t="shared" si="411"/>
        <v>0.124988375</v>
      </c>
      <c r="FL54" s="35">
        <f t="shared" si="412"/>
        <v>-1.4582790195949102E-2</v>
      </c>
      <c r="FM54" s="35">
        <f t="shared" si="413"/>
        <v>9.9999999999999995E-7</v>
      </c>
      <c r="FN54" s="35">
        <f t="shared" si="414"/>
        <v>0.124988375</v>
      </c>
      <c r="FO54" s="35">
        <f t="shared" si="415"/>
        <v>6.24946875E-2</v>
      </c>
      <c r="FP54" s="35">
        <f t="shared" si="416"/>
        <v>-5.7500747583177914E-3</v>
      </c>
      <c r="FQ54" s="35">
        <f t="shared" si="417"/>
        <v>9.9999999999999995E-7</v>
      </c>
      <c r="FR54" s="35">
        <f t="shared" si="418"/>
        <v>6.24946875E-2</v>
      </c>
      <c r="FS54" s="35">
        <f t="shared" si="419"/>
        <v>3.124784375E-2</v>
      </c>
      <c r="FT54" s="35">
        <f t="shared" si="420"/>
        <v>2.5297872428620138E-3</v>
      </c>
      <c r="FU54" s="35">
        <f t="shared" si="421"/>
        <v>3.124784375E-2</v>
      </c>
      <c r="FV54" s="35">
        <f t="shared" si="422"/>
        <v>6.24946875E-2</v>
      </c>
      <c r="FW54" s="35">
        <f t="shared" si="423"/>
        <v>4.6871265624999998E-2</v>
      </c>
      <c r="FX54" s="35">
        <f t="shared" si="424"/>
        <v>-2.0852439215566232E-3</v>
      </c>
      <c r="FY54" s="35">
        <f t="shared" si="425"/>
        <v>3.124784375E-2</v>
      </c>
      <c r="FZ54" s="35">
        <f t="shared" si="426"/>
        <v>4.6871265624999998E-2</v>
      </c>
      <c r="GA54" s="35">
        <f t="shared" si="427"/>
        <v>3.9059554687499998E-2</v>
      </c>
      <c r="GB54" s="35">
        <f t="shared" si="428"/>
        <v>9.0114237432992184E-5</v>
      </c>
      <c r="GC54" s="35">
        <f t="shared" si="429"/>
        <v>3.9059554687499998E-2</v>
      </c>
      <c r="GD54" s="35">
        <f t="shared" si="430"/>
        <v>4.6871265624999998E-2</v>
      </c>
      <c r="GE54" s="35">
        <f t="shared" si="431"/>
        <v>4.2965410156249995E-2</v>
      </c>
      <c r="GF54" s="35">
        <f t="shared" si="432"/>
        <v>-1.0289584930878171E-3</v>
      </c>
      <c r="GG54" s="35">
        <f t="shared" si="433"/>
        <v>3.9059554687499998E-2</v>
      </c>
      <c r="GH54" s="35">
        <f t="shared" si="434"/>
        <v>4.2965410156249995E-2</v>
      </c>
      <c r="GI54" s="35">
        <f t="shared" si="435"/>
        <v>4.1012482421874996E-2</v>
      </c>
      <c r="GJ54" s="35">
        <f t="shared" si="436"/>
        <v>-4.7748052517981865E-4</v>
      </c>
      <c r="GK54" s="35">
        <f t="shared" si="437"/>
        <v>3.9059554687499998E-2</v>
      </c>
      <c r="GL54" s="35">
        <f t="shared" si="438"/>
        <v>4.1012482421874996E-2</v>
      </c>
      <c r="GM54" s="35">
        <f t="shared" si="439"/>
        <v>4.0036018554687497E-2</v>
      </c>
      <c r="GN54" s="35">
        <f t="shared" si="440"/>
        <v>-1.957237233812803E-4</v>
      </c>
      <c r="GO54" s="35">
        <f t="shared" si="441"/>
        <v>3.9059554687499998E-2</v>
      </c>
      <c r="GP54" s="35">
        <f t="shared" si="442"/>
        <v>4.0036018554687497E-2</v>
      </c>
      <c r="GQ54" s="35">
        <f t="shared" si="443"/>
        <v>3.9547786621093747E-2</v>
      </c>
      <c r="GR54" s="35">
        <f t="shared" si="444"/>
        <v>-5.3318113354516861E-5</v>
      </c>
      <c r="GS54" s="35">
        <f t="shared" si="445"/>
        <v>3.9059554687499998E-2</v>
      </c>
      <c r="GT54" s="35">
        <f t="shared" si="446"/>
        <v>3.9547786621093747E-2</v>
      </c>
      <c r="GU54" s="35">
        <f t="shared" si="447"/>
        <v>3.9303670654296873E-2</v>
      </c>
      <c r="GV54" s="35">
        <f t="shared" si="448"/>
        <v>1.8269317804353591E-5</v>
      </c>
      <c r="GW54" s="35">
        <f t="shared" si="449"/>
        <v>3.9303670654296873E-2</v>
      </c>
      <c r="GX54" s="35">
        <f t="shared" si="450"/>
        <v>3.9547786621093747E-2</v>
      </c>
      <c r="GY54" s="35">
        <f t="shared" si="451"/>
        <v>3.9425728637695306E-2</v>
      </c>
      <c r="GZ54" s="35">
        <f t="shared" si="452"/>
        <v>-1.7556533701390542E-5</v>
      </c>
      <c r="HA54" s="35">
        <f t="shared" si="453"/>
        <v>3.9303670654296873E-2</v>
      </c>
      <c r="HB54" s="35">
        <f t="shared" si="454"/>
        <v>3.9425728637695306E-2</v>
      </c>
      <c r="HC54" s="35">
        <f t="shared" si="455"/>
        <v>3.9364699645996093E-2</v>
      </c>
      <c r="HD54" s="35">
        <f t="shared" si="456"/>
        <v>3.483517989621987E-7</v>
      </c>
      <c r="HE54" s="35">
        <f t="shared" si="457"/>
        <v>3.9364699645996093E-2</v>
      </c>
      <c r="HF54" s="35">
        <f t="shared" si="458"/>
        <v>3.9425728637695306E-2</v>
      </c>
      <c r="HG54" s="35">
        <f t="shared" si="459"/>
        <v>3.93952141418457E-2</v>
      </c>
      <c r="HH54" s="35">
        <f t="shared" si="460"/>
        <v>-8.6061002307902257E-6</v>
      </c>
      <c r="HI54" s="35">
        <f t="shared" si="461"/>
        <v>3.9364699645996093E-2</v>
      </c>
      <c r="HJ54" s="35">
        <f t="shared" si="462"/>
        <v>3.93952141418457E-2</v>
      </c>
      <c r="HK54" s="35">
        <f t="shared" si="463"/>
        <v>3.9379956893920896E-2</v>
      </c>
      <c r="HL54" s="35">
        <f t="shared" si="464"/>
        <v>-4.1293766339656202E-6</v>
      </c>
      <c r="HM54" s="35">
        <f t="shared" si="465"/>
        <v>3.9364699645996093E-2</v>
      </c>
      <c r="HN54" s="35">
        <f t="shared" si="466"/>
        <v>3.9379956893920896E-2</v>
      </c>
      <c r="HO54" s="35">
        <f t="shared" si="467"/>
        <v>3.9372328269958498E-2</v>
      </c>
      <c r="HP54" s="35">
        <f t="shared" si="468"/>
        <v>-1.8906380342409435E-6</v>
      </c>
      <c r="HQ54" s="35">
        <f t="shared" si="469"/>
        <v>3.9364699645996093E-2</v>
      </c>
      <c r="HR54" s="35">
        <f t="shared" si="470"/>
        <v>3.9372328269958498E-2</v>
      </c>
      <c r="HS54" s="35">
        <f t="shared" si="471"/>
        <v>3.9368513957977296E-2</v>
      </c>
      <c r="HT54" s="35">
        <f t="shared" si="472"/>
        <v>-7.7117452335073722E-7</v>
      </c>
      <c r="HU54" s="35">
        <f t="shared" si="473"/>
        <v>3.9364699645996093E-2</v>
      </c>
      <c r="HV54" s="35">
        <f t="shared" si="474"/>
        <v>3.9368513957977296E-2</v>
      </c>
      <c r="HW54" s="35">
        <f t="shared" si="475"/>
        <v>3.9366606801986698E-2</v>
      </c>
      <c r="HX54" s="35">
        <f t="shared" si="476"/>
        <v>-2.1141921402456632E-7</v>
      </c>
      <c r="HY54" s="35">
        <f t="shared" si="477"/>
        <v>3.9364699645996093E-2</v>
      </c>
      <c r="HZ54" s="35">
        <f t="shared" si="478"/>
        <v>3.9366606801986698E-2</v>
      </c>
      <c r="IA54" s="35">
        <f t="shared" si="479"/>
        <v>3.9365653223991395E-2</v>
      </c>
      <c r="IB54" s="35">
        <f t="shared" si="480"/>
        <v>6.8464329316952899E-8</v>
      </c>
      <c r="IC54" s="35">
        <f t="shared" si="481"/>
        <v>3.9365653223991395E-2</v>
      </c>
      <c r="ID54" s="35">
        <f t="shared" si="482"/>
        <v>3.9366606801986698E-2</v>
      </c>
      <c r="IE54" s="35">
        <f t="shared" si="483"/>
        <v>3.9366130012989047E-2</v>
      </c>
      <c r="IF54" s="35">
        <f t="shared" si="484"/>
        <v>-7.1477933016872441E-8</v>
      </c>
      <c r="IG54" s="35">
        <f t="shared" si="485"/>
        <v>3.9365653223991395E-2</v>
      </c>
      <c r="IH54" s="35">
        <f t="shared" si="486"/>
        <v>3.9366130012989047E-2</v>
      </c>
      <c r="II54" s="35">
        <f t="shared" si="487"/>
        <v>3.9365891618490217E-2</v>
      </c>
      <c r="IJ54" s="35">
        <f t="shared" si="488"/>
        <v>-1.5069244740928411E-9</v>
      </c>
      <c r="IK54" s="35">
        <f t="shared" si="489"/>
        <v>3.9365653223991395E-2</v>
      </c>
      <c r="IL54" s="35">
        <f t="shared" si="490"/>
        <v>3.9365891618490217E-2</v>
      </c>
      <c r="IM54" s="35">
        <f t="shared" si="491"/>
        <v>3.9365772421240806E-2</v>
      </c>
      <c r="IN54" s="35">
        <f t="shared" si="492"/>
        <v>3.34786718347857E-8</v>
      </c>
      <c r="IO54" s="35">
        <f t="shared" si="493"/>
        <v>3.9365772421240806E-2</v>
      </c>
      <c r="IP54" s="35">
        <f t="shared" si="494"/>
        <v>3.9365891618490217E-2</v>
      </c>
      <c r="IQ54" s="35">
        <f t="shared" si="495"/>
        <v>3.9365832019865515E-2</v>
      </c>
      <c r="IR54" s="35">
        <f t="shared" si="496"/>
        <v>1.5985865964296408E-8</v>
      </c>
      <c r="IS54" s="35">
        <f t="shared" si="497"/>
        <v>3.9365832019865515E-2</v>
      </c>
      <c r="IT54" s="35">
        <f t="shared" si="498"/>
        <v>3.9365891618490217E-2</v>
      </c>
      <c r="IU54" s="35">
        <f t="shared" si="499"/>
        <v>3.9365861819177866E-2</v>
      </c>
      <c r="IV54" s="35">
        <f t="shared" si="500"/>
        <v>7.2394690242560955E-9</v>
      </c>
      <c r="IW54" s="35">
        <f t="shared" si="501"/>
        <v>3.9365861819177866E-2</v>
      </c>
      <c r="IX54" s="35">
        <f t="shared" si="502"/>
        <v>3.9365891618490217E-2</v>
      </c>
      <c r="IY54" s="35">
        <f t="shared" si="503"/>
        <v>3.9365876718834042E-2</v>
      </c>
      <c r="IZ54" s="35">
        <f t="shared" si="504"/>
        <v>2.8662716644589636E-9</v>
      </c>
      <c r="JA54" s="35">
        <f t="shared" si="505"/>
        <v>3.9365876718834042E-2</v>
      </c>
      <c r="JB54" s="35">
        <f t="shared" si="506"/>
        <v>3.9365891618490217E-2</v>
      </c>
      <c r="JC54" s="35">
        <f t="shared" si="507"/>
        <v>3.936588416866213E-2</v>
      </c>
      <c r="JD54" s="35">
        <f t="shared" si="508"/>
        <v>6.7967342864960756E-10</v>
      </c>
      <c r="JE54" s="35">
        <f t="shared" si="509"/>
        <v>3.936588416866213E-2</v>
      </c>
      <c r="JF54" s="35">
        <f t="shared" si="510"/>
        <v>3.9365891618490217E-2</v>
      </c>
      <c r="JG54" s="35">
        <f t="shared" si="511"/>
        <v>3.9365887893576174E-2</v>
      </c>
      <c r="JH54" s="35">
        <f t="shared" si="512"/>
        <v>-4.1362546721046556E-10</v>
      </c>
      <c r="JI54" s="35">
        <f t="shared" si="513"/>
        <v>3.936588416866213E-2</v>
      </c>
      <c r="JJ54" s="35">
        <f t="shared" si="514"/>
        <v>3.9365887893576174E-2</v>
      </c>
      <c r="JK54" s="35">
        <f t="shared" si="515"/>
        <v>3.9365886031119152E-2</v>
      </c>
      <c r="JL54" s="35">
        <f t="shared" si="516"/>
        <v>1.3302403623072223E-10</v>
      </c>
      <c r="JM54" s="35">
        <f t="shared" si="517"/>
        <v>3.9365886031119152E-2</v>
      </c>
      <c r="JN54" s="35">
        <f t="shared" si="518"/>
        <v>3.9365887893576174E-2</v>
      </c>
      <c r="JO54" s="35">
        <f t="shared" si="519"/>
        <v>3.9365886962347663E-2</v>
      </c>
      <c r="JP54" s="35">
        <f t="shared" si="520"/>
        <v>-1.4030077100102289E-10</v>
      </c>
      <c r="JQ54" s="35">
        <f t="shared" si="521"/>
        <v>3.9365886031119152E-2</v>
      </c>
      <c r="JR54" s="35">
        <f t="shared" si="522"/>
        <v>3.9365886962347663E-2</v>
      </c>
      <c r="JS54" s="35">
        <f t="shared" si="523"/>
        <v>3.9365886496733407E-2</v>
      </c>
      <c r="JT54" s="35">
        <f t="shared" si="524"/>
        <v>-3.638422896301563E-12</v>
      </c>
      <c r="JU54" s="35">
        <f t="shared" si="525"/>
        <v>3.9365886031119152E-2</v>
      </c>
      <c r="JV54" s="35">
        <f t="shared" si="526"/>
        <v>3.9365886496733407E-2</v>
      </c>
      <c r="JW54" s="35">
        <f t="shared" si="527"/>
        <v>3.9365886263926279E-2</v>
      </c>
      <c r="JX54" s="35">
        <f t="shared" si="528"/>
        <v>6.4692695644907872E-11</v>
      </c>
      <c r="JY54" s="35">
        <f t="shared" si="529"/>
        <v>3.9365886263926279E-2</v>
      </c>
      <c r="JZ54" s="35">
        <f t="shared" si="530"/>
        <v>3.9365886496733407E-2</v>
      </c>
      <c r="KA54" s="35">
        <f t="shared" si="531"/>
        <v>1.3496302329702305</v>
      </c>
      <c r="KB54" s="35">
        <f t="shared" si="532"/>
        <v>3.936588638032984E-2</v>
      </c>
    </row>
    <row r="55" spans="1:288" ht="15" customHeight="1" x14ac:dyDescent="0.3">
      <c r="A55" s="30">
        <f>Odds_Input!A55</f>
        <v>47</v>
      </c>
      <c r="B55" s="7" t="str">
        <f>Odds_Input!B55</f>
        <v>CONF_WEST</v>
      </c>
      <c r="C55" s="7" t="str">
        <f>Odds_Input!C55</f>
        <v>Golden State Warriors</v>
      </c>
      <c r="D55" s="7" t="str">
        <f>Odds_Input!D55</f>
        <v>YES</v>
      </c>
      <c r="E55" s="31" t="str">
        <f>Odds_Input!E55</f>
        <v>-</v>
      </c>
      <c r="F55" s="32">
        <f>Odds_Input!F55</f>
        <v>2600</v>
      </c>
      <c r="G55" s="6" t="str">
        <f t="shared" si="0"/>
        <v>CONF_WEST</v>
      </c>
      <c r="H55" s="14">
        <f t="shared" si="1"/>
        <v>27</v>
      </c>
      <c r="I55" s="33">
        <f t="shared" si="2"/>
        <v>3.7037037037037035E-2</v>
      </c>
      <c r="J55" s="17">
        <f t="shared" si="3"/>
        <v>1</v>
      </c>
      <c r="K55" s="17">
        <f t="shared" si="4"/>
        <v>15</v>
      </c>
      <c r="L55" s="18">
        <f t="shared" si="5"/>
        <v>1.1953442022676133</v>
      </c>
      <c r="M55" s="34">
        <f t="shared" si="6"/>
        <v>0.19534420226761329</v>
      </c>
      <c r="N55" s="33">
        <f t="shared" si="7"/>
        <v>3.098441182613039E-2</v>
      </c>
      <c r="O55" s="33">
        <f t="shared" si="8"/>
        <v>2.4862078867366699E-2</v>
      </c>
      <c r="P55" s="33">
        <f t="shared" si="9"/>
        <v>2.5539332882962097E-2</v>
      </c>
      <c r="Q55" s="33">
        <f t="shared" si="10"/>
        <v>2.5539332882962097E-2</v>
      </c>
      <c r="R55" s="35">
        <f t="shared" si="11"/>
        <v>1.120932777808048</v>
      </c>
      <c r="S55" s="35">
        <f t="shared" si="12"/>
        <v>1.9902430363003976E-2</v>
      </c>
      <c r="X55" s="6" t="s">
        <v>830</v>
      </c>
      <c r="Y55" s="6">
        <f t="shared" si="273"/>
        <v>1</v>
      </c>
      <c r="Z55" s="18">
        <f t="shared" si="274"/>
        <v>1.0569530137636449</v>
      </c>
      <c r="AA55" s="10">
        <v>0.2</v>
      </c>
      <c r="AB55" s="10">
        <v>10</v>
      </c>
      <c r="AC55" s="35">
        <f t="shared" si="275"/>
        <v>5.0999999999999996</v>
      </c>
      <c r="AD55" s="35">
        <f t="shared" si="276"/>
        <v>-0.9109349206582118</v>
      </c>
      <c r="AE55" s="35">
        <f t="shared" si="277"/>
        <v>0.2</v>
      </c>
      <c r="AF55" s="35">
        <f t="shared" si="278"/>
        <v>5.0999999999999996</v>
      </c>
      <c r="AG55" s="35">
        <f t="shared" si="279"/>
        <v>2.65</v>
      </c>
      <c r="AH55" s="35">
        <f t="shared" si="280"/>
        <v>-0.6193881485744277</v>
      </c>
      <c r="AI55" s="35">
        <f t="shared" si="281"/>
        <v>0.2</v>
      </c>
      <c r="AJ55" s="35">
        <f t="shared" si="282"/>
        <v>2.65</v>
      </c>
      <c r="AK55" s="35">
        <f t="shared" si="283"/>
        <v>1.425</v>
      </c>
      <c r="AL55" s="35">
        <f t="shared" si="284"/>
        <v>-0.19047570374797596</v>
      </c>
      <c r="AM55" s="35">
        <f t="shared" si="285"/>
        <v>0.2</v>
      </c>
      <c r="AN55" s="35">
        <f t="shared" si="286"/>
        <v>1.425</v>
      </c>
      <c r="AO55" s="35">
        <f t="shared" si="287"/>
        <v>0.8125</v>
      </c>
      <c r="AP55" s="35">
        <f t="shared" si="288"/>
        <v>0.18990174806099547</v>
      </c>
      <c r="AQ55" s="35">
        <f t="shared" si="289"/>
        <v>0.8125</v>
      </c>
      <c r="AR55" s="35">
        <f t="shared" si="290"/>
        <v>1.425</v>
      </c>
      <c r="AS55" s="35">
        <f t="shared" si="291"/>
        <v>1.1187499999999999</v>
      </c>
      <c r="AT55" s="35">
        <f t="shared" si="292"/>
        <v>-1.9200397119986889E-2</v>
      </c>
      <c r="AU55" s="35">
        <f t="shared" si="293"/>
        <v>0.8125</v>
      </c>
      <c r="AV55" s="35">
        <f t="shared" si="294"/>
        <v>1.1187499999999999</v>
      </c>
      <c r="AW55" s="35">
        <f t="shared" si="295"/>
        <v>0.96562499999999996</v>
      </c>
      <c r="AX55" s="35">
        <f t="shared" si="296"/>
        <v>8.0121949769441869E-2</v>
      </c>
      <c r="AY55" s="35">
        <f t="shared" si="297"/>
        <v>0.96562499999999996</v>
      </c>
      <c r="AZ55" s="35">
        <f t="shared" si="298"/>
        <v>1.1187499999999999</v>
      </c>
      <c r="BA55" s="35">
        <f t="shared" si="299"/>
        <v>1.0421874999999998</v>
      </c>
      <c r="BB55" s="35">
        <f t="shared" si="300"/>
        <v>2.9220318097876952E-2</v>
      </c>
      <c r="BC55" s="35">
        <f t="shared" si="301"/>
        <v>1.0421874999999998</v>
      </c>
      <c r="BD55" s="35">
        <f t="shared" si="302"/>
        <v>1.1187499999999999</v>
      </c>
      <c r="BE55" s="35">
        <f t="shared" si="303"/>
        <v>1.0804687499999999</v>
      </c>
      <c r="BF55" s="35">
        <f t="shared" si="304"/>
        <v>4.7078029540372768E-3</v>
      </c>
      <c r="BG55" s="35">
        <f t="shared" si="305"/>
        <v>1.0804687499999999</v>
      </c>
      <c r="BH55" s="35">
        <f t="shared" si="306"/>
        <v>1.1187499999999999</v>
      </c>
      <c r="BI55" s="35">
        <f t="shared" si="307"/>
        <v>1.099609375</v>
      </c>
      <c r="BJ55" s="35">
        <f t="shared" si="308"/>
        <v>-7.3208648309586177E-3</v>
      </c>
      <c r="BK55" s="35">
        <f t="shared" si="309"/>
        <v>1.0804687499999999</v>
      </c>
      <c r="BL55" s="35">
        <f t="shared" si="310"/>
        <v>1.099609375</v>
      </c>
      <c r="BM55" s="35">
        <f t="shared" si="311"/>
        <v>1.0900390624999998</v>
      </c>
      <c r="BN55" s="35">
        <f t="shared" si="312"/>
        <v>-1.3252933216195695E-3</v>
      </c>
      <c r="BO55" s="35">
        <f t="shared" si="313"/>
        <v>1.0804687499999999</v>
      </c>
      <c r="BP55" s="35">
        <f t="shared" si="314"/>
        <v>1.0900390624999998</v>
      </c>
      <c r="BQ55" s="35">
        <f t="shared" si="315"/>
        <v>1.0852539062499997</v>
      </c>
      <c r="BR55" s="35">
        <f t="shared" si="316"/>
        <v>1.6865490769630842E-3</v>
      </c>
      <c r="BS55" s="35">
        <f t="shared" si="317"/>
        <v>1.0852539062499997</v>
      </c>
      <c r="BT55" s="35">
        <f t="shared" si="318"/>
        <v>1.0900390624999998</v>
      </c>
      <c r="BU55" s="35">
        <f t="shared" si="319"/>
        <v>1.0876464843749998</v>
      </c>
      <c r="BV55" s="35">
        <f t="shared" si="320"/>
        <v>1.794533397241338E-4</v>
      </c>
      <c r="BW55" s="35">
        <f t="shared" si="321"/>
        <v>1.0876464843749998</v>
      </c>
      <c r="BX55" s="35">
        <f t="shared" si="322"/>
        <v>1.0900390624999998</v>
      </c>
      <c r="BY55" s="35">
        <f t="shared" si="323"/>
        <v>1.0888427734374999</v>
      </c>
      <c r="BZ55" s="35">
        <f t="shared" si="324"/>
        <v>-5.732133886713342E-4</v>
      </c>
      <c r="CA55" s="35">
        <f t="shared" si="325"/>
        <v>1.0876464843749998</v>
      </c>
      <c r="CB55" s="35">
        <f t="shared" si="326"/>
        <v>1.0888427734374999</v>
      </c>
      <c r="CC55" s="35">
        <f t="shared" si="327"/>
        <v>1.0882446289062497</v>
      </c>
      <c r="CD55" s="35">
        <f t="shared" si="328"/>
        <v>-1.9695340348446777E-4</v>
      </c>
      <c r="CE55" s="35">
        <f t="shared" si="329"/>
        <v>1.0876464843749998</v>
      </c>
      <c r="CF55" s="35">
        <f t="shared" si="330"/>
        <v>1.0882446289062497</v>
      </c>
      <c r="CG55" s="35">
        <f t="shared" si="331"/>
        <v>1.0879455566406246</v>
      </c>
      <c r="CH55" s="35">
        <f t="shared" si="332"/>
        <v>-8.7683803315918851E-6</v>
      </c>
      <c r="CI55" s="35">
        <f t="shared" si="333"/>
        <v>1.0876464843749998</v>
      </c>
      <c r="CJ55" s="35">
        <f t="shared" si="334"/>
        <v>1.0879455566406246</v>
      </c>
      <c r="CK55" s="35">
        <f t="shared" si="335"/>
        <v>1.0877960205078123</v>
      </c>
      <c r="CL55" s="35">
        <f t="shared" si="336"/>
        <v>8.5337892120840309E-5</v>
      </c>
      <c r="CM55" s="35">
        <f t="shared" si="337"/>
        <v>1.0877960205078123</v>
      </c>
      <c r="CN55" s="35">
        <f t="shared" si="338"/>
        <v>1.0879455566406246</v>
      </c>
      <c r="CO55" s="35">
        <f t="shared" si="339"/>
        <v>1.0878707885742185</v>
      </c>
      <c r="CP55" s="35">
        <f t="shared" si="340"/>
        <v>3.828360905866468E-5</v>
      </c>
      <c r="CQ55" s="35">
        <f t="shared" si="341"/>
        <v>1.0878707885742185</v>
      </c>
      <c r="CR55" s="35">
        <f t="shared" si="342"/>
        <v>1.0879455566406246</v>
      </c>
      <c r="CS55" s="35">
        <f t="shared" si="343"/>
        <v>1.0879081726074216</v>
      </c>
      <c r="CT55" s="35">
        <f t="shared" si="344"/>
        <v>1.4757327661651942E-5</v>
      </c>
      <c r="CU55" s="35">
        <f t="shared" si="345"/>
        <v>1.0879081726074216</v>
      </c>
      <c r="CV55" s="35">
        <f t="shared" si="346"/>
        <v>1.0879455566406246</v>
      </c>
      <c r="CW55" s="35">
        <f t="shared" si="347"/>
        <v>1.087926864624023</v>
      </c>
      <c r="CX55" s="35">
        <f t="shared" si="348"/>
        <v>2.994401990585871E-6</v>
      </c>
      <c r="CY55" s="35">
        <f t="shared" si="349"/>
        <v>1.087926864624023</v>
      </c>
      <c r="CZ55" s="35">
        <f t="shared" si="350"/>
        <v>1.0879455566406246</v>
      </c>
      <c r="DA55" s="35">
        <f t="shared" si="351"/>
        <v>1.0879362106323238</v>
      </c>
      <c r="DB55" s="35">
        <f t="shared" si="352"/>
        <v>-2.8870070891695576E-6</v>
      </c>
      <c r="DC55" s="35">
        <f t="shared" si="353"/>
        <v>1.087926864624023</v>
      </c>
      <c r="DD55" s="35">
        <f t="shared" si="354"/>
        <v>1.0879362106323238</v>
      </c>
      <c r="DE55" s="35">
        <f t="shared" si="355"/>
        <v>1.0879315376281733</v>
      </c>
      <c r="DF55" s="35">
        <f t="shared" si="356"/>
        <v>5.3692971180296922E-8</v>
      </c>
      <c r="DG55" s="35">
        <f t="shared" si="357"/>
        <v>1.0879315376281733</v>
      </c>
      <c r="DH55" s="35">
        <f t="shared" si="358"/>
        <v>1.0879362106323238</v>
      </c>
      <c r="DI55" s="35">
        <f t="shared" si="359"/>
        <v>1.0879338741302487</v>
      </c>
      <c r="DJ55" s="35">
        <f t="shared" si="360"/>
        <v>-1.4166581789876176E-6</v>
      </c>
      <c r="DK55" s="35">
        <f t="shared" si="361"/>
        <v>1.0879315376281733</v>
      </c>
      <c r="DL55" s="35">
        <f t="shared" si="362"/>
        <v>1.0879338741302487</v>
      </c>
      <c r="DM55" s="35">
        <f t="shared" si="363"/>
        <v>1.087932705879211</v>
      </c>
      <c r="DN55" s="35">
        <f t="shared" si="364"/>
        <v>-6.8148288379088484E-7</v>
      </c>
      <c r="DO55" s="35">
        <f t="shared" si="365"/>
        <v>1.0879315376281733</v>
      </c>
      <c r="DP55" s="35">
        <f t="shared" si="366"/>
        <v>1.087932705879211</v>
      </c>
      <c r="DQ55" s="35">
        <f t="shared" si="367"/>
        <v>1.0879321217536921</v>
      </c>
      <c r="DR55" s="35">
        <f t="shared" si="368"/>
        <v>-3.1389502630485566E-7</v>
      </c>
      <c r="DS55" s="35">
        <f t="shared" si="369"/>
        <v>1.0879315376281733</v>
      </c>
      <c r="DT55" s="35">
        <f t="shared" si="370"/>
        <v>1.0879321217536921</v>
      </c>
      <c r="DU55" s="35">
        <f t="shared" si="371"/>
        <v>1.0879318296909326</v>
      </c>
      <c r="DV55" s="35">
        <f t="shared" si="372"/>
        <v>-1.3010104504829201E-7</v>
      </c>
      <c r="DW55" s="35">
        <f t="shared" si="373"/>
        <v>1.0879315376281733</v>
      </c>
      <c r="DX55" s="35">
        <f t="shared" si="374"/>
        <v>1.0879318296909326</v>
      </c>
      <c r="DY55" s="35">
        <f t="shared" si="375"/>
        <v>1.087931683659553</v>
      </c>
      <c r="DZ55" s="35">
        <f t="shared" si="376"/>
        <v>-3.8204041374889641E-8</v>
      </c>
      <c r="EA55" s="35">
        <f t="shared" si="377"/>
        <v>1.0879315376281733</v>
      </c>
      <c r="EB55" s="35">
        <f t="shared" si="378"/>
        <v>1.087931683659553</v>
      </c>
      <c r="EC55" s="35">
        <f t="shared" si="379"/>
        <v>1.0879316106438632</v>
      </c>
      <c r="ED55" s="35">
        <f t="shared" si="380"/>
        <v>7.7444637369694647E-9</v>
      </c>
      <c r="EE55" s="35">
        <f t="shared" si="381"/>
        <v>1.0879316106438632</v>
      </c>
      <c r="EF55" s="35">
        <f t="shared" si="382"/>
        <v>1.087931683659553</v>
      </c>
      <c r="EG55" s="35">
        <f t="shared" si="383"/>
        <v>1.087931647151708</v>
      </c>
      <c r="EH55" s="35">
        <f t="shared" si="384"/>
        <v>-1.5229788985493542E-8</v>
      </c>
      <c r="EI55" s="35">
        <f t="shared" si="385"/>
        <v>1.0879316106438632</v>
      </c>
      <c r="EJ55" s="35">
        <f t="shared" si="386"/>
        <v>1.087931647151708</v>
      </c>
      <c r="EK55" s="35">
        <f t="shared" si="387"/>
        <v>1.0879316288977856</v>
      </c>
      <c r="EL55" s="35">
        <f t="shared" si="388"/>
        <v>-3.7426626242620387E-9</v>
      </c>
      <c r="EM55" s="35">
        <f t="shared" si="389"/>
        <v>1.0879316106438632</v>
      </c>
      <c r="EN55" s="35">
        <f t="shared" si="390"/>
        <v>1.0879316288977856</v>
      </c>
      <c r="EO55" s="35">
        <f t="shared" si="391"/>
        <v>1.0879316197708244</v>
      </c>
      <c r="EP55" s="35">
        <f t="shared" si="392"/>
        <v>2.000900556353713E-9</v>
      </c>
      <c r="EQ55" s="35">
        <f t="shared" si="393"/>
        <v>1.0879316197708244</v>
      </c>
      <c r="ER55" s="35">
        <f t="shared" si="394"/>
        <v>1.0879316288977856</v>
      </c>
      <c r="ES55" s="35">
        <f t="shared" si="395"/>
        <v>1.0879316243343049</v>
      </c>
      <c r="ET55" s="35">
        <f t="shared" si="396"/>
        <v>-8.7088103395416283E-10</v>
      </c>
      <c r="EU55" s="35">
        <f t="shared" si="397"/>
        <v>1.0879316197708244</v>
      </c>
      <c r="EV55" s="35">
        <f t="shared" si="398"/>
        <v>1.0879316243343049</v>
      </c>
      <c r="EW55" s="35">
        <f t="shared" si="399"/>
        <v>1.0879316220525648</v>
      </c>
      <c r="EX55" s="35">
        <f t="shared" si="400"/>
        <v>5.6500981671092632E-10</v>
      </c>
      <c r="EY55" s="35">
        <f t="shared" si="401"/>
        <v>1.0879316220525648</v>
      </c>
      <c r="EZ55" s="35">
        <f t="shared" si="402"/>
        <v>1.0879316243343049</v>
      </c>
      <c r="FA55" s="10">
        <v>9.9999999999999995E-7</v>
      </c>
      <c r="FB55" s="10">
        <v>0.99990000000000001</v>
      </c>
      <c r="FC55" s="35">
        <f t="shared" si="403"/>
        <v>0.49995050000000002</v>
      </c>
      <c r="FD55" s="35">
        <f t="shared" si="404"/>
        <v>-0.23256666233869649</v>
      </c>
      <c r="FE55" s="35">
        <f t="shared" si="405"/>
        <v>9.9999999999999995E-7</v>
      </c>
      <c r="FF55" s="35">
        <f t="shared" si="406"/>
        <v>0.49995050000000002</v>
      </c>
      <c r="FG55" s="35">
        <f t="shared" si="407"/>
        <v>0.24997575</v>
      </c>
      <c r="FH55" s="35">
        <f t="shared" si="408"/>
        <v>-9.9675197848658303E-2</v>
      </c>
      <c r="FI55" s="35">
        <f t="shared" si="409"/>
        <v>9.9999999999999995E-7</v>
      </c>
      <c r="FJ55" s="35">
        <f t="shared" si="410"/>
        <v>0.24997575</v>
      </c>
      <c r="FK55" s="35">
        <f t="shared" si="411"/>
        <v>0.124988375</v>
      </c>
      <c r="FL55" s="35">
        <f t="shared" si="412"/>
        <v>-3.4407676685041966E-2</v>
      </c>
      <c r="FM55" s="35">
        <f t="shared" si="413"/>
        <v>9.9999999999999995E-7</v>
      </c>
      <c r="FN55" s="35">
        <f t="shared" si="414"/>
        <v>0.124988375</v>
      </c>
      <c r="FO55" s="35">
        <f t="shared" si="415"/>
        <v>6.24946875E-2</v>
      </c>
      <c r="FP55" s="35">
        <f t="shared" si="416"/>
        <v>-2.7441118594294656E-3</v>
      </c>
      <c r="FQ55" s="35">
        <f t="shared" si="417"/>
        <v>9.9999999999999995E-7</v>
      </c>
      <c r="FR55" s="35">
        <f t="shared" si="418"/>
        <v>6.24946875E-2</v>
      </c>
      <c r="FS55" s="35">
        <f t="shared" si="419"/>
        <v>3.124784375E-2</v>
      </c>
      <c r="FT55" s="35">
        <f t="shared" si="420"/>
        <v>1.2780805124354089E-2</v>
      </c>
      <c r="FU55" s="35">
        <f t="shared" si="421"/>
        <v>3.124784375E-2</v>
      </c>
      <c r="FV55" s="35">
        <f t="shared" si="422"/>
        <v>6.24946875E-2</v>
      </c>
      <c r="FW55" s="35">
        <f t="shared" si="423"/>
        <v>4.6871265624999998E-2</v>
      </c>
      <c r="FX55" s="35">
        <f t="shared" si="424"/>
        <v>5.0455118846912672E-3</v>
      </c>
      <c r="FY55" s="35">
        <f t="shared" si="425"/>
        <v>4.6871265624999998E-2</v>
      </c>
      <c r="FZ55" s="35">
        <f t="shared" si="426"/>
        <v>6.24946875E-2</v>
      </c>
      <c r="GA55" s="35">
        <f t="shared" si="427"/>
        <v>5.4682976562499999E-2</v>
      </c>
      <c r="GB55" s="35">
        <f t="shared" si="428"/>
        <v>1.1573803335460653E-3</v>
      </c>
      <c r="GC55" s="35">
        <f t="shared" si="429"/>
        <v>5.4682976562499999E-2</v>
      </c>
      <c r="GD55" s="35">
        <f t="shared" si="430"/>
        <v>6.24946875E-2</v>
      </c>
      <c r="GE55" s="35">
        <f t="shared" si="431"/>
        <v>5.8588832031249996E-2</v>
      </c>
      <c r="GF55" s="35">
        <f t="shared" si="432"/>
        <v>-7.9170996870980836E-4</v>
      </c>
      <c r="GG55" s="35">
        <f t="shared" si="433"/>
        <v>5.4682976562499999E-2</v>
      </c>
      <c r="GH55" s="35">
        <f t="shared" si="434"/>
        <v>5.8588832031249996E-2</v>
      </c>
      <c r="GI55" s="35">
        <f t="shared" si="435"/>
        <v>5.6635904296874998E-2</v>
      </c>
      <c r="GJ55" s="35">
        <f t="shared" si="436"/>
        <v>1.8325093515136892E-4</v>
      </c>
      <c r="GK55" s="35">
        <f t="shared" si="437"/>
        <v>5.6635904296874998E-2</v>
      </c>
      <c r="GL55" s="35">
        <f t="shared" si="438"/>
        <v>5.8588832031249996E-2</v>
      </c>
      <c r="GM55" s="35">
        <f t="shared" si="439"/>
        <v>5.7612368164062497E-2</v>
      </c>
      <c r="GN55" s="35">
        <f t="shared" si="440"/>
        <v>-3.041258029653493E-4</v>
      </c>
      <c r="GO55" s="35">
        <f t="shared" si="441"/>
        <v>5.6635904296874998E-2</v>
      </c>
      <c r="GP55" s="35">
        <f t="shared" si="442"/>
        <v>5.7612368164062497E-2</v>
      </c>
      <c r="GQ55" s="35">
        <f t="shared" si="443"/>
        <v>5.7124136230468747E-2</v>
      </c>
      <c r="GR55" s="35">
        <f t="shared" si="444"/>
        <v>-6.0411477335264863E-5</v>
      </c>
      <c r="GS55" s="35">
        <f t="shared" si="445"/>
        <v>5.6635904296874998E-2</v>
      </c>
      <c r="GT55" s="35">
        <f t="shared" si="446"/>
        <v>5.7124136230468747E-2</v>
      </c>
      <c r="GU55" s="35">
        <f t="shared" si="447"/>
        <v>5.6880020263671872E-2</v>
      </c>
      <c r="GV55" s="35">
        <f t="shared" si="448"/>
        <v>6.1426221559690575E-5</v>
      </c>
      <c r="GW55" s="35">
        <f t="shared" si="449"/>
        <v>5.6880020263671872E-2</v>
      </c>
      <c r="GX55" s="35">
        <f t="shared" si="450"/>
        <v>5.7124136230468747E-2</v>
      </c>
      <c r="GY55" s="35">
        <f t="shared" si="451"/>
        <v>5.7002078247070306E-2</v>
      </c>
      <c r="GZ55" s="35">
        <f t="shared" si="452"/>
        <v>5.0899483694522019E-7</v>
      </c>
      <c r="HA55" s="35">
        <f t="shared" si="453"/>
        <v>5.7002078247070306E-2</v>
      </c>
      <c r="HB55" s="35">
        <f t="shared" si="454"/>
        <v>5.7124136230468747E-2</v>
      </c>
      <c r="HC55" s="35">
        <f t="shared" si="455"/>
        <v>5.7063107238769527E-2</v>
      </c>
      <c r="HD55" s="35">
        <f t="shared" si="456"/>
        <v>-2.9950835622738481E-5</v>
      </c>
      <c r="HE55" s="35">
        <f t="shared" si="457"/>
        <v>5.7002078247070306E-2</v>
      </c>
      <c r="HF55" s="35">
        <f t="shared" si="458"/>
        <v>5.7063107238769527E-2</v>
      </c>
      <c r="HG55" s="35">
        <f t="shared" si="459"/>
        <v>5.7032592742919913E-2</v>
      </c>
      <c r="HH55" s="35">
        <f t="shared" si="460"/>
        <v>-1.4720818979574446E-5</v>
      </c>
      <c r="HI55" s="35">
        <f t="shared" si="461"/>
        <v>5.7002078247070306E-2</v>
      </c>
      <c r="HJ55" s="35">
        <f t="shared" si="462"/>
        <v>5.7032592742919913E-2</v>
      </c>
      <c r="HK55" s="35">
        <f t="shared" si="463"/>
        <v>5.701733549499511E-2</v>
      </c>
      <c r="HL55" s="35">
        <f t="shared" si="464"/>
        <v>-7.1058867171513995E-6</v>
      </c>
      <c r="HM55" s="35">
        <f t="shared" si="465"/>
        <v>5.7002078247070306E-2</v>
      </c>
      <c r="HN55" s="35">
        <f t="shared" si="466"/>
        <v>5.701733549499511E-2</v>
      </c>
      <c r="HO55" s="35">
        <f t="shared" si="467"/>
        <v>5.7009706871032712E-2</v>
      </c>
      <c r="HP55" s="35">
        <f t="shared" si="468"/>
        <v>-3.2984396015622863E-6</v>
      </c>
      <c r="HQ55" s="35">
        <f t="shared" si="469"/>
        <v>5.7002078247070306E-2</v>
      </c>
      <c r="HR55" s="35">
        <f t="shared" si="470"/>
        <v>5.7009706871032712E-2</v>
      </c>
      <c r="HS55" s="35">
        <f t="shared" si="471"/>
        <v>5.7005892559051509E-2</v>
      </c>
      <c r="HT55" s="35">
        <f t="shared" si="472"/>
        <v>-1.3947207976316989E-6</v>
      </c>
      <c r="HU55" s="35">
        <f t="shared" si="473"/>
        <v>5.7002078247070306E-2</v>
      </c>
      <c r="HV55" s="35">
        <f t="shared" si="474"/>
        <v>5.7005892559051509E-2</v>
      </c>
      <c r="HW55" s="35">
        <f t="shared" si="475"/>
        <v>5.7003985403060911E-2</v>
      </c>
      <c r="HX55" s="35">
        <f t="shared" si="476"/>
        <v>-4.4286258427117531E-7</v>
      </c>
      <c r="HY55" s="35">
        <f t="shared" si="477"/>
        <v>5.7002078247070306E-2</v>
      </c>
      <c r="HZ55" s="35">
        <f t="shared" si="478"/>
        <v>5.7003985403060911E-2</v>
      </c>
      <c r="IA55" s="35">
        <f t="shared" si="479"/>
        <v>5.7003031825065609E-2</v>
      </c>
      <c r="IB55" s="35">
        <f t="shared" si="480"/>
        <v>3.3066225535449689E-8</v>
      </c>
      <c r="IC55" s="35">
        <f t="shared" si="481"/>
        <v>5.7003031825065609E-2</v>
      </c>
      <c r="ID55" s="35">
        <f t="shared" si="482"/>
        <v>5.7003985403060911E-2</v>
      </c>
      <c r="IE55" s="35">
        <f t="shared" si="483"/>
        <v>5.700350861406326E-2</v>
      </c>
      <c r="IF55" s="35">
        <f t="shared" si="484"/>
        <v>-2.0489815466540051E-7</v>
      </c>
      <c r="IG55" s="35">
        <f t="shared" si="485"/>
        <v>5.7003031825065609E-2</v>
      </c>
      <c r="IH55" s="35">
        <f t="shared" si="486"/>
        <v>5.700350861406326E-2</v>
      </c>
      <c r="II55" s="35">
        <f t="shared" si="487"/>
        <v>5.7003270219564431E-2</v>
      </c>
      <c r="IJ55" s="35">
        <f t="shared" si="488"/>
        <v>-8.5915958569771078E-8</v>
      </c>
      <c r="IK55" s="35">
        <f t="shared" si="489"/>
        <v>5.7003031825065609E-2</v>
      </c>
      <c r="IL55" s="35">
        <f t="shared" si="490"/>
        <v>5.7003270219564431E-2</v>
      </c>
      <c r="IM55" s="35">
        <f t="shared" si="491"/>
        <v>5.700315102231502E-2</v>
      </c>
      <c r="IN55" s="35">
        <f t="shared" si="492"/>
        <v>-2.642486496284846E-8</v>
      </c>
      <c r="IO55" s="35">
        <f t="shared" si="493"/>
        <v>5.7003031825065609E-2</v>
      </c>
      <c r="IP55" s="35">
        <f t="shared" si="494"/>
        <v>5.700315102231502E-2</v>
      </c>
      <c r="IQ55" s="35">
        <f t="shared" si="495"/>
        <v>5.7003091423690311E-2</v>
      </c>
      <c r="IR55" s="35">
        <f t="shared" si="496"/>
        <v>3.3206803973229171E-9</v>
      </c>
      <c r="IS55" s="35">
        <f t="shared" si="497"/>
        <v>5.7003091423690311E-2</v>
      </c>
      <c r="IT55" s="35">
        <f t="shared" si="498"/>
        <v>5.700315102231502E-2</v>
      </c>
      <c r="IU55" s="35">
        <f t="shared" si="499"/>
        <v>5.7003121223002662E-2</v>
      </c>
      <c r="IV55" s="35">
        <f t="shared" si="500"/>
        <v>-1.1552092282762771E-8</v>
      </c>
      <c r="IW55" s="35">
        <f t="shared" si="501"/>
        <v>5.7003091423690311E-2</v>
      </c>
      <c r="IX55" s="35">
        <f t="shared" si="502"/>
        <v>5.7003121223002662E-2</v>
      </c>
      <c r="IY55" s="35">
        <f t="shared" si="503"/>
        <v>5.7003106323346486E-2</v>
      </c>
      <c r="IZ55" s="35">
        <f t="shared" si="504"/>
        <v>-4.1157058872087759E-9</v>
      </c>
      <c r="JA55" s="35">
        <f t="shared" si="505"/>
        <v>5.7003091423690311E-2</v>
      </c>
      <c r="JB55" s="35">
        <f t="shared" si="506"/>
        <v>5.7003106323346486E-2</v>
      </c>
      <c r="JC55" s="35">
        <f t="shared" si="507"/>
        <v>5.7003098873518399E-2</v>
      </c>
      <c r="JD55" s="35">
        <f t="shared" si="508"/>
        <v>-3.9751257840947574E-10</v>
      </c>
      <c r="JE55" s="35">
        <f t="shared" si="509"/>
        <v>5.7003091423690311E-2</v>
      </c>
      <c r="JF55" s="35">
        <f t="shared" si="510"/>
        <v>5.7003098873518399E-2</v>
      </c>
      <c r="JG55" s="35">
        <f t="shared" si="511"/>
        <v>5.7003095148604355E-2</v>
      </c>
      <c r="JH55" s="35">
        <f t="shared" si="512"/>
        <v>1.4615839649678719E-9</v>
      </c>
      <c r="JI55" s="35">
        <f t="shared" si="513"/>
        <v>5.7003095148604355E-2</v>
      </c>
      <c r="JJ55" s="35">
        <f t="shared" si="514"/>
        <v>5.7003098873518399E-2</v>
      </c>
      <c r="JK55" s="35">
        <f t="shared" si="515"/>
        <v>5.7003097011061377E-2</v>
      </c>
      <c r="JL55" s="35">
        <f t="shared" si="516"/>
        <v>5.3203574879034932E-10</v>
      </c>
      <c r="JM55" s="35">
        <f t="shared" si="517"/>
        <v>5.7003097011061377E-2</v>
      </c>
      <c r="JN55" s="35">
        <f t="shared" si="518"/>
        <v>5.7003098873518399E-2</v>
      </c>
      <c r="JO55" s="35">
        <f t="shared" si="519"/>
        <v>5.7003097942289888E-2</v>
      </c>
      <c r="JP55" s="35">
        <f t="shared" si="520"/>
        <v>6.7261529679285559E-11</v>
      </c>
      <c r="JQ55" s="35">
        <f t="shared" si="521"/>
        <v>5.7003097942289888E-2</v>
      </c>
      <c r="JR55" s="35">
        <f t="shared" si="522"/>
        <v>5.7003098873518399E-2</v>
      </c>
      <c r="JS55" s="35">
        <f t="shared" si="523"/>
        <v>5.7003098407904143E-2</v>
      </c>
      <c r="JT55" s="35">
        <f t="shared" si="524"/>
        <v>-1.6512569089854878E-10</v>
      </c>
      <c r="JU55" s="35">
        <f t="shared" si="525"/>
        <v>5.7003097942289888E-2</v>
      </c>
      <c r="JV55" s="35">
        <f t="shared" si="526"/>
        <v>5.7003098407904143E-2</v>
      </c>
      <c r="JW55" s="35">
        <f t="shared" si="527"/>
        <v>5.7003098175097015E-2</v>
      </c>
      <c r="JX55" s="35">
        <f t="shared" si="528"/>
        <v>-4.8932080609631612E-11</v>
      </c>
      <c r="JY55" s="35">
        <f t="shared" si="529"/>
        <v>5.7003097942289888E-2</v>
      </c>
      <c r="JZ55" s="35">
        <f t="shared" si="530"/>
        <v>5.7003098175097015E-2</v>
      </c>
      <c r="KA55" s="35">
        <f t="shared" si="531"/>
        <v>1.0879316231934348</v>
      </c>
      <c r="KB55" s="35">
        <f t="shared" si="532"/>
        <v>5.7003098058693455E-2</v>
      </c>
    </row>
    <row r="56" spans="1:288" ht="15" customHeight="1" x14ac:dyDescent="0.3">
      <c r="A56" s="30">
        <f>Odds_Input!A56</f>
        <v>48</v>
      </c>
      <c r="B56" s="7" t="str">
        <f>Odds_Input!B56</f>
        <v>CONF_WEST</v>
      </c>
      <c r="C56" s="7" t="str">
        <f>Odds_Input!C56</f>
        <v>Houston Rockets</v>
      </c>
      <c r="D56" s="7" t="str">
        <f>Odds_Input!D56</f>
        <v>YES</v>
      </c>
      <c r="E56" s="31" t="str">
        <f>Odds_Input!E56</f>
        <v>-</v>
      </c>
      <c r="F56" s="32">
        <f>Odds_Input!F56</f>
        <v>2150</v>
      </c>
      <c r="G56" s="6" t="str">
        <f t="shared" si="0"/>
        <v>CONF_WEST</v>
      </c>
      <c r="H56" s="14">
        <f t="shared" si="1"/>
        <v>22.5</v>
      </c>
      <c r="I56" s="33">
        <f t="shared" si="2"/>
        <v>4.4444444444444446E-2</v>
      </c>
      <c r="J56" s="17">
        <f t="shared" si="3"/>
        <v>1</v>
      </c>
      <c r="K56" s="17">
        <f t="shared" si="4"/>
        <v>15</v>
      </c>
      <c r="L56" s="18">
        <f t="shared" si="5"/>
        <v>1.1953442022676133</v>
      </c>
      <c r="M56" s="34">
        <f t="shared" si="6"/>
        <v>0.19534420226761329</v>
      </c>
      <c r="N56" s="33">
        <f t="shared" si="7"/>
        <v>3.7181294191356469E-2</v>
      </c>
      <c r="O56" s="33">
        <f t="shared" si="8"/>
        <v>3.0499610550051376E-2</v>
      </c>
      <c r="P56" s="33">
        <f t="shared" si="9"/>
        <v>3.2145030353957112E-2</v>
      </c>
      <c r="Q56" s="33">
        <f t="shared" si="10"/>
        <v>3.2145030353957112E-2</v>
      </c>
      <c r="R56" s="35">
        <f t="shared" si="11"/>
        <v>1.120932777808048</v>
      </c>
      <c r="S56" s="35">
        <f t="shared" si="12"/>
        <v>1.9902430363003976E-2</v>
      </c>
      <c r="X56" s="6" t="s">
        <v>831</v>
      </c>
      <c r="Y56" s="6">
        <f t="shared" si="273"/>
        <v>1</v>
      </c>
      <c r="Z56" s="18">
        <f t="shared" si="274"/>
        <v>1.0383141762452106</v>
      </c>
      <c r="AA56" s="10">
        <v>0.2</v>
      </c>
      <c r="AB56" s="10">
        <v>10</v>
      </c>
      <c r="AC56" s="35">
        <f t="shared" si="275"/>
        <v>5.0999999999999996</v>
      </c>
      <c r="AD56" s="35">
        <f t="shared" si="276"/>
        <v>-8.4877602311976941E-2</v>
      </c>
      <c r="AE56" s="35">
        <f t="shared" si="277"/>
        <v>0.2</v>
      </c>
      <c r="AF56" s="35">
        <f t="shared" si="278"/>
        <v>5.0999999999999996</v>
      </c>
      <c r="AG56" s="35">
        <f t="shared" si="279"/>
        <v>2.65</v>
      </c>
      <c r="AH56" s="35">
        <f t="shared" si="280"/>
        <v>-4.457064054530846E-2</v>
      </c>
      <c r="AI56" s="35">
        <f t="shared" si="281"/>
        <v>0.2</v>
      </c>
      <c r="AJ56" s="35">
        <f t="shared" si="282"/>
        <v>2.65</v>
      </c>
      <c r="AK56" s="35">
        <f t="shared" si="283"/>
        <v>1.425</v>
      </c>
      <c r="AL56" s="35">
        <f t="shared" si="284"/>
        <v>-8.214301579519856E-3</v>
      </c>
      <c r="AM56" s="35">
        <f t="shared" si="285"/>
        <v>0.2</v>
      </c>
      <c r="AN56" s="35">
        <f t="shared" si="286"/>
        <v>1.425</v>
      </c>
      <c r="AO56" s="35">
        <f t="shared" si="287"/>
        <v>0.8125</v>
      </c>
      <c r="AP56" s="35">
        <f t="shared" si="288"/>
        <v>8.1487870925429862E-2</v>
      </c>
      <c r="AQ56" s="35">
        <f t="shared" si="289"/>
        <v>0.8125</v>
      </c>
      <c r="AR56" s="35">
        <f t="shared" si="290"/>
        <v>1.425</v>
      </c>
      <c r="AS56" s="35">
        <f t="shared" si="291"/>
        <v>1.1187499999999999</v>
      </c>
      <c r="AT56" s="35">
        <f t="shared" si="292"/>
        <v>2.0146267435851462E-2</v>
      </c>
      <c r="AU56" s="35">
        <f t="shared" si="293"/>
        <v>1.1187499999999999</v>
      </c>
      <c r="AV56" s="35">
        <f t="shared" si="294"/>
        <v>1.425</v>
      </c>
      <c r="AW56" s="35">
        <f t="shared" si="295"/>
        <v>1.2718750000000001</v>
      </c>
      <c r="AX56" s="35">
        <f t="shared" si="296"/>
        <v>3.4419508681431399E-3</v>
      </c>
      <c r="AY56" s="35">
        <f t="shared" si="297"/>
        <v>1.2718750000000001</v>
      </c>
      <c r="AZ56" s="35">
        <f t="shared" si="298"/>
        <v>1.425</v>
      </c>
      <c r="BA56" s="35">
        <f t="shared" si="299"/>
        <v>1.3484375000000002</v>
      </c>
      <c r="BB56" s="35">
        <f t="shared" si="300"/>
        <v>-2.8859541973988989E-3</v>
      </c>
      <c r="BC56" s="35">
        <f t="shared" si="301"/>
        <v>1.2718750000000001</v>
      </c>
      <c r="BD56" s="35">
        <f t="shared" si="302"/>
        <v>1.3484375000000002</v>
      </c>
      <c r="BE56" s="35">
        <f t="shared" si="303"/>
        <v>1.3101562500000001</v>
      </c>
      <c r="BF56" s="35">
        <f t="shared" si="304"/>
        <v>1.388857579551761E-4</v>
      </c>
      <c r="BG56" s="35">
        <f t="shared" si="305"/>
        <v>1.3101562500000001</v>
      </c>
      <c r="BH56" s="35">
        <f t="shared" si="306"/>
        <v>1.3484375000000002</v>
      </c>
      <c r="BI56" s="35">
        <f t="shared" si="307"/>
        <v>1.3292968750000003</v>
      </c>
      <c r="BJ56" s="35">
        <f t="shared" si="308"/>
        <v>-1.4064183390355423E-3</v>
      </c>
      <c r="BK56" s="35">
        <f t="shared" si="309"/>
        <v>1.3101562500000001</v>
      </c>
      <c r="BL56" s="35">
        <f t="shared" si="310"/>
        <v>1.3292968750000003</v>
      </c>
      <c r="BM56" s="35">
        <f t="shared" si="311"/>
        <v>1.3197265625000001</v>
      </c>
      <c r="BN56" s="35">
        <f t="shared" si="312"/>
        <v>-6.4221591173574399E-4</v>
      </c>
      <c r="BO56" s="35">
        <f t="shared" si="313"/>
        <v>1.3101562500000001</v>
      </c>
      <c r="BP56" s="35">
        <f t="shared" si="314"/>
        <v>1.3197265625000001</v>
      </c>
      <c r="BQ56" s="35">
        <f t="shared" si="315"/>
        <v>1.31494140625</v>
      </c>
      <c r="BR56" s="35">
        <f t="shared" si="316"/>
        <v>-2.5380675247910212E-4</v>
      </c>
      <c r="BS56" s="35">
        <f t="shared" si="317"/>
        <v>1.3101562500000001</v>
      </c>
      <c r="BT56" s="35">
        <f t="shared" si="318"/>
        <v>1.31494140625</v>
      </c>
      <c r="BU56" s="35">
        <f t="shared" si="319"/>
        <v>1.3125488281250002</v>
      </c>
      <c r="BV56" s="35">
        <f t="shared" si="320"/>
        <v>-5.7999619376691847E-5</v>
      </c>
      <c r="BW56" s="35">
        <f t="shared" si="321"/>
        <v>1.3101562500000001</v>
      </c>
      <c r="BX56" s="35">
        <f t="shared" si="322"/>
        <v>1.3125488281250002</v>
      </c>
      <c r="BY56" s="35">
        <f t="shared" si="323"/>
        <v>1.3113525390625003</v>
      </c>
      <c r="BZ56" s="35">
        <f t="shared" si="324"/>
        <v>4.0307823052643243E-5</v>
      </c>
      <c r="CA56" s="35">
        <f t="shared" si="325"/>
        <v>1.3113525390625003</v>
      </c>
      <c r="CB56" s="35">
        <f t="shared" si="326"/>
        <v>1.3125488281250002</v>
      </c>
      <c r="CC56" s="35">
        <f t="shared" si="327"/>
        <v>1.3119506835937502</v>
      </c>
      <c r="CD56" s="35">
        <f t="shared" si="328"/>
        <v>-8.8796513818545364E-6</v>
      </c>
      <c r="CE56" s="35">
        <f t="shared" si="329"/>
        <v>1.3113525390625003</v>
      </c>
      <c r="CF56" s="35">
        <f t="shared" si="330"/>
        <v>1.3119506835937502</v>
      </c>
      <c r="CG56" s="35">
        <f t="shared" si="331"/>
        <v>1.3116516113281254</v>
      </c>
      <c r="CH56" s="35">
        <f t="shared" si="332"/>
        <v>1.570564024588883E-5</v>
      </c>
      <c r="CI56" s="35">
        <f t="shared" si="333"/>
        <v>1.3116516113281254</v>
      </c>
      <c r="CJ56" s="35">
        <f t="shared" si="334"/>
        <v>1.3119506835937502</v>
      </c>
      <c r="CK56" s="35">
        <f t="shared" si="335"/>
        <v>1.3118011474609377</v>
      </c>
      <c r="CL56" s="35">
        <f t="shared" si="336"/>
        <v>3.4108839457314133E-6</v>
      </c>
      <c r="CM56" s="35">
        <f t="shared" si="337"/>
        <v>1.3118011474609377</v>
      </c>
      <c r="CN56" s="35">
        <f t="shared" si="338"/>
        <v>1.3119506835937502</v>
      </c>
      <c r="CO56" s="35">
        <f t="shared" si="339"/>
        <v>1.3118759155273438</v>
      </c>
      <c r="CP56" s="35">
        <f t="shared" si="340"/>
        <v>-2.7349112258212571E-6</v>
      </c>
      <c r="CQ56" s="35">
        <f t="shared" si="341"/>
        <v>1.3118011474609377</v>
      </c>
      <c r="CR56" s="35">
        <f t="shared" si="342"/>
        <v>1.3118759155273438</v>
      </c>
      <c r="CS56" s="35">
        <f t="shared" si="343"/>
        <v>1.3118385314941408</v>
      </c>
      <c r="CT56" s="35">
        <f t="shared" si="344"/>
        <v>3.3785446884593284E-7</v>
      </c>
      <c r="CU56" s="35">
        <f t="shared" si="345"/>
        <v>1.3118385314941408</v>
      </c>
      <c r="CV56" s="35">
        <f t="shared" si="346"/>
        <v>1.3118759155273438</v>
      </c>
      <c r="CW56" s="35">
        <f t="shared" si="347"/>
        <v>1.3118572235107422</v>
      </c>
      <c r="CX56" s="35">
        <f t="shared" si="348"/>
        <v>-1.1985613495024694E-6</v>
      </c>
      <c r="CY56" s="35">
        <f t="shared" si="349"/>
        <v>1.3118385314941408</v>
      </c>
      <c r="CZ56" s="35">
        <f t="shared" si="350"/>
        <v>1.3118572235107422</v>
      </c>
      <c r="DA56" s="35">
        <f t="shared" si="351"/>
        <v>1.3118478775024416</v>
      </c>
      <c r="DB56" s="35">
        <f t="shared" si="352"/>
        <v>-4.3036168329013691E-7</v>
      </c>
      <c r="DC56" s="35">
        <f t="shared" si="353"/>
        <v>1.3118385314941408</v>
      </c>
      <c r="DD56" s="35">
        <f t="shared" si="354"/>
        <v>1.3118478775024416</v>
      </c>
      <c r="DE56" s="35">
        <f t="shared" si="355"/>
        <v>1.3118432044982913</v>
      </c>
      <c r="DF56" s="35">
        <f t="shared" si="356"/>
        <v>-4.6255668073591494E-8</v>
      </c>
      <c r="DG56" s="35">
        <f t="shared" si="357"/>
        <v>1.3118385314941408</v>
      </c>
      <c r="DH56" s="35">
        <f t="shared" si="358"/>
        <v>1.3118432044982913</v>
      </c>
      <c r="DI56" s="35">
        <f t="shared" si="359"/>
        <v>1.3118408679962159</v>
      </c>
      <c r="DJ56" s="35">
        <f t="shared" si="360"/>
        <v>1.457988851871761E-7</v>
      </c>
      <c r="DK56" s="35">
        <f t="shared" si="361"/>
        <v>1.3118408679962159</v>
      </c>
      <c r="DL56" s="35">
        <f t="shared" si="362"/>
        <v>1.3118432044982913</v>
      </c>
      <c r="DM56" s="35">
        <f t="shared" si="363"/>
        <v>1.3118420362472536</v>
      </c>
      <c r="DN56" s="35">
        <f t="shared" si="364"/>
        <v>4.9771479604387991E-8</v>
      </c>
      <c r="DO56" s="35">
        <f t="shared" si="365"/>
        <v>1.3118420362472536</v>
      </c>
      <c r="DP56" s="35">
        <f t="shared" si="366"/>
        <v>1.3118432044982913</v>
      </c>
      <c r="DQ56" s="35">
        <f t="shared" si="367"/>
        <v>1.3118426203727724</v>
      </c>
      <c r="DR56" s="35">
        <f t="shared" si="368"/>
        <v>1.7578736244416859E-9</v>
      </c>
      <c r="DS56" s="35">
        <f t="shared" si="369"/>
        <v>1.3118426203727724</v>
      </c>
      <c r="DT56" s="35">
        <f t="shared" si="370"/>
        <v>1.3118432044982913</v>
      </c>
      <c r="DU56" s="35">
        <f t="shared" si="371"/>
        <v>1.311842912435532</v>
      </c>
      <c r="DV56" s="35">
        <f t="shared" si="372"/>
        <v>-2.2248905273691832E-8</v>
      </c>
      <c r="DW56" s="35">
        <f t="shared" si="373"/>
        <v>1.3118426203727724</v>
      </c>
      <c r="DX56" s="35">
        <f t="shared" si="374"/>
        <v>1.311842912435532</v>
      </c>
      <c r="DY56" s="35">
        <f t="shared" si="375"/>
        <v>1.3118427664041521</v>
      </c>
      <c r="DZ56" s="35">
        <f t="shared" si="376"/>
        <v>-1.0245517878537669E-8</v>
      </c>
      <c r="EA56" s="35">
        <f t="shared" si="377"/>
        <v>1.3118426203727724</v>
      </c>
      <c r="EB56" s="35">
        <f t="shared" si="378"/>
        <v>1.3118427664041521</v>
      </c>
      <c r="EC56" s="35">
        <f t="shared" si="379"/>
        <v>1.3118426933884622</v>
      </c>
      <c r="ED56" s="35">
        <f t="shared" si="380"/>
        <v>-4.2438226266483525E-9</v>
      </c>
      <c r="EE56" s="35">
        <f t="shared" si="381"/>
        <v>1.3118426203727724</v>
      </c>
      <c r="EF56" s="35">
        <f t="shared" si="382"/>
        <v>1.3118426933884622</v>
      </c>
      <c r="EG56" s="35">
        <f t="shared" si="383"/>
        <v>1.3118426568806174</v>
      </c>
      <c r="EH56" s="35">
        <f t="shared" si="384"/>
        <v>-1.2429746121256358E-9</v>
      </c>
      <c r="EI56" s="35">
        <f t="shared" si="385"/>
        <v>1.3118426203727724</v>
      </c>
      <c r="EJ56" s="35">
        <f t="shared" si="386"/>
        <v>1.3118426568806174</v>
      </c>
      <c r="EK56" s="35">
        <f t="shared" si="387"/>
        <v>1.311842638626695</v>
      </c>
      <c r="EL56" s="35">
        <f t="shared" si="388"/>
        <v>2.5744939513572263E-10</v>
      </c>
      <c r="EM56" s="35">
        <f t="shared" si="389"/>
        <v>1.311842638626695</v>
      </c>
      <c r="EN56" s="35">
        <f t="shared" si="390"/>
        <v>1.3118426568806174</v>
      </c>
      <c r="EO56" s="35">
        <f t="shared" si="391"/>
        <v>1.3118426477536562</v>
      </c>
      <c r="EP56" s="35">
        <f t="shared" si="392"/>
        <v>-4.9276260849495657E-10</v>
      </c>
      <c r="EQ56" s="35">
        <f t="shared" si="393"/>
        <v>1.311842638626695</v>
      </c>
      <c r="ER56" s="35">
        <f t="shared" si="394"/>
        <v>1.3118426477536562</v>
      </c>
      <c r="ES56" s="35">
        <f t="shared" si="395"/>
        <v>1.3118426431901757</v>
      </c>
      <c r="ET56" s="35">
        <f t="shared" si="396"/>
        <v>-1.1765655116846574E-10</v>
      </c>
      <c r="EU56" s="35">
        <f t="shared" si="397"/>
        <v>1.311842638626695</v>
      </c>
      <c r="EV56" s="35">
        <f t="shared" si="398"/>
        <v>1.3118426431901757</v>
      </c>
      <c r="EW56" s="35">
        <f t="shared" si="399"/>
        <v>1.3118426409084354</v>
      </c>
      <c r="EX56" s="35">
        <f t="shared" si="400"/>
        <v>6.9896533005930905E-11</v>
      </c>
      <c r="EY56" s="35">
        <f t="shared" si="401"/>
        <v>1.3118426409084354</v>
      </c>
      <c r="EZ56" s="35">
        <f t="shared" si="402"/>
        <v>1.3118426431901757</v>
      </c>
      <c r="FA56" s="10">
        <v>9.9999999999999995E-7</v>
      </c>
      <c r="FB56" s="10">
        <v>0.99990000000000001</v>
      </c>
      <c r="FC56" s="35">
        <f t="shared" si="403"/>
        <v>0.49995050000000002</v>
      </c>
      <c r="FD56" s="35">
        <f t="shared" si="404"/>
        <v>-4.138297590069262E-2</v>
      </c>
      <c r="FE56" s="35">
        <f t="shared" si="405"/>
        <v>9.9999999999999995E-7</v>
      </c>
      <c r="FF56" s="35">
        <f t="shared" si="406"/>
        <v>0.49995050000000002</v>
      </c>
      <c r="FG56" s="35">
        <f t="shared" si="407"/>
        <v>0.24997575</v>
      </c>
      <c r="FH56" s="35">
        <f t="shared" si="408"/>
        <v>-2.9110932857525196E-2</v>
      </c>
      <c r="FI56" s="35">
        <f t="shared" si="409"/>
        <v>9.9999999999999995E-7</v>
      </c>
      <c r="FJ56" s="35">
        <f t="shared" si="410"/>
        <v>0.24997575</v>
      </c>
      <c r="FK56" s="35">
        <f t="shared" si="411"/>
        <v>0.124988375</v>
      </c>
      <c r="FL56" s="35">
        <f t="shared" si="412"/>
        <v>-1.7146044794260074E-2</v>
      </c>
      <c r="FM56" s="35">
        <f t="shared" si="413"/>
        <v>9.9999999999999995E-7</v>
      </c>
      <c r="FN56" s="35">
        <f t="shared" si="414"/>
        <v>0.124988375</v>
      </c>
      <c r="FO56" s="35">
        <f t="shared" si="415"/>
        <v>6.24946875E-2</v>
      </c>
      <c r="FP56" s="35">
        <f t="shared" si="416"/>
        <v>-4.5861105463587126E-3</v>
      </c>
      <c r="FQ56" s="35">
        <f t="shared" si="417"/>
        <v>9.9999999999999995E-7</v>
      </c>
      <c r="FR56" s="35">
        <f t="shared" si="418"/>
        <v>6.24946875E-2</v>
      </c>
      <c r="FS56" s="35">
        <f t="shared" si="419"/>
        <v>3.124784375E-2</v>
      </c>
      <c r="FT56" s="35">
        <f t="shared" si="420"/>
        <v>5.4575720212359791E-3</v>
      </c>
      <c r="FU56" s="35">
        <f t="shared" si="421"/>
        <v>3.124784375E-2</v>
      </c>
      <c r="FV56" s="35">
        <f t="shared" si="422"/>
        <v>6.24946875E-2</v>
      </c>
      <c r="FW56" s="35">
        <f t="shared" si="423"/>
        <v>4.6871265624999998E-2</v>
      </c>
      <c r="FX56" s="35">
        <f t="shared" si="424"/>
        <v>3.4114243309568693E-5</v>
      </c>
      <c r="FY56" s="35">
        <f t="shared" si="425"/>
        <v>4.6871265624999998E-2</v>
      </c>
      <c r="FZ56" s="35">
        <f t="shared" si="426"/>
        <v>6.24946875E-2</v>
      </c>
      <c r="GA56" s="35">
        <f t="shared" si="427"/>
        <v>5.4682976562499999E-2</v>
      </c>
      <c r="GB56" s="35">
        <f t="shared" si="428"/>
        <v>-2.3702254497698361E-3</v>
      </c>
      <c r="GC56" s="35">
        <f t="shared" si="429"/>
        <v>4.6871265624999998E-2</v>
      </c>
      <c r="GD56" s="35">
        <f t="shared" si="430"/>
        <v>5.4682976562499999E-2</v>
      </c>
      <c r="GE56" s="35">
        <f t="shared" si="431"/>
        <v>5.0777121093750002E-2</v>
      </c>
      <c r="GF56" s="35">
        <f t="shared" si="432"/>
        <v>-1.1924402495429032E-3</v>
      </c>
      <c r="GG56" s="35">
        <f t="shared" si="433"/>
        <v>4.6871265624999998E-2</v>
      </c>
      <c r="GH56" s="35">
        <f t="shared" si="434"/>
        <v>5.0777121093750002E-2</v>
      </c>
      <c r="GI56" s="35">
        <f t="shared" si="435"/>
        <v>4.8824193359375004E-2</v>
      </c>
      <c r="GJ56" s="35">
        <f t="shared" si="436"/>
        <v>-5.8535889034228017E-4</v>
      </c>
      <c r="GK56" s="35">
        <f t="shared" si="437"/>
        <v>4.6871265624999998E-2</v>
      </c>
      <c r="GL56" s="35">
        <f t="shared" si="438"/>
        <v>4.8824193359375004E-2</v>
      </c>
      <c r="GM56" s="35">
        <f t="shared" si="439"/>
        <v>4.7847729492187505E-2</v>
      </c>
      <c r="GN56" s="35">
        <f t="shared" si="440"/>
        <v>-2.7718346996330467E-4</v>
      </c>
      <c r="GO56" s="35">
        <f t="shared" si="441"/>
        <v>4.6871265624999998E-2</v>
      </c>
      <c r="GP56" s="35">
        <f t="shared" si="442"/>
        <v>4.7847729492187505E-2</v>
      </c>
      <c r="GQ56" s="35">
        <f t="shared" si="443"/>
        <v>4.7359497558593755E-2</v>
      </c>
      <c r="GR56" s="35">
        <f t="shared" si="444"/>
        <v>-1.2192640173969149E-4</v>
      </c>
      <c r="GS56" s="35">
        <f t="shared" si="445"/>
        <v>4.6871265624999998E-2</v>
      </c>
      <c r="GT56" s="35">
        <f t="shared" si="446"/>
        <v>4.7359497558593755E-2</v>
      </c>
      <c r="GU56" s="35">
        <f t="shared" si="447"/>
        <v>4.7115381591796873E-2</v>
      </c>
      <c r="GV56" s="35">
        <f t="shared" si="448"/>
        <v>-4.4004212733317338E-5</v>
      </c>
      <c r="GW56" s="35">
        <f t="shared" si="449"/>
        <v>4.6871265624999998E-2</v>
      </c>
      <c r="GX56" s="35">
        <f t="shared" si="450"/>
        <v>4.7115381591796873E-2</v>
      </c>
      <c r="GY56" s="35">
        <f t="shared" si="451"/>
        <v>4.6993323608398432E-2</v>
      </c>
      <c r="GZ56" s="35">
        <f t="shared" si="452"/>
        <v>-4.9695413094630325E-6</v>
      </c>
      <c r="HA56" s="35">
        <f t="shared" si="453"/>
        <v>4.6871265624999998E-2</v>
      </c>
      <c r="HB56" s="35">
        <f t="shared" si="454"/>
        <v>4.6993323608398432E-2</v>
      </c>
      <c r="HC56" s="35">
        <f t="shared" si="455"/>
        <v>4.6932294616699219E-2</v>
      </c>
      <c r="HD56" s="35">
        <f t="shared" si="456"/>
        <v>1.4566208953681326E-5</v>
      </c>
      <c r="HE56" s="35">
        <f t="shared" si="457"/>
        <v>4.6932294616699219E-2</v>
      </c>
      <c r="HF56" s="35">
        <f t="shared" si="458"/>
        <v>4.6993323608398432E-2</v>
      </c>
      <c r="HG56" s="35">
        <f t="shared" si="459"/>
        <v>4.6962809112548826E-2</v>
      </c>
      <c r="HH56" s="35">
        <f t="shared" si="460"/>
        <v>4.7967986722685652E-6</v>
      </c>
      <c r="HI56" s="35">
        <f t="shared" si="461"/>
        <v>4.6962809112548826E-2</v>
      </c>
      <c r="HJ56" s="35">
        <f t="shared" si="462"/>
        <v>4.6993323608398432E-2</v>
      </c>
      <c r="HK56" s="35">
        <f t="shared" si="463"/>
        <v>4.6978066360473629E-2</v>
      </c>
      <c r="HL56" s="35">
        <f t="shared" si="464"/>
        <v>-8.6755060690890673E-8</v>
      </c>
      <c r="HM56" s="35">
        <f t="shared" si="465"/>
        <v>4.6962809112548826E-2</v>
      </c>
      <c r="HN56" s="35">
        <f t="shared" si="466"/>
        <v>4.6978066360473629E-2</v>
      </c>
      <c r="HO56" s="35">
        <f t="shared" si="467"/>
        <v>4.6970437736511231E-2</v>
      </c>
      <c r="HP56" s="35">
        <f t="shared" si="468"/>
        <v>2.3549258645338966E-6</v>
      </c>
      <c r="HQ56" s="35">
        <f t="shared" si="469"/>
        <v>4.6970437736511231E-2</v>
      </c>
      <c r="HR56" s="35">
        <f t="shared" si="470"/>
        <v>4.6978066360473629E-2</v>
      </c>
      <c r="HS56" s="35">
        <f t="shared" si="471"/>
        <v>4.6974252048492426E-2</v>
      </c>
      <c r="HT56" s="35">
        <f t="shared" si="472"/>
        <v>1.1340614172183905E-6</v>
      </c>
      <c r="HU56" s="35">
        <f t="shared" si="473"/>
        <v>4.6974252048492426E-2</v>
      </c>
      <c r="HV56" s="35">
        <f t="shared" si="474"/>
        <v>4.6978066360473629E-2</v>
      </c>
      <c r="HW56" s="35">
        <f t="shared" si="475"/>
        <v>4.6976159204483031E-2</v>
      </c>
      <c r="HX56" s="35">
        <f t="shared" si="476"/>
        <v>5.2364718206021621E-7</v>
      </c>
      <c r="HY56" s="35">
        <f t="shared" si="477"/>
        <v>4.6976159204483031E-2</v>
      </c>
      <c r="HZ56" s="35">
        <f t="shared" si="478"/>
        <v>4.6978066360473629E-2</v>
      </c>
      <c r="IA56" s="35">
        <f t="shared" si="479"/>
        <v>4.6977112782478334E-2</v>
      </c>
      <c r="IB56" s="35">
        <f t="shared" si="480"/>
        <v>2.1844456177255722E-7</v>
      </c>
      <c r="IC56" s="35">
        <f t="shared" si="481"/>
        <v>4.6977112782478334E-2</v>
      </c>
      <c r="ID56" s="35">
        <f t="shared" si="482"/>
        <v>4.6978066360473629E-2</v>
      </c>
      <c r="IE56" s="35">
        <f t="shared" si="483"/>
        <v>4.6977589571475978E-2</v>
      </c>
      <c r="IF56" s="35">
        <f t="shared" si="484"/>
        <v>6.5844375729540161E-8</v>
      </c>
      <c r="IG56" s="35">
        <f t="shared" si="485"/>
        <v>4.6977589571475978E-2</v>
      </c>
      <c r="IH56" s="35">
        <f t="shared" si="486"/>
        <v>4.6978066360473629E-2</v>
      </c>
      <c r="II56" s="35">
        <f t="shared" si="487"/>
        <v>4.69778279659748E-2</v>
      </c>
      <c r="IJ56" s="35">
        <f t="shared" si="488"/>
        <v>-1.0455436183498534E-8</v>
      </c>
      <c r="IK56" s="35">
        <f t="shared" si="489"/>
        <v>4.6977589571475978E-2</v>
      </c>
      <c r="IL56" s="35">
        <f t="shared" si="490"/>
        <v>4.69778279659748E-2</v>
      </c>
      <c r="IM56" s="35">
        <f t="shared" si="491"/>
        <v>4.6977708768725389E-2</v>
      </c>
      <c r="IN56" s="35">
        <f t="shared" si="492"/>
        <v>2.7694446513848447E-8</v>
      </c>
      <c r="IO56" s="35">
        <f t="shared" si="493"/>
        <v>4.6977708768725389E-2</v>
      </c>
      <c r="IP56" s="35">
        <f t="shared" si="494"/>
        <v>4.69778279659748E-2</v>
      </c>
      <c r="IQ56" s="35">
        <f t="shared" si="495"/>
        <v>4.6977768367350098E-2</v>
      </c>
      <c r="IR56" s="35">
        <f t="shared" si="496"/>
        <v>8.6194991144594724E-9</v>
      </c>
      <c r="IS56" s="35">
        <f t="shared" si="497"/>
        <v>4.6977768367350098E-2</v>
      </c>
      <c r="IT56" s="35">
        <f t="shared" si="498"/>
        <v>4.69778279659748E-2</v>
      </c>
      <c r="IU56" s="35">
        <f t="shared" si="499"/>
        <v>4.6977798166662449E-2</v>
      </c>
      <c r="IV56" s="35">
        <f t="shared" si="500"/>
        <v>-9.1796992229831176E-10</v>
      </c>
      <c r="IW56" s="35">
        <f t="shared" si="501"/>
        <v>4.6977768367350098E-2</v>
      </c>
      <c r="IX56" s="35">
        <f t="shared" si="502"/>
        <v>4.6977798166662449E-2</v>
      </c>
      <c r="IY56" s="35">
        <f t="shared" si="503"/>
        <v>4.6977783267006273E-2</v>
      </c>
      <c r="IZ56" s="35">
        <f t="shared" si="504"/>
        <v>3.8507641519913705E-9</v>
      </c>
      <c r="JA56" s="35">
        <f t="shared" si="505"/>
        <v>4.6977783267006273E-2</v>
      </c>
      <c r="JB56" s="35">
        <f t="shared" si="506"/>
        <v>4.6977798166662449E-2</v>
      </c>
      <c r="JC56" s="35">
        <f t="shared" si="507"/>
        <v>4.6977790716834361E-2</v>
      </c>
      <c r="JD56" s="35">
        <f t="shared" si="508"/>
        <v>1.4663970038242269E-9</v>
      </c>
      <c r="JE56" s="35">
        <f t="shared" si="509"/>
        <v>4.6977790716834361E-2</v>
      </c>
      <c r="JF56" s="35">
        <f t="shared" si="510"/>
        <v>4.6977798166662449E-2</v>
      </c>
      <c r="JG56" s="35">
        <f t="shared" si="511"/>
        <v>4.6977794441748405E-2</v>
      </c>
      <c r="JH56" s="35">
        <f t="shared" si="512"/>
        <v>2.7421354076295756E-10</v>
      </c>
      <c r="JI56" s="35">
        <f t="shared" si="513"/>
        <v>4.6977794441748405E-2</v>
      </c>
      <c r="JJ56" s="35">
        <f t="shared" si="514"/>
        <v>4.6977798166662449E-2</v>
      </c>
      <c r="JK56" s="35">
        <f t="shared" si="515"/>
        <v>4.6977796304205427E-2</v>
      </c>
      <c r="JL56" s="35">
        <f t="shared" si="516"/>
        <v>-3.218781907676771E-10</v>
      </c>
      <c r="JM56" s="35">
        <f t="shared" si="517"/>
        <v>4.6977794441748405E-2</v>
      </c>
      <c r="JN56" s="35">
        <f t="shared" si="518"/>
        <v>4.6977796304205427E-2</v>
      </c>
      <c r="JO56" s="35">
        <f t="shared" si="519"/>
        <v>4.6977795372976916E-2</v>
      </c>
      <c r="JP56" s="35">
        <f t="shared" si="520"/>
        <v>-2.3832269491208535E-11</v>
      </c>
      <c r="JQ56" s="35">
        <f t="shared" si="521"/>
        <v>4.6977794441748405E-2</v>
      </c>
      <c r="JR56" s="35">
        <f t="shared" si="522"/>
        <v>4.6977795372976916E-2</v>
      </c>
      <c r="JS56" s="35">
        <f t="shared" si="523"/>
        <v>4.6977794907362661E-2</v>
      </c>
      <c r="JT56" s="35">
        <f t="shared" si="524"/>
        <v>1.2519052461357205E-10</v>
      </c>
      <c r="JU56" s="35">
        <f t="shared" si="525"/>
        <v>4.6977794907362661E-2</v>
      </c>
      <c r="JV56" s="35">
        <f t="shared" si="526"/>
        <v>4.6977795372976916E-2</v>
      </c>
      <c r="JW56" s="35">
        <f t="shared" si="527"/>
        <v>4.6977795140169788E-2</v>
      </c>
      <c r="JX56" s="35">
        <f t="shared" si="528"/>
        <v>5.0679016538879296E-11</v>
      </c>
      <c r="JY56" s="35">
        <f t="shared" si="529"/>
        <v>4.6977795140169788E-2</v>
      </c>
      <c r="JZ56" s="35">
        <f t="shared" si="530"/>
        <v>4.6977795372976916E-2</v>
      </c>
      <c r="KA56" s="35">
        <f t="shared" si="531"/>
        <v>1.3118426420493057</v>
      </c>
      <c r="KB56" s="35">
        <f t="shared" si="532"/>
        <v>4.6977795256573349E-2</v>
      </c>
    </row>
    <row r="57" spans="1:288" ht="15" customHeight="1" x14ac:dyDescent="0.3">
      <c r="A57" s="30">
        <f>Odds_Input!A57</f>
        <v>49</v>
      </c>
      <c r="B57" s="7" t="str">
        <f>Odds_Input!B57</f>
        <v>CONF_WEST</v>
      </c>
      <c r="C57" s="7" t="str">
        <f>Odds_Input!C57</f>
        <v>Los Angeles Clippers</v>
      </c>
      <c r="D57" s="7" t="str">
        <f>Odds_Input!D57</f>
        <v>YES</v>
      </c>
      <c r="E57" s="31" t="str">
        <f>Odds_Input!E57</f>
        <v>-</v>
      </c>
      <c r="F57" s="32">
        <f>Odds_Input!F57</f>
        <v>24000</v>
      </c>
      <c r="G57" s="6" t="str">
        <f t="shared" si="0"/>
        <v>CONF_WEST</v>
      </c>
      <c r="H57" s="14">
        <f t="shared" si="1"/>
        <v>241</v>
      </c>
      <c r="I57" s="33">
        <f t="shared" si="2"/>
        <v>4.1493775933609959E-3</v>
      </c>
      <c r="J57" s="17">
        <f t="shared" si="3"/>
        <v>1</v>
      </c>
      <c r="K57" s="17">
        <f t="shared" si="4"/>
        <v>15</v>
      </c>
      <c r="L57" s="18">
        <f t="shared" si="5"/>
        <v>1.1953442022676133</v>
      </c>
      <c r="M57" s="34">
        <f t="shared" si="6"/>
        <v>0.19534420226761329</v>
      </c>
      <c r="N57" s="33">
        <f t="shared" si="7"/>
        <v>3.4712826527200026E-3</v>
      </c>
      <c r="O57" s="33">
        <f t="shared" si="8"/>
        <v>2.137563473540252E-3</v>
      </c>
      <c r="P57" s="33">
        <f t="shared" si="9"/>
        <v>6.9961048549081414E-4</v>
      </c>
      <c r="Q57" s="33">
        <f t="shared" si="10"/>
        <v>6.9961048549081414E-4</v>
      </c>
      <c r="R57" s="35">
        <f t="shared" si="11"/>
        <v>1.120932777808048</v>
      </c>
      <c r="S57" s="35">
        <f t="shared" si="12"/>
        <v>1.9902430363003976E-2</v>
      </c>
      <c r="X57" s="6" t="s">
        <v>832</v>
      </c>
      <c r="Y57" s="6">
        <f t="shared" si="273"/>
        <v>1</v>
      </c>
      <c r="Z57" s="18">
        <f t="shared" si="274"/>
        <v>1.0622729631551635</v>
      </c>
      <c r="AA57" s="10">
        <v>0.2</v>
      </c>
      <c r="AB57" s="10">
        <v>10</v>
      </c>
      <c r="AC57" s="35">
        <f t="shared" si="275"/>
        <v>5.0999999999999996</v>
      </c>
      <c r="AD57" s="35">
        <f t="shared" si="276"/>
        <v>-0.91510170790642276</v>
      </c>
      <c r="AE57" s="35">
        <f t="shared" si="277"/>
        <v>0.2</v>
      </c>
      <c r="AF57" s="35">
        <f t="shared" si="278"/>
        <v>5.0999999999999996</v>
      </c>
      <c r="AG57" s="35">
        <f t="shared" si="279"/>
        <v>2.65</v>
      </c>
      <c r="AH57" s="35">
        <f t="shared" si="280"/>
        <v>-0.62059818521238697</v>
      </c>
      <c r="AI57" s="35">
        <f t="shared" si="281"/>
        <v>0.2</v>
      </c>
      <c r="AJ57" s="35">
        <f t="shared" si="282"/>
        <v>2.65</v>
      </c>
      <c r="AK57" s="35">
        <f t="shared" si="283"/>
        <v>1.425</v>
      </c>
      <c r="AL57" s="35">
        <f t="shared" si="284"/>
        <v>-0.18656362357902956</v>
      </c>
      <c r="AM57" s="35">
        <f t="shared" si="285"/>
        <v>0.2</v>
      </c>
      <c r="AN57" s="35">
        <f t="shared" si="286"/>
        <v>1.425</v>
      </c>
      <c r="AO57" s="35">
        <f t="shared" si="287"/>
        <v>0.8125</v>
      </c>
      <c r="AP57" s="35">
        <f t="shared" si="288"/>
        <v>0.19547204463011747</v>
      </c>
      <c r="AQ57" s="35">
        <f t="shared" si="289"/>
        <v>0.8125</v>
      </c>
      <c r="AR57" s="35">
        <f t="shared" si="290"/>
        <v>1.425</v>
      </c>
      <c r="AS57" s="35">
        <f t="shared" si="291"/>
        <v>1.1187499999999999</v>
      </c>
      <c r="AT57" s="35">
        <f t="shared" si="292"/>
        <v>-1.4182557095659742E-2</v>
      </c>
      <c r="AU57" s="35">
        <f t="shared" si="293"/>
        <v>0.8125</v>
      </c>
      <c r="AV57" s="35">
        <f t="shared" si="294"/>
        <v>1.1187499999999999</v>
      </c>
      <c r="AW57" s="35">
        <f t="shared" si="295"/>
        <v>0.96562499999999996</v>
      </c>
      <c r="AX57" s="35">
        <f t="shared" si="296"/>
        <v>8.5510765121852961E-2</v>
      </c>
      <c r="AY57" s="35">
        <f t="shared" si="297"/>
        <v>0.96562499999999996</v>
      </c>
      <c r="AZ57" s="35">
        <f t="shared" si="298"/>
        <v>1.1187499999999999</v>
      </c>
      <c r="BA57" s="35">
        <f t="shared" si="299"/>
        <v>1.0421874999999998</v>
      </c>
      <c r="BB57" s="35">
        <f t="shared" si="300"/>
        <v>3.4443722148390865E-2</v>
      </c>
      <c r="BC57" s="35">
        <f t="shared" si="301"/>
        <v>1.0421874999999998</v>
      </c>
      <c r="BD57" s="35">
        <f t="shared" si="302"/>
        <v>1.1187499999999999</v>
      </c>
      <c r="BE57" s="35">
        <f t="shared" si="303"/>
        <v>1.0804687499999999</v>
      </c>
      <c r="BF57" s="35">
        <f t="shared" si="304"/>
        <v>9.8330316012882335E-3</v>
      </c>
      <c r="BG57" s="35">
        <f t="shared" si="305"/>
        <v>1.0804687499999999</v>
      </c>
      <c r="BH57" s="35">
        <f t="shared" si="306"/>
        <v>1.1187499999999999</v>
      </c>
      <c r="BI57" s="35">
        <f t="shared" si="307"/>
        <v>1.099609375</v>
      </c>
      <c r="BJ57" s="35">
        <f t="shared" si="308"/>
        <v>-2.2482281267356408E-3</v>
      </c>
      <c r="BK57" s="35">
        <f t="shared" si="309"/>
        <v>1.0804687499999999</v>
      </c>
      <c r="BL57" s="35">
        <f t="shared" si="310"/>
        <v>1.099609375</v>
      </c>
      <c r="BM57" s="35">
        <f t="shared" si="311"/>
        <v>1.0900390624999998</v>
      </c>
      <c r="BN57" s="35">
        <f t="shared" si="312"/>
        <v>3.7739210078915342E-3</v>
      </c>
      <c r="BO57" s="35">
        <f t="shared" si="313"/>
        <v>1.0900390624999998</v>
      </c>
      <c r="BP57" s="35">
        <f t="shared" si="314"/>
        <v>1.099609375</v>
      </c>
      <c r="BQ57" s="35">
        <f t="shared" si="315"/>
        <v>1.0948242187499999</v>
      </c>
      <c r="BR57" s="35">
        <f t="shared" si="316"/>
        <v>7.582406127355501E-4</v>
      </c>
      <c r="BS57" s="35">
        <f t="shared" si="317"/>
        <v>1.0948242187499999</v>
      </c>
      <c r="BT57" s="35">
        <f t="shared" si="318"/>
        <v>1.099609375</v>
      </c>
      <c r="BU57" s="35">
        <f t="shared" si="319"/>
        <v>1.097216796875</v>
      </c>
      <c r="BV57" s="35">
        <f t="shared" si="320"/>
        <v>-7.4614342460055383E-4</v>
      </c>
      <c r="BW57" s="35">
        <f t="shared" si="321"/>
        <v>1.0948242187499999</v>
      </c>
      <c r="BX57" s="35">
        <f t="shared" si="322"/>
        <v>1.097216796875</v>
      </c>
      <c r="BY57" s="35">
        <f t="shared" si="323"/>
        <v>1.0960205078124998</v>
      </c>
      <c r="BZ57" s="35">
        <f t="shared" si="324"/>
        <v>5.760953718070283E-6</v>
      </c>
      <c r="CA57" s="35">
        <f t="shared" si="325"/>
        <v>1.0960205078124998</v>
      </c>
      <c r="CB57" s="35">
        <f t="shared" si="326"/>
        <v>1.097216796875</v>
      </c>
      <c r="CC57" s="35">
        <f t="shared" si="327"/>
        <v>1.09661865234375</v>
      </c>
      <c r="CD57" s="35">
        <f t="shared" si="328"/>
        <v>-3.7026311758370234E-4</v>
      </c>
      <c r="CE57" s="35">
        <f t="shared" si="329"/>
        <v>1.0960205078124998</v>
      </c>
      <c r="CF57" s="35">
        <f t="shared" si="330"/>
        <v>1.09661865234375</v>
      </c>
      <c r="CG57" s="35">
        <f t="shared" si="331"/>
        <v>1.0963195800781249</v>
      </c>
      <c r="CH57" s="35">
        <f t="shared" si="332"/>
        <v>-1.8226905596063769E-4</v>
      </c>
      <c r="CI57" s="35">
        <f t="shared" si="333"/>
        <v>1.0960205078124998</v>
      </c>
      <c r="CJ57" s="35">
        <f t="shared" si="334"/>
        <v>1.0963195800781249</v>
      </c>
      <c r="CK57" s="35">
        <f t="shared" si="335"/>
        <v>1.0961700439453124</v>
      </c>
      <c r="CL57" s="35">
        <f t="shared" si="336"/>
        <v>-8.8258545064778815E-5</v>
      </c>
      <c r="CM57" s="35">
        <f t="shared" si="337"/>
        <v>1.0960205078124998</v>
      </c>
      <c r="CN57" s="35">
        <f t="shared" si="338"/>
        <v>1.0961700439453124</v>
      </c>
      <c r="CO57" s="35">
        <f t="shared" si="339"/>
        <v>1.096095275878906</v>
      </c>
      <c r="CP57" s="35">
        <f t="shared" si="340"/>
        <v>-4.1249919213726116E-5</v>
      </c>
      <c r="CQ57" s="35">
        <f t="shared" si="341"/>
        <v>1.0960205078124998</v>
      </c>
      <c r="CR57" s="35">
        <f t="shared" si="342"/>
        <v>1.096095275878906</v>
      </c>
      <c r="CS57" s="35">
        <f t="shared" si="343"/>
        <v>1.0960578918457029</v>
      </c>
      <c r="CT57" s="35">
        <f t="shared" si="344"/>
        <v>-1.7744763639804262E-5</v>
      </c>
      <c r="CU57" s="35">
        <f t="shared" si="345"/>
        <v>1.0960205078124998</v>
      </c>
      <c r="CV57" s="35">
        <f t="shared" si="346"/>
        <v>1.0960578918457029</v>
      </c>
      <c r="CW57" s="35">
        <f t="shared" si="347"/>
        <v>1.0960391998291015</v>
      </c>
      <c r="CX57" s="35">
        <f t="shared" si="348"/>
        <v>-5.991975184693743E-6</v>
      </c>
      <c r="CY57" s="35">
        <f t="shared" si="349"/>
        <v>1.0960205078124998</v>
      </c>
      <c r="CZ57" s="35">
        <f t="shared" si="350"/>
        <v>1.0960391998291015</v>
      </c>
      <c r="DA57" s="35">
        <f t="shared" si="351"/>
        <v>1.0960298538208006</v>
      </c>
      <c r="DB57" s="35">
        <f t="shared" si="352"/>
        <v>-1.1552828937944071E-7</v>
      </c>
      <c r="DC57" s="35">
        <f t="shared" si="353"/>
        <v>1.0960205078124998</v>
      </c>
      <c r="DD57" s="35">
        <f t="shared" si="354"/>
        <v>1.0960298538208006</v>
      </c>
      <c r="DE57" s="35">
        <f t="shared" si="355"/>
        <v>1.0960251808166501</v>
      </c>
      <c r="DF57" s="35">
        <f t="shared" si="356"/>
        <v>2.8227083253007379E-6</v>
      </c>
      <c r="DG57" s="35">
        <f t="shared" si="357"/>
        <v>1.0960251808166501</v>
      </c>
      <c r="DH57" s="35">
        <f t="shared" si="358"/>
        <v>1.0960298538208006</v>
      </c>
      <c r="DI57" s="35">
        <f t="shared" si="359"/>
        <v>1.0960275173187255</v>
      </c>
      <c r="DJ57" s="35">
        <f t="shared" si="360"/>
        <v>1.3535889207272334E-6</v>
      </c>
      <c r="DK57" s="35">
        <f t="shared" si="361"/>
        <v>1.0960275173187255</v>
      </c>
      <c r="DL57" s="35">
        <f t="shared" si="362"/>
        <v>1.0960298538208006</v>
      </c>
      <c r="DM57" s="35">
        <f t="shared" si="363"/>
        <v>1.0960286855697632</v>
      </c>
      <c r="DN57" s="35">
        <f t="shared" si="364"/>
        <v>6.1903004144880924E-7</v>
      </c>
      <c r="DO57" s="35">
        <f t="shared" si="365"/>
        <v>1.0960286855697632</v>
      </c>
      <c r="DP57" s="35">
        <f t="shared" si="366"/>
        <v>1.0960298538208006</v>
      </c>
      <c r="DQ57" s="35">
        <f t="shared" si="367"/>
        <v>1.0960292696952818</v>
      </c>
      <c r="DR57" s="35">
        <f t="shared" si="368"/>
        <v>2.5175080753392365E-7</v>
      </c>
      <c r="DS57" s="35">
        <f t="shared" si="369"/>
        <v>1.0960292696952818</v>
      </c>
      <c r="DT57" s="35">
        <f t="shared" si="370"/>
        <v>1.0960298538208006</v>
      </c>
      <c r="DU57" s="35">
        <f t="shared" si="371"/>
        <v>1.0960295617580411</v>
      </c>
      <c r="DV57" s="35">
        <f t="shared" si="372"/>
        <v>6.8111241979806891E-8</v>
      </c>
      <c r="DW57" s="35">
        <f t="shared" si="373"/>
        <v>1.0960295617580411</v>
      </c>
      <c r="DX57" s="35">
        <f t="shared" si="374"/>
        <v>1.0960298538208006</v>
      </c>
      <c r="DY57" s="35">
        <f t="shared" si="375"/>
        <v>1.096029707789421</v>
      </c>
      <c r="DZ57" s="35">
        <f t="shared" si="376"/>
        <v>-2.3708528029686704E-8</v>
      </c>
      <c r="EA57" s="35">
        <f t="shared" si="377"/>
        <v>1.0960295617580411</v>
      </c>
      <c r="EB57" s="35">
        <f t="shared" si="378"/>
        <v>1.096029707789421</v>
      </c>
      <c r="EC57" s="35">
        <f t="shared" si="379"/>
        <v>1.0960296347737311</v>
      </c>
      <c r="ED57" s="35">
        <f t="shared" si="380"/>
        <v>2.2201355864837069E-8</v>
      </c>
      <c r="EE57" s="35">
        <f t="shared" si="381"/>
        <v>1.0960296347737311</v>
      </c>
      <c r="EF57" s="35">
        <f t="shared" si="382"/>
        <v>1.096029707789421</v>
      </c>
      <c r="EG57" s="35">
        <f t="shared" si="383"/>
        <v>1.096029671281576</v>
      </c>
      <c r="EH57" s="35">
        <f t="shared" si="384"/>
        <v>-7.5358630446942243E-10</v>
      </c>
      <c r="EI57" s="35">
        <f t="shared" si="385"/>
        <v>1.0960296347737311</v>
      </c>
      <c r="EJ57" s="35">
        <f t="shared" si="386"/>
        <v>1.096029671281576</v>
      </c>
      <c r="EK57" s="35">
        <f t="shared" si="387"/>
        <v>1.0960296530276534</v>
      </c>
      <c r="EL57" s="35">
        <f t="shared" si="388"/>
        <v>1.0723884669161521E-8</v>
      </c>
      <c r="EM57" s="35">
        <f t="shared" si="389"/>
        <v>1.0960296530276534</v>
      </c>
      <c r="EN57" s="35">
        <f t="shared" si="390"/>
        <v>1.096029671281576</v>
      </c>
      <c r="EO57" s="35">
        <f t="shared" si="391"/>
        <v>1.0960296621546148</v>
      </c>
      <c r="EP57" s="35">
        <f t="shared" si="392"/>
        <v>4.9851491823460492E-9</v>
      </c>
      <c r="EQ57" s="35">
        <f t="shared" si="393"/>
        <v>1.0960296621546148</v>
      </c>
      <c r="ER57" s="35">
        <f t="shared" si="394"/>
        <v>1.096029671281576</v>
      </c>
      <c r="ES57" s="35">
        <f t="shared" si="395"/>
        <v>1.0960296667180955</v>
      </c>
      <c r="ET57" s="35">
        <f t="shared" si="396"/>
        <v>2.1157813279160109E-9</v>
      </c>
      <c r="EU57" s="35">
        <f t="shared" si="397"/>
        <v>1.0960296667180955</v>
      </c>
      <c r="EV57" s="35">
        <f t="shared" si="398"/>
        <v>1.096029671281576</v>
      </c>
      <c r="EW57" s="35">
        <f t="shared" si="399"/>
        <v>1.0960296689998357</v>
      </c>
      <c r="EX57" s="35">
        <f t="shared" si="400"/>
        <v>6.8109762274559671E-10</v>
      </c>
      <c r="EY57" s="35">
        <f t="shared" si="401"/>
        <v>1.0960296689998357</v>
      </c>
      <c r="EZ57" s="35">
        <f t="shared" si="402"/>
        <v>1.096029671281576</v>
      </c>
      <c r="FA57" s="10">
        <v>9.9999999999999995E-7</v>
      </c>
      <c r="FB57" s="10">
        <v>0.99990000000000001</v>
      </c>
      <c r="FC57" s="35">
        <f t="shared" si="403"/>
        <v>0.49995050000000002</v>
      </c>
      <c r="FD57" s="35">
        <f t="shared" si="404"/>
        <v>-0.23105164599075734</v>
      </c>
      <c r="FE57" s="35">
        <f t="shared" si="405"/>
        <v>9.9999999999999995E-7</v>
      </c>
      <c r="FF57" s="35">
        <f t="shared" si="406"/>
        <v>0.49995050000000002</v>
      </c>
      <c r="FG57" s="35">
        <f t="shared" si="407"/>
        <v>0.24997575</v>
      </c>
      <c r="FH57" s="35">
        <f t="shared" si="408"/>
        <v>-9.7130831970073883E-2</v>
      </c>
      <c r="FI57" s="35">
        <f t="shared" si="409"/>
        <v>9.9999999999999995E-7</v>
      </c>
      <c r="FJ57" s="35">
        <f t="shared" si="410"/>
        <v>0.24997575</v>
      </c>
      <c r="FK57" s="35">
        <f t="shared" si="411"/>
        <v>0.124988375</v>
      </c>
      <c r="FL57" s="35">
        <f t="shared" si="412"/>
        <v>-3.1739640347379638E-2</v>
      </c>
      <c r="FM57" s="35">
        <f t="shared" si="413"/>
        <v>9.9999999999999995E-7</v>
      </c>
      <c r="FN57" s="35">
        <f t="shared" si="414"/>
        <v>0.124988375</v>
      </c>
      <c r="FO57" s="35">
        <f t="shared" si="415"/>
        <v>6.24946875E-2</v>
      </c>
      <c r="FP57" s="35">
        <f t="shared" si="416"/>
        <v>-9.696521845936612E-5</v>
      </c>
      <c r="FQ57" s="35">
        <f t="shared" si="417"/>
        <v>9.9999999999999995E-7</v>
      </c>
      <c r="FR57" s="35">
        <f t="shared" si="418"/>
        <v>6.24946875E-2</v>
      </c>
      <c r="FS57" s="35">
        <f t="shared" si="419"/>
        <v>3.124784375E-2</v>
      </c>
      <c r="FT57" s="35">
        <f t="shared" si="420"/>
        <v>1.5401042986277869E-2</v>
      </c>
      <c r="FU57" s="35">
        <f t="shared" si="421"/>
        <v>3.124784375E-2</v>
      </c>
      <c r="FV57" s="35">
        <f t="shared" si="422"/>
        <v>6.24946875E-2</v>
      </c>
      <c r="FW57" s="35">
        <f t="shared" si="423"/>
        <v>4.6871265624999998E-2</v>
      </c>
      <c r="FX57" s="35">
        <f t="shared" si="424"/>
        <v>7.680441669428939E-3</v>
      </c>
      <c r="FY57" s="35">
        <f t="shared" si="425"/>
        <v>4.6871265624999998E-2</v>
      </c>
      <c r="FZ57" s="35">
        <f t="shared" si="426"/>
        <v>6.24946875E-2</v>
      </c>
      <c r="GA57" s="35">
        <f t="shared" si="427"/>
        <v>5.4682976562499999E-2</v>
      </c>
      <c r="GB57" s="35">
        <f t="shared" si="428"/>
        <v>3.7987380334674192E-3</v>
      </c>
      <c r="GC57" s="35">
        <f t="shared" si="429"/>
        <v>5.4682976562499999E-2</v>
      </c>
      <c r="GD57" s="35">
        <f t="shared" si="430"/>
        <v>6.24946875E-2</v>
      </c>
      <c r="GE57" s="35">
        <f t="shared" si="431"/>
        <v>5.8588832031249996E-2</v>
      </c>
      <c r="GF57" s="35">
        <f t="shared" si="432"/>
        <v>1.8526233385633972E-3</v>
      </c>
      <c r="GG57" s="35">
        <f t="shared" si="433"/>
        <v>5.8588832031249996E-2</v>
      </c>
      <c r="GH57" s="35">
        <f t="shared" si="434"/>
        <v>6.24946875E-2</v>
      </c>
      <c r="GI57" s="35">
        <f t="shared" si="435"/>
        <v>6.0541759765624995E-2</v>
      </c>
      <c r="GJ57" s="35">
        <f t="shared" si="436"/>
        <v>8.7826163945048386E-4</v>
      </c>
      <c r="GK57" s="35">
        <f t="shared" si="437"/>
        <v>6.0541759765624995E-2</v>
      </c>
      <c r="GL57" s="35">
        <f t="shared" si="438"/>
        <v>6.24946875E-2</v>
      </c>
      <c r="GM57" s="35">
        <f t="shared" si="439"/>
        <v>6.1518223632812494E-2</v>
      </c>
      <c r="GN57" s="35">
        <f t="shared" si="440"/>
        <v>3.9075614706129969E-4</v>
      </c>
      <c r="GO57" s="35">
        <f t="shared" si="441"/>
        <v>6.1518223632812494E-2</v>
      </c>
      <c r="GP57" s="35">
        <f t="shared" si="442"/>
        <v>6.24946875E-2</v>
      </c>
      <c r="GQ57" s="35">
        <f t="shared" si="443"/>
        <v>6.2006455566406243E-2</v>
      </c>
      <c r="GR57" s="35">
        <f t="shared" si="444"/>
        <v>1.4692242230585073E-4</v>
      </c>
      <c r="GS57" s="35">
        <f t="shared" si="445"/>
        <v>6.2006455566406243E-2</v>
      </c>
      <c r="GT57" s="35">
        <f t="shared" si="446"/>
        <v>6.24946875E-2</v>
      </c>
      <c r="GU57" s="35">
        <f t="shared" si="447"/>
        <v>6.2250571533203125E-2</v>
      </c>
      <c r="GV57" s="35">
        <f t="shared" si="448"/>
        <v>2.4985338151317649E-5</v>
      </c>
      <c r="GW57" s="35">
        <f t="shared" si="449"/>
        <v>6.2250571533203125E-2</v>
      </c>
      <c r="GX57" s="35">
        <f t="shared" si="450"/>
        <v>6.24946875E-2</v>
      </c>
      <c r="GY57" s="35">
        <f t="shared" si="451"/>
        <v>6.2372629516601566E-2</v>
      </c>
      <c r="GZ57" s="35">
        <f t="shared" si="452"/>
        <v>-3.5988256506747085E-5</v>
      </c>
      <c r="HA57" s="35">
        <f t="shared" si="453"/>
        <v>6.2250571533203125E-2</v>
      </c>
      <c r="HB57" s="35">
        <f t="shared" si="454"/>
        <v>6.2372629516601566E-2</v>
      </c>
      <c r="HC57" s="35">
        <f t="shared" si="455"/>
        <v>6.2311600524902346E-2</v>
      </c>
      <c r="HD57" s="35">
        <f t="shared" si="456"/>
        <v>-5.5010382147280268E-6</v>
      </c>
      <c r="HE57" s="35">
        <f t="shared" si="457"/>
        <v>6.2250571533203125E-2</v>
      </c>
      <c r="HF57" s="35">
        <f t="shared" si="458"/>
        <v>6.2311600524902346E-2</v>
      </c>
      <c r="HG57" s="35">
        <f t="shared" si="459"/>
        <v>6.2281086029052732E-2</v>
      </c>
      <c r="HH57" s="35">
        <f t="shared" si="460"/>
        <v>9.742255215439144E-6</v>
      </c>
      <c r="HI57" s="35">
        <f t="shared" si="461"/>
        <v>6.2281086029052732E-2</v>
      </c>
      <c r="HJ57" s="35">
        <f t="shared" si="462"/>
        <v>6.2311600524902346E-2</v>
      </c>
      <c r="HK57" s="35">
        <f t="shared" si="463"/>
        <v>6.2296343276977542E-2</v>
      </c>
      <c r="HL57" s="35">
        <f t="shared" si="464"/>
        <v>2.1206348115310192E-6</v>
      </c>
      <c r="HM57" s="35">
        <f t="shared" si="465"/>
        <v>6.2296343276977542E-2</v>
      </c>
      <c r="HN57" s="35">
        <f t="shared" si="466"/>
        <v>6.2311600524902346E-2</v>
      </c>
      <c r="HO57" s="35">
        <f t="shared" si="467"/>
        <v>6.2303971900939947E-2</v>
      </c>
      <c r="HP57" s="35">
        <f t="shared" si="468"/>
        <v>-1.6901951239711721E-6</v>
      </c>
      <c r="HQ57" s="35">
        <f t="shared" si="469"/>
        <v>6.2296343276977542E-2</v>
      </c>
      <c r="HR57" s="35">
        <f t="shared" si="470"/>
        <v>6.2303971900939947E-2</v>
      </c>
      <c r="HS57" s="35">
        <f t="shared" si="471"/>
        <v>6.2300157588958745E-2</v>
      </c>
      <c r="HT57" s="35">
        <f t="shared" si="472"/>
        <v>2.1522148818675646E-7</v>
      </c>
      <c r="HU57" s="35">
        <f t="shared" si="473"/>
        <v>6.2300157588958745E-2</v>
      </c>
      <c r="HV57" s="35">
        <f t="shared" si="474"/>
        <v>6.2303971900939947E-2</v>
      </c>
      <c r="HW57" s="35">
        <f t="shared" si="475"/>
        <v>6.2302064744949343E-2</v>
      </c>
      <c r="HX57" s="35">
        <f t="shared" si="476"/>
        <v>-7.3748640683213296E-7</v>
      </c>
      <c r="HY57" s="35">
        <f t="shared" si="477"/>
        <v>6.2300157588958745E-2</v>
      </c>
      <c r="HZ57" s="35">
        <f t="shared" si="478"/>
        <v>6.2302064744949343E-2</v>
      </c>
      <c r="IA57" s="35">
        <f t="shared" si="479"/>
        <v>6.230111116695404E-2</v>
      </c>
      <c r="IB57" s="35">
        <f t="shared" si="480"/>
        <v>-2.6113235651603617E-7</v>
      </c>
      <c r="IC57" s="35">
        <f t="shared" si="481"/>
        <v>6.2300157588958745E-2</v>
      </c>
      <c r="ID57" s="35">
        <f t="shared" si="482"/>
        <v>6.230111116695404E-2</v>
      </c>
      <c r="IE57" s="35">
        <f t="shared" si="483"/>
        <v>6.2300634377956396E-2</v>
      </c>
      <c r="IF57" s="35">
        <f t="shared" si="484"/>
        <v>-2.2955408573999136E-8</v>
      </c>
      <c r="IG57" s="35">
        <f t="shared" si="485"/>
        <v>6.2300157588958745E-2</v>
      </c>
      <c r="IH57" s="35">
        <f t="shared" si="486"/>
        <v>6.2300634377956396E-2</v>
      </c>
      <c r="II57" s="35">
        <f t="shared" si="487"/>
        <v>6.2300395983457574E-2</v>
      </c>
      <c r="IJ57" s="35">
        <f t="shared" si="488"/>
        <v>9.6133046190161053E-8</v>
      </c>
      <c r="IK57" s="35">
        <f t="shared" si="489"/>
        <v>6.2300395983457574E-2</v>
      </c>
      <c r="IL57" s="35">
        <f t="shared" si="490"/>
        <v>6.2300634377956396E-2</v>
      </c>
      <c r="IM57" s="35">
        <f t="shared" si="491"/>
        <v>6.2300515180706985E-2</v>
      </c>
      <c r="IN57" s="35">
        <f t="shared" si="492"/>
        <v>3.6588820417904344E-8</v>
      </c>
      <c r="IO57" s="35">
        <f t="shared" si="493"/>
        <v>6.2300515180706985E-2</v>
      </c>
      <c r="IP57" s="35">
        <f t="shared" si="494"/>
        <v>6.2300634377956396E-2</v>
      </c>
      <c r="IQ57" s="35">
        <f t="shared" si="495"/>
        <v>6.2300574779331694E-2</v>
      </c>
      <c r="IR57" s="35">
        <f t="shared" si="496"/>
        <v>6.8167063105306624E-9</v>
      </c>
      <c r="IS57" s="35">
        <f t="shared" si="497"/>
        <v>6.2300574779331694E-2</v>
      </c>
      <c r="IT57" s="35">
        <f t="shared" si="498"/>
        <v>6.2300634377956396E-2</v>
      </c>
      <c r="IU57" s="35">
        <f t="shared" si="499"/>
        <v>6.2300604578644045E-2</v>
      </c>
      <c r="IV57" s="35">
        <f t="shared" si="500"/>
        <v>-8.0693510762230858E-9</v>
      </c>
      <c r="IW57" s="35">
        <f t="shared" si="501"/>
        <v>6.2300574779331694E-2</v>
      </c>
      <c r="IX57" s="35">
        <f t="shared" si="502"/>
        <v>6.2300604578644045E-2</v>
      </c>
      <c r="IY57" s="35">
        <f t="shared" si="503"/>
        <v>6.2300589678987869E-2</v>
      </c>
      <c r="IZ57" s="35">
        <f t="shared" si="504"/>
        <v>-6.2632221631275797E-10</v>
      </c>
      <c r="JA57" s="35">
        <f t="shared" si="505"/>
        <v>6.2300574779331694E-2</v>
      </c>
      <c r="JB57" s="35">
        <f t="shared" si="506"/>
        <v>6.2300589678987869E-2</v>
      </c>
      <c r="JC57" s="35">
        <f t="shared" si="507"/>
        <v>6.2300582229159782E-2</v>
      </c>
      <c r="JD57" s="35">
        <f t="shared" si="508"/>
        <v>3.0951918805754985E-9</v>
      </c>
      <c r="JE57" s="35">
        <f t="shared" si="509"/>
        <v>6.2300582229159782E-2</v>
      </c>
      <c r="JF57" s="35">
        <f t="shared" si="510"/>
        <v>6.2300589678987869E-2</v>
      </c>
      <c r="JG57" s="35">
        <f t="shared" si="511"/>
        <v>6.2300585954073825E-2</v>
      </c>
      <c r="JH57" s="35">
        <f t="shared" si="512"/>
        <v>1.2344347766202191E-9</v>
      </c>
      <c r="JI57" s="35">
        <f t="shared" si="513"/>
        <v>6.2300585954073825E-2</v>
      </c>
      <c r="JJ57" s="35">
        <f t="shared" si="514"/>
        <v>6.2300589678987869E-2</v>
      </c>
      <c r="JK57" s="35">
        <f t="shared" si="515"/>
        <v>6.2300587816530847E-2</v>
      </c>
      <c r="JL57" s="35">
        <f t="shared" si="516"/>
        <v>3.0405611362027685E-10</v>
      </c>
      <c r="JM57" s="35">
        <f t="shared" si="517"/>
        <v>6.2300587816530847E-2</v>
      </c>
      <c r="JN57" s="35">
        <f t="shared" si="518"/>
        <v>6.2300589678987869E-2</v>
      </c>
      <c r="JO57" s="35">
        <f t="shared" si="519"/>
        <v>6.2300588747759358E-2</v>
      </c>
      <c r="JP57" s="35">
        <f t="shared" si="520"/>
        <v>-1.6113310685739179E-10</v>
      </c>
      <c r="JQ57" s="35">
        <f t="shared" si="521"/>
        <v>6.2300587816530847E-2</v>
      </c>
      <c r="JR57" s="35">
        <f t="shared" si="522"/>
        <v>6.2300588747759358E-2</v>
      </c>
      <c r="JS57" s="35">
        <f t="shared" si="523"/>
        <v>6.2300588282145103E-2</v>
      </c>
      <c r="JT57" s="35">
        <f t="shared" si="524"/>
        <v>7.1461503381442526E-11</v>
      </c>
      <c r="JU57" s="35">
        <f t="shared" si="525"/>
        <v>6.2300588282145103E-2</v>
      </c>
      <c r="JV57" s="35">
        <f t="shared" si="526"/>
        <v>6.2300588747759358E-2</v>
      </c>
      <c r="JW57" s="35">
        <f t="shared" si="527"/>
        <v>6.2300588514952231E-2</v>
      </c>
      <c r="JX57" s="35">
        <f t="shared" si="528"/>
        <v>-4.4835801737974634E-11</v>
      </c>
      <c r="JY57" s="35">
        <f t="shared" si="529"/>
        <v>6.2300588282145103E-2</v>
      </c>
      <c r="JZ57" s="35">
        <f t="shared" si="530"/>
        <v>6.2300588514952231E-2</v>
      </c>
      <c r="KA57" s="35">
        <f t="shared" si="531"/>
        <v>1.0960296701407057</v>
      </c>
      <c r="KB57" s="35">
        <f t="shared" si="532"/>
        <v>6.230058839854867E-2</v>
      </c>
    </row>
    <row r="58" spans="1:288" ht="15" customHeight="1" x14ac:dyDescent="0.3">
      <c r="A58" s="30">
        <f>Odds_Input!A58</f>
        <v>50</v>
      </c>
      <c r="B58" s="7" t="str">
        <f>Odds_Input!B58</f>
        <v>CONF_WEST</v>
      </c>
      <c r="C58" s="7" t="str">
        <f>Odds_Input!C58</f>
        <v>Los Angeles Lakers</v>
      </c>
      <c r="D58" s="7" t="str">
        <f>Odds_Input!D58</f>
        <v>YES</v>
      </c>
      <c r="E58" s="31" t="str">
        <f>Odds_Input!E58</f>
        <v>-</v>
      </c>
      <c r="F58" s="32">
        <f>Odds_Input!F58</f>
        <v>1725</v>
      </c>
      <c r="G58" s="6" t="str">
        <f t="shared" si="0"/>
        <v>CONF_WEST</v>
      </c>
      <c r="H58" s="14">
        <f t="shared" si="1"/>
        <v>18.25</v>
      </c>
      <c r="I58" s="33">
        <f t="shared" si="2"/>
        <v>5.4794520547945202E-2</v>
      </c>
      <c r="J58" s="17">
        <f t="shared" si="3"/>
        <v>1</v>
      </c>
      <c r="K58" s="17">
        <f t="shared" si="4"/>
        <v>15</v>
      </c>
      <c r="L58" s="18">
        <f t="shared" si="5"/>
        <v>1.1953442022676133</v>
      </c>
      <c r="M58" s="34">
        <f t="shared" si="6"/>
        <v>0.19534420226761329</v>
      </c>
      <c r="N58" s="33">
        <f t="shared" si="7"/>
        <v>4.5839951742768247E-2</v>
      </c>
      <c r="O58" s="33">
        <f t="shared" si="8"/>
        <v>3.85664006764131E-2</v>
      </c>
      <c r="P58" s="33">
        <f t="shared" si="9"/>
        <v>4.1478803448568906E-2</v>
      </c>
      <c r="Q58" s="33">
        <f t="shared" si="10"/>
        <v>4.1478803448568906E-2</v>
      </c>
      <c r="R58" s="35">
        <f t="shared" si="11"/>
        <v>1.120932777808048</v>
      </c>
      <c r="S58" s="35">
        <f t="shared" si="12"/>
        <v>1.9902430363003976E-2</v>
      </c>
      <c r="X58" s="6" t="s">
        <v>833</v>
      </c>
      <c r="Y58" s="6">
        <f t="shared" si="273"/>
        <v>1</v>
      </c>
      <c r="Z58" s="18">
        <f t="shared" si="274"/>
        <v>1.0505050505050506</v>
      </c>
      <c r="AA58" s="10">
        <v>0.2</v>
      </c>
      <c r="AB58" s="10">
        <v>10</v>
      </c>
      <c r="AC58" s="35">
        <f t="shared" si="275"/>
        <v>5.0999999999999996</v>
      </c>
      <c r="AD58" s="35">
        <f t="shared" si="276"/>
        <v>-0.73005148798809927</v>
      </c>
      <c r="AE58" s="35">
        <f t="shared" si="277"/>
        <v>0.2</v>
      </c>
      <c r="AF58" s="35">
        <f t="shared" si="278"/>
        <v>5.0999999999999996</v>
      </c>
      <c r="AG58" s="35">
        <f t="shared" si="279"/>
        <v>2.65</v>
      </c>
      <c r="AH58" s="35">
        <f t="shared" si="280"/>
        <v>-0.46146721780971411</v>
      </c>
      <c r="AI58" s="35">
        <f t="shared" si="281"/>
        <v>0.2</v>
      </c>
      <c r="AJ58" s="35">
        <f t="shared" si="282"/>
        <v>2.65</v>
      </c>
      <c r="AK58" s="35">
        <f t="shared" si="283"/>
        <v>1.425</v>
      </c>
      <c r="AL58" s="35">
        <f t="shared" si="284"/>
        <v>-0.14630757804655559</v>
      </c>
      <c r="AM58" s="35">
        <f t="shared" si="285"/>
        <v>0.2</v>
      </c>
      <c r="AN58" s="35">
        <f t="shared" si="286"/>
        <v>1.425</v>
      </c>
      <c r="AO58" s="35">
        <f t="shared" si="287"/>
        <v>0.8125</v>
      </c>
      <c r="AP58" s="35">
        <f t="shared" si="288"/>
        <v>0.16418747079046758</v>
      </c>
      <c r="AQ58" s="35">
        <f t="shared" si="289"/>
        <v>0.8125</v>
      </c>
      <c r="AR58" s="35">
        <f t="shared" si="290"/>
        <v>1.425</v>
      </c>
      <c r="AS58" s="35">
        <f t="shared" si="291"/>
        <v>1.1187499999999999</v>
      </c>
      <c r="AT58" s="35">
        <f t="shared" si="292"/>
        <v>-1.1991566701657685E-2</v>
      </c>
      <c r="AU58" s="35">
        <f t="shared" si="293"/>
        <v>0.8125</v>
      </c>
      <c r="AV58" s="35">
        <f t="shared" si="294"/>
        <v>1.1187499999999999</v>
      </c>
      <c r="AW58" s="35">
        <f t="shared" si="295"/>
        <v>0.96562499999999996</v>
      </c>
      <c r="AX58" s="35">
        <f t="shared" si="296"/>
        <v>6.9888491922895923E-2</v>
      </c>
      <c r="AY58" s="35">
        <f t="shared" si="297"/>
        <v>0.96562499999999996</v>
      </c>
      <c r="AZ58" s="35">
        <f t="shared" si="298"/>
        <v>1.1187499999999999</v>
      </c>
      <c r="BA58" s="35">
        <f t="shared" si="299"/>
        <v>1.0421874999999998</v>
      </c>
      <c r="BB58" s="35">
        <f t="shared" si="300"/>
        <v>2.7532953825175621E-2</v>
      </c>
      <c r="BC58" s="35">
        <f t="shared" si="301"/>
        <v>1.0421874999999998</v>
      </c>
      <c r="BD58" s="35">
        <f t="shared" si="302"/>
        <v>1.1187499999999999</v>
      </c>
      <c r="BE58" s="35">
        <f t="shared" si="303"/>
        <v>1.0804687499999999</v>
      </c>
      <c r="BF58" s="35">
        <f t="shared" si="304"/>
        <v>7.4325164721233961E-3</v>
      </c>
      <c r="BG58" s="35">
        <f t="shared" si="305"/>
        <v>1.0804687499999999</v>
      </c>
      <c r="BH58" s="35">
        <f t="shared" si="306"/>
        <v>1.1187499999999999</v>
      </c>
      <c r="BI58" s="35">
        <f t="shared" si="307"/>
        <v>1.099609375</v>
      </c>
      <c r="BJ58" s="35">
        <f t="shared" si="308"/>
        <v>-2.3621884945366212E-3</v>
      </c>
      <c r="BK58" s="35">
        <f t="shared" si="309"/>
        <v>1.0804687499999999</v>
      </c>
      <c r="BL58" s="35">
        <f t="shared" si="310"/>
        <v>1.099609375</v>
      </c>
      <c r="BM58" s="35">
        <f t="shared" si="311"/>
        <v>1.0900390624999998</v>
      </c>
      <c r="BN58" s="35">
        <f t="shared" si="312"/>
        <v>2.514266561080003E-3</v>
      </c>
      <c r="BO58" s="35">
        <f t="shared" si="313"/>
        <v>1.0900390624999998</v>
      </c>
      <c r="BP58" s="35">
        <f t="shared" si="314"/>
        <v>1.099609375</v>
      </c>
      <c r="BQ58" s="35">
        <f t="shared" si="315"/>
        <v>1.0948242187499999</v>
      </c>
      <c r="BR58" s="35">
        <f t="shared" si="316"/>
        <v>7.0843841783574391E-5</v>
      </c>
      <c r="BS58" s="35">
        <f t="shared" si="317"/>
        <v>1.0948242187499999</v>
      </c>
      <c r="BT58" s="35">
        <f t="shared" si="318"/>
        <v>1.099609375</v>
      </c>
      <c r="BU58" s="35">
        <f t="shared" si="319"/>
        <v>1.097216796875</v>
      </c>
      <c r="BV58" s="35">
        <f t="shared" si="320"/>
        <v>-1.1469674977127031E-3</v>
      </c>
      <c r="BW58" s="35">
        <f t="shared" si="321"/>
        <v>1.0948242187499999</v>
      </c>
      <c r="BX58" s="35">
        <f t="shared" si="322"/>
        <v>1.097216796875</v>
      </c>
      <c r="BY58" s="35">
        <f t="shared" si="323"/>
        <v>1.0960205078124998</v>
      </c>
      <c r="BZ58" s="35">
        <f t="shared" si="324"/>
        <v>-5.3838607326428534E-4</v>
      </c>
      <c r="CA58" s="35">
        <f t="shared" si="325"/>
        <v>1.0948242187499999</v>
      </c>
      <c r="CB58" s="35">
        <f t="shared" si="326"/>
        <v>1.0960205078124998</v>
      </c>
      <c r="CC58" s="35">
        <f t="shared" si="327"/>
        <v>1.0954223632812499</v>
      </c>
      <c r="CD58" s="35">
        <f t="shared" si="328"/>
        <v>-2.3385223369798425E-4</v>
      </c>
      <c r="CE58" s="35">
        <f t="shared" si="329"/>
        <v>1.0948242187499999</v>
      </c>
      <c r="CF58" s="35">
        <f t="shared" si="330"/>
        <v>1.0954223632812499</v>
      </c>
      <c r="CG58" s="35">
        <f t="shared" si="331"/>
        <v>1.095123291015625</v>
      </c>
      <c r="CH58" s="35">
        <f t="shared" si="332"/>
        <v>-8.1524482530404008E-5</v>
      </c>
      <c r="CI58" s="35">
        <f t="shared" si="333"/>
        <v>1.0948242187499999</v>
      </c>
      <c r="CJ58" s="35">
        <f t="shared" si="334"/>
        <v>1.095123291015625</v>
      </c>
      <c r="CK58" s="35">
        <f t="shared" si="335"/>
        <v>1.0949737548828125</v>
      </c>
      <c r="CL58" s="35">
        <f t="shared" si="336"/>
        <v>-5.3453929025337743E-6</v>
      </c>
      <c r="CM58" s="35">
        <f t="shared" si="337"/>
        <v>1.0948242187499999</v>
      </c>
      <c r="CN58" s="35">
        <f t="shared" si="338"/>
        <v>1.0949737548828125</v>
      </c>
      <c r="CO58" s="35">
        <f t="shared" si="339"/>
        <v>1.0948989868164061</v>
      </c>
      <c r="CP58" s="35">
        <f t="shared" si="340"/>
        <v>3.2747956197676231E-5</v>
      </c>
      <c r="CQ58" s="35">
        <f t="shared" si="341"/>
        <v>1.0948989868164061</v>
      </c>
      <c r="CR58" s="35">
        <f t="shared" si="342"/>
        <v>1.0949737548828125</v>
      </c>
      <c r="CS58" s="35">
        <f t="shared" si="343"/>
        <v>1.0949363708496094</v>
      </c>
      <c r="CT58" s="35">
        <f t="shared" si="344"/>
        <v>1.3700964600626975E-5</v>
      </c>
      <c r="CU58" s="35">
        <f t="shared" si="345"/>
        <v>1.0949363708496094</v>
      </c>
      <c r="CV58" s="35">
        <f t="shared" si="346"/>
        <v>1.0949737548828125</v>
      </c>
      <c r="CW58" s="35">
        <f t="shared" si="347"/>
        <v>1.094955062866211</v>
      </c>
      <c r="CX58" s="35">
        <f t="shared" si="348"/>
        <v>4.1777065891146492E-6</v>
      </c>
      <c r="CY58" s="35">
        <f t="shared" si="349"/>
        <v>1.094955062866211</v>
      </c>
      <c r="CZ58" s="35">
        <f t="shared" si="350"/>
        <v>1.0949737548828125</v>
      </c>
      <c r="DA58" s="35">
        <f t="shared" si="351"/>
        <v>1.0949644088745116</v>
      </c>
      <c r="DB58" s="35">
        <f t="shared" si="352"/>
        <v>-5.8386297141499455E-7</v>
      </c>
      <c r="DC58" s="35">
        <f t="shared" si="353"/>
        <v>1.094955062866211</v>
      </c>
      <c r="DD58" s="35">
        <f t="shared" si="354"/>
        <v>1.0949644088745116</v>
      </c>
      <c r="DE58" s="35">
        <f t="shared" si="355"/>
        <v>1.0949597358703613</v>
      </c>
      <c r="DF58" s="35">
        <f t="shared" si="356"/>
        <v>1.7969168550902026E-6</v>
      </c>
      <c r="DG58" s="35">
        <f t="shared" si="357"/>
        <v>1.0949597358703613</v>
      </c>
      <c r="DH58" s="35">
        <f t="shared" si="358"/>
        <v>1.0949644088745116</v>
      </c>
      <c r="DI58" s="35">
        <f t="shared" si="359"/>
        <v>1.0949620723724365</v>
      </c>
      <c r="DJ58" s="35">
        <f t="shared" si="360"/>
        <v>6.0652570343933121E-7</v>
      </c>
      <c r="DK58" s="35">
        <f t="shared" si="361"/>
        <v>1.0949620723724365</v>
      </c>
      <c r="DL58" s="35">
        <f t="shared" si="362"/>
        <v>1.0949644088745116</v>
      </c>
      <c r="DM58" s="35">
        <f t="shared" si="363"/>
        <v>1.0949632406234739</v>
      </c>
      <c r="DN58" s="35">
        <f t="shared" si="364"/>
        <v>1.1331056315455612E-8</v>
      </c>
      <c r="DO58" s="35">
        <f t="shared" si="365"/>
        <v>1.0949632406234739</v>
      </c>
      <c r="DP58" s="35">
        <f t="shared" si="366"/>
        <v>1.0949644088745116</v>
      </c>
      <c r="DQ58" s="35">
        <f t="shared" si="367"/>
        <v>1.0949638247489928</v>
      </c>
      <c r="DR58" s="35">
        <f t="shared" si="368"/>
        <v>-2.8626603487680313E-7</v>
      </c>
      <c r="DS58" s="35">
        <f t="shared" si="369"/>
        <v>1.0949632406234739</v>
      </c>
      <c r="DT58" s="35">
        <f t="shared" si="370"/>
        <v>1.0949638247489928</v>
      </c>
      <c r="DU58" s="35">
        <f t="shared" si="371"/>
        <v>1.0949635326862333</v>
      </c>
      <c r="DV58" s="35">
        <f t="shared" si="372"/>
        <v>-1.3746750848753209E-7</v>
      </c>
      <c r="DW58" s="35">
        <f t="shared" si="373"/>
        <v>1.0949632406234739</v>
      </c>
      <c r="DX58" s="35">
        <f t="shared" si="374"/>
        <v>1.0949635326862333</v>
      </c>
      <c r="DY58" s="35">
        <f t="shared" si="375"/>
        <v>1.0949633866548536</v>
      </c>
      <c r="DZ58" s="35">
        <f t="shared" si="376"/>
        <v>-6.3068230859997243E-8</v>
      </c>
      <c r="EA58" s="35">
        <f t="shared" si="377"/>
        <v>1.0949632406234739</v>
      </c>
      <c r="EB58" s="35">
        <f t="shared" si="378"/>
        <v>1.0949633866548536</v>
      </c>
      <c r="EC58" s="35">
        <f t="shared" si="379"/>
        <v>1.0949633136391639</v>
      </c>
      <c r="ED58" s="35">
        <f t="shared" si="380"/>
        <v>-2.5868588493516143E-8</v>
      </c>
      <c r="EE58" s="35">
        <f t="shared" si="381"/>
        <v>1.0949632406234739</v>
      </c>
      <c r="EF58" s="35">
        <f t="shared" si="382"/>
        <v>1.0949633136391639</v>
      </c>
      <c r="EG58" s="35">
        <f t="shared" si="383"/>
        <v>1.0949632771313189</v>
      </c>
      <c r="EH58" s="35">
        <f t="shared" si="384"/>
        <v>-7.2687663665860214E-9</v>
      </c>
      <c r="EI58" s="35">
        <f t="shared" si="385"/>
        <v>1.0949632406234739</v>
      </c>
      <c r="EJ58" s="35">
        <f t="shared" si="386"/>
        <v>1.0949632771313189</v>
      </c>
      <c r="EK58" s="35">
        <f t="shared" si="387"/>
        <v>1.0949632588773963</v>
      </c>
      <c r="EL58" s="35">
        <f t="shared" si="388"/>
        <v>2.0311450299459466E-9</v>
      </c>
      <c r="EM58" s="35">
        <f t="shared" si="389"/>
        <v>1.0949632588773963</v>
      </c>
      <c r="EN58" s="35">
        <f t="shared" si="390"/>
        <v>1.0949632771313189</v>
      </c>
      <c r="EO58" s="35">
        <f t="shared" si="391"/>
        <v>1.0949632680043577</v>
      </c>
      <c r="EP58" s="35">
        <f t="shared" si="392"/>
        <v>-2.6188106128088862E-9</v>
      </c>
      <c r="EQ58" s="35">
        <f t="shared" si="393"/>
        <v>1.0949632588773963</v>
      </c>
      <c r="ER58" s="35">
        <f t="shared" si="394"/>
        <v>1.0949632680043577</v>
      </c>
      <c r="ES58" s="35">
        <f t="shared" si="395"/>
        <v>1.094963263440877</v>
      </c>
      <c r="ET58" s="35">
        <f t="shared" si="396"/>
        <v>-2.9383284694262102E-10</v>
      </c>
      <c r="EU58" s="35">
        <f t="shared" si="397"/>
        <v>1.0949632588773963</v>
      </c>
      <c r="EV58" s="35">
        <f t="shared" si="398"/>
        <v>1.094963263440877</v>
      </c>
      <c r="EW58" s="35">
        <f t="shared" si="399"/>
        <v>1.0949632611591367</v>
      </c>
      <c r="EX58" s="35">
        <f t="shared" si="400"/>
        <v>8.6865603599051155E-10</v>
      </c>
      <c r="EY58" s="35">
        <f t="shared" si="401"/>
        <v>1.0949632611591367</v>
      </c>
      <c r="EZ58" s="35">
        <f t="shared" si="402"/>
        <v>1.094963263440877</v>
      </c>
      <c r="FA58" s="10">
        <v>9.9999999999999995E-7</v>
      </c>
      <c r="FB58" s="10">
        <v>0.99990000000000001</v>
      </c>
      <c r="FC58" s="35">
        <f t="shared" si="403"/>
        <v>0.49995050000000002</v>
      </c>
      <c r="FD58" s="35">
        <f t="shared" si="404"/>
        <v>-0.19235554940513533</v>
      </c>
      <c r="FE58" s="35">
        <f t="shared" si="405"/>
        <v>9.9999999999999995E-7</v>
      </c>
      <c r="FF58" s="35">
        <f t="shared" si="406"/>
        <v>0.49995050000000002</v>
      </c>
      <c r="FG58" s="35">
        <f t="shared" si="407"/>
        <v>0.24997575</v>
      </c>
      <c r="FH58" s="35">
        <f t="shared" si="408"/>
        <v>-9.2397335102805567E-2</v>
      </c>
      <c r="FI58" s="35">
        <f t="shared" si="409"/>
        <v>9.9999999999999995E-7</v>
      </c>
      <c r="FJ58" s="35">
        <f t="shared" si="410"/>
        <v>0.24997575</v>
      </c>
      <c r="FK58" s="35">
        <f t="shared" si="411"/>
        <v>0.124988375</v>
      </c>
      <c r="FL58" s="35">
        <f t="shared" si="412"/>
        <v>-3.5309245202609363E-2</v>
      </c>
      <c r="FM58" s="35">
        <f t="shared" si="413"/>
        <v>9.9999999999999995E-7</v>
      </c>
      <c r="FN58" s="35">
        <f t="shared" si="414"/>
        <v>0.124988375</v>
      </c>
      <c r="FO58" s="35">
        <f t="shared" si="415"/>
        <v>6.24946875E-2</v>
      </c>
      <c r="FP58" s="35">
        <f t="shared" si="416"/>
        <v>-5.4181217870348242E-3</v>
      </c>
      <c r="FQ58" s="35">
        <f t="shared" si="417"/>
        <v>9.9999999999999995E-7</v>
      </c>
      <c r="FR58" s="35">
        <f t="shared" si="418"/>
        <v>6.24946875E-2</v>
      </c>
      <c r="FS58" s="35">
        <f t="shared" si="419"/>
        <v>3.124784375E-2</v>
      </c>
      <c r="FT58" s="35">
        <f t="shared" si="420"/>
        <v>9.7263452958060714E-3</v>
      </c>
      <c r="FU58" s="35">
        <f t="shared" si="421"/>
        <v>3.124784375E-2</v>
      </c>
      <c r="FV58" s="35">
        <f t="shared" si="422"/>
        <v>6.24946875E-2</v>
      </c>
      <c r="FW58" s="35">
        <f t="shared" si="423"/>
        <v>4.6871265624999998E-2</v>
      </c>
      <c r="FX58" s="35">
        <f t="shared" si="424"/>
        <v>2.1423472731831872E-3</v>
      </c>
      <c r="FY58" s="35">
        <f t="shared" si="425"/>
        <v>4.6871265624999998E-2</v>
      </c>
      <c r="FZ58" s="35">
        <f t="shared" si="426"/>
        <v>6.24946875E-2</v>
      </c>
      <c r="GA58" s="35">
        <f t="shared" si="427"/>
        <v>5.4682976562499999E-2</v>
      </c>
      <c r="GB58" s="35">
        <f t="shared" si="428"/>
        <v>-1.6411991234362988E-3</v>
      </c>
      <c r="GC58" s="35">
        <f t="shared" si="429"/>
        <v>4.6871265624999998E-2</v>
      </c>
      <c r="GD58" s="35">
        <f t="shared" si="430"/>
        <v>5.4682976562499999E-2</v>
      </c>
      <c r="GE58" s="35">
        <f t="shared" si="431"/>
        <v>5.0777121093750002E-2</v>
      </c>
      <c r="GF58" s="35">
        <f t="shared" si="432"/>
        <v>2.4979222872412166E-4</v>
      </c>
      <c r="GG58" s="35">
        <f t="shared" si="433"/>
        <v>5.0777121093750002E-2</v>
      </c>
      <c r="GH58" s="35">
        <f t="shared" si="434"/>
        <v>5.4682976562499999E-2</v>
      </c>
      <c r="GI58" s="35">
        <f t="shared" si="435"/>
        <v>5.2730048828125001E-2</v>
      </c>
      <c r="GJ58" s="35">
        <f t="shared" si="436"/>
        <v>-6.9590469008062872E-4</v>
      </c>
      <c r="GK58" s="35">
        <f t="shared" si="437"/>
        <v>5.0777121093750002E-2</v>
      </c>
      <c r="GL58" s="35">
        <f t="shared" si="438"/>
        <v>5.2730048828125001E-2</v>
      </c>
      <c r="GM58" s="35">
        <f t="shared" si="439"/>
        <v>5.1753584960937501E-2</v>
      </c>
      <c r="GN58" s="35">
        <f t="shared" si="440"/>
        <v>-2.231058196497937E-4</v>
      </c>
      <c r="GO58" s="35">
        <f t="shared" si="441"/>
        <v>5.0777121093750002E-2</v>
      </c>
      <c r="GP58" s="35">
        <f t="shared" si="442"/>
        <v>5.1753584960937501E-2</v>
      </c>
      <c r="GQ58" s="35">
        <f t="shared" si="443"/>
        <v>5.1265353027343752E-2</v>
      </c>
      <c r="GR58" s="35">
        <f t="shared" si="444"/>
        <v>1.3330897592700452E-5</v>
      </c>
      <c r="GS58" s="35">
        <f t="shared" si="445"/>
        <v>5.1265353027343752E-2</v>
      </c>
      <c r="GT58" s="35">
        <f t="shared" si="446"/>
        <v>5.1753584960937501E-2</v>
      </c>
      <c r="GU58" s="35">
        <f t="shared" si="447"/>
        <v>5.1509468994140627E-2</v>
      </c>
      <c r="GV58" s="35">
        <f t="shared" si="448"/>
        <v>-1.0489054905571393E-4</v>
      </c>
      <c r="GW58" s="35">
        <f t="shared" si="449"/>
        <v>5.1265353027343752E-2</v>
      </c>
      <c r="GX58" s="35">
        <f t="shared" si="450"/>
        <v>5.1509468994140627E-2</v>
      </c>
      <c r="GY58" s="35">
        <f t="shared" si="451"/>
        <v>5.1387411010742193E-2</v>
      </c>
      <c r="GZ58" s="35">
        <f t="shared" si="452"/>
        <v>-4.5780596327205103E-5</v>
      </c>
      <c r="HA58" s="35">
        <f t="shared" si="453"/>
        <v>5.1265353027343752E-2</v>
      </c>
      <c r="HB58" s="35">
        <f t="shared" si="454"/>
        <v>5.1387411010742193E-2</v>
      </c>
      <c r="HC58" s="35">
        <f t="shared" si="455"/>
        <v>5.1326382019042972E-2</v>
      </c>
      <c r="HD58" s="35">
        <f t="shared" si="456"/>
        <v>-1.62250418396237E-5</v>
      </c>
      <c r="HE58" s="35">
        <f t="shared" si="457"/>
        <v>5.1265353027343752E-2</v>
      </c>
      <c r="HF58" s="35">
        <f t="shared" si="458"/>
        <v>5.1326382019042972E-2</v>
      </c>
      <c r="HG58" s="35">
        <f t="shared" si="459"/>
        <v>5.1295867523193359E-2</v>
      </c>
      <c r="HH58" s="35">
        <f t="shared" si="460"/>
        <v>-1.4471202196553179E-6</v>
      </c>
      <c r="HI58" s="35">
        <f t="shared" si="461"/>
        <v>5.1265353027343752E-2</v>
      </c>
      <c r="HJ58" s="35">
        <f t="shared" si="462"/>
        <v>5.1295867523193359E-2</v>
      </c>
      <c r="HK58" s="35">
        <f t="shared" si="463"/>
        <v>5.1280610275268555E-2</v>
      </c>
      <c r="HL58" s="35">
        <f t="shared" si="464"/>
        <v>5.9418766653607236E-6</v>
      </c>
      <c r="HM58" s="35">
        <f t="shared" si="465"/>
        <v>5.1280610275268555E-2</v>
      </c>
      <c r="HN58" s="35">
        <f t="shared" si="466"/>
        <v>5.1295867523193359E-2</v>
      </c>
      <c r="HO58" s="35">
        <f t="shared" si="467"/>
        <v>5.1288238899230953E-2</v>
      </c>
      <c r="HP58" s="35">
        <f t="shared" si="468"/>
        <v>2.2473752172569306E-6</v>
      </c>
      <c r="HQ58" s="35">
        <f t="shared" si="469"/>
        <v>5.1288238899230953E-2</v>
      </c>
      <c r="HR58" s="35">
        <f t="shared" si="470"/>
        <v>5.1295867523193359E-2</v>
      </c>
      <c r="HS58" s="35">
        <f t="shared" si="471"/>
        <v>5.1292053211212156E-2</v>
      </c>
      <c r="HT58" s="35">
        <f t="shared" si="472"/>
        <v>4.0012674729084097E-7</v>
      </c>
      <c r="HU58" s="35">
        <f t="shared" si="473"/>
        <v>5.1292053211212156E-2</v>
      </c>
      <c r="HV58" s="35">
        <f t="shared" si="474"/>
        <v>5.1295867523193359E-2</v>
      </c>
      <c r="HW58" s="35">
        <f t="shared" si="475"/>
        <v>5.1293960367202754E-2</v>
      </c>
      <c r="HX58" s="35">
        <f t="shared" si="476"/>
        <v>-5.2349692403197423E-7</v>
      </c>
      <c r="HY58" s="35">
        <f t="shared" si="477"/>
        <v>5.1292053211212156E-2</v>
      </c>
      <c r="HZ58" s="35">
        <f t="shared" si="478"/>
        <v>5.1293960367202754E-2</v>
      </c>
      <c r="IA58" s="35">
        <f t="shared" si="479"/>
        <v>5.1293006789207451E-2</v>
      </c>
      <c r="IB58" s="35">
        <f t="shared" si="480"/>
        <v>-6.1685135333000574E-8</v>
      </c>
      <c r="IC58" s="35">
        <f t="shared" si="481"/>
        <v>5.1292053211212156E-2</v>
      </c>
      <c r="ID58" s="35">
        <f t="shared" si="482"/>
        <v>5.1293006789207451E-2</v>
      </c>
      <c r="IE58" s="35">
        <f t="shared" si="483"/>
        <v>5.1292530000209807E-2</v>
      </c>
      <c r="IF58" s="35">
        <f t="shared" si="484"/>
        <v>1.6922079426606729E-7</v>
      </c>
      <c r="IG58" s="35">
        <f t="shared" si="485"/>
        <v>5.1292530000209807E-2</v>
      </c>
      <c r="IH58" s="35">
        <f t="shared" si="486"/>
        <v>5.1293006789207451E-2</v>
      </c>
      <c r="II58" s="35">
        <f t="shared" si="487"/>
        <v>5.1292768394708629E-2</v>
      </c>
      <c r="IJ58" s="35">
        <f t="shared" si="488"/>
        <v>5.3767826635464644E-8</v>
      </c>
      <c r="IK58" s="35">
        <f t="shared" si="489"/>
        <v>5.1292768394708629E-2</v>
      </c>
      <c r="IL58" s="35">
        <f t="shared" si="490"/>
        <v>5.1293006789207451E-2</v>
      </c>
      <c r="IM58" s="35">
        <f t="shared" si="491"/>
        <v>5.129288759195804E-2</v>
      </c>
      <c r="IN58" s="35">
        <f t="shared" si="492"/>
        <v>-3.9586550704129309E-9</v>
      </c>
      <c r="IO58" s="35">
        <f t="shared" si="493"/>
        <v>5.1292768394708629E-2</v>
      </c>
      <c r="IP58" s="35">
        <f t="shared" si="494"/>
        <v>5.129288759195804E-2</v>
      </c>
      <c r="IQ58" s="35">
        <f t="shared" si="495"/>
        <v>5.1292827993333331E-2</v>
      </c>
      <c r="IR58" s="35">
        <f t="shared" si="496"/>
        <v>2.49045855049701E-8</v>
      </c>
      <c r="IS58" s="35">
        <f t="shared" si="497"/>
        <v>5.1292827993333331E-2</v>
      </c>
      <c r="IT58" s="35">
        <f t="shared" si="498"/>
        <v>5.129288759195804E-2</v>
      </c>
      <c r="IU58" s="35">
        <f t="shared" si="499"/>
        <v>5.1292857792645682E-2</v>
      </c>
      <c r="IV58" s="35">
        <f t="shared" si="500"/>
        <v>1.0472965161767434E-8</v>
      </c>
      <c r="IW58" s="35">
        <f t="shared" si="501"/>
        <v>5.1292857792645682E-2</v>
      </c>
      <c r="IX58" s="35">
        <f t="shared" si="502"/>
        <v>5.129288759195804E-2</v>
      </c>
      <c r="IY58" s="35">
        <f t="shared" si="503"/>
        <v>5.1292872692301858E-2</v>
      </c>
      <c r="IZ58" s="35">
        <f t="shared" si="504"/>
        <v>3.2571549901661001E-9</v>
      </c>
      <c r="JA58" s="35">
        <f t="shared" si="505"/>
        <v>5.1292872692301858E-2</v>
      </c>
      <c r="JB58" s="35">
        <f t="shared" si="506"/>
        <v>5.129288759195804E-2</v>
      </c>
      <c r="JC58" s="35">
        <f t="shared" si="507"/>
        <v>5.1292880142129946E-2</v>
      </c>
      <c r="JD58" s="35">
        <f t="shared" si="508"/>
        <v>-3.5074998461226414E-10</v>
      </c>
      <c r="JE58" s="35">
        <f t="shared" si="509"/>
        <v>5.1292872692301858E-2</v>
      </c>
      <c r="JF58" s="35">
        <f t="shared" si="510"/>
        <v>5.1292880142129946E-2</v>
      </c>
      <c r="JG58" s="35">
        <f t="shared" si="511"/>
        <v>5.1292876417215902E-2</v>
      </c>
      <c r="JH58" s="35">
        <f t="shared" si="512"/>
        <v>1.4532022252211618E-9</v>
      </c>
      <c r="JI58" s="35">
        <f t="shared" si="513"/>
        <v>5.1292876417215902E-2</v>
      </c>
      <c r="JJ58" s="35">
        <f t="shared" si="514"/>
        <v>5.1292880142129946E-2</v>
      </c>
      <c r="JK58" s="35">
        <f t="shared" si="515"/>
        <v>5.1292878279672924E-2</v>
      </c>
      <c r="JL58" s="35">
        <f t="shared" si="516"/>
        <v>5.51226397860205E-10</v>
      </c>
      <c r="JM58" s="35">
        <f t="shared" si="517"/>
        <v>5.1292878279672924E-2</v>
      </c>
      <c r="JN58" s="35">
        <f t="shared" si="518"/>
        <v>5.1292880142129946E-2</v>
      </c>
      <c r="JO58" s="35">
        <f t="shared" si="519"/>
        <v>5.1292879210901435E-2</v>
      </c>
      <c r="JP58" s="35">
        <f t="shared" si="520"/>
        <v>1.0023804009051673E-10</v>
      </c>
      <c r="JQ58" s="35">
        <f t="shared" si="521"/>
        <v>5.1292879210901435E-2</v>
      </c>
      <c r="JR58" s="35">
        <f t="shared" si="522"/>
        <v>5.1292880142129946E-2</v>
      </c>
      <c r="JS58" s="35">
        <f t="shared" si="523"/>
        <v>5.129287967651569E-2</v>
      </c>
      <c r="JT58" s="35">
        <f t="shared" si="524"/>
        <v>-1.2525591674972247E-10</v>
      </c>
      <c r="JU58" s="35">
        <f t="shared" si="525"/>
        <v>5.1292879210901435E-2</v>
      </c>
      <c r="JV58" s="35">
        <f t="shared" si="526"/>
        <v>5.129287967651569E-2</v>
      </c>
      <c r="JW58" s="35">
        <f t="shared" si="527"/>
        <v>5.1292879443708563E-2</v>
      </c>
      <c r="JX58" s="35">
        <f t="shared" si="528"/>
        <v>-1.2508882818451639E-11</v>
      </c>
      <c r="JY58" s="35">
        <f t="shared" si="529"/>
        <v>5.1292879210901435E-2</v>
      </c>
      <c r="JZ58" s="35">
        <f t="shared" si="530"/>
        <v>5.1292879443708563E-2</v>
      </c>
      <c r="KA58" s="35">
        <f t="shared" si="531"/>
        <v>1.094963262300007</v>
      </c>
      <c r="KB58" s="35">
        <f t="shared" si="532"/>
        <v>5.1292879327305002E-2</v>
      </c>
    </row>
    <row r="59" spans="1:288" ht="15" customHeight="1" x14ac:dyDescent="0.3">
      <c r="A59" s="30">
        <f>Odds_Input!A59</f>
        <v>51</v>
      </c>
      <c r="B59" s="7" t="str">
        <f>Odds_Input!B59</f>
        <v>CONF_WEST</v>
      </c>
      <c r="C59" s="7" t="str">
        <f>Odds_Input!C59</f>
        <v>Memphis Grizzlies</v>
      </c>
      <c r="D59" s="7" t="str">
        <f>Odds_Input!D59</f>
        <v>YES</v>
      </c>
      <c r="E59" s="31" t="str">
        <f>Odds_Input!E59</f>
        <v>-</v>
      </c>
      <c r="F59" s="32">
        <f>Odds_Input!F59</f>
        <v>25000</v>
      </c>
      <c r="G59" s="6" t="str">
        <f t="shared" si="0"/>
        <v>CONF_WEST</v>
      </c>
      <c r="H59" s="14">
        <f t="shared" si="1"/>
        <v>251</v>
      </c>
      <c r="I59" s="33">
        <f t="shared" si="2"/>
        <v>3.9840637450199202E-3</v>
      </c>
      <c r="J59" s="17">
        <f t="shared" si="3"/>
        <v>1</v>
      </c>
      <c r="K59" s="17">
        <f t="shared" si="4"/>
        <v>15</v>
      </c>
      <c r="L59" s="18">
        <f t="shared" si="5"/>
        <v>1.1953442022676133</v>
      </c>
      <c r="M59" s="34">
        <f t="shared" si="6"/>
        <v>0.19534420226761329</v>
      </c>
      <c r="N59" s="33">
        <f t="shared" si="7"/>
        <v>3.3329845390658191E-3</v>
      </c>
      <c r="O59" s="33">
        <f t="shared" si="8"/>
        <v>2.042335421003644E-3</v>
      </c>
      <c r="P59" s="33">
        <f t="shared" si="9"/>
        <v>6.466066542709319E-4</v>
      </c>
      <c r="Q59" s="33">
        <f t="shared" si="10"/>
        <v>6.466066542709319E-4</v>
      </c>
      <c r="R59" s="35">
        <f t="shared" si="11"/>
        <v>1.120932777808048</v>
      </c>
      <c r="S59" s="35">
        <f t="shared" si="12"/>
        <v>1.9902430363003976E-2</v>
      </c>
      <c r="X59" s="6" t="s">
        <v>834</v>
      </c>
      <c r="Y59" s="6">
        <f t="shared" si="273"/>
        <v>1</v>
      </c>
      <c r="Z59" s="18">
        <f t="shared" si="274"/>
        <v>1.0412796697626419</v>
      </c>
      <c r="AA59" s="10">
        <v>0.2</v>
      </c>
      <c r="AB59" s="10">
        <v>10</v>
      </c>
      <c r="AC59" s="35">
        <f t="shared" si="275"/>
        <v>5.0999999999999996</v>
      </c>
      <c r="AD59" s="35">
        <f t="shared" si="276"/>
        <v>-8.6313041677907321E-2</v>
      </c>
      <c r="AE59" s="35">
        <f t="shared" si="277"/>
        <v>0.2</v>
      </c>
      <c r="AF59" s="35">
        <f t="shared" si="278"/>
        <v>5.0999999999999996</v>
      </c>
      <c r="AG59" s="35">
        <f t="shared" si="279"/>
        <v>2.65</v>
      </c>
      <c r="AH59" s="35">
        <f t="shared" si="280"/>
        <v>-4.527222154806565E-2</v>
      </c>
      <c r="AI59" s="35">
        <f t="shared" si="281"/>
        <v>0.2</v>
      </c>
      <c r="AJ59" s="35">
        <f t="shared" si="282"/>
        <v>2.65</v>
      </c>
      <c r="AK59" s="35">
        <f t="shared" si="283"/>
        <v>1.425</v>
      </c>
      <c r="AL59" s="35">
        <f t="shared" si="284"/>
        <v>-7.26194484015108E-3</v>
      </c>
      <c r="AM59" s="35">
        <f t="shared" si="285"/>
        <v>0.2</v>
      </c>
      <c r="AN59" s="35">
        <f t="shared" si="286"/>
        <v>1.425</v>
      </c>
      <c r="AO59" s="35">
        <f t="shared" si="287"/>
        <v>0.8125</v>
      </c>
      <c r="AP59" s="35">
        <f t="shared" si="288"/>
        <v>8.5781947984586937E-2</v>
      </c>
      <c r="AQ59" s="35">
        <f t="shared" si="289"/>
        <v>0.8125</v>
      </c>
      <c r="AR59" s="35">
        <f t="shared" si="290"/>
        <v>1.425</v>
      </c>
      <c r="AS59" s="35">
        <f t="shared" si="291"/>
        <v>1.1187499999999999</v>
      </c>
      <c r="AT59" s="35">
        <f t="shared" si="292"/>
        <v>2.2411347849029983E-2</v>
      </c>
      <c r="AU59" s="35">
        <f t="shared" si="293"/>
        <v>1.1187499999999999</v>
      </c>
      <c r="AV59" s="35">
        <f t="shared" si="294"/>
        <v>1.425</v>
      </c>
      <c r="AW59" s="35">
        <f t="shared" si="295"/>
        <v>1.2718750000000001</v>
      </c>
      <c r="AX59" s="35">
        <f t="shared" si="296"/>
        <v>4.9682879620598364E-3</v>
      </c>
      <c r="AY59" s="35">
        <f t="shared" si="297"/>
        <v>1.2718750000000001</v>
      </c>
      <c r="AZ59" s="35">
        <f t="shared" si="298"/>
        <v>1.425</v>
      </c>
      <c r="BA59" s="35">
        <f t="shared" si="299"/>
        <v>1.3484375000000002</v>
      </c>
      <c r="BB59" s="35">
        <f t="shared" si="300"/>
        <v>-1.665426624753219E-3</v>
      </c>
      <c r="BC59" s="35">
        <f t="shared" si="301"/>
        <v>1.2718750000000001</v>
      </c>
      <c r="BD59" s="35">
        <f t="shared" si="302"/>
        <v>1.3484375000000002</v>
      </c>
      <c r="BE59" s="35">
        <f t="shared" si="303"/>
        <v>1.3101562500000001</v>
      </c>
      <c r="BF59" s="35">
        <f t="shared" si="304"/>
        <v>1.5073774963678677E-3</v>
      </c>
      <c r="BG59" s="35">
        <f t="shared" si="305"/>
        <v>1.3101562500000001</v>
      </c>
      <c r="BH59" s="35">
        <f t="shared" si="306"/>
        <v>1.3484375000000002</v>
      </c>
      <c r="BI59" s="35">
        <f t="shared" si="307"/>
        <v>1.3292968750000003</v>
      </c>
      <c r="BJ59" s="35">
        <f t="shared" si="308"/>
        <v>-1.1311479786724199E-4</v>
      </c>
      <c r="BK59" s="35">
        <f t="shared" si="309"/>
        <v>1.3101562500000001</v>
      </c>
      <c r="BL59" s="35">
        <f t="shared" si="310"/>
        <v>1.3292968750000003</v>
      </c>
      <c r="BM59" s="35">
        <f t="shared" si="311"/>
        <v>1.3197265625000001</v>
      </c>
      <c r="BN59" s="35">
        <f t="shared" si="312"/>
        <v>6.883765319205537E-4</v>
      </c>
      <c r="BO59" s="35">
        <f t="shared" si="313"/>
        <v>1.3197265625000001</v>
      </c>
      <c r="BP59" s="35">
        <f t="shared" si="314"/>
        <v>1.3292968750000003</v>
      </c>
      <c r="BQ59" s="35">
        <f t="shared" si="315"/>
        <v>1.3245117187500002</v>
      </c>
      <c r="BR59" s="35">
        <f t="shared" si="316"/>
        <v>2.8547168769765818E-4</v>
      </c>
      <c r="BS59" s="35">
        <f t="shared" si="317"/>
        <v>1.3245117187500002</v>
      </c>
      <c r="BT59" s="35">
        <f t="shared" si="318"/>
        <v>1.3292968750000003</v>
      </c>
      <c r="BU59" s="35">
        <f t="shared" si="319"/>
        <v>1.3269042968750002</v>
      </c>
      <c r="BV59" s="35">
        <f t="shared" si="320"/>
        <v>8.564229707652693E-5</v>
      </c>
      <c r="BW59" s="35">
        <f t="shared" si="321"/>
        <v>1.3269042968750002</v>
      </c>
      <c r="BX59" s="35">
        <f t="shared" si="322"/>
        <v>1.3292968750000003</v>
      </c>
      <c r="BY59" s="35">
        <f t="shared" si="323"/>
        <v>1.3281005859375004</v>
      </c>
      <c r="BZ59" s="35">
        <f t="shared" si="324"/>
        <v>-1.3869834180058049E-5</v>
      </c>
      <c r="CA59" s="35">
        <f t="shared" si="325"/>
        <v>1.3269042968750002</v>
      </c>
      <c r="CB59" s="35">
        <f t="shared" si="326"/>
        <v>1.3281005859375004</v>
      </c>
      <c r="CC59" s="35">
        <f t="shared" si="327"/>
        <v>1.3275024414062502</v>
      </c>
      <c r="CD59" s="35">
        <f t="shared" si="328"/>
        <v>3.5852778975220545E-5</v>
      </c>
      <c r="CE59" s="35">
        <f t="shared" si="329"/>
        <v>1.3275024414062502</v>
      </c>
      <c r="CF59" s="35">
        <f t="shared" si="330"/>
        <v>1.3281005859375004</v>
      </c>
      <c r="CG59" s="35">
        <f t="shared" si="331"/>
        <v>1.3278015136718753</v>
      </c>
      <c r="CH59" s="35">
        <f t="shared" si="332"/>
        <v>1.0983116352614175E-5</v>
      </c>
      <c r="CI59" s="35">
        <f t="shared" si="333"/>
        <v>1.3278015136718753</v>
      </c>
      <c r="CJ59" s="35">
        <f t="shared" si="334"/>
        <v>1.3281005859375004</v>
      </c>
      <c r="CK59" s="35">
        <f t="shared" si="335"/>
        <v>1.3279510498046878</v>
      </c>
      <c r="CL59" s="35">
        <f t="shared" si="336"/>
        <v>-1.4454470415037335E-6</v>
      </c>
      <c r="CM59" s="35">
        <f t="shared" si="337"/>
        <v>1.3278015136718753</v>
      </c>
      <c r="CN59" s="35">
        <f t="shared" si="338"/>
        <v>1.3279510498046878</v>
      </c>
      <c r="CO59" s="35">
        <f t="shared" si="339"/>
        <v>1.3278762817382814</v>
      </c>
      <c r="CP59" s="35">
        <f t="shared" si="340"/>
        <v>4.7683125132813586E-6</v>
      </c>
      <c r="CQ59" s="35">
        <f t="shared" si="341"/>
        <v>1.3278762817382814</v>
      </c>
      <c r="CR59" s="35">
        <f t="shared" si="342"/>
        <v>1.3279510498046878</v>
      </c>
      <c r="CS59" s="35">
        <f t="shared" si="343"/>
        <v>1.3279136657714847</v>
      </c>
      <c r="CT59" s="35">
        <f t="shared" si="344"/>
        <v>1.6613022140177236E-6</v>
      </c>
      <c r="CU59" s="35">
        <f t="shared" si="345"/>
        <v>1.3279136657714847</v>
      </c>
      <c r="CV59" s="35">
        <f t="shared" si="346"/>
        <v>1.3279510498046878</v>
      </c>
      <c r="CW59" s="35">
        <f t="shared" si="347"/>
        <v>1.3279323577880864</v>
      </c>
      <c r="CX59" s="35">
        <f t="shared" si="348"/>
        <v>1.0789495763496859E-7</v>
      </c>
      <c r="CY59" s="35">
        <f t="shared" si="349"/>
        <v>1.3279323577880864</v>
      </c>
      <c r="CZ59" s="35">
        <f t="shared" si="350"/>
        <v>1.3279510498046878</v>
      </c>
      <c r="DA59" s="35">
        <f t="shared" si="351"/>
        <v>1.327941703796387</v>
      </c>
      <c r="DB59" s="35">
        <f t="shared" si="352"/>
        <v>-6.6878419890947782E-7</v>
      </c>
      <c r="DC59" s="35">
        <f t="shared" si="353"/>
        <v>1.3279323577880864</v>
      </c>
      <c r="DD59" s="35">
        <f t="shared" si="354"/>
        <v>1.327941703796387</v>
      </c>
      <c r="DE59" s="35">
        <f t="shared" si="355"/>
        <v>1.3279370307922367</v>
      </c>
      <c r="DF59" s="35">
        <f t="shared" si="356"/>
        <v>-2.8044666000592855E-7</v>
      </c>
      <c r="DG59" s="35">
        <f t="shared" si="357"/>
        <v>1.3279323577880864</v>
      </c>
      <c r="DH59" s="35">
        <f t="shared" si="358"/>
        <v>1.3279370307922367</v>
      </c>
      <c r="DI59" s="35">
        <f t="shared" si="359"/>
        <v>1.3279346942901615</v>
      </c>
      <c r="DJ59" s="35">
        <f t="shared" si="360"/>
        <v>-8.6276360944381736E-8</v>
      </c>
      <c r="DK59" s="35">
        <f t="shared" si="361"/>
        <v>1.3279323577880864</v>
      </c>
      <c r="DL59" s="35">
        <f t="shared" si="362"/>
        <v>1.3279346942901615</v>
      </c>
      <c r="DM59" s="35">
        <f t="shared" si="363"/>
        <v>1.3279335260391241</v>
      </c>
      <c r="DN59" s="35">
        <f t="shared" si="364"/>
        <v>1.0809170891690201E-8</v>
      </c>
      <c r="DO59" s="35">
        <f t="shared" si="365"/>
        <v>1.3279335260391241</v>
      </c>
      <c r="DP59" s="35">
        <f t="shared" si="366"/>
        <v>1.3279346942901615</v>
      </c>
      <c r="DQ59" s="35">
        <f t="shared" si="367"/>
        <v>1.3279341101646427</v>
      </c>
      <c r="DR59" s="35">
        <f t="shared" si="368"/>
        <v>-3.7733626889746574E-8</v>
      </c>
      <c r="DS59" s="35">
        <f t="shared" si="369"/>
        <v>1.3279335260391241</v>
      </c>
      <c r="DT59" s="35">
        <f t="shared" si="370"/>
        <v>1.3279341101646427</v>
      </c>
      <c r="DU59" s="35">
        <f t="shared" si="371"/>
        <v>1.3279338181018834</v>
      </c>
      <c r="DV59" s="35">
        <f t="shared" si="372"/>
        <v>-1.3462235992633964E-8</v>
      </c>
      <c r="DW59" s="35">
        <f t="shared" si="373"/>
        <v>1.3279335260391241</v>
      </c>
      <c r="DX59" s="35">
        <f t="shared" si="374"/>
        <v>1.3279338181018834</v>
      </c>
      <c r="DY59" s="35">
        <f t="shared" si="375"/>
        <v>1.3279336720705037</v>
      </c>
      <c r="DZ59" s="35">
        <f t="shared" si="376"/>
        <v>-1.3265346598956285E-9</v>
      </c>
      <c r="EA59" s="35">
        <f t="shared" si="377"/>
        <v>1.3279335260391241</v>
      </c>
      <c r="EB59" s="35">
        <f t="shared" si="378"/>
        <v>1.3279336720705037</v>
      </c>
      <c r="EC59" s="35">
        <f t="shared" si="379"/>
        <v>1.327933599054814</v>
      </c>
      <c r="ED59" s="35">
        <f t="shared" si="380"/>
        <v>4.7413175607857738E-9</v>
      </c>
      <c r="EE59" s="35">
        <f t="shared" si="381"/>
        <v>1.327933599054814</v>
      </c>
      <c r="EF59" s="35">
        <f t="shared" si="382"/>
        <v>1.3279336720705037</v>
      </c>
      <c r="EG59" s="35">
        <f t="shared" si="383"/>
        <v>1.3279336355626588</v>
      </c>
      <c r="EH59" s="35">
        <f t="shared" si="384"/>
        <v>1.7073913394227702E-9</v>
      </c>
      <c r="EI59" s="35">
        <f t="shared" si="385"/>
        <v>1.3279336355626588</v>
      </c>
      <c r="EJ59" s="35">
        <f t="shared" si="386"/>
        <v>1.3279336720705037</v>
      </c>
      <c r="EK59" s="35">
        <f t="shared" si="387"/>
        <v>1.3279336538165811</v>
      </c>
      <c r="EL59" s="35">
        <f t="shared" si="388"/>
        <v>1.9042833976357088E-10</v>
      </c>
      <c r="EM59" s="35">
        <f t="shared" si="389"/>
        <v>1.3279336538165811</v>
      </c>
      <c r="EN59" s="35">
        <f t="shared" si="390"/>
        <v>1.3279336720705037</v>
      </c>
      <c r="EO59" s="35">
        <f t="shared" si="391"/>
        <v>1.3279336629435425</v>
      </c>
      <c r="EP59" s="35">
        <f t="shared" si="392"/>
        <v>-5.6805316006602879E-10</v>
      </c>
      <c r="EQ59" s="35">
        <f t="shared" si="393"/>
        <v>1.3279336538165811</v>
      </c>
      <c r="ER59" s="35">
        <f t="shared" si="394"/>
        <v>1.3279336629435425</v>
      </c>
      <c r="ES59" s="35">
        <f t="shared" si="395"/>
        <v>1.3279336583800618</v>
      </c>
      <c r="ET59" s="35">
        <f t="shared" si="396"/>
        <v>-1.8881241015122896E-10</v>
      </c>
      <c r="EU59" s="35">
        <f t="shared" si="397"/>
        <v>1.3279336538165811</v>
      </c>
      <c r="EV59" s="35">
        <f t="shared" si="398"/>
        <v>1.3279336583800618</v>
      </c>
      <c r="EW59" s="35">
        <f t="shared" si="399"/>
        <v>1.3279336560983215</v>
      </c>
      <c r="EX59" s="35">
        <f t="shared" si="400"/>
        <v>8.0802031732218893E-13</v>
      </c>
      <c r="EY59" s="35">
        <f t="shared" si="401"/>
        <v>1.3279336560983215</v>
      </c>
      <c r="EZ59" s="35">
        <f t="shared" si="402"/>
        <v>1.3279336583800618</v>
      </c>
      <c r="FA59" s="10">
        <v>9.9999999999999995E-7</v>
      </c>
      <c r="FB59" s="10">
        <v>0.99990000000000001</v>
      </c>
      <c r="FC59" s="35">
        <f t="shared" si="403"/>
        <v>0.49995050000000002</v>
      </c>
      <c r="FD59" s="35">
        <f t="shared" si="404"/>
        <v>-4.2908708045048538E-2</v>
      </c>
      <c r="FE59" s="35">
        <f t="shared" si="405"/>
        <v>9.9999999999999995E-7</v>
      </c>
      <c r="FF59" s="35">
        <f t="shared" si="406"/>
        <v>0.49995050000000002</v>
      </c>
      <c r="FG59" s="35">
        <f t="shared" si="407"/>
        <v>0.24997575</v>
      </c>
      <c r="FH59" s="35">
        <f t="shared" si="408"/>
        <v>-2.9711962749055409E-2</v>
      </c>
      <c r="FI59" s="35">
        <f t="shared" si="409"/>
        <v>9.9999999999999995E-7</v>
      </c>
      <c r="FJ59" s="35">
        <f t="shared" si="410"/>
        <v>0.24997575</v>
      </c>
      <c r="FK59" s="35">
        <f t="shared" si="411"/>
        <v>0.124988375</v>
      </c>
      <c r="FL59" s="35">
        <f t="shared" si="412"/>
        <v>-1.6780240605215657E-2</v>
      </c>
      <c r="FM59" s="35">
        <f t="shared" si="413"/>
        <v>9.9999999999999995E-7</v>
      </c>
      <c r="FN59" s="35">
        <f t="shared" si="414"/>
        <v>0.124988375</v>
      </c>
      <c r="FO59" s="35">
        <f t="shared" si="415"/>
        <v>6.24946875E-2</v>
      </c>
      <c r="FP59" s="35">
        <f t="shared" si="416"/>
        <v>-3.5136239386727164E-3</v>
      </c>
      <c r="FQ59" s="35">
        <f t="shared" si="417"/>
        <v>9.9999999999999995E-7</v>
      </c>
      <c r="FR59" s="35">
        <f t="shared" si="418"/>
        <v>6.24946875E-2</v>
      </c>
      <c r="FS59" s="35">
        <f t="shared" si="419"/>
        <v>3.124784375E-2</v>
      </c>
      <c r="FT59" s="35">
        <f t="shared" si="420"/>
        <v>6.8150732950018611E-3</v>
      </c>
      <c r="FU59" s="35">
        <f t="shared" si="421"/>
        <v>3.124784375E-2</v>
      </c>
      <c r="FV59" s="35">
        <f t="shared" si="422"/>
        <v>6.24946875E-2</v>
      </c>
      <c r="FW59" s="35">
        <f t="shared" si="423"/>
        <v>4.6871265624999998E-2</v>
      </c>
      <c r="FX59" s="35">
        <f t="shared" si="424"/>
        <v>1.2657014624721796E-3</v>
      </c>
      <c r="FY59" s="35">
        <f t="shared" si="425"/>
        <v>4.6871265624999998E-2</v>
      </c>
      <c r="FZ59" s="35">
        <f t="shared" si="426"/>
        <v>6.24946875E-2</v>
      </c>
      <c r="GA59" s="35">
        <f t="shared" si="427"/>
        <v>5.4682976562499999E-2</v>
      </c>
      <c r="GB59" s="35">
        <f t="shared" si="428"/>
        <v>-1.2150502298544641E-3</v>
      </c>
      <c r="GC59" s="35">
        <f t="shared" si="429"/>
        <v>4.6871265624999998E-2</v>
      </c>
      <c r="GD59" s="35">
        <f t="shared" si="430"/>
        <v>5.4682976562499999E-2</v>
      </c>
      <c r="GE59" s="35">
        <f t="shared" si="431"/>
        <v>5.0777121093750002E-2</v>
      </c>
      <c r="GF59" s="35">
        <f t="shared" si="432"/>
        <v>1.8503129572966515E-6</v>
      </c>
      <c r="GG59" s="35">
        <f t="shared" si="433"/>
        <v>5.0777121093750002E-2</v>
      </c>
      <c r="GH59" s="35">
        <f t="shared" si="434"/>
        <v>5.4682976562499999E-2</v>
      </c>
      <c r="GI59" s="35">
        <f t="shared" si="435"/>
        <v>5.2730048828125001E-2</v>
      </c>
      <c r="GJ59" s="35">
        <f t="shared" si="436"/>
        <v>-6.1238367469562682E-4</v>
      </c>
      <c r="GK59" s="35">
        <f t="shared" si="437"/>
        <v>5.0777121093750002E-2</v>
      </c>
      <c r="GL59" s="35">
        <f t="shared" si="438"/>
        <v>5.2730048828125001E-2</v>
      </c>
      <c r="GM59" s="35">
        <f t="shared" si="439"/>
        <v>5.1753584960937501E-2</v>
      </c>
      <c r="GN59" s="35">
        <f t="shared" si="440"/>
        <v>-3.0672344628057679E-4</v>
      </c>
      <c r="GO59" s="35">
        <f t="shared" si="441"/>
        <v>5.0777121093750002E-2</v>
      </c>
      <c r="GP59" s="35">
        <f t="shared" si="442"/>
        <v>5.1753584960937501E-2</v>
      </c>
      <c r="GQ59" s="35">
        <f t="shared" si="443"/>
        <v>5.1265353027343752E-2</v>
      </c>
      <c r="GR59" s="35">
        <f t="shared" si="444"/>
        <v>-1.5280209615697871E-4</v>
      </c>
      <c r="GS59" s="35">
        <f t="shared" si="445"/>
        <v>5.0777121093750002E-2</v>
      </c>
      <c r="GT59" s="35">
        <f t="shared" si="446"/>
        <v>5.1265353027343752E-2</v>
      </c>
      <c r="GU59" s="35">
        <f t="shared" si="447"/>
        <v>5.1021237060546877E-2</v>
      </c>
      <c r="GV59" s="35">
        <f t="shared" si="448"/>
        <v>-7.5567440170121181E-5</v>
      </c>
      <c r="GW59" s="35">
        <f t="shared" si="449"/>
        <v>5.0777121093750002E-2</v>
      </c>
      <c r="GX59" s="35">
        <f t="shared" si="450"/>
        <v>5.1021237060546877E-2</v>
      </c>
      <c r="GY59" s="35">
        <f t="shared" si="451"/>
        <v>5.0899179077148443E-2</v>
      </c>
      <c r="GZ59" s="35">
        <f t="shared" si="452"/>
        <v>-3.6881471455196824E-5</v>
      </c>
      <c r="HA59" s="35">
        <f t="shared" si="453"/>
        <v>5.0777121093750002E-2</v>
      </c>
      <c r="HB59" s="35">
        <f t="shared" si="454"/>
        <v>5.0899179077148443E-2</v>
      </c>
      <c r="HC59" s="35">
        <f t="shared" si="455"/>
        <v>5.0838150085449223E-2</v>
      </c>
      <c r="HD59" s="35">
        <f t="shared" si="456"/>
        <v>-1.7521308795065416E-5</v>
      </c>
      <c r="HE59" s="35">
        <f t="shared" si="457"/>
        <v>5.0777121093750002E-2</v>
      </c>
      <c r="HF59" s="35">
        <f t="shared" si="458"/>
        <v>5.0838150085449223E-2</v>
      </c>
      <c r="HG59" s="35">
        <f t="shared" si="459"/>
        <v>5.0807635589599609E-2</v>
      </c>
      <c r="HH59" s="35">
        <f t="shared" si="460"/>
        <v>-7.8369306281134143E-6</v>
      </c>
      <c r="HI59" s="35">
        <f t="shared" si="461"/>
        <v>5.0777121093750002E-2</v>
      </c>
      <c r="HJ59" s="35">
        <f t="shared" si="462"/>
        <v>5.0807635589599609E-2</v>
      </c>
      <c r="HK59" s="35">
        <f t="shared" si="463"/>
        <v>5.0792378341674806E-2</v>
      </c>
      <c r="HL59" s="35">
        <f t="shared" si="464"/>
        <v>-2.9936670531416354E-6</v>
      </c>
      <c r="HM59" s="35">
        <f t="shared" si="465"/>
        <v>5.0777121093750002E-2</v>
      </c>
      <c r="HN59" s="35">
        <f t="shared" si="466"/>
        <v>5.0792378341674806E-2</v>
      </c>
      <c r="HO59" s="35">
        <f t="shared" si="467"/>
        <v>5.0784749717712407E-2</v>
      </c>
      <c r="HP59" s="35">
        <f t="shared" si="468"/>
        <v>-5.7176660750446473E-7</v>
      </c>
      <c r="HQ59" s="35">
        <f t="shared" si="469"/>
        <v>5.0777121093750002E-2</v>
      </c>
      <c r="HR59" s="35">
        <f t="shared" si="470"/>
        <v>5.0784749717712407E-2</v>
      </c>
      <c r="HS59" s="35">
        <f t="shared" si="471"/>
        <v>5.0780935405731205E-2</v>
      </c>
      <c r="HT59" s="35">
        <f t="shared" si="472"/>
        <v>6.3925078452875539E-7</v>
      </c>
      <c r="HU59" s="35">
        <f t="shared" si="473"/>
        <v>5.0780935405731205E-2</v>
      </c>
      <c r="HV59" s="35">
        <f t="shared" si="474"/>
        <v>5.0784749717712407E-2</v>
      </c>
      <c r="HW59" s="35">
        <f t="shared" si="475"/>
        <v>5.0782842561721803E-2</v>
      </c>
      <c r="HX59" s="35">
        <f t="shared" si="476"/>
        <v>3.3736490934188623E-8</v>
      </c>
      <c r="HY59" s="35">
        <f t="shared" si="477"/>
        <v>5.0782842561721803E-2</v>
      </c>
      <c r="HZ59" s="35">
        <f t="shared" si="478"/>
        <v>5.0784749717712407E-2</v>
      </c>
      <c r="IA59" s="35">
        <f t="shared" si="479"/>
        <v>5.0783796139717105E-2</v>
      </c>
      <c r="IB59" s="35">
        <f t="shared" si="480"/>
        <v>-2.6901645755472714E-7</v>
      </c>
      <c r="IC59" s="35">
        <f t="shared" si="481"/>
        <v>5.0782842561721803E-2</v>
      </c>
      <c r="ID59" s="35">
        <f t="shared" si="482"/>
        <v>5.0783796139717105E-2</v>
      </c>
      <c r="IE59" s="35">
        <f t="shared" si="483"/>
        <v>5.0783319350719454E-2</v>
      </c>
      <c r="IF59" s="35">
        <f t="shared" si="484"/>
        <v>-1.1764033325256662E-7</v>
      </c>
      <c r="IG59" s="35">
        <f t="shared" si="485"/>
        <v>5.0782842561721803E-2</v>
      </c>
      <c r="IH59" s="35">
        <f t="shared" si="486"/>
        <v>5.0783319350719454E-2</v>
      </c>
      <c r="II59" s="35">
        <f t="shared" si="487"/>
        <v>5.0783080956220625E-2</v>
      </c>
      <c r="IJ59" s="35">
        <f t="shared" si="488"/>
        <v>-4.1952008533741036E-8</v>
      </c>
      <c r="IK59" s="35">
        <f t="shared" si="489"/>
        <v>5.0782842561721803E-2</v>
      </c>
      <c r="IL59" s="35">
        <f t="shared" si="490"/>
        <v>5.0783080956220625E-2</v>
      </c>
      <c r="IM59" s="35">
        <f t="shared" si="491"/>
        <v>5.0782961758971214E-2</v>
      </c>
      <c r="IN59" s="35">
        <f t="shared" si="492"/>
        <v>-4.1077806711697917E-9</v>
      </c>
      <c r="IO59" s="35">
        <f t="shared" si="493"/>
        <v>5.0782842561721803E-2</v>
      </c>
      <c r="IP59" s="35">
        <f t="shared" si="494"/>
        <v>5.0782961758971214E-2</v>
      </c>
      <c r="IQ59" s="35">
        <f t="shared" si="495"/>
        <v>5.0782902160346505E-2</v>
      </c>
      <c r="IR59" s="35">
        <f t="shared" si="496"/>
        <v>1.4814349746927746E-8</v>
      </c>
      <c r="IS59" s="35">
        <f t="shared" si="497"/>
        <v>5.0782902160346505E-2</v>
      </c>
      <c r="IT59" s="35">
        <f t="shared" si="498"/>
        <v>5.0782961758971214E-2</v>
      </c>
      <c r="IU59" s="35">
        <f t="shared" si="499"/>
        <v>5.0782931959658856E-2</v>
      </c>
      <c r="IV59" s="35">
        <f t="shared" si="500"/>
        <v>5.3532831501001965E-9</v>
      </c>
      <c r="IW59" s="35">
        <f t="shared" si="501"/>
        <v>5.0782931959658856E-2</v>
      </c>
      <c r="IX59" s="35">
        <f t="shared" si="502"/>
        <v>5.0782961758971214E-2</v>
      </c>
      <c r="IY59" s="35">
        <f t="shared" si="503"/>
        <v>5.0782946859315031E-2</v>
      </c>
      <c r="IZ59" s="35">
        <f t="shared" si="504"/>
        <v>6.2275096190944623E-10</v>
      </c>
      <c r="JA59" s="35">
        <f t="shared" si="505"/>
        <v>5.0782946859315031E-2</v>
      </c>
      <c r="JB59" s="35">
        <f t="shared" si="506"/>
        <v>5.0782961758971214E-2</v>
      </c>
      <c r="JC59" s="35">
        <f t="shared" si="507"/>
        <v>5.0782954309143119E-2</v>
      </c>
      <c r="JD59" s="35">
        <f t="shared" si="508"/>
        <v>-1.7425150211636264E-9</v>
      </c>
      <c r="JE59" s="35">
        <f t="shared" si="509"/>
        <v>5.0782946859315031E-2</v>
      </c>
      <c r="JF59" s="35">
        <f t="shared" si="510"/>
        <v>5.0782954309143119E-2</v>
      </c>
      <c r="JG59" s="35">
        <f t="shared" si="511"/>
        <v>5.0782950584229075E-2</v>
      </c>
      <c r="JH59" s="35">
        <f t="shared" si="512"/>
        <v>-5.5988214064939257E-10</v>
      </c>
      <c r="JI59" s="35">
        <f t="shared" si="513"/>
        <v>5.0782946859315031E-2</v>
      </c>
      <c r="JJ59" s="35">
        <f t="shared" si="514"/>
        <v>5.0782950584229075E-2</v>
      </c>
      <c r="JK59" s="35">
        <f t="shared" si="515"/>
        <v>5.0782948721772053E-2</v>
      </c>
      <c r="JL59" s="35">
        <f t="shared" si="516"/>
        <v>3.1434410630026832E-11</v>
      </c>
      <c r="JM59" s="35">
        <f t="shared" si="517"/>
        <v>5.0782948721772053E-2</v>
      </c>
      <c r="JN59" s="35">
        <f t="shared" si="518"/>
        <v>5.0782950584229075E-2</v>
      </c>
      <c r="JO59" s="35">
        <f t="shared" si="519"/>
        <v>5.0782949653000564E-2</v>
      </c>
      <c r="JP59" s="35">
        <f t="shared" si="520"/>
        <v>-2.6422386500968287E-10</v>
      </c>
      <c r="JQ59" s="35">
        <f t="shared" si="521"/>
        <v>5.0782948721772053E-2</v>
      </c>
      <c r="JR59" s="35">
        <f t="shared" si="522"/>
        <v>5.0782949653000564E-2</v>
      </c>
      <c r="JS59" s="35">
        <f t="shared" si="523"/>
        <v>5.0782949187386309E-2</v>
      </c>
      <c r="JT59" s="35">
        <f t="shared" si="524"/>
        <v>-1.1639467167867679E-10</v>
      </c>
      <c r="JU59" s="35">
        <f t="shared" si="525"/>
        <v>5.0782948721772053E-2</v>
      </c>
      <c r="JV59" s="35">
        <f t="shared" si="526"/>
        <v>5.0782949187386309E-2</v>
      </c>
      <c r="JW59" s="35">
        <f t="shared" si="527"/>
        <v>5.0782948954579181E-2</v>
      </c>
      <c r="JX59" s="35">
        <f t="shared" si="528"/>
        <v>-4.2480130524324977E-11</v>
      </c>
      <c r="JY59" s="35">
        <f t="shared" si="529"/>
        <v>5.0782948721772053E-2</v>
      </c>
      <c r="JZ59" s="35">
        <f t="shared" si="530"/>
        <v>5.0782948954579181E-2</v>
      </c>
      <c r="KA59" s="35">
        <f t="shared" si="531"/>
        <v>1.3279336572391918</v>
      </c>
      <c r="KB59" s="35">
        <f t="shared" si="532"/>
        <v>5.0782948838175621E-2</v>
      </c>
    </row>
    <row r="60" spans="1:288" ht="15" customHeight="1" x14ac:dyDescent="0.3">
      <c r="A60" s="30">
        <f>Odds_Input!A60</f>
        <v>52</v>
      </c>
      <c r="B60" s="7" t="str">
        <f>Odds_Input!B60</f>
        <v>CONF_WEST</v>
      </c>
      <c r="C60" s="7" t="str">
        <f>Odds_Input!C60</f>
        <v>Minnesota Timberwolves</v>
      </c>
      <c r="D60" s="7" t="str">
        <f>Odds_Input!D60</f>
        <v>YES</v>
      </c>
      <c r="E60" s="31" t="str">
        <f>Odds_Input!E60</f>
        <v>-</v>
      </c>
      <c r="F60" s="32">
        <f>Odds_Input!F60</f>
        <v>1250</v>
      </c>
      <c r="G60" s="6" t="str">
        <f t="shared" si="0"/>
        <v>CONF_WEST</v>
      </c>
      <c r="H60" s="14">
        <f t="shared" si="1"/>
        <v>13.5</v>
      </c>
      <c r="I60" s="33">
        <f t="shared" si="2"/>
        <v>7.407407407407407E-2</v>
      </c>
      <c r="J60" s="17">
        <f t="shared" si="3"/>
        <v>1</v>
      </c>
      <c r="K60" s="17">
        <f t="shared" si="4"/>
        <v>15</v>
      </c>
      <c r="L60" s="18">
        <f t="shared" si="5"/>
        <v>1.1953442022676133</v>
      </c>
      <c r="M60" s="34">
        <f t="shared" si="6"/>
        <v>0.19534420226761329</v>
      </c>
      <c r="N60" s="33">
        <f t="shared" si="7"/>
        <v>6.1968823652260779E-2</v>
      </c>
      <c r="O60" s="33">
        <f t="shared" si="8"/>
        <v>5.4071924748404464E-2</v>
      </c>
      <c r="P60" s="33">
        <f t="shared" si="9"/>
        <v>5.9031863382166712E-2</v>
      </c>
      <c r="Q60" s="33">
        <f t="shared" si="10"/>
        <v>5.9031863382166712E-2</v>
      </c>
      <c r="R60" s="35">
        <f t="shared" si="11"/>
        <v>1.120932777808048</v>
      </c>
      <c r="S60" s="35">
        <f t="shared" si="12"/>
        <v>1.9902430363003976E-2</v>
      </c>
      <c r="X60" s="6" t="s">
        <v>835</v>
      </c>
      <c r="Y60" s="6">
        <f t="shared" si="273"/>
        <v>1</v>
      </c>
      <c r="Z60" s="18">
        <f t="shared" si="274"/>
        <v>1.0512820512820511</v>
      </c>
      <c r="AA60" s="10">
        <v>0.2</v>
      </c>
      <c r="AB60" s="10">
        <v>10</v>
      </c>
      <c r="AC60" s="35">
        <f t="shared" si="275"/>
        <v>5.0999999999999996</v>
      </c>
      <c r="AD60" s="35">
        <f t="shared" si="276"/>
        <v>-0.8658958648698345</v>
      </c>
      <c r="AE60" s="35">
        <f t="shared" si="277"/>
        <v>0.2</v>
      </c>
      <c r="AF60" s="35">
        <f t="shared" si="278"/>
        <v>5.0999999999999996</v>
      </c>
      <c r="AG60" s="35">
        <f t="shared" si="279"/>
        <v>2.65</v>
      </c>
      <c r="AH60" s="35">
        <f t="shared" si="280"/>
        <v>-0.57903410162954416</v>
      </c>
      <c r="AI60" s="35">
        <f t="shared" si="281"/>
        <v>0.2</v>
      </c>
      <c r="AJ60" s="35">
        <f t="shared" si="282"/>
        <v>2.65</v>
      </c>
      <c r="AK60" s="35">
        <f t="shared" si="283"/>
        <v>1.425</v>
      </c>
      <c r="AL60" s="35">
        <f t="shared" si="284"/>
        <v>-0.18261217151741893</v>
      </c>
      <c r="AM60" s="35">
        <f t="shared" si="285"/>
        <v>0.2</v>
      </c>
      <c r="AN60" s="35">
        <f t="shared" si="286"/>
        <v>1.425</v>
      </c>
      <c r="AO60" s="35">
        <f t="shared" si="287"/>
        <v>0.8125</v>
      </c>
      <c r="AP60" s="35">
        <f t="shared" si="288"/>
        <v>0.17940700319179603</v>
      </c>
      <c r="AQ60" s="35">
        <f t="shared" si="289"/>
        <v>0.8125</v>
      </c>
      <c r="AR60" s="35">
        <f t="shared" si="290"/>
        <v>1.425</v>
      </c>
      <c r="AS60" s="35">
        <f t="shared" si="291"/>
        <v>1.1187499999999999</v>
      </c>
      <c r="AT60" s="35">
        <f t="shared" si="292"/>
        <v>-2.1313030512747022E-2</v>
      </c>
      <c r="AU60" s="35">
        <f t="shared" si="293"/>
        <v>0.8125</v>
      </c>
      <c r="AV60" s="35">
        <f t="shared" si="294"/>
        <v>1.1187499999999999</v>
      </c>
      <c r="AW60" s="35">
        <f t="shared" si="295"/>
        <v>0.96562499999999996</v>
      </c>
      <c r="AX60" s="35">
        <f t="shared" si="296"/>
        <v>7.3481739974905924E-2</v>
      </c>
      <c r="AY60" s="35">
        <f t="shared" si="297"/>
        <v>0.96562499999999996</v>
      </c>
      <c r="AZ60" s="35">
        <f t="shared" si="298"/>
        <v>1.1187499999999999</v>
      </c>
      <c r="BA60" s="35">
        <f t="shared" si="299"/>
        <v>1.0421874999999998</v>
      </c>
      <c r="BB60" s="35">
        <f t="shared" si="300"/>
        <v>2.4779565808872306E-2</v>
      </c>
      <c r="BC60" s="35">
        <f t="shared" si="301"/>
        <v>1.0421874999999998</v>
      </c>
      <c r="BD60" s="35">
        <f t="shared" si="302"/>
        <v>1.1187499999999999</v>
      </c>
      <c r="BE60" s="35">
        <f t="shared" si="303"/>
        <v>1.0804687499999999</v>
      </c>
      <c r="BF60" s="35">
        <f t="shared" si="304"/>
        <v>1.4172511924384068E-3</v>
      </c>
      <c r="BG60" s="35">
        <f t="shared" si="305"/>
        <v>1.0804687499999999</v>
      </c>
      <c r="BH60" s="35">
        <f t="shared" si="306"/>
        <v>1.1187499999999999</v>
      </c>
      <c r="BI60" s="35">
        <f t="shared" si="307"/>
        <v>1.099609375</v>
      </c>
      <c r="BJ60" s="35">
        <f t="shared" si="308"/>
        <v>-1.002565875965411E-2</v>
      </c>
      <c r="BK60" s="35">
        <f t="shared" si="309"/>
        <v>1.0804687499999999</v>
      </c>
      <c r="BL60" s="35">
        <f t="shared" si="310"/>
        <v>1.099609375</v>
      </c>
      <c r="BM60" s="35">
        <f t="shared" si="311"/>
        <v>1.0900390624999998</v>
      </c>
      <c r="BN60" s="35">
        <f t="shared" si="312"/>
        <v>-4.3237987959487967E-3</v>
      </c>
      <c r="BO60" s="35">
        <f t="shared" si="313"/>
        <v>1.0804687499999999</v>
      </c>
      <c r="BP60" s="35">
        <f t="shared" si="314"/>
        <v>1.0900390624999998</v>
      </c>
      <c r="BQ60" s="35">
        <f t="shared" si="315"/>
        <v>1.0852539062499997</v>
      </c>
      <c r="BR60" s="35">
        <f t="shared" si="316"/>
        <v>-1.4581917893224938E-3</v>
      </c>
      <c r="BS60" s="35">
        <f t="shared" si="317"/>
        <v>1.0804687499999999</v>
      </c>
      <c r="BT60" s="35">
        <f t="shared" si="318"/>
        <v>1.0852539062499997</v>
      </c>
      <c r="BU60" s="35">
        <f t="shared" si="319"/>
        <v>1.0828613281249999</v>
      </c>
      <c r="BV60" s="35">
        <f t="shared" si="320"/>
        <v>-2.1702208597096373E-5</v>
      </c>
      <c r="BW60" s="35">
        <f t="shared" si="321"/>
        <v>1.0804687499999999</v>
      </c>
      <c r="BX60" s="35">
        <f t="shared" si="322"/>
        <v>1.0828613281249999</v>
      </c>
      <c r="BY60" s="35">
        <f t="shared" si="323"/>
        <v>1.0816650390625</v>
      </c>
      <c r="BZ60" s="35">
        <f t="shared" si="324"/>
        <v>6.974662121623787E-4</v>
      </c>
      <c r="CA60" s="35">
        <f t="shared" si="325"/>
        <v>1.0816650390625</v>
      </c>
      <c r="CB60" s="35">
        <f t="shared" si="326"/>
        <v>1.0828613281249999</v>
      </c>
      <c r="CC60" s="35">
        <f t="shared" si="327"/>
        <v>1.08226318359375</v>
      </c>
      <c r="CD60" s="35">
        <f t="shared" si="328"/>
        <v>3.3780496964563866E-4</v>
      </c>
      <c r="CE60" s="35">
        <f t="shared" si="329"/>
        <v>1.08226318359375</v>
      </c>
      <c r="CF60" s="35">
        <f t="shared" si="330"/>
        <v>1.0828613281249999</v>
      </c>
      <c r="CG60" s="35">
        <f t="shared" si="331"/>
        <v>1.0825622558593748</v>
      </c>
      <c r="CH60" s="35">
        <f t="shared" si="332"/>
        <v>1.5803212721321458E-4</v>
      </c>
      <c r="CI60" s="35">
        <f t="shared" si="333"/>
        <v>1.0825622558593748</v>
      </c>
      <c r="CJ60" s="35">
        <f t="shared" si="334"/>
        <v>1.0828613281249999</v>
      </c>
      <c r="CK60" s="35">
        <f t="shared" si="335"/>
        <v>1.0827117919921874</v>
      </c>
      <c r="CL60" s="35">
        <f t="shared" si="336"/>
        <v>6.8160146570406255E-5</v>
      </c>
      <c r="CM60" s="35">
        <f t="shared" si="337"/>
        <v>1.0827117919921874</v>
      </c>
      <c r="CN60" s="35">
        <f t="shared" si="338"/>
        <v>1.0828613281249999</v>
      </c>
      <c r="CO60" s="35">
        <f t="shared" si="339"/>
        <v>1.0827865600585938</v>
      </c>
      <c r="CP60" s="35">
        <f t="shared" si="340"/>
        <v>2.3227765876043804E-5</v>
      </c>
      <c r="CQ60" s="35">
        <f t="shared" si="341"/>
        <v>1.0827865600585938</v>
      </c>
      <c r="CR60" s="35">
        <f t="shared" si="342"/>
        <v>1.0828613281249999</v>
      </c>
      <c r="CS60" s="35">
        <f t="shared" si="343"/>
        <v>1.0828239440917968</v>
      </c>
      <c r="CT60" s="35">
        <f t="shared" si="344"/>
        <v>7.6247787106353826E-7</v>
      </c>
      <c r="CU60" s="35">
        <f t="shared" si="345"/>
        <v>1.0828239440917968</v>
      </c>
      <c r="CV60" s="35">
        <f t="shared" si="346"/>
        <v>1.0828613281249999</v>
      </c>
      <c r="CW60" s="35">
        <f t="shared" si="347"/>
        <v>1.0828426361083983</v>
      </c>
      <c r="CX60" s="35">
        <f t="shared" si="348"/>
        <v>-1.0469940553869961E-5</v>
      </c>
      <c r="CY60" s="35">
        <f t="shared" si="349"/>
        <v>1.0828239440917968</v>
      </c>
      <c r="CZ60" s="35">
        <f t="shared" si="350"/>
        <v>1.0828426361083983</v>
      </c>
      <c r="DA60" s="35">
        <f t="shared" si="351"/>
        <v>1.0828332901000977</v>
      </c>
      <c r="DB60" s="35">
        <f t="shared" si="352"/>
        <v>-4.8537501394774196E-6</v>
      </c>
      <c r="DC60" s="35">
        <f t="shared" si="353"/>
        <v>1.0828239440917968</v>
      </c>
      <c r="DD60" s="35">
        <f t="shared" si="354"/>
        <v>1.0828332901000977</v>
      </c>
      <c r="DE60" s="35">
        <f t="shared" si="355"/>
        <v>1.0828286170959474</v>
      </c>
      <c r="DF60" s="35">
        <f t="shared" si="356"/>
        <v>-2.0456408337254928E-6</v>
      </c>
      <c r="DG60" s="35">
        <f t="shared" si="357"/>
        <v>1.0828239440917968</v>
      </c>
      <c r="DH60" s="35">
        <f t="shared" si="358"/>
        <v>1.0828286170959474</v>
      </c>
      <c r="DI60" s="35">
        <f t="shared" si="359"/>
        <v>1.082826280593872</v>
      </c>
      <c r="DJ60" s="35">
        <f t="shared" si="360"/>
        <v>-6.4158265611347076E-7</v>
      </c>
      <c r="DK60" s="35">
        <f t="shared" si="361"/>
        <v>1.0828239440917968</v>
      </c>
      <c r="DL60" s="35">
        <f t="shared" si="362"/>
        <v>1.082826280593872</v>
      </c>
      <c r="DM60" s="35">
        <f t="shared" si="363"/>
        <v>1.0828251123428343</v>
      </c>
      <c r="DN60" s="35">
        <f t="shared" si="364"/>
        <v>6.0447313821043736E-8</v>
      </c>
      <c r="DO60" s="35">
        <f t="shared" si="365"/>
        <v>1.0828251123428343</v>
      </c>
      <c r="DP60" s="35">
        <f t="shared" si="366"/>
        <v>1.082826280593872</v>
      </c>
      <c r="DQ60" s="35">
        <f t="shared" si="367"/>
        <v>1.0828256964683531</v>
      </c>
      <c r="DR60" s="35">
        <f t="shared" si="368"/>
        <v>-2.9056774453195544E-7</v>
      </c>
      <c r="DS60" s="35">
        <f t="shared" si="369"/>
        <v>1.0828251123428343</v>
      </c>
      <c r="DT60" s="35">
        <f t="shared" si="370"/>
        <v>1.0828256964683531</v>
      </c>
      <c r="DU60" s="35">
        <f t="shared" si="371"/>
        <v>1.0828254044055936</v>
      </c>
      <c r="DV60" s="35">
        <f t="shared" si="372"/>
        <v>-1.1506023378515806E-7</v>
      </c>
      <c r="DW60" s="35">
        <f t="shared" si="373"/>
        <v>1.0828251123428343</v>
      </c>
      <c r="DX60" s="35">
        <f t="shared" si="374"/>
        <v>1.0828254044055936</v>
      </c>
      <c r="DY60" s="35">
        <f t="shared" si="375"/>
        <v>1.082825258374214</v>
      </c>
      <c r="DZ60" s="35">
        <f t="shared" si="376"/>
        <v>-2.7306464422949261E-8</v>
      </c>
      <c r="EA60" s="35">
        <f t="shared" si="377"/>
        <v>1.0828251123428343</v>
      </c>
      <c r="EB60" s="35">
        <f t="shared" si="378"/>
        <v>1.082825258374214</v>
      </c>
      <c r="EC60" s="35">
        <f t="shared" si="379"/>
        <v>1.0828251853585242</v>
      </c>
      <c r="ED60" s="35">
        <f t="shared" si="380"/>
        <v>1.657042347780191E-8</v>
      </c>
      <c r="EE60" s="35">
        <f t="shared" si="381"/>
        <v>1.0828251853585242</v>
      </c>
      <c r="EF60" s="35">
        <f t="shared" si="382"/>
        <v>1.082825258374214</v>
      </c>
      <c r="EG60" s="35">
        <f t="shared" si="383"/>
        <v>1.082825221866369</v>
      </c>
      <c r="EH60" s="35">
        <f t="shared" si="384"/>
        <v>-5.3680206946182807E-9</v>
      </c>
      <c r="EI60" s="35">
        <f t="shared" si="385"/>
        <v>1.0828251853585242</v>
      </c>
      <c r="EJ60" s="35">
        <f t="shared" si="386"/>
        <v>1.082825221866369</v>
      </c>
      <c r="EK60" s="35">
        <f t="shared" si="387"/>
        <v>1.0828252036124466</v>
      </c>
      <c r="EL60" s="35">
        <f t="shared" si="388"/>
        <v>5.6012012805695122E-9</v>
      </c>
      <c r="EM60" s="35">
        <f t="shared" si="389"/>
        <v>1.0828252036124466</v>
      </c>
      <c r="EN60" s="35">
        <f t="shared" si="390"/>
        <v>1.082825221866369</v>
      </c>
      <c r="EO60" s="35">
        <f t="shared" si="391"/>
        <v>1.0828252127394078</v>
      </c>
      <c r="EP60" s="35">
        <f t="shared" si="392"/>
        <v>1.1659029297561574E-10</v>
      </c>
      <c r="EQ60" s="35">
        <f t="shared" si="393"/>
        <v>1.0828252127394078</v>
      </c>
      <c r="ER60" s="35">
        <f t="shared" si="394"/>
        <v>1.082825221866369</v>
      </c>
      <c r="ES60" s="35">
        <f t="shared" si="395"/>
        <v>1.0828252173028883</v>
      </c>
      <c r="ET60" s="35">
        <f t="shared" si="396"/>
        <v>-2.6257152008213325E-9</v>
      </c>
      <c r="EU60" s="35">
        <f t="shared" si="397"/>
        <v>1.0828252127394078</v>
      </c>
      <c r="EV60" s="35">
        <f t="shared" si="398"/>
        <v>1.0828252173028883</v>
      </c>
      <c r="EW60" s="35">
        <f t="shared" si="399"/>
        <v>1.0828252150211481</v>
      </c>
      <c r="EX60" s="35">
        <f t="shared" si="400"/>
        <v>-1.2545625649451608E-9</v>
      </c>
      <c r="EY60" s="35">
        <f t="shared" si="401"/>
        <v>1.0828252127394078</v>
      </c>
      <c r="EZ60" s="35">
        <f t="shared" si="402"/>
        <v>1.0828252150211481</v>
      </c>
      <c r="FA60" s="10">
        <v>9.9999999999999995E-7</v>
      </c>
      <c r="FB60" s="10">
        <v>0.99990000000000001</v>
      </c>
      <c r="FC60" s="35">
        <f t="shared" si="403"/>
        <v>0.49995050000000002</v>
      </c>
      <c r="FD60" s="35">
        <f t="shared" si="404"/>
        <v>-0.2243117019937616</v>
      </c>
      <c r="FE60" s="35">
        <f t="shared" si="405"/>
        <v>9.9999999999999995E-7</v>
      </c>
      <c r="FF60" s="35">
        <f t="shared" si="406"/>
        <v>0.49995050000000002</v>
      </c>
      <c r="FG60" s="35">
        <f t="shared" si="407"/>
        <v>0.24997575</v>
      </c>
      <c r="FH60" s="35">
        <f t="shared" si="408"/>
        <v>-0.10014772230147395</v>
      </c>
      <c r="FI60" s="35">
        <f t="shared" si="409"/>
        <v>9.9999999999999995E-7</v>
      </c>
      <c r="FJ60" s="35">
        <f t="shared" si="410"/>
        <v>0.24997575</v>
      </c>
      <c r="FK60" s="35">
        <f t="shared" si="411"/>
        <v>0.124988375</v>
      </c>
      <c r="FL60" s="35">
        <f t="shared" si="412"/>
        <v>-3.6765512469784212E-2</v>
      </c>
      <c r="FM60" s="35">
        <f t="shared" si="413"/>
        <v>9.9999999999999995E-7</v>
      </c>
      <c r="FN60" s="35">
        <f t="shared" si="414"/>
        <v>0.124988375</v>
      </c>
      <c r="FO60" s="35">
        <f t="shared" si="415"/>
        <v>6.24946875E-2</v>
      </c>
      <c r="FP60" s="35">
        <f t="shared" si="416"/>
        <v>-5.4594658990037015E-3</v>
      </c>
      <c r="FQ60" s="35">
        <f t="shared" si="417"/>
        <v>9.9999999999999995E-7</v>
      </c>
      <c r="FR60" s="35">
        <f t="shared" si="418"/>
        <v>6.24946875E-2</v>
      </c>
      <c r="FS60" s="35">
        <f t="shared" si="419"/>
        <v>3.124784375E-2</v>
      </c>
      <c r="FT60" s="35">
        <f t="shared" si="420"/>
        <v>1.0007638000023578E-2</v>
      </c>
      <c r="FU60" s="35">
        <f t="shared" si="421"/>
        <v>3.124784375E-2</v>
      </c>
      <c r="FV60" s="35">
        <f t="shared" si="422"/>
        <v>6.24946875E-2</v>
      </c>
      <c r="FW60" s="35">
        <f t="shared" si="423"/>
        <v>4.6871265624999998E-2</v>
      </c>
      <c r="FX60" s="35">
        <f t="shared" si="424"/>
        <v>2.2920529889893793E-3</v>
      </c>
      <c r="FY60" s="35">
        <f t="shared" si="425"/>
        <v>4.6871265624999998E-2</v>
      </c>
      <c r="FZ60" s="35">
        <f t="shared" si="426"/>
        <v>6.24946875E-2</v>
      </c>
      <c r="GA60" s="35">
        <f t="shared" si="427"/>
        <v>5.4682976562499999E-2</v>
      </c>
      <c r="GB60" s="35">
        <f t="shared" si="428"/>
        <v>-1.5793932487929707E-3</v>
      </c>
      <c r="GC60" s="35">
        <f t="shared" si="429"/>
        <v>4.6871265624999998E-2</v>
      </c>
      <c r="GD60" s="35">
        <f t="shared" si="430"/>
        <v>5.4682976562499999E-2</v>
      </c>
      <c r="GE60" s="35">
        <f t="shared" si="431"/>
        <v>5.0777121093750002E-2</v>
      </c>
      <c r="GF60" s="35">
        <f t="shared" si="432"/>
        <v>3.574307513347641E-4</v>
      </c>
      <c r="GG60" s="35">
        <f t="shared" si="433"/>
        <v>5.0777121093750002E-2</v>
      </c>
      <c r="GH60" s="35">
        <f t="shared" si="434"/>
        <v>5.4682976562499999E-2</v>
      </c>
      <c r="GI60" s="35">
        <f t="shared" si="435"/>
        <v>5.2730048828125001E-2</v>
      </c>
      <c r="GJ60" s="35">
        <f t="shared" si="436"/>
        <v>-6.1070883474179105E-4</v>
      </c>
      <c r="GK60" s="35">
        <f t="shared" si="437"/>
        <v>5.0777121093750002E-2</v>
      </c>
      <c r="GL60" s="35">
        <f t="shared" si="438"/>
        <v>5.2730048828125001E-2</v>
      </c>
      <c r="GM60" s="35">
        <f t="shared" si="439"/>
        <v>5.1753584960937501E-2</v>
      </c>
      <c r="GN60" s="35">
        <f t="shared" si="440"/>
        <v>-1.26570586396757E-4</v>
      </c>
      <c r="GO60" s="35">
        <f t="shared" si="441"/>
        <v>5.0777121093750002E-2</v>
      </c>
      <c r="GP60" s="35">
        <f t="shared" si="442"/>
        <v>5.1753584960937501E-2</v>
      </c>
      <c r="GQ60" s="35">
        <f t="shared" si="443"/>
        <v>5.1265353027343752E-2</v>
      </c>
      <c r="GR60" s="35">
        <f t="shared" si="444"/>
        <v>1.1544724018297536E-4</v>
      </c>
      <c r="GS60" s="35">
        <f t="shared" si="445"/>
        <v>5.1265353027343752E-2</v>
      </c>
      <c r="GT60" s="35">
        <f t="shared" si="446"/>
        <v>5.1753584960937501E-2</v>
      </c>
      <c r="GU60" s="35">
        <f t="shared" si="447"/>
        <v>5.1509468994140627E-2</v>
      </c>
      <c r="GV60" s="35">
        <f t="shared" si="448"/>
        <v>-5.5573891603044601E-6</v>
      </c>
      <c r="GW60" s="35">
        <f t="shared" si="449"/>
        <v>5.1265353027343752E-2</v>
      </c>
      <c r="GX60" s="35">
        <f t="shared" si="450"/>
        <v>5.1509468994140627E-2</v>
      </c>
      <c r="GY60" s="35">
        <f t="shared" si="451"/>
        <v>5.1387411010742193E-2</v>
      </c>
      <c r="GZ60" s="35">
        <f t="shared" si="452"/>
        <v>5.494599718347537E-5</v>
      </c>
      <c r="HA60" s="35">
        <f t="shared" si="453"/>
        <v>5.1387411010742193E-2</v>
      </c>
      <c r="HB60" s="35">
        <f t="shared" si="454"/>
        <v>5.1509468994140627E-2</v>
      </c>
      <c r="HC60" s="35">
        <f t="shared" si="455"/>
        <v>5.1448440002441406E-2</v>
      </c>
      <c r="HD60" s="35">
        <f t="shared" si="456"/>
        <v>2.4694571843841828E-5</v>
      </c>
      <c r="HE60" s="35">
        <f t="shared" si="457"/>
        <v>5.1448440002441406E-2</v>
      </c>
      <c r="HF60" s="35">
        <f t="shared" si="458"/>
        <v>5.1509468994140627E-2</v>
      </c>
      <c r="HG60" s="35">
        <f t="shared" si="459"/>
        <v>5.1478954498291013E-2</v>
      </c>
      <c r="HH60" s="35">
        <f t="shared" si="460"/>
        <v>9.5686582892717809E-6</v>
      </c>
      <c r="HI60" s="35">
        <f t="shared" si="461"/>
        <v>5.1478954498291013E-2</v>
      </c>
      <c r="HJ60" s="35">
        <f t="shared" si="462"/>
        <v>5.1509468994140627E-2</v>
      </c>
      <c r="HK60" s="35">
        <f t="shared" si="463"/>
        <v>5.1494211746215823E-2</v>
      </c>
      <c r="HL60" s="35">
        <f t="shared" si="464"/>
        <v>2.0056512999300224E-6</v>
      </c>
      <c r="HM60" s="35">
        <f t="shared" si="465"/>
        <v>5.1494211746215823E-2</v>
      </c>
      <c r="HN60" s="35">
        <f t="shared" si="466"/>
        <v>5.1509468994140627E-2</v>
      </c>
      <c r="HO60" s="35">
        <f t="shared" si="467"/>
        <v>5.1501840370178228E-2</v>
      </c>
      <c r="HP60" s="35">
        <f t="shared" si="468"/>
        <v>-1.775864746478284E-6</v>
      </c>
      <c r="HQ60" s="35">
        <f t="shared" si="469"/>
        <v>5.1494211746215823E-2</v>
      </c>
      <c r="HR60" s="35">
        <f t="shared" si="470"/>
        <v>5.1501840370178228E-2</v>
      </c>
      <c r="HS60" s="35">
        <f t="shared" si="471"/>
        <v>5.1498026058197026E-2</v>
      </c>
      <c r="HT60" s="35">
        <f t="shared" si="472"/>
        <v>1.1489432272249189E-7</v>
      </c>
      <c r="HU60" s="35">
        <f t="shared" si="473"/>
        <v>5.1498026058197026E-2</v>
      </c>
      <c r="HV60" s="35">
        <f t="shared" si="474"/>
        <v>5.1501840370178228E-2</v>
      </c>
      <c r="HW60" s="35">
        <f t="shared" si="475"/>
        <v>5.1499933214187624E-2</v>
      </c>
      <c r="HX60" s="35">
        <f t="shared" si="476"/>
        <v>-8.3048495036486258E-7</v>
      </c>
      <c r="HY60" s="35">
        <f t="shared" si="477"/>
        <v>5.1498026058197026E-2</v>
      </c>
      <c r="HZ60" s="35">
        <f t="shared" si="478"/>
        <v>5.1499933214187624E-2</v>
      </c>
      <c r="IA60" s="35">
        <f t="shared" si="479"/>
        <v>5.1498979636192321E-2</v>
      </c>
      <c r="IB60" s="35">
        <f t="shared" si="480"/>
        <v>-3.577952485400715E-7</v>
      </c>
      <c r="IC60" s="35">
        <f t="shared" si="481"/>
        <v>5.1498026058197026E-2</v>
      </c>
      <c r="ID60" s="35">
        <f t="shared" si="482"/>
        <v>5.1498979636192321E-2</v>
      </c>
      <c r="IE60" s="35">
        <f t="shared" si="483"/>
        <v>5.1498502847194677E-2</v>
      </c>
      <c r="IF60" s="35">
        <f t="shared" si="484"/>
        <v>-1.2145044658851134E-7</v>
      </c>
      <c r="IG60" s="35">
        <f t="shared" si="485"/>
        <v>5.1498026058197026E-2</v>
      </c>
      <c r="IH60" s="35">
        <f t="shared" si="486"/>
        <v>5.1498502847194677E-2</v>
      </c>
      <c r="II60" s="35">
        <f t="shared" si="487"/>
        <v>5.1498264452695855E-2</v>
      </c>
      <c r="IJ60" s="35">
        <f t="shared" si="488"/>
        <v>-3.2780579362068352E-9</v>
      </c>
      <c r="IK60" s="35">
        <f t="shared" si="489"/>
        <v>5.1498026058197026E-2</v>
      </c>
      <c r="IL60" s="35">
        <f t="shared" si="490"/>
        <v>5.1498264452695855E-2</v>
      </c>
      <c r="IM60" s="35">
        <f t="shared" si="491"/>
        <v>5.1498145255446437E-2</v>
      </c>
      <c r="IN60" s="35">
        <f t="shared" si="492"/>
        <v>5.5808133225809797E-8</v>
      </c>
      <c r="IO60" s="35">
        <f t="shared" si="493"/>
        <v>5.1498145255446437E-2</v>
      </c>
      <c r="IP60" s="35">
        <f t="shared" si="494"/>
        <v>5.1498264452695855E-2</v>
      </c>
      <c r="IQ60" s="35">
        <f t="shared" si="495"/>
        <v>5.1498204854071146E-2</v>
      </c>
      <c r="IR60" s="35">
        <f t="shared" si="496"/>
        <v>2.6265037922357237E-8</v>
      </c>
      <c r="IS60" s="35">
        <f t="shared" si="497"/>
        <v>5.1498204854071146E-2</v>
      </c>
      <c r="IT60" s="35">
        <f t="shared" si="498"/>
        <v>5.1498264452695855E-2</v>
      </c>
      <c r="IU60" s="35">
        <f t="shared" si="499"/>
        <v>5.1498234653383504E-2</v>
      </c>
      <c r="IV60" s="35">
        <f t="shared" si="500"/>
        <v>1.1493490159608655E-8</v>
      </c>
      <c r="IW60" s="35">
        <f t="shared" si="501"/>
        <v>5.1498234653383504E-2</v>
      </c>
      <c r="IX60" s="35">
        <f t="shared" si="502"/>
        <v>5.1498264452695855E-2</v>
      </c>
      <c r="IY60" s="35">
        <f t="shared" si="503"/>
        <v>5.1498249553039679E-2</v>
      </c>
      <c r="IZ60" s="35">
        <f t="shared" si="504"/>
        <v>4.1077159451674561E-9</v>
      </c>
      <c r="JA60" s="35">
        <f t="shared" si="505"/>
        <v>5.1498249553039679E-2</v>
      </c>
      <c r="JB60" s="35">
        <f t="shared" si="506"/>
        <v>5.1498264452695855E-2</v>
      </c>
      <c r="JC60" s="35">
        <f t="shared" si="507"/>
        <v>5.1498257002867767E-2</v>
      </c>
      <c r="JD60" s="35">
        <f t="shared" si="508"/>
        <v>4.1482905999146169E-10</v>
      </c>
      <c r="JE60" s="35">
        <f t="shared" si="509"/>
        <v>5.1498257002867767E-2</v>
      </c>
      <c r="JF60" s="35">
        <f t="shared" si="510"/>
        <v>5.1498264452695855E-2</v>
      </c>
      <c r="JG60" s="35">
        <f t="shared" si="511"/>
        <v>5.1498260727781811E-2</v>
      </c>
      <c r="JH60" s="35">
        <f t="shared" si="512"/>
        <v>-1.4316143825965355E-9</v>
      </c>
      <c r="JI60" s="35">
        <f t="shared" si="513"/>
        <v>5.1498257002867767E-2</v>
      </c>
      <c r="JJ60" s="35">
        <f t="shared" si="514"/>
        <v>5.1498260727781811E-2</v>
      </c>
      <c r="JK60" s="35">
        <f t="shared" si="515"/>
        <v>5.1498258865324789E-2</v>
      </c>
      <c r="JL60" s="35">
        <f t="shared" si="516"/>
        <v>-5.0839255028023445E-10</v>
      </c>
      <c r="JM60" s="35">
        <f t="shared" si="517"/>
        <v>5.1498257002867767E-2</v>
      </c>
      <c r="JN60" s="35">
        <f t="shared" si="518"/>
        <v>5.1498258865324789E-2</v>
      </c>
      <c r="JO60" s="35">
        <f t="shared" si="519"/>
        <v>5.1498257934096278E-2</v>
      </c>
      <c r="JP60" s="35">
        <f t="shared" si="520"/>
        <v>-4.6781689633235146E-11</v>
      </c>
      <c r="JQ60" s="35">
        <f t="shared" si="521"/>
        <v>5.1498257002867767E-2</v>
      </c>
      <c r="JR60" s="35">
        <f t="shared" si="522"/>
        <v>5.1498257934096278E-2</v>
      </c>
      <c r="JS60" s="35">
        <f t="shared" si="523"/>
        <v>5.1498257468482023E-2</v>
      </c>
      <c r="JT60" s="35">
        <f t="shared" si="524"/>
        <v>1.8402368517911327E-10</v>
      </c>
      <c r="JU60" s="35">
        <f t="shared" si="525"/>
        <v>5.1498257468482023E-2</v>
      </c>
      <c r="JV60" s="35">
        <f t="shared" si="526"/>
        <v>5.1498257934096278E-2</v>
      </c>
      <c r="JW60" s="35">
        <f t="shared" si="527"/>
        <v>5.149825770128915E-2</v>
      </c>
      <c r="JX60" s="35">
        <f t="shared" si="528"/>
        <v>6.86208867506366E-11</v>
      </c>
      <c r="JY60" s="35">
        <f t="shared" si="529"/>
        <v>5.149825770128915E-2</v>
      </c>
      <c r="JZ60" s="35">
        <f t="shared" si="530"/>
        <v>5.1498257934096278E-2</v>
      </c>
      <c r="KA60" s="35">
        <f t="shared" si="531"/>
        <v>1.0828252138802781</v>
      </c>
      <c r="KB60" s="35">
        <f t="shared" si="532"/>
        <v>5.1498257817692711E-2</v>
      </c>
    </row>
    <row r="61" spans="1:288" ht="15" customHeight="1" x14ac:dyDescent="0.3">
      <c r="A61" s="30">
        <f>Odds_Input!A61</f>
        <v>53</v>
      </c>
      <c r="B61" s="7" t="str">
        <f>Odds_Input!B61</f>
        <v>CONF_WEST</v>
      </c>
      <c r="C61" s="7" t="str">
        <f>Odds_Input!C61</f>
        <v>New Orleans Pelicans</v>
      </c>
      <c r="D61" s="7" t="str">
        <f>Odds_Input!D61</f>
        <v>YES</v>
      </c>
      <c r="E61" s="31" t="str">
        <f>Odds_Input!E61</f>
        <v>-</v>
      </c>
      <c r="F61" s="32">
        <f>Odds_Input!F61</f>
        <v>24000</v>
      </c>
      <c r="G61" s="6" t="str">
        <f t="shared" si="0"/>
        <v>CONF_WEST</v>
      </c>
      <c r="H61" s="14">
        <f t="shared" si="1"/>
        <v>241</v>
      </c>
      <c r="I61" s="33">
        <f t="shared" si="2"/>
        <v>4.1493775933609959E-3</v>
      </c>
      <c r="J61" s="17">
        <f t="shared" si="3"/>
        <v>1</v>
      </c>
      <c r="K61" s="17">
        <f t="shared" si="4"/>
        <v>15</v>
      </c>
      <c r="L61" s="18">
        <f t="shared" si="5"/>
        <v>1.1953442022676133</v>
      </c>
      <c r="M61" s="34">
        <f t="shared" si="6"/>
        <v>0.19534420226761329</v>
      </c>
      <c r="N61" s="33">
        <f t="shared" si="7"/>
        <v>3.4712826527200026E-3</v>
      </c>
      <c r="O61" s="33">
        <f t="shared" si="8"/>
        <v>2.137563473540252E-3</v>
      </c>
      <c r="P61" s="33">
        <f t="shared" si="9"/>
        <v>6.9961048549081414E-4</v>
      </c>
      <c r="Q61" s="33">
        <f t="shared" si="10"/>
        <v>6.9961048549081414E-4</v>
      </c>
      <c r="R61" s="35">
        <f t="shared" si="11"/>
        <v>1.120932777808048</v>
      </c>
      <c r="S61" s="35">
        <f t="shared" si="12"/>
        <v>1.9902430363003976E-2</v>
      </c>
      <c r="X61" s="6" t="s">
        <v>836</v>
      </c>
      <c r="Y61" s="6">
        <f t="shared" si="273"/>
        <v>1</v>
      </c>
      <c r="Z61" s="18">
        <f t="shared" si="274"/>
        <v>1.0355555555555556</v>
      </c>
      <c r="AA61" s="10">
        <v>0.2</v>
      </c>
      <c r="AB61" s="10">
        <v>10</v>
      </c>
      <c r="AC61" s="35">
        <f t="shared" si="275"/>
        <v>5.0999999999999996</v>
      </c>
      <c r="AD61" s="35">
        <f t="shared" si="276"/>
        <v>-0.20693881041694029</v>
      </c>
      <c r="AE61" s="35">
        <f t="shared" si="277"/>
        <v>0.2</v>
      </c>
      <c r="AF61" s="35">
        <f t="shared" si="278"/>
        <v>5.0999999999999996</v>
      </c>
      <c r="AG61" s="35">
        <f t="shared" si="279"/>
        <v>2.65</v>
      </c>
      <c r="AH61" s="35">
        <f t="shared" si="280"/>
        <v>-0.11226167440184776</v>
      </c>
      <c r="AI61" s="35">
        <f t="shared" si="281"/>
        <v>0.2</v>
      </c>
      <c r="AJ61" s="35">
        <f t="shared" si="282"/>
        <v>2.65</v>
      </c>
      <c r="AK61" s="35">
        <f t="shared" si="283"/>
        <v>1.425</v>
      </c>
      <c r="AL61" s="35">
        <f t="shared" si="284"/>
        <v>-3.5383405307392035E-2</v>
      </c>
      <c r="AM61" s="35">
        <f t="shared" si="285"/>
        <v>0.2</v>
      </c>
      <c r="AN61" s="35">
        <f t="shared" si="286"/>
        <v>1.425</v>
      </c>
      <c r="AO61" s="35">
        <f t="shared" si="287"/>
        <v>0.8125</v>
      </c>
      <c r="AP61" s="35">
        <f t="shared" si="288"/>
        <v>9.2193552463427642E-2</v>
      </c>
      <c r="AQ61" s="35">
        <f t="shared" si="289"/>
        <v>0.8125</v>
      </c>
      <c r="AR61" s="35">
        <f t="shared" si="290"/>
        <v>1.425</v>
      </c>
      <c r="AS61" s="35">
        <f t="shared" si="291"/>
        <v>1.1187499999999999</v>
      </c>
      <c r="AT61" s="35">
        <f t="shared" si="292"/>
        <v>9.6803289800821979E-3</v>
      </c>
      <c r="AU61" s="35">
        <f t="shared" si="293"/>
        <v>1.1187499999999999</v>
      </c>
      <c r="AV61" s="35">
        <f t="shared" si="294"/>
        <v>1.425</v>
      </c>
      <c r="AW61" s="35">
        <f t="shared" si="295"/>
        <v>1.2718750000000001</v>
      </c>
      <c r="AX61" s="35">
        <f t="shared" si="296"/>
        <v>-1.5923073406371668E-2</v>
      </c>
      <c r="AY61" s="35">
        <f t="shared" si="297"/>
        <v>1.1187499999999999</v>
      </c>
      <c r="AZ61" s="35">
        <f t="shared" si="298"/>
        <v>1.2718750000000001</v>
      </c>
      <c r="BA61" s="35">
        <f t="shared" si="299"/>
        <v>1.1953125</v>
      </c>
      <c r="BB61" s="35">
        <f t="shared" si="300"/>
        <v>-4.0432841471848002E-3</v>
      </c>
      <c r="BC61" s="35">
        <f t="shared" si="301"/>
        <v>1.1187499999999999</v>
      </c>
      <c r="BD61" s="35">
        <f t="shared" si="302"/>
        <v>1.1953125</v>
      </c>
      <c r="BE61" s="35">
        <f t="shared" si="303"/>
        <v>1.15703125</v>
      </c>
      <c r="BF61" s="35">
        <f t="shared" si="304"/>
        <v>2.5653789119639558E-3</v>
      </c>
      <c r="BG61" s="35">
        <f t="shared" si="305"/>
        <v>1.15703125</v>
      </c>
      <c r="BH61" s="35">
        <f t="shared" si="306"/>
        <v>1.1953125</v>
      </c>
      <c r="BI61" s="35">
        <f t="shared" si="307"/>
        <v>1.1761718750000001</v>
      </c>
      <c r="BJ61" s="35">
        <f t="shared" si="308"/>
        <v>-7.9923339788479097E-4</v>
      </c>
      <c r="BK61" s="35">
        <f t="shared" si="309"/>
        <v>1.15703125</v>
      </c>
      <c r="BL61" s="35">
        <f t="shared" si="310"/>
        <v>1.1761718750000001</v>
      </c>
      <c r="BM61" s="35">
        <f t="shared" si="311"/>
        <v>1.1666015624999999</v>
      </c>
      <c r="BN61" s="35">
        <f t="shared" si="312"/>
        <v>8.6763824439661796E-4</v>
      </c>
      <c r="BO61" s="35">
        <f t="shared" si="313"/>
        <v>1.1666015624999999</v>
      </c>
      <c r="BP61" s="35">
        <f t="shared" si="314"/>
        <v>1.1761718750000001</v>
      </c>
      <c r="BQ61" s="35">
        <f t="shared" si="315"/>
        <v>1.17138671875</v>
      </c>
      <c r="BR61" s="35">
        <f t="shared" si="316"/>
        <v>3.0390023513904296E-5</v>
      </c>
      <c r="BS61" s="35">
        <f t="shared" si="317"/>
        <v>1.17138671875</v>
      </c>
      <c r="BT61" s="35">
        <f t="shared" si="318"/>
        <v>1.1761718750000001</v>
      </c>
      <c r="BU61" s="35">
        <f t="shared" si="319"/>
        <v>1.173779296875</v>
      </c>
      <c r="BV61" s="35">
        <f t="shared" si="320"/>
        <v>-3.8536906948716254E-4</v>
      </c>
      <c r="BW61" s="35">
        <f t="shared" si="321"/>
        <v>1.17138671875</v>
      </c>
      <c r="BX61" s="35">
        <f t="shared" si="322"/>
        <v>1.173779296875</v>
      </c>
      <c r="BY61" s="35">
        <f t="shared" si="323"/>
        <v>1.1725830078124999</v>
      </c>
      <c r="BZ61" s="35">
        <f t="shared" si="324"/>
        <v>-1.7772708056806863E-4</v>
      </c>
      <c r="CA61" s="35">
        <f t="shared" si="325"/>
        <v>1.17138671875</v>
      </c>
      <c r="CB61" s="35">
        <f t="shared" si="326"/>
        <v>1.1725830078124999</v>
      </c>
      <c r="CC61" s="35">
        <f t="shared" si="327"/>
        <v>1.17198486328125</v>
      </c>
      <c r="CD61" s="35">
        <f t="shared" si="328"/>
        <v>-7.3728007158657682E-5</v>
      </c>
      <c r="CE61" s="35">
        <f t="shared" si="329"/>
        <v>1.17138671875</v>
      </c>
      <c r="CF61" s="35">
        <f t="shared" si="330"/>
        <v>1.17198486328125</v>
      </c>
      <c r="CG61" s="35">
        <f t="shared" si="331"/>
        <v>1.1716857910156251</v>
      </c>
      <c r="CH61" s="35">
        <f t="shared" si="332"/>
        <v>-2.1683872649669311E-5</v>
      </c>
      <c r="CI61" s="35">
        <f t="shared" si="333"/>
        <v>1.17138671875</v>
      </c>
      <c r="CJ61" s="35">
        <f t="shared" si="334"/>
        <v>1.1716857910156251</v>
      </c>
      <c r="CK61" s="35">
        <f t="shared" si="335"/>
        <v>1.1715362548828125</v>
      </c>
      <c r="CL61" s="35">
        <f t="shared" si="336"/>
        <v>4.3493538282035615E-6</v>
      </c>
      <c r="CM61" s="35">
        <f t="shared" si="337"/>
        <v>1.1715362548828125</v>
      </c>
      <c r="CN61" s="35">
        <f t="shared" si="338"/>
        <v>1.1716857910156251</v>
      </c>
      <c r="CO61" s="35">
        <f t="shared" si="339"/>
        <v>1.1716110229492189</v>
      </c>
      <c r="CP61" s="35">
        <f t="shared" si="340"/>
        <v>-8.6681896369622535E-6</v>
      </c>
      <c r="CQ61" s="35">
        <f t="shared" si="341"/>
        <v>1.1715362548828125</v>
      </c>
      <c r="CR61" s="35">
        <f t="shared" si="342"/>
        <v>1.1716110229492189</v>
      </c>
      <c r="CS61" s="35">
        <f t="shared" si="343"/>
        <v>1.1715736389160156</v>
      </c>
      <c r="CT61" s="35">
        <f t="shared" si="344"/>
        <v>-2.1596504827803287E-6</v>
      </c>
      <c r="CU61" s="35">
        <f t="shared" si="345"/>
        <v>1.1715362548828125</v>
      </c>
      <c r="CV61" s="35">
        <f t="shared" si="346"/>
        <v>1.1715736389160156</v>
      </c>
      <c r="CW61" s="35">
        <f t="shared" si="347"/>
        <v>1.171554946899414</v>
      </c>
      <c r="CX61" s="35">
        <f t="shared" si="348"/>
        <v>1.0947935253913244E-6</v>
      </c>
      <c r="CY61" s="35">
        <f t="shared" si="349"/>
        <v>1.171554946899414</v>
      </c>
      <c r="CZ61" s="35">
        <f t="shared" si="350"/>
        <v>1.1715736389160156</v>
      </c>
      <c r="DA61" s="35">
        <f t="shared" si="351"/>
        <v>1.1715642929077148</v>
      </c>
      <c r="DB61" s="35">
        <f t="shared" si="352"/>
        <v>-5.3244301512211933E-7</v>
      </c>
      <c r="DC61" s="35">
        <f t="shared" si="353"/>
        <v>1.171554946899414</v>
      </c>
      <c r="DD61" s="35">
        <f t="shared" si="354"/>
        <v>1.1715642929077148</v>
      </c>
      <c r="DE61" s="35">
        <f t="shared" si="355"/>
        <v>1.1715596199035643</v>
      </c>
      <c r="DF61" s="35">
        <f t="shared" si="356"/>
        <v>2.8117162109708715E-7</v>
      </c>
      <c r="DG61" s="35">
        <f t="shared" si="357"/>
        <v>1.1715596199035643</v>
      </c>
      <c r="DH61" s="35">
        <f t="shared" si="358"/>
        <v>1.1715642929077148</v>
      </c>
      <c r="DI61" s="35">
        <f t="shared" si="359"/>
        <v>1.1715619564056396</v>
      </c>
      <c r="DJ61" s="35">
        <f t="shared" si="360"/>
        <v>-1.2563660567455059E-7</v>
      </c>
      <c r="DK61" s="35">
        <f t="shared" si="361"/>
        <v>1.1715596199035643</v>
      </c>
      <c r="DL61" s="35">
        <f t="shared" si="362"/>
        <v>1.1715619564056396</v>
      </c>
      <c r="DM61" s="35">
        <f t="shared" si="363"/>
        <v>1.171560788154602</v>
      </c>
      <c r="DN61" s="35">
        <f t="shared" si="364"/>
        <v>7.7767280615148593E-8</v>
      </c>
      <c r="DO61" s="35">
        <f t="shared" si="365"/>
        <v>1.171560788154602</v>
      </c>
      <c r="DP61" s="35">
        <f t="shared" si="366"/>
        <v>1.1715619564056396</v>
      </c>
      <c r="DQ61" s="35">
        <f t="shared" si="367"/>
        <v>1.1715613722801208</v>
      </c>
      <c r="DR61" s="35">
        <f t="shared" si="368"/>
        <v>-2.393471931760871E-8</v>
      </c>
      <c r="DS61" s="35">
        <f t="shared" si="369"/>
        <v>1.171560788154602</v>
      </c>
      <c r="DT61" s="35">
        <f t="shared" si="370"/>
        <v>1.1715613722801208</v>
      </c>
      <c r="DU61" s="35">
        <f t="shared" si="371"/>
        <v>1.1715610802173613</v>
      </c>
      <c r="DV61" s="35">
        <f t="shared" si="372"/>
        <v>2.6916266326892924E-8</v>
      </c>
      <c r="DW61" s="35">
        <f t="shared" si="373"/>
        <v>1.1715610802173613</v>
      </c>
      <c r="DX61" s="35">
        <f t="shared" si="374"/>
        <v>1.1715613722801208</v>
      </c>
      <c r="DY61" s="35">
        <f t="shared" si="375"/>
        <v>1.1715612262487411</v>
      </c>
      <c r="DZ61" s="35">
        <f t="shared" si="376"/>
        <v>1.4907699519284279E-9</v>
      </c>
      <c r="EA61" s="35">
        <f t="shared" si="377"/>
        <v>1.1715612262487411</v>
      </c>
      <c r="EB61" s="35">
        <f t="shared" si="378"/>
        <v>1.1715613722801208</v>
      </c>
      <c r="EC61" s="35">
        <f t="shared" si="379"/>
        <v>1.1715612992644311</v>
      </c>
      <c r="ED61" s="35">
        <f t="shared" si="380"/>
        <v>-1.1221975571018561E-8</v>
      </c>
      <c r="EE61" s="35">
        <f t="shared" si="381"/>
        <v>1.1715612262487411</v>
      </c>
      <c r="EF61" s="35">
        <f t="shared" si="382"/>
        <v>1.1715612992644311</v>
      </c>
      <c r="EG61" s="35">
        <f t="shared" si="383"/>
        <v>1.1715612627565861</v>
      </c>
      <c r="EH61" s="35">
        <f t="shared" si="384"/>
        <v>-4.8656030315896714E-9</v>
      </c>
      <c r="EI61" s="35">
        <f t="shared" si="385"/>
        <v>1.1715612262487411</v>
      </c>
      <c r="EJ61" s="35">
        <f t="shared" si="386"/>
        <v>1.1715612627565861</v>
      </c>
      <c r="EK61" s="35">
        <f t="shared" si="387"/>
        <v>1.1715612445026635</v>
      </c>
      <c r="EL61" s="35">
        <f t="shared" si="388"/>
        <v>-1.6874166508529242E-9</v>
      </c>
      <c r="EM61" s="35">
        <f t="shared" si="389"/>
        <v>1.1715612262487411</v>
      </c>
      <c r="EN61" s="35">
        <f t="shared" si="390"/>
        <v>1.1715612445026635</v>
      </c>
      <c r="EO61" s="35">
        <f t="shared" si="391"/>
        <v>1.1715612353757023</v>
      </c>
      <c r="EP61" s="35">
        <f t="shared" si="392"/>
        <v>-9.8323349462248189E-11</v>
      </c>
      <c r="EQ61" s="35">
        <f t="shared" si="393"/>
        <v>1.1715612262487411</v>
      </c>
      <c r="ER61" s="35">
        <f t="shared" si="394"/>
        <v>1.1715612353757023</v>
      </c>
      <c r="ES61" s="35">
        <f t="shared" si="395"/>
        <v>1.1715612308122219</v>
      </c>
      <c r="ET61" s="35">
        <f t="shared" si="396"/>
        <v>6.9622330123308984E-10</v>
      </c>
      <c r="EU61" s="35">
        <f t="shared" si="397"/>
        <v>1.1715612308122219</v>
      </c>
      <c r="EV61" s="35">
        <f t="shared" si="398"/>
        <v>1.1715612353757023</v>
      </c>
      <c r="EW61" s="35">
        <f t="shared" si="399"/>
        <v>1.171561233093962</v>
      </c>
      <c r="EX61" s="35">
        <f t="shared" si="400"/>
        <v>2.9894997588542083E-10</v>
      </c>
      <c r="EY61" s="35">
        <f t="shared" si="401"/>
        <v>1.171561233093962</v>
      </c>
      <c r="EZ61" s="35">
        <f t="shared" si="402"/>
        <v>1.1715612353757023</v>
      </c>
      <c r="FA61" s="10">
        <v>9.9999999999999995E-7</v>
      </c>
      <c r="FB61" s="10">
        <v>0.99990000000000001</v>
      </c>
      <c r="FC61" s="35">
        <f t="shared" si="403"/>
        <v>0.49995050000000002</v>
      </c>
      <c r="FD61" s="35">
        <f t="shared" si="404"/>
        <v>-6.8816331975203426E-2</v>
      </c>
      <c r="FE61" s="35">
        <f t="shared" si="405"/>
        <v>9.9999999999999995E-7</v>
      </c>
      <c r="FF61" s="35">
        <f t="shared" si="406"/>
        <v>0.49995050000000002</v>
      </c>
      <c r="FG61" s="35">
        <f t="shared" si="407"/>
        <v>0.24997575</v>
      </c>
      <c r="FH61" s="35">
        <f t="shared" si="408"/>
        <v>-4.6538513942988025E-2</v>
      </c>
      <c r="FI61" s="35">
        <f t="shared" si="409"/>
        <v>9.9999999999999995E-7</v>
      </c>
      <c r="FJ61" s="35">
        <f t="shared" si="410"/>
        <v>0.24997575</v>
      </c>
      <c r="FK61" s="35">
        <f t="shared" si="411"/>
        <v>0.124988375</v>
      </c>
      <c r="FL61" s="35">
        <f t="shared" si="412"/>
        <v>-2.6178854918234573E-2</v>
      </c>
      <c r="FM61" s="35">
        <f t="shared" si="413"/>
        <v>9.9999999999999995E-7</v>
      </c>
      <c r="FN61" s="35">
        <f t="shared" si="414"/>
        <v>0.124988375</v>
      </c>
      <c r="FO61" s="35">
        <f t="shared" si="415"/>
        <v>6.24946875E-2</v>
      </c>
      <c r="FP61" s="35">
        <f t="shared" si="416"/>
        <v>-8.5200376342419171E-3</v>
      </c>
      <c r="FQ61" s="35">
        <f t="shared" si="417"/>
        <v>9.9999999999999995E-7</v>
      </c>
      <c r="FR61" s="35">
        <f t="shared" si="418"/>
        <v>6.24946875E-2</v>
      </c>
      <c r="FS61" s="35">
        <f t="shared" si="419"/>
        <v>3.124784375E-2</v>
      </c>
      <c r="FT61" s="35">
        <f t="shared" si="420"/>
        <v>3.396897070494953E-3</v>
      </c>
      <c r="FU61" s="35">
        <f t="shared" si="421"/>
        <v>3.124784375E-2</v>
      </c>
      <c r="FV61" s="35">
        <f t="shared" si="422"/>
        <v>6.24946875E-2</v>
      </c>
      <c r="FW61" s="35">
        <f t="shared" si="423"/>
        <v>4.6871265624999998E-2</v>
      </c>
      <c r="FX61" s="35">
        <f t="shared" si="424"/>
        <v>-2.8480038925953188E-3</v>
      </c>
      <c r="FY61" s="35">
        <f t="shared" si="425"/>
        <v>3.124784375E-2</v>
      </c>
      <c r="FZ61" s="35">
        <f t="shared" si="426"/>
        <v>4.6871265624999998E-2</v>
      </c>
      <c r="GA61" s="35">
        <f t="shared" si="427"/>
        <v>3.9059554687499998E-2</v>
      </c>
      <c r="GB61" s="35">
        <f t="shared" si="428"/>
        <v>2.0178703397655262E-4</v>
      </c>
      <c r="GC61" s="35">
        <f t="shared" si="429"/>
        <v>3.9059554687499998E-2</v>
      </c>
      <c r="GD61" s="35">
        <f t="shared" si="430"/>
        <v>4.6871265624999998E-2</v>
      </c>
      <c r="GE61" s="35">
        <f t="shared" si="431"/>
        <v>4.2965410156249995E-2</v>
      </c>
      <c r="GF61" s="35">
        <f t="shared" si="432"/>
        <v>-1.3411870750466015E-3</v>
      </c>
      <c r="GG61" s="35">
        <f t="shared" si="433"/>
        <v>3.9059554687499998E-2</v>
      </c>
      <c r="GH61" s="35">
        <f t="shared" si="434"/>
        <v>4.2965410156249995E-2</v>
      </c>
      <c r="GI61" s="35">
        <f t="shared" si="435"/>
        <v>4.1012482421874996E-2</v>
      </c>
      <c r="GJ61" s="35">
        <f t="shared" si="436"/>
        <v>-5.7423346116047824E-4</v>
      </c>
      <c r="GK61" s="35">
        <f t="shared" si="437"/>
        <v>3.9059554687499998E-2</v>
      </c>
      <c r="GL61" s="35">
        <f t="shared" si="438"/>
        <v>4.1012482421874996E-2</v>
      </c>
      <c r="GM61" s="35">
        <f t="shared" si="439"/>
        <v>4.0036018554687497E-2</v>
      </c>
      <c r="GN61" s="35">
        <f t="shared" si="440"/>
        <v>-1.8735803936564821E-4</v>
      </c>
      <c r="GO61" s="35">
        <f t="shared" si="441"/>
        <v>3.9059554687499998E-2</v>
      </c>
      <c r="GP61" s="35">
        <f t="shared" si="442"/>
        <v>4.0036018554687497E-2</v>
      </c>
      <c r="GQ61" s="35">
        <f t="shared" si="443"/>
        <v>3.9547786621093747E-2</v>
      </c>
      <c r="GR61" s="35">
        <f t="shared" si="444"/>
        <v>6.9306240169098032E-6</v>
      </c>
      <c r="GS61" s="35">
        <f t="shared" si="445"/>
        <v>3.9547786621093747E-2</v>
      </c>
      <c r="GT61" s="35">
        <f t="shared" si="446"/>
        <v>4.0036018554687497E-2</v>
      </c>
      <c r="GU61" s="35">
        <f t="shared" si="447"/>
        <v>3.9791902587890622E-2</v>
      </c>
      <c r="GV61" s="35">
        <f t="shared" si="448"/>
        <v>-9.0284655876793352E-5</v>
      </c>
      <c r="GW61" s="35">
        <f t="shared" si="449"/>
        <v>3.9547786621093747E-2</v>
      </c>
      <c r="GX61" s="35">
        <f t="shared" si="450"/>
        <v>3.9791902587890622E-2</v>
      </c>
      <c r="GY61" s="35">
        <f t="shared" si="451"/>
        <v>3.9669844604492188E-2</v>
      </c>
      <c r="GZ61" s="35">
        <f t="shared" si="452"/>
        <v>-4.1694755541610284E-5</v>
      </c>
      <c r="HA61" s="35">
        <f t="shared" si="453"/>
        <v>3.9547786621093747E-2</v>
      </c>
      <c r="HB61" s="35">
        <f t="shared" si="454"/>
        <v>3.9669844604492188E-2</v>
      </c>
      <c r="HC61" s="35">
        <f t="shared" si="455"/>
        <v>3.9608815612792968E-2</v>
      </c>
      <c r="HD61" s="35">
        <f t="shared" si="456"/>
        <v>-1.7386500981375619E-5</v>
      </c>
      <c r="HE61" s="35">
        <f t="shared" si="457"/>
        <v>3.9547786621093747E-2</v>
      </c>
      <c r="HF61" s="35">
        <f t="shared" si="458"/>
        <v>3.9608815612792968E-2</v>
      </c>
      <c r="HG61" s="35">
        <f t="shared" si="459"/>
        <v>3.9578301116943354E-2</v>
      </c>
      <c r="HH61" s="35">
        <f t="shared" si="460"/>
        <v>-5.2290473263605364E-6</v>
      </c>
      <c r="HI61" s="35">
        <f t="shared" si="461"/>
        <v>3.9547786621093747E-2</v>
      </c>
      <c r="HJ61" s="35">
        <f t="shared" si="462"/>
        <v>3.9578301116943354E-2</v>
      </c>
      <c r="HK61" s="35">
        <f t="shared" si="463"/>
        <v>3.9563043869018551E-2</v>
      </c>
      <c r="HL61" s="35">
        <f t="shared" si="464"/>
        <v>8.5051112930223383E-7</v>
      </c>
      <c r="HM61" s="35">
        <f t="shared" si="465"/>
        <v>3.9563043869018551E-2</v>
      </c>
      <c r="HN61" s="35">
        <f t="shared" si="466"/>
        <v>3.9578301116943354E-2</v>
      </c>
      <c r="HO61" s="35">
        <f t="shared" si="467"/>
        <v>3.9570672492980949E-2</v>
      </c>
      <c r="HP61" s="35">
        <f t="shared" si="468"/>
        <v>-2.1893374019255063E-6</v>
      </c>
      <c r="HQ61" s="35">
        <f t="shared" si="469"/>
        <v>3.9563043869018551E-2</v>
      </c>
      <c r="HR61" s="35">
        <f t="shared" si="470"/>
        <v>3.9570672492980949E-2</v>
      </c>
      <c r="HS61" s="35">
        <f t="shared" si="471"/>
        <v>3.9566858180999753E-2</v>
      </c>
      <c r="HT61" s="35">
        <f t="shared" si="472"/>
        <v>-6.6943046217460278E-7</v>
      </c>
      <c r="HU61" s="35">
        <f t="shared" si="473"/>
        <v>3.9563043869018551E-2</v>
      </c>
      <c r="HV61" s="35">
        <f t="shared" si="474"/>
        <v>3.9566858180999753E-2</v>
      </c>
      <c r="HW61" s="35">
        <f t="shared" si="475"/>
        <v>3.9564951025009149E-2</v>
      </c>
      <c r="HX61" s="35">
        <f t="shared" si="476"/>
        <v>9.0536002250729553E-8</v>
      </c>
      <c r="HY61" s="35">
        <f t="shared" si="477"/>
        <v>3.9564951025009149E-2</v>
      </c>
      <c r="HZ61" s="35">
        <f t="shared" si="478"/>
        <v>3.9566858180999753E-2</v>
      </c>
      <c r="IA61" s="35">
        <f t="shared" si="479"/>
        <v>3.9565904603004451E-2</v>
      </c>
      <c r="IB61" s="35">
        <f t="shared" si="480"/>
        <v>-2.8944831287347483E-7</v>
      </c>
      <c r="IC61" s="35">
        <f t="shared" si="481"/>
        <v>3.9564951025009149E-2</v>
      </c>
      <c r="ID61" s="35">
        <f t="shared" si="482"/>
        <v>3.9565904603004451E-2</v>
      </c>
      <c r="IE61" s="35">
        <f t="shared" si="483"/>
        <v>3.95654278140068E-2</v>
      </c>
      <c r="IF61" s="35">
        <f t="shared" si="484"/>
        <v>-9.9456425983746044E-8</v>
      </c>
      <c r="IG61" s="35">
        <f t="shared" si="485"/>
        <v>3.9564951025009149E-2</v>
      </c>
      <c r="IH61" s="35">
        <f t="shared" si="486"/>
        <v>3.95654278140068E-2</v>
      </c>
      <c r="II61" s="35">
        <f t="shared" si="487"/>
        <v>3.9565189419507971E-2</v>
      </c>
      <c r="IJ61" s="35">
        <f t="shared" si="488"/>
        <v>-4.4602797011350503E-9</v>
      </c>
      <c r="IK61" s="35">
        <f t="shared" si="489"/>
        <v>3.9564951025009149E-2</v>
      </c>
      <c r="IL61" s="35">
        <f t="shared" si="490"/>
        <v>3.9565189419507971E-2</v>
      </c>
      <c r="IM61" s="35">
        <f t="shared" si="491"/>
        <v>3.956507022225856E-2</v>
      </c>
      <c r="IN61" s="35">
        <f t="shared" si="492"/>
        <v>4.3037844177362672E-8</v>
      </c>
      <c r="IO61" s="35">
        <f t="shared" si="493"/>
        <v>3.956507022225856E-2</v>
      </c>
      <c r="IP61" s="35">
        <f t="shared" si="494"/>
        <v>3.9565189419507971E-2</v>
      </c>
      <c r="IQ61" s="35">
        <f t="shared" si="495"/>
        <v>3.9565129820883269E-2</v>
      </c>
      <c r="IR61" s="35">
        <f t="shared" si="496"/>
        <v>1.9288778352333225E-8</v>
      </c>
      <c r="IS61" s="35">
        <f t="shared" si="497"/>
        <v>3.9565129820883269E-2</v>
      </c>
      <c r="IT61" s="35">
        <f t="shared" si="498"/>
        <v>3.9565189419507971E-2</v>
      </c>
      <c r="IU61" s="35">
        <f t="shared" si="499"/>
        <v>3.956515962019562E-2</v>
      </c>
      <c r="IV61" s="35">
        <f t="shared" si="500"/>
        <v>7.414248326398365E-9</v>
      </c>
      <c r="IW61" s="35">
        <f t="shared" si="501"/>
        <v>3.956515962019562E-2</v>
      </c>
      <c r="IX61" s="35">
        <f t="shared" si="502"/>
        <v>3.9565189419507971E-2</v>
      </c>
      <c r="IY61" s="35">
        <f t="shared" si="503"/>
        <v>3.9565174519851795E-2</v>
      </c>
      <c r="IZ61" s="35">
        <f t="shared" si="504"/>
        <v>1.4769840905870524E-9</v>
      </c>
      <c r="JA61" s="35">
        <f t="shared" si="505"/>
        <v>3.9565174519851795E-2</v>
      </c>
      <c r="JB61" s="35">
        <f t="shared" si="506"/>
        <v>3.9565189419507971E-2</v>
      </c>
      <c r="JC61" s="35">
        <f t="shared" si="507"/>
        <v>3.9565181969679883E-2</v>
      </c>
      <c r="JD61" s="35">
        <f t="shared" si="508"/>
        <v>-1.4916479162963014E-9</v>
      </c>
      <c r="JE61" s="35">
        <f t="shared" si="509"/>
        <v>3.9565174519851795E-2</v>
      </c>
      <c r="JF61" s="35">
        <f t="shared" si="510"/>
        <v>3.9565181969679883E-2</v>
      </c>
      <c r="JG61" s="35">
        <f t="shared" si="511"/>
        <v>3.9565178244765839E-2</v>
      </c>
      <c r="JH61" s="35">
        <f t="shared" si="512"/>
        <v>-7.3318018323220713E-12</v>
      </c>
      <c r="JI61" s="35">
        <f t="shared" si="513"/>
        <v>3.9565174519851795E-2</v>
      </c>
      <c r="JJ61" s="35">
        <f t="shared" si="514"/>
        <v>3.9565178244765839E-2</v>
      </c>
      <c r="JK61" s="35">
        <f t="shared" si="515"/>
        <v>3.9565176382308817E-2</v>
      </c>
      <c r="JL61" s="35">
        <f t="shared" si="516"/>
        <v>7.3482619988851638E-10</v>
      </c>
      <c r="JM61" s="35">
        <f t="shared" si="517"/>
        <v>3.9565176382308817E-2</v>
      </c>
      <c r="JN61" s="35">
        <f t="shared" si="518"/>
        <v>3.9565178244765839E-2</v>
      </c>
      <c r="JO61" s="35">
        <f t="shared" si="519"/>
        <v>3.9565177313537328E-2</v>
      </c>
      <c r="JP61" s="35">
        <f t="shared" si="520"/>
        <v>3.6374703249464346E-10</v>
      </c>
      <c r="JQ61" s="35">
        <f t="shared" si="521"/>
        <v>3.9565177313537328E-2</v>
      </c>
      <c r="JR61" s="35">
        <f t="shared" si="522"/>
        <v>3.9565178244765839E-2</v>
      </c>
      <c r="JS61" s="35">
        <f t="shared" si="523"/>
        <v>3.9565177779151584E-2</v>
      </c>
      <c r="JT61" s="35">
        <f t="shared" si="524"/>
        <v>1.7820767084231193E-10</v>
      </c>
      <c r="JU61" s="35">
        <f t="shared" si="525"/>
        <v>3.9565177779151584E-2</v>
      </c>
      <c r="JV61" s="35">
        <f t="shared" si="526"/>
        <v>3.9565178244765839E-2</v>
      </c>
      <c r="JW61" s="35">
        <f t="shared" si="527"/>
        <v>3.9565178011958711E-2</v>
      </c>
      <c r="JX61" s="35">
        <f t="shared" si="528"/>
        <v>8.5437878993843697E-11</v>
      </c>
      <c r="JY61" s="35">
        <f t="shared" si="529"/>
        <v>3.9565178011958711E-2</v>
      </c>
      <c r="JZ61" s="35">
        <f t="shared" si="530"/>
        <v>3.9565178244765839E-2</v>
      </c>
      <c r="KA61" s="35">
        <f t="shared" si="531"/>
        <v>1.171561234234832</v>
      </c>
      <c r="KB61" s="35">
        <f t="shared" si="532"/>
        <v>3.9565178128362272E-2</v>
      </c>
    </row>
    <row r="62" spans="1:288" ht="15" customHeight="1" x14ac:dyDescent="0.3">
      <c r="A62" s="30">
        <f>Odds_Input!A62</f>
        <v>54</v>
      </c>
      <c r="B62" s="7" t="str">
        <f>Odds_Input!B62</f>
        <v>CONF_WEST</v>
      </c>
      <c r="C62" s="7" t="str">
        <f>Odds_Input!C62</f>
        <v>Oklahoma City Thunder</v>
      </c>
      <c r="D62" s="7" t="str">
        <f>Odds_Input!D62</f>
        <v>YES</v>
      </c>
      <c r="E62" s="31" t="str">
        <f>Odds_Input!E62</f>
        <v>-</v>
      </c>
      <c r="F62" s="32">
        <f>Odds_Input!F62</f>
        <v>125</v>
      </c>
      <c r="G62" s="6" t="str">
        <f t="shared" si="0"/>
        <v>CONF_WEST</v>
      </c>
      <c r="H62" s="14">
        <f t="shared" si="1"/>
        <v>2.25</v>
      </c>
      <c r="I62" s="33">
        <f t="shared" si="2"/>
        <v>0.44444444444444442</v>
      </c>
      <c r="J62" s="17">
        <f t="shared" si="3"/>
        <v>1</v>
      </c>
      <c r="K62" s="17">
        <f t="shared" si="4"/>
        <v>15</v>
      </c>
      <c r="L62" s="18">
        <f t="shared" si="5"/>
        <v>1.1953442022676133</v>
      </c>
      <c r="M62" s="34">
        <f t="shared" si="6"/>
        <v>0.19534420226761329</v>
      </c>
      <c r="N62" s="33">
        <f t="shared" si="7"/>
        <v>0.37181294191356468</v>
      </c>
      <c r="O62" s="33">
        <f t="shared" si="8"/>
        <v>0.40292765073202302</v>
      </c>
      <c r="P62" s="33">
        <f t="shared" si="9"/>
        <v>0.40058866290880973</v>
      </c>
      <c r="Q62" s="33">
        <f t="shared" si="10"/>
        <v>0.40058866290880973</v>
      </c>
      <c r="R62" s="35">
        <f t="shared" si="11"/>
        <v>1.120932777808048</v>
      </c>
      <c r="S62" s="35">
        <f t="shared" si="12"/>
        <v>1.9902430363003976E-2</v>
      </c>
      <c r="X62" s="6" t="s">
        <v>837</v>
      </c>
      <c r="Y62" s="6">
        <f t="shared" si="273"/>
        <v>1</v>
      </c>
      <c r="Z62" s="18">
        <f t="shared" si="274"/>
        <v>1.0485074626865671</v>
      </c>
      <c r="AA62" s="10">
        <v>0.2</v>
      </c>
      <c r="AB62" s="10">
        <v>10</v>
      </c>
      <c r="AC62" s="35">
        <f t="shared" si="275"/>
        <v>5.0999999999999996</v>
      </c>
      <c r="AD62" s="35">
        <f t="shared" si="276"/>
        <v>-0.76732462764564091</v>
      </c>
      <c r="AE62" s="35">
        <f t="shared" si="277"/>
        <v>0.2</v>
      </c>
      <c r="AF62" s="35">
        <f t="shared" si="278"/>
        <v>5.0999999999999996</v>
      </c>
      <c r="AG62" s="35">
        <f t="shared" si="279"/>
        <v>2.65</v>
      </c>
      <c r="AH62" s="35">
        <f t="shared" si="280"/>
        <v>-0.49282495587326225</v>
      </c>
      <c r="AI62" s="35">
        <f t="shared" si="281"/>
        <v>0.2</v>
      </c>
      <c r="AJ62" s="35">
        <f t="shared" si="282"/>
        <v>2.65</v>
      </c>
      <c r="AK62" s="35">
        <f t="shared" si="283"/>
        <v>1.425</v>
      </c>
      <c r="AL62" s="35">
        <f t="shared" si="284"/>
        <v>-0.15774345427167691</v>
      </c>
      <c r="AM62" s="35">
        <f t="shared" si="285"/>
        <v>0.2</v>
      </c>
      <c r="AN62" s="35">
        <f t="shared" si="286"/>
        <v>1.425</v>
      </c>
      <c r="AO62" s="35">
        <f t="shared" si="287"/>
        <v>0.8125</v>
      </c>
      <c r="AP62" s="35">
        <f t="shared" si="288"/>
        <v>0.16602252291880659</v>
      </c>
      <c r="AQ62" s="35">
        <f t="shared" si="289"/>
        <v>0.8125</v>
      </c>
      <c r="AR62" s="35">
        <f t="shared" si="290"/>
        <v>1.425</v>
      </c>
      <c r="AS62" s="35">
        <f t="shared" si="291"/>
        <v>1.1187499999999999</v>
      </c>
      <c r="AT62" s="35">
        <f t="shared" si="292"/>
        <v>-1.6602315586249139E-2</v>
      </c>
      <c r="AU62" s="35">
        <f t="shared" si="293"/>
        <v>0.8125</v>
      </c>
      <c r="AV62" s="35">
        <f t="shared" si="294"/>
        <v>1.1187499999999999</v>
      </c>
      <c r="AW62" s="35">
        <f t="shared" si="295"/>
        <v>0.96562499999999996</v>
      </c>
      <c r="AX62" s="35">
        <f t="shared" si="296"/>
        <v>6.8627816261992436E-2</v>
      </c>
      <c r="AY62" s="35">
        <f t="shared" si="297"/>
        <v>0.96562499999999996</v>
      </c>
      <c r="AZ62" s="35">
        <f t="shared" si="298"/>
        <v>1.1187499999999999</v>
      </c>
      <c r="BA62" s="35">
        <f t="shared" si="299"/>
        <v>1.0421874999999998</v>
      </c>
      <c r="BB62" s="35">
        <f t="shared" si="300"/>
        <v>2.4616992578225583E-2</v>
      </c>
      <c r="BC62" s="35">
        <f t="shared" si="301"/>
        <v>1.0421874999999998</v>
      </c>
      <c r="BD62" s="35">
        <f t="shared" si="302"/>
        <v>1.1187499999999999</v>
      </c>
      <c r="BE62" s="35">
        <f t="shared" si="303"/>
        <v>1.0804687499999999</v>
      </c>
      <c r="BF62" s="35">
        <f t="shared" si="304"/>
        <v>3.6727968254992582E-3</v>
      </c>
      <c r="BG62" s="35">
        <f t="shared" si="305"/>
        <v>1.0804687499999999</v>
      </c>
      <c r="BH62" s="35">
        <f t="shared" si="306"/>
        <v>1.1187499999999999</v>
      </c>
      <c r="BI62" s="35">
        <f t="shared" si="307"/>
        <v>1.099609375</v>
      </c>
      <c r="BJ62" s="35">
        <f t="shared" si="308"/>
        <v>-6.5466652347456744E-3</v>
      </c>
      <c r="BK62" s="35">
        <f t="shared" si="309"/>
        <v>1.0804687499999999</v>
      </c>
      <c r="BL62" s="35">
        <f t="shared" si="310"/>
        <v>1.099609375</v>
      </c>
      <c r="BM62" s="35">
        <f t="shared" si="311"/>
        <v>1.0900390624999998</v>
      </c>
      <c r="BN62" s="35">
        <f t="shared" si="312"/>
        <v>-1.4576238246373219E-3</v>
      </c>
      <c r="BO62" s="35">
        <f t="shared" si="313"/>
        <v>1.0804687499999999</v>
      </c>
      <c r="BP62" s="35">
        <f t="shared" si="314"/>
        <v>1.0900390624999998</v>
      </c>
      <c r="BQ62" s="35">
        <f t="shared" si="315"/>
        <v>1.0852539062499997</v>
      </c>
      <c r="BR62" s="35">
        <f t="shared" si="316"/>
        <v>1.1023871877149372E-3</v>
      </c>
      <c r="BS62" s="35">
        <f t="shared" si="317"/>
        <v>1.0852539062499997</v>
      </c>
      <c r="BT62" s="35">
        <f t="shared" si="318"/>
        <v>1.0900390624999998</v>
      </c>
      <c r="BU62" s="35">
        <f t="shared" si="319"/>
        <v>1.0876464843749998</v>
      </c>
      <c r="BV62" s="35">
        <f t="shared" si="320"/>
        <v>-1.7891477134002187E-4</v>
      </c>
      <c r="BW62" s="35">
        <f t="shared" si="321"/>
        <v>1.0852539062499997</v>
      </c>
      <c r="BX62" s="35">
        <f t="shared" si="322"/>
        <v>1.0876464843749998</v>
      </c>
      <c r="BY62" s="35">
        <f t="shared" si="323"/>
        <v>1.0864501953124996</v>
      </c>
      <c r="BZ62" s="35">
        <f t="shared" si="324"/>
        <v>4.614116737973184E-4</v>
      </c>
      <c r="CA62" s="35">
        <f t="shared" si="325"/>
        <v>1.0864501953124996</v>
      </c>
      <c r="CB62" s="35">
        <f t="shared" si="326"/>
        <v>1.0876464843749998</v>
      </c>
      <c r="CC62" s="35">
        <f t="shared" si="327"/>
        <v>1.0870483398437498</v>
      </c>
      <c r="CD62" s="35">
        <f t="shared" si="328"/>
        <v>1.4116737032376925E-4</v>
      </c>
      <c r="CE62" s="35">
        <f t="shared" si="329"/>
        <v>1.0870483398437498</v>
      </c>
      <c r="CF62" s="35">
        <f t="shared" si="330"/>
        <v>1.0876464843749998</v>
      </c>
      <c r="CG62" s="35">
        <f t="shared" si="331"/>
        <v>1.0873474121093749</v>
      </c>
      <c r="CH62" s="35">
        <f t="shared" si="332"/>
        <v>-1.8893964151889264E-5</v>
      </c>
      <c r="CI62" s="35">
        <f t="shared" si="333"/>
        <v>1.0870483398437498</v>
      </c>
      <c r="CJ62" s="35">
        <f t="shared" si="334"/>
        <v>1.0873474121093749</v>
      </c>
      <c r="CK62" s="35">
        <f t="shared" si="335"/>
        <v>1.0871978759765624</v>
      </c>
      <c r="CL62" s="35">
        <f t="shared" si="336"/>
        <v>6.1131636352351748E-5</v>
      </c>
      <c r="CM62" s="35">
        <f t="shared" si="337"/>
        <v>1.0871978759765624</v>
      </c>
      <c r="CN62" s="35">
        <f t="shared" si="338"/>
        <v>1.0873474121093749</v>
      </c>
      <c r="CO62" s="35">
        <f t="shared" si="339"/>
        <v>1.0872726440429688</v>
      </c>
      <c r="CP62" s="35">
        <f t="shared" si="340"/>
        <v>2.1117569519502055E-5</v>
      </c>
      <c r="CQ62" s="35">
        <f t="shared" si="341"/>
        <v>1.0872726440429688</v>
      </c>
      <c r="CR62" s="35">
        <f t="shared" si="342"/>
        <v>1.0873474121093749</v>
      </c>
      <c r="CS62" s="35">
        <f t="shared" si="343"/>
        <v>1.0873100280761718</v>
      </c>
      <c r="CT62" s="35">
        <f t="shared" si="344"/>
        <v>1.1114860516414637E-6</v>
      </c>
      <c r="CU62" s="35">
        <f t="shared" si="345"/>
        <v>1.0873100280761718</v>
      </c>
      <c r="CV62" s="35">
        <f t="shared" si="346"/>
        <v>1.0873474121093749</v>
      </c>
      <c r="CW62" s="35">
        <f t="shared" si="347"/>
        <v>1.0873287200927733</v>
      </c>
      <c r="CX62" s="35">
        <f t="shared" si="348"/>
        <v>-8.8913182065830654E-6</v>
      </c>
      <c r="CY62" s="35">
        <f t="shared" si="349"/>
        <v>1.0873100280761718</v>
      </c>
      <c r="CZ62" s="35">
        <f t="shared" si="350"/>
        <v>1.0873287200927733</v>
      </c>
      <c r="DA62" s="35">
        <f t="shared" si="351"/>
        <v>1.0873193740844727</v>
      </c>
      <c r="DB62" s="35">
        <f t="shared" si="352"/>
        <v>-3.8899358668631479E-6</v>
      </c>
      <c r="DC62" s="35">
        <f t="shared" si="353"/>
        <v>1.0873100280761718</v>
      </c>
      <c r="DD62" s="35">
        <f t="shared" si="354"/>
        <v>1.0873193740844727</v>
      </c>
      <c r="DE62" s="35">
        <f t="shared" si="355"/>
        <v>1.0873147010803224</v>
      </c>
      <c r="DF62" s="35">
        <f t="shared" si="356"/>
        <v>-1.3892298551532178E-6</v>
      </c>
      <c r="DG62" s="35">
        <f t="shared" si="357"/>
        <v>1.0873100280761718</v>
      </c>
      <c r="DH62" s="35">
        <f t="shared" si="358"/>
        <v>1.0873147010803224</v>
      </c>
      <c r="DI62" s="35">
        <f t="shared" si="359"/>
        <v>1.087312364578247</v>
      </c>
      <c r="DJ62" s="35">
        <f t="shared" si="360"/>
        <v>-1.3887313854432648E-7</v>
      </c>
      <c r="DK62" s="35">
        <f t="shared" si="361"/>
        <v>1.0873100280761718</v>
      </c>
      <c r="DL62" s="35">
        <f t="shared" si="362"/>
        <v>1.087312364578247</v>
      </c>
      <c r="DM62" s="35">
        <f t="shared" si="363"/>
        <v>1.0873111963272093</v>
      </c>
      <c r="DN62" s="35">
        <f t="shared" si="364"/>
        <v>4.8630614735145627E-7</v>
      </c>
      <c r="DO62" s="35">
        <f t="shared" si="365"/>
        <v>1.0873111963272093</v>
      </c>
      <c r="DP62" s="35">
        <f t="shared" si="366"/>
        <v>1.087312364578247</v>
      </c>
      <c r="DQ62" s="35">
        <f t="shared" si="367"/>
        <v>1.0873117804527281</v>
      </c>
      <c r="DR62" s="35">
        <f t="shared" si="368"/>
        <v>1.7371642702102008E-7</v>
      </c>
      <c r="DS62" s="35">
        <f t="shared" si="369"/>
        <v>1.0873117804527281</v>
      </c>
      <c r="DT62" s="35">
        <f t="shared" si="370"/>
        <v>1.087312364578247</v>
      </c>
      <c r="DU62" s="35">
        <f t="shared" si="371"/>
        <v>1.0873120725154877</v>
      </c>
      <c r="DV62" s="35">
        <f t="shared" si="372"/>
        <v>1.742162480944387E-8</v>
      </c>
      <c r="DW62" s="35">
        <f t="shared" si="373"/>
        <v>1.0873120725154877</v>
      </c>
      <c r="DX62" s="35">
        <f t="shared" si="374"/>
        <v>1.087312364578247</v>
      </c>
      <c r="DY62" s="35">
        <f t="shared" si="375"/>
        <v>1.0873122185468673</v>
      </c>
      <c r="DZ62" s="35">
        <f t="shared" si="376"/>
        <v>-6.0725761752422613E-8</v>
      </c>
      <c r="EA62" s="35">
        <f t="shared" si="377"/>
        <v>1.0873120725154877</v>
      </c>
      <c r="EB62" s="35">
        <f t="shared" si="378"/>
        <v>1.0873122185468673</v>
      </c>
      <c r="EC62" s="35">
        <f t="shared" si="379"/>
        <v>1.0873121455311776</v>
      </c>
      <c r="ED62" s="35">
        <f t="shared" si="380"/>
        <v>-2.1652069692734699E-8</v>
      </c>
      <c r="EE62" s="35">
        <f t="shared" si="381"/>
        <v>1.0873120725154877</v>
      </c>
      <c r="EF62" s="35">
        <f t="shared" si="382"/>
        <v>1.0873121455311776</v>
      </c>
      <c r="EG62" s="35">
        <f t="shared" si="383"/>
        <v>1.0873121090233326</v>
      </c>
      <c r="EH62" s="35">
        <f t="shared" si="384"/>
        <v>-2.115222774712322E-9</v>
      </c>
      <c r="EI62" s="35">
        <f t="shared" si="385"/>
        <v>1.0873120725154877</v>
      </c>
      <c r="EJ62" s="35">
        <f t="shared" si="386"/>
        <v>1.0873121090233326</v>
      </c>
      <c r="EK62" s="35">
        <f t="shared" si="387"/>
        <v>1.08731209076941</v>
      </c>
      <c r="EL62" s="35">
        <f t="shared" si="388"/>
        <v>7.6532009618546226E-9</v>
      </c>
      <c r="EM62" s="35">
        <f t="shared" si="389"/>
        <v>1.08731209076941</v>
      </c>
      <c r="EN62" s="35">
        <f t="shared" si="390"/>
        <v>1.0873121090233326</v>
      </c>
      <c r="EO62" s="35">
        <f t="shared" si="391"/>
        <v>1.0873120998963715</v>
      </c>
      <c r="EP62" s="35">
        <f t="shared" si="392"/>
        <v>2.7689890380599991E-9</v>
      </c>
      <c r="EQ62" s="35">
        <f t="shared" si="393"/>
        <v>1.0873120998963715</v>
      </c>
      <c r="ER62" s="35">
        <f t="shared" si="394"/>
        <v>1.0873121090233326</v>
      </c>
      <c r="ES62" s="35">
        <f t="shared" si="395"/>
        <v>1.0873121044598522</v>
      </c>
      <c r="ET62" s="35">
        <f t="shared" si="396"/>
        <v>3.2688318718498977E-10</v>
      </c>
      <c r="EU62" s="35">
        <f t="shared" si="397"/>
        <v>1.0873121044598522</v>
      </c>
      <c r="EV62" s="35">
        <f t="shared" si="398"/>
        <v>1.0873121090233326</v>
      </c>
      <c r="EW62" s="35">
        <f t="shared" si="399"/>
        <v>1.0873121067415923</v>
      </c>
      <c r="EX62" s="35">
        <f t="shared" si="400"/>
        <v>-8.9416973825251489E-10</v>
      </c>
      <c r="EY62" s="35">
        <f t="shared" si="401"/>
        <v>1.0873121044598522</v>
      </c>
      <c r="EZ62" s="35">
        <f t="shared" si="402"/>
        <v>1.0873121067415923</v>
      </c>
      <c r="FA62" s="10">
        <v>9.9999999999999995E-7</v>
      </c>
      <c r="FB62" s="10">
        <v>0.99990000000000001</v>
      </c>
      <c r="FC62" s="35">
        <f t="shared" si="403"/>
        <v>0.49995050000000002</v>
      </c>
      <c r="FD62" s="35">
        <f t="shared" si="404"/>
        <v>-0.20173342577610298</v>
      </c>
      <c r="FE62" s="35">
        <f t="shared" si="405"/>
        <v>9.9999999999999995E-7</v>
      </c>
      <c r="FF62" s="35">
        <f t="shared" si="406"/>
        <v>0.49995050000000002</v>
      </c>
      <c r="FG62" s="35">
        <f t="shared" si="407"/>
        <v>0.24997575</v>
      </c>
      <c r="FH62" s="35">
        <f t="shared" si="408"/>
        <v>-9.5681428864222817E-2</v>
      </c>
      <c r="FI62" s="35">
        <f t="shared" si="409"/>
        <v>9.9999999999999995E-7</v>
      </c>
      <c r="FJ62" s="35">
        <f t="shared" si="410"/>
        <v>0.24997575</v>
      </c>
      <c r="FK62" s="35">
        <f t="shared" si="411"/>
        <v>0.124988375</v>
      </c>
      <c r="FL62" s="35">
        <f t="shared" si="412"/>
        <v>-3.6853288674101869E-2</v>
      </c>
      <c r="FM62" s="35">
        <f t="shared" si="413"/>
        <v>9.9999999999999995E-7</v>
      </c>
      <c r="FN62" s="35">
        <f t="shared" si="414"/>
        <v>0.124988375</v>
      </c>
      <c r="FO62" s="35">
        <f t="shared" si="415"/>
        <v>6.24946875E-2</v>
      </c>
      <c r="FP62" s="35">
        <f t="shared" si="416"/>
        <v>-6.5423546285231504E-3</v>
      </c>
      <c r="FQ62" s="35">
        <f t="shared" si="417"/>
        <v>9.9999999999999995E-7</v>
      </c>
      <c r="FR62" s="35">
        <f t="shared" si="418"/>
        <v>6.24946875E-2</v>
      </c>
      <c r="FS62" s="35">
        <f t="shared" si="419"/>
        <v>3.124784375E-2</v>
      </c>
      <c r="FT62" s="35">
        <f t="shared" si="420"/>
        <v>8.7076322899091174E-3</v>
      </c>
      <c r="FU62" s="35">
        <f t="shared" si="421"/>
        <v>3.124784375E-2</v>
      </c>
      <c r="FV62" s="35">
        <f t="shared" si="422"/>
        <v>6.24946875E-2</v>
      </c>
      <c r="FW62" s="35">
        <f t="shared" si="423"/>
        <v>4.6871265624999998E-2</v>
      </c>
      <c r="FX62" s="35">
        <f t="shared" si="424"/>
        <v>1.0790131228974875E-3</v>
      </c>
      <c r="FY62" s="35">
        <f t="shared" si="425"/>
        <v>4.6871265624999998E-2</v>
      </c>
      <c r="FZ62" s="35">
        <f t="shared" si="426"/>
        <v>6.24946875E-2</v>
      </c>
      <c r="GA62" s="35">
        <f t="shared" si="427"/>
        <v>5.4682976562499999E-2</v>
      </c>
      <c r="GB62" s="35">
        <f t="shared" si="428"/>
        <v>-2.7328994179711685E-3</v>
      </c>
      <c r="GC62" s="35">
        <f t="shared" si="429"/>
        <v>4.6871265624999998E-2</v>
      </c>
      <c r="GD62" s="35">
        <f t="shared" si="430"/>
        <v>5.4682976562499999E-2</v>
      </c>
      <c r="GE62" s="35">
        <f t="shared" si="431"/>
        <v>5.0777121093750002E-2</v>
      </c>
      <c r="GF62" s="35">
        <f t="shared" si="432"/>
        <v>-8.2721006220265458E-4</v>
      </c>
      <c r="GG62" s="35">
        <f t="shared" si="433"/>
        <v>4.6871265624999998E-2</v>
      </c>
      <c r="GH62" s="35">
        <f t="shared" si="434"/>
        <v>5.0777121093750002E-2</v>
      </c>
      <c r="GI62" s="35">
        <f t="shared" si="435"/>
        <v>4.8824193359375004E-2</v>
      </c>
      <c r="GJ62" s="35">
        <f t="shared" si="436"/>
        <v>1.2583983743130744E-4</v>
      </c>
      <c r="GK62" s="35">
        <f t="shared" si="437"/>
        <v>4.8824193359375004E-2</v>
      </c>
      <c r="GL62" s="35">
        <f t="shared" si="438"/>
        <v>5.0777121093750002E-2</v>
      </c>
      <c r="GM62" s="35">
        <f t="shared" si="439"/>
        <v>4.9800657226562503E-2</v>
      </c>
      <c r="GN62" s="35">
        <f t="shared" si="440"/>
        <v>-3.507011652157388E-4</v>
      </c>
      <c r="GO62" s="35">
        <f t="shared" si="441"/>
        <v>4.8824193359375004E-2</v>
      </c>
      <c r="GP62" s="35">
        <f t="shared" si="442"/>
        <v>4.9800657226562503E-2</v>
      </c>
      <c r="GQ62" s="35">
        <f t="shared" si="443"/>
        <v>4.9312425292968753E-2</v>
      </c>
      <c r="GR62" s="35">
        <f t="shared" si="444"/>
        <v>-1.1243459840626358E-4</v>
      </c>
      <c r="GS62" s="35">
        <f t="shared" si="445"/>
        <v>4.8824193359375004E-2</v>
      </c>
      <c r="GT62" s="35">
        <f t="shared" si="446"/>
        <v>4.9312425292968753E-2</v>
      </c>
      <c r="GU62" s="35">
        <f t="shared" si="447"/>
        <v>4.9068309326171879E-2</v>
      </c>
      <c r="GV62" s="35">
        <f t="shared" si="448"/>
        <v>6.7016457212520919E-6</v>
      </c>
      <c r="GW62" s="35">
        <f t="shared" si="449"/>
        <v>4.9068309326171879E-2</v>
      </c>
      <c r="GX62" s="35">
        <f t="shared" si="450"/>
        <v>4.9312425292968753E-2</v>
      </c>
      <c r="GY62" s="35">
        <f t="shared" si="451"/>
        <v>4.9190367309570313E-2</v>
      </c>
      <c r="GZ62" s="35">
        <f t="shared" si="452"/>
        <v>-5.2866721019673157E-5</v>
      </c>
      <c r="HA62" s="35">
        <f t="shared" si="453"/>
        <v>4.9068309326171879E-2</v>
      </c>
      <c r="HB62" s="35">
        <f t="shared" si="454"/>
        <v>4.9190367309570313E-2</v>
      </c>
      <c r="HC62" s="35">
        <f t="shared" si="455"/>
        <v>4.9129338317871099E-2</v>
      </c>
      <c r="HD62" s="35">
        <f t="shared" si="456"/>
        <v>-2.3082598664903031E-5</v>
      </c>
      <c r="HE62" s="35">
        <f t="shared" si="457"/>
        <v>4.9068309326171879E-2</v>
      </c>
      <c r="HF62" s="35">
        <f t="shared" si="458"/>
        <v>4.9129338317871099E-2</v>
      </c>
      <c r="HG62" s="35">
        <f t="shared" si="459"/>
        <v>4.9098823822021492E-2</v>
      </c>
      <c r="HH62" s="35">
        <f t="shared" si="460"/>
        <v>-8.1904917064168359E-6</v>
      </c>
      <c r="HI62" s="35">
        <f t="shared" si="461"/>
        <v>4.9068309326171879E-2</v>
      </c>
      <c r="HJ62" s="35">
        <f t="shared" si="462"/>
        <v>4.9098823822021492E-2</v>
      </c>
      <c r="HK62" s="35">
        <f t="shared" si="463"/>
        <v>4.9083566574096682E-2</v>
      </c>
      <c r="HL62" s="35">
        <f t="shared" si="464"/>
        <v>-7.4442679887098961E-7</v>
      </c>
      <c r="HM62" s="35">
        <f t="shared" si="465"/>
        <v>4.9068309326171879E-2</v>
      </c>
      <c r="HN62" s="35">
        <f t="shared" si="466"/>
        <v>4.9083566574096682E-2</v>
      </c>
      <c r="HO62" s="35">
        <f t="shared" si="467"/>
        <v>4.9075937950134277E-2</v>
      </c>
      <c r="HP62" s="35">
        <f t="shared" si="468"/>
        <v>2.9786085098404413E-6</v>
      </c>
      <c r="HQ62" s="35">
        <f t="shared" si="469"/>
        <v>4.9075937950134277E-2</v>
      </c>
      <c r="HR62" s="35">
        <f t="shared" si="470"/>
        <v>4.9083566574096682E-2</v>
      </c>
      <c r="HS62" s="35">
        <f t="shared" si="471"/>
        <v>4.9079752262115479E-2</v>
      </c>
      <c r="HT62" s="35">
        <f t="shared" si="472"/>
        <v>1.1170906177859763E-6</v>
      </c>
      <c r="HU62" s="35">
        <f t="shared" si="473"/>
        <v>4.9079752262115479E-2</v>
      </c>
      <c r="HV62" s="35">
        <f t="shared" si="474"/>
        <v>4.9083566574096682E-2</v>
      </c>
      <c r="HW62" s="35">
        <f t="shared" si="475"/>
        <v>4.9081659418106077E-2</v>
      </c>
      <c r="HX62" s="35">
        <f t="shared" si="476"/>
        <v>1.8633184994953922E-7</v>
      </c>
      <c r="HY62" s="35">
        <f t="shared" si="477"/>
        <v>4.9081659418106077E-2</v>
      </c>
      <c r="HZ62" s="35">
        <f t="shared" si="478"/>
        <v>4.9083566574096682E-2</v>
      </c>
      <c r="IA62" s="35">
        <f t="shared" si="479"/>
        <v>4.908261299610138E-2</v>
      </c>
      <c r="IB62" s="35">
        <f t="shared" si="480"/>
        <v>-2.7904748922669143E-7</v>
      </c>
      <c r="IC62" s="35">
        <f t="shared" si="481"/>
        <v>4.9081659418106077E-2</v>
      </c>
      <c r="ID62" s="35">
        <f t="shared" si="482"/>
        <v>4.908261299610138E-2</v>
      </c>
      <c r="IE62" s="35">
        <f t="shared" si="483"/>
        <v>4.9082136207103728E-2</v>
      </c>
      <c r="IF62" s="35">
        <f t="shared" si="484"/>
        <v>-4.6357823357823236E-8</v>
      </c>
      <c r="IG62" s="35">
        <f t="shared" si="485"/>
        <v>4.9081659418106077E-2</v>
      </c>
      <c r="IH62" s="35">
        <f t="shared" si="486"/>
        <v>4.9082136207103728E-2</v>
      </c>
      <c r="II62" s="35">
        <f t="shared" si="487"/>
        <v>4.9081897812604899E-2</v>
      </c>
      <c r="IJ62" s="35">
        <f t="shared" si="488"/>
        <v>6.9987012407679572E-8</v>
      </c>
      <c r="IK62" s="35">
        <f t="shared" si="489"/>
        <v>4.9081897812604899E-2</v>
      </c>
      <c r="IL62" s="35">
        <f t="shared" si="490"/>
        <v>4.9082136207103728E-2</v>
      </c>
      <c r="IM62" s="35">
        <f t="shared" si="491"/>
        <v>4.9082017009854317E-2</v>
      </c>
      <c r="IN62" s="35">
        <f t="shared" si="492"/>
        <v>1.1814594191861261E-8</v>
      </c>
      <c r="IO62" s="35">
        <f t="shared" si="493"/>
        <v>4.9082017009854317E-2</v>
      </c>
      <c r="IP62" s="35">
        <f t="shared" si="494"/>
        <v>4.9082136207103728E-2</v>
      </c>
      <c r="IQ62" s="35">
        <f t="shared" si="495"/>
        <v>4.9082076608479019E-2</v>
      </c>
      <c r="IR62" s="35">
        <f t="shared" si="496"/>
        <v>-1.7271614471958685E-8</v>
      </c>
      <c r="IS62" s="35">
        <f t="shared" si="497"/>
        <v>4.9082017009854317E-2</v>
      </c>
      <c r="IT62" s="35">
        <f t="shared" si="498"/>
        <v>4.9082076608479019E-2</v>
      </c>
      <c r="IU62" s="35">
        <f t="shared" si="499"/>
        <v>4.9082046809166668E-2</v>
      </c>
      <c r="IV62" s="35">
        <f t="shared" si="500"/>
        <v>-2.7285100845375609E-9</v>
      </c>
      <c r="IW62" s="35">
        <f t="shared" si="501"/>
        <v>4.9082017009854317E-2</v>
      </c>
      <c r="IX62" s="35">
        <f t="shared" si="502"/>
        <v>4.9082046809166668E-2</v>
      </c>
      <c r="IY62" s="35">
        <f t="shared" si="503"/>
        <v>4.9082031909510493E-2</v>
      </c>
      <c r="IZ62" s="35">
        <f t="shared" si="504"/>
        <v>4.5430423867287573E-9</v>
      </c>
      <c r="JA62" s="35">
        <f t="shared" si="505"/>
        <v>4.9082031909510493E-2</v>
      </c>
      <c r="JB62" s="35">
        <f t="shared" si="506"/>
        <v>4.9082046809166668E-2</v>
      </c>
      <c r="JC62" s="35">
        <f t="shared" si="507"/>
        <v>4.9082039359338581E-2</v>
      </c>
      <c r="JD62" s="35">
        <f t="shared" si="508"/>
        <v>9.072660400732957E-10</v>
      </c>
      <c r="JE62" s="35">
        <f t="shared" si="509"/>
        <v>4.9082039359338581E-2</v>
      </c>
      <c r="JF62" s="35">
        <f t="shared" si="510"/>
        <v>4.9082046809166668E-2</v>
      </c>
      <c r="JG62" s="35">
        <f t="shared" si="511"/>
        <v>4.9082043084252625E-2</v>
      </c>
      <c r="JH62" s="35">
        <f t="shared" si="512"/>
        <v>-9.1062213325443508E-10</v>
      </c>
      <c r="JI62" s="35">
        <f t="shared" si="513"/>
        <v>4.9082039359338581E-2</v>
      </c>
      <c r="JJ62" s="35">
        <f t="shared" si="514"/>
        <v>4.9082043084252625E-2</v>
      </c>
      <c r="JK62" s="35">
        <f t="shared" si="515"/>
        <v>4.9082041221795603E-2</v>
      </c>
      <c r="JL62" s="35">
        <f t="shared" si="516"/>
        <v>-1.6779910794184616E-12</v>
      </c>
      <c r="JM62" s="35">
        <f t="shared" si="517"/>
        <v>4.9082039359338581E-2</v>
      </c>
      <c r="JN62" s="35">
        <f t="shared" si="518"/>
        <v>4.9082041221795603E-2</v>
      </c>
      <c r="JO62" s="35">
        <f t="shared" si="519"/>
        <v>4.9082040290567092E-2</v>
      </c>
      <c r="JP62" s="35">
        <f t="shared" si="520"/>
        <v>4.5279380245233369E-10</v>
      </c>
      <c r="JQ62" s="35">
        <f t="shared" si="521"/>
        <v>4.9082040290567092E-2</v>
      </c>
      <c r="JR62" s="35">
        <f t="shared" si="522"/>
        <v>4.9082041221795603E-2</v>
      </c>
      <c r="JS62" s="35">
        <f t="shared" si="523"/>
        <v>4.9082040756181347E-2</v>
      </c>
      <c r="JT62" s="35">
        <f t="shared" si="524"/>
        <v>2.2555801670876008E-10</v>
      </c>
      <c r="JU62" s="35">
        <f t="shared" si="525"/>
        <v>4.9082040756181347E-2</v>
      </c>
      <c r="JV62" s="35">
        <f t="shared" si="526"/>
        <v>4.9082041221795603E-2</v>
      </c>
      <c r="JW62" s="35">
        <f t="shared" si="527"/>
        <v>4.9082040988988475E-2</v>
      </c>
      <c r="JX62" s="35">
        <f t="shared" si="528"/>
        <v>1.1194001281467081E-10</v>
      </c>
      <c r="JY62" s="35">
        <f t="shared" si="529"/>
        <v>4.9082040988988475E-2</v>
      </c>
      <c r="JZ62" s="35">
        <f t="shared" si="530"/>
        <v>4.9082041221795603E-2</v>
      </c>
      <c r="KA62" s="35">
        <f t="shared" si="531"/>
        <v>1.0873121056007222</v>
      </c>
      <c r="KB62" s="35">
        <f t="shared" si="532"/>
        <v>4.9082041105392035E-2</v>
      </c>
    </row>
    <row r="63" spans="1:288" ht="15" customHeight="1" x14ac:dyDescent="0.3">
      <c r="A63" s="30">
        <f>Odds_Input!A63</f>
        <v>55</v>
      </c>
      <c r="B63" s="7" t="str">
        <f>Odds_Input!B63</f>
        <v>CONF_WEST</v>
      </c>
      <c r="C63" s="7" t="str">
        <f>Odds_Input!C63</f>
        <v>Phoenix Suns</v>
      </c>
      <c r="D63" s="7" t="str">
        <f>Odds_Input!D63</f>
        <v>YES</v>
      </c>
      <c r="E63" s="31" t="str">
        <f>Odds_Input!E63</f>
        <v>-</v>
      </c>
      <c r="F63" s="32">
        <f>Odds_Input!F63</f>
        <v>8500</v>
      </c>
      <c r="G63" s="6" t="str">
        <f t="shared" si="0"/>
        <v>CONF_WEST</v>
      </c>
      <c r="H63" s="14">
        <f t="shared" si="1"/>
        <v>86</v>
      </c>
      <c r="I63" s="33">
        <f t="shared" si="2"/>
        <v>1.1627906976744186E-2</v>
      </c>
      <c r="J63" s="17">
        <f t="shared" si="3"/>
        <v>1</v>
      </c>
      <c r="K63" s="17">
        <f t="shared" si="4"/>
        <v>15</v>
      </c>
      <c r="L63" s="18">
        <f t="shared" si="5"/>
        <v>1.1953442022676133</v>
      </c>
      <c r="M63" s="34">
        <f t="shared" si="6"/>
        <v>0.19534420226761329</v>
      </c>
      <c r="N63" s="33">
        <f t="shared" si="7"/>
        <v>9.7276641779711695E-3</v>
      </c>
      <c r="O63" s="33">
        <f t="shared" si="8"/>
        <v>6.7851160080997933E-3</v>
      </c>
      <c r="P63" s="33">
        <f t="shared" si="9"/>
        <v>4.6284079550052105E-3</v>
      </c>
      <c r="Q63" s="33">
        <f t="shared" si="10"/>
        <v>4.6284079550052105E-3</v>
      </c>
      <c r="R63" s="35">
        <f t="shared" si="11"/>
        <v>1.120932777808048</v>
      </c>
      <c r="S63" s="35">
        <f t="shared" si="12"/>
        <v>1.9902430363003976E-2</v>
      </c>
      <c r="X63" s="6" t="s">
        <v>838</v>
      </c>
      <c r="Y63" s="6">
        <f t="shared" si="273"/>
        <v>1</v>
      </c>
      <c r="Z63" s="18">
        <f t="shared" si="274"/>
        <v>1.0586080586080588</v>
      </c>
      <c r="AA63" s="10">
        <v>0.2</v>
      </c>
      <c r="AB63" s="10">
        <v>10</v>
      </c>
      <c r="AC63" s="35">
        <f t="shared" si="275"/>
        <v>5.0999999999999996</v>
      </c>
      <c r="AD63" s="35">
        <f t="shared" si="276"/>
        <v>-0.39968848794340062</v>
      </c>
      <c r="AE63" s="35">
        <f t="shared" si="277"/>
        <v>0.2</v>
      </c>
      <c r="AF63" s="35">
        <f t="shared" si="278"/>
        <v>5.0999999999999996</v>
      </c>
      <c r="AG63" s="35">
        <f t="shared" si="279"/>
        <v>2.65</v>
      </c>
      <c r="AH63" s="35">
        <f t="shared" si="280"/>
        <v>-0.2259527163483106</v>
      </c>
      <c r="AI63" s="35">
        <f t="shared" si="281"/>
        <v>0.2</v>
      </c>
      <c r="AJ63" s="35">
        <f t="shared" si="282"/>
        <v>2.65</v>
      </c>
      <c r="AK63" s="35">
        <f t="shared" si="283"/>
        <v>1.425</v>
      </c>
      <c r="AL63" s="35">
        <f t="shared" si="284"/>
        <v>-6.3477370859694293E-2</v>
      </c>
      <c r="AM63" s="35">
        <f t="shared" si="285"/>
        <v>0.2</v>
      </c>
      <c r="AN63" s="35">
        <f t="shared" si="286"/>
        <v>1.425</v>
      </c>
      <c r="AO63" s="35">
        <f t="shared" si="287"/>
        <v>0.8125</v>
      </c>
      <c r="AP63" s="35">
        <f t="shared" si="288"/>
        <v>0.14042906147314138</v>
      </c>
      <c r="AQ63" s="35">
        <f t="shared" si="289"/>
        <v>0.8125</v>
      </c>
      <c r="AR63" s="35">
        <f t="shared" si="290"/>
        <v>1.425</v>
      </c>
      <c r="AS63" s="35">
        <f t="shared" si="291"/>
        <v>1.1187499999999999</v>
      </c>
      <c r="AT63" s="35">
        <f t="shared" si="292"/>
        <v>1.7256219542037377E-2</v>
      </c>
      <c r="AU63" s="35">
        <f t="shared" si="293"/>
        <v>1.1187499999999999</v>
      </c>
      <c r="AV63" s="35">
        <f t="shared" si="294"/>
        <v>1.425</v>
      </c>
      <c r="AW63" s="35">
        <f t="shared" si="295"/>
        <v>1.2718750000000001</v>
      </c>
      <c r="AX63" s="35">
        <f t="shared" si="296"/>
        <v>-2.7038952534449767E-2</v>
      </c>
      <c r="AY63" s="35">
        <f t="shared" si="297"/>
        <v>1.1187499999999999</v>
      </c>
      <c r="AZ63" s="35">
        <f t="shared" si="298"/>
        <v>1.2718750000000001</v>
      </c>
      <c r="BA63" s="35">
        <f t="shared" si="299"/>
        <v>1.1953125</v>
      </c>
      <c r="BB63" s="35">
        <f t="shared" si="300"/>
        <v>-6.0153574123943399E-3</v>
      </c>
      <c r="BC63" s="35">
        <f t="shared" si="301"/>
        <v>1.1187499999999999</v>
      </c>
      <c r="BD63" s="35">
        <f t="shared" si="302"/>
        <v>1.1953125</v>
      </c>
      <c r="BE63" s="35">
        <f t="shared" si="303"/>
        <v>1.15703125</v>
      </c>
      <c r="BF63" s="35">
        <f t="shared" si="304"/>
        <v>5.3193964874747035E-3</v>
      </c>
      <c r="BG63" s="35">
        <f t="shared" si="305"/>
        <v>1.15703125</v>
      </c>
      <c r="BH63" s="35">
        <f t="shared" si="306"/>
        <v>1.1953125</v>
      </c>
      <c r="BI63" s="35">
        <f t="shared" si="307"/>
        <v>1.1761718750000001</v>
      </c>
      <c r="BJ63" s="35">
        <f t="shared" si="308"/>
        <v>-4.2062210530224853E-4</v>
      </c>
      <c r="BK63" s="35">
        <f t="shared" si="309"/>
        <v>1.15703125</v>
      </c>
      <c r="BL63" s="35">
        <f t="shared" si="310"/>
        <v>1.1761718750000001</v>
      </c>
      <c r="BM63" s="35">
        <f t="shared" si="311"/>
        <v>1.1666015624999999</v>
      </c>
      <c r="BN63" s="35">
        <f t="shared" si="312"/>
        <v>2.4309069581680554E-3</v>
      </c>
      <c r="BO63" s="35">
        <f t="shared" si="313"/>
        <v>1.1666015624999999</v>
      </c>
      <c r="BP63" s="35">
        <f t="shared" si="314"/>
        <v>1.1761718750000001</v>
      </c>
      <c r="BQ63" s="35">
        <f t="shared" si="315"/>
        <v>1.17138671875</v>
      </c>
      <c r="BR63" s="35">
        <f t="shared" si="316"/>
        <v>1.0005627934464023E-3</v>
      </c>
      <c r="BS63" s="35">
        <f t="shared" si="317"/>
        <v>1.17138671875</v>
      </c>
      <c r="BT63" s="35">
        <f t="shared" si="318"/>
        <v>1.1761718750000001</v>
      </c>
      <c r="BU63" s="35">
        <f t="shared" si="319"/>
        <v>1.173779296875</v>
      </c>
      <c r="BV63" s="35">
        <f t="shared" si="320"/>
        <v>2.888304495121119E-4</v>
      </c>
      <c r="BW63" s="35">
        <f t="shared" si="321"/>
        <v>1.173779296875</v>
      </c>
      <c r="BX63" s="35">
        <f t="shared" si="322"/>
        <v>1.1761718750000001</v>
      </c>
      <c r="BY63" s="35">
        <f t="shared" si="323"/>
        <v>1.1749755859375002</v>
      </c>
      <c r="BZ63" s="35">
        <f t="shared" si="324"/>
        <v>-6.6180177274666185E-5</v>
      </c>
      <c r="CA63" s="35">
        <f t="shared" si="325"/>
        <v>1.173779296875</v>
      </c>
      <c r="CB63" s="35">
        <f t="shared" si="326"/>
        <v>1.1749755859375002</v>
      </c>
      <c r="CC63" s="35">
        <f t="shared" si="327"/>
        <v>1.17437744140625</v>
      </c>
      <c r="CD63" s="35">
        <f t="shared" si="328"/>
        <v>1.112539708503224E-4</v>
      </c>
      <c r="CE63" s="35">
        <f t="shared" si="329"/>
        <v>1.17437744140625</v>
      </c>
      <c r="CF63" s="35">
        <f t="shared" si="330"/>
        <v>1.1749755859375002</v>
      </c>
      <c r="CG63" s="35">
        <f t="shared" si="331"/>
        <v>1.1746765136718751</v>
      </c>
      <c r="CH63" s="35">
        <f t="shared" si="332"/>
        <v>2.2519115217889407E-5</v>
      </c>
      <c r="CI63" s="35">
        <f t="shared" si="333"/>
        <v>1.1746765136718751</v>
      </c>
      <c r="CJ63" s="35">
        <f t="shared" si="334"/>
        <v>1.1749755859375002</v>
      </c>
      <c r="CK63" s="35">
        <f t="shared" si="335"/>
        <v>1.1748260498046876</v>
      </c>
      <c r="CL63" s="35">
        <f t="shared" si="336"/>
        <v>-2.1834975203027795E-5</v>
      </c>
      <c r="CM63" s="35">
        <f t="shared" si="337"/>
        <v>1.1746765136718751</v>
      </c>
      <c r="CN63" s="35">
        <f t="shared" si="338"/>
        <v>1.1748260498046876</v>
      </c>
      <c r="CO63" s="35">
        <f t="shared" si="339"/>
        <v>1.1747512817382813</v>
      </c>
      <c r="CP63" s="35">
        <f t="shared" si="340"/>
        <v>3.4095881162876651E-7</v>
      </c>
      <c r="CQ63" s="35">
        <f t="shared" si="341"/>
        <v>1.1747512817382813</v>
      </c>
      <c r="CR63" s="35">
        <f t="shared" si="342"/>
        <v>1.1748260498046876</v>
      </c>
      <c r="CS63" s="35">
        <f t="shared" si="343"/>
        <v>1.1747886657714846</v>
      </c>
      <c r="CT63" s="35">
        <f t="shared" si="344"/>
        <v>-1.0747285975609699E-5</v>
      </c>
      <c r="CU63" s="35">
        <f t="shared" si="345"/>
        <v>1.1747512817382813</v>
      </c>
      <c r="CV63" s="35">
        <f t="shared" si="346"/>
        <v>1.1747886657714846</v>
      </c>
      <c r="CW63" s="35">
        <f t="shared" si="347"/>
        <v>1.1747699737548829</v>
      </c>
      <c r="CX63" s="35">
        <f t="shared" si="348"/>
        <v>-5.2032330293272366E-6</v>
      </c>
      <c r="CY63" s="35">
        <f t="shared" si="349"/>
        <v>1.1747512817382813</v>
      </c>
      <c r="CZ63" s="35">
        <f t="shared" si="350"/>
        <v>1.1747699737548829</v>
      </c>
      <c r="DA63" s="35">
        <f t="shared" si="351"/>
        <v>1.1747606277465821</v>
      </c>
      <c r="DB63" s="35">
        <f t="shared" si="352"/>
        <v>-2.4311544709609834E-6</v>
      </c>
      <c r="DC63" s="35">
        <f t="shared" si="353"/>
        <v>1.1747512817382813</v>
      </c>
      <c r="DD63" s="35">
        <f t="shared" si="354"/>
        <v>1.1747606277465821</v>
      </c>
      <c r="DE63" s="35">
        <f t="shared" si="355"/>
        <v>1.1747559547424316</v>
      </c>
      <c r="DF63" s="35">
        <f t="shared" si="356"/>
        <v>-1.0451021702495567E-6</v>
      </c>
      <c r="DG63" s="35">
        <f t="shared" si="357"/>
        <v>1.1747512817382813</v>
      </c>
      <c r="DH63" s="35">
        <f t="shared" si="358"/>
        <v>1.1747559547424316</v>
      </c>
      <c r="DI63" s="35">
        <f t="shared" si="359"/>
        <v>1.1747536182403564</v>
      </c>
      <c r="DJ63" s="35">
        <f t="shared" si="360"/>
        <v>-3.5207276449789049E-7</v>
      </c>
      <c r="DK63" s="35">
        <f t="shared" si="361"/>
        <v>1.1747512817382813</v>
      </c>
      <c r="DL63" s="35">
        <f t="shared" si="362"/>
        <v>1.1747536182403564</v>
      </c>
      <c r="DM63" s="35">
        <f t="shared" si="363"/>
        <v>1.1747524499893189</v>
      </c>
      <c r="DN63" s="35">
        <f t="shared" si="364"/>
        <v>-5.5572476620469047E-9</v>
      </c>
      <c r="DO63" s="35">
        <f t="shared" si="365"/>
        <v>1.1747512817382813</v>
      </c>
      <c r="DP63" s="35">
        <f t="shared" si="366"/>
        <v>1.1747524499893189</v>
      </c>
      <c r="DQ63" s="35">
        <f t="shared" si="367"/>
        <v>1.1747518658638001</v>
      </c>
      <c r="DR63" s="35">
        <f t="shared" si="368"/>
        <v>1.6770071420424415E-7</v>
      </c>
      <c r="DS63" s="35">
        <f t="shared" si="369"/>
        <v>1.1747518658638001</v>
      </c>
      <c r="DT63" s="35">
        <f t="shared" si="370"/>
        <v>1.1747524499893189</v>
      </c>
      <c r="DU63" s="35">
        <f t="shared" si="371"/>
        <v>1.1747521579265596</v>
      </c>
      <c r="DV63" s="35">
        <f t="shared" si="372"/>
        <v>8.1071716229175195E-8</v>
      </c>
      <c r="DW63" s="35">
        <f t="shared" si="373"/>
        <v>1.1747521579265596</v>
      </c>
      <c r="DX63" s="35">
        <f t="shared" si="374"/>
        <v>1.1747524499893189</v>
      </c>
      <c r="DY63" s="35">
        <f t="shared" si="375"/>
        <v>1.1747523039579393</v>
      </c>
      <c r="DZ63" s="35">
        <f t="shared" si="376"/>
        <v>3.77572300092055E-8</v>
      </c>
      <c r="EA63" s="35">
        <f t="shared" si="377"/>
        <v>1.1747523039579393</v>
      </c>
      <c r="EB63" s="35">
        <f t="shared" si="378"/>
        <v>1.1747524499893189</v>
      </c>
      <c r="EC63" s="35">
        <f t="shared" si="379"/>
        <v>1.174752376973629</v>
      </c>
      <c r="ED63" s="35">
        <f t="shared" si="380"/>
        <v>1.6099990007845122E-8</v>
      </c>
      <c r="EE63" s="35">
        <f t="shared" si="381"/>
        <v>1.174752376973629</v>
      </c>
      <c r="EF63" s="35">
        <f t="shared" si="382"/>
        <v>1.1747524499893189</v>
      </c>
      <c r="EG63" s="35">
        <f t="shared" si="383"/>
        <v>1.174752413481474</v>
      </c>
      <c r="EH63" s="35">
        <f t="shared" si="384"/>
        <v>5.2713708953433525E-9</v>
      </c>
      <c r="EI63" s="35">
        <f t="shared" si="385"/>
        <v>1.174752413481474</v>
      </c>
      <c r="EJ63" s="35">
        <f t="shared" si="386"/>
        <v>1.1747524499893189</v>
      </c>
      <c r="EK63" s="35">
        <f t="shared" si="387"/>
        <v>1.1747524317353966</v>
      </c>
      <c r="EL63" s="35">
        <f t="shared" si="388"/>
        <v>-1.429385498852298E-10</v>
      </c>
      <c r="EM63" s="35">
        <f t="shared" si="389"/>
        <v>1.174752413481474</v>
      </c>
      <c r="EN63" s="35">
        <f t="shared" si="390"/>
        <v>1.1747524317353966</v>
      </c>
      <c r="EO63" s="35">
        <f t="shared" si="391"/>
        <v>1.1747524226084352</v>
      </c>
      <c r="EP63" s="35">
        <f t="shared" si="392"/>
        <v>2.5642163947736663E-9</v>
      </c>
      <c r="EQ63" s="35">
        <f t="shared" si="393"/>
        <v>1.1747524226084352</v>
      </c>
      <c r="ER63" s="35">
        <f t="shared" si="394"/>
        <v>1.1747524317353966</v>
      </c>
      <c r="ES63" s="35">
        <f t="shared" si="395"/>
        <v>1.1747524271719159</v>
      </c>
      <c r="ET63" s="35">
        <f t="shared" si="396"/>
        <v>1.2106389224442182E-9</v>
      </c>
      <c r="EU63" s="35">
        <f t="shared" si="397"/>
        <v>1.1747524271719159</v>
      </c>
      <c r="EV63" s="35">
        <f t="shared" si="398"/>
        <v>1.1747524317353966</v>
      </c>
      <c r="EW63" s="35">
        <f t="shared" si="399"/>
        <v>1.1747524294536562</v>
      </c>
      <c r="EX63" s="35">
        <f t="shared" si="400"/>
        <v>5.3385029730179667E-10</v>
      </c>
      <c r="EY63" s="35">
        <f t="shared" si="401"/>
        <v>1.1747524294536562</v>
      </c>
      <c r="EZ63" s="35">
        <f t="shared" si="402"/>
        <v>1.1747524317353966</v>
      </c>
      <c r="FA63" s="10">
        <v>9.9999999999999995E-7</v>
      </c>
      <c r="FB63" s="10">
        <v>0.99990000000000001</v>
      </c>
      <c r="FC63" s="35">
        <f t="shared" si="403"/>
        <v>0.49995050000000002</v>
      </c>
      <c r="FD63" s="35">
        <f t="shared" si="404"/>
        <v>-0.11675960125711127</v>
      </c>
      <c r="FE63" s="35">
        <f t="shared" si="405"/>
        <v>9.9999999999999995E-7</v>
      </c>
      <c r="FF63" s="35">
        <f t="shared" si="406"/>
        <v>0.49995050000000002</v>
      </c>
      <c r="FG63" s="35">
        <f t="shared" si="407"/>
        <v>0.24997575</v>
      </c>
      <c r="FH63" s="35">
        <f t="shared" si="408"/>
        <v>-6.4365392651057229E-2</v>
      </c>
      <c r="FI63" s="35">
        <f t="shared" si="409"/>
        <v>9.9999999999999995E-7</v>
      </c>
      <c r="FJ63" s="35">
        <f t="shared" si="410"/>
        <v>0.24997575</v>
      </c>
      <c r="FK63" s="35">
        <f t="shared" si="411"/>
        <v>0.124988375</v>
      </c>
      <c r="FL63" s="35">
        <f t="shared" si="412"/>
        <v>-2.4983895383769772E-2</v>
      </c>
      <c r="FM63" s="35">
        <f t="shared" si="413"/>
        <v>9.9999999999999995E-7</v>
      </c>
      <c r="FN63" s="35">
        <f t="shared" si="414"/>
        <v>0.124988375</v>
      </c>
      <c r="FO63" s="35">
        <f t="shared" si="415"/>
        <v>6.24946875E-2</v>
      </c>
      <c r="FP63" s="35">
        <f t="shared" si="416"/>
        <v>1.3335076229870069E-4</v>
      </c>
      <c r="FQ63" s="35">
        <f t="shared" si="417"/>
        <v>6.24946875E-2</v>
      </c>
      <c r="FR63" s="35">
        <f t="shared" si="418"/>
        <v>0.124988375</v>
      </c>
      <c r="FS63" s="35">
        <f t="shared" si="419"/>
        <v>9.3741531249999996E-2</v>
      </c>
      <c r="FT63" s="35">
        <f t="shared" si="420"/>
        <v>-1.2904853521158333E-2</v>
      </c>
      <c r="FU63" s="35">
        <f t="shared" si="421"/>
        <v>6.24946875E-2</v>
      </c>
      <c r="FV63" s="35">
        <f t="shared" si="422"/>
        <v>9.3741531249999996E-2</v>
      </c>
      <c r="FW63" s="35">
        <f t="shared" si="423"/>
        <v>7.8118109374999994E-2</v>
      </c>
      <c r="FX63" s="35">
        <f t="shared" si="424"/>
        <v>-6.5043822903305681E-3</v>
      </c>
      <c r="FY63" s="35">
        <f t="shared" si="425"/>
        <v>6.24946875E-2</v>
      </c>
      <c r="FZ63" s="35">
        <f t="shared" si="426"/>
        <v>7.8118109374999994E-2</v>
      </c>
      <c r="GA63" s="35">
        <f t="shared" si="427"/>
        <v>7.0306398437500001E-2</v>
      </c>
      <c r="GB63" s="35">
        <f t="shared" si="428"/>
        <v>-3.2148511101328658E-3</v>
      </c>
      <c r="GC63" s="35">
        <f t="shared" si="429"/>
        <v>6.24946875E-2</v>
      </c>
      <c r="GD63" s="35">
        <f t="shared" si="430"/>
        <v>7.0306398437500001E-2</v>
      </c>
      <c r="GE63" s="35">
        <f t="shared" si="431"/>
        <v>6.6400542968750004E-2</v>
      </c>
      <c r="GF63" s="35">
        <f t="shared" si="432"/>
        <v>-1.5480332187147727E-3</v>
      </c>
      <c r="GG63" s="35">
        <f t="shared" si="433"/>
        <v>6.24946875E-2</v>
      </c>
      <c r="GH63" s="35">
        <f t="shared" si="434"/>
        <v>6.6400542968750004E-2</v>
      </c>
      <c r="GI63" s="35">
        <f t="shared" si="435"/>
        <v>6.4447615234375005E-2</v>
      </c>
      <c r="GJ63" s="35">
        <f t="shared" si="436"/>
        <v>-7.0915498413770539E-4</v>
      </c>
      <c r="GK63" s="35">
        <f t="shared" si="437"/>
        <v>6.24946875E-2</v>
      </c>
      <c r="GL63" s="35">
        <f t="shared" si="438"/>
        <v>6.4447615234375005E-2</v>
      </c>
      <c r="GM63" s="35">
        <f t="shared" si="439"/>
        <v>6.3471151367187506E-2</v>
      </c>
      <c r="GN63" s="35">
        <f t="shared" si="440"/>
        <v>-2.8835463331911004E-4</v>
      </c>
      <c r="GO63" s="35">
        <f t="shared" si="441"/>
        <v>6.24946875E-2</v>
      </c>
      <c r="GP63" s="35">
        <f t="shared" si="442"/>
        <v>6.3471151367187506E-2</v>
      </c>
      <c r="GQ63" s="35">
        <f t="shared" si="443"/>
        <v>6.2982919433593756E-2</v>
      </c>
      <c r="GR63" s="35">
        <f t="shared" si="444"/>
        <v>-7.7614948984172649E-5</v>
      </c>
      <c r="GS63" s="35">
        <f t="shared" si="445"/>
        <v>6.24946875E-2</v>
      </c>
      <c r="GT63" s="35">
        <f t="shared" si="446"/>
        <v>6.2982919433593756E-2</v>
      </c>
      <c r="GU63" s="35">
        <f t="shared" si="447"/>
        <v>6.2738803466796875E-2</v>
      </c>
      <c r="GV63" s="35">
        <f t="shared" si="448"/>
        <v>2.7839668089058023E-5</v>
      </c>
      <c r="GW63" s="35">
        <f t="shared" si="449"/>
        <v>6.2738803466796875E-2</v>
      </c>
      <c r="GX63" s="35">
        <f t="shared" si="450"/>
        <v>6.2982919433593756E-2</v>
      </c>
      <c r="GY63" s="35">
        <f t="shared" si="451"/>
        <v>6.2860861450195316E-2</v>
      </c>
      <c r="GZ63" s="35">
        <f t="shared" si="452"/>
        <v>-2.4894701946887032E-5</v>
      </c>
      <c r="HA63" s="35">
        <f t="shared" si="453"/>
        <v>6.2738803466796875E-2</v>
      </c>
      <c r="HB63" s="35">
        <f t="shared" si="454"/>
        <v>6.2860861450195316E-2</v>
      </c>
      <c r="HC63" s="35">
        <f t="shared" si="455"/>
        <v>6.2799832458496102E-2</v>
      </c>
      <c r="HD63" s="35">
        <f t="shared" si="456"/>
        <v>1.4707179278872218E-6</v>
      </c>
      <c r="HE63" s="35">
        <f t="shared" si="457"/>
        <v>6.2799832458496102E-2</v>
      </c>
      <c r="HF63" s="35">
        <f t="shared" si="458"/>
        <v>6.2860861450195316E-2</v>
      </c>
      <c r="HG63" s="35">
        <f t="shared" si="459"/>
        <v>6.2830346954345709E-2</v>
      </c>
      <c r="HH63" s="35">
        <f t="shared" si="460"/>
        <v>-1.1712433324317928E-5</v>
      </c>
      <c r="HI63" s="35">
        <f t="shared" si="461"/>
        <v>6.2799832458496102E-2</v>
      </c>
      <c r="HJ63" s="35">
        <f t="shared" si="462"/>
        <v>6.2830346954345709E-2</v>
      </c>
      <c r="HK63" s="35">
        <f t="shared" si="463"/>
        <v>6.2815089706420912E-2</v>
      </c>
      <c r="HL63" s="35">
        <f t="shared" si="464"/>
        <v>-5.1209680231867338E-6</v>
      </c>
      <c r="HM63" s="35">
        <f t="shared" si="465"/>
        <v>6.2799832458496102E-2</v>
      </c>
      <c r="HN63" s="35">
        <f t="shared" si="466"/>
        <v>6.2815089706420912E-2</v>
      </c>
      <c r="HO63" s="35">
        <f t="shared" si="467"/>
        <v>6.2807461082458507E-2</v>
      </c>
      <c r="HP63" s="35">
        <f t="shared" si="468"/>
        <v>-1.8251526284762676E-6</v>
      </c>
      <c r="HQ63" s="35">
        <f t="shared" si="469"/>
        <v>6.2799832458496102E-2</v>
      </c>
      <c r="HR63" s="35">
        <f t="shared" si="470"/>
        <v>6.2807461082458507E-2</v>
      </c>
      <c r="HS63" s="35">
        <f t="shared" si="471"/>
        <v>6.2803646770477312E-2</v>
      </c>
      <c r="HT63" s="35">
        <f t="shared" si="472"/>
        <v>-1.7722424550115079E-7</v>
      </c>
      <c r="HU63" s="35">
        <f t="shared" si="473"/>
        <v>6.2799832458496102E-2</v>
      </c>
      <c r="HV63" s="35">
        <f t="shared" si="474"/>
        <v>6.2803646770477312E-2</v>
      </c>
      <c r="HW63" s="35">
        <f t="shared" si="475"/>
        <v>6.2801739614486707E-2</v>
      </c>
      <c r="HX63" s="35">
        <f t="shared" si="476"/>
        <v>6.4674511746076746E-7</v>
      </c>
      <c r="HY63" s="35">
        <f t="shared" si="477"/>
        <v>6.2801739614486707E-2</v>
      </c>
      <c r="HZ63" s="35">
        <f t="shared" si="478"/>
        <v>6.2803646770477312E-2</v>
      </c>
      <c r="IA63" s="35">
        <f t="shared" si="479"/>
        <v>6.2802693192482009E-2</v>
      </c>
      <c r="IB63" s="35">
        <f t="shared" si="480"/>
        <v>2.3476000499123018E-7</v>
      </c>
      <c r="IC63" s="35">
        <f t="shared" si="481"/>
        <v>6.2802693192482009E-2</v>
      </c>
      <c r="ID63" s="35">
        <f t="shared" si="482"/>
        <v>6.2803646770477312E-2</v>
      </c>
      <c r="IE63" s="35">
        <f t="shared" si="483"/>
        <v>6.2803169981479667E-2</v>
      </c>
      <c r="IF63" s="35">
        <f t="shared" si="484"/>
        <v>2.8767771942384002E-8</v>
      </c>
      <c r="IG63" s="35">
        <f t="shared" si="485"/>
        <v>6.2803169981479667E-2</v>
      </c>
      <c r="IH63" s="35">
        <f t="shared" si="486"/>
        <v>6.2803646770477312E-2</v>
      </c>
      <c r="II63" s="35">
        <f t="shared" si="487"/>
        <v>6.2803408375978489E-2</v>
      </c>
      <c r="IJ63" s="35">
        <f t="shared" si="488"/>
        <v>-7.422826364678059E-8</v>
      </c>
      <c r="IK63" s="35">
        <f t="shared" si="489"/>
        <v>6.2803169981479667E-2</v>
      </c>
      <c r="IL63" s="35">
        <f t="shared" si="490"/>
        <v>6.2803408375978489E-2</v>
      </c>
      <c r="IM63" s="35">
        <f t="shared" si="491"/>
        <v>6.2803289178729071E-2</v>
      </c>
      <c r="IN63" s="35">
        <f t="shared" si="492"/>
        <v>-2.2730252680069896E-8</v>
      </c>
      <c r="IO63" s="35">
        <f t="shared" si="493"/>
        <v>6.2803169981479667E-2</v>
      </c>
      <c r="IP63" s="35">
        <f t="shared" si="494"/>
        <v>6.2803289178729071E-2</v>
      </c>
      <c r="IQ63" s="35">
        <f t="shared" si="495"/>
        <v>6.2803229580104369E-2</v>
      </c>
      <c r="IR63" s="35">
        <f t="shared" si="496"/>
        <v>3.0187579103113649E-9</v>
      </c>
      <c r="IS63" s="35">
        <f t="shared" si="497"/>
        <v>6.2803229580104369E-2</v>
      </c>
      <c r="IT63" s="35">
        <f t="shared" si="498"/>
        <v>6.2803289178729071E-2</v>
      </c>
      <c r="IU63" s="35">
        <f t="shared" si="499"/>
        <v>6.280325937941672E-2</v>
      </c>
      <c r="IV63" s="35">
        <f t="shared" si="500"/>
        <v>-9.855747773457324E-9</v>
      </c>
      <c r="IW63" s="35">
        <f t="shared" si="501"/>
        <v>6.2803229580104369E-2</v>
      </c>
      <c r="IX63" s="35">
        <f t="shared" si="502"/>
        <v>6.280325937941672E-2</v>
      </c>
      <c r="IY63" s="35">
        <f t="shared" si="503"/>
        <v>6.2803244479760545E-2</v>
      </c>
      <c r="IZ63" s="35">
        <f t="shared" si="504"/>
        <v>-3.4184949315729796E-9</v>
      </c>
      <c r="JA63" s="35">
        <f t="shared" si="505"/>
        <v>6.2803229580104369E-2</v>
      </c>
      <c r="JB63" s="35">
        <f t="shared" si="506"/>
        <v>6.2803244479760545E-2</v>
      </c>
      <c r="JC63" s="35">
        <f t="shared" si="507"/>
        <v>6.2803237029932457E-2</v>
      </c>
      <c r="JD63" s="35">
        <f t="shared" si="508"/>
        <v>-1.9986856614195858E-10</v>
      </c>
      <c r="JE63" s="35">
        <f t="shared" si="509"/>
        <v>6.2803229580104369E-2</v>
      </c>
      <c r="JF63" s="35">
        <f t="shared" si="510"/>
        <v>6.2803237029932457E-2</v>
      </c>
      <c r="JG63" s="35">
        <f t="shared" si="511"/>
        <v>6.2803233305018413E-2</v>
      </c>
      <c r="JH63" s="35">
        <f t="shared" si="512"/>
        <v>1.4094447831070056E-9</v>
      </c>
      <c r="JI63" s="35">
        <f t="shared" si="513"/>
        <v>6.2803233305018413E-2</v>
      </c>
      <c r="JJ63" s="35">
        <f t="shared" si="514"/>
        <v>6.2803237029932457E-2</v>
      </c>
      <c r="JK63" s="35">
        <f t="shared" si="515"/>
        <v>6.2803235167475435E-2</v>
      </c>
      <c r="JL63" s="35">
        <f t="shared" si="516"/>
        <v>6.0478821950482597E-10</v>
      </c>
      <c r="JM63" s="35">
        <f t="shared" si="517"/>
        <v>6.2803235167475435E-2</v>
      </c>
      <c r="JN63" s="35">
        <f t="shared" si="518"/>
        <v>6.2803237029932457E-2</v>
      </c>
      <c r="JO63" s="35">
        <f t="shared" si="519"/>
        <v>6.2803236098703946E-2</v>
      </c>
      <c r="JP63" s="35">
        <f t="shared" si="520"/>
        <v>2.024598266814337E-10</v>
      </c>
      <c r="JQ63" s="35">
        <f t="shared" si="521"/>
        <v>6.2803236098703946E-2</v>
      </c>
      <c r="JR63" s="35">
        <f t="shared" si="522"/>
        <v>6.2803237029932457E-2</v>
      </c>
      <c r="JS63" s="35">
        <f t="shared" si="523"/>
        <v>6.2803236564318202E-2</v>
      </c>
      <c r="JT63" s="35">
        <f t="shared" si="524"/>
        <v>1.2956302697375577E-12</v>
      </c>
      <c r="JU63" s="35">
        <f t="shared" si="525"/>
        <v>6.2803236564318202E-2</v>
      </c>
      <c r="JV63" s="35">
        <f t="shared" si="526"/>
        <v>6.2803237029932457E-2</v>
      </c>
      <c r="JW63" s="35">
        <f t="shared" si="527"/>
        <v>6.2803236797125322E-2</v>
      </c>
      <c r="JX63" s="35">
        <f t="shared" si="528"/>
        <v>-9.9286245891505587E-11</v>
      </c>
      <c r="JY63" s="35">
        <f t="shared" si="529"/>
        <v>6.2803236564318202E-2</v>
      </c>
      <c r="JZ63" s="35">
        <f t="shared" si="530"/>
        <v>6.2803236797125322E-2</v>
      </c>
      <c r="KA63" s="35">
        <f t="shared" si="531"/>
        <v>1.1747524305945265</v>
      </c>
      <c r="KB63" s="35">
        <f t="shared" si="532"/>
        <v>6.2803236680721769E-2</v>
      </c>
    </row>
    <row r="64" spans="1:288" ht="15" customHeight="1" x14ac:dyDescent="0.3">
      <c r="A64" s="30">
        <f>Odds_Input!A64</f>
        <v>56</v>
      </c>
      <c r="B64" s="7" t="str">
        <f>Odds_Input!B64</f>
        <v>CONF_WEST</v>
      </c>
      <c r="C64" s="7" t="str">
        <f>Odds_Input!C64</f>
        <v>Portland Trail Blazers</v>
      </c>
      <c r="D64" s="7" t="str">
        <f>Odds_Input!D64</f>
        <v>YES</v>
      </c>
      <c r="E64" s="31" t="str">
        <f>Odds_Input!E64</f>
        <v>-</v>
      </c>
      <c r="F64" s="32">
        <f>Odds_Input!F64</f>
        <v>4900</v>
      </c>
      <c r="G64" s="6" t="str">
        <f t="shared" si="0"/>
        <v>CONF_WEST</v>
      </c>
      <c r="H64" s="14">
        <f t="shared" si="1"/>
        <v>50</v>
      </c>
      <c r="I64" s="33">
        <f t="shared" si="2"/>
        <v>0.02</v>
      </c>
      <c r="J64" s="17">
        <f t="shared" si="3"/>
        <v>1</v>
      </c>
      <c r="K64" s="17">
        <f t="shared" si="4"/>
        <v>15</v>
      </c>
      <c r="L64" s="18">
        <f t="shared" si="5"/>
        <v>1.1953442022676133</v>
      </c>
      <c r="M64" s="34">
        <f t="shared" si="6"/>
        <v>0.19534420226761329</v>
      </c>
      <c r="N64" s="33">
        <f t="shared" si="7"/>
        <v>1.6731582386110413E-2</v>
      </c>
      <c r="O64" s="33">
        <f t="shared" si="8"/>
        <v>1.246145729840371E-2</v>
      </c>
      <c r="P64" s="33">
        <f t="shared" si="9"/>
        <v>1.0930261948490037E-2</v>
      </c>
      <c r="Q64" s="33">
        <f t="shared" si="10"/>
        <v>1.0930261948490037E-2</v>
      </c>
      <c r="R64" s="35">
        <f t="shared" si="11"/>
        <v>1.120932777808048</v>
      </c>
      <c r="S64" s="35">
        <f t="shared" si="12"/>
        <v>1.9902430363003976E-2</v>
      </c>
      <c r="X64" s="6" t="s">
        <v>839</v>
      </c>
      <c r="Y64" s="6">
        <f t="shared" si="273"/>
        <v>1</v>
      </c>
      <c r="Z64" s="18">
        <f t="shared" si="274"/>
        <v>1.0446428571428572</v>
      </c>
      <c r="AA64" s="10">
        <v>0.2</v>
      </c>
      <c r="AB64" s="10">
        <v>10</v>
      </c>
      <c r="AC64" s="35">
        <f t="shared" si="275"/>
        <v>5.0999999999999996</v>
      </c>
      <c r="AD64" s="35">
        <f t="shared" si="276"/>
        <v>-0.84681627533037263</v>
      </c>
      <c r="AE64" s="35">
        <f t="shared" si="277"/>
        <v>0.2</v>
      </c>
      <c r="AF64" s="35">
        <f t="shared" si="278"/>
        <v>5.0999999999999996</v>
      </c>
      <c r="AG64" s="35">
        <f t="shared" si="279"/>
        <v>2.65</v>
      </c>
      <c r="AH64" s="35">
        <f t="shared" si="280"/>
        <v>-0.56419551605796325</v>
      </c>
      <c r="AI64" s="35">
        <f t="shared" si="281"/>
        <v>0.2</v>
      </c>
      <c r="AJ64" s="35">
        <f t="shared" si="282"/>
        <v>2.65</v>
      </c>
      <c r="AK64" s="35">
        <f t="shared" si="283"/>
        <v>1.425</v>
      </c>
      <c r="AL64" s="35">
        <f t="shared" si="284"/>
        <v>-0.18314008533697712</v>
      </c>
      <c r="AM64" s="35">
        <f t="shared" si="285"/>
        <v>0.2</v>
      </c>
      <c r="AN64" s="35">
        <f t="shared" si="286"/>
        <v>1.425</v>
      </c>
      <c r="AO64" s="35">
        <f t="shared" si="287"/>
        <v>0.8125</v>
      </c>
      <c r="AP64" s="35">
        <f t="shared" si="288"/>
        <v>0.17073310129578734</v>
      </c>
      <c r="AQ64" s="35">
        <f t="shared" si="289"/>
        <v>0.8125</v>
      </c>
      <c r="AR64" s="35">
        <f t="shared" si="290"/>
        <v>1.425</v>
      </c>
      <c r="AS64" s="35">
        <f t="shared" si="291"/>
        <v>1.1187499999999999</v>
      </c>
      <c r="AT64" s="35">
        <f t="shared" si="292"/>
        <v>-2.6379709784341232E-2</v>
      </c>
      <c r="AU64" s="35">
        <f t="shared" si="293"/>
        <v>0.8125</v>
      </c>
      <c r="AV64" s="35">
        <f t="shared" si="294"/>
        <v>1.1187499999999999</v>
      </c>
      <c r="AW64" s="35">
        <f t="shared" si="295"/>
        <v>0.96562499999999996</v>
      </c>
      <c r="AX64" s="35">
        <f t="shared" si="296"/>
        <v>6.6421961504534499E-2</v>
      </c>
      <c r="AY64" s="35">
        <f t="shared" si="297"/>
        <v>0.96562499999999996</v>
      </c>
      <c r="AZ64" s="35">
        <f t="shared" si="298"/>
        <v>1.1187499999999999</v>
      </c>
      <c r="BA64" s="35">
        <f t="shared" si="299"/>
        <v>1.0421874999999998</v>
      </c>
      <c r="BB64" s="35">
        <f t="shared" si="300"/>
        <v>1.8679586599502862E-2</v>
      </c>
      <c r="BC64" s="35">
        <f t="shared" si="301"/>
        <v>1.0421874999999998</v>
      </c>
      <c r="BD64" s="35">
        <f t="shared" si="302"/>
        <v>1.1187499999999999</v>
      </c>
      <c r="BE64" s="35">
        <f t="shared" si="303"/>
        <v>1.0804687499999999</v>
      </c>
      <c r="BF64" s="35">
        <f t="shared" si="304"/>
        <v>-4.1740807836173621E-3</v>
      </c>
      <c r="BG64" s="35">
        <f t="shared" si="305"/>
        <v>1.0421874999999998</v>
      </c>
      <c r="BH64" s="35">
        <f t="shared" si="306"/>
        <v>1.0804687499999999</v>
      </c>
      <c r="BI64" s="35">
        <f t="shared" si="307"/>
        <v>1.0613281249999997</v>
      </c>
      <c r="BJ64" s="35">
        <f t="shared" si="308"/>
        <v>7.1703603891946077E-3</v>
      </c>
      <c r="BK64" s="35">
        <f t="shared" si="309"/>
        <v>1.0613281249999997</v>
      </c>
      <c r="BL64" s="35">
        <f t="shared" si="310"/>
        <v>1.0804687499999999</v>
      </c>
      <c r="BM64" s="35">
        <f t="shared" si="311"/>
        <v>1.0708984374999999</v>
      </c>
      <c r="BN64" s="35">
        <f t="shared" si="312"/>
        <v>1.4777171560016455E-3</v>
      </c>
      <c r="BO64" s="35">
        <f t="shared" si="313"/>
        <v>1.0708984374999999</v>
      </c>
      <c r="BP64" s="35">
        <f t="shared" si="314"/>
        <v>1.0804687499999999</v>
      </c>
      <c r="BQ64" s="35">
        <f t="shared" si="315"/>
        <v>1.07568359375</v>
      </c>
      <c r="BR64" s="35">
        <f t="shared" si="316"/>
        <v>-1.3532657182293573E-3</v>
      </c>
      <c r="BS64" s="35">
        <f t="shared" si="317"/>
        <v>1.0708984374999999</v>
      </c>
      <c r="BT64" s="35">
        <f t="shared" si="318"/>
        <v>1.07568359375</v>
      </c>
      <c r="BU64" s="35">
        <f t="shared" si="319"/>
        <v>1.073291015625</v>
      </c>
      <c r="BV64" s="35">
        <f t="shared" si="320"/>
        <v>6.095203102196578E-5</v>
      </c>
      <c r="BW64" s="35">
        <f t="shared" si="321"/>
        <v>1.073291015625</v>
      </c>
      <c r="BX64" s="35">
        <f t="shared" si="322"/>
        <v>1.07568359375</v>
      </c>
      <c r="BY64" s="35">
        <f t="shared" si="323"/>
        <v>1.0744873046875001</v>
      </c>
      <c r="BZ64" s="35">
        <f t="shared" si="324"/>
        <v>-6.464749261075875E-4</v>
      </c>
      <c r="CA64" s="35">
        <f t="shared" si="325"/>
        <v>1.073291015625</v>
      </c>
      <c r="CB64" s="35">
        <f t="shared" si="326"/>
        <v>1.0744873046875001</v>
      </c>
      <c r="CC64" s="35">
        <f t="shared" si="327"/>
        <v>1.0738891601562499</v>
      </c>
      <c r="CD64" s="35">
        <f t="shared" si="328"/>
        <v>-2.9284101057069911E-4</v>
      </c>
      <c r="CE64" s="35">
        <f t="shared" si="329"/>
        <v>1.073291015625</v>
      </c>
      <c r="CF64" s="35">
        <f t="shared" si="330"/>
        <v>1.0738891601562499</v>
      </c>
      <c r="CG64" s="35">
        <f t="shared" si="331"/>
        <v>1.0735900878906248</v>
      </c>
      <c r="CH64" s="35">
        <f t="shared" si="332"/>
        <v>-1.1596438583416635E-4</v>
      </c>
      <c r="CI64" s="35">
        <f t="shared" si="333"/>
        <v>1.073291015625</v>
      </c>
      <c r="CJ64" s="35">
        <f t="shared" si="334"/>
        <v>1.0735900878906248</v>
      </c>
      <c r="CK64" s="35">
        <f t="shared" si="335"/>
        <v>1.0734405517578125</v>
      </c>
      <c r="CL64" s="35">
        <f t="shared" si="336"/>
        <v>-2.7511152084214174E-5</v>
      </c>
      <c r="CM64" s="35">
        <f t="shared" si="337"/>
        <v>1.073291015625</v>
      </c>
      <c r="CN64" s="35">
        <f t="shared" si="338"/>
        <v>1.0734405517578125</v>
      </c>
      <c r="CO64" s="35">
        <f t="shared" si="339"/>
        <v>1.0733657836914063</v>
      </c>
      <c r="CP64" s="35">
        <f t="shared" si="340"/>
        <v>1.6719195716330404E-5</v>
      </c>
      <c r="CQ64" s="35">
        <f t="shared" si="341"/>
        <v>1.0733657836914063</v>
      </c>
      <c r="CR64" s="35">
        <f t="shared" si="342"/>
        <v>1.0734405517578125</v>
      </c>
      <c r="CS64" s="35">
        <f t="shared" si="343"/>
        <v>1.0734031677246094</v>
      </c>
      <c r="CT64" s="35">
        <f t="shared" si="344"/>
        <v>-5.3962891116698941E-6</v>
      </c>
      <c r="CU64" s="35">
        <f t="shared" si="345"/>
        <v>1.0733657836914063</v>
      </c>
      <c r="CV64" s="35">
        <f t="shared" si="346"/>
        <v>1.0734031677246094</v>
      </c>
      <c r="CW64" s="35">
        <f t="shared" si="347"/>
        <v>1.073384475708008</v>
      </c>
      <c r="CX64" s="35">
        <f t="shared" si="348"/>
        <v>5.6613755692325185E-6</v>
      </c>
      <c r="CY64" s="35">
        <f t="shared" si="349"/>
        <v>1.073384475708008</v>
      </c>
      <c r="CZ64" s="35">
        <f t="shared" si="350"/>
        <v>1.0734031677246094</v>
      </c>
      <c r="DA64" s="35">
        <f t="shared" si="351"/>
        <v>1.0733938217163086</v>
      </c>
      <c r="DB64" s="35">
        <f t="shared" si="352"/>
        <v>1.3252379549300031E-7</v>
      </c>
      <c r="DC64" s="35">
        <f t="shared" si="353"/>
        <v>1.0733938217163086</v>
      </c>
      <c r="DD64" s="35">
        <f t="shared" si="354"/>
        <v>1.0734031677246094</v>
      </c>
      <c r="DE64" s="35">
        <f t="shared" si="355"/>
        <v>1.0733984947204589</v>
      </c>
      <c r="DF64" s="35">
        <f t="shared" si="356"/>
        <v>-2.6318875161468469E-6</v>
      </c>
      <c r="DG64" s="35">
        <f t="shared" si="357"/>
        <v>1.0733938217163086</v>
      </c>
      <c r="DH64" s="35">
        <f t="shared" si="358"/>
        <v>1.0733984947204589</v>
      </c>
      <c r="DI64" s="35">
        <f t="shared" si="359"/>
        <v>1.0733961582183837</v>
      </c>
      <c r="DJ64" s="35">
        <f t="shared" si="360"/>
        <v>-1.2496830747998899E-6</v>
      </c>
      <c r="DK64" s="35">
        <f t="shared" si="361"/>
        <v>1.0733938217163086</v>
      </c>
      <c r="DL64" s="35">
        <f t="shared" si="362"/>
        <v>1.0733961582183837</v>
      </c>
      <c r="DM64" s="35">
        <f t="shared" si="363"/>
        <v>1.0733949899673463</v>
      </c>
      <c r="DN64" s="35">
        <f t="shared" si="364"/>
        <v>-5.5857994329944205E-7</v>
      </c>
      <c r="DO64" s="35">
        <f t="shared" si="365"/>
        <v>1.0733938217163086</v>
      </c>
      <c r="DP64" s="35">
        <f t="shared" si="366"/>
        <v>1.0733949899673463</v>
      </c>
      <c r="DQ64" s="35">
        <f t="shared" si="367"/>
        <v>1.0733944058418274</v>
      </c>
      <c r="DR64" s="35">
        <f t="shared" si="368"/>
        <v>-2.130281497869646E-7</v>
      </c>
      <c r="DS64" s="35">
        <f t="shared" si="369"/>
        <v>1.0733938217163086</v>
      </c>
      <c r="DT64" s="35">
        <f t="shared" si="370"/>
        <v>1.0733944058418274</v>
      </c>
      <c r="DU64" s="35">
        <f t="shared" si="371"/>
        <v>1.0733941137790679</v>
      </c>
      <c r="DV64" s="35">
        <f t="shared" si="372"/>
        <v>-4.0252196020773567E-8</v>
      </c>
      <c r="DW64" s="35">
        <f t="shared" si="373"/>
        <v>1.0733938217163086</v>
      </c>
      <c r="DX64" s="35">
        <f t="shared" si="374"/>
        <v>1.0733941137790679</v>
      </c>
      <c r="DY64" s="35">
        <f t="shared" si="375"/>
        <v>1.0733939677476882</v>
      </c>
      <c r="DZ64" s="35">
        <f t="shared" si="376"/>
        <v>4.6135795184198969E-8</v>
      </c>
      <c r="EA64" s="35">
        <f t="shared" si="377"/>
        <v>1.0733939677476882</v>
      </c>
      <c r="EB64" s="35">
        <f t="shared" si="378"/>
        <v>1.0733941137790679</v>
      </c>
      <c r="EC64" s="35">
        <f t="shared" si="379"/>
        <v>1.073394040763378</v>
      </c>
      <c r="ED64" s="35">
        <f t="shared" si="380"/>
        <v>2.9417983604673736E-9</v>
      </c>
      <c r="EE64" s="35">
        <f t="shared" si="381"/>
        <v>1.073394040763378</v>
      </c>
      <c r="EF64" s="35">
        <f t="shared" si="382"/>
        <v>1.0733941137790679</v>
      </c>
      <c r="EG64" s="35">
        <f t="shared" si="383"/>
        <v>1.0733940772712229</v>
      </c>
      <c r="EH64" s="35">
        <f t="shared" si="384"/>
        <v>-1.8655199163220004E-8</v>
      </c>
      <c r="EI64" s="35">
        <f t="shared" si="385"/>
        <v>1.073394040763378</v>
      </c>
      <c r="EJ64" s="35">
        <f t="shared" si="386"/>
        <v>1.0733940772712229</v>
      </c>
      <c r="EK64" s="35">
        <f t="shared" si="387"/>
        <v>1.0733940590173003</v>
      </c>
      <c r="EL64" s="35">
        <f t="shared" si="388"/>
        <v>-7.8567002903540129E-9</v>
      </c>
      <c r="EM64" s="35">
        <f t="shared" si="389"/>
        <v>1.073394040763378</v>
      </c>
      <c r="EN64" s="35">
        <f t="shared" si="390"/>
        <v>1.0733940590173003</v>
      </c>
      <c r="EO64" s="35">
        <f t="shared" si="391"/>
        <v>1.0733940498903392</v>
      </c>
      <c r="EP64" s="35">
        <f t="shared" si="392"/>
        <v>-2.4574509094321684E-9</v>
      </c>
      <c r="EQ64" s="35">
        <f t="shared" si="393"/>
        <v>1.073394040763378</v>
      </c>
      <c r="ER64" s="35">
        <f t="shared" si="394"/>
        <v>1.0733940498903392</v>
      </c>
      <c r="ES64" s="35">
        <f t="shared" si="395"/>
        <v>1.0733940453268587</v>
      </c>
      <c r="ET64" s="35">
        <f t="shared" si="396"/>
        <v>2.4217361449530017E-10</v>
      </c>
      <c r="EU64" s="35">
        <f t="shared" si="397"/>
        <v>1.0733940453268587</v>
      </c>
      <c r="EV64" s="35">
        <f t="shared" si="398"/>
        <v>1.0733940498903392</v>
      </c>
      <c r="EW64" s="35">
        <f t="shared" si="399"/>
        <v>1.0733940476085988</v>
      </c>
      <c r="EX64" s="35">
        <f t="shared" si="400"/>
        <v>-1.1076386474684341E-9</v>
      </c>
      <c r="EY64" s="35">
        <f t="shared" si="401"/>
        <v>1.0733940453268587</v>
      </c>
      <c r="EZ64" s="35">
        <f t="shared" si="402"/>
        <v>1.0733940476085988</v>
      </c>
      <c r="FA64" s="10">
        <v>9.9999999999999995E-7</v>
      </c>
      <c r="FB64" s="10">
        <v>0.99990000000000001</v>
      </c>
      <c r="FC64" s="35">
        <f t="shared" si="403"/>
        <v>0.49995050000000002</v>
      </c>
      <c r="FD64" s="35">
        <f t="shared" si="404"/>
        <v>-0.22231407893390309</v>
      </c>
      <c r="FE64" s="35">
        <f t="shared" si="405"/>
        <v>9.9999999999999995E-7</v>
      </c>
      <c r="FF64" s="35">
        <f t="shared" si="406"/>
        <v>0.49995050000000002</v>
      </c>
      <c r="FG64" s="35">
        <f t="shared" si="407"/>
        <v>0.24997575</v>
      </c>
      <c r="FH64" s="35">
        <f t="shared" si="408"/>
        <v>-0.1023797901318797</v>
      </c>
      <c r="FI64" s="35">
        <f t="shared" si="409"/>
        <v>9.9999999999999995E-7</v>
      </c>
      <c r="FJ64" s="35">
        <f t="shared" si="410"/>
        <v>0.24997575</v>
      </c>
      <c r="FK64" s="35">
        <f t="shared" si="411"/>
        <v>0.124988375</v>
      </c>
      <c r="FL64" s="35">
        <f t="shared" si="412"/>
        <v>-3.9897702059376372E-2</v>
      </c>
      <c r="FM64" s="35">
        <f t="shared" si="413"/>
        <v>9.9999999999999995E-7</v>
      </c>
      <c r="FN64" s="35">
        <f t="shared" si="414"/>
        <v>0.124988375</v>
      </c>
      <c r="FO64" s="35">
        <f t="shared" si="415"/>
        <v>6.24946875E-2</v>
      </c>
      <c r="FP64" s="35">
        <f t="shared" si="416"/>
        <v>-8.7313248528012588E-3</v>
      </c>
      <c r="FQ64" s="35">
        <f t="shared" si="417"/>
        <v>9.9999999999999995E-7</v>
      </c>
      <c r="FR64" s="35">
        <f t="shared" si="418"/>
        <v>6.24946875E-2</v>
      </c>
      <c r="FS64" s="35">
        <f t="shared" si="419"/>
        <v>3.124784375E-2</v>
      </c>
      <c r="FT64" s="35">
        <f t="shared" si="420"/>
        <v>6.7314918285035219E-3</v>
      </c>
      <c r="FU64" s="35">
        <f t="shared" si="421"/>
        <v>3.124784375E-2</v>
      </c>
      <c r="FV64" s="35">
        <f t="shared" si="422"/>
        <v>6.24946875E-2</v>
      </c>
      <c r="FW64" s="35">
        <f t="shared" si="423"/>
        <v>4.6871265624999998E-2</v>
      </c>
      <c r="FX64" s="35">
        <f t="shared" si="424"/>
        <v>-9.8695300352813486E-4</v>
      </c>
      <c r="FY64" s="35">
        <f t="shared" si="425"/>
        <v>3.124784375E-2</v>
      </c>
      <c r="FZ64" s="35">
        <f t="shared" si="426"/>
        <v>4.6871265624999998E-2</v>
      </c>
      <c r="GA64" s="35">
        <f t="shared" si="427"/>
        <v>3.9059554687499998E-2</v>
      </c>
      <c r="GB64" s="35">
        <f t="shared" si="428"/>
        <v>2.8757232843876768E-3</v>
      </c>
      <c r="GC64" s="35">
        <f t="shared" si="429"/>
        <v>3.9059554687499998E-2</v>
      </c>
      <c r="GD64" s="35">
        <f t="shared" si="430"/>
        <v>4.6871265624999998E-2</v>
      </c>
      <c r="GE64" s="35">
        <f t="shared" si="431"/>
        <v>4.2965410156249995E-2</v>
      </c>
      <c r="GF64" s="35">
        <f t="shared" si="432"/>
        <v>9.4522221892612279E-4</v>
      </c>
      <c r="GG64" s="35">
        <f t="shared" si="433"/>
        <v>4.2965410156249995E-2</v>
      </c>
      <c r="GH64" s="35">
        <f t="shared" si="434"/>
        <v>4.6871265624999998E-2</v>
      </c>
      <c r="GI64" s="35">
        <f t="shared" si="435"/>
        <v>4.4918337890624993E-2</v>
      </c>
      <c r="GJ64" s="35">
        <f t="shared" si="436"/>
        <v>-2.0659442560577723E-5</v>
      </c>
      <c r="GK64" s="35">
        <f t="shared" si="437"/>
        <v>4.2965410156249995E-2</v>
      </c>
      <c r="GL64" s="35">
        <f t="shared" si="438"/>
        <v>4.4918337890624993E-2</v>
      </c>
      <c r="GM64" s="35">
        <f t="shared" si="439"/>
        <v>4.3941874023437494E-2</v>
      </c>
      <c r="GN64" s="35">
        <f t="shared" si="440"/>
        <v>4.6233329152922664E-4</v>
      </c>
      <c r="GO64" s="35">
        <f t="shared" si="441"/>
        <v>4.3941874023437494E-2</v>
      </c>
      <c r="GP64" s="35">
        <f t="shared" si="442"/>
        <v>4.4918337890624993E-2</v>
      </c>
      <c r="GQ64" s="35">
        <f t="shared" si="443"/>
        <v>4.4430105957031243E-2</v>
      </c>
      <c r="GR64" s="35">
        <f t="shared" si="444"/>
        <v>2.208498483893262E-4</v>
      </c>
      <c r="GS64" s="35">
        <f t="shared" si="445"/>
        <v>4.4430105957031243E-2</v>
      </c>
      <c r="GT64" s="35">
        <f t="shared" si="446"/>
        <v>4.4918337890624993E-2</v>
      </c>
      <c r="GU64" s="35">
        <f t="shared" si="447"/>
        <v>4.4674221923828118E-2</v>
      </c>
      <c r="GV64" s="35">
        <f t="shared" si="448"/>
        <v>1.0009842739422403E-4</v>
      </c>
      <c r="GW64" s="35">
        <f t="shared" si="449"/>
        <v>4.4674221923828118E-2</v>
      </c>
      <c r="GX64" s="35">
        <f t="shared" si="450"/>
        <v>4.4918337890624993E-2</v>
      </c>
      <c r="GY64" s="35">
        <f t="shared" si="451"/>
        <v>4.4796279907226552E-2</v>
      </c>
      <c r="GZ64" s="35">
        <f t="shared" si="452"/>
        <v>3.9720297724477049E-5</v>
      </c>
      <c r="HA64" s="35">
        <f t="shared" si="453"/>
        <v>4.4796279907226552E-2</v>
      </c>
      <c r="HB64" s="35">
        <f t="shared" si="454"/>
        <v>4.4918337890624993E-2</v>
      </c>
      <c r="HC64" s="35">
        <f t="shared" si="455"/>
        <v>4.4857308898925773E-2</v>
      </c>
      <c r="HD64" s="35">
        <f t="shared" si="456"/>
        <v>9.5306288072638523E-6</v>
      </c>
      <c r="HE64" s="35">
        <f t="shared" si="457"/>
        <v>4.4857308898925773E-2</v>
      </c>
      <c r="HF64" s="35">
        <f t="shared" si="458"/>
        <v>4.4918337890624993E-2</v>
      </c>
      <c r="HG64" s="35">
        <f t="shared" si="459"/>
        <v>4.4887823394775386E-2</v>
      </c>
      <c r="HH64" s="35">
        <f t="shared" si="460"/>
        <v>-5.5643565831653419E-6</v>
      </c>
      <c r="HI64" s="35">
        <f t="shared" si="461"/>
        <v>4.4857308898925773E-2</v>
      </c>
      <c r="HJ64" s="35">
        <f t="shared" si="462"/>
        <v>4.4887823394775386E-2</v>
      </c>
      <c r="HK64" s="35">
        <f t="shared" si="463"/>
        <v>4.4872566146850576E-2</v>
      </c>
      <c r="HL64" s="35">
        <f t="shared" si="464"/>
        <v>1.9831486870458548E-6</v>
      </c>
      <c r="HM64" s="35">
        <f t="shared" si="465"/>
        <v>4.4872566146850576E-2</v>
      </c>
      <c r="HN64" s="35">
        <f t="shared" si="466"/>
        <v>4.4887823394775386E-2</v>
      </c>
      <c r="HO64" s="35">
        <f t="shared" si="467"/>
        <v>4.4880194770812981E-2</v>
      </c>
      <c r="HP64" s="35">
        <f t="shared" si="468"/>
        <v>-1.7906008045187605E-6</v>
      </c>
      <c r="HQ64" s="35">
        <f t="shared" si="469"/>
        <v>4.4872566146850576E-2</v>
      </c>
      <c r="HR64" s="35">
        <f t="shared" si="470"/>
        <v>4.4880194770812981E-2</v>
      </c>
      <c r="HS64" s="35">
        <f t="shared" si="471"/>
        <v>4.4876380458831779E-2</v>
      </c>
      <c r="HT64" s="35">
        <f t="shared" si="472"/>
        <v>9.6274727301448593E-8</v>
      </c>
      <c r="HU64" s="35">
        <f t="shared" si="473"/>
        <v>4.4876380458831779E-2</v>
      </c>
      <c r="HV64" s="35">
        <f t="shared" si="474"/>
        <v>4.4880194770812981E-2</v>
      </c>
      <c r="HW64" s="35">
        <f t="shared" si="475"/>
        <v>4.4878287614822376E-2</v>
      </c>
      <c r="HX64" s="35">
        <f t="shared" si="476"/>
        <v>-8.4716284221020288E-7</v>
      </c>
      <c r="HY64" s="35">
        <f t="shared" si="477"/>
        <v>4.4876380458831779E-2</v>
      </c>
      <c r="HZ64" s="35">
        <f t="shared" si="478"/>
        <v>4.4878287614822376E-2</v>
      </c>
      <c r="IA64" s="35">
        <f t="shared" si="479"/>
        <v>4.4877334036827074E-2</v>
      </c>
      <c r="IB64" s="35">
        <f t="shared" si="480"/>
        <v>-3.75444008215986E-7</v>
      </c>
      <c r="IC64" s="35">
        <f t="shared" si="481"/>
        <v>4.4876380458831779E-2</v>
      </c>
      <c r="ID64" s="35">
        <f t="shared" si="482"/>
        <v>4.4877334036827074E-2</v>
      </c>
      <c r="IE64" s="35">
        <f t="shared" si="483"/>
        <v>4.487685724782943E-2</v>
      </c>
      <c r="IF64" s="35">
        <f t="shared" si="484"/>
        <v>-1.3958462830032659E-7</v>
      </c>
      <c r="IG64" s="35">
        <f t="shared" si="485"/>
        <v>4.4876380458831779E-2</v>
      </c>
      <c r="IH64" s="35">
        <f t="shared" si="486"/>
        <v>4.487685724782943E-2</v>
      </c>
      <c r="II64" s="35">
        <f t="shared" si="487"/>
        <v>4.4876618853330608E-2</v>
      </c>
      <c r="IJ64" s="35">
        <f t="shared" si="488"/>
        <v>-2.1654947612859132E-8</v>
      </c>
      <c r="IK64" s="35">
        <f t="shared" si="489"/>
        <v>4.4876380458831779E-2</v>
      </c>
      <c r="IL64" s="35">
        <f t="shared" si="490"/>
        <v>4.4876618853330608E-2</v>
      </c>
      <c r="IM64" s="35">
        <f t="shared" si="491"/>
        <v>4.487649965608119E-2</v>
      </c>
      <c r="IN64" s="35">
        <f t="shared" si="492"/>
        <v>3.7309890510428545E-8</v>
      </c>
      <c r="IO64" s="35">
        <f t="shared" si="493"/>
        <v>4.487649965608119E-2</v>
      </c>
      <c r="IP64" s="35">
        <f t="shared" si="494"/>
        <v>4.4876618853330608E-2</v>
      </c>
      <c r="IQ64" s="35">
        <f t="shared" si="495"/>
        <v>4.4876559254705899E-2</v>
      </c>
      <c r="IR64" s="35">
        <f t="shared" si="496"/>
        <v>7.8274717818516137E-9</v>
      </c>
      <c r="IS64" s="35">
        <f t="shared" si="497"/>
        <v>4.4876559254705899E-2</v>
      </c>
      <c r="IT64" s="35">
        <f t="shared" si="498"/>
        <v>4.4876618853330608E-2</v>
      </c>
      <c r="IU64" s="35">
        <f t="shared" si="499"/>
        <v>4.4876589054018257E-2</v>
      </c>
      <c r="IV64" s="35">
        <f t="shared" si="500"/>
        <v>-6.9137378044814568E-9</v>
      </c>
      <c r="IW64" s="35">
        <f t="shared" si="501"/>
        <v>4.4876559254705899E-2</v>
      </c>
      <c r="IX64" s="35">
        <f t="shared" si="502"/>
        <v>4.4876589054018257E-2</v>
      </c>
      <c r="IY64" s="35">
        <f t="shared" si="503"/>
        <v>4.4876574154362081E-2</v>
      </c>
      <c r="IZ64" s="35">
        <f t="shared" si="504"/>
        <v>4.5686698868507847E-10</v>
      </c>
      <c r="JA64" s="35">
        <f t="shared" si="505"/>
        <v>4.4876574154362081E-2</v>
      </c>
      <c r="JB64" s="35">
        <f t="shared" si="506"/>
        <v>4.4876589054018257E-2</v>
      </c>
      <c r="JC64" s="35">
        <f t="shared" si="507"/>
        <v>4.4876581604190169E-2</v>
      </c>
      <c r="JD64" s="35">
        <f t="shared" si="508"/>
        <v>-3.2284354078981892E-9</v>
      </c>
      <c r="JE64" s="35">
        <f t="shared" si="509"/>
        <v>4.4876574154362081E-2</v>
      </c>
      <c r="JF64" s="35">
        <f t="shared" si="510"/>
        <v>4.4876581604190169E-2</v>
      </c>
      <c r="JG64" s="35">
        <f t="shared" si="511"/>
        <v>4.4876577879276125E-2</v>
      </c>
      <c r="JH64" s="35">
        <f t="shared" si="512"/>
        <v>-1.3857842651177066E-9</v>
      </c>
      <c r="JI64" s="35">
        <f t="shared" si="513"/>
        <v>4.4876574154362081E-2</v>
      </c>
      <c r="JJ64" s="35">
        <f t="shared" si="514"/>
        <v>4.4876577879276125E-2</v>
      </c>
      <c r="JK64" s="35">
        <f t="shared" si="515"/>
        <v>4.4876576016819103E-2</v>
      </c>
      <c r="JL64" s="35">
        <f t="shared" si="516"/>
        <v>-4.6445869372746529E-10</v>
      </c>
      <c r="JM64" s="35">
        <f t="shared" si="517"/>
        <v>4.4876574154362081E-2</v>
      </c>
      <c r="JN64" s="35">
        <f t="shared" si="518"/>
        <v>4.4876576016819103E-2</v>
      </c>
      <c r="JO64" s="35">
        <f t="shared" si="519"/>
        <v>4.4876575085590592E-2</v>
      </c>
      <c r="JP64" s="35">
        <f t="shared" si="520"/>
        <v>-3.7958525211934102E-12</v>
      </c>
      <c r="JQ64" s="35">
        <f t="shared" si="521"/>
        <v>4.4876574154362081E-2</v>
      </c>
      <c r="JR64" s="35">
        <f t="shared" si="522"/>
        <v>4.4876575085590592E-2</v>
      </c>
      <c r="JS64" s="35">
        <f t="shared" si="523"/>
        <v>4.4876574619976337E-2</v>
      </c>
      <c r="JT64" s="35">
        <f t="shared" si="524"/>
        <v>2.2653545705964007E-10</v>
      </c>
      <c r="JU64" s="35">
        <f t="shared" si="525"/>
        <v>4.4876574619976337E-2</v>
      </c>
      <c r="JV64" s="35">
        <f t="shared" si="526"/>
        <v>4.4876575085590592E-2</v>
      </c>
      <c r="JW64" s="35">
        <f t="shared" si="527"/>
        <v>4.4876574852783464E-2</v>
      </c>
      <c r="JX64" s="35">
        <f t="shared" si="528"/>
        <v>1.113695802246184E-10</v>
      </c>
      <c r="JY64" s="35">
        <f t="shared" si="529"/>
        <v>4.4876574852783464E-2</v>
      </c>
      <c r="JZ64" s="35">
        <f t="shared" si="530"/>
        <v>4.4876575085590592E-2</v>
      </c>
      <c r="KA64" s="35">
        <f t="shared" si="531"/>
        <v>1.0733940464677287</v>
      </c>
      <c r="KB64" s="35">
        <f t="shared" si="532"/>
        <v>4.4876574969187025E-2</v>
      </c>
    </row>
    <row r="65" spans="1:288" ht="15" customHeight="1" x14ac:dyDescent="0.3">
      <c r="A65" s="30">
        <f>Odds_Input!A65</f>
        <v>57</v>
      </c>
      <c r="B65" s="7" t="str">
        <f>Odds_Input!B65</f>
        <v>CONF_WEST</v>
      </c>
      <c r="C65" s="7" t="str">
        <f>Odds_Input!C65</f>
        <v>Sacramento Kings</v>
      </c>
      <c r="D65" s="7" t="str">
        <f>Odds_Input!D65</f>
        <v>YES</v>
      </c>
      <c r="E65" s="31" t="str">
        <f>Odds_Input!E65</f>
        <v>-</v>
      </c>
      <c r="F65" s="32">
        <f>Odds_Input!F65</f>
        <v>25000</v>
      </c>
      <c r="G65" s="6" t="str">
        <f t="shared" si="0"/>
        <v>CONF_WEST</v>
      </c>
      <c r="H65" s="14">
        <f t="shared" si="1"/>
        <v>251</v>
      </c>
      <c r="I65" s="33">
        <f t="shared" si="2"/>
        <v>3.9840637450199202E-3</v>
      </c>
      <c r="J65" s="17">
        <f t="shared" si="3"/>
        <v>1</v>
      </c>
      <c r="K65" s="17">
        <f t="shared" si="4"/>
        <v>15</v>
      </c>
      <c r="L65" s="18">
        <f t="shared" si="5"/>
        <v>1.1953442022676133</v>
      </c>
      <c r="M65" s="34">
        <f t="shared" si="6"/>
        <v>0.19534420226761329</v>
      </c>
      <c r="N65" s="33">
        <f t="shared" si="7"/>
        <v>3.3329845390658191E-3</v>
      </c>
      <c r="O65" s="33">
        <f t="shared" si="8"/>
        <v>2.042335421003644E-3</v>
      </c>
      <c r="P65" s="33">
        <f t="shared" si="9"/>
        <v>6.466066542709319E-4</v>
      </c>
      <c r="Q65" s="33">
        <f t="shared" si="10"/>
        <v>6.466066542709319E-4</v>
      </c>
      <c r="R65" s="35">
        <f t="shared" si="11"/>
        <v>1.120932777808048</v>
      </c>
      <c r="S65" s="35">
        <f t="shared" si="12"/>
        <v>1.9902430363003976E-2</v>
      </c>
      <c r="X65" s="6" t="s">
        <v>840</v>
      </c>
      <c r="Y65" s="6">
        <f t="shared" si="273"/>
        <v>1</v>
      </c>
      <c r="Z65" s="18">
        <f t="shared" si="274"/>
        <v>1.0666666666666667</v>
      </c>
      <c r="AA65" s="10">
        <v>0.2</v>
      </c>
      <c r="AB65" s="10">
        <v>10</v>
      </c>
      <c r="AC65" s="35">
        <f t="shared" si="275"/>
        <v>5.0999999999999996</v>
      </c>
      <c r="AD65" s="35">
        <f t="shared" si="276"/>
        <v>-0.41559126823183368</v>
      </c>
      <c r="AE65" s="35">
        <f t="shared" si="277"/>
        <v>0.2</v>
      </c>
      <c r="AF65" s="35">
        <f t="shared" si="278"/>
        <v>5.0999999999999996</v>
      </c>
      <c r="AG65" s="35">
        <f t="shared" si="279"/>
        <v>2.65</v>
      </c>
      <c r="AH65" s="35">
        <f t="shared" si="280"/>
        <v>-0.23494784228147902</v>
      </c>
      <c r="AI65" s="35">
        <f t="shared" si="281"/>
        <v>0.2</v>
      </c>
      <c r="AJ65" s="35">
        <f t="shared" si="282"/>
        <v>2.65</v>
      </c>
      <c r="AK65" s="35">
        <f t="shared" si="283"/>
        <v>1.425</v>
      </c>
      <c r="AL65" s="35">
        <f t="shared" si="284"/>
        <v>-6.1583676701729484E-2</v>
      </c>
      <c r="AM65" s="35">
        <f t="shared" si="285"/>
        <v>0.2</v>
      </c>
      <c r="AN65" s="35">
        <f t="shared" si="286"/>
        <v>1.425</v>
      </c>
      <c r="AO65" s="35">
        <f t="shared" si="287"/>
        <v>0.8125</v>
      </c>
      <c r="AP65" s="35">
        <f t="shared" si="288"/>
        <v>0.15116902072265481</v>
      </c>
      <c r="AQ65" s="35">
        <f t="shared" si="289"/>
        <v>0.8125</v>
      </c>
      <c r="AR65" s="35">
        <f t="shared" si="290"/>
        <v>1.425</v>
      </c>
      <c r="AS65" s="35">
        <f t="shared" si="291"/>
        <v>1.1187499999999999</v>
      </c>
      <c r="AT65" s="35">
        <f t="shared" si="292"/>
        <v>2.3533223471048359E-2</v>
      </c>
      <c r="AU65" s="35">
        <f t="shared" si="293"/>
        <v>1.1187499999999999</v>
      </c>
      <c r="AV65" s="35">
        <f t="shared" si="294"/>
        <v>1.425</v>
      </c>
      <c r="AW65" s="35">
        <f t="shared" si="295"/>
        <v>1.2718750000000001</v>
      </c>
      <c r="AX65" s="35">
        <f t="shared" si="296"/>
        <v>-2.3017275330567299E-2</v>
      </c>
      <c r="AY65" s="35">
        <f t="shared" si="297"/>
        <v>1.1187499999999999</v>
      </c>
      <c r="AZ65" s="35">
        <f t="shared" si="298"/>
        <v>1.2718750000000001</v>
      </c>
      <c r="BA65" s="35">
        <f t="shared" si="299"/>
        <v>1.1953125</v>
      </c>
      <c r="BB65" s="35">
        <f t="shared" si="300"/>
        <v>-8.7761241280792657E-4</v>
      </c>
      <c r="BC65" s="35">
        <f t="shared" si="301"/>
        <v>1.1187499999999999</v>
      </c>
      <c r="BD65" s="35">
        <f t="shared" si="302"/>
        <v>1.1953125</v>
      </c>
      <c r="BE65" s="35">
        <f t="shared" si="303"/>
        <v>1.15703125</v>
      </c>
      <c r="BF65" s="35">
        <f t="shared" si="304"/>
        <v>1.1024581370609798E-2</v>
      </c>
      <c r="BG65" s="35">
        <f t="shared" si="305"/>
        <v>1.15703125</v>
      </c>
      <c r="BH65" s="35">
        <f t="shared" si="306"/>
        <v>1.1953125</v>
      </c>
      <c r="BI65" s="35">
        <f t="shared" si="307"/>
        <v>1.1761718750000001</v>
      </c>
      <c r="BJ65" s="35">
        <f t="shared" si="308"/>
        <v>5.0001981253300354E-3</v>
      </c>
      <c r="BK65" s="35">
        <f t="shared" si="309"/>
        <v>1.1761718750000001</v>
      </c>
      <c r="BL65" s="35">
        <f t="shared" si="310"/>
        <v>1.1953125</v>
      </c>
      <c r="BM65" s="35">
        <f t="shared" si="311"/>
        <v>1.1857421875</v>
      </c>
      <c r="BN65" s="35">
        <f t="shared" si="312"/>
        <v>2.0432768710902938E-3</v>
      </c>
      <c r="BO65" s="35">
        <f t="shared" si="313"/>
        <v>1.1857421875</v>
      </c>
      <c r="BP65" s="35">
        <f t="shared" si="314"/>
        <v>1.1953125</v>
      </c>
      <c r="BQ65" s="35">
        <f t="shared" si="315"/>
        <v>1.1905273437499999</v>
      </c>
      <c r="BR65" s="35">
        <f t="shared" si="316"/>
        <v>5.7836586333959161E-4</v>
      </c>
      <c r="BS65" s="35">
        <f t="shared" si="317"/>
        <v>1.1905273437499999</v>
      </c>
      <c r="BT65" s="35">
        <f t="shared" si="318"/>
        <v>1.1953125</v>
      </c>
      <c r="BU65" s="35">
        <f t="shared" si="319"/>
        <v>1.192919921875</v>
      </c>
      <c r="BV65" s="35">
        <f t="shared" si="320"/>
        <v>-1.5073519753638909E-4</v>
      </c>
      <c r="BW65" s="35">
        <f t="shared" si="321"/>
        <v>1.1905273437499999</v>
      </c>
      <c r="BX65" s="35">
        <f t="shared" si="322"/>
        <v>1.192919921875</v>
      </c>
      <c r="BY65" s="35">
        <f t="shared" si="323"/>
        <v>1.1917236328124998</v>
      </c>
      <c r="BZ65" s="35">
        <f t="shared" si="324"/>
        <v>2.1353677018098871E-4</v>
      </c>
      <c r="CA65" s="35">
        <f t="shared" si="325"/>
        <v>1.1917236328124998</v>
      </c>
      <c r="CB65" s="35">
        <f t="shared" si="326"/>
        <v>1.192919921875</v>
      </c>
      <c r="CC65" s="35">
        <f t="shared" si="327"/>
        <v>1.19232177734375</v>
      </c>
      <c r="CD65" s="35">
        <f t="shared" si="328"/>
        <v>3.1331218492081092E-5</v>
      </c>
      <c r="CE65" s="35">
        <f t="shared" si="329"/>
        <v>1.19232177734375</v>
      </c>
      <c r="CF65" s="35">
        <f t="shared" si="330"/>
        <v>1.192919921875</v>
      </c>
      <c r="CG65" s="35">
        <f t="shared" si="331"/>
        <v>1.1926208496093751</v>
      </c>
      <c r="CH65" s="35">
        <f t="shared" si="332"/>
        <v>-5.9719372382027736E-5</v>
      </c>
      <c r="CI65" s="35">
        <f t="shared" si="333"/>
        <v>1.19232177734375</v>
      </c>
      <c r="CJ65" s="35">
        <f t="shared" si="334"/>
        <v>1.1926208496093751</v>
      </c>
      <c r="CK65" s="35">
        <f t="shared" si="335"/>
        <v>1.1924713134765625</v>
      </c>
      <c r="CL65" s="35">
        <f t="shared" si="336"/>
        <v>-1.4198423796907278E-5</v>
      </c>
      <c r="CM65" s="35">
        <f t="shared" si="337"/>
        <v>1.19232177734375</v>
      </c>
      <c r="CN65" s="35">
        <f t="shared" si="338"/>
        <v>1.1924713134765625</v>
      </c>
      <c r="CO65" s="35">
        <f t="shared" si="339"/>
        <v>1.1923965454101562</v>
      </c>
      <c r="CP65" s="35">
        <f t="shared" si="340"/>
        <v>8.5653104924254819E-6</v>
      </c>
      <c r="CQ65" s="35">
        <f t="shared" si="341"/>
        <v>1.1923965454101562</v>
      </c>
      <c r="CR65" s="35">
        <f t="shared" si="342"/>
        <v>1.1924713134765625</v>
      </c>
      <c r="CS65" s="35">
        <f t="shared" si="343"/>
        <v>1.1924339294433595</v>
      </c>
      <c r="CT65" s="35">
        <f t="shared" si="344"/>
        <v>-2.816828348128908E-6</v>
      </c>
      <c r="CU65" s="35">
        <f t="shared" si="345"/>
        <v>1.1923965454101562</v>
      </c>
      <c r="CV65" s="35">
        <f t="shared" si="346"/>
        <v>1.1924339294433595</v>
      </c>
      <c r="CW65" s="35">
        <f t="shared" si="347"/>
        <v>1.1924152374267578</v>
      </c>
      <c r="CX65" s="35">
        <f t="shared" si="348"/>
        <v>2.8741731459280828E-6</v>
      </c>
      <c r="CY65" s="35">
        <f t="shared" si="349"/>
        <v>1.1924152374267578</v>
      </c>
      <c r="CZ65" s="35">
        <f t="shared" si="350"/>
        <v>1.1924339294433595</v>
      </c>
      <c r="DA65" s="35">
        <f t="shared" si="351"/>
        <v>1.1924245834350586</v>
      </c>
      <c r="DB65" s="35">
        <f t="shared" si="352"/>
        <v>2.8655417594336541E-8</v>
      </c>
      <c r="DC65" s="35">
        <f t="shared" si="353"/>
        <v>1.1924245834350586</v>
      </c>
      <c r="DD65" s="35">
        <f t="shared" si="354"/>
        <v>1.1924339294433595</v>
      </c>
      <c r="DE65" s="35">
        <f t="shared" si="355"/>
        <v>1.1924292564392092</v>
      </c>
      <c r="DF65" s="35">
        <f t="shared" si="356"/>
        <v>-1.3940907105380873E-6</v>
      </c>
      <c r="DG65" s="35">
        <f t="shared" si="357"/>
        <v>1.1924245834350586</v>
      </c>
      <c r="DH65" s="35">
        <f t="shared" si="358"/>
        <v>1.1924292564392092</v>
      </c>
      <c r="DI65" s="35">
        <f t="shared" si="359"/>
        <v>1.1924269199371338</v>
      </c>
      <c r="DJ65" s="35">
        <f t="shared" si="360"/>
        <v>-6.8271870778957577E-7</v>
      </c>
      <c r="DK65" s="35">
        <f t="shared" si="361"/>
        <v>1.1924245834350586</v>
      </c>
      <c r="DL65" s="35">
        <f t="shared" si="362"/>
        <v>1.1924269199371338</v>
      </c>
      <c r="DM65" s="35">
        <f t="shared" si="363"/>
        <v>1.1924257516860961</v>
      </c>
      <c r="DN65" s="35">
        <f t="shared" si="364"/>
        <v>-3.270319104409225E-7</v>
      </c>
      <c r="DO65" s="35">
        <f t="shared" si="365"/>
        <v>1.1924245834350586</v>
      </c>
      <c r="DP65" s="35">
        <f t="shared" si="366"/>
        <v>1.1924257516860961</v>
      </c>
      <c r="DQ65" s="35">
        <f t="shared" si="367"/>
        <v>1.1924251675605775</v>
      </c>
      <c r="DR65" s="35">
        <f t="shared" si="368"/>
        <v>-1.4918831270360755E-7</v>
      </c>
      <c r="DS65" s="35">
        <f t="shared" si="369"/>
        <v>1.1924245834350586</v>
      </c>
      <c r="DT65" s="35">
        <f t="shared" si="370"/>
        <v>1.1924251675605775</v>
      </c>
      <c r="DU65" s="35">
        <f t="shared" si="371"/>
        <v>1.1924248754978182</v>
      </c>
      <c r="DV65" s="35">
        <f t="shared" si="372"/>
        <v>-6.0266464152469723E-8</v>
      </c>
      <c r="DW65" s="35">
        <f t="shared" si="373"/>
        <v>1.1924245834350586</v>
      </c>
      <c r="DX65" s="35">
        <f t="shared" si="374"/>
        <v>1.1924248754978182</v>
      </c>
      <c r="DY65" s="35">
        <f t="shared" si="375"/>
        <v>1.1924247294664383</v>
      </c>
      <c r="DZ65" s="35">
        <f t="shared" si="376"/>
        <v>-1.5805527331380631E-8</v>
      </c>
      <c r="EA65" s="35">
        <f t="shared" si="377"/>
        <v>1.1924245834350586</v>
      </c>
      <c r="EB65" s="35">
        <f t="shared" si="378"/>
        <v>1.1924247294664383</v>
      </c>
      <c r="EC65" s="35">
        <f t="shared" si="379"/>
        <v>1.1924246564507484</v>
      </c>
      <c r="ED65" s="35">
        <f t="shared" si="380"/>
        <v>6.4249441322772327E-9</v>
      </c>
      <c r="EE65" s="35">
        <f t="shared" si="381"/>
        <v>1.1924246564507484</v>
      </c>
      <c r="EF65" s="35">
        <f t="shared" si="382"/>
        <v>1.1924247294664383</v>
      </c>
      <c r="EG65" s="35">
        <f t="shared" si="383"/>
        <v>1.1924246929585933</v>
      </c>
      <c r="EH65" s="35">
        <f t="shared" si="384"/>
        <v>-4.6902919326186066E-9</v>
      </c>
      <c r="EI65" s="35">
        <f t="shared" si="385"/>
        <v>1.1924246564507484</v>
      </c>
      <c r="EJ65" s="35">
        <f t="shared" si="386"/>
        <v>1.1924246929585933</v>
      </c>
      <c r="EK65" s="35">
        <f t="shared" si="387"/>
        <v>1.1924246747046707</v>
      </c>
      <c r="EL65" s="35">
        <f t="shared" si="388"/>
        <v>8.6732598880701062E-10</v>
      </c>
      <c r="EM65" s="35">
        <f t="shared" si="389"/>
        <v>1.1924246747046707</v>
      </c>
      <c r="EN65" s="35">
        <f t="shared" si="390"/>
        <v>1.1924246929585933</v>
      </c>
      <c r="EO65" s="35">
        <f t="shared" si="391"/>
        <v>1.1924246838316321</v>
      </c>
      <c r="EP65" s="35">
        <f t="shared" si="392"/>
        <v>-1.911482971905798E-9</v>
      </c>
      <c r="EQ65" s="35">
        <f t="shared" si="393"/>
        <v>1.1924246747046707</v>
      </c>
      <c r="ER65" s="35">
        <f t="shared" si="394"/>
        <v>1.1924246838316321</v>
      </c>
      <c r="ES65" s="35">
        <f t="shared" si="395"/>
        <v>1.1924246792681514</v>
      </c>
      <c r="ET65" s="35">
        <f t="shared" si="396"/>
        <v>-5.2207849154939368E-10</v>
      </c>
      <c r="EU65" s="35">
        <f t="shared" si="397"/>
        <v>1.1924246747046707</v>
      </c>
      <c r="EV65" s="35">
        <f t="shared" si="398"/>
        <v>1.1924246792681514</v>
      </c>
      <c r="EW65" s="35">
        <f t="shared" si="399"/>
        <v>1.1924246769864111</v>
      </c>
      <c r="EX65" s="35">
        <f t="shared" si="400"/>
        <v>1.7262391516226216E-10</v>
      </c>
      <c r="EY65" s="35">
        <f t="shared" si="401"/>
        <v>1.1924246769864111</v>
      </c>
      <c r="EZ65" s="35">
        <f t="shared" si="402"/>
        <v>1.1924246792681514</v>
      </c>
      <c r="FA65" s="10">
        <v>9.9999999999999995E-7</v>
      </c>
      <c r="FB65" s="10">
        <v>0.99990000000000001</v>
      </c>
      <c r="FC65" s="35">
        <f t="shared" si="403"/>
        <v>0.49995050000000002</v>
      </c>
      <c r="FD65" s="35">
        <f t="shared" si="404"/>
        <v>-0.12042581009471465</v>
      </c>
      <c r="FE65" s="35">
        <f t="shared" si="405"/>
        <v>9.9999999999999995E-7</v>
      </c>
      <c r="FF65" s="35">
        <f t="shared" si="406"/>
        <v>0.49995050000000002</v>
      </c>
      <c r="FG65" s="35">
        <f t="shared" si="407"/>
        <v>0.24997575</v>
      </c>
      <c r="FH65" s="35">
        <f t="shared" si="408"/>
        <v>-6.3386323476752215E-2</v>
      </c>
      <c r="FI65" s="35">
        <f t="shared" si="409"/>
        <v>9.9999999999999995E-7</v>
      </c>
      <c r="FJ65" s="35">
        <f t="shared" si="410"/>
        <v>0.24997575</v>
      </c>
      <c r="FK65" s="35">
        <f t="shared" si="411"/>
        <v>0.124988375</v>
      </c>
      <c r="FL65" s="35">
        <f t="shared" si="412"/>
        <v>-2.181093066785722E-2</v>
      </c>
      <c r="FM65" s="35">
        <f t="shared" si="413"/>
        <v>9.9999999999999995E-7</v>
      </c>
      <c r="FN65" s="35">
        <f t="shared" si="414"/>
        <v>0.124988375</v>
      </c>
      <c r="FO65" s="35">
        <f t="shared" si="415"/>
        <v>6.24946875E-2</v>
      </c>
      <c r="FP65" s="35">
        <f t="shared" si="416"/>
        <v>3.9200514473445303E-3</v>
      </c>
      <c r="FQ65" s="35">
        <f t="shared" si="417"/>
        <v>6.24946875E-2</v>
      </c>
      <c r="FR65" s="35">
        <f t="shared" si="418"/>
        <v>0.124988375</v>
      </c>
      <c r="FS65" s="35">
        <f t="shared" si="419"/>
        <v>9.3741531249999996E-2</v>
      </c>
      <c r="FT65" s="35">
        <f t="shared" si="420"/>
        <v>-9.3673390210202712E-3</v>
      </c>
      <c r="FU65" s="35">
        <f t="shared" si="421"/>
        <v>6.24946875E-2</v>
      </c>
      <c r="FV65" s="35">
        <f t="shared" si="422"/>
        <v>9.3741531249999996E-2</v>
      </c>
      <c r="FW65" s="35">
        <f t="shared" si="423"/>
        <v>7.8118109374999994E-2</v>
      </c>
      <c r="FX65" s="35">
        <f t="shared" si="424"/>
        <v>-2.8269764375844497E-3</v>
      </c>
      <c r="FY65" s="35">
        <f t="shared" si="425"/>
        <v>6.24946875E-2</v>
      </c>
      <c r="FZ65" s="35">
        <f t="shared" si="426"/>
        <v>7.8118109374999994E-2</v>
      </c>
      <c r="GA65" s="35">
        <f t="shared" si="427"/>
        <v>7.0306398437500001E-2</v>
      </c>
      <c r="GB65" s="35">
        <f t="shared" si="428"/>
        <v>5.2110414251904658E-4</v>
      </c>
      <c r="GC65" s="35">
        <f t="shared" si="429"/>
        <v>7.0306398437500001E-2</v>
      </c>
      <c r="GD65" s="35">
        <f t="shared" si="430"/>
        <v>7.8118109374999994E-2</v>
      </c>
      <c r="GE65" s="35">
        <f t="shared" si="431"/>
        <v>7.4212253906249998E-2</v>
      </c>
      <c r="GF65" s="35">
        <f t="shared" si="432"/>
        <v>-1.1593503606672773E-3</v>
      </c>
      <c r="GG65" s="35">
        <f t="shared" si="433"/>
        <v>7.0306398437500001E-2</v>
      </c>
      <c r="GH65" s="35">
        <f t="shared" si="434"/>
        <v>7.4212253906249998E-2</v>
      </c>
      <c r="GI65" s="35">
        <f t="shared" si="435"/>
        <v>7.2259326171874999E-2</v>
      </c>
      <c r="GJ65" s="35">
        <f t="shared" si="436"/>
        <v>-3.207200448283043E-4</v>
      </c>
      <c r="GK65" s="35">
        <f t="shared" si="437"/>
        <v>7.0306398437500001E-2</v>
      </c>
      <c r="GL65" s="35">
        <f t="shared" si="438"/>
        <v>7.2259326171874999E-2</v>
      </c>
      <c r="GM65" s="35">
        <f t="shared" si="439"/>
        <v>7.12828623046875E-2</v>
      </c>
      <c r="GN65" s="35">
        <f t="shared" si="440"/>
        <v>9.979367427748187E-5</v>
      </c>
      <c r="GO65" s="35">
        <f t="shared" si="441"/>
        <v>7.12828623046875E-2</v>
      </c>
      <c r="GP65" s="35">
        <f t="shared" si="442"/>
        <v>7.2259326171874999E-2</v>
      </c>
      <c r="GQ65" s="35">
        <f t="shared" si="443"/>
        <v>7.1771094238281249E-2</v>
      </c>
      <c r="GR65" s="35">
        <f t="shared" si="444"/>
        <v>-1.1056288777233636E-4</v>
      </c>
      <c r="GS65" s="35">
        <f t="shared" si="445"/>
        <v>7.12828623046875E-2</v>
      </c>
      <c r="GT65" s="35">
        <f t="shared" si="446"/>
        <v>7.1771094238281249E-2</v>
      </c>
      <c r="GU65" s="35">
        <f t="shared" si="447"/>
        <v>7.1526978271484382E-2</v>
      </c>
      <c r="GV65" s="35">
        <f t="shared" si="448"/>
        <v>-5.4095188543046291E-6</v>
      </c>
      <c r="GW65" s="35">
        <f t="shared" si="449"/>
        <v>7.12828623046875E-2</v>
      </c>
      <c r="GX65" s="35">
        <f t="shared" si="450"/>
        <v>7.1526978271484382E-2</v>
      </c>
      <c r="GY65" s="35">
        <f t="shared" si="451"/>
        <v>7.1404920288085941E-2</v>
      </c>
      <c r="GZ65" s="35">
        <f t="shared" si="452"/>
        <v>4.7185851382414157E-5</v>
      </c>
      <c r="HA65" s="35">
        <f t="shared" si="453"/>
        <v>7.1404920288085941E-2</v>
      </c>
      <c r="HB65" s="35">
        <f t="shared" si="454"/>
        <v>7.1526978271484382E-2</v>
      </c>
      <c r="HC65" s="35">
        <f t="shared" si="455"/>
        <v>7.1465949279785168E-2</v>
      </c>
      <c r="HD65" s="35">
        <f t="shared" si="456"/>
        <v>2.088660946908405E-5</v>
      </c>
      <c r="HE65" s="35">
        <f t="shared" si="457"/>
        <v>7.1465949279785168E-2</v>
      </c>
      <c r="HF65" s="35">
        <f t="shared" si="458"/>
        <v>7.1526978271484382E-2</v>
      </c>
      <c r="HG65" s="35">
        <f t="shared" si="459"/>
        <v>7.1496463775634775E-2</v>
      </c>
      <c r="HH65" s="35">
        <f t="shared" si="460"/>
        <v>7.7381560821265793E-6</v>
      </c>
      <c r="HI65" s="35">
        <f t="shared" si="461"/>
        <v>7.1496463775634775E-2</v>
      </c>
      <c r="HJ65" s="35">
        <f t="shared" si="462"/>
        <v>7.1526978271484382E-2</v>
      </c>
      <c r="HK65" s="35">
        <f t="shared" si="463"/>
        <v>7.1511721023559571E-2</v>
      </c>
      <c r="HL65" s="35">
        <f t="shared" si="464"/>
        <v>1.1642213042506455E-6</v>
      </c>
      <c r="HM65" s="35">
        <f t="shared" si="465"/>
        <v>7.1511721023559571E-2</v>
      </c>
      <c r="HN65" s="35">
        <f t="shared" si="466"/>
        <v>7.1526978271484382E-2</v>
      </c>
      <c r="HO65" s="35">
        <f t="shared" si="467"/>
        <v>7.1519349647521976E-2</v>
      </c>
      <c r="HP65" s="35">
        <f t="shared" si="468"/>
        <v>-2.1226731029555523E-6</v>
      </c>
      <c r="HQ65" s="35">
        <f t="shared" si="469"/>
        <v>7.1511721023559571E-2</v>
      </c>
      <c r="HR65" s="35">
        <f t="shared" si="470"/>
        <v>7.1519349647521976E-2</v>
      </c>
      <c r="HS65" s="35">
        <f t="shared" si="471"/>
        <v>7.1515535335540781E-2</v>
      </c>
      <c r="HT65" s="35">
        <f t="shared" si="472"/>
        <v>-4.7923198143173806E-7</v>
      </c>
      <c r="HU65" s="35">
        <f t="shared" si="473"/>
        <v>7.1511721023559571E-2</v>
      </c>
      <c r="HV65" s="35">
        <f t="shared" si="474"/>
        <v>7.1515535335540781E-2</v>
      </c>
      <c r="HW65" s="35">
        <f t="shared" si="475"/>
        <v>7.1513628179550176E-2</v>
      </c>
      <c r="HX65" s="35">
        <f t="shared" si="476"/>
        <v>3.4249314118106611E-7</v>
      </c>
      <c r="HY65" s="35">
        <f t="shared" si="477"/>
        <v>7.1513628179550176E-2</v>
      </c>
      <c r="HZ65" s="35">
        <f t="shared" si="478"/>
        <v>7.1515535335540781E-2</v>
      </c>
      <c r="IA65" s="35">
        <f t="shared" si="479"/>
        <v>7.1514581757545478E-2</v>
      </c>
      <c r="IB65" s="35">
        <f t="shared" si="480"/>
        <v>-6.8369800154677307E-8</v>
      </c>
      <c r="IC65" s="35">
        <f t="shared" si="481"/>
        <v>7.1513628179550176E-2</v>
      </c>
      <c r="ID65" s="35">
        <f t="shared" si="482"/>
        <v>7.1514581757545478E-2</v>
      </c>
      <c r="IE65" s="35">
        <f t="shared" si="483"/>
        <v>7.151410496854782E-2</v>
      </c>
      <c r="IF65" s="35">
        <f t="shared" si="484"/>
        <v>1.3706157520054774E-7</v>
      </c>
      <c r="IG65" s="35">
        <f t="shared" si="485"/>
        <v>7.151410496854782E-2</v>
      </c>
      <c r="IH65" s="35">
        <f t="shared" si="486"/>
        <v>7.1514581757545478E-2</v>
      </c>
      <c r="II65" s="35">
        <f t="shared" si="487"/>
        <v>7.1514343363046656E-2</v>
      </c>
      <c r="IJ65" s="35">
        <f t="shared" si="488"/>
        <v>3.4345863930695941E-8</v>
      </c>
      <c r="IK65" s="35">
        <f t="shared" si="489"/>
        <v>7.1514343363046656E-2</v>
      </c>
      <c r="IL65" s="35">
        <f t="shared" si="490"/>
        <v>7.1514581757545478E-2</v>
      </c>
      <c r="IM65" s="35">
        <f t="shared" si="491"/>
        <v>7.151446256029606E-2</v>
      </c>
      <c r="IN65" s="35">
        <f t="shared" si="492"/>
        <v>-1.7011974051683865E-8</v>
      </c>
      <c r="IO65" s="35">
        <f t="shared" si="493"/>
        <v>7.1514343363046656E-2</v>
      </c>
      <c r="IP65" s="35">
        <f t="shared" si="494"/>
        <v>7.151446256029606E-2</v>
      </c>
      <c r="IQ65" s="35">
        <f t="shared" si="495"/>
        <v>7.1514402961671358E-2</v>
      </c>
      <c r="IR65" s="35">
        <f t="shared" si="496"/>
        <v>8.6669433851938038E-9</v>
      </c>
      <c r="IS65" s="35">
        <f t="shared" si="497"/>
        <v>7.1514402961671358E-2</v>
      </c>
      <c r="IT65" s="35">
        <f t="shared" si="498"/>
        <v>7.151446256029606E-2</v>
      </c>
      <c r="IU65" s="35">
        <f t="shared" si="499"/>
        <v>7.1514432760983709E-2</v>
      </c>
      <c r="IV65" s="35">
        <f t="shared" si="500"/>
        <v>-4.1725156663119378E-9</v>
      </c>
      <c r="IW65" s="35">
        <f t="shared" si="501"/>
        <v>7.1514402961671358E-2</v>
      </c>
      <c r="IX65" s="35">
        <f t="shared" si="502"/>
        <v>7.1514432760983709E-2</v>
      </c>
      <c r="IY65" s="35">
        <f t="shared" si="503"/>
        <v>7.1514417861327534E-2</v>
      </c>
      <c r="IZ65" s="35">
        <f t="shared" si="504"/>
        <v>2.2472137484186305E-9</v>
      </c>
      <c r="JA65" s="35">
        <f t="shared" si="505"/>
        <v>7.1514417861327534E-2</v>
      </c>
      <c r="JB65" s="35">
        <f t="shared" si="506"/>
        <v>7.1514432760983709E-2</v>
      </c>
      <c r="JC65" s="35">
        <f t="shared" si="507"/>
        <v>7.1514425311155622E-2</v>
      </c>
      <c r="JD65" s="35">
        <f t="shared" si="508"/>
        <v>-9.6265106996895611E-10</v>
      </c>
      <c r="JE65" s="35">
        <f t="shared" si="509"/>
        <v>7.1514417861327534E-2</v>
      </c>
      <c r="JF65" s="35">
        <f t="shared" si="510"/>
        <v>7.1514425311155622E-2</v>
      </c>
      <c r="JG65" s="35">
        <f t="shared" si="511"/>
        <v>7.1514421586241578E-2</v>
      </c>
      <c r="JH65" s="35">
        <f t="shared" si="512"/>
        <v>6.4228133922483721E-10</v>
      </c>
      <c r="JI65" s="35">
        <f t="shared" si="513"/>
        <v>7.1514421586241578E-2</v>
      </c>
      <c r="JJ65" s="35">
        <f t="shared" si="514"/>
        <v>7.1514425311155622E-2</v>
      </c>
      <c r="JK65" s="35">
        <f t="shared" si="515"/>
        <v>7.15144234486986E-2</v>
      </c>
      <c r="JL65" s="35">
        <f t="shared" si="516"/>
        <v>-1.6018486537205945E-10</v>
      </c>
      <c r="JM65" s="35">
        <f t="shared" si="517"/>
        <v>7.1514421586241578E-2</v>
      </c>
      <c r="JN65" s="35">
        <f t="shared" si="518"/>
        <v>7.15144234486986E-2</v>
      </c>
      <c r="JO65" s="35">
        <f t="shared" si="519"/>
        <v>7.1514422517470089E-2</v>
      </c>
      <c r="JP65" s="35">
        <f t="shared" si="520"/>
        <v>2.4104829243754011E-10</v>
      </c>
      <c r="JQ65" s="35">
        <f t="shared" si="521"/>
        <v>7.1514422517470089E-2</v>
      </c>
      <c r="JR65" s="35">
        <f t="shared" si="522"/>
        <v>7.15144234486986E-2</v>
      </c>
      <c r="JS65" s="35">
        <f t="shared" si="523"/>
        <v>7.1514422983084344E-2</v>
      </c>
      <c r="JT65" s="35">
        <f t="shared" si="524"/>
        <v>4.0431658021589101E-11</v>
      </c>
      <c r="JU65" s="35">
        <f t="shared" si="525"/>
        <v>7.1514422983084344E-2</v>
      </c>
      <c r="JV65" s="35">
        <f t="shared" si="526"/>
        <v>7.15144234486986E-2</v>
      </c>
      <c r="JW65" s="35">
        <f t="shared" si="527"/>
        <v>7.1514423215891465E-2</v>
      </c>
      <c r="JX65" s="35">
        <f t="shared" si="528"/>
        <v>-5.9876659186386405E-11</v>
      </c>
      <c r="JY65" s="35">
        <f t="shared" si="529"/>
        <v>7.1514422983084344E-2</v>
      </c>
      <c r="JZ65" s="35">
        <f t="shared" si="530"/>
        <v>7.1514423215891465E-2</v>
      </c>
      <c r="KA65" s="35">
        <f t="shared" si="531"/>
        <v>1.1924246781272814</v>
      </c>
      <c r="KB65" s="35">
        <f t="shared" si="532"/>
        <v>7.1514423099487912E-2</v>
      </c>
    </row>
    <row r="66" spans="1:288" ht="15" customHeight="1" x14ac:dyDescent="0.3">
      <c r="A66" s="30">
        <f>Odds_Input!A66</f>
        <v>58</v>
      </c>
      <c r="B66" s="7" t="str">
        <f>Odds_Input!B66</f>
        <v>CONF_WEST</v>
      </c>
      <c r="C66" s="7" t="str">
        <f>Odds_Input!C66</f>
        <v>San Antonio Spurs</v>
      </c>
      <c r="D66" s="7" t="str">
        <f>Odds_Input!D66</f>
        <v>YES</v>
      </c>
      <c r="E66" s="31" t="str">
        <f>Odds_Input!E66</f>
        <v>-</v>
      </c>
      <c r="F66" s="32">
        <f>Odds_Input!F66</f>
        <v>150</v>
      </c>
      <c r="G66" s="6" t="str">
        <f t="shared" si="0"/>
        <v>CONF_WEST</v>
      </c>
      <c r="H66" s="14">
        <f t="shared" si="1"/>
        <v>2.5</v>
      </c>
      <c r="I66" s="33">
        <f t="shared" si="2"/>
        <v>0.4</v>
      </c>
      <c r="J66" s="17">
        <f t="shared" si="3"/>
        <v>1</v>
      </c>
      <c r="K66" s="17">
        <f t="shared" si="4"/>
        <v>15</v>
      </c>
      <c r="L66" s="18">
        <f t="shared" si="5"/>
        <v>1.1953442022676133</v>
      </c>
      <c r="M66" s="34">
        <f t="shared" si="6"/>
        <v>0.19534420226761329</v>
      </c>
      <c r="N66" s="33">
        <f t="shared" si="7"/>
        <v>0.33463164772220827</v>
      </c>
      <c r="O66" s="33">
        <f t="shared" si="8"/>
        <v>0.35804367050881514</v>
      </c>
      <c r="P66" s="33">
        <f t="shared" si="9"/>
        <v>0.35954095929979141</v>
      </c>
      <c r="Q66" s="33">
        <f t="shared" si="10"/>
        <v>0.35954095929979141</v>
      </c>
      <c r="R66" s="35">
        <f t="shared" si="11"/>
        <v>1.120932777808048</v>
      </c>
      <c r="S66" s="35">
        <f t="shared" si="12"/>
        <v>1.9902430363003976E-2</v>
      </c>
      <c r="X66" s="6" t="s">
        <v>841</v>
      </c>
      <c r="Y66" s="6">
        <f t="shared" si="273"/>
        <v>1</v>
      </c>
      <c r="Z66" s="18">
        <f t="shared" si="274"/>
        <v>1.0586080586080588</v>
      </c>
      <c r="AA66" s="10">
        <v>0.2</v>
      </c>
      <c r="AB66" s="10">
        <v>10</v>
      </c>
      <c r="AC66" s="35">
        <f t="shared" si="275"/>
        <v>5.0999999999999996</v>
      </c>
      <c r="AD66" s="35">
        <f t="shared" si="276"/>
        <v>-0.39968848794340062</v>
      </c>
      <c r="AE66" s="35">
        <f t="shared" si="277"/>
        <v>0.2</v>
      </c>
      <c r="AF66" s="35">
        <f t="shared" si="278"/>
        <v>5.0999999999999996</v>
      </c>
      <c r="AG66" s="35">
        <f t="shared" si="279"/>
        <v>2.65</v>
      </c>
      <c r="AH66" s="35">
        <f t="shared" si="280"/>
        <v>-0.2259527163483106</v>
      </c>
      <c r="AI66" s="35">
        <f t="shared" si="281"/>
        <v>0.2</v>
      </c>
      <c r="AJ66" s="35">
        <f t="shared" si="282"/>
        <v>2.65</v>
      </c>
      <c r="AK66" s="35">
        <f t="shared" si="283"/>
        <v>1.425</v>
      </c>
      <c r="AL66" s="35">
        <f t="shared" si="284"/>
        <v>-6.3477370859694293E-2</v>
      </c>
      <c r="AM66" s="35">
        <f t="shared" si="285"/>
        <v>0.2</v>
      </c>
      <c r="AN66" s="35">
        <f t="shared" si="286"/>
        <v>1.425</v>
      </c>
      <c r="AO66" s="35">
        <f t="shared" si="287"/>
        <v>0.8125</v>
      </c>
      <c r="AP66" s="35">
        <f t="shared" si="288"/>
        <v>0.14042906147314138</v>
      </c>
      <c r="AQ66" s="35">
        <f t="shared" si="289"/>
        <v>0.8125</v>
      </c>
      <c r="AR66" s="35">
        <f t="shared" si="290"/>
        <v>1.425</v>
      </c>
      <c r="AS66" s="35">
        <f t="shared" si="291"/>
        <v>1.1187499999999999</v>
      </c>
      <c r="AT66" s="35">
        <f t="shared" si="292"/>
        <v>1.7256219542037377E-2</v>
      </c>
      <c r="AU66" s="35">
        <f t="shared" si="293"/>
        <v>1.1187499999999999</v>
      </c>
      <c r="AV66" s="35">
        <f t="shared" si="294"/>
        <v>1.425</v>
      </c>
      <c r="AW66" s="35">
        <f t="shared" si="295"/>
        <v>1.2718750000000001</v>
      </c>
      <c r="AX66" s="35">
        <f t="shared" si="296"/>
        <v>-2.7038952534449767E-2</v>
      </c>
      <c r="AY66" s="35">
        <f t="shared" si="297"/>
        <v>1.1187499999999999</v>
      </c>
      <c r="AZ66" s="35">
        <f t="shared" si="298"/>
        <v>1.2718750000000001</v>
      </c>
      <c r="BA66" s="35">
        <f t="shared" si="299"/>
        <v>1.1953125</v>
      </c>
      <c r="BB66" s="35">
        <f t="shared" si="300"/>
        <v>-6.0153574123943399E-3</v>
      </c>
      <c r="BC66" s="35">
        <f t="shared" si="301"/>
        <v>1.1187499999999999</v>
      </c>
      <c r="BD66" s="35">
        <f t="shared" si="302"/>
        <v>1.1953125</v>
      </c>
      <c r="BE66" s="35">
        <f t="shared" si="303"/>
        <v>1.15703125</v>
      </c>
      <c r="BF66" s="35">
        <f t="shared" si="304"/>
        <v>5.3193964874747035E-3</v>
      </c>
      <c r="BG66" s="35">
        <f t="shared" si="305"/>
        <v>1.15703125</v>
      </c>
      <c r="BH66" s="35">
        <f t="shared" si="306"/>
        <v>1.1953125</v>
      </c>
      <c r="BI66" s="35">
        <f t="shared" si="307"/>
        <v>1.1761718750000001</v>
      </c>
      <c r="BJ66" s="35">
        <f t="shared" si="308"/>
        <v>-4.2062210530224853E-4</v>
      </c>
      <c r="BK66" s="35">
        <f t="shared" si="309"/>
        <v>1.15703125</v>
      </c>
      <c r="BL66" s="35">
        <f t="shared" si="310"/>
        <v>1.1761718750000001</v>
      </c>
      <c r="BM66" s="35">
        <f t="shared" si="311"/>
        <v>1.1666015624999999</v>
      </c>
      <c r="BN66" s="35">
        <f t="shared" si="312"/>
        <v>2.4309069581680554E-3</v>
      </c>
      <c r="BO66" s="35">
        <f t="shared" si="313"/>
        <v>1.1666015624999999</v>
      </c>
      <c r="BP66" s="35">
        <f t="shared" si="314"/>
        <v>1.1761718750000001</v>
      </c>
      <c r="BQ66" s="35">
        <f t="shared" si="315"/>
        <v>1.17138671875</v>
      </c>
      <c r="BR66" s="35">
        <f t="shared" si="316"/>
        <v>1.0005627934464023E-3</v>
      </c>
      <c r="BS66" s="35">
        <f t="shared" si="317"/>
        <v>1.17138671875</v>
      </c>
      <c r="BT66" s="35">
        <f t="shared" si="318"/>
        <v>1.1761718750000001</v>
      </c>
      <c r="BU66" s="35">
        <f t="shared" si="319"/>
        <v>1.173779296875</v>
      </c>
      <c r="BV66" s="35">
        <f t="shared" si="320"/>
        <v>2.888304495121119E-4</v>
      </c>
      <c r="BW66" s="35">
        <f t="shared" si="321"/>
        <v>1.173779296875</v>
      </c>
      <c r="BX66" s="35">
        <f t="shared" si="322"/>
        <v>1.1761718750000001</v>
      </c>
      <c r="BY66" s="35">
        <f t="shared" si="323"/>
        <v>1.1749755859375002</v>
      </c>
      <c r="BZ66" s="35">
        <f t="shared" si="324"/>
        <v>-6.6180177274666185E-5</v>
      </c>
      <c r="CA66" s="35">
        <f t="shared" si="325"/>
        <v>1.173779296875</v>
      </c>
      <c r="CB66" s="35">
        <f t="shared" si="326"/>
        <v>1.1749755859375002</v>
      </c>
      <c r="CC66" s="35">
        <f t="shared" si="327"/>
        <v>1.17437744140625</v>
      </c>
      <c r="CD66" s="35">
        <f t="shared" si="328"/>
        <v>1.112539708503224E-4</v>
      </c>
      <c r="CE66" s="35">
        <f t="shared" si="329"/>
        <v>1.17437744140625</v>
      </c>
      <c r="CF66" s="35">
        <f t="shared" si="330"/>
        <v>1.1749755859375002</v>
      </c>
      <c r="CG66" s="35">
        <f t="shared" si="331"/>
        <v>1.1746765136718751</v>
      </c>
      <c r="CH66" s="35">
        <f t="shared" si="332"/>
        <v>2.2519115217889407E-5</v>
      </c>
      <c r="CI66" s="35">
        <f t="shared" si="333"/>
        <v>1.1746765136718751</v>
      </c>
      <c r="CJ66" s="35">
        <f t="shared" si="334"/>
        <v>1.1749755859375002</v>
      </c>
      <c r="CK66" s="35">
        <f t="shared" si="335"/>
        <v>1.1748260498046876</v>
      </c>
      <c r="CL66" s="35">
        <f t="shared" si="336"/>
        <v>-2.1834975203027795E-5</v>
      </c>
      <c r="CM66" s="35">
        <f t="shared" si="337"/>
        <v>1.1746765136718751</v>
      </c>
      <c r="CN66" s="35">
        <f t="shared" si="338"/>
        <v>1.1748260498046876</v>
      </c>
      <c r="CO66" s="35">
        <f t="shared" si="339"/>
        <v>1.1747512817382813</v>
      </c>
      <c r="CP66" s="35">
        <f t="shared" si="340"/>
        <v>3.4095881162876651E-7</v>
      </c>
      <c r="CQ66" s="35">
        <f t="shared" si="341"/>
        <v>1.1747512817382813</v>
      </c>
      <c r="CR66" s="35">
        <f t="shared" si="342"/>
        <v>1.1748260498046876</v>
      </c>
      <c r="CS66" s="35">
        <f t="shared" si="343"/>
        <v>1.1747886657714846</v>
      </c>
      <c r="CT66" s="35">
        <f t="shared" si="344"/>
        <v>-1.0747285975609699E-5</v>
      </c>
      <c r="CU66" s="35">
        <f t="shared" si="345"/>
        <v>1.1747512817382813</v>
      </c>
      <c r="CV66" s="35">
        <f t="shared" si="346"/>
        <v>1.1747886657714846</v>
      </c>
      <c r="CW66" s="35">
        <f t="shared" si="347"/>
        <v>1.1747699737548829</v>
      </c>
      <c r="CX66" s="35">
        <f t="shared" si="348"/>
        <v>-5.2032330293272366E-6</v>
      </c>
      <c r="CY66" s="35">
        <f t="shared" si="349"/>
        <v>1.1747512817382813</v>
      </c>
      <c r="CZ66" s="35">
        <f t="shared" si="350"/>
        <v>1.1747699737548829</v>
      </c>
      <c r="DA66" s="35">
        <f t="shared" si="351"/>
        <v>1.1747606277465821</v>
      </c>
      <c r="DB66" s="35">
        <f t="shared" si="352"/>
        <v>-2.4311544709609834E-6</v>
      </c>
      <c r="DC66" s="35">
        <f t="shared" si="353"/>
        <v>1.1747512817382813</v>
      </c>
      <c r="DD66" s="35">
        <f t="shared" si="354"/>
        <v>1.1747606277465821</v>
      </c>
      <c r="DE66" s="35">
        <f t="shared" si="355"/>
        <v>1.1747559547424316</v>
      </c>
      <c r="DF66" s="35">
        <f t="shared" si="356"/>
        <v>-1.0451021702495567E-6</v>
      </c>
      <c r="DG66" s="35">
        <f t="shared" si="357"/>
        <v>1.1747512817382813</v>
      </c>
      <c r="DH66" s="35">
        <f t="shared" si="358"/>
        <v>1.1747559547424316</v>
      </c>
      <c r="DI66" s="35">
        <f t="shared" si="359"/>
        <v>1.1747536182403564</v>
      </c>
      <c r="DJ66" s="35">
        <f t="shared" si="360"/>
        <v>-3.5207276449789049E-7</v>
      </c>
      <c r="DK66" s="35">
        <f t="shared" si="361"/>
        <v>1.1747512817382813</v>
      </c>
      <c r="DL66" s="35">
        <f t="shared" si="362"/>
        <v>1.1747536182403564</v>
      </c>
      <c r="DM66" s="35">
        <f t="shared" si="363"/>
        <v>1.1747524499893189</v>
      </c>
      <c r="DN66" s="35">
        <f t="shared" si="364"/>
        <v>-5.5572476620469047E-9</v>
      </c>
      <c r="DO66" s="35">
        <f t="shared" si="365"/>
        <v>1.1747512817382813</v>
      </c>
      <c r="DP66" s="35">
        <f t="shared" si="366"/>
        <v>1.1747524499893189</v>
      </c>
      <c r="DQ66" s="35">
        <f t="shared" si="367"/>
        <v>1.1747518658638001</v>
      </c>
      <c r="DR66" s="35">
        <f t="shared" si="368"/>
        <v>1.6770071420424415E-7</v>
      </c>
      <c r="DS66" s="35">
        <f t="shared" si="369"/>
        <v>1.1747518658638001</v>
      </c>
      <c r="DT66" s="35">
        <f t="shared" si="370"/>
        <v>1.1747524499893189</v>
      </c>
      <c r="DU66" s="35">
        <f t="shared" si="371"/>
        <v>1.1747521579265596</v>
      </c>
      <c r="DV66" s="35">
        <f t="shared" si="372"/>
        <v>8.1071716229175195E-8</v>
      </c>
      <c r="DW66" s="35">
        <f t="shared" si="373"/>
        <v>1.1747521579265596</v>
      </c>
      <c r="DX66" s="35">
        <f t="shared" si="374"/>
        <v>1.1747524499893189</v>
      </c>
      <c r="DY66" s="35">
        <f t="shared" si="375"/>
        <v>1.1747523039579393</v>
      </c>
      <c r="DZ66" s="35">
        <f t="shared" si="376"/>
        <v>3.77572300092055E-8</v>
      </c>
      <c r="EA66" s="35">
        <f t="shared" si="377"/>
        <v>1.1747523039579393</v>
      </c>
      <c r="EB66" s="35">
        <f t="shared" si="378"/>
        <v>1.1747524499893189</v>
      </c>
      <c r="EC66" s="35">
        <f t="shared" si="379"/>
        <v>1.174752376973629</v>
      </c>
      <c r="ED66" s="35">
        <f t="shared" si="380"/>
        <v>1.6099990007845122E-8</v>
      </c>
      <c r="EE66" s="35">
        <f t="shared" si="381"/>
        <v>1.174752376973629</v>
      </c>
      <c r="EF66" s="35">
        <f t="shared" si="382"/>
        <v>1.1747524499893189</v>
      </c>
      <c r="EG66" s="35">
        <f t="shared" si="383"/>
        <v>1.174752413481474</v>
      </c>
      <c r="EH66" s="35">
        <f t="shared" si="384"/>
        <v>5.2713708953433525E-9</v>
      </c>
      <c r="EI66" s="35">
        <f t="shared" si="385"/>
        <v>1.174752413481474</v>
      </c>
      <c r="EJ66" s="35">
        <f t="shared" si="386"/>
        <v>1.1747524499893189</v>
      </c>
      <c r="EK66" s="35">
        <f t="shared" si="387"/>
        <v>1.1747524317353966</v>
      </c>
      <c r="EL66" s="35">
        <f t="shared" si="388"/>
        <v>-1.429385498852298E-10</v>
      </c>
      <c r="EM66" s="35">
        <f t="shared" si="389"/>
        <v>1.174752413481474</v>
      </c>
      <c r="EN66" s="35">
        <f t="shared" si="390"/>
        <v>1.1747524317353966</v>
      </c>
      <c r="EO66" s="35">
        <f t="shared" si="391"/>
        <v>1.1747524226084352</v>
      </c>
      <c r="EP66" s="35">
        <f t="shared" si="392"/>
        <v>2.5642163947736663E-9</v>
      </c>
      <c r="EQ66" s="35">
        <f t="shared" si="393"/>
        <v>1.1747524226084352</v>
      </c>
      <c r="ER66" s="35">
        <f t="shared" si="394"/>
        <v>1.1747524317353966</v>
      </c>
      <c r="ES66" s="35">
        <f t="shared" si="395"/>
        <v>1.1747524271719159</v>
      </c>
      <c r="ET66" s="35">
        <f t="shared" si="396"/>
        <v>1.2106389224442182E-9</v>
      </c>
      <c r="EU66" s="35">
        <f t="shared" si="397"/>
        <v>1.1747524271719159</v>
      </c>
      <c r="EV66" s="35">
        <f t="shared" si="398"/>
        <v>1.1747524317353966</v>
      </c>
      <c r="EW66" s="35">
        <f t="shared" si="399"/>
        <v>1.1747524294536562</v>
      </c>
      <c r="EX66" s="35">
        <f t="shared" si="400"/>
        <v>5.3385029730179667E-10</v>
      </c>
      <c r="EY66" s="35">
        <f t="shared" si="401"/>
        <v>1.1747524294536562</v>
      </c>
      <c r="EZ66" s="35">
        <f t="shared" si="402"/>
        <v>1.1747524317353966</v>
      </c>
      <c r="FA66" s="10">
        <v>9.9999999999999995E-7</v>
      </c>
      <c r="FB66" s="10">
        <v>0.99990000000000001</v>
      </c>
      <c r="FC66" s="35">
        <f t="shared" si="403"/>
        <v>0.49995050000000002</v>
      </c>
      <c r="FD66" s="35">
        <f t="shared" si="404"/>
        <v>-0.11675960125711127</v>
      </c>
      <c r="FE66" s="35">
        <f t="shared" si="405"/>
        <v>9.9999999999999995E-7</v>
      </c>
      <c r="FF66" s="35">
        <f t="shared" si="406"/>
        <v>0.49995050000000002</v>
      </c>
      <c r="FG66" s="35">
        <f t="shared" si="407"/>
        <v>0.24997575</v>
      </c>
      <c r="FH66" s="35">
        <f t="shared" si="408"/>
        <v>-6.4365392651057229E-2</v>
      </c>
      <c r="FI66" s="35">
        <f t="shared" si="409"/>
        <v>9.9999999999999995E-7</v>
      </c>
      <c r="FJ66" s="35">
        <f t="shared" si="410"/>
        <v>0.24997575</v>
      </c>
      <c r="FK66" s="35">
        <f t="shared" si="411"/>
        <v>0.124988375</v>
      </c>
      <c r="FL66" s="35">
        <f t="shared" si="412"/>
        <v>-2.4983895383769772E-2</v>
      </c>
      <c r="FM66" s="35">
        <f t="shared" si="413"/>
        <v>9.9999999999999995E-7</v>
      </c>
      <c r="FN66" s="35">
        <f t="shared" si="414"/>
        <v>0.124988375</v>
      </c>
      <c r="FO66" s="35">
        <f t="shared" si="415"/>
        <v>6.24946875E-2</v>
      </c>
      <c r="FP66" s="35">
        <f t="shared" si="416"/>
        <v>1.3335076229870069E-4</v>
      </c>
      <c r="FQ66" s="35">
        <f t="shared" si="417"/>
        <v>6.24946875E-2</v>
      </c>
      <c r="FR66" s="35">
        <f t="shared" si="418"/>
        <v>0.124988375</v>
      </c>
      <c r="FS66" s="35">
        <f t="shared" si="419"/>
        <v>9.3741531249999996E-2</v>
      </c>
      <c r="FT66" s="35">
        <f t="shared" si="420"/>
        <v>-1.2904853521158333E-2</v>
      </c>
      <c r="FU66" s="35">
        <f t="shared" si="421"/>
        <v>6.24946875E-2</v>
      </c>
      <c r="FV66" s="35">
        <f t="shared" si="422"/>
        <v>9.3741531249999996E-2</v>
      </c>
      <c r="FW66" s="35">
        <f t="shared" si="423"/>
        <v>7.8118109374999994E-2</v>
      </c>
      <c r="FX66" s="35">
        <f t="shared" si="424"/>
        <v>-6.5043822903305681E-3</v>
      </c>
      <c r="FY66" s="35">
        <f t="shared" si="425"/>
        <v>6.24946875E-2</v>
      </c>
      <c r="FZ66" s="35">
        <f t="shared" si="426"/>
        <v>7.8118109374999994E-2</v>
      </c>
      <c r="GA66" s="35">
        <f t="shared" si="427"/>
        <v>7.0306398437500001E-2</v>
      </c>
      <c r="GB66" s="35">
        <f t="shared" si="428"/>
        <v>-3.2148511101328658E-3</v>
      </c>
      <c r="GC66" s="35">
        <f t="shared" si="429"/>
        <v>6.24946875E-2</v>
      </c>
      <c r="GD66" s="35">
        <f t="shared" si="430"/>
        <v>7.0306398437500001E-2</v>
      </c>
      <c r="GE66" s="35">
        <f t="shared" si="431"/>
        <v>6.6400542968750004E-2</v>
      </c>
      <c r="GF66" s="35">
        <f t="shared" si="432"/>
        <v>-1.5480332187147727E-3</v>
      </c>
      <c r="GG66" s="35">
        <f t="shared" si="433"/>
        <v>6.24946875E-2</v>
      </c>
      <c r="GH66" s="35">
        <f t="shared" si="434"/>
        <v>6.6400542968750004E-2</v>
      </c>
      <c r="GI66" s="35">
        <f t="shared" si="435"/>
        <v>6.4447615234375005E-2</v>
      </c>
      <c r="GJ66" s="35">
        <f t="shared" si="436"/>
        <v>-7.0915498413770539E-4</v>
      </c>
      <c r="GK66" s="35">
        <f t="shared" si="437"/>
        <v>6.24946875E-2</v>
      </c>
      <c r="GL66" s="35">
        <f t="shared" si="438"/>
        <v>6.4447615234375005E-2</v>
      </c>
      <c r="GM66" s="35">
        <f t="shared" si="439"/>
        <v>6.3471151367187506E-2</v>
      </c>
      <c r="GN66" s="35">
        <f t="shared" si="440"/>
        <v>-2.8835463331911004E-4</v>
      </c>
      <c r="GO66" s="35">
        <f t="shared" si="441"/>
        <v>6.24946875E-2</v>
      </c>
      <c r="GP66" s="35">
        <f t="shared" si="442"/>
        <v>6.3471151367187506E-2</v>
      </c>
      <c r="GQ66" s="35">
        <f t="shared" si="443"/>
        <v>6.2982919433593756E-2</v>
      </c>
      <c r="GR66" s="35">
        <f t="shared" si="444"/>
        <v>-7.7614948984172649E-5</v>
      </c>
      <c r="GS66" s="35">
        <f t="shared" si="445"/>
        <v>6.24946875E-2</v>
      </c>
      <c r="GT66" s="35">
        <f t="shared" si="446"/>
        <v>6.2982919433593756E-2</v>
      </c>
      <c r="GU66" s="35">
        <f t="shared" si="447"/>
        <v>6.2738803466796875E-2</v>
      </c>
      <c r="GV66" s="35">
        <f t="shared" si="448"/>
        <v>2.7839668089058023E-5</v>
      </c>
      <c r="GW66" s="35">
        <f t="shared" si="449"/>
        <v>6.2738803466796875E-2</v>
      </c>
      <c r="GX66" s="35">
        <f t="shared" si="450"/>
        <v>6.2982919433593756E-2</v>
      </c>
      <c r="GY66" s="35">
        <f t="shared" si="451"/>
        <v>6.2860861450195316E-2</v>
      </c>
      <c r="GZ66" s="35">
        <f t="shared" si="452"/>
        <v>-2.4894701946887032E-5</v>
      </c>
      <c r="HA66" s="35">
        <f t="shared" si="453"/>
        <v>6.2738803466796875E-2</v>
      </c>
      <c r="HB66" s="35">
        <f t="shared" si="454"/>
        <v>6.2860861450195316E-2</v>
      </c>
      <c r="HC66" s="35">
        <f t="shared" si="455"/>
        <v>6.2799832458496102E-2</v>
      </c>
      <c r="HD66" s="35">
        <f t="shared" si="456"/>
        <v>1.4707179278872218E-6</v>
      </c>
      <c r="HE66" s="35">
        <f t="shared" si="457"/>
        <v>6.2799832458496102E-2</v>
      </c>
      <c r="HF66" s="35">
        <f t="shared" si="458"/>
        <v>6.2860861450195316E-2</v>
      </c>
      <c r="HG66" s="35">
        <f t="shared" si="459"/>
        <v>6.2830346954345709E-2</v>
      </c>
      <c r="HH66" s="35">
        <f t="shared" si="460"/>
        <v>-1.1712433324317928E-5</v>
      </c>
      <c r="HI66" s="35">
        <f t="shared" si="461"/>
        <v>6.2799832458496102E-2</v>
      </c>
      <c r="HJ66" s="35">
        <f t="shared" si="462"/>
        <v>6.2830346954345709E-2</v>
      </c>
      <c r="HK66" s="35">
        <f t="shared" si="463"/>
        <v>6.2815089706420912E-2</v>
      </c>
      <c r="HL66" s="35">
        <f t="shared" si="464"/>
        <v>-5.1209680231867338E-6</v>
      </c>
      <c r="HM66" s="35">
        <f t="shared" si="465"/>
        <v>6.2799832458496102E-2</v>
      </c>
      <c r="HN66" s="35">
        <f t="shared" si="466"/>
        <v>6.2815089706420912E-2</v>
      </c>
      <c r="HO66" s="35">
        <f t="shared" si="467"/>
        <v>6.2807461082458507E-2</v>
      </c>
      <c r="HP66" s="35">
        <f t="shared" si="468"/>
        <v>-1.8251526284762676E-6</v>
      </c>
      <c r="HQ66" s="35">
        <f t="shared" si="469"/>
        <v>6.2799832458496102E-2</v>
      </c>
      <c r="HR66" s="35">
        <f t="shared" si="470"/>
        <v>6.2807461082458507E-2</v>
      </c>
      <c r="HS66" s="35">
        <f t="shared" si="471"/>
        <v>6.2803646770477312E-2</v>
      </c>
      <c r="HT66" s="35">
        <f t="shared" si="472"/>
        <v>-1.7722424550115079E-7</v>
      </c>
      <c r="HU66" s="35">
        <f t="shared" si="473"/>
        <v>6.2799832458496102E-2</v>
      </c>
      <c r="HV66" s="35">
        <f t="shared" si="474"/>
        <v>6.2803646770477312E-2</v>
      </c>
      <c r="HW66" s="35">
        <f t="shared" si="475"/>
        <v>6.2801739614486707E-2</v>
      </c>
      <c r="HX66" s="35">
        <f t="shared" si="476"/>
        <v>6.4674511746076746E-7</v>
      </c>
      <c r="HY66" s="35">
        <f t="shared" si="477"/>
        <v>6.2801739614486707E-2</v>
      </c>
      <c r="HZ66" s="35">
        <f t="shared" si="478"/>
        <v>6.2803646770477312E-2</v>
      </c>
      <c r="IA66" s="35">
        <f t="shared" si="479"/>
        <v>6.2802693192482009E-2</v>
      </c>
      <c r="IB66" s="35">
        <f t="shared" si="480"/>
        <v>2.3476000499123018E-7</v>
      </c>
      <c r="IC66" s="35">
        <f t="shared" si="481"/>
        <v>6.2802693192482009E-2</v>
      </c>
      <c r="ID66" s="35">
        <f t="shared" si="482"/>
        <v>6.2803646770477312E-2</v>
      </c>
      <c r="IE66" s="35">
        <f t="shared" si="483"/>
        <v>6.2803169981479667E-2</v>
      </c>
      <c r="IF66" s="35">
        <f t="shared" si="484"/>
        <v>2.8767771942384002E-8</v>
      </c>
      <c r="IG66" s="35">
        <f t="shared" si="485"/>
        <v>6.2803169981479667E-2</v>
      </c>
      <c r="IH66" s="35">
        <f t="shared" si="486"/>
        <v>6.2803646770477312E-2</v>
      </c>
      <c r="II66" s="35">
        <f t="shared" si="487"/>
        <v>6.2803408375978489E-2</v>
      </c>
      <c r="IJ66" s="35">
        <f t="shared" si="488"/>
        <v>-7.422826364678059E-8</v>
      </c>
      <c r="IK66" s="35">
        <f t="shared" si="489"/>
        <v>6.2803169981479667E-2</v>
      </c>
      <c r="IL66" s="35">
        <f t="shared" si="490"/>
        <v>6.2803408375978489E-2</v>
      </c>
      <c r="IM66" s="35">
        <f t="shared" si="491"/>
        <v>6.2803289178729071E-2</v>
      </c>
      <c r="IN66" s="35">
        <f t="shared" si="492"/>
        <v>-2.2730252680069896E-8</v>
      </c>
      <c r="IO66" s="35">
        <f t="shared" si="493"/>
        <v>6.2803169981479667E-2</v>
      </c>
      <c r="IP66" s="35">
        <f t="shared" si="494"/>
        <v>6.2803289178729071E-2</v>
      </c>
      <c r="IQ66" s="35">
        <f t="shared" si="495"/>
        <v>6.2803229580104369E-2</v>
      </c>
      <c r="IR66" s="35">
        <f t="shared" si="496"/>
        <v>3.0187579103113649E-9</v>
      </c>
      <c r="IS66" s="35">
        <f t="shared" si="497"/>
        <v>6.2803229580104369E-2</v>
      </c>
      <c r="IT66" s="35">
        <f t="shared" si="498"/>
        <v>6.2803289178729071E-2</v>
      </c>
      <c r="IU66" s="35">
        <f t="shared" si="499"/>
        <v>6.280325937941672E-2</v>
      </c>
      <c r="IV66" s="35">
        <f t="shared" si="500"/>
        <v>-9.855747773457324E-9</v>
      </c>
      <c r="IW66" s="35">
        <f t="shared" si="501"/>
        <v>6.2803229580104369E-2</v>
      </c>
      <c r="IX66" s="35">
        <f t="shared" si="502"/>
        <v>6.280325937941672E-2</v>
      </c>
      <c r="IY66" s="35">
        <f t="shared" si="503"/>
        <v>6.2803244479760545E-2</v>
      </c>
      <c r="IZ66" s="35">
        <f t="shared" si="504"/>
        <v>-3.4184949315729796E-9</v>
      </c>
      <c r="JA66" s="35">
        <f t="shared" si="505"/>
        <v>6.2803229580104369E-2</v>
      </c>
      <c r="JB66" s="35">
        <f t="shared" si="506"/>
        <v>6.2803244479760545E-2</v>
      </c>
      <c r="JC66" s="35">
        <f t="shared" si="507"/>
        <v>6.2803237029932457E-2</v>
      </c>
      <c r="JD66" s="35">
        <f t="shared" si="508"/>
        <v>-1.9986856614195858E-10</v>
      </c>
      <c r="JE66" s="35">
        <f t="shared" si="509"/>
        <v>6.2803229580104369E-2</v>
      </c>
      <c r="JF66" s="35">
        <f t="shared" si="510"/>
        <v>6.2803237029932457E-2</v>
      </c>
      <c r="JG66" s="35">
        <f t="shared" si="511"/>
        <v>6.2803233305018413E-2</v>
      </c>
      <c r="JH66" s="35">
        <f t="shared" si="512"/>
        <v>1.4094447831070056E-9</v>
      </c>
      <c r="JI66" s="35">
        <f t="shared" si="513"/>
        <v>6.2803233305018413E-2</v>
      </c>
      <c r="JJ66" s="35">
        <f t="shared" si="514"/>
        <v>6.2803237029932457E-2</v>
      </c>
      <c r="JK66" s="35">
        <f t="shared" si="515"/>
        <v>6.2803235167475435E-2</v>
      </c>
      <c r="JL66" s="35">
        <f t="shared" si="516"/>
        <v>6.0478821950482597E-10</v>
      </c>
      <c r="JM66" s="35">
        <f t="shared" si="517"/>
        <v>6.2803235167475435E-2</v>
      </c>
      <c r="JN66" s="35">
        <f t="shared" si="518"/>
        <v>6.2803237029932457E-2</v>
      </c>
      <c r="JO66" s="35">
        <f t="shared" si="519"/>
        <v>6.2803236098703946E-2</v>
      </c>
      <c r="JP66" s="35">
        <f t="shared" si="520"/>
        <v>2.024598266814337E-10</v>
      </c>
      <c r="JQ66" s="35">
        <f t="shared" si="521"/>
        <v>6.2803236098703946E-2</v>
      </c>
      <c r="JR66" s="35">
        <f t="shared" si="522"/>
        <v>6.2803237029932457E-2</v>
      </c>
      <c r="JS66" s="35">
        <f t="shared" si="523"/>
        <v>6.2803236564318202E-2</v>
      </c>
      <c r="JT66" s="35">
        <f t="shared" si="524"/>
        <v>1.2956302697375577E-12</v>
      </c>
      <c r="JU66" s="35">
        <f t="shared" si="525"/>
        <v>6.2803236564318202E-2</v>
      </c>
      <c r="JV66" s="35">
        <f t="shared" si="526"/>
        <v>6.2803237029932457E-2</v>
      </c>
      <c r="JW66" s="35">
        <f t="shared" si="527"/>
        <v>6.2803236797125322E-2</v>
      </c>
      <c r="JX66" s="35">
        <f t="shared" si="528"/>
        <v>-9.9286245891505587E-11</v>
      </c>
      <c r="JY66" s="35">
        <f t="shared" si="529"/>
        <v>6.2803236564318202E-2</v>
      </c>
      <c r="JZ66" s="35">
        <f t="shared" si="530"/>
        <v>6.2803236797125322E-2</v>
      </c>
      <c r="KA66" s="35">
        <f t="shared" si="531"/>
        <v>1.1747524305945265</v>
      </c>
      <c r="KB66" s="35">
        <f t="shared" si="532"/>
        <v>6.2803236680721769E-2</v>
      </c>
    </row>
    <row r="67" spans="1:288" ht="15" customHeight="1" x14ac:dyDescent="0.3">
      <c r="A67" s="30">
        <f>Odds_Input!A67</f>
        <v>59</v>
      </c>
      <c r="B67" s="7" t="str">
        <f>Odds_Input!B67</f>
        <v>CONF_WEST</v>
      </c>
      <c r="C67" s="7" t="str">
        <f>Odds_Input!C67</f>
        <v>Utah Jazz</v>
      </c>
      <c r="D67" s="7" t="str">
        <f>Odds_Input!D67</f>
        <v>YES</v>
      </c>
      <c r="E67" s="31" t="str">
        <f>Odds_Input!E67</f>
        <v>-</v>
      </c>
      <c r="F67" s="32">
        <f>Odds_Input!F67</f>
        <v>7150</v>
      </c>
      <c r="G67" s="6" t="str">
        <f t="shared" si="0"/>
        <v>CONF_WEST</v>
      </c>
      <c r="H67" s="14">
        <f t="shared" si="1"/>
        <v>72.5</v>
      </c>
      <c r="I67" s="33">
        <f t="shared" si="2"/>
        <v>1.3793103448275862E-2</v>
      </c>
      <c r="J67" s="17">
        <f t="shared" si="3"/>
        <v>1</v>
      </c>
      <c r="K67" s="17">
        <f t="shared" si="4"/>
        <v>15</v>
      </c>
      <c r="L67" s="18">
        <f t="shared" si="5"/>
        <v>1.1953442022676133</v>
      </c>
      <c r="M67" s="34">
        <f t="shared" si="6"/>
        <v>0.19534420226761329</v>
      </c>
      <c r="N67" s="33">
        <f t="shared" si="7"/>
        <v>1.1539022335248559E-2</v>
      </c>
      <c r="O67" s="33">
        <f t="shared" si="8"/>
        <v>8.2164865871931451E-3</v>
      </c>
      <c r="P67" s="33">
        <f t="shared" si="9"/>
        <v>6.1402730263658278E-3</v>
      </c>
      <c r="Q67" s="33">
        <f t="shared" si="10"/>
        <v>6.1402730263658278E-3</v>
      </c>
      <c r="R67" s="35">
        <f t="shared" si="11"/>
        <v>1.120932777808048</v>
      </c>
      <c r="S67" s="35">
        <f t="shared" si="12"/>
        <v>1.9902430363003976E-2</v>
      </c>
      <c r="X67" s="6" t="s">
        <v>842</v>
      </c>
      <c r="Y67" s="6">
        <f t="shared" si="273"/>
        <v>1</v>
      </c>
      <c r="Z67" s="18">
        <f t="shared" si="274"/>
        <v>1.0481734243275793</v>
      </c>
      <c r="AA67" s="10">
        <v>0.2</v>
      </c>
      <c r="AB67" s="10">
        <v>10</v>
      </c>
      <c r="AC67" s="35">
        <f t="shared" si="275"/>
        <v>5.0999999999999996</v>
      </c>
      <c r="AD67" s="35">
        <f t="shared" si="276"/>
        <v>-0.89793863982099764</v>
      </c>
      <c r="AE67" s="35">
        <f t="shared" si="277"/>
        <v>0.2</v>
      </c>
      <c r="AF67" s="35">
        <f t="shared" si="278"/>
        <v>5.0999999999999996</v>
      </c>
      <c r="AG67" s="35">
        <f t="shared" si="279"/>
        <v>2.65</v>
      </c>
      <c r="AH67" s="35">
        <f t="shared" si="280"/>
        <v>-0.61116171654903351</v>
      </c>
      <c r="AI67" s="35">
        <f t="shared" si="281"/>
        <v>0.2</v>
      </c>
      <c r="AJ67" s="35">
        <f t="shared" si="282"/>
        <v>2.65</v>
      </c>
      <c r="AK67" s="35">
        <f t="shared" si="283"/>
        <v>1.425</v>
      </c>
      <c r="AL67" s="35">
        <f t="shared" si="284"/>
        <v>-0.19495944986857805</v>
      </c>
      <c r="AM67" s="35">
        <f t="shared" si="285"/>
        <v>0.2</v>
      </c>
      <c r="AN67" s="35">
        <f t="shared" si="286"/>
        <v>1.425</v>
      </c>
      <c r="AO67" s="35">
        <f t="shared" si="287"/>
        <v>0.8125</v>
      </c>
      <c r="AP67" s="35">
        <f t="shared" si="288"/>
        <v>0.1799524519811575</v>
      </c>
      <c r="AQ67" s="35">
        <f t="shared" si="289"/>
        <v>0.8125</v>
      </c>
      <c r="AR67" s="35">
        <f t="shared" si="290"/>
        <v>1.425</v>
      </c>
      <c r="AS67" s="35">
        <f t="shared" si="291"/>
        <v>1.1187499999999999</v>
      </c>
      <c r="AT67" s="35">
        <f t="shared" si="292"/>
        <v>-2.6947493881429474E-2</v>
      </c>
      <c r="AU67" s="35">
        <f t="shared" si="293"/>
        <v>0.8125</v>
      </c>
      <c r="AV67" s="35">
        <f t="shared" si="294"/>
        <v>1.1187499999999999</v>
      </c>
      <c r="AW67" s="35">
        <f t="shared" si="295"/>
        <v>0.96562499999999996</v>
      </c>
      <c r="AX67" s="35">
        <f t="shared" si="296"/>
        <v>7.10804447029596E-2</v>
      </c>
      <c r="AY67" s="35">
        <f t="shared" si="297"/>
        <v>0.96562499999999996</v>
      </c>
      <c r="AZ67" s="35">
        <f t="shared" si="298"/>
        <v>1.1187499999999999</v>
      </c>
      <c r="BA67" s="35">
        <f t="shared" si="299"/>
        <v>1.0421874999999998</v>
      </c>
      <c r="BB67" s="35">
        <f t="shared" si="300"/>
        <v>2.078633558956855E-2</v>
      </c>
      <c r="BC67" s="35">
        <f t="shared" si="301"/>
        <v>1.0421874999999998</v>
      </c>
      <c r="BD67" s="35">
        <f t="shared" si="302"/>
        <v>1.1187499999999999</v>
      </c>
      <c r="BE67" s="35">
        <f t="shared" si="303"/>
        <v>1.0804687499999999</v>
      </c>
      <c r="BF67" s="35">
        <f t="shared" si="304"/>
        <v>-3.3916768970349009E-3</v>
      </c>
      <c r="BG67" s="35">
        <f t="shared" si="305"/>
        <v>1.0421874999999998</v>
      </c>
      <c r="BH67" s="35">
        <f t="shared" si="306"/>
        <v>1.0804687499999999</v>
      </c>
      <c r="BI67" s="35">
        <f t="shared" si="307"/>
        <v>1.0613281249999997</v>
      </c>
      <c r="BJ67" s="35">
        <f t="shared" si="308"/>
        <v>8.6184584984960733E-3</v>
      </c>
      <c r="BK67" s="35">
        <f t="shared" si="309"/>
        <v>1.0613281249999997</v>
      </c>
      <c r="BL67" s="35">
        <f t="shared" si="310"/>
        <v>1.0804687499999999</v>
      </c>
      <c r="BM67" s="35">
        <f t="shared" si="311"/>
        <v>1.0708984374999999</v>
      </c>
      <c r="BN67" s="35">
        <f t="shared" si="312"/>
        <v>2.59381141433912E-3</v>
      </c>
      <c r="BO67" s="35">
        <f t="shared" si="313"/>
        <v>1.0708984374999999</v>
      </c>
      <c r="BP67" s="35">
        <f t="shared" si="314"/>
        <v>1.0804687499999999</v>
      </c>
      <c r="BQ67" s="35">
        <f t="shared" si="315"/>
        <v>1.07568359375</v>
      </c>
      <c r="BR67" s="35">
        <f t="shared" si="316"/>
        <v>-4.038104095283046E-4</v>
      </c>
      <c r="BS67" s="35">
        <f t="shared" si="317"/>
        <v>1.0708984374999999</v>
      </c>
      <c r="BT67" s="35">
        <f t="shared" si="318"/>
        <v>1.07568359375</v>
      </c>
      <c r="BU67" s="35">
        <f t="shared" si="319"/>
        <v>1.073291015625</v>
      </c>
      <c r="BV67" s="35">
        <f t="shared" si="320"/>
        <v>1.0937789430454092E-3</v>
      </c>
      <c r="BW67" s="35">
        <f t="shared" si="321"/>
        <v>1.073291015625</v>
      </c>
      <c r="BX67" s="35">
        <f t="shared" si="322"/>
        <v>1.07568359375</v>
      </c>
      <c r="BY67" s="35">
        <f t="shared" si="323"/>
        <v>1.0744873046875001</v>
      </c>
      <c r="BZ67" s="35">
        <f t="shared" si="324"/>
        <v>3.446791450190112E-4</v>
      </c>
      <c r="CA67" s="35">
        <f t="shared" si="325"/>
        <v>1.0744873046875001</v>
      </c>
      <c r="CB67" s="35">
        <f t="shared" si="326"/>
        <v>1.07568359375</v>
      </c>
      <c r="CC67" s="35">
        <f t="shared" si="327"/>
        <v>1.07508544921875</v>
      </c>
      <c r="CD67" s="35">
        <f t="shared" si="328"/>
        <v>-2.9641879204289623E-5</v>
      </c>
      <c r="CE67" s="35">
        <f t="shared" si="329"/>
        <v>1.0744873046875001</v>
      </c>
      <c r="CF67" s="35">
        <f t="shared" si="330"/>
        <v>1.07508544921875</v>
      </c>
      <c r="CG67" s="35">
        <f t="shared" si="331"/>
        <v>1.0747863769531252</v>
      </c>
      <c r="CH67" s="35">
        <f t="shared" si="332"/>
        <v>1.5749956698551948E-4</v>
      </c>
      <c r="CI67" s="35">
        <f t="shared" si="333"/>
        <v>1.0747863769531252</v>
      </c>
      <c r="CJ67" s="35">
        <f t="shared" si="334"/>
        <v>1.07508544921875</v>
      </c>
      <c r="CK67" s="35">
        <f t="shared" si="335"/>
        <v>1.0749359130859375</v>
      </c>
      <c r="CL67" s="35">
        <f t="shared" si="336"/>
        <v>6.3924077933208423E-5</v>
      </c>
      <c r="CM67" s="35">
        <f t="shared" si="337"/>
        <v>1.0749359130859375</v>
      </c>
      <c r="CN67" s="35">
        <f t="shared" si="338"/>
        <v>1.07508544921875</v>
      </c>
      <c r="CO67" s="35">
        <f t="shared" si="339"/>
        <v>1.0750106811523437</v>
      </c>
      <c r="CP67" s="35">
        <f t="shared" si="340"/>
        <v>1.7139907940721955E-5</v>
      </c>
      <c r="CQ67" s="35">
        <f t="shared" si="341"/>
        <v>1.0750106811523437</v>
      </c>
      <c r="CR67" s="35">
        <f t="shared" si="342"/>
        <v>1.07508544921875</v>
      </c>
      <c r="CS67" s="35">
        <f t="shared" si="343"/>
        <v>1.075048065185547</v>
      </c>
      <c r="CT67" s="35">
        <f t="shared" si="344"/>
        <v>-6.2512834797523453E-6</v>
      </c>
      <c r="CU67" s="35">
        <f t="shared" si="345"/>
        <v>1.0750106811523437</v>
      </c>
      <c r="CV67" s="35">
        <f t="shared" si="346"/>
        <v>1.075048065185547</v>
      </c>
      <c r="CW67" s="35">
        <f t="shared" si="347"/>
        <v>1.0750293731689453</v>
      </c>
      <c r="CX67" s="35">
        <f t="shared" si="348"/>
        <v>5.4442377674934761E-6</v>
      </c>
      <c r="CY67" s="35">
        <f t="shared" si="349"/>
        <v>1.0750293731689453</v>
      </c>
      <c r="CZ67" s="35">
        <f t="shared" si="350"/>
        <v>1.075048065185547</v>
      </c>
      <c r="DA67" s="35">
        <f t="shared" si="351"/>
        <v>1.0750387191772461</v>
      </c>
      <c r="DB67" s="35">
        <f t="shared" si="352"/>
        <v>-4.0354147168297771E-7</v>
      </c>
      <c r="DC67" s="35">
        <f t="shared" si="353"/>
        <v>1.0750293731689453</v>
      </c>
      <c r="DD67" s="35">
        <f t="shared" si="354"/>
        <v>1.0750387191772461</v>
      </c>
      <c r="DE67" s="35">
        <f t="shared" si="355"/>
        <v>1.0750340461730956</v>
      </c>
      <c r="DF67" s="35">
        <f t="shared" si="356"/>
        <v>2.5203434939058411E-6</v>
      </c>
      <c r="DG67" s="35">
        <f t="shared" si="357"/>
        <v>1.0750340461730956</v>
      </c>
      <c r="DH67" s="35">
        <f t="shared" si="358"/>
        <v>1.0750387191772461</v>
      </c>
      <c r="DI67" s="35">
        <f t="shared" si="359"/>
        <v>1.075036382675171</v>
      </c>
      <c r="DJ67" s="35">
        <f t="shared" si="360"/>
        <v>1.0583998477642353E-6</v>
      </c>
      <c r="DK67" s="35">
        <f t="shared" si="361"/>
        <v>1.075036382675171</v>
      </c>
      <c r="DL67" s="35">
        <f t="shared" si="362"/>
        <v>1.0750387191772461</v>
      </c>
      <c r="DM67" s="35">
        <f t="shared" si="363"/>
        <v>1.0750375509262087</v>
      </c>
      <c r="DN67" s="35">
        <f t="shared" si="364"/>
        <v>3.2742889710668521E-7</v>
      </c>
      <c r="DO67" s="35">
        <f t="shared" si="365"/>
        <v>1.0750375509262087</v>
      </c>
      <c r="DP67" s="35">
        <f t="shared" si="366"/>
        <v>1.0750387191772461</v>
      </c>
      <c r="DQ67" s="35">
        <f t="shared" si="367"/>
        <v>1.0750381350517273</v>
      </c>
      <c r="DR67" s="35">
        <f t="shared" si="368"/>
        <v>-3.8056359952243213E-8</v>
      </c>
      <c r="DS67" s="35">
        <f t="shared" si="369"/>
        <v>1.0750375509262087</v>
      </c>
      <c r="DT67" s="35">
        <f t="shared" si="370"/>
        <v>1.0750381350517273</v>
      </c>
      <c r="DU67" s="35">
        <f t="shared" si="371"/>
        <v>1.075037842988968</v>
      </c>
      <c r="DV67" s="35">
        <f t="shared" si="372"/>
        <v>1.4468625053609685E-7</v>
      </c>
      <c r="DW67" s="35">
        <f t="shared" si="373"/>
        <v>1.075037842988968</v>
      </c>
      <c r="DX67" s="35">
        <f t="shared" si="374"/>
        <v>1.0750381350517273</v>
      </c>
      <c r="DY67" s="35">
        <f t="shared" si="375"/>
        <v>1.0750379890203476</v>
      </c>
      <c r="DZ67" s="35">
        <f t="shared" si="376"/>
        <v>5.3314940684501266E-8</v>
      </c>
      <c r="EA67" s="35">
        <f t="shared" si="377"/>
        <v>1.0750379890203476</v>
      </c>
      <c r="EB67" s="35">
        <f t="shared" si="378"/>
        <v>1.0750381350517273</v>
      </c>
      <c r="EC67" s="35">
        <f t="shared" si="379"/>
        <v>1.0750380620360374</v>
      </c>
      <c r="ED67" s="35">
        <f t="shared" si="380"/>
        <v>7.6292894224394558E-9</v>
      </c>
      <c r="EE67" s="35">
        <f t="shared" si="381"/>
        <v>1.0750380620360374</v>
      </c>
      <c r="EF67" s="35">
        <f t="shared" si="382"/>
        <v>1.0750381350517273</v>
      </c>
      <c r="EG67" s="35">
        <f t="shared" si="383"/>
        <v>1.0750380985438823</v>
      </c>
      <c r="EH67" s="35">
        <f t="shared" si="384"/>
        <v>-1.521353576450224E-8</v>
      </c>
      <c r="EI67" s="35">
        <f t="shared" si="385"/>
        <v>1.0750380620360374</v>
      </c>
      <c r="EJ67" s="35">
        <f t="shared" si="386"/>
        <v>1.0750380985438823</v>
      </c>
      <c r="EK67" s="35">
        <f t="shared" si="387"/>
        <v>1.0750380802899597</v>
      </c>
      <c r="EL67" s="35">
        <f t="shared" si="388"/>
        <v>-3.7921232820536943E-9</v>
      </c>
      <c r="EM67" s="35">
        <f t="shared" si="389"/>
        <v>1.0750380620360374</v>
      </c>
      <c r="EN67" s="35">
        <f t="shared" si="390"/>
        <v>1.0750380802899597</v>
      </c>
      <c r="EO67" s="35">
        <f t="shared" si="391"/>
        <v>1.0750380711629985</v>
      </c>
      <c r="EP67" s="35">
        <f t="shared" si="392"/>
        <v>1.9185830701928808E-9</v>
      </c>
      <c r="EQ67" s="35">
        <f t="shared" si="393"/>
        <v>1.0750380711629985</v>
      </c>
      <c r="ER67" s="35">
        <f t="shared" si="394"/>
        <v>1.0750380802899597</v>
      </c>
      <c r="ES67" s="35">
        <f t="shared" si="395"/>
        <v>1.075038075726479</v>
      </c>
      <c r="ET67" s="35">
        <f t="shared" si="396"/>
        <v>-9.3676999490810431E-10</v>
      </c>
      <c r="EU67" s="35">
        <f t="shared" si="397"/>
        <v>1.0750380711629985</v>
      </c>
      <c r="EV67" s="35">
        <f t="shared" si="398"/>
        <v>1.075038075726479</v>
      </c>
      <c r="EW67" s="35">
        <f t="shared" si="399"/>
        <v>1.0750380734447389</v>
      </c>
      <c r="EX67" s="35">
        <f t="shared" si="400"/>
        <v>4.9090642662008577E-10</v>
      </c>
      <c r="EY67" s="35">
        <f t="shared" si="401"/>
        <v>1.0750380734447389</v>
      </c>
      <c r="EZ67" s="35">
        <f t="shared" si="402"/>
        <v>1.075038075726479</v>
      </c>
      <c r="FA67" s="10">
        <v>9.9999999999999995E-7</v>
      </c>
      <c r="FB67" s="10">
        <v>0.99990000000000001</v>
      </c>
      <c r="FC67" s="35">
        <f t="shared" si="403"/>
        <v>0.49995050000000002</v>
      </c>
      <c r="FD67" s="35">
        <f t="shared" si="404"/>
        <v>-0.23343012259736784</v>
      </c>
      <c r="FE67" s="35">
        <f t="shared" si="405"/>
        <v>9.9999999999999995E-7</v>
      </c>
      <c r="FF67" s="35">
        <f t="shared" si="406"/>
        <v>0.49995050000000002</v>
      </c>
      <c r="FG67" s="35">
        <f t="shared" si="407"/>
        <v>0.24997575</v>
      </c>
      <c r="FH67" s="35">
        <f t="shared" si="408"/>
        <v>-0.10351206815716352</v>
      </c>
      <c r="FI67" s="35">
        <f t="shared" si="409"/>
        <v>9.9999999999999995E-7</v>
      </c>
      <c r="FJ67" s="35">
        <f t="shared" si="410"/>
        <v>0.24997575</v>
      </c>
      <c r="FK67" s="35">
        <f t="shared" si="411"/>
        <v>0.124988375</v>
      </c>
      <c r="FL67" s="35">
        <f t="shared" si="412"/>
        <v>-3.8742801685281769E-2</v>
      </c>
      <c r="FM67" s="35">
        <f t="shared" si="413"/>
        <v>9.9999999999999995E-7</v>
      </c>
      <c r="FN67" s="35">
        <f t="shared" si="414"/>
        <v>0.124988375</v>
      </c>
      <c r="FO67" s="35">
        <f t="shared" si="415"/>
        <v>6.24946875E-2</v>
      </c>
      <c r="FP67" s="35">
        <f t="shared" si="416"/>
        <v>-7.1082809454837692E-3</v>
      </c>
      <c r="FQ67" s="35">
        <f t="shared" si="417"/>
        <v>9.9999999999999995E-7</v>
      </c>
      <c r="FR67" s="35">
        <f t="shared" si="418"/>
        <v>6.24946875E-2</v>
      </c>
      <c r="FS67" s="35">
        <f t="shared" si="419"/>
        <v>3.124784375E-2</v>
      </c>
      <c r="FT67" s="35">
        <f t="shared" si="420"/>
        <v>8.4466875925390816E-3</v>
      </c>
      <c r="FU67" s="35">
        <f t="shared" si="421"/>
        <v>3.124784375E-2</v>
      </c>
      <c r="FV67" s="35">
        <f t="shared" si="422"/>
        <v>6.24946875E-2</v>
      </c>
      <c r="FW67" s="35">
        <f t="shared" si="423"/>
        <v>4.6871265624999998E-2</v>
      </c>
      <c r="FX67" s="35">
        <f t="shared" si="424"/>
        <v>6.9299995033067496E-4</v>
      </c>
      <c r="FY67" s="35">
        <f t="shared" si="425"/>
        <v>4.6871265624999998E-2</v>
      </c>
      <c r="FZ67" s="35">
        <f t="shared" si="426"/>
        <v>6.24946875E-2</v>
      </c>
      <c r="GA67" s="35">
        <f t="shared" si="427"/>
        <v>5.4682976562499999E-2</v>
      </c>
      <c r="GB67" s="35">
        <f t="shared" si="428"/>
        <v>-3.2018285577629646E-3</v>
      </c>
      <c r="GC67" s="35">
        <f t="shared" si="429"/>
        <v>4.6871265624999998E-2</v>
      </c>
      <c r="GD67" s="35">
        <f t="shared" si="430"/>
        <v>5.4682976562499999E-2</v>
      </c>
      <c r="GE67" s="35">
        <f t="shared" si="431"/>
        <v>5.0777121093750002E-2</v>
      </c>
      <c r="GF67" s="35">
        <f t="shared" si="432"/>
        <v>-1.2529438753123845E-3</v>
      </c>
      <c r="GG67" s="35">
        <f t="shared" si="433"/>
        <v>4.6871265624999998E-2</v>
      </c>
      <c r="GH67" s="35">
        <f t="shared" si="434"/>
        <v>5.0777121093750002E-2</v>
      </c>
      <c r="GI67" s="35">
        <f t="shared" si="435"/>
        <v>4.8824193359375004E-2</v>
      </c>
      <c r="GJ67" s="35">
        <f t="shared" si="436"/>
        <v>-2.7960220034828343E-4</v>
      </c>
      <c r="GK67" s="35">
        <f t="shared" si="437"/>
        <v>4.6871265624999998E-2</v>
      </c>
      <c r="GL67" s="35">
        <f t="shared" si="438"/>
        <v>4.8824193359375004E-2</v>
      </c>
      <c r="GM67" s="35">
        <f t="shared" si="439"/>
        <v>4.7847729492187505E-2</v>
      </c>
      <c r="GN67" s="35">
        <f t="shared" si="440"/>
        <v>2.0679158331438074E-4</v>
      </c>
      <c r="GO67" s="35">
        <f t="shared" si="441"/>
        <v>4.7847729492187505E-2</v>
      </c>
      <c r="GP67" s="35">
        <f t="shared" si="442"/>
        <v>4.8824193359375004E-2</v>
      </c>
      <c r="GQ67" s="35">
        <f t="shared" si="443"/>
        <v>4.8335961425781254E-2</v>
      </c>
      <c r="GR67" s="35">
        <f t="shared" si="444"/>
        <v>-3.6382164838366648E-5</v>
      </c>
      <c r="GS67" s="35">
        <f t="shared" si="445"/>
        <v>4.7847729492187505E-2</v>
      </c>
      <c r="GT67" s="35">
        <f t="shared" si="446"/>
        <v>4.8335961425781254E-2</v>
      </c>
      <c r="GU67" s="35">
        <f t="shared" si="447"/>
        <v>4.8091845458984379E-2</v>
      </c>
      <c r="GV67" s="35">
        <f t="shared" si="448"/>
        <v>8.5210499337406986E-5</v>
      </c>
      <c r="GW67" s="35">
        <f t="shared" si="449"/>
        <v>4.8091845458984379E-2</v>
      </c>
      <c r="GX67" s="35">
        <f t="shared" si="450"/>
        <v>4.8335961425781254E-2</v>
      </c>
      <c r="GY67" s="35">
        <f t="shared" si="451"/>
        <v>4.8213903442382813E-2</v>
      </c>
      <c r="GZ67" s="35">
        <f t="shared" si="452"/>
        <v>2.4415614252148998E-5</v>
      </c>
      <c r="HA67" s="35">
        <f t="shared" si="453"/>
        <v>4.8213903442382813E-2</v>
      </c>
      <c r="HB67" s="35">
        <f t="shared" si="454"/>
        <v>4.8335961425781254E-2</v>
      </c>
      <c r="HC67" s="35">
        <f t="shared" si="455"/>
        <v>4.8274932434082034E-2</v>
      </c>
      <c r="HD67" s="35">
        <f t="shared" si="456"/>
        <v>-5.9829136076494649E-6</v>
      </c>
      <c r="HE67" s="35">
        <f t="shared" si="457"/>
        <v>4.8213903442382813E-2</v>
      </c>
      <c r="HF67" s="35">
        <f t="shared" si="458"/>
        <v>4.8274932434082034E-2</v>
      </c>
      <c r="HG67" s="35">
        <f t="shared" si="459"/>
        <v>4.824441793823242E-2</v>
      </c>
      <c r="HH67" s="35">
        <f t="shared" si="460"/>
        <v>9.2164407516914792E-6</v>
      </c>
      <c r="HI67" s="35">
        <f t="shared" si="461"/>
        <v>4.824441793823242E-2</v>
      </c>
      <c r="HJ67" s="35">
        <f t="shared" si="462"/>
        <v>4.8274932434082034E-2</v>
      </c>
      <c r="HK67" s="35">
        <f t="shared" si="463"/>
        <v>4.825967518615723E-2</v>
      </c>
      <c r="HL67" s="35">
        <f t="shared" si="464"/>
        <v>1.6167861782712123E-6</v>
      </c>
      <c r="HM67" s="35">
        <f t="shared" si="465"/>
        <v>4.825967518615723E-2</v>
      </c>
      <c r="HN67" s="35">
        <f t="shared" si="466"/>
        <v>4.8274932434082034E-2</v>
      </c>
      <c r="HO67" s="35">
        <f t="shared" si="467"/>
        <v>4.8267303810119636E-2</v>
      </c>
      <c r="HP67" s="35">
        <f t="shared" si="468"/>
        <v>-2.1830580633208641E-6</v>
      </c>
      <c r="HQ67" s="35">
        <f t="shared" si="469"/>
        <v>4.825967518615723E-2</v>
      </c>
      <c r="HR67" s="35">
        <f t="shared" si="470"/>
        <v>4.8267303810119636E-2</v>
      </c>
      <c r="HS67" s="35">
        <f t="shared" si="471"/>
        <v>4.8263489498138433E-2</v>
      </c>
      <c r="HT67" s="35">
        <f t="shared" si="472"/>
        <v>-2.8313452959949359E-7</v>
      </c>
      <c r="HU67" s="35">
        <f t="shared" si="473"/>
        <v>4.825967518615723E-2</v>
      </c>
      <c r="HV67" s="35">
        <f t="shared" si="474"/>
        <v>4.8263489498138433E-2</v>
      </c>
      <c r="HW67" s="35">
        <f t="shared" si="475"/>
        <v>4.8261582342147835E-2</v>
      </c>
      <c r="HX67" s="35">
        <f t="shared" si="476"/>
        <v>6.6682617760882579E-7</v>
      </c>
      <c r="HY67" s="35">
        <f t="shared" si="477"/>
        <v>4.8261582342147835E-2</v>
      </c>
      <c r="HZ67" s="35">
        <f t="shared" si="478"/>
        <v>4.8263489498138433E-2</v>
      </c>
      <c r="IA67" s="35">
        <f t="shared" si="479"/>
        <v>4.8262535920143138E-2</v>
      </c>
      <c r="IB67" s="35">
        <f t="shared" si="480"/>
        <v>1.9184591226739656E-7</v>
      </c>
      <c r="IC67" s="35">
        <f t="shared" si="481"/>
        <v>4.8262535920143138E-2</v>
      </c>
      <c r="ID67" s="35">
        <f t="shared" si="482"/>
        <v>4.8263489498138433E-2</v>
      </c>
      <c r="IE67" s="35">
        <f t="shared" si="483"/>
        <v>4.8263012709140782E-2</v>
      </c>
      <c r="IF67" s="35">
        <f t="shared" si="484"/>
        <v>-4.5644286683632629E-8</v>
      </c>
      <c r="IG67" s="35">
        <f t="shared" si="485"/>
        <v>4.8262535920143138E-2</v>
      </c>
      <c r="IH67" s="35">
        <f t="shared" si="486"/>
        <v>4.8263012709140782E-2</v>
      </c>
      <c r="II67" s="35">
        <f t="shared" si="487"/>
        <v>4.826277431464196E-2</v>
      </c>
      <c r="IJ67" s="35">
        <f t="shared" si="488"/>
        <v>7.3100818509530541E-8</v>
      </c>
      <c r="IK67" s="35">
        <f t="shared" si="489"/>
        <v>4.826277431464196E-2</v>
      </c>
      <c r="IL67" s="35">
        <f t="shared" si="490"/>
        <v>4.8263012709140782E-2</v>
      </c>
      <c r="IM67" s="35">
        <f t="shared" si="491"/>
        <v>4.8262893511891371E-2</v>
      </c>
      <c r="IN67" s="35">
        <f t="shared" si="492"/>
        <v>1.3728267411750039E-8</v>
      </c>
      <c r="IO67" s="35">
        <f t="shared" si="493"/>
        <v>4.8262893511891371E-2</v>
      </c>
      <c r="IP67" s="35">
        <f t="shared" si="494"/>
        <v>4.8263012709140782E-2</v>
      </c>
      <c r="IQ67" s="35">
        <f t="shared" si="495"/>
        <v>4.826295311051608E-2</v>
      </c>
      <c r="IR67" s="35">
        <f t="shared" si="496"/>
        <v>-1.5958009247363236E-8</v>
      </c>
      <c r="IS67" s="35">
        <f t="shared" si="497"/>
        <v>4.8262893511891371E-2</v>
      </c>
      <c r="IT67" s="35">
        <f t="shared" si="498"/>
        <v>4.826295311051608E-2</v>
      </c>
      <c r="IU67" s="35">
        <f t="shared" si="499"/>
        <v>4.8262923311203729E-2</v>
      </c>
      <c r="IV67" s="35">
        <f t="shared" si="500"/>
        <v>-1.1148708622954473E-9</v>
      </c>
      <c r="IW67" s="35">
        <f t="shared" si="501"/>
        <v>4.8262893511891371E-2</v>
      </c>
      <c r="IX67" s="35">
        <f t="shared" si="502"/>
        <v>4.8262923311203729E-2</v>
      </c>
      <c r="IY67" s="35">
        <f t="shared" si="503"/>
        <v>4.8262908411547553E-2</v>
      </c>
      <c r="IZ67" s="35">
        <f t="shared" si="504"/>
        <v>6.3066982747272959E-9</v>
      </c>
      <c r="JA67" s="35">
        <f t="shared" si="505"/>
        <v>4.8262908411547553E-2</v>
      </c>
      <c r="JB67" s="35">
        <f t="shared" si="506"/>
        <v>4.8262923311203729E-2</v>
      </c>
      <c r="JC67" s="35">
        <f t="shared" si="507"/>
        <v>4.8262915861375641E-2</v>
      </c>
      <c r="JD67" s="35">
        <f t="shared" si="508"/>
        <v>2.5959137062159243E-9</v>
      </c>
      <c r="JE67" s="35">
        <f t="shared" si="509"/>
        <v>4.8262915861375641E-2</v>
      </c>
      <c r="JF67" s="35">
        <f t="shared" si="510"/>
        <v>4.8262923311203729E-2</v>
      </c>
      <c r="JG67" s="35">
        <f t="shared" si="511"/>
        <v>4.8262919586289685E-2</v>
      </c>
      <c r="JH67" s="35">
        <f t="shared" si="512"/>
        <v>7.4052119991563359E-10</v>
      </c>
      <c r="JI67" s="35">
        <f t="shared" si="513"/>
        <v>4.8262919586289685E-2</v>
      </c>
      <c r="JJ67" s="35">
        <f t="shared" si="514"/>
        <v>4.8262923311203729E-2</v>
      </c>
      <c r="JK67" s="35">
        <f t="shared" si="515"/>
        <v>4.8262921448746707E-2</v>
      </c>
      <c r="JL67" s="35">
        <f t="shared" si="516"/>
        <v>-1.8717460914530193E-10</v>
      </c>
      <c r="JM67" s="35">
        <f t="shared" si="517"/>
        <v>4.8262919586289685E-2</v>
      </c>
      <c r="JN67" s="35">
        <f t="shared" si="518"/>
        <v>4.8262921448746707E-2</v>
      </c>
      <c r="JO67" s="35">
        <f t="shared" si="519"/>
        <v>4.8262920517518196E-2</v>
      </c>
      <c r="JP67" s="35">
        <f t="shared" si="520"/>
        <v>2.7667335089631706E-10</v>
      </c>
      <c r="JQ67" s="35">
        <f t="shared" si="521"/>
        <v>4.8262920517518196E-2</v>
      </c>
      <c r="JR67" s="35">
        <f t="shared" si="522"/>
        <v>4.8262921448746707E-2</v>
      </c>
      <c r="JS67" s="35">
        <f t="shared" si="523"/>
        <v>4.8262920983132451E-2</v>
      </c>
      <c r="JT67" s="35">
        <f t="shared" si="524"/>
        <v>4.4749315364356335E-11</v>
      </c>
      <c r="JU67" s="35">
        <f t="shared" si="525"/>
        <v>4.8262920983132451E-2</v>
      </c>
      <c r="JV67" s="35">
        <f t="shared" si="526"/>
        <v>4.8262921448746707E-2</v>
      </c>
      <c r="JW67" s="35">
        <f t="shared" si="527"/>
        <v>4.8262921215939579E-2</v>
      </c>
      <c r="JX67" s="35">
        <f t="shared" si="528"/>
        <v>-7.1212702401624028E-11</v>
      </c>
      <c r="JY67" s="35">
        <f t="shared" si="529"/>
        <v>4.8262920983132451E-2</v>
      </c>
      <c r="JZ67" s="35">
        <f t="shared" si="530"/>
        <v>4.8262921215939579E-2</v>
      </c>
      <c r="KA67" s="35">
        <f t="shared" si="531"/>
        <v>1.075038074585609</v>
      </c>
      <c r="KB67" s="35">
        <f t="shared" si="532"/>
        <v>4.8262921099536019E-2</v>
      </c>
    </row>
    <row r="68" spans="1:288" ht="15" customHeight="1" x14ac:dyDescent="0.3">
      <c r="A68" s="30">
        <f>Odds_Input!A68</f>
        <v>60</v>
      </c>
      <c r="B68" s="7" t="str">
        <f>Odds_Input!B68</f>
        <v>DIV_ATLANTIC</v>
      </c>
      <c r="C68" s="7" t="str">
        <f>Odds_Input!C68</f>
        <v>Boston Celtics</v>
      </c>
      <c r="D68" s="7" t="str">
        <f>Odds_Input!D68</f>
        <v>YES</v>
      </c>
      <c r="E68" s="31" t="str">
        <f>Odds_Input!E68</f>
        <v>-</v>
      </c>
      <c r="F68" s="32">
        <f>Odds_Input!F68</f>
        <v>205</v>
      </c>
      <c r="G68" s="6" t="str">
        <f t="shared" si="0"/>
        <v>DIV_ATLANTIC</v>
      </c>
      <c r="H68" s="14">
        <f t="shared" si="1"/>
        <v>3.05</v>
      </c>
      <c r="I68" s="33">
        <f t="shared" si="2"/>
        <v>0.32786885245901642</v>
      </c>
      <c r="J68" s="17">
        <f t="shared" si="3"/>
        <v>1</v>
      </c>
      <c r="K68" s="17">
        <f t="shared" si="4"/>
        <v>5</v>
      </c>
      <c r="L68" s="18">
        <f t="shared" si="5"/>
        <v>1.1462829306340507</v>
      </c>
      <c r="M68" s="34">
        <f t="shared" si="6"/>
        <v>0.14628293063405073</v>
      </c>
      <c r="N68" s="33">
        <f t="shared" si="7"/>
        <v>0.28602785900132027</v>
      </c>
      <c r="O68" s="33">
        <f t="shared" si="8"/>
        <v>0.28889430480966916</v>
      </c>
      <c r="P68" s="33">
        <f t="shared" si="9"/>
        <v>0.29005861800286759</v>
      </c>
      <c r="Q68" s="33">
        <f t="shared" si="10"/>
        <v>0.29005861800286759</v>
      </c>
      <c r="R68" s="35">
        <f t="shared" si="11"/>
        <v>1.1134858528384939</v>
      </c>
      <c r="S68" s="35">
        <f t="shared" si="12"/>
        <v>4.6840558481252167E-2</v>
      </c>
      <c r="X68" s="6" t="s">
        <v>843</v>
      </c>
      <c r="Y68" s="6">
        <f t="shared" si="273"/>
        <v>1</v>
      </c>
      <c r="Z68" s="18">
        <f t="shared" si="274"/>
        <v>1.0445344129554655</v>
      </c>
      <c r="AA68" s="10">
        <v>0.2</v>
      </c>
      <c r="AB68" s="10">
        <v>10</v>
      </c>
      <c r="AC68" s="35">
        <f t="shared" si="275"/>
        <v>5.0999999999999996</v>
      </c>
      <c r="AD68" s="35">
        <f t="shared" si="276"/>
        <v>-0.78687535135278153</v>
      </c>
      <c r="AE68" s="35">
        <f t="shared" si="277"/>
        <v>0.2</v>
      </c>
      <c r="AF68" s="35">
        <f t="shared" si="278"/>
        <v>5.0999999999999996</v>
      </c>
      <c r="AG68" s="35">
        <f t="shared" si="279"/>
        <v>2.65</v>
      </c>
      <c r="AH68" s="35">
        <f t="shared" si="280"/>
        <v>-0.51080751128499213</v>
      </c>
      <c r="AI68" s="35">
        <f t="shared" si="281"/>
        <v>0.2</v>
      </c>
      <c r="AJ68" s="35">
        <f t="shared" si="282"/>
        <v>2.65</v>
      </c>
      <c r="AK68" s="35">
        <f t="shared" si="283"/>
        <v>1.425</v>
      </c>
      <c r="AL68" s="35">
        <f t="shared" si="284"/>
        <v>-0.16639297348321835</v>
      </c>
      <c r="AM68" s="35">
        <f t="shared" si="285"/>
        <v>0.2</v>
      </c>
      <c r="AN68" s="35">
        <f t="shared" si="286"/>
        <v>1.425</v>
      </c>
      <c r="AO68" s="35">
        <f t="shared" si="287"/>
        <v>0.8125</v>
      </c>
      <c r="AP68" s="35">
        <f t="shared" si="288"/>
        <v>0.16405526959494909</v>
      </c>
      <c r="AQ68" s="35">
        <f t="shared" si="289"/>
        <v>0.8125</v>
      </c>
      <c r="AR68" s="35">
        <f t="shared" si="290"/>
        <v>1.425</v>
      </c>
      <c r="AS68" s="35">
        <f t="shared" si="291"/>
        <v>1.1187499999999999</v>
      </c>
      <c r="AT68" s="35">
        <f t="shared" si="292"/>
        <v>-2.1895959828405864E-2</v>
      </c>
      <c r="AU68" s="35">
        <f t="shared" si="293"/>
        <v>0.8125</v>
      </c>
      <c r="AV68" s="35">
        <f t="shared" si="294"/>
        <v>1.1187499999999999</v>
      </c>
      <c r="AW68" s="35">
        <f t="shared" si="295"/>
        <v>0.96562499999999996</v>
      </c>
      <c r="AX68" s="35">
        <f t="shared" si="296"/>
        <v>6.5032687884321705E-2</v>
      </c>
      <c r="AY68" s="35">
        <f t="shared" si="297"/>
        <v>0.96562499999999996</v>
      </c>
      <c r="AZ68" s="35">
        <f t="shared" si="298"/>
        <v>1.1187499999999999</v>
      </c>
      <c r="BA68" s="35">
        <f t="shared" si="299"/>
        <v>1.0421874999999998</v>
      </c>
      <c r="BB68" s="35">
        <f t="shared" si="300"/>
        <v>2.0176665022103579E-2</v>
      </c>
      <c r="BC68" s="35">
        <f t="shared" si="301"/>
        <v>1.0421874999999998</v>
      </c>
      <c r="BD68" s="35">
        <f t="shared" si="302"/>
        <v>1.1187499999999999</v>
      </c>
      <c r="BE68" s="35">
        <f t="shared" si="303"/>
        <v>1.0804687499999999</v>
      </c>
      <c r="BF68" s="35">
        <f t="shared" si="304"/>
        <v>-1.1936911137440109E-3</v>
      </c>
      <c r="BG68" s="35">
        <f t="shared" si="305"/>
        <v>1.0421874999999998</v>
      </c>
      <c r="BH68" s="35">
        <f t="shared" si="306"/>
        <v>1.0804687499999999</v>
      </c>
      <c r="BI68" s="35">
        <f t="shared" si="307"/>
        <v>1.0613281249999997</v>
      </c>
      <c r="BJ68" s="35">
        <f t="shared" si="308"/>
        <v>9.4062882014145366E-3</v>
      </c>
      <c r="BK68" s="35">
        <f t="shared" si="309"/>
        <v>1.0613281249999997</v>
      </c>
      <c r="BL68" s="35">
        <f t="shared" si="310"/>
        <v>1.0804687499999999</v>
      </c>
      <c r="BM68" s="35">
        <f t="shared" si="311"/>
        <v>1.0708984374999999</v>
      </c>
      <c r="BN68" s="35">
        <f t="shared" si="312"/>
        <v>4.0852127178336861E-3</v>
      </c>
      <c r="BO68" s="35">
        <f t="shared" si="313"/>
        <v>1.0708984374999999</v>
      </c>
      <c r="BP68" s="35">
        <f t="shared" si="314"/>
        <v>1.0804687499999999</v>
      </c>
      <c r="BQ68" s="35">
        <f t="shared" si="315"/>
        <v>1.07568359375</v>
      </c>
      <c r="BR68" s="35">
        <f t="shared" si="316"/>
        <v>1.4405158234240822E-3</v>
      </c>
      <c r="BS68" s="35">
        <f t="shared" si="317"/>
        <v>1.07568359375</v>
      </c>
      <c r="BT68" s="35">
        <f t="shared" si="318"/>
        <v>1.0804687499999999</v>
      </c>
      <c r="BU68" s="35">
        <f t="shared" si="319"/>
        <v>1.0780761718749998</v>
      </c>
      <c r="BV68" s="35">
        <f t="shared" si="320"/>
        <v>1.2210440412241397E-4</v>
      </c>
      <c r="BW68" s="35">
        <f t="shared" si="321"/>
        <v>1.0780761718749998</v>
      </c>
      <c r="BX68" s="35">
        <f t="shared" si="322"/>
        <v>1.0804687499999999</v>
      </c>
      <c r="BY68" s="35">
        <f t="shared" si="323"/>
        <v>1.0792724609374997</v>
      </c>
      <c r="BZ68" s="35">
        <f t="shared" si="324"/>
        <v>-5.3611993173130479E-4</v>
      </c>
      <c r="CA68" s="35">
        <f t="shared" si="325"/>
        <v>1.0780761718749998</v>
      </c>
      <c r="CB68" s="35">
        <f t="shared" si="326"/>
        <v>1.0792724609374997</v>
      </c>
      <c r="CC68" s="35">
        <f t="shared" si="327"/>
        <v>1.0786743164062498</v>
      </c>
      <c r="CD68" s="35">
        <f t="shared" si="328"/>
        <v>-2.0708945933556322E-4</v>
      </c>
      <c r="CE68" s="35">
        <f t="shared" si="329"/>
        <v>1.0780761718749998</v>
      </c>
      <c r="CF68" s="35">
        <f t="shared" si="330"/>
        <v>1.0786743164062498</v>
      </c>
      <c r="CG68" s="35">
        <f t="shared" si="331"/>
        <v>1.0783752441406249</v>
      </c>
      <c r="CH68" s="35">
        <f t="shared" si="332"/>
        <v>-4.2512957906026827E-5</v>
      </c>
      <c r="CI68" s="35">
        <f t="shared" si="333"/>
        <v>1.0780761718749998</v>
      </c>
      <c r="CJ68" s="35">
        <f t="shared" si="334"/>
        <v>1.0783752441406249</v>
      </c>
      <c r="CK68" s="35">
        <f t="shared" si="335"/>
        <v>1.0782257080078124</v>
      </c>
      <c r="CL68" s="35">
        <f t="shared" si="336"/>
        <v>3.9790614731138874E-5</v>
      </c>
      <c r="CM68" s="35">
        <f t="shared" si="337"/>
        <v>1.0782257080078124</v>
      </c>
      <c r="CN68" s="35">
        <f t="shared" si="338"/>
        <v>1.0783752441406249</v>
      </c>
      <c r="CO68" s="35">
        <f t="shared" si="339"/>
        <v>1.0783004760742188</v>
      </c>
      <c r="CP68" s="35">
        <f t="shared" si="340"/>
        <v>-1.3624485815100229E-6</v>
      </c>
      <c r="CQ68" s="35">
        <f t="shared" si="341"/>
        <v>1.0782257080078124</v>
      </c>
      <c r="CR68" s="35">
        <f t="shared" si="342"/>
        <v>1.0783004760742188</v>
      </c>
      <c r="CS68" s="35">
        <f t="shared" si="343"/>
        <v>1.0782630920410154</v>
      </c>
      <c r="CT68" s="35">
        <f t="shared" si="344"/>
        <v>1.9213763813752394E-5</v>
      </c>
      <c r="CU68" s="35">
        <f t="shared" si="345"/>
        <v>1.0782630920410154</v>
      </c>
      <c r="CV68" s="35">
        <f t="shared" si="346"/>
        <v>1.0783004760742188</v>
      </c>
      <c r="CW68" s="35">
        <f t="shared" si="347"/>
        <v>1.0782817840576171</v>
      </c>
      <c r="CX68" s="35">
        <f t="shared" si="348"/>
        <v>8.9255778026320343E-6</v>
      </c>
      <c r="CY68" s="35">
        <f t="shared" si="349"/>
        <v>1.0782817840576171</v>
      </c>
      <c r="CZ68" s="35">
        <f t="shared" si="350"/>
        <v>1.0783004760742188</v>
      </c>
      <c r="DA68" s="35">
        <f t="shared" si="351"/>
        <v>1.0782911300659179</v>
      </c>
      <c r="DB68" s="35">
        <f t="shared" si="352"/>
        <v>3.7815446571887179E-6</v>
      </c>
      <c r="DC68" s="35">
        <f t="shared" si="353"/>
        <v>1.0782911300659179</v>
      </c>
      <c r="DD68" s="35">
        <f t="shared" si="354"/>
        <v>1.0783004760742188</v>
      </c>
      <c r="DE68" s="35">
        <f t="shared" si="355"/>
        <v>1.0782958030700684</v>
      </c>
      <c r="DF68" s="35">
        <f t="shared" si="356"/>
        <v>1.2095430494962756E-6</v>
      </c>
      <c r="DG68" s="35">
        <f t="shared" si="357"/>
        <v>1.0782958030700684</v>
      </c>
      <c r="DH68" s="35">
        <f t="shared" si="358"/>
        <v>1.0783004760742188</v>
      </c>
      <c r="DI68" s="35">
        <f t="shared" si="359"/>
        <v>1.0782981395721436</v>
      </c>
      <c r="DJ68" s="35">
        <f t="shared" si="360"/>
        <v>-7.6454013120397235E-8</v>
      </c>
      <c r="DK68" s="35">
        <f t="shared" si="361"/>
        <v>1.0782958030700684</v>
      </c>
      <c r="DL68" s="35">
        <f t="shared" si="362"/>
        <v>1.0782981395721436</v>
      </c>
      <c r="DM68" s="35">
        <f t="shared" si="363"/>
        <v>1.0782969713211061</v>
      </c>
      <c r="DN68" s="35">
        <f t="shared" si="364"/>
        <v>5.6654420643731385E-7</v>
      </c>
      <c r="DO68" s="35">
        <f t="shared" si="365"/>
        <v>1.0782969713211061</v>
      </c>
      <c r="DP68" s="35">
        <f t="shared" si="366"/>
        <v>1.0782981395721436</v>
      </c>
      <c r="DQ68" s="35">
        <f t="shared" si="367"/>
        <v>1.0782975554466248</v>
      </c>
      <c r="DR68" s="35">
        <f t="shared" si="368"/>
        <v>2.4504501872080198E-7</v>
      </c>
      <c r="DS68" s="35">
        <f t="shared" si="369"/>
        <v>1.0782975554466248</v>
      </c>
      <c r="DT68" s="35">
        <f t="shared" si="370"/>
        <v>1.0782981395721436</v>
      </c>
      <c r="DU68" s="35">
        <f t="shared" si="371"/>
        <v>1.0782978475093841</v>
      </c>
      <c r="DV68" s="35">
        <f t="shared" si="372"/>
        <v>8.4295483482321742E-8</v>
      </c>
      <c r="DW68" s="35">
        <f t="shared" si="373"/>
        <v>1.0782978475093841</v>
      </c>
      <c r="DX68" s="35">
        <f t="shared" si="374"/>
        <v>1.0782981395721436</v>
      </c>
      <c r="DY68" s="35">
        <f t="shared" si="375"/>
        <v>1.0782979935407639</v>
      </c>
      <c r="DZ68" s="35">
        <f t="shared" si="376"/>
        <v>3.9207301849586429E-9</v>
      </c>
      <c r="EA68" s="35">
        <f t="shared" si="377"/>
        <v>1.0782979935407639</v>
      </c>
      <c r="EB68" s="35">
        <f t="shared" si="378"/>
        <v>1.0782981395721436</v>
      </c>
      <c r="EC68" s="35">
        <f t="shared" si="379"/>
        <v>1.0782980665564539</v>
      </c>
      <c r="ED68" s="35">
        <f t="shared" si="380"/>
        <v>-3.6266642799986926E-8</v>
      </c>
      <c r="EE68" s="35">
        <f t="shared" si="381"/>
        <v>1.0782979935407639</v>
      </c>
      <c r="EF68" s="35">
        <f t="shared" si="382"/>
        <v>1.0782980665564539</v>
      </c>
      <c r="EG68" s="35">
        <f t="shared" si="383"/>
        <v>1.0782980300486089</v>
      </c>
      <c r="EH68" s="35">
        <f t="shared" si="384"/>
        <v>-1.6172956529558746E-8</v>
      </c>
      <c r="EI68" s="35">
        <f t="shared" si="385"/>
        <v>1.0782979935407639</v>
      </c>
      <c r="EJ68" s="35">
        <f t="shared" si="386"/>
        <v>1.0782980300486089</v>
      </c>
      <c r="EK68" s="35">
        <f t="shared" si="387"/>
        <v>1.0782980117946863</v>
      </c>
      <c r="EL68" s="35">
        <f t="shared" si="388"/>
        <v>-6.1261131723000517E-9</v>
      </c>
      <c r="EM68" s="35">
        <f t="shared" si="389"/>
        <v>1.0782979935407639</v>
      </c>
      <c r="EN68" s="35">
        <f t="shared" si="390"/>
        <v>1.0782980117946863</v>
      </c>
      <c r="EO68" s="35">
        <f t="shared" si="391"/>
        <v>1.0782980026677251</v>
      </c>
      <c r="EP68" s="35">
        <f t="shared" si="392"/>
        <v>-1.1026914936707044E-9</v>
      </c>
      <c r="EQ68" s="35">
        <f t="shared" si="393"/>
        <v>1.0782979935407639</v>
      </c>
      <c r="ER68" s="35">
        <f t="shared" si="394"/>
        <v>1.0782980026677251</v>
      </c>
      <c r="ES68" s="35">
        <f t="shared" si="395"/>
        <v>1.0782979981042446</v>
      </c>
      <c r="ET68" s="35">
        <f t="shared" si="396"/>
        <v>1.4090193456439692E-9</v>
      </c>
      <c r="EU68" s="35">
        <f t="shared" si="397"/>
        <v>1.0782979981042446</v>
      </c>
      <c r="EV68" s="35">
        <f t="shared" si="398"/>
        <v>1.0782980026677251</v>
      </c>
      <c r="EW68" s="35">
        <f t="shared" si="399"/>
        <v>1.0782980003859848</v>
      </c>
      <c r="EX68" s="35">
        <f t="shared" si="400"/>
        <v>1.5316414803123735E-10</v>
      </c>
      <c r="EY68" s="35">
        <f t="shared" si="401"/>
        <v>1.0782980003859848</v>
      </c>
      <c r="EZ68" s="35">
        <f t="shared" si="402"/>
        <v>1.0782980026677251</v>
      </c>
      <c r="FA68" s="10">
        <v>9.9999999999999995E-7</v>
      </c>
      <c r="FB68" s="10">
        <v>0.99990000000000001</v>
      </c>
      <c r="FC68" s="35">
        <f t="shared" si="403"/>
        <v>0.49995050000000002</v>
      </c>
      <c r="FD68" s="35">
        <f t="shared" si="404"/>
        <v>-0.20766894389852664</v>
      </c>
      <c r="FE68" s="35">
        <f t="shared" si="405"/>
        <v>9.9999999999999995E-7</v>
      </c>
      <c r="FF68" s="35">
        <f t="shared" si="406"/>
        <v>0.49995050000000002</v>
      </c>
      <c r="FG68" s="35">
        <f t="shared" si="407"/>
        <v>0.24997575</v>
      </c>
      <c r="FH68" s="35">
        <f t="shared" si="408"/>
        <v>-9.8782324552257217E-2</v>
      </c>
      <c r="FI68" s="35">
        <f t="shared" si="409"/>
        <v>9.9999999999999995E-7</v>
      </c>
      <c r="FJ68" s="35">
        <f t="shared" si="410"/>
        <v>0.24997575</v>
      </c>
      <c r="FK68" s="35">
        <f t="shared" si="411"/>
        <v>0.124988375</v>
      </c>
      <c r="FL68" s="35">
        <f t="shared" si="412"/>
        <v>-3.912752808821307E-2</v>
      </c>
      <c r="FM68" s="35">
        <f t="shared" si="413"/>
        <v>9.9999999999999995E-7</v>
      </c>
      <c r="FN68" s="35">
        <f t="shared" si="414"/>
        <v>0.124988375</v>
      </c>
      <c r="FO68" s="35">
        <f t="shared" si="415"/>
        <v>6.24946875E-2</v>
      </c>
      <c r="FP68" s="35">
        <f t="shared" si="416"/>
        <v>-8.5941761980580234E-3</v>
      </c>
      <c r="FQ68" s="35">
        <f t="shared" si="417"/>
        <v>9.9999999999999995E-7</v>
      </c>
      <c r="FR68" s="35">
        <f t="shared" si="418"/>
        <v>6.24946875E-2</v>
      </c>
      <c r="FS68" s="35">
        <f t="shared" si="419"/>
        <v>3.124784375E-2</v>
      </c>
      <c r="FT68" s="35">
        <f t="shared" si="420"/>
        <v>6.7235892978929623E-3</v>
      </c>
      <c r="FU68" s="35">
        <f t="shared" si="421"/>
        <v>3.124784375E-2</v>
      </c>
      <c r="FV68" s="35">
        <f t="shared" si="422"/>
        <v>6.24946875E-2</v>
      </c>
      <c r="FW68" s="35">
        <f t="shared" si="423"/>
        <v>4.6871265624999998E-2</v>
      </c>
      <c r="FX68" s="35">
        <f t="shared" si="424"/>
        <v>-9.3554362547543235E-4</v>
      </c>
      <c r="FY68" s="35">
        <f t="shared" si="425"/>
        <v>3.124784375E-2</v>
      </c>
      <c r="FZ68" s="35">
        <f t="shared" si="426"/>
        <v>4.6871265624999998E-2</v>
      </c>
      <c r="GA68" s="35">
        <f t="shared" si="427"/>
        <v>3.9059554687499998E-2</v>
      </c>
      <c r="GB68" s="35">
        <f t="shared" si="428"/>
        <v>2.8942616703819812E-3</v>
      </c>
      <c r="GC68" s="35">
        <f t="shared" si="429"/>
        <v>3.9059554687499998E-2</v>
      </c>
      <c r="GD68" s="35">
        <f t="shared" si="430"/>
        <v>4.6871265624999998E-2</v>
      </c>
      <c r="GE68" s="35">
        <f t="shared" si="431"/>
        <v>4.2965410156249995E-2</v>
      </c>
      <c r="GF68" s="35">
        <f t="shared" si="432"/>
        <v>9.793811208163028E-4</v>
      </c>
      <c r="GG68" s="35">
        <f t="shared" si="433"/>
        <v>4.2965410156249995E-2</v>
      </c>
      <c r="GH68" s="35">
        <f t="shared" si="434"/>
        <v>4.6871265624999998E-2</v>
      </c>
      <c r="GI68" s="35">
        <f t="shared" si="435"/>
        <v>4.4918337890624993E-2</v>
      </c>
      <c r="GJ68" s="35">
        <f t="shared" si="436"/>
        <v>2.1919564008099357E-5</v>
      </c>
      <c r="GK68" s="35">
        <f t="shared" si="437"/>
        <v>4.4918337890624993E-2</v>
      </c>
      <c r="GL68" s="35">
        <f t="shared" si="438"/>
        <v>4.6871265624999998E-2</v>
      </c>
      <c r="GM68" s="35">
        <f t="shared" si="439"/>
        <v>4.5894801757812492E-2</v>
      </c>
      <c r="GN68" s="35">
        <f t="shared" si="440"/>
        <v>-4.568124155372999E-4</v>
      </c>
      <c r="GO68" s="35">
        <f t="shared" si="441"/>
        <v>4.4918337890624993E-2</v>
      </c>
      <c r="GP68" s="35">
        <f t="shared" si="442"/>
        <v>4.5894801757812492E-2</v>
      </c>
      <c r="GQ68" s="35">
        <f t="shared" si="443"/>
        <v>4.5406569824218743E-2</v>
      </c>
      <c r="GR68" s="35">
        <f t="shared" si="444"/>
        <v>-2.174464483400973E-4</v>
      </c>
      <c r="GS68" s="35">
        <f t="shared" si="445"/>
        <v>4.4918337890624993E-2</v>
      </c>
      <c r="GT68" s="35">
        <f t="shared" si="446"/>
        <v>4.5406569824218743E-2</v>
      </c>
      <c r="GU68" s="35">
        <f t="shared" si="447"/>
        <v>4.5162453857421868E-2</v>
      </c>
      <c r="GV68" s="35">
        <f t="shared" si="448"/>
        <v>-9.776343860790071E-5</v>
      </c>
      <c r="GW68" s="35">
        <f t="shared" si="449"/>
        <v>4.4918337890624993E-2</v>
      </c>
      <c r="GX68" s="35">
        <f t="shared" si="450"/>
        <v>4.5162453857421868E-2</v>
      </c>
      <c r="GY68" s="35">
        <f t="shared" si="451"/>
        <v>4.5040395874023434E-2</v>
      </c>
      <c r="GZ68" s="35">
        <f t="shared" si="452"/>
        <v>-3.7921935260198936E-5</v>
      </c>
      <c r="HA68" s="35">
        <f t="shared" si="453"/>
        <v>4.4918337890624993E-2</v>
      </c>
      <c r="HB68" s="35">
        <f t="shared" si="454"/>
        <v>4.5040395874023434E-2</v>
      </c>
      <c r="HC68" s="35">
        <f t="shared" si="455"/>
        <v>4.4979366882324213E-2</v>
      </c>
      <c r="HD68" s="35">
        <f t="shared" si="456"/>
        <v>-8.0011849722394501E-6</v>
      </c>
      <c r="HE68" s="35">
        <f t="shared" si="457"/>
        <v>4.4918337890624993E-2</v>
      </c>
      <c r="HF68" s="35">
        <f t="shared" si="458"/>
        <v>4.4979366882324213E-2</v>
      </c>
      <c r="HG68" s="35">
        <f t="shared" si="459"/>
        <v>4.49488523864746E-2</v>
      </c>
      <c r="HH68" s="35">
        <f t="shared" si="460"/>
        <v>6.9591896991738622E-6</v>
      </c>
      <c r="HI68" s="35">
        <f t="shared" si="461"/>
        <v>4.49488523864746E-2</v>
      </c>
      <c r="HJ68" s="35">
        <f t="shared" si="462"/>
        <v>4.4979366882324213E-2</v>
      </c>
      <c r="HK68" s="35">
        <f t="shared" si="463"/>
        <v>4.496410963439941E-2</v>
      </c>
      <c r="HL68" s="35">
        <f t="shared" si="464"/>
        <v>-5.2099759340062946E-7</v>
      </c>
      <c r="HM68" s="35">
        <f t="shared" si="465"/>
        <v>4.49488523864746E-2</v>
      </c>
      <c r="HN68" s="35">
        <f t="shared" si="466"/>
        <v>4.496410963439941E-2</v>
      </c>
      <c r="HO68" s="35">
        <f t="shared" si="467"/>
        <v>4.4956481010437005E-2</v>
      </c>
      <c r="HP68" s="35">
        <f t="shared" si="468"/>
        <v>3.2190960639333355E-6</v>
      </c>
      <c r="HQ68" s="35">
        <f t="shared" si="469"/>
        <v>4.4956481010437005E-2</v>
      </c>
      <c r="HR68" s="35">
        <f t="shared" si="470"/>
        <v>4.496410963439941E-2</v>
      </c>
      <c r="HS68" s="35">
        <f t="shared" si="471"/>
        <v>4.4960295322418208E-2</v>
      </c>
      <c r="HT68" s="35">
        <f t="shared" si="472"/>
        <v>1.3490492380974217E-6</v>
      </c>
      <c r="HU68" s="35">
        <f t="shared" si="473"/>
        <v>4.4960295322418208E-2</v>
      </c>
      <c r="HV68" s="35">
        <f t="shared" si="474"/>
        <v>4.496410963439941E-2</v>
      </c>
      <c r="HW68" s="35">
        <f t="shared" si="475"/>
        <v>4.4962202478408805E-2</v>
      </c>
      <c r="HX68" s="35">
        <f t="shared" si="476"/>
        <v>4.140258229590188E-7</v>
      </c>
      <c r="HY68" s="35">
        <f t="shared" si="477"/>
        <v>4.4962202478408805E-2</v>
      </c>
      <c r="HZ68" s="35">
        <f t="shared" si="478"/>
        <v>4.496410963439941E-2</v>
      </c>
      <c r="IA68" s="35">
        <f t="shared" si="479"/>
        <v>4.4963156056404108E-2</v>
      </c>
      <c r="IB68" s="35">
        <f t="shared" si="480"/>
        <v>-5.3485885054271876E-8</v>
      </c>
      <c r="IC68" s="35">
        <f t="shared" si="481"/>
        <v>4.4962202478408805E-2</v>
      </c>
      <c r="ID68" s="35">
        <f t="shared" si="482"/>
        <v>4.4963156056404108E-2</v>
      </c>
      <c r="IE68" s="35">
        <f t="shared" si="483"/>
        <v>4.4962679267406457E-2</v>
      </c>
      <c r="IF68" s="35">
        <f t="shared" si="484"/>
        <v>1.8026996895237346E-7</v>
      </c>
      <c r="IG68" s="35">
        <f t="shared" si="485"/>
        <v>4.4962679267406457E-2</v>
      </c>
      <c r="IH68" s="35">
        <f t="shared" si="486"/>
        <v>4.4963156056404108E-2</v>
      </c>
      <c r="II68" s="35">
        <f t="shared" si="487"/>
        <v>4.4962917661905286E-2</v>
      </c>
      <c r="IJ68" s="35">
        <f t="shared" si="488"/>
        <v>6.3392042060073095E-8</v>
      </c>
      <c r="IK68" s="35">
        <f t="shared" si="489"/>
        <v>4.4962917661905286E-2</v>
      </c>
      <c r="IL68" s="35">
        <f t="shared" si="490"/>
        <v>4.4963156056404108E-2</v>
      </c>
      <c r="IM68" s="35">
        <f t="shared" si="491"/>
        <v>4.4963036859154697E-2</v>
      </c>
      <c r="IN68" s="35">
        <f t="shared" si="492"/>
        <v>4.9530783918783072E-9</v>
      </c>
      <c r="IO68" s="35">
        <f t="shared" si="493"/>
        <v>4.4963036859154697E-2</v>
      </c>
      <c r="IP68" s="35">
        <f t="shared" si="494"/>
        <v>4.4963156056404108E-2</v>
      </c>
      <c r="IQ68" s="35">
        <f t="shared" si="495"/>
        <v>4.4963096457779406E-2</v>
      </c>
      <c r="IR68" s="35">
        <f t="shared" si="496"/>
        <v>-2.4266403220174482E-8</v>
      </c>
      <c r="IS68" s="35">
        <f t="shared" si="497"/>
        <v>4.4963036859154697E-2</v>
      </c>
      <c r="IT68" s="35">
        <f t="shared" si="498"/>
        <v>4.4963096457779406E-2</v>
      </c>
      <c r="IU68" s="35">
        <f t="shared" si="499"/>
        <v>4.4963066658467055E-2</v>
      </c>
      <c r="IV68" s="35">
        <f t="shared" si="500"/>
        <v>-9.656662358636936E-9</v>
      </c>
      <c r="IW68" s="35">
        <f t="shared" si="501"/>
        <v>4.4963036859154697E-2</v>
      </c>
      <c r="IX68" s="35">
        <f t="shared" si="502"/>
        <v>4.4963066658467055E-2</v>
      </c>
      <c r="IY68" s="35">
        <f t="shared" si="503"/>
        <v>4.4963051758810879E-2</v>
      </c>
      <c r="IZ68" s="35">
        <f t="shared" si="504"/>
        <v>-2.3517919833793144E-9</v>
      </c>
      <c r="JA68" s="35">
        <f t="shared" si="505"/>
        <v>4.4963036859154697E-2</v>
      </c>
      <c r="JB68" s="35">
        <f t="shared" si="506"/>
        <v>4.4963051758810879E-2</v>
      </c>
      <c r="JC68" s="35">
        <f t="shared" si="507"/>
        <v>4.4963044308982791E-2</v>
      </c>
      <c r="JD68" s="35">
        <f t="shared" si="508"/>
        <v>1.3006431487383452E-9</v>
      </c>
      <c r="JE68" s="35">
        <f t="shared" si="509"/>
        <v>4.4963044308982791E-2</v>
      </c>
      <c r="JF68" s="35">
        <f t="shared" si="510"/>
        <v>4.4963051758810879E-2</v>
      </c>
      <c r="JG68" s="35">
        <f t="shared" si="511"/>
        <v>4.4963048033896835E-2</v>
      </c>
      <c r="JH68" s="35">
        <f t="shared" si="512"/>
        <v>-5.2557436180933337E-10</v>
      </c>
      <c r="JI68" s="35">
        <f t="shared" si="513"/>
        <v>4.4963044308982791E-2</v>
      </c>
      <c r="JJ68" s="35">
        <f t="shared" si="514"/>
        <v>4.4963048033896835E-2</v>
      </c>
      <c r="JK68" s="35">
        <f t="shared" si="515"/>
        <v>4.4963046171439813E-2</v>
      </c>
      <c r="JL68" s="35">
        <f t="shared" si="516"/>
        <v>3.8753444897565714E-10</v>
      </c>
      <c r="JM68" s="35">
        <f t="shared" si="517"/>
        <v>4.4963046171439813E-2</v>
      </c>
      <c r="JN68" s="35">
        <f t="shared" si="518"/>
        <v>4.4963048033896835E-2</v>
      </c>
      <c r="JO68" s="35">
        <f t="shared" si="519"/>
        <v>4.4963047102668324E-2</v>
      </c>
      <c r="JP68" s="35">
        <f t="shared" si="520"/>
        <v>-6.9019789883384419E-11</v>
      </c>
      <c r="JQ68" s="35">
        <f t="shared" si="521"/>
        <v>4.4963046171439813E-2</v>
      </c>
      <c r="JR68" s="35">
        <f t="shared" si="522"/>
        <v>4.4963047102668324E-2</v>
      </c>
      <c r="JS68" s="35">
        <f t="shared" si="523"/>
        <v>4.4963046637054069E-2</v>
      </c>
      <c r="JT68" s="35">
        <f t="shared" si="524"/>
        <v>1.5925727403498513E-10</v>
      </c>
      <c r="JU68" s="35">
        <f t="shared" si="525"/>
        <v>4.4963046637054069E-2</v>
      </c>
      <c r="JV68" s="35">
        <f t="shared" si="526"/>
        <v>4.4963047102668324E-2</v>
      </c>
      <c r="JW68" s="35">
        <f t="shared" si="527"/>
        <v>4.4963046869861197E-2</v>
      </c>
      <c r="JX68" s="35">
        <f t="shared" si="528"/>
        <v>4.5118575542346662E-11</v>
      </c>
      <c r="JY68" s="35">
        <f t="shared" si="529"/>
        <v>4.4963046869861197E-2</v>
      </c>
      <c r="JZ68" s="35">
        <f t="shared" si="530"/>
        <v>4.4963047102668324E-2</v>
      </c>
      <c r="KA68" s="35">
        <f t="shared" si="531"/>
        <v>1.0782980015268548</v>
      </c>
      <c r="KB68" s="35">
        <f t="shared" si="532"/>
        <v>4.4963046986264757E-2</v>
      </c>
    </row>
    <row r="69" spans="1:288" ht="15" customHeight="1" x14ac:dyDescent="0.3">
      <c r="A69" s="30">
        <f>Odds_Input!A69</f>
        <v>61</v>
      </c>
      <c r="B69" s="7" t="str">
        <f>Odds_Input!B69</f>
        <v>DIV_ATLANTIC</v>
      </c>
      <c r="C69" s="7" t="str">
        <f>Odds_Input!C69</f>
        <v>Brooklyn Nets</v>
      </c>
      <c r="D69" s="7" t="str">
        <f>Odds_Input!D69</f>
        <v>YES</v>
      </c>
      <c r="E69" s="31" t="str">
        <f>Odds_Input!E69</f>
        <v>-</v>
      </c>
      <c r="F69" s="32">
        <f>Odds_Input!F69</f>
        <v>25000</v>
      </c>
      <c r="G69" s="6" t="str">
        <f t="shared" si="0"/>
        <v>DIV_ATLANTIC</v>
      </c>
      <c r="H69" s="14">
        <f t="shared" si="1"/>
        <v>251</v>
      </c>
      <c r="I69" s="33">
        <f t="shared" si="2"/>
        <v>3.9840637450199202E-3</v>
      </c>
      <c r="J69" s="17">
        <f t="shared" si="3"/>
        <v>1</v>
      </c>
      <c r="K69" s="17">
        <f t="shared" si="4"/>
        <v>5</v>
      </c>
      <c r="L69" s="18">
        <f t="shared" si="5"/>
        <v>1.1462829306340507</v>
      </c>
      <c r="M69" s="34">
        <f t="shared" si="6"/>
        <v>0.14628293063405073</v>
      </c>
      <c r="N69" s="33">
        <f t="shared" si="7"/>
        <v>3.4756373304941301E-3</v>
      </c>
      <c r="O69" s="33">
        <f t="shared" si="8"/>
        <v>2.1281256179613681E-3</v>
      </c>
      <c r="P69" s="33">
        <f t="shared" si="9"/>
        <v>2.9386601931075519E-4</v>
      </c>
      <c r="Q69" s="33">
        <f t="shared" si="10"/>
        <v>2.9386601931075519E-4</v>
      </c>
      <c r="R69" s="35">
        <f t="shared" si="11"/>
        <v>1.1134858528384939</v>
      </c>
      <c r="S69" s="35">
        <f t="shared" si="12"/>
        <v>4.6840558481252167E-2</v>
      </c>
      <c r="X69" s="6" t="s">
        <v>844</v>
      </c>
      <c r="Y69" s="6">
        <f t="shared" si="273"/>
        <v>1</v>
      </c>
      <c r="Z69" s="18">
        <f t="shared" si="274"/>
        <v>1.0566801619433197</v>
      </c>
      <c r="AA69" s="10">
        <v>0.2</v>
      </c>
      <c r="AB69" s="10">
        <v>10</v>
      </c>
      <c r="AC69" s="35">
        <f t="shared" si="275"/>
        <v>5.0999999999999996</v>
      </c>
      <c r="AD69" s="35">
        <f t="shared" si="276"/>
        <v>-0.57307484895679273</v>
      </c>
      <c r="AE69" s="35">
        <f t="shared" si="277"/>
        <v>0.2</v>
      </c>
      <c r="AF69" s="35">
        <f t="shared" si="278"/>
        <v>5.0999999999999996</v>
      </c>
      <c r="AG69" s="35">
        <f t="shared" si="279"/>
        <v>2.65</v>
      </c>
      <c r="AH69" s="35">
        <f t="shared" si="280"/>
        <v>-0.34159821431558346</v>
      </c>
      <c r="AI69" s="35">
        <f t="shared" si="281"/>
        <v>0.2</v>
      </c>
      <c r="AJ69" s="35">
        <f t="shared" si="282"/>
        <v>2.65</v>
      </c>
      <c r="AK69" s="35">
        <f t="shared" si="283"/>
        <v>1.425</v>
      </c>
      <c r="AL69" s="35">
        <f t="shared" si="284"/>
        <v>-0.10326790795989271</v>
      </c>
      <c r="AM69" s="35">
        <f t="shared" si="285"/>
        <v>0.2</v>
      </c>
      <c r="AN69" s="35">
        <f t="shared" si="286"/>
        <v>1.425</v>
      </c>
      <c r="AO69" s="35">
        <f t="shared" si="287"/>
        <v>0.8125</v>
      </c>
      <c r="AP69" s="35">
        <f t="shared" si="288"/>
        <v>0.15503638327173164</v>
      </c>
      <c r="AQ69" s="35">
        <f t="shared" si="289"/>
        <v>0.8125</v>
      </c>
      <c r="AR69" s="35">
        <f t="shared" si="290"/>
        <v>1.425</v>
      </c>
      <c r="AS69" s="35">
        <f t="shared" si="291"/>
        <v>1.1187499999999999</v>
      </c>
      <c r="AT69" s="35">
        <f t="shared" si="292"/>
        <v>4.4976536028855651E-3</v>
      </c>
      <c r="AU69" s="35">
        <f t="shared" si="293"/>
        <v>1.1187499999999999</v>
      </c>
      <c r="AV69" s="35">
        <f t="shared" si="294"/>
        <v>1.425</v>
      </c>
      <c r="AW69" s="35">
        <f t="shared" si="295"/>
        <v>1.2718750000000001</v>
      </c>
      <c r="AX69" s="35">
        <f t="shared" si="296"/>
        <v>-5.3591239686168302E-2</v>
      </c>
      <c r="AY69" s="35">
        <f t="shared" si="297"/>
        <v>1.1187499999999999</v>
      </c>
      <c r="AZ69" s="35">
        <f t="shared" si="298"/>
        <v>1.2718750000000001</v>
      </c>
      <c r="BA69" s="35">
        <f t="shared" si="299"/>
        <v>1.1953125</v>
      </c>
      <c r="BB69" s="35">
        <f t="shared" si="300"/>
        <v>-2.5720080458371819E-2</v>
      </c>
      <c r="BC69" s="35">
        <f t="shared" si="301"/>
        <v>1.1187499999999999</v>
      </c>
      <c r="BD69" s="35">
        <f t="shared" si="302"/>
        <v>1.1953125</v>
      </c>
      <c r="BE69" s="35">
        <f t="shared" si="303"/>
        <v>1.15703125</v>
      </c>
      <c r="BF69" s="35">
        <f t="shared" si="304"/>
        <v>-1.0921380569162253E-2</v>
      </c>
      <c r="BG69" s="35">
        <f t="shared" si="305"/>
        <v>1.1187499999999999</v>
      </c>
      <c r="BH69" s="35">
        <f t="shared" si="306"/>
        <v>1.15703125</v>
      </c>
      <c r="BI69" s="35">
        <f t="shared" si="307"/>
        <v>1.1378906249999998</v>
      </c>
      <c r="BJ69" s="35">
        <f t="shared" si="308"/>
        <v>-3.291621822841595E-3</v>
      </c>
      <c r="BK69" s="35">
        <f t="shared" si="309"/>
        <v>1.1187499999999999</v>
      </c>
      <c r="BL69" s="35">
        <f t="shared" si="310"/>
        <v>1.1378906249999998</v>
      </c>
      <c r="BM69" s="35">
        <f t="shared" si="311"/>
        <v>1.1283203124999999</v>
      </c>
      <c r="BN69" s="35">
        <f t="shared" si="312"/>
        <v>5.8279199125466086E-4</v>
      </c>
      <c r="BO69" s="35">
        <f t="shared" si="313"/>
        <v>1.1283203124999999</v>
      </c>
      <c r="BP69" s="35">
        <f t="shared" si="314"/>
        <v>1.1378906249999998</v>
      </c>
      <c r="BQ69" s="35">
        <f t="shared" si="315"/>
        <v>1.1331054687499997</v>
      </c>
      <c r="BR69" s="35">
        <f t="shared" si="316"/>
        <v>-1.3594350215485607E-3</v>
      </c>
      <c r="BS69" s="35">
        <f t="shared" si="317"/>
        <v>1.1283203124999999</v>
      </c>
      <c r="BT69" s="35">
        <f t="shared" si="318"/>
        <v>1.1331054687499997</v>
      </c>
      <c r="BU69" s="35">
        <f t="shared" si="319"/>
        <v>1.1307128906249999</v>
      </c>
      <c r="BV69" s="35">
        <f t="shared" si="320"/>
        <v>-3.8958100442698651E-4</v>
      </c>
      <c r="BW69" s="35">
        <f t="shared" si="321"/>
        <v>1.1283203124999999</v>
      </c>
      <c r="BX69" s="35">
        <f t="shared" si="322"/>
        <v>1.1307128906249999</v>
      </c>
      <c r="BY69" s="35">
        <f t="shared" si="323"/>
        <v>1.1295166015625</v>
      </c>
      <c r="BZ69" s="35">
        <f t="shared" si="324"/>
        <v>9.629006142675145E-5</v>
      </c>
      <c r="CA69" s="35">
        <f t="shared" si="325"/>
        <v>1.1295166015625</v>
      </c>
      <c r="CB69" s="35">
        <f t="shared" si="326"/>
        <v>1.1307128906249999</v>
      </c>
      <c r="CC69" s="35">
        <f t="shared" si="327"/>
        <v>1.13011474609375</v>
      </c>
      <c r="CD69" s="35">
        <f t="shared" si="328"/>
        <v>-1.4672425945749801E-4</v>
      </c>
      <c r="CE69" s="35">
        <f t="shared" si="329"/>
        <v>1.1295166015625</v>
      </c>
      <c r="CF69" s="35">
        <f t="shared" si="330"/>
        <v>1.13011474609375</v>
      </c>
      <c r="CG69" s="35">
        <f t="shared" si="331"/>
        <v>1.1298156738281251</v>
      </c>
      <c r="CH69" s="35">
        <f t="shared" si="332"/>
        <v>-2.5236804754524833E-5</v>
      </c>
      <c r="CI69" s="35">
        <f t="shared" si="333"/>
        <v>1.1295166015625</v>
      </c>
      <c r="CJ69" s="35">
        <f t="shared" si="334"/>
        <v>1.1298156738281251</v>
      </c>
      <c r="CK69" s="35">
        <f t="shared" si="335"/>
        <v>1.1296661376953125</v>
      </c>
      <c r="CL69" s="35">
        <f t="shared" si="336"/>
        <v>3.5521700807228385E-5</v>
      </c>
      <c r="CM69" s="35">
        <f t="shared" si="337"/>
        <v>1.1296661376953125</v>
      </c>
      <c r="CN69" s="35">
        <f t="shared" si="338"/>
        <v>1.1298156738281251</v>
      </c>
      <c r="CO69" s="35">
        <f t="shared" si="339"/>
        <v>1.1297409057617189</v>
      </c>
      <c r="CP69" s="35">
        <f t="shared" si="340"/>
        <v>5.1412162807018547E-6</v>
      </c>
      <c r="CQ69" s="35">
        <f t="shared" si="341"/>
        <v>1.1297409057617189</v>
      </c>
      <c r="CR69" s="35">
        <f t="shared" si="342"/>
        <v>1.1298156738281251</v>
      </c>
      <c r="CS69" s="35">
        <f t="shared" si="343"/>
        <v>1.129778289794922</v>
      </c>
      <c r="CT69" s="35">
        <f t="shared" si="344"/>
        <v>-1.0048102156101635E-5</v>
      </c>
      <c r="CU69" s="35">
        <f t="shared" si="345"/>
        <v>1.1297409057617189</v>
      </c>
      <c r="CV69" s="35">
        <f t="shared" si="346"/>
        <v>1.129778289794922</v>
      </c>
      <c r="CW69" s="35">
        <f t="shared" si="347"/>
        <v>1.1297595977783206</v>
      </c>
      <c r="CX69" s="35">
        <f t="shared" si="348"/>
        <v>-2.4535199196762392E-6</v>
      </c>
      <c r="CY69" s="35">
        <f t="shared" si="349"/>
        <v>1.1297409057617189</v>
      </c>
      <c r="CZ69" s="35">
        <f t="shared" si="350"/>
        <v>1.1297595977783206</v>
      </c>
      <c r="DA69" s="35">
        <f t="shared" si="351"/>
        <v>1.1297502517700198</v>
      </c>
      <c r="DB69" s="35">
        <f t="shared" si="352"/>
        <v>1.3438289347966759E-6</v>
      </c>
      <c r="DC69" s="35">
        <f t="shared" si="353"/>
        <v>1.1297502517700198</v>
      </c>
      <c r="DD69" s="35">
        <f t="shared" si="354"/>
        <v>1.1297595977783206</v>
      </c>
      <c r="DE69" s="35">
        <f t="shared" si="355"/>
        <v>1.1297549247741703</v>
      </c>
      <c r="DF69" s="35">
        <f t="shared" si="356"/>
        <v>-5.5485030381330347E-7</v>
      </c>
      <c r="DG69" s="35">
        <f t="shared" si="357"/>
        <v>1.1297502517700198</v>
      </c>
      <c r="DH69" s="35">
        <f t="shared" si="358"/>
        <v>1.1297549247741703</v>
      </c>
      <c r="DI69" s="35">
        <f t="shared" si="359"/>
        <v>1.1297525882720949</v>
      </c>
      <c r="DJ69" s="35">
        <f t="shared" si="360"/>
        <v>3.9448811262055017E-7</v>
      </c>
      <c r="DK69" s="35">
        <f t="shared" si="361"/>
        <v>1.1297525882720949</v>
      </c>
      <c r="DL69" s="35">
        <f t="shared" si="362"/>
        <v>1.1297549247741703</v>
      </c>
      <c r="DM69" s="35">
        <f t="shared" si="363"/>
        <v>1.1297537565231326</v>
      </c>
      <c r="DN69" s="35">
        <f t="shared" si="364"/>
        <v>-8.018139630028287E-8</v>
      </c>
      <c r="DO69" s="35">
        <f t="shared" si="365"/>
        <v>1.1297525882720949</v>
      </c>
      <c r="DP69" s="35">
        <f t="shared" si="366"/>
        <v>1.1297537565231326</v>
      </c>
      <c r="DQ69" s="35">
        <f t="shared" si="367"/>
        <v>1.1297531723976137</v>
      </c>
      <c r="DR69" s="35">
        <f t="shared" si="368"/>
        <v>1.5715328305354603E-7</v>
      </c>
      <c r="DS69" s="35">
        <f t="shared" si="369"/>
        <v>1.1297531723976137</v>
      </c>
      <c r="DT69" s="35">
        <f t="shared" si="370"/>
        <v>1.1297537565231326</v>
      </c>
      <c r="DU69" s="35">
        <f t="shared" si="371"/>
        <v>1.1297534644603733</v>
      </c>
      <c r="DV69" s="35">
        <f t="shared" si="372"/>
        <v>3.8485924447329012E-8</v>
      </c>
      <c r="DW69" s="35">
        <f t="shared" si="373"/>
        <v>1.1297534644603733</v>
      </c>
      <c r="DX69" s="35">
        <f t="shared" si="374"/>
        <v>1.1297537565231326</v>
      </c>
      <c r="DY69" s="35">
        <f t="shared" si="375"/>
        <v>1.1297536104917529</v>
      </c>
      <c r="DZ69" s="35">
        <f t="shared" si="376"/>
        <v>-2.0847740644924784E-8</v>
      </c>
      <c r="EA69" s="35">
        <f t="shared" si="377"/>
        <v>1.1297534644603733</v>
      </c>
      <c r="EB69" s="35">
        <f t="shared" si="378"/>
        <v>1.1297536104917529</v>
      </c>
      <c r="EC69" s="35">
        <f t="shared" si="379"/>
        <v>1.1297535374760632</v>
      </c>
      <c r="ED69" s="35">
        <f t="shared" si="380"/>
        <v>8.8190907909790894E-9</v>
      </c>
      <c r="EE69" s="35">
        <f t="shared" si="381"/>
        <v>1.1297535374760632</v>
      </c>
      <c r="EF69" s="35">
        <f t="shared" si="382"/>
        <v>1.1297536104917529</v>
      </c>
      <c r="EG69" s="35">
        <f t="shared" si="383"/>
        <v>1.129753573983908</v>
      </c>
      <c r="EH69" s="35">
        <f t="shared" si="384"/>
        <v>-6.0143251490174521E-9</v>
      </c>
      <c r="EI69" s="35">
        <f t="shared" si="385"/>
        <v>1.1297535374760632</v>
      </c>
      <c r="EJ69" s="35">
        <f t="shared" si="386"/>
        <v>1.129753573983908</v>
      </c>
      <c r="EK69" s="35">
        <f t="shared" si="387"/>
        <v>1.1297535557299856</v>
      </c>
      <c r="EL69" s="35">
        <f t="shared" si="388"/>
        <v>1.402382654447365E-9</v>
      </c>
      <c r="EM69" s="35">
        <f t="shared" si="389"/>
        <v>1.1297535557299856</v>
      </c>
      <c r="EN69" s="35">
        <f t="shared" si="390"/>
        <v>1.129753573983908</v>
      </c>
      <c r="EO69" s="35">
        <f t="shared" si="391"/>
        <v>1.1297535648569468</v>
      </c>
      <c r="EP69" s="35">
        <f t="shared" si="392"/>
        <v>-2.3059713027961948E-9</v>
      </c>
      <c r="EQ69" s="35">
        <f t="shared" si="393"/>
        <v>1.1297535557299856</v>
      </c>
      <c r="ER69" s="35">
        <f t="shared" si="394"/>
        <v>1.1297535648569468</v>
      </c>
      <c r="ES69" s="35">
        <f t="shared" si="395"/>
        <v>1.1297535602934663</v>
      </c>
      <c r="ET69" s="35">
        <f t="shared" si="396"/>
        <v>-4.5179437968556613E-10</v>
      </c>
      <c r="EU69" s="35">
        <f t="shared" si="397"/>
        <v>1.1297535557299856</v>
      </c>
      <c r="EV69" s="35">
        <f t="shared" si="398"/>
        <v>1.1297535602934663</v>
      </c>
      <c r="EW69" s="35">
        <f t="shared" si="399"/>
        <v>1.1297535580117259</v>
      </c>
      <c r="EX69" s="35">
        <f t="shared" si="400"/>
        <v>4.7529424840320189E-10</v>
      </c>
      <c r="EY69" s="35">
        <f t="shared" si="401"/>
        <v>1.1297535580117259</v>
      </c>
      <c r="EZ69" s="35">
        <f t="shared" si="402"/>
        <v>1.1297535602934663</v>
      </c>
      <c r="FA69" s="10">
        <v>9.9999999999999995E-7</v>
      </c>
      <c r="FB69" s="10">
        <v>0.99990000000000001</v>
      </c>
      <c r="FC69" s="35">
        <f t="shared" si="403"/>
        <v>0.49995050000000002</v>
      </c>
      <c r="FD69" s="35">
        <f t="shared" si="404"/>
        <v>-0.15521418701872147</v>
      </c>
      <c r="FE69" s="35">
        <f t="shared" si="405"/>
        <v>9.9999999999999995E-7</v>
      </c>
      <c r="FF69" s="35">
        <f t="shared" si="406"/>
        <v>0.49995050000000002</v>
      </c>
      <c r="FG69" s="35">
        <f t="shared" si="407"/>
        <v>0.24997575</v>
      </c>
      <c r="FH69" s="35">
        <f t="shared" si="408"/>
        <v>-7.9019495512587468E-2</v>
      </c>
      <c r="FI69" s="35">
        <f t="shared" si="409"/>
        <v>9.9999999999999995E-7</v>
      </c>
      <c r="FJ69" s="35">
        <f t="shared" si="410"/>
        <v>0.24997575</v>
      </c>
      <c r="FK69" s="35">
        <f t="shared" si="411"/>
        <v>0.124988375</v>
      </c>
      <c r="FL69" s="35">
        <f t="shared" si="412"/>
        <v>-2.9676729252918754E-2</v>
      </c>
      <c r="FM69" s="35">
        <f t="shared" si="413"/>
        <v>9.9999999999999995E-7</v>
      </c>
      <c r="FN69" s="35">
        <f t="shared" si="414"/>
        <v>0.124988375</v>
      </c>
      <c r="FO69" s="35">
        <f t="shared" si="415"/>
        <v>6.24946875E-2</v>
      </c>
      <c r="FP69" s="35">
        <f t="shared" si="416"/>
        <v>-1.7389048874490998E-3</v>
      </c>
      <c r="FQ69" s="35">
        <f t="shared" si="417"/>
        <v>9.9999999999999995E-7</v>
      </c>
      <c r="FR69" s="35">
        <f t="shared" si="418"/>
        <v>6.24946875E-2</v>
      </c>
      <c r="FS69" s="35">
        <f t="shared" si="419"/>
        <v>3.124784375E-2</v>
      </c>
      <c r="FT69" s="35">
        <f t="shared" si="420"/>
        <v>1.292038256696415E-2</v>
      </c>
      <c r="FU69" s="35">
        <f t="shared" si="421"/>
        <v>3.124784375E-2</v>
      </c>
      <c r="FV69" s="35">
        <f t="shared" si="422"/>
        <v>6.24946875E-2</v>
      </c>
      <c r="FW69" s="35">
        <f t="shared" si="423"/>
        <v>4.6871265624999998E-2</v>
      </c>
      <c r="FX69" s="35">
        <f t="shared" si="424"/>
        <v>5.5398115541118731E-3</v>
      </c>
      <c r="FY69" s="35">
        <f t="shared" si="425"/>
        <v>4.6871265624999998E-2</v>
      </c>
      <c r="FZ69" s="35">
        <f t="shared" si="426"/>
        <v>6.24946875E-2</v>
      </c>
      <c r="GA69" s="35">
        <f t="shared" si="427"/>
        <v>5.4682976562499999E-2</v>
      </c>
      <c r="GB69" s="35">
        <f t="shared" si="428"/>
        <v>1.8871638644966104E-3</v>
      </c>
      <c r="GC69" s="35">
        <f t="shared" si="429"/>
        <v>5.4682976562499999E-2</v>
      </c>
      <c r="GD69" s="35">
        <f t="shared" si="430"/>
        <v>6.24946875E-2</v>
      </c>
      <c r="GE69" s="35">
        <f t="shared" si="431"/>
        <v>5.8588832031249996E-2</v>
      </c>
      <c r="GF69" s="35">
        <f t="shared" si="432"/>
        <v>7.0740107927624862E-5</v>
      </c>
      <c r="GG69" s="35">
        <f t="shared" si="433"/>
        <v>5.8588832031249996E-2</v>
      </c>
      <c r="GH69" s="35">
        <f t="shared" si="434"/>
        <v>6.24946875E-2</v>
      </c>
      <c r="GI69" s="35">
        <f t="shared" si="435"/>
        <v>6.0541759765624995E-2</v>
      </c>
      <c r="GJ69" s="35">
        <f t="shared" si="436"/>
        <v>-8.3493793286504303E-4</v>
      </c>
      <c r="GK69" s="35">
        <f t="shared" si="437"/>
        <v>5.8588832031249996E-2</v>
      </c>
      <c r="GL69" s="35">
        <f t="shared" si="438"/>
        <v>6.0541759765624995E-2</v>
      </c>
      <c r="GM69" s="35">
        <f t="shared" si="439"/>
        <v>5.9565295898437495E-2</v>
      </c>
      <c r="GN69" s="35">
        <f t="shared" si="440"/>
        <v>-3.8231178167258406E-4</v>
      </c>
      <c r="GO69" s="35">
        <f t="shared" si="441"/>
        <v>5.8588832031249996E-2</v>
      </c>
      <c r="GP69" s="35">
        <f t="shared" si="442"/>
        <v>5.9565295898437495E-2</v>
      </c>
      <c r="GQ69" s="35">
        <f t="shared" si="443"/>
        <v>5.9077063964843746E-2</v>
      </c>
      <c r="GR69" s="35">
        <f t="shared" si="444"/>
        <v>-1.5583892638115771E-4</v>
      </c>
      <c r="GS69" s="35">
        <f t="shared" si="445"/>
        <v>5.8588832031249996E-2</v>
      </c>
      <c r="GT69" s="35">
        <f t="shared" si="446"/>
        <v>5.9077063964843746E-2</v>
      </c>
      <c r="GU69" s="35">
        <f t="shared" si="447"/>
        <v>5.8832947998046871E-2</v>
      </c>
      <c r="GV69" s="35">
        <f t="shared" si="448"/>
        <v>-4.2562665585110793E-5</v>
      </c>
      <c r="GW69" s="35">
        <f t="shared" si="449"/>
        <v>5.8588832031249996E-2</v>
      </c>
      <c r="GX69" s="35">
        <f t="shared" si="450"/>
        <v>5.8832947998046871E-2</v>
      </c>
      <c r="GY69" s="35">
        <f t="shared" si="451"/>
        <v>5.8710890014648437E-2</v>
      </c>
      <c r="GZ69" s="35">
        <f t="shared" si="452"/>
        <v>1.4085409086872502E-5</v>
      </c>
      <c r="HA69" s="35">
        <f t="shared" si="453"/>
        <v>5.8710890014648437E-2</v>
      </c>
      <c r="HB69" s="35">
        <f t="shared" si="454"/>
        <v>5.8832947998046871E-2</v>
      </c>
      <c r="HC69" s="35">
        <f t="shared" si="455"/>
        <v>5.877191900634765E-2</v>
      </c>
      <c r="HD69" s="35">
        <f t="shared" si="456"/>
        <v>-1.423945652101466E-5</v>
      </c>
      <c r="HE69" s="35">
        <f t="shared" si="457"/>
        <v>5.8710890014648437E-2</v>
      </c>
      <c r="HF69" s="35">
        <f t="shared" si="458"/>
        <v>5.877191900634765E-2</v>
      </c>
      <c r="HG69" s="35">
        <f t="shared" si="459"/>
        <v>5.8741404510498044E-2</v>
      </c>
      <c r="HH69" s="35">
        <f t="shared" si="460"/>
        <v>-7.7230753681156727E-8</v>
      </c>
      <c r="HI69" s="35">
        <f t="shared" si="461"/>
        <v>5.8710890014648437E-2</v>
      </c>
      <c r="HJ69" s="35">
        <f t="shared" si="462"/>
        <v>5.8741404510498044E-2</v>
      </c>
      <c r="HK69" s="35">
        <f t="shared" si="463"/>
        <v>5.872614726257324E-2</v>
      </c>
      <c r="HL69" s="35">
        <f t="shared" si="464"/>
        <v>7.0040374111624004E-6</v>
      </c>
      <c r="HM69" s="35">
        <f t="shared" si="465"/>
        <v>5.872614726257324E-2</v>
      </c>
      <c r="HN69" s="35">
        <f t="shared" si="466"/>
        <v>5.8741404510498044E-2</v>
      </c>
      <c r="HO69" s="35">
        <f t="shared" si="467"/>
        <v>5.8733775886535639E-2</v>
      </c>
      <c r="HP69" s="35">
        <f t="shared" si="468"/>
        <v>3.4633903893688256E-6</v>
      </c>
      <c r="HQ69" s="35">
        <f t="shared" si="469"/>
        <v>5.8733775886535639E-2</v>
      </c>
      <c r="HR69" s="35">
        <f t="shared" si="470"/>
        <v>5.8741404510498044E-2</v>
      </c>
      <c r="HS69" s="35">
        <f t="shared" si="471"/>
        <v>5.8737590198516841E-2</v>
      </c>
      <c r="HT69" s="35">
        <f t="shared" si="472"/>
        <v>1.6930765829314964E-6</v>
      </c>
      <c r="HU69" s="35">
        <f t="shared" si="473"/>
        <v>5.8737590198516841E-2</v>
      </c>
      <c r="HV69" s="35">
        <f t="shared" si="474"/>
        <v>5.8741404510498044E-2</v>
      </c>
      <c r="HW69" s="35">
        <f t="shared" si="475"/>
        <v>5.8739497354507439E-2</v>
      </c>
      <c r="HX69" s="35">
        <f t="shared" si="476"/>
        <v>8.0792210588320756E-7</v>
      </c>
      <c r="HY69" s="35">
        <f t="shared" si="477"/>
        <v>5.8739497354507439E-2</v>
      </c>
      <c r="HZ69" s="35">
        <f t="shared" si="478"/>
        <v>5.8741404510498044E-2</v>
      </c>
      <c r="IA69" s="35">
        <f t="shared" si="479"/>
        <v>5.8740450932502741E-2</v>
      </c>
      <c r="IB69" s="35">
        <f t="shared" si="480"/>
        <v>3.6534547409594609E-7</v>
      </c>
      <c r="IC69" s="35">
        <f t="shared" si="481"/>
        <v>5.8740450932502741E-2</v>
      </c>
      <c r="ID69" s="35">
        <f t="shared" si="482"/>
        <v>5.8741404510498044E-2</v>
      </c>
      <c r="IE69" s="35">
        <f t="shared" si="483"/>
        <v>5.8740927721500392E-2</v>
      </c>
      <c r="IF69" s="35">
        <f t="shared" si="484"/>
        <v>1.440573094146913E-7</v>
      </c>
      <c r="IG69" s="35">
        <f t="shared" si="485"/>
        <v>5.8740927721500392E-2</v>
      </c>
      <c r="IH69" s="35">
        <f t="shared" si="486"/>
        <v>5.8741404510498044E-2</v>
      </c>
      <c r="II69" s="35">
        <f t="shared" si="487"/>
        <v>5.8741166115999222E-2</v>
      </c>
      <c r="IJ69" s="35">
        <f t="shared" si="488"/>
        <v>3.3413265265735959E-8</v>
      </c>
      <c r="IK69" s="35">
        <f t="shared" si="489"/>
        <v>5.8741166115999222E-2</v>
      </c>
      <c r="IL69" s="35">
        <f t="shared" si="490"/>
        <v>5.8741404510498044E-2</v>
      </c>
      <c r="IM69" s="35">
        <f t="shared" si="491"/>
        <v>5.8741285313248633E-2</v>
      </c>
      <c r="IN69" s="35">
        <f t="shared" si="492"/>
        <v>-2.1908747482868307E-8</v>
      </c>
      <c r="IO69" s="35">
        <f t="shared" si="493"/>
        <v>5.8741166115999222E-2</v>
      </c>
      <c r="IP69" s="35">
        <f t="shared" si="494"/>
        <v>5.8741285313248633E-2</v>
      </c>
      <c r="IQ69" s="35">
        <f t="shared" si="495"/>
        <v>5.8741225714623924E-2</v>
      </c>
      <c r="IR69" s="35">
        <f t="shared" si="496"/>
        <v>5.752258003255406E-9</v>
      </c>
      <c r="IS69" s="35">
        <f t="shared" si="497"/>
        <v>5.8741225714623924E-2</v>
      </c>
      <c r="IT69" s="35">
        <f t="shared" si="498"/>
        <v>5.8741285313248633E-2</v>
      </c>
      <c r="IU69" s="35">
        <f t="shared" si="499"/>
        <v>5.8741255513936275E-2</v>
      </c>
      <c r="IV69" s="35">
        <f t="shared" si="500"/>
        <v>-8.0782447398064505E-9</v>
      </c>
      <c r="IW69" s="35">
        <f t="shared" si="501"/>
        <v>5.8741225714623924E-2</v>
      </c>
      <c r="IX69" s="35">
        <f t="shared" si="502"/>
        <v>5.8741255513936275E-2</v>
      </c>
      <c r="IY69" s="35">
        <f t="shared" si="503"/>
        <v>5.8741240614280099E-2</v>
      </c>
      <c r="IZ69" s="35">
        <f t="shared" si="504"/>
        <v>-1.1629933682755222E-9</v>
      </c>
      <c r="JA69" s="35">
        <f t="shared" si="505"/>
        <v>5.8741225714623924E-2</v>
      </c>
      <c r="JB69" s="35">
        <f t="shared" si="506"/>
        <v>5.8741240614280099E-2</v>
      </c>
      <c r="JC69" s="35">
        <f t="shared" si="507"/>
        <v>5.8741233164452011E-2</v>
      </c>
      <c r="JD69" s="35">
        <f t="shared" si="508"/>
        <v>2.2946324840233956E-9</v>
      </c>
      <c r="JE69" s="35">
        <f t="shared" si="509"/>
        <v>5.8741233164452011E-2</v>
      </c>
      <c r="JF69" s="35">
        <f t="shared" si="510"/>
        <v>5.8741240614280099E-2</v>
      </c>
      <c r="JG69" s="35">
        <f t="shared" si="511"/>
        <v>5.8741236889366055E-2</v>
      </c>
      <c r="JH69" s="35">
        <f t="shared" si="512"/>
        <v>5.6581961338508791E-10</v>
      </c>
      <c r="JI69" s="35">
        <f t="shared" si="513"/>
        <v>5.8741236889366055E-2</v>
      </c>
      <c r="JJ69" s="35">
        <f t="shared" si="514"/>
        <v>5.8741240614280099E-2</v>
      </c>
      <c r="JK69" s="35">
        <f t="shared" si="515"/>
        <v>5.8741238751823077E-2</v>
      </c>
      <c r="JL69" s="35">
        <f t="shared" si="516"/>
        <v>-2.9858704397867086E-10</v>
      </c>
      <c r="JM69" s="35">
        <f t="shared" si="517"/>
        <v>5.8741236889366055E-2</v>
      </c>
      <c r="JN69" s="35">
        <f t="shared" si="518"/>
        <v>5.8741238751823077E-2</v>
      </c>
      <c r="JO69" s="35">
        <f t="shared" si="519"/>
        <v>5.8741237820594566E-2</v>
      </c>
      <c r="JP69" s="35">
        <f t="shared" si="520"/>
        <v>1.3361622919205729E-10</v>
      </c>
      <c r="JQ69" s="35">
        <f t="shared" si="521"/>
        <v>5.8741237820594566E-2</v>
      </c>
      <c r="JR69" s="35">
        <f t="shared" si="522"/>
        <v>5.8741238751823077E-2</v>
      </c>
      <c r="JS69" s="35">
        <f t="shared" si="523"/>
        <v>5.8741238286208822E-2</v>
      </c>
      <c r="JT69" s="35">
        <f t="shared" si="524"/>
        <v>-8.2485462904458018E-11</v>
      </c>
      <c r="JU69" s="35">
        <f t="shared" si="525"/>
        <v>5.8741237820594566E-2</v>
      </c>
      <c r="JV69" s="35">
        <f t="shared" si="526"/>
        <v>5.8741238286208822E-2</v>
      </c>
      <c r="JW69" s="35">
        <f t="shared" si="527"/>
        <v>5.8741238053401694E-2</v>
      </c>
      <c r="JX69" s="35">
        <f t="shared" si="528"/>
        <v>2.556554967725333E-11</v>
      </c>
      <c r="JY69" s="35">
        <f t="shared" si="529"/>
        <v>5.8741238053401694E-2</v>
      </c>
      <c r="JZ69" s="35">
        <f t="shared" si="530"/>
        <v>5.8741238286208822E-2</v>
      </c>
      <c r="KA69" s="35">
        <f t="shared" si="531"/>
        <v>1.1297535591525962</v>
      </c>
      <c r="KB69" s="35">
        <f t="shared" si="532"/>
        <v>5.8741238169805254E-2</v>
      </c>
    </row>
    <row r="70" spans="1:288" ht="15" customHeight="1" x14ac:dyDescent="0.3">
      <c r="A70" s="30">
        <f>Odds_Input!A70</f>
        <v>62</v>
      </c>
      <c r="B70" s="7" t="str">
        <f>Odds_Input!B70</f>
        <v>DIV_ATLANTIC</v>
      </c>
      <c r="C70" s="7" t="str">
        <f>Odds_Input!C70</f>
        <v>New York Knicks</v>
      </c>
      <c r="D70" s="7" t="str">
        <f>Odds_Input!D70</f>
        <v>YES</v>
      </c>
      <c r="E70" s="31" t="str">
        <f>Odds_Input!E70</f>
        <v>-</v>
      </c>
      <c r="F70" s="32">
        <f>Odds_Input!F70</f>
        <v>175</v>
      </c>
      <c r="G70" s="6" t="str">
        <f t="shared" si="0"/>
        <v>DIV_ATLANTIC</v>
      </c>
      <c r="H70" s="14">
        <f t="shared" si="1"/>
        <v>2.75</v>
      </c>
      <c r="I70" s="33">
        <f t="shared" si="2"/>
        <v>0.36363636363636365</v>
      </c>
      <c r="J70" s="17">
        <f t="shared" si="3"/>
        <v>1</v>
      </c>
      <c r="K70" s="17">
        <f t="shared" si="4"/>
        <v>5</v>
      </c>
      <c r="L70" s="18">
        <f t="shared" si="5"/>
        <v>1.1462829306340507</v>
      </c>
      <c r="M70" s="34">
        <f t="shared" si="6"/>
        <v>0.14628293063405073</v>
      </c>
      <c r="N70" s="33">
        <f t="shared" si="7"/>
        <v>0.31723089816510064</v>
      </c>
      <c r="O70" s="33">
        <f t="shared" si="8"/>
        <v>0.32419720080705461</v>
      </c>
      <c r="P70" s="33">
        <f t="shared" si="9"/>
        <v>0.32418277522186212</v>
      </c>
      <c r="Q70" s="33">
        <f t="shared" si="10"/>
        <v>0.32418277522186212</v>
      </c>
      <c r="R70" s="35">
        <f t="shared" si="11"/>
        <v>1.1134858528384939</v>
      </c>
      <c r="S70" s="35">
        <f t="shared" si="12"/>
        <v>4.6840558481252167E-2</v>
      </c>
      <c r="X70" s="6" t="s">
        <v>845</v>
      </c>
      <c r="Y70" s="6">
        <f t="shared" si="273"/>
        <v>1</v>
      </c>
      <c r="Z70" s="18">
        <f t="shared" si="274"/>
        <v>1.05</v>
      </c>
      <c r="AA70" s="10">
        <v>0.2</v>
      </c>
      <c r="AB70" s="10">
        <v>10</v>
      </c>
      <c r="AC70" s="35">
        <f t="shared" si="275"/>
        <v>5.0999999999999996</v>
      </c>
      <c r="AD70" s="35">
        <f t="shared" si="276"/>
        <v>-0.67870084336938419</v>
      </c>
      <c r="AE70" s="35">
        <f t="shared" si="277"/>
        <v>0.2</v>
      </c>
      <c r="AF70" s="35">
        <f t="shared" si="278"/>
        <v>5.0999999999999996</v>
      </c>
      <c r="AG70" s="35">
        <f t="shared" si="279"/>
        <v>2.65</v>
      </c>
      <c r="AH70" s="35">
        <f t="shared" si="280"/>
        <v>-0.42102682062662855</v>
      </c>
      <c r="AI70" s="35">
        <f t="shared" si="281"/>
        <v>0.2</v>
      </c>
      <c r="AJ70" s="35">
        <f t="shared" si="282"/>
        <v>2.65</v>
      </c>
      <c r="AK70" s="35">
        <f t="shared" si="283"/>
        <v>1.425</v>
      </c>
      <c r="AL70" s="35">
        <f t="shared" si="284"/>
        <v>-0.13368615567705688</v>
      </c>
      <c r="AM70" s="35">
        <f t="shared" si="285"/>
        <v>0.2</v>
      </c>
      <c r="AN70" s="35">
        <f t="shared" si="286"/>
        <v>1.425</v>
      </c>
      <c r="AO70" s="35">
        <f t="shared" si="287"/>
        <v>0.8125</v>
      </c>
      <c r="AP70" s="35">
        <f t="shared" si="288"/>
        <v>0.15839150457928319</v>
      </c>
      <c r="AQ70" s="35">
        <f t="shared" si="289"/>
        <v>0.8125</v>
      </c>
      <c r="AR70" s="35">
        <f t="shared" si="290"/>
        <v>1.425</v>
      </c>
      <c r="AS70" s="35">
        <f t="shared" si="291"/>
        <v>1.1187499999999999</v>
      </c>
      <c r="AT70" s="35">
        <f t="shared" si="292"/>
        <v>-8.8667673834406102E-3</v>
      </c>
      <c r="AU70" s="35">
        <f t="shared" si="293"/>
        <v>0.8125</v>
      </c>
      <c r="AV70" s="35">
        <f t="shared" si="294"/>
        <v>1.1187499999999999</v>
      </c>
      <c r="AW70" s="35">
        <f t="shared" si="295"/>
        <v>0.96562499999999996</v>
      </c>
      <c r="AX70" s="35">
        <f t="shared" si="296"/>
        <v>6.8361934777176669E-2</v>
      </c>
      <c r="AY70" s="35">
        <f t="shared" si="297"/>
        <v>0.96562499999999996</v>
      </c>
      <c r="AZ70" s="35">
        <f t="shared" si="298"/>
        <v>1.1187499999999999</v>
      </c>
      <c r="BA70" s="35">
        <f t="shared" si="299"/>
        <v>1.0421874999999998</v>
      </c>
      <c r="BB70" s="35">
        <f t="shared" si="300"/>
        <v>2.8302506206935529E-2</v>
      </c>
      <c r="BC70" s="35">
        <f t="shared" si="301"/>
        <v>1.0421874999999998</v>
      </c>
      <c r="BD70" s="35">
        <f t="shared" si="302"/>
        <v>1.1187499999999999</v>
      </c>
      <c r="BE70" s="35">
        <f t="shared" si="303"/>
        <v>1.0804687499999999</v>
      </c>
      <c r="BF70" s="35">
        <f t="shared" si="304"/>
        <v>9.3742462167232254E-3</v>
      </c>
      <c r="BG70" s="35">
        <f t="shared" si="305"/>
        <v>1.0804687499999999</v>
      </c>
      <c r="BH70" s="35">
        <f t="shared" si="306"/>
        <v>1.1187499999999999</v>
      </c>
      <c r="BI70" s="35">
        <f t="shared" si="307"/>
        <v>1.099609375</v>
      </c>
      <c r="BJ70" s="35">
        <f t="shared" si="308"/>
        <v>1.6993951054722345E-4</v>
      </c>
      <c r="BK70" s="35">
        <f t="shared" si="309"/>
        <v>1.099609375</v>
      </c>
      <c r="BL70" s="35">
        <f t="shared" si="310"/>
        <v>1.1187499999999999</v>
      </c>
      <c r="BM70" s="35">
        <f t="shared" si="311"/>
        <v>1.1091796875</v>
      </c>
      <c r="BN70" s="35">
        <f t="shared" si="312"/>
        <v>-4.3691066736235573E-3</v>
      </c>
      <c r="BO70" s="35">
        <f t="shared" si="313"/>
        <v>1.099609375</v>
      </c>
      <c r="BP70" s="35">
        <f t="shared" si="314"/>
        <v>1.1091796875</v>
      </c>
      <c r="BQ70" s="35">
        <f t="shared" si="315"/>
        <v>1.1043945312500001</v>
      </c>
      <c r="BR70" s="35">
        <f t="shared" si="316"/>
        <v>-2.1047886576102126E-3</v>
      </c>
      <c r="BS70" s="35">
        <f t="shared" si="317"/>
        <v>1.099609375</v>
      </c>
      <c r="BT70" s="35">
        <f t="shared" si="318"/>
        <v>1.1043945312500001</v>
      </c>
      <c r="BU70" s="35">
        <f t="shared" si="319"/>
        <v>1.102001953125</v>
      </c>
      <c r="BV70" s="35">
        <f t="shared" si="320"/>
        <v>-9.6872985190932237E-4</v>
      </c>
      <c r="BW70" s="35">
        <f t="shared" si="321"/>
        <v>1.099609375</v>
      </c>
      <c r="BX70" s="35">
        <f t="shared" si="322"/>
        <v>1.102001953125</v>
      </c>
      <c r="BY70" s="35">
        <f t="shared" si="323"/>
        <v>1.1008056640624999</v>
      </c>
      <c r="BZ70" s="35">
        <f t="shared" si="324"/>
        <v>-3.9972199288307309E-4</v>
      </c>
      <c r="CA70" s="35">
        <f t="shared" si="325"/>
        <v>1.099609375</v>
      </c>
      <c r="CB70" s="35">
        <f t="shared" si="326"/>
        <v>1.1008056640624999</v>
      </c>
      <c r="CC70" s="35">
        <f t="shared" si="327"/>
        <v>1.10020751953125</v>
      </c>
      <c r="CD70" s="35">
        <f t="shared" si="328"/>
        <v>-1.149730096344781E-4</v>
      </c>
      <c r="CE70" s="35">
        <f t="shared" si="329"/>
        <v>1.099609375</v>
      </c>
      <c r="CF70" s="35">
        <f t="shared" si="330"/>
        <v>1.10020751953125</v>
      </c>
      <c r="CG70" s="35">
        <f t="shared" si="331"/>
        <v>1.0999084472656251</v>
      </c>
      <c r="CH70" s="35">
        <f t="shared" si="332"/>
        <v>2.7462800469502113E-5</v>
      </c>
      <c r="CI70" s="35">
        <f t="shared" si="333"/>
        <v>1.0999084472656251</v>
      </c>
      <c r="CJ70" s="35">
        <f t="shared" si="334"/>
        <v>1.10020751953125</v>
      </c>
      <c r="CK70" s="35">
        <f t="shared" si="335"/>
        <v>1.1000579833984374</v>
      </c>
      <c r="CL70" s="35">
        <f t="shared" si="336"/>
        <v>-4.3760216095090065E-5</v>
      </c>
      <c r="CM70" s="35">
        <f t="shared" si="337"/>
        <v>1.0999084472656251</v>
      </c>
      <c r="CN70" s="35">
        <f t="shared" si="338"/>
        <v>1.1000579833984374</v>
      </c>
      <c r="CO70" s="35">
        <f t="shared" si="339"/>
        <v>1.0999832153320313</v>
      </c>
      <c r="CP70" s="35">
        <f t="shared" si="340"/>
        <v>-8.149985813998839E-6</v>
      </c>
      <c r="CQ70" s="35">
        <f t="shared" si="341"/>
        <v>1.0999084472656251</v>
      </c>
      <c r="CR70" s="35">
        <f t="shared" si="342"/>
        <v>1.0999832153320313</v>
      </c>
      <c r="CS70" s="35">
        <f t="shared" si="343"/>
        <v>1.0999458312988282</v>
      </c>
      <c r="CT70" s="35">
        <f t="shared" si="344"/>
        <v>9.6560878122264882E-6</v>
      </c>
      <c r="CU70" s="35">
        <f t="shared" si="345"/>
        <v>1.0999458312988282</v>
      </c>
      <c r="CV70" s="35">
        <f t="shared" si="346"/>
        <v>1.0999832153320313</v>
      </c>
      <c r="CW70" s="35">
        <f t="shared" si="347"/>
        <v>1.0999645233154296</v>
      </c>
      <c r="CX70" s="35">
        <f t="shared" si="348"/>
        <v>7.5297112211991646E-7</v>
      </c>
      <c r="CY70" s="35">
        <f t="shared" si="349"/>
        <v>1.0999645233154296</v>
      </c>
      <c r="CZ70" s="35">
        <f t="shared" si="350"/>
        <v>1.0999832153320313</v>
      </c>
      <c r="DA70" s="35">
        <f t="shared" si="351"/>
        <v>1.0999738693237304</v>
      </c>
      <c r="DB70" s="35">
        <f t="shared" si="352"/>
        <v>-3.6985273148548714E-6</v>
      </c>
      <c r="DC70" s="35">
        <f t="shared" si="353"/>
        <v>1.0999645233154296</v>
      </c>
      <c r="DD70" s="35">
        <f t="shared" si="354"/>
        <v>1.0999738693237304</v>
      </c>
      <c r="DE70" s="35">
        <f t="shared" si="355"/>
        <v>1.0999691963195799</v>
      </c>
      <c r="DF70" s="35">
        <f t="shared" si="356"/>
        <v>-1.47278308859633E-6</v>
      </c>
      <c r="DG70" s="35">
        <f t="shared" si="357"/>
        <v>1.0999645233154296</v>
      </c>
      <c r="DH70" s="35">
        <f t="shared" si="358"/>
        <v>1.0999691963195799</v>
      </c>
      <c r="DI70" s="35">
        <f t="shared" si="359"/>
        <v>1.0999668598175047</v>
      </c>
      <c r="DJ70" s="35">
        <f t="shared" si="360"/>
        <v>-3.5990723123990875E-7</v>
      </c>
      <c r="DK70" s="35">
        <f t="shared" si="361"/>
        <v>1.0999645233154296</v>
      </c>
      <c r="DL70" s="35">
        <f t="shared" si="362"/>
        <v>1.0999668598175047</v>
      </c>
      <c r="DM70" s="35">
        <f t="shared" si="363"/>
        <v>1.0999656915664673</v>
      </c>
      <c r="DN70" s="35">
        <f t="shared" si="364"/>
        <v>1.9653163341182278E-7</v>
      </c>
      <c r="DO70" s="35">
        <f t="shared" si="365"/>
        <v>1.0999656915664673</v>
      </c>
      <c r="DP70" s="35">
        <f t="shared" si="366"/>
        <v>1.0999668598175047</v>
      </c>
      <c r="DQ70" s="35">
        <f t="shared" si="367"/>
        <v>1.0999662756919859</v>
      </c>
      <c r="DR70" s="35">
        <f t="shared" si="368"/>
        <v>-8.1687876907210466E-8</v>
      </c>
      <c r="DS70" s="35">
        <f t="shared" si="369"/>
        <v>1.0999656915664673</v>
      </c>
      <c r="DT70" s="35">
        <f t="shared" si="370"/>
        <v>1.0999662756919859</v>
      </c>
      <c r="DU70" s="35">
        <f t="shared" si="371"/>
        <v>1.0999659836292266</v>
      </c>
      <c r="DV70" s="35">
        <f t="shared" si="372"/>
        <v>5.7421858601358622E-8</v>
      </c>
      <c r="DW70" s="35">
        <f t="shared" si="373"/>
        <v>1.0999659836292266</v>
      </c>
      <c r="DX70" s="35">
        <f t="shared" si="374"/>
        <v>1.0999662756919859</v>
      </c>
      <c r="DY70" s="35">
        <f t="shared" si="375"/>
        <v>1.0999661296606063</v>
      </c>
      <c r="DZ70" s="35">
        <f t="shared" si="376"/>
        <v>-1.2133013926884928E-8</v>
      </c>
      <c r="EA70" s="35">
        <f t="shared" si="377"/>
        <v>1.0999659836292266</v>
      </c>
      <c r="EB70" s="35">
        <f t="shared" si="378"/>
        <v>1.0999661296606063</v>
      </c>
      <c r="EC70" s="35">
        <f t="shared" si="379"/>
        <v>1.0999660566449165</v>
      </c>
      <c r="ED70" s="35">
        <f t="shared" si="380"/>
        <v>2.2644421004969217E-8</v>
      </c>
      <c r="EE70" s="35">
        <f t="shared" si="381"/>
        <v>1.0999660566449165</v>
      </c>
      <c r="EF70" s="35">
        <f t="shared" si="382"/>
        <v>1.0999661296606063</v>
      </c>
      <c r="EG70" s="35">
        <f t="shared" si="383"/>
        <v>1.0999660931527613</v>
      </c>
      <c r="EH70" s="35">
        <f t="shared" si="384"/>
        <v>5.2557034280198422E-9</v>
      </c>
      <c r="EI70" s="35">
        <f t="shared" si="385"/>
        <v>1.0999660931527613</v>
      </c>
      <c r="EJ70" s="35">
        <f t="shared" si="386"/>
        <v>1.0999661296606063</v>
      </c>
      <c r="EK70" s="35">
        <f t="shared" si="387"/>
        <v>1.0999661114066837</v>
      </c>
      <c r="EL70" s="35">
        <f t="shared" si="388"/>
        <v>-3.4386553604548453E-9</v>
      </c>
      <c r="EM70" s="35">
        <f t="shared" si="389"/>
        <v>1.0999660931527613</v>
      </c>
      <c r="EN70" s="35">
        <f t="shared" si="390"/>
        <v>1.0999661114066837</v>
      </c>
      <c r="EO70" s="35">
        <f t="shared" si="391"/>
        <v>1.0999661022797225</v>
      </c>
      <c r="EP70" s="35">
        <f t="shared" si="392"/>
        <v>9.08523922760196E-10</v>
      </c>
      <c r="EQ70" s="35">
        <f t="shared" si="393"/>
        <v>1.0999661022797225</v>
      </c>
      <c r="ER70" s="35">
        <f t="shared" si="394"/>
        <v>1.0999661114066837</v>
      </c>
      <c r="ES70" s="35">
        <f t="shared" si="395"/>
        <v>1.099966106843203</v>
      </c>
      <c r="ET70" s="35">
        <f t="shared" si="396"/>
        <v>-1.2650657188473247E-9</v>
      </c>
      <c r="EU70" s="35">
        <f t="shared" si="397"/>
        <v>1.0999661022797225</v>
      </c>
      <c r="EV70" s="35">
        <f t="shared" si="398"/>
        <v>1.099966106843203</v>
      </c>
      <c r="EW70" s="35">
        <f t="shared" si="399"/>
        <v>1.0999661045614628</v>
      </c>
      <c r="EX70" s="35">
        <f t="shared" si="400"/>
        <v>-1.782708425324131E-10</v>
      </c>
      <c r="EY70" s="35">
        <f t="shared" si="401"/>
        <v>1.0999661022797225</v>
      </c>
      <c r="EZ70" s="35">
        <f t="shared" si="402"/>
        <v>1.0999661045614628</v>
      </c>
      <c r="FA70" s="10">
        <v>9.9999999999999995E-7</v>
      </c>
      <c r="FB70" s="10">
        <v>0.99990000000000001</v>
      </c>
      <c r="FC70" s="35">
        <f t="shared" si="403"/>
        <v>0.49995050000000002</v>
      </c>
      <c r="FD70" s="35">
        <f t="shared" si="404"/>
        <v>-0.18044816600005098</v>
      </c>
      <c r="FE70" s="35">
        <f t="shared" si="405"/>
        <v>9.9999999999999995E-7</v>
      </c>
      <c r="FF70" s="35">
        <f t="shared" si="406"/>
        <v>0.49995050000000002</v>
      </c>
      <c r="FG70" s="35">
        <f t="shared" si="407"/>
        <v>0.24997575</v>
      </c>
      <c r="FH70" s="35">
        <f t="shared" si="408"/>
        <v>-8.9221646834595214E-2</v>
      </c>
      <c r="FI70" s="35">
        <f t="shared" si="409"/>
        <v>9.9999999999999995E-7</v>
      </c>
      <c r="FJ70" s="35">
        <f t="shared" si="410"/>
        <v>0.24997575</v>
      </c>
      <c r="FK70" s="35">
        <f t="shared" si="411"/>
        <v>0.124988375</v>
      </c>
      <c r="FL70" s="35">
        <f t="shared" si="412"/>
        <v>-3.4751839182406985E-2</v>
      </c>
      <c r="FM70" s="35">
        <f t="shared" si="413"/>
        <v>9.9999999999999995E-7</v>
      </c>
      <c r="FN70" s="35">
        <f t="shared" si="414"/>
        <v>0.124988375</v>
      </c>
      <c r="FO70" s="35">
        <f t="shared" si="415"/>
        <v>6.24946875E-2</v>
      </c>
      <c r="FP70" s="35">
        <f t="shared" si="416"/>
        <v>-5.4796754784618429E-3</v>
      </c>
      <c r="FQ70" s="35">
        <f t="shared" si="417"/>
        <v>9.9999999999999995E-7</v>
      </c>
      <c r="FR70" s="35">
        <f t="shared" si="418"/>
        <v>6.24946875E-2</v>
      </c>
      <c r="FS70" s="35">
        <f t="shared" si="419"/>
        <v>3.124784375E-2</v>
      </c>
      <c r="FT70" s="35">
        <f t="shared" si="420"/>
        <v>9.5223709222829189E-3</v>
      </c>
      <c r="FU70" s="35">
        <f t="shared" si="421"/>
        <v>3.124784375E-2</v>
      </c>
      <c r="FV70" s="35">
        <f t="shared" si="422"/>
        <v>6.24946875E-2</v>
      </c>
      <c r="FW70" s="35">
        <f t="shared" si="423"/>
        <v>4.6871265624999998E-2</v>
      </c>
      <c r="FX70" s="35">
        <f t="shared" si="424"/>
        <v>1.9964403620726934E-3</v>
      </c>
      <c r="FY70" s="35">
        <f t="shared" si="425"/>
        <v>4.6871265624999998E-2</v>
      </c>
      <c r="FZ70" s="35">
        <f t="shared" si="426"/>
        <v>6.24946875E-2</v>
      </c>
      <c r="GA70" s="35">
        <f t="shared" si="427"/>
        <v>5.4682976562499999E-2</v>
      </c>
      <c r="GB70" s="35">
        <f t="shared" si="428"/>
        <v>-1.7482872433178809E-3</v>
      </c>
      <c r="GC70" s="35">
        <f t="shared" si="429"/>
        <v>4.6871265624999998E-2</v>
      </c>
      <c r="GD70" s="35">
        <f t="shared" si="430"/>
        <v>5.4682976562499999E-2</v>
      </c>
      <c r="GE70" s="35">
        <f t="shared" si="431"/>
        <v>5.0777121093750002E-2</v>
      </c>
      <c r="GF70" s="35">
        <f t="shared" si="432"/>
        <v>1.2246384897252049E-4</v>
      </c>
      <c r="GG70" s="35">
        <f t="shared" si="433"/>
        <v>5.0777121093750002E-2</v>
      </c>
      <c r="GH70" s="35">
        <f t="shared" si="434"/>
        <v>5.4682976562499999E-2</v>
      </c>
      <c r="GI70" s="35">
        <f t="shared" si="435"/>
        <v>5.2730048828125001E-2</v>
      </c>
      <c r="GJ70" s="35">
        <f t="shared" si="436"/>
        <v>-8.1332175721382516E-4</v>
      </c>
      <c r="GK70" s="35">
        <f t="shared" si="437"/>
        <v>5.0777121093750002E-2</v>
      </c>
      <c r="GL70" s="35">
        <f t="shared" si="438"/>
        <v>5.2730048828125001E-2</v>
      </c>
      <c r="GM70" s="35">
        <f t="shared" si="439"/>
        <v>5.1753584960937501E-2</v>
      </c>
      <c r="GN70" s="35">
        <f t="shared" si="440"/>
        <v>-3.455306114478196E-4</v>
      </c>
      <c r="GO70" s="35">
        <f t="shared" si="441"/>
        <v>5.0777121093750002E-2</v>
      </c>
      <c r="GP70" s="35">
        <f t="shared" si="442"/>
        <v>5.1753584960937501E-2</v>
      </c>
      <c r="GQ70" s="35">
        <f t="shared" si="443"/>
        <v>5.1265353027343752E-2</v>
      </c>
      <c r="GR70" s="35">
        <f t="shared" si="444"/>
        <v>-1.1155868812595671E-4</v>
      </c>
      <c r="GS70" s="35">
        <f t="shared" si="445"/>
        <v>5.0777121093750002E-2</v>
      </c>
      <c r="GT70" s="35">
        <f t="shared" si="446"/>
        <v>5.1265353027343752E-2</v>
      </c>
      <c r="GU70" s="35">
        <f t="shared" si="447"/>
        <v>5.1021237060546877E-2</v>
      </c>
      <c r="GV70" s="35">
        <f t="shared" si="448"/>
        <v>5.4462671461585899E-6</v>
      </c>
      <c r="GW70" s="35">
        <f t="shared" si="449"/>
        <v>5.1021237060546877E-2</v>
      </c>
      <c r="GX70" s="35">
        <f t="shared" si="450"/>
        <v>5.1265353027343752E-2</v>
      </c>
      <c r="GY70" s="35">
        <f t="shared" si="451"/>
        <v>5.1143295043945311E-2</v>
      </c>
      <c r="GZ70" s="35">
        <f t="shared" si="452"/>
        <v>-5.3057790490473877E-5</v>
      </c>
      <c r="HA70" s="35">
        <f t="shared" si="453"/>
        <v>5.1021237060546877E-2</v>
      </c>
      <c r="HB70" s="35">
        <f t="shared" si="454"/>
        <v>5.1143295043945311E-2</v>
      </c>
      <c r="HC70" s="35">
        <f t="shared" si="455"/>
        <v>5.1082266052246098E-2</v>
      </c>
      <c r="HD70" s="35">
        <f t="shared" si="456"/>
        <v>-2.3806156462247152E-5</v>
      </c>
      <c r="HE70" s="35">
        <f t="shared" si="457"/>
        <v>5.1021237060546877E-2</v>
      </c>
      <c r="HF70" s="35">
        <f t="shared" si="458"/>
        <v>5.1082266052246098E-2</v>
      </c>
      <c r="HG70" s="35">
        <f t="shared" si="459"/>
        <v>5.1051751556396491E-2</v>
      </c>
      <c r="HH70" s="35">
        <f t="shared" si="460"/>
        <v>-9.1800433293931505E-6</v>
      </c>
      <c r="HI70" s="35">
        <f t="shared" si="461"/>
        <v>5.1021237060546877E-2</v>
      </c>
      <c r="HJ70" s="35">
        <f t="shared" si="462"/>
        <v>5.1051751556396491E-2</v>
      </c>
      <c r="HK70" s="35">
        <f t="shared" si="463"/>
        <v>5.103649430847168E-2</v>
      </c>
      <c r="HL70" s="35">
        <f t="shared" si="464"/>
        <v>-1.8669127561654619E-6</v>
      </c>
      <c r="HM70" s="35">
        <f t="shared" si="465"/>
        <v>5.1021237060546877E-2</v>
      </c>
      <c r="HN70" s="35">
        <f t="shared" si="466"/>
        <v>5.103649430847168E-2</v>
      </c>
      <c r="HO70" s="35">
        <f t="shared" si="467"/>
        <v>5.1028865684509275E-2</v>
      </c>
      <c r="HP70" s="35">
        <f t="shared" si="468"/>
        <v>1.7896710291509521E-6</v>
      </c>
      <c r="HQ70" s="35">
        <f t="shared" si="469"/>
        <v>5.1028865684509275E-2</v>
      </c>
      <c r="HR70" s="35">
        <f t="shared" si="470"/>
        <v>5.103649430847168E-2</v>
      </c>
      <c r="HS70" s="35">
        <f t="shared" si="471"/>
        <v>5.1032679996490478E-2</v>
      </c>
      <c r="HT70" s="35">
        <f t="shared" si="472"/>
        <v>-3.8622405051924602E-8</v>
      </c>
      <c r="HU70" s="35">
        <f t="shared" si="473"/>
        <v>5.1028865684509275E-2</v>
      </c>
      <c r="HV70" s="35">
        <f t="shared" si="474"/>
        <v>5.1032679996490478E-2</v>
      </c>
      <c r="HW70" s="35">
        <f t="shared" si="475"/>
        <v>5.103077284049988E-2</v>
      </c>
      <c r="HX70" s="35">
        <f t="shared" si="476"/>
        <v>8.7552392669110191E-7</v>
      </c>
      <c r="HY70" s="35">
        <f t="shared" si="477"/>
        <v>5.103077284049988E-2</v>
      </c>
      <c r="HZ70" s="35">
        <f t="shared" si="478"/>
        <v>5.1032679996490478E-2</v>
      </c>
      <c r="IA70" s="35">
        <f t="shared" si="479"/>
        <v>5.1031726418495182E-2</v>
      </c>
      <c r="IB70" s="35">
        <f t="shared" si="480"/>
        <v>4.1845066456325242E-7</v>
      </c>
      <c r="IC70" s="35">
        <f t="shared" si="481"/>
        <v>5.1031726418495182E-2</v>
      </c>
      <c r="ID70" s="35">
        <f t="shared" si="482"/>
        <v>5.1032679996490478E-2</v>
      </c>
      <c r="IE70" s="35">
        <f t="shared" si="483"/>
        <v>5.1032203207492827E-2</v>
      </c>
      <c r="IF70" s="35">
        <f t="shared" si="484"/>
        <v>1.8991410555280197E-7</v>
      </c>
      <c r="IG70" s="35">
        <f t="shared" si="485"/>
        <v>5.1032203207492827E-2</v>
      </c>
      <c r="IH70" s="35">
        <f t="shared" si="486"/>
        <v>5.1032679996490478E-2</v>
      </c>
      <c r="II70" s="35">
        <f t="shared" si="487"/>
        <v>5.1032441601991649E-2</v>
      </c>
      <c r="IJ70" s="35">
        <f t="shared" si="488"/>
        <v>7.5645844477278956E-8</v>
      </c>
      <c r="IK70" s="35">
        <f t="shared" si="489"/>
        <v>5.1032441601991649E-2</v>
      </c>
      <c r="IL70" s="35">
        <f t="shared" si="490"/>
        <v>5.1032679996490478E-2</v>
      </c>
      <c r="IM70" s="35">
        <f t="shared" si="491"/>
        <v>5.1032560799241067E-2</v>
      </c>
      <c r="IN70" s="35">
        <f t="shared" si="492"/>
        <v>1.8511718158364943E-8</v>
      </c>
      <c r="IO70" s="35">
        <f t="shared" si="493"/>
        <v>5.1032560799241067E-2</v>
      </c>
      <c r="IP70" s="35">
        <f t="shared" si="494"/>
        <v>5.1032679996490478E-2</v>
      </c>
      <c r="IQ70" s="35">
        <f t="shared" si="495"/>
        <v>5.1032620397865769E-2</v>
      </c>
      <c r="IR70" s="35">
        <f t="shared" si="496"/>
        <v>-1.0055343779846737E-8</v>
      </c>
      <c r="IS70" s="35">
        <f t="shared" si="497"/>
        <v>5.1032560799241067E-2</v>
      </c>
      <c r="IT70" s="35">
        <f t="shared" si="498"/>
        <v>5.1032620397865769E-2</v>
      </c>
      <c r="IU70" s="35">
        <f t="shared" si="499"/>
        <v>5.1032590598553418E-2</v>
      </c>
      <c r="IV70" s="35">
        <f t="shared" si="500"/>
        <v>4.2281871337479515E-9</v>
      </c>
      <c r="IW70" s="35">
        <f t="shared" si="501"/>
        <v>5.1032590598553418E-2</v>
      </c>
      <c r="IX70" s="35">
        <f t="shared" si="502"/>
        <v>5.1032620397865769E-2</v>
      </c>
      <c r="IY70" s="35">
        <f t="shared" si="503"/>
        <v>5.1032605498209593E-2</v>
      </c>
      <c r="IZ70" s="35">
        <f t="shared" si="504"/>
        <v>-2.9135782675382416E-9</v>
      </c>
      <c r="JA70" s="35">
        <f t="shared" si="505"/>
        <v>5.1032590598553418E-2</v>
      </c>
      <c r="JB70" s="35">
        <f t="shared" si="506"/>
        <v>5.1032605498209593E-2</v>
      </c>
      <c r="JC70" s="35">
        <f t="shared" si="507"/>
        <v>5.1032598048381506E-2</v>
      </c>
      <c r="JD70" s="35">
        <f t="shared" si="508"/>
        <v>6.5730443310485498E-10</v>
      </c>
      <c r="JE70" s="35">
        <f t="shared" si="509"/>
        <v>5.1032598048381506E-2</v>
      </c>
      <c r="JF70" s="35">
        <f t="shared" si="510"/>
        <v>5.1032605498209593E-2</v>
      </c>
      <c r="JG70" s="35">
        <f t="shared" si="511"/>
        <v>5.1032601773295549E-2</v>
      </c>
      <c r="JH70" s="35">
        <f t="shared" si="512"/>
        <v>-1.1281369172166933E-9</v>
      </c>
      <c r="JI70" s="35">
        <f t="shared" si="513"/>
        <v>5.1032598048381506E-2</v>
      </c>
      <c r="JJ70" s="35">
        <f t="shared" si="514"/>
        <v>5.1032601773295549E-2</v>
      </c>
      <c r="JK70" s="35">
        <f t="shared" si="515"/>
        <v>5.1032599910838528E-2</v>
      </c>
      <c r="JL70" s="35">
        <f t="shared" si="516"/>
        <v>-2.3541635307822162E-10</v>
      </c>
      <c r="JM70" s="35">
        <f t="shared" si="517"/>
        <v>5.1032598048381506E-2</v>
      </c>
      <c r="JN70" s="35">
        <f t="shared" si="518"/>
        <v>5.1032599910838528E-2</v>
      </c>
      <c r="JO70" s="35">
        <f t="shared" si="519"/>
        <v>5.1032598979610017E-2</v>
      </c>
      <c r="JP70" s="35">
        <f t="shared" si="520"/>
        <v>2.1094392899101422E-10</v>
      </c>
      <c r="JQ70" s="35">
        <f t="shared" si="521"/>
        <v>5.1032598979610017E-2</v>
      </c>
      <c r="JR70" s="35">
        <f t="shared" si="522"/>
        <v>5.1032599910838528E-2</v>
      </c>
      <c r="JS70" s="35">
        <f t="shared" si="523"/>
        <v>5.1032599445224272E-2</v>
      </c>
      <c r="JT70" s="35">
        <f t="shared" si="524"/>
        <v>-1.2236323065906163E-11</v>
      </c>
      <c r="JU70" s="35">
        <f t="shared" si="525"/>
        <v>5.1032598979610017E-2</v>
      </c>
      <c r="JV70" s="35">
        <f t="shared" si="526"/>
        <v>5.1032599445224272E-2</v>
      </c>
      <c r="JW70" s="35">
        <f t="shared" si="527"/>
        <v>5.1032599212417144E-2</v>
      </c>
      <c r="JX70" s="35">
        <f t="shared" si="528"/>
        <v>9.9354080518310184E-11</v>
      </c>
      <c r="JY70" s="35">
        <f t="shared" si="529"/>
        <v>5.1032599212417144E-2</v>
      </c>
      <c r="JZ70" s="35">
        <f t="shared" si="530"/>
        <v>5.1032599445224272E-2</v>
      </c>
      <c r="KA70" s="35">
        <f t="shared" si="531"/>
        <v>1.0999661034205928</v>
      </c>
      <c r="KB70" s="35">
        <f t="shared" si="532"/>
        <v>5.1032599328820705E-2</v>
      </c>
    </row>
    <row r="71" spans="1:288" ht="15" customHeight="1" x14ac:dyDescent="0.3">
      <c r="A71" s="30">
        <f>Odds_Input!A71</f>
        <v>63</v>
      </c>
      <c r="B71" s="7" t="str">
        <f>Odds_Input!B71</f>
        <v>DIV_ATLANTIC</v>
      </c>
      <c r="C71" s="7" t="str">
        <f>Odds_Input!C71</f>
        <v>Philadelphia 76ers</v>
      </c>
      <c r="D71" s="7" t="str">
        <f>Odds_Input!D71</f>
        <v>YES</v>
      </c>
      <c r="E71" s="31" t="str">
        <f>Odds_Input!E71</f>
        <v>-</v>
      </c>
      <c r="F71" s="32">
        <f>Odds_Input!F71</f>
        <v>215</v>
      </c>
      <c r="G71" s="6" t="str">
        <f t="shared" si="0"/>
        <v>DIV_ATLANTIC</v>
      </c>
      <c r="H71" s="14">
        <f t="shared" si="1"/>
        <v>3.15</v>
      </c>
      <c r="I71" s="33">
        <f t="shared" si="2"/>
        <v>0.31746031746031744</v>
      </c>
      <c r="J71" s="17">
        <f t="shared" si="3"/>
        <v>1</v>
      </c>
      <c r="K71" s="17">
        <f t="shared" si="4"/>
        <v>5</v>
      </c>
      <c r="L71" s="18">
        <f t="shared" si="5"/>
        <v>1.1462829306340507</v>
      </c>
      <c r="M71" s="34">
        <f t="shared" si="6"/>
        <v>0.14628293063405073</v>
      </c>
      <c r="N71" s="33">
        <f t="shared" si="7"/>
        <v>0.27694760950921482</v>
      </c>
      <c r="O71" s="33">
        <f t="shared" si="8"/>
        <v>0.278700820981022</v>
      </c>
      <c r="P71" s="33">
        <f t="shared" si="9"/>
        <v>0.28013227947676927</v>
      </c>
      <c r="Q71" s="33">
        <f t="shared" si="10"/>
        <v>0.28013227947676927</v>
      </c>
      <c r="R71" s="35">
        <f t="shared" si="11"/>
        <v>1.1134858528384939</v>
      </c>
      <c r="S71" s="35">
        <f t="shared" si="12"/>
        <v>4.6840558481252167E-2</v>
      </c>
      <c r="X71" s="6" t="s">
        <v>846</v>
      </c>
      <c r="Y71" s="6">
        <f t="shared" si="273"/>
        <v>1</v>
      </c>
      <c r="Z71" s="18">
        <f t="shared" si="274"/>
        <v>1.0697674418604652</v>
      </c>
      <c r="AA71" s="10">
        <v>0.2</v>
      </c>
      <c r="AB71" s="10">
        <v>10</v>
      </c>
      <c r="AC71" s="35">
        <f t="shared" si="275"/>
        <v>5.0999999999999996</v>
      </c>
      <c r="AD71" s="35">
        <f t="shared" si="276"/>
        <v>-0.91774679374219015</v>
      </c>
      <c r="AE71" s="35">
        <f t="shared" si="277"/>
        <v>0.2</v>
      </c>
      <c r="AF71" s="35">
        <f t="shared" si="278"/>
        <v>5.0999999999999996</v>
      </c>
      <c r="AG71" s="35">
        <f t="shared" si="279"/>
        <v>2.65</v>
      </c>
      <c r="AH71" s="35">
        <f t="shared" si="280"/>
        <v>-0.61900668647620494</v>
      </c>
      <c r="AI71" s="35">
        <f t="shared" si="281"/>
        <v>0.2</v>
      </c>
      <c r="AJ71" s="35">
        <f t="shared" si="282"/>
        <v>2.65</v>
      </c>
      <c r="AK71" s="35">
        <f t="shared" si="283"/>
        <v>1.425</v>
      </c>
      <c r="AL71" s="35">
        <f t="shared" si="284"/>
        <v>-0.18002688562124991</v>
      </c>
      <c r="AM71" s="35">
        <f t="shared" si="285"/>
        <v>0.2</v>
      </c>
      <c r="AN71" s="35">
        <f t="shared" si="286"/>
        <v>1.425</v>
      </c>
      <c r="AO71" s="35">
        <f t="shared" si="287"/>
        <v>0.8125</v>
      </c>
      <c r="AP71" s="35">
        <f t="shared" si="288"/>
        <v>0.20293107008546896</v>
      </c>
      <c r="AQ71" s="35">
        <f t="shared" si="289"/>
        <v>0.8125</v>
      </c>
      <c r="AR71" s="35">
        <f t="shared" si="290"/>
        <v>1.425</v>
      </c>
      <c r="AS71" s="35">
        <f t="shared" si="291"/>
        <v>1.1187499999999999</v>
      </c>
      <c r="AT71" s="35">
        <f t="shared" si="292"/>
        <v>-6.8378098613778304E-3</v>
      </c>
      <c r="AU71" s="35">
        <f t="shared" si="293"/>
        <v>0.8125</v>
      </c>
      <c r="AV71" s="35">
        <f t="shared" si="294"/>
        <v>1.1187499999999999</v>
      </c>
      <c r="AW71" s="35">
        <f t="shared" si="295"/>
        <v>0.96562499999999996</v>
      </c>
      <c r="AX71" s="35">
        <f t="shared" si="296"/>
        <v>9.3025917420021864E-2</v>
      </c>
      <c r="AY71" s="35">
        <f t="shared" si="297"/>
        <v>0.96562499999999996</v>
      </c>
      <c r="AZ71" s="35">
        <f t="shared" si="298"/>
        <v>1.1187499999999999</v>
      </c>
      <c r="BA71" s="35">
        <f t="shared" si="299"/>
        <v>1.0421874999999998</v>
      </c>
      <c r="BB71" s="35">
        <f t="shared" si="300"/>
        <v>4.1898274316233719E-2</v>
      </c>
      <c r="BC71" s="35">
        <f t="shared" si="301"/>
        <v>1.0421874999999998</v>
      </c>
      <c r="BD71" s="35">
        <f t="shared" si="302"/>
        <v>1.1187499999999999</v>
      </c>
      <c r="BE71" s="35">
        <f t="shared" si="303"/>
        <v>1.0804687499999999</v>
      </c>
      <c r="BF71" s="35">
        <f t="shared" si="304"/>
        <v>1.7238404712268673E-2</v>
      </c>
      <c r="BG71" s="35">
        <f t="shared" si="305"/>
        <v>1.0804687499999999</v>
      </c>
      <c r="BH71" s="35">
        <f t="shared" si="306"/>
        <v>1.1187499999999999</v>
      </c>
      <c r="BI71" s="35">
        <f t="shared" si="307"/>
        <v>1.099609375</v>
      </c>
      <c r="BJ71" s="35">
        <f t="shared" si="308"/>
        <v>5.1282116810544842E-3</v>
      </c>
      <c r="BK71" s="35">
        <f t="shared" si="309"/>
        <v>1.099609375</v>
      </c>
      <c r="BL71" s="35">
        <f t="shared" si="310"/>
        <v>1.1187499999999999</v>
      </c>
      <c r="BM71" s="35">
        <f t="shared" si="311"/>
        <v>1.1091796875</v>
      </c>
      <c r="BN71" s="35">
        <f t="shared" si="312"/>
        <v>-8.7271277215505982E-4</v>
      </c>
      <c r="BO71" s="35">
        <f t="shared" si="313"/>
        <v>1.099609375</v>
      </c>
      <c r="BP71" s="35">
        <f t="shared" si="314"/>
        <v>1.1091796875</v>
      </c>
      <c r="BQ71" s="35">
        <f t="shared" si="315"/>
        <v>1.1043945312500001</v>
      </c>
      <c r="BR71" s="35">
        <f t="shared" si="316"/>
        <v>2.1232576150835847E-3</v>
      </c>
      <c r="BS71" s="35">
        <f t="shared" si="317"/>
        <v>1.1043945312500001</v>
      </c>
      <c r="BT71" s="35">
        <f t="shared" si="318"/>
        <v>1.1091796875</v>
      </c>
      <c r="BU71" s="35">
        <f t="shared" si="319"/>
        <v>1.1067871093749999</v>
      </c>
      <c r="BV71" s="35">
        <f t="shared" si="320"/>
        <v>6.2415114212055478E-4</v>
      </c>
      <c r="BW71" s="35">
        <f t="shared" si="321"/>
        <v>1.1067871093749999</v>
      </c>
      <c r="BX71" s="35">
        <f t="shared" si="322"/>
        <v>1.1091796875</v>
      </c>
      <c r="BY71" s="35">
        <f t="shared" si="323"/>
        <v>1.1079833984374998</v>
      </c>
      <c r="BZ71" s="35">
        <f t="shared" si="324"/>
        <v>-1.2456092506596406E-4</v>
      </c>
      <c r="CA71" s="35">
        <f t="shared" si="325"/>
        <v>1.1067871093749999</v>
      </c>
      <c r="CB71" s="35">
        <f t="shared" si="326"/>
        <v>1.1079833984374998</v>
      </c>
      <c r="CC71" s="35">
        <f t="shared" si="327"/>
        <v>1.1073852539062499</v>
      </c>
      <c r="CD71" s="35">
        <f t="shared" si="328"/>
        <v>2.497250548039176E-4</v>
      </c>
      <c r="CE71" s="35">
        <f t="shared" si="329"/>
        <v>1.1073852539062499</v>
      </c>
      <c r="CF71" s="35">
        <f t="shared" si="330"/>
        <v>1.1079833984374998</v>
      </c>
      <c r="CG71" s="35">
        <f t="shared" si="331"/>
        <v>1.1076843261718747</v>
      </c>
      <c r="CH71" s="35">
        <f t="shared" si="332"/>
        <v>6.2564554715427434E-5</v>
      </c>
      <c r="CI71" s="35">
        <f t="shared" si="333"/>
        <v>1.1076843261718747</v>
      </c>
      <c r="CJ71" s="35">
        <f t="shared" si="334"/>
        <v>1.1079833984374998</v>
      </c>
      <c r="CK71" s="35">
        <f t="shared" si="335"/>
        <v>1.1078338623046873</v>
      </c>
      <c r="CL71" s="35">
        <f t="shared" si="336"/>
        <v>-3.1002562304149883E-5</v>
      </c>
      <c r="CM71" s="35">
        <f t="shared" si="337"/>
        <v>1.1076843261718747</v>
      </c>
      <c r="CN71" s="35">
        <f t="shared" si="338"/>
        <v>1.1078338623046873</v>
      </c>
      <c r="CO71" s="35">
        <f t="shared" si="339"/>
        <v>1.1077590942382809</v>
      </c>
      <c r="CP71" s="35">
        <f t="shared" si="340"/>
        <v>1.5779901872292612E-5</v>
      </c>
      <c r="CQ71" s="35">
        <f t="shared" si="341"/>
        <v>1.1077590942382809</v>
      </c>
      <c r="CR71" s="35">
        <f t="shared" si="342"/>
        <v>1.1078338623046873</v>
      </c>
      <c r="CS71" s="35">
        <f t="shared" si="343"/>
        <v>1.1077964782714842</v>
      </c>
      <c r="CT71" s="35">
        <f t="shared" si="344"/>
        <v>-7.6116037929230274E-6</v>
      </c>
      <c r="CU71" s="35">
        <f t="shared" si="345"/>
        <v>1.1077590942382809</v>
      </c>
      <c r="CV71" s="35">
        <f t="shared" si="346"/>
        <v>1.1077964782714842</v>
      </c>
      <c r="CW71" s="35">
        <f t="shared" si="347"/>
        <v>1.1077777862548825</v>
      </c>
      <c r="CX71" s="35">
        <f t="shared" si="348"/>
        <v>4.0840806447839384E-6</v>
      </c>
      <c r="CY71" s="35">
        <f t="shared" si="349"/>
        <v>1.1077777862548825</v>
      </c>
      <c r="CZ71" s="35">
        <f t="shared" si="350"/>
        <v>1.1077964782714842</v>
      </c>
      <c r="DA71" s="35">
        <f t="shared" si="351"/>
        <v>1.1077871322631834</v>
      </c>
      <c r="DB71" s="35">
        <f t="shared" si="352"/>
        <v>-1.7637786726698579E-6</v>
      </c>
      <c r="DC71" s="35">
        <f t="shared" si="353"/>
        <v>1.1077777862548825</v>
      </c>
      <c r="DD71" s="35">
        <f t="shared" si="354"/>
        <v>1.1077871322631834</v>
      </c>
      <c r="DE71" s="35">
        <f t="shared" si="355"/>
        <v>1.1077824592590328</v>
      </c>
      <c r="DF71" s="35">
        <f t="shared" si="356"/>
        <v>1.1601467113653285E-6</v>
      </c>
      <c r="DG71" s="35">
        <f t="shared" si="357"/>
        <v>1.1077824592590328</v>
      </c>
      <c r="DH71" s="35">
        <f t="shared" si="358"/>
        <v>1.1077871322631834</v>
      </c>
      <c r="DI71" s="35">
        <f t="shared" si="359"/>
        <v>1.1077847957611082</v>
      </c>
      <c r="DJ71" s="35">
        <f t="shared" si="360"/>
        <v>-3.0181704946397048E-7</v>
      </c>
      <c r="DK71" s="35">
        <f t="shared" si="361"/>
        <v>1.1077824592590328</v>
      </c>
      <c r="DL71" s="35">
        <f t="shared" si="362"/>
        <v>1.1077847957611082</v>
      </c>
      <c r="DM71" s="35">
        <f t="shared" si="363"/>
        <v>1.1077836275100705</v>
      </c>
      <c r="DN71" s="35">
        <f t="shared" si="364"/>
        <v>4.2916456388653046E-7</v>
      </c>
      <c r="DO71" s="35">
        <f t="shared" si="365"/>
        <v>1.1077836275100705</v>
      </c>
      <c r="DP71" s="35">
        <f t="shared" si="366"/>
        <v>1.1077847957611082</v>
      </c>
      <c r="DQ71" s="35">
        <f t="shared" si="367"/>
        <v>1.1077842116355894</v>
      </c>
      <c r="DR71" s="35">
        <f t="shared" si="368"/>
        <v>6.3673690320342757E-8</v>
      </c>
      <c r="DS71" s="35">
        <f t="shared" si="369"/>
        <v>1.1077842116355894</v>
      </c>
      <c r="DT71" s="35">
        <f t="shared" si="370"/>
        <v>1.1077847957611082</v>
      </c>
      <c r="DU71" s="35">
        <f t="shared" si="371"/>
        <v>1.1077845036983489</v>
      </c>
      <c r="DV71" s="35">
        <f t="shared" si="372"/>
        <v>-1.1907169628067038E-7</v>
      </c>
      <c r="DW71" s="35">
        <f t="shared" si="373"/>
        <v>1.1077842116355894</v>
      </c>
      <c r="DX71" s="35">
        <f t="shared" si="374"/>
        <v>1.1077845036983489</v>
      </c>
      <c r="DY71" s="35">
        <f t="shared" si="375"/>
        <v>1.107784357666969</v>
      </c>
      <c r="DZ71" s="35">
        <f t="shared" si="376"/>
        <v>-2.76990069769667E-8</v>
      </c>
      <c r="EA71" s="35">
        <f t="shared" si="377"/>
        <v>1.1077842116355894</v>
      </c>
      <c r="EB71" s="35">
        <f t="shared" si="378"/>
        <v>1.107784357666969</v>
      </c>
      <c r="EC71" s="35">
        <f t="shared" si="379"/>
        <v>1.1077842846512791</v>
      </c>
      <c r="ED71" s="35">
        <f t="shared" si="380"/>
        <v>1.7987340727998458E-8</v>
      </c>
      <c r="EE71" s="35">
        <f t="shared" si="381"/>
        <v>1.1077842846512791</v>
      </c>
      <c r="EF71" s="35">
        <f t="shared" si="382"/>
        <v>1.107784357666969</v>
      </c>
      <c r="EG71" s="35">
        <f t="shared" si="383"/>
        <v>1.1077843211591241</v>
      </c>
      <c r="EH71" s="35">
        <f t="shared" si="384"/>
        <v>-4.8558334020398775E-9</v>
      </c>
      <c r="EI71" s="35">
        <f t="shared" si="385"/>
        <v>1.1077842846512791</v>
      </c>
      <c r="EJ71" s="35">
        <f t="shared" si="386"/>
        <v>1.1077843211591241</v>
      </c>
      <c r="EK71" s="35">
        <f t="shared" si="387"/>
        <v>1.1077843029052015</v>
      </c>
      <c r="EL71" s="35">
        <f t="shared" si="388"/>
        <v>6.5657537184904413E-9</v>
      </c>
      <c r="EM71" s="35">
        <f t="shared" si="389"/>
        <v>1.1077843029052015</v>
      </c>
      <c r="EN71" s="35">
        <f t="shared" si="390"/>
        <v>1.1077843211591241</v>
      </c>
      <c r="EO71" s="35">
        <f t="shared" si="391"/>
        <v>1.1077843120321629</v>
      </c>
      <c r="EP71" s="35">
        <f t="shared" si="392"/>
        <v>8.549601027141307E-10</v>
      </c>
      <c r="EQ71" s="35">
        <f t="shared" si="393"/>
        <v>1.1077843120321629</v>
      </c>
      <c r="ER71" s="35">
        <f t="shared" si="394"/>
        <v>1.1077843211591241</v>
      </c>
      <c r="ES71" s="35">
        <f t="shared" si="395"/>
        <v>1.1077843165956436</v>
      </c>
      <c r="ET71" s="35">
        <f t="shared" si="396"/>
        <v>-2.0004368161963271E-9</v>
      </c>
      <c r="EU71" s="35">
        <f t="shared" si="397"/>
        <v>1.1077843120321629</v>
      </c>
      <c r="EV71" s="35">
        <f t="shared" si="398"/>
        <v>1.1077843165956436</v>
      </c>
      <c r="EW71" s="35">
        <f t="shared" si="399"/>
        <v>1.1077843143139032</v>
      </c>
      <c r="EX71" s="35">
        <f t="shared" si="400"/>
        <v>-5.7273841225224942E-10</v>
      </c>
      <c r="EY71" s="35">
        <f t="shared" si="401"/>
        <v>1.1077843120321629</v>
      </c>
      <c r="EZ71" s="35">
        <f t="shared" si="402"/>
        <v>1.1077843143139032</v>
      </c>
      <c r="FA71" s="10">
        <v>9.9999999999999995E-7</v>
      </c>
      <c r="FB71" s="10">
        <v>0.99990000000000001</v>
      </c>
      <c r="FC71" s="35">
        <f t="shared" si="403"/>
        <v>0.49995050000000002</v>
      </c>
      <c r="FD71" s="35">
        <f t="shared" si="404"/>
        <v>-0.22810024753702263</v>
      </c>
      <c r="FE71" s="35">
        <f t="shared" si="405"/>
        <v>9.9999999999999995E-7</v>
      </c>
      <c r="FF71" s="35">
        <f t="shared" si="406"/>
        <v>0.49995050000000002</v>
      </c>
      <c r="FG71" s="35">
        <f t="shared" si="407"/>
        <v>0.24997575</v>
      </c>
      <c r="FH71" s="35">
        <f t="shared" si="408"/>
        <v>-9.3373756698497345E-2</v>
      </c>
      <c r="FI71" s="35">
        <f t="shared" si="409"/>
        <v>9.9999999999999995E-7</v>
      </c>
      <c r="FJ71" s="35">
        <f t="shared" si="410"/>
        <v>0.24997575</v>
      </c>
      <c r="FK71" s="35">
        <f t="shared" si="411"/>
        <v>0.124988375</v>
      </c>
      <c r="FL71" s="35">
        <f t="shared" si="412"/>
        <v>-2.7952303543359203E-2</v>
      </c>
      <c r="FM71" s="35">
        <f t="shared" si="413"/>
        <v>9.9999999999999995E-7</v>
      </c>
      <c r="FN71" s="35">
        <f t="shared" si="414"/>
        <v>0.124988375</v>
      </c>
      <c r="FO71" s="35">
        <f t="shared" si="415"/>
        <v>6.24946875E-2</v>
      </c>
      <c r="FP71" s="35">
        <f t="shared" si="416"/>
        <v>3.6301997934118369E-3</v>
      </c>
      <c r="FQ71" s="35">
        <f t="shared" si="417"/>
        <v>6.24946875E-2</v>
      </c>
      <c r="FR71" s="35">
        <f t="shared" si="418"/>
        <v>0.124988375</v>
      </c>
      <c r="FS71" s="35">
        <f t="shared" si="419"/>
        <v>9.3741531249999996E-2</v>
      </c>
      <c r="FT71" s="35">
        <f t="shared" si="420"/>
        <v>-1.2052871554726119E-2</v>
      </c>
      <c r="FU71" s="35">
        <f t="shared" si="421"/>
        <v>6.24946875E-2</v>
      </c>
      <c r="FV71" s="35">
        <f t="shared" si="422"/>
        <v>9.3741531249999996E-2</v>
      </c>
      <c r="FW71" s="35">
        <f t="shared" si="423"/>
        <v>7.8118109374999994E-2</v>
      </c>
      <c r="FX71" s="35">
        <f t="shared" si="424"/>
        <v>-4.1834006113118383E-3</v>
      </c>
      <c r="FY71" s="35">
        <f t="shared" si="425"/>
        <v>6.24946875E-2</v>
      </c>
      <c r="FZ71" s="35">
        <f t="shared" si="426"/>
        <v>7.8118109374999994E-2</v>
      </c>
      <c r="GA71" s="35">
        <f t="shared" si="427"/>
        <v>7.0306398437500001E-2</v>
      </c>
      <c r="GB71" s="35">
        <f t="shared" si="428"/>
        <v>-2.6951205347680585E-4</v>
      </c>
      <c r="GC71" s="35">
        <f t="shared" si="429"/>
        <v>6.24946875E-2</v>
      </c>
      <c r="GD71" s="35">
        <f t="shared" si="430"/>
        <v>7.0306398437500001E-2</v>
      </c>
      <c r="GE71" s="35">
        <f t="shared" si="431"/>
        <v>6.6400542968750004E-2</v>
      </c>
      <c r="GF71" s="35">
        <f t="shared" si="432"/>
        <v>1.6821286095773935E-3</v>
      </c>
      <c r="GG71" s="35">
        <f t="shared" si="433"/>
        <v>6.6400542968750004E-2</v>
      </c>
      <c r="GH71" s="35">
        <f t="shared" si="434"/>
        <v>7.0306398437500001E-2</v>
      </c>
      <c r="GI71" s="35">
        <f t="shared" si="435"/>
        <v>6.8353470703125002E-2</v>
      </c>
      <c r="GJ71" s="35">
        <f t="shared" si="436"/>
        <v>7.0675290010702163E-4</v>
      </c>
      <c r="GK71" s="35">
        <f t="shared" si="437"/>
        <v>6.8353470703125002E-2</v>
      </c>
      <c r="GL71" s="35">
        <f t="shared" si="438"/>
        <v>7.0306398437500001E-2</v>
      </c>
      <c r="GM71" s="35">
        <f t="shared" si="439"/>
        <v>6.9329934570312501E-2</v>
      </c>
      <c r="GN71" s="35">
        <f t="shared" si="440"/>
        <v>2.1873138185823926E-4</v>
      </c>
      <c r="GO71" s="35">
        <f t="shared" si="441"/>
        <v>6.9329934570312501E-2</v>
      </c>
      <c r="GP71" s="35">
        <f t="shared" si="442"/>
        <v>7.0306398437500001E-2</v>
      </c>
      <c r="GQ71" s="35">
        <f t="shared" si="443"/>
        <v>6.9818166503906251E-2</v>
      </c>
      <c r="GR71" s="35">
        <f t="shared" si="444"/>
        <v>-2.5362620896141053E-5</v>
      </c>
      <c r="GS71" s="35">
        <f t="shared" si="445"/>
        <v>6.9329934570312501E-2</v>
      </c>
      <c r="GT71" s="35">
        <f t="shared" si="446"/>
        <v>6.9818166503906251E-2</v>
      </c>
      <c r="GU71" s="35">
        <f t="shared" si="447"/>
        <v>6.9574050537109383E-2</v>
      </c>
      <c r="GV71" s="35">
        <f t="shared" si="448"/>
        <v>9.6691312304164612E-5</v>
      </c>
      <c r="GW71" s="35">
        <f t="shared" si="449"/>
        <v>6.9574050537109383E-2</v>
      </c>
      <c r="GX71" s="35">
        <f t="shared" si="450"/>
        <v>6.9818166503906251E-2</v>
      </c>
      <c r="GY71" s="35">
        <f t="shared" si="451"/>
        <v>6.969610852050781E-2</v>
      </c>
      <c r="GZ71" s="35">
        <f t="shared" si="452"/>
        <v>3.5666078273433044E-5</v>
      </c>
      <c r="HA71" s="35">
        <f t="shared" si="453"/>
        <v>6.969610852050781E-2</v>
      </c>
      <c r="HB71" s="35">
        <f t="shared" si="454"/>
        <v>6.9818166503906251E-2</v>
      </c>
      <c r="HC71" s="35">
        <f t="shared" si="455"/>
        <v>6.9757137512207024E-2</v>
      </c>
      <c r="HD71" s="35">
        <f t="shared" si="456"/>
        <v>5.1521617825400767E-6</v>
      </c>
      <c r="HE71" s="35">
        <f t="shared" si="457"/>
        <v>6.9757137512207024E-2</v>
      </c>
      <c r="HF71" s="35">
        <f t="shared" si="458"/>
        <v>6.9818166503906251E-2</v>
      </c>
      <c r="HG71" s="35">
        <f t="shared" si="459"/>
        <v>6.9787652008056644E-2</v>
      </c>
      <c r="HH71" s="35">
        <f t="shared" si="460"/>
        <v>-1.0105121289294416E-5</v>
      </c>
      <c r="HI71" s="35">
        <f t="shared" si="461"/>
        <v>6.9757137512207024E-2</v>
      </c>
      <c r="HJ71" s="35">
        <f t="shared" si="462"/>
        <v>6.9787652008056644E-2</v>
      </c>
      <c r="HK71" s="35">
        <f t="shared" si="463"/>
        <v>6.9772394760131834E-2</v>
      </c>
      <c r="HL71" s="35">
        <f t="shared" si="464"/>
        <v>-2.4764526858067626E-6</v>
      </c>
      <c r="HM71" s="35">
        <f t="shared" si="465"/>
        <v>6.9757137512207024E-2</v>
      </c>
      <c r="HN71" s="35">
        <f t="shared" si="466"/>
        <v>6.9772394760131834E-2</v>
      </c>
      <c r="HO71" s="35">
        <f t="shared" si="467"/>
        <v>6.9764766136169429E-2</v>
      </c>
      <c r="HP71" s="35">
        <f t="shared" si="468"/>
        <v>1.3378613152870145E-6</v>
      </c>
      <c r="HQ71" s="35">
        <f t="shared" si="469"/>
        <v>6.9764766136169429E-2</v>
      </c>
      <c r="HR71" s="35">
        <f t="shared" si="470"/>
        <v>6.9772394760131834E-2</v>
      </c>
      <c r="HS71" s="35">
        <f t="shared" si="471"/>
        <v>6.9768580448150624E-2</v>
      </c>
      <c r="HT71" s="35">
        <f t="shared" si="472"/>
        <v>-5.6929399339100684E-7</v>
      </c>
      <c r="HU71" s="35">
        <f t="shared" si="473"/>
        <v>6.9764766136169429E-2</v>
      </c>
      <c r="HV71" s="35">
        <f t="shared" si="474"/>
        <v>6.9768580448150624E-2</v>
      </c>
      <c r="HW71" s="35">
        <f t="shared" si="475"/>
        <v>6.976667329216002E-2</v>
      </c>
      <c r="HX71" s="35">
        <f t="shared" si="476"/>
        <v>3.8428408366542044E-7</v>
      </c>
      <c r="HY71" s="35">
        <f t="shared" si="477"/>
        <v>6.976667329216002E-2</v>
      </c>
      <c r="HZ71" s="35">
        <f t="shared" si="478"/>
        <v>6.9768580448150624E-2</v>
      </c>
      <c r="IA71" s="35">
        <f t="shared" si="479"/>
        <v>6.9767626870155322E-2</v>
      </c>
      <c r="IB71" s="35">
        <f t="shared" si="480"/>
        <v>-9.2504849114050103E-8</v>
      </c>
      <c r="IC71" s="35">
        <f t="shared" si="481"/>
        <v>6.976667329216002E-2</v>
      </c>
      <c r="ID71" s="35">
        <f t="shared" si="482"/>
        <v>6.9767626870155322E-2</v>
      </c>
      <c r="IE71" s="35">
        <f t="shared" si="483"/>
        <v>6.9767150081157664E-2</v>
      </c>
      <c r="IF71" s="35">
        <f t="shared" si="484"/>
        <v>1.4588964392103776E-7</v>
      </c>
      <c r="IG71" s="35">
        <f t="shared" si="485"/>
        <v>6.9767150081157664E-2</v>
      </c>
      <c r="IH71" s="35">
        <f t="shared" si="486"/>
        <v>6.9767626870155322E-2</v>
      </c>
      <c r="II71" s="35">
        <f t="shared" si="487"/>
        <v>6.97673884756565E-2</v>
      </c>
      <c r="IJ71" s="35">
        <f t="shared" si="488"/>
        <v>2.6692404064831976E-8</v>
      </c>
      <c r="IK71" s="35">
        <f t="shared" si="489"/>
        <v>6.97673884756565E-2</v>
      </c>
      <c r="IL71" s="35">
        <f t="shared" si="490"/>
        <v>6.9767626870155322E-2</v>
      </c>
      <c r="IM71" s="35">
        <f t="shared" si="491"/>
        <v>6.9767507672905904E-2</v>
      </c>
      <c r="IN71" s="35">
        <f t="shared" si="492"/>
        <v>-3.2906220970296829E-8</v>
      </c>
      <c r="IO71" s="35">
        <f t="shared" si="493"/>
        <v>6.97673884756565E-2</v>
      </c>
      <c r="IP71" s="35">
        <f t="shared" si="494"/>
        <v>6.9767507672905904E-2</v>
      </c>
      <c r="IQ71" s="35">
        <f t="shared" si="495"/>
        <v>6.9767448074281202E-2</v>
      </c>
      <c r="IR71" s="35">
        <f t="shared" si="496"/>
        <v>-3.1069080641543678E-9</v>
      </c>
      <c r="IS71" s="35">
        <f t="shared" si="497"/>
        <v>6.97673884756565E-2</v>
      </c>
      <c r="IT71" s="35">
        <f t="shared" si="498"/>
        <v>6.9767448074281202E-2</v>
      </c>
      <c r="IU71" s="35">
        <f t="shared" si="499"/>
        <v>6.9767418274968851E-2</v>
      </c>
      <c r="IV71" s="35">
        <f t="shared" si="500"/>
        <v>1.1792748111361107E-8</v>
      </c>
      <c r="IW71" s="35">
        <f t="shared" si="501"/>
        <v>6.9767418274968851E-2</v>
      </c>
      <c r="IX71" s="35">
        <f t="shared" si="502"/>
        <v>6.9767448074281202E-2</v>
      </c>
      <c r="IY71" s="35">
        <f t="shared" si="503"/>
        <v>6.9767433174625026E-2</v>
      </c>
      <c r="IZ71" s="35">
        <f t="shared" si="504"/>
        <v>4.3429200236033694E-9</v>
      </c>
      <c r="JA71" s="35">
        <f t="shared" si="505"/>
        <v>6.9767433174625026E-2</v>
      </c>
      <c r="JB71" s="35">
        <f t="shared" si="506"/>
        <v>6.9767448074281202E-2</v>
      </c>
      <c r="JC71" s="35">
        <f t="shared" si="507"/>
        <v>6.9767440624453114E-2</v>
      </c>
      <c r="JD71" s="35">
        <f t="shared" si="508"/>
        <v>6.1800586870219831E-10</v>
      </c>
      <c r="JE71" s="35">
        <f t="shared" si="509"/>
        <v>6.9767440624453114E-2</v>
      </c>
      <c r="JF71" s="35">
        <f t="shared" si="510"/>
        <v>6.9767448074281202E-2</v>
      </c>
      <c r="JG71" s="35">
        <f t="shared" si="511"/>
        <v>6.9767444349367158E-2</v>
      </c>
      <c r="JH71" s="35">
        <f t="shared" si="512"/>
        <v>-1.2444510977260848E-9</v>
      </c>
      <c r="JI71" s="35">
        <f t="shared" si="513"/>
        <v>6.9767440624453114E-2</v>
      </c>
      <c r="JJ71" s="35">
        <f t="shared" si="514"/>
        <v>6.9767444349367158E-2</v>
      </c>
      <c r="JK71" s="35">
        <f t="shared" si="515"/>
        <v>6.9767442486910136E-2</v>
      </c>
      <c r="JL71" s="35">
        <f t="shared" si="516"/>
        <v>-3.1322255900079199E-10</v>
      </c>
      <c r="JM71" s="35">
        <f t="shared" si="517"/>
        <v>6.9767440624453114E-2</v>
      </c>
      <c r="JN71" s="35">
        <f t="shared" si="518"/>
        <v>6.9767442486910136E-2</v>
      </c>
      <c r="JO71" s="35">
        <f t="shared" si="519"/>
        <v>6.9767441555681625E-2</v>
      </c>
      <c r="JP71" s="35">
        <f t="shared" si="520"/>
        <v>1.5239187689530809E-10</v>
      </c>
      <c r="JQ71" s="35">
        <f t="shared" si="521"/>
        <v>6.9767441555681625E-2</v>
      </c>
      <c r="JR71" s="35">
        <f t="shared" si="522"/>
        <v>6.9767442486910136E-2</v>
      </c>
      <c r="JS71" s="35">
        <f t="shared" si="523"/>
        <v>6.9767442021295881E-2</v>
      </c>
      <c r="JT71" s="35">
        <f t="shared" si="524"/>
        <v>-8.0415452075044414E-11</v>
      </c>
      <c r="JU71" s="35">
        <f t="shared" si="525"/>
        <v>6.9767441555681625E-2</v>
      </c>
      <c r="JV71" s="35">
        <f t="shared" si="526"/>
        <v>6.9767442021295881E-2</v>
      </c>
      <c r="JW71" s="35">
        <f t="shared" si="527"/>
        <v>6.976744178848876E-2</v>
      </c>
      <c r="JX71" s="35">
        <f t="shared" si="528"/>
        <v>3.5988323432434299E-11</v>
      </c>
      <c r="JY71" s="35">
        <f t="shared" si="529"/>
        <v>6.976744178848876E-2</v>
      </c>
      <c r="JZ71" s="35">
        <f t="shared" si="530"/>
        <v>6.9767442021295881E-2</v>
      </c>
      <c r="KA71" s="35">
        <f t="shared" si="531"/>
        <v>1.1077843131730329</v>
      </c>
      <c r="KB71" s="35">
        <f t="shared" si="532"/>
        <v>6.9767441904892313E-2</v>
      </c>
    </row>
    <row r="72" spans="1:288" ht="15" customHeight="1" x14ac:dyDescent="0.3">
      <c r="A72" s="30">
        <f>Odds_Input!A72</f>
        <v>64</v>
      </c>
      <c r="B72" s="7" t="str">
        <f>Odds_Input!B72</f>
        <v>DIV_ATLANTIC</v>
      </c>
      <c r="C72" s="7" t="str">
        <f>Odds_Input!C72</f>
        <v>Toronto Raptors</v>
      </c>
      <c r="D72" s="7" t="str">
        <f>Odds_Input!D72</f>
        <v>YES</v>
      </c>
      <c r="E72" s="31" t="str">
        <f>Odds_Input!E72</f>
        <v>-</v>
      </c>
      <c r="F72" s="32">
        <f>Odds_Input!F72</f>
        <v>650</v>
      </c>
      <c r="G72" s="6" t="str">
        <f t="shared" ref="G72:G135" si="533">IF(OR(B72="WINS",B72="PLAYOFFS"),B72&amp;"|"&amp;C72&amp;IF(B72="WINS","|"&amp;TEXT(E72,"0.0"),""),B72)</f>
        <v>DIV_ATLANTIC</v>
      </c>
      <c r="H72" s="14">
        <f t="shared" ref="H72:H135" si="534">IF(F72&gt;0,1+F72/100,1+100/ABS(F72))</f>
        <v>7.5</v>
      </c>
      <c r="I72" s="33">
        <f t="shared" ref="I72:I135" si="535">1/H72</f>
        <v>0.13333333333333333</v>
      </c>
      <c r="J72" s="17">
        <f t="shared" ref="J72:J135" si="536">IF(LEFT(B72,6)="PLAYIN",A_playin_slots,1)</f>
        <v>1</v>
      </c>
      <c r="K72" s="17">
        <f t="shared" ref="K72:K135" si="537">COUNTIF($G$8:$G$694,G72)</f>
        <v>5</v>
      </c>
      <c r="L72" s="18">
        <f t="shared" ref="L72:L135" si="538">SUMIF($G$8:$G$694,G72,$I$8:$I$694)</f>
        <v>1.1462829306340507</v>
      </c>
      <c r="M72" s="34">
        <f t="shared" ref="M72:M135" si="539">L72/J72-1</f>
        <v>0.14628293063405073</v>
      </c>
      <c r="N72" s="33">
        <f t="shared" ref="N72:N135" si="540">I72*J72/L72</f>
        <v>0.11631799599387022</v>
      </c>
      <c r="O72" s="33">
        <f t="shared" ref="O72:O135" si="541">I72^R72</f>
        <v>0.10607954855940466</v>
      </c>
      <c r="P72" s="33">
        <f t="shared" ref="P72:P135" si="542">IF(J72&lt;&gt;1,O72,IF(L72&lt;=1,I72/L72,(SQRT(S72^2+4*(1-S72)*I72^2/L72)-S72)/(2*(1-S72))))</f>
        <v>0.10533246134600585</v>
      </c>
      <c r="Q72" s="33">
        <f t="shared" ref="Q72:Q135" si="543">IF(A_devig="Multiplicative",N72,IF(A_devig="Power",O72,P72))</f>
        <v>0.10533246134600585</v>
      </c>
      <c r="R72" s="35">
        <f t="shared" ref="R72:R135" si="544">INDEX($KA$8:$KA$96,MATCH(G72,$X$8:$X$96,0))</f>
        <v>1.1134858528384939</v>
      </c>
      <c r="S72" s="35">
        <f t="shared" ref="S72:S135" si="545">INDEX($KB$8:$KB$96,MATCH(G72,$X$8:$X$96,0))</f>
        <v>4.6840558481252167E-2</v>
      </c>
      <c r="X72" s="6" t="s">
        <v>847</v>
      </c>
      <c r="Y72" s="6">
        <f t="shared" ref="Y72:Y103" si="546">IF(LEFT(X72,6)="PLAYIN",A_playin_slots,1)</f>
        <v>1</v>
      </c>
      <c r="Z72" s="18">
        <f t="shared" ref="Z72:Z96" si="547">SUMIF($G$8:$G$694,X72,$I$8:$I$694)</f>
        <v>1.0462962962962963</v>
      </c>
      <c r="AA72" s="10">
        <v>0.2</v>
      </c>
      <c r="AB72" s="10">
        <v>10</v>
      </c>
      <c r="AC72" s="35">
        <f t="shared" ref="AC72:AC103" si="548">(AA72+AB72)/2</f>
        <v>5.0999999999999996</v>
      </c>
      <c r="AD72" s="35">
        <f t="shared" ref="AD72:AD103" si="549">SUMPRODUCT(($G$8:$G$694=X72)*($I$8:$I$694^AC72))-Y72</f>
        <v>-0.89401525962071438</v>
      </c>
      <c r="AE72" s="35">
        <f t="shared" ref="AE72:AE103" si="550">IF(AD72&gt;0,AC72,AA72)</f>
        <v>0.2</v>
      </c>
      <c r="AF72" s="35">
        <f t="shared" ref="AF72:AF96" si="551">IF(AD72&gt;0,AB72,AC72)</f>
        <v>5.0999999999999996</v>
      </c>
      <c r="AG72" s="35">
        <f t="shared" ref="AG72:AG103" si="552">(AE72+AF72)/2</f>
        <v>2.65</v>
      </c>
      <c r="AH72" s="35">
        <f t="shared" ref="AH72:AH103" si="553">SUMPRODUCT(($G$8:$G$694=X72)*($I$8:$I$694^AG72))-Y72</f>
        <v>-0.60824756504528998</v>
      </c>
      <c r="AI72" s="35">
        <f t="shared" ref="AI72:AI103" si="554">IF(AH72&gt;0,AG72,AE72)</f>
        <v>0.2</v>
      </c>
      <c r="AJ72" s="35">
        <f t="shared" ref="AJ72:AJ96" si="555">IF(AH72&gt;0,AF72,AG72)</f>
        <v>2.65</v>
      </c>
      <c r="AK72" s="35">
        <f t="shared" ref="AK72:AK103" si="556">(AI72+AJ72)/2</f>
        <v>1.425</v>
      </c>
      <c r="AL72" s="35">
        <f t="shared" ref="AL72:AL103" si="557">SUMPRODUCT(($G$8:$G$694=X72)*($I$8:$I$694^AK72))-Y72</f>
        <v>-0.19554532423551607</v>
      </c>
      <c r="AM72" s="35">
        <f t="shared" ref="AM72:AM103" si="558">IF(AL72&gt;0,AK72,AI72)</f>
        <v>0.2</v>
      </c>
      <c r="AN72" s="35">
        <f t="shared" ref="AN72:AN96" si="559">IF(AL72&gt;0,AJ72,AK72)</f>
        <v>1.425</v>
      </c>
      <c r="AO72" s="35">
        <f t="shared" ref="AO72:AO103" si="560">(AM72+AN72)/2</f>
        <v>0.8125</v>
      </c>
      <c r="AP72" s="35">
        <f t="shared" ref="AP72:AP103" si="561">SUMPRODUCT(($G$8:$G$694=X72)*($I$8:$I$694^AO72))-Y72</f>
        <v>0.1776800894552808</v>
      </c>
      <c r="AQ72" s="35">
        <f t="shared" ref="AQ72:AQ103" si="562">IF(AP72&gt;0,AO72,AM72)</f>
        <v>0.8125</v>
      </c>
      <c r="AR72" s="35">
        <f t="shared" ref="AR72:AR96" si="563">IF(AP72&gt;0,AN72,AO72)</f>
        <v>1.425</v>
      </c>
      <c r="AS72" s="35">
        <f t="shared" ref="AS72:AS103" si="564">(AQ72+AR72)/2</f>
        <v>1.1187499999999999</v>
      </c>
      <c r="AT72" s="35">
        <f t="shared" ref="AT72:AT103" si="565">SUMPRODUCT(($G$8:$G$694=X72)*($I$8:$I$694^AS72))-Y72</f>
        <v>-2.8502246429456646E-2</v>
      </c>
      <c r="AU72" s="35">
        <f t="shared" ref="AU72:AU103" si="566">IF(AT72&gt;0,AS72,AQ72)</f>
        <v>0.8125</v>
      </c>
      <c r="AV72" s="35">
        <f t="shared" ref="AV72:AV96" si="567">IF(AT72&gt;0,AR72,AS72)</f>
        <v>1.1187499999999999</v>
      </c>
      <c r="AW72" s="35">
        <f t="shared" ref="AW72:AW103" si="568">(AU72+AV72)/2</f>
        <v>0.96562499999999996</v>
      </c>
      <c r="AX72" s="35">
        <f t="shared" ref="AX72:AX103" si="569">SUMPRODUCT(($G$8:$G$694=X72)*($I$8:$I$694^AW72))-Y72</f>
        <v>6.9118988620727517E-2</v>
      </c>
      <c r="AY72" s="35">
        <f t="shared" ref="AY72:AY103" si="570">IF(AX72&gt;0,AW72,AU72)</f>
        <v>0.96562499999999996</v>
      </c>
      <c r="AZ72" s="35">
        <f t="shared" ref="AZ72:AZ96" si="571">IF(AX72&gt;0,AV72,AW72)</f>
        <v>1.1187499999999999</v>
      </c>
      <c r="BA72" s="35">
        <f t="shared" ref="BA72:BA103" si="572">(AY72+AZ72)/2</f>
        <v>1.0421874999999998</v>
      </c>
      <c r="BB72" s="35">
        <f t="shared" ref="BB72:BB103" si="573">SUMPRODUCT(($G$8:$G$694=X72)*($I$8:$I$694^BA72))-Y72</f>
        <v>1.9018622612210656E-2</v>
      </c>
      <c r="BC72" s="35">
        <f t="shared" ref="BC72:BC103" si="574">IF(BB72&gt;0,BA72,AY72)</f>
        <v>1.0421874999999998</v>
      </c>
      <c r="BD72" s="35">
        <f t="shared" ref="BD72:BD96" si="575">IF(BB72&gt;0,AZ72,BA72)</f>
        <v>1.1187499999999999</v>
      </c>
      <c r="BE72" s="35">
        <f t="shared" ref="BE72:BE103" si="576">(BC72+BD72)/2</f>
        <v>1.0804687499999999</v>
      </c>
      <c r="BF72" s="35">
        <f t="shared" ref="BF72:BF103" si="577">SUMPRODUCT(($G$8:$G$694=X72)*($I$8:$I$694^BE72))-Y72</f>
        <v>-5.0550450125919077E-3</v>
      </c>
      <c r="BG72" s="35">
        <f t="shared" ref="BG72:BG103" si="578">IF(BF72&gt;0,BE72,BC72)</f>
        <v>1.0421874999999998</v>
      </c>
      <c r="BH72" s="35">
        <f t="shared" ref="BH72:BH96" si="579">IF(BF72&gt;0,BD72,BE72)</f>
        <v>1.0804687499999999</v>
      </c>
      <c r="BI72" s="35">
        <f t="shared" ref="BI72:BI103" si="580">(BG72+BH72)/2</f>
        <v>1.0613281249999997</v>
      </c>
      <c r="BJ72" s="35">
        <f t="shared" ref="BJ72:BJ103" si="581">SUMPRODUCT(($G$8:$G$694=X72)*($I$8:$I$694^BI72))-Y72</f>
        <v>6.9023519757416274E-3</v>
      </c>
      <c r="BK72" s="35">
        <f t="shared" ref="BK72:BK103" si="582">IF(BJ72&gt;0,BI72,BG72)</f>
        <v>1.0613281249999997</v>
      </c>
      <c r="BL72" s="35">
        <f t="shared" ref="BL72:BL96" si="583">IF(BJ72&gt;0,BH72,BI72)</f>
        <v>1.0804687499999999</v>
      </c>
      <c r="BM72" s="35">
        <f t="shared" ref="BM72:BM103" si="584">(BK72+BL72)/2</f>
        <v>1.0708984374999999</v>
      </c>
      <c r="BN72" s="35">
        <f t="shared" ref="BN72:BN103" si="585">SUMPRODUCT(($G$8:$G$694=X72)*($I$8:$I$694^BM72))-Y72</f>
        <v>9.039366922443115E-4</v>
      </c>
      <c r="BO72" s="35">
        <f t="shared" ref="BO72:BO103" si="586">IF(BN72&gt;0,BM72,BK72)</f>
        <v>1.0708984374999999</v>
      </c>
      <c r="BP72" s="35">
        <f t="shared" ref="BP72:BP96" si="587">IF(BN72&gt;0,BL72,BM72)</f>
        <v>1.0804687499999999</v>
      </c>
      <c r="BQ72" s="35">
        <f t="shared" ref="BQ72:BQ103" si="588">(BO72+BP72)/2</f>
        <v>1.07568359375</v>
      </c>
      <c r="BR72" s="35">
        <f t="shared" ref="BR72:BR103" si="589">SUMPRODUCT(($G$8:$G$694=X72)*($I$8:$I$694^BQ72))-Y72</f>
        <v>-2.0804656742301475E-3</v>
      </c>
      <c r="BS72" s="35">
        <f t="shared" ref="BS72:BS103" si="590">IF(BR72&gt;0,BQ72,BO72)</f>
        <v>1.0708984374999999</v>
      </c>
      <c r="BT72" s="35">
        <f t="shared" ref="BT72:BT96" si="591">IF(BR72&gt;0,BP72,BQ72)</f>
        <v>1.07568359375</v>
      </c>
      <c r="BU72" s="35">
        <f t="shared" ref="BU72:BU103" si="592">(BS72+BT72)/2</f>
        <v>1.073291015625</v>
      </c>
      <c r="BV72" s="35">
        <f t="shared" ref="BV72:BV103" si="593">SUMPRODUCT(($G$8:$G$694=X72)*($I$8:$I$694^BU72))-Y72</f>
        <v>-5.8949457463985944E-4</v>
      </c>
      <c r="BW72" s="35">
        <f t="shared" ref="BW72:BW103" si="594">IF(BV72&gt;0,BU72,BS72)</f>
        <v>1.0708984374999999</v>
      </c>
      <c r="BX72" s="35">
        <f t="shared" ref="BX72:BX96" si="595">IF(BV72&gt;0,BT72,BU72)</f>
        <v>1.073291015625</v>
      </c>
      <c r="BY72" s="35">
        <f t="shared" ref="BY72:BY103" si="596">(BW72+BX72)/2</f>
        <v>1.0720947265624998</v>
      </c>
      <c r="BZ72" s="35">
        <f t="shared" ref="BZ72:BZ103" si="597">SUMPRODUCT(($G$8:$G$694=X72)*($I$8:$I$694^BY72))-Y72</f>
        <v>1.5691326178801646E-4</v>
      </c>
      <c r="CA72" s="35">
        <f t="shared" ref="CA72:CA103" si="598">IF(BZ72&gt;0,BY72,BW72)</f>
        <v>1.0720947265624998</v>
      </c>
      <c r="CB72" s="35">
        <f t="shared" ref="CB72:CB96" si="599">IF(BZ72&gt;0,BX72,BY72)</f>
        <v>1.073291015625</v>
      </c>
      <c r="CC72" s="35">
        <f t="shared" ref="CC72:CC103" si="600">(CA72+CB72)/2</f>
        <v>1.07269287109375</v>
      </c>
      <c r="CD72" s="35">
        <f t="shared" ref="CD72:CD103" si="601">SUMPRODUCT(($G$8:$G$694=X72)*($I$8:$I$694^CC72))-Y72</f>
        <v>-2.1636757114618099E-4</v>
      </c>
      <c r="CE72" s="35">
        <f t="shared" ref="CE72:CE103" si="602">IF(CD72&gt;0,CC72,CA72)</f>
        <v>1.0720947265624998</v>
      </c>
      <c r="CF72" s="35">
        <f t="shared" ref="CF72:CF96" si="603">IF(CD72&gt;0,CB72,CC72)</f>
        <v>1.07269287109375</v>
      </c>
      <c r="CG72" s="35">
        <f t="shared" ref="CG72:CG103" si="604">(CE72+CF72)/2</f>
        <v>1.0723937988281249</v>
      </c>
      <c r="CH72" s="35">
        <f t="shared" ref="CH72:CH103" si="605">SUMPRODUCT(($G$8:$G$694=X72)*($I$8:$I$694^CG72))-Y72</f>
        <v>-2.9746387674611796E-5</v>
      </c>
      <c r="CI72" s="35">
        <f t="shared" ref="CI72:CI103" si="606">IF(CH72&gt;0,CG72,CE72)</f>
        <v>1.0720947265624998</v>
      </c>
      <c r="CJ72" s="35">
        <f t="shared" ref="CJ72:CJ96" si="607">IF(CH72&gt;0,CF72,CG72)</f>
        <v>1.0723937988281249</v>
      </c>
      <c r="CK72" s="35">
        <f t="shared" ref="CK72:CK103" si="608">(CI72+CJ72)/2</f>
        <v>1.0722442626953124</v>
      </c>
      <c r="CL72" s="35">
        <f t="shared" ref="CL72:CL103" si="609">SUMPRODUCT(($G$8:$G$694=X72)*($I$8:$I$694^CK72))-Y72</f>
        <v>6.3578628268334825E-5</v>
      </c>
      <c r="CM72" s="35">
        <f t="shared" ref="CM72:CM103" si="610">IF(CL72&gt;0,CK72,CI72)</f>
        <v>1.0722442626953124</v>
      </c>
      <c r="CN72" s="35">
        <f t="shared" ref="CN72:CN96" si="611">IF(CL72&gt;0,CJ72,CK72)</f>
        <v>1.0723937988281249</v>
      </c>
      <c r="CO72" s="35">
        <f t="shared" ref="CO72:CO103" si="612">(CM72+CN72)/2</f>
        <v>1.0723190307617188</v>
      </c>
      <c r="CP72" s="35">
        <f t="shared" ref="CP72:CP103" si="613">SUMPRODUCT(($G$8:$G$694=X72)*($I$8:$I$694^CO72))-Y72</f>
        <v>1.6914918167243442E-5</v>
      </c>
      <c r="CQ72" s="35">
        <f t="shared" ref="CQ72:CQ103" si="614">IF(CP72&gt;0,CO72,CM72)</f>
        <v>1.0723190307617188</v>
      </c>
      <c r="CR72" s="35">
        <f t="shared" ref="CR72:CR96" si="615">IF(CP72&gt;0,CN72,CO72)</f>
        <v>1.0723937988281249</v>
      </c>
      <c r="CS72" s="35">
        <f t="shared" ref="CS72:CS103" si="616">(CQ72+CR72)/2</f>
        <v>1.0723564147949218</v>
      </c>
      <c r="CT72" s="35">
        <f t="shared" ref="CT72:CT103" si="617">SUMPRODUCT(($G$8:$G$694=X72)*($I$8:$I$694^CS72))-Y72</f>
        <v>-6.4160352776232443E-6</v>
      </c>
      <c r="CU72" s="35">
        <f t="shared" ref="CU72:CU103" si="618">IF(CT72&gt;0,CS72,CQ72)</f>
        <v>1.0723190307617188</v>
      </c>
      <c r="CV72" s="35">
        <f t="shared" ref="CV72:CV96" si="619">IF(CT72&gt;0,CR72,CS72)</f>
        <v>1.0723564147949218</v>
      </c>
      <c r="CW72" s="35">
        <f t="shared" ref="CW72:CW103" si="620">(CU72+CV72)/2</f>
        <v>1.0723377227783204</v>
      </c>
      <c r="CX72" s="35">
        <f t="shared" ref="CX72:CX103" si="621">SUMPRODUCT(($G$8:$G$694=X72)*($I$8:$I$694^CW72))-Y72</f>
        <v>5.2493663127428647E-6</v>
      </c>
      <c r="CY72" s="35">
        <f t="shared" ref="CY72:CY103" si="622">IF(CX72&gt;0,CW72,CU72)</f>
        <v>1.0723377227783204</v>
      </c>
      <c r="CZ72" s="35">
        <f t="shared" ref="CZ72:CZ96" si="623">IF(CX72&gt;0,CV72,CW72)</f>
        <v>1.0723564147949218</v>
      </c>
      <c r="DA72" s="35">
        <f t="shared" ref="DA72:DA103" si="624">(CY72+CZ72)/2</f>
        <v>1.072347068786621</v>
      </c>
      <c r="DB72" s="35">
        <f t="shared" ref="DB72:DB103" si="625">SUMPRODUCT(($G$8:$G$694=X72)*($I$8:$I$694^DA72))-Y72</f>
        <v>-5.8335326524883158E-7</v>
      </c>
      <c r="DC72" s="35">
        <f t="shared" ref="DC72:DC103" si="626">IF(DB72&gt;0,DA72,CY72)</f>
        <v>1.0723377227783204</v>
      </c>
      <c r="DD72" s="35">
        <f t="shared" ref="DD72:DD96" si="627">IF(DB72&gt;0,CZ72,DA72)</f>
        <v>1.072347068786621</v>
      </c>
      <c r="DE72" s="35">
        <f t="shared" ref="DE72:DE103" si="628">(DC72+DD72)/2</f>
        <v>1.0723423957824707</v>
      </c>
      <c r="DF72" s="35">
        <f t="shared" ref="DF72:DF103" si="629">SUMPRODUCT(($G$8:$G$694=X72)*($I$8:$I$694^DE72))-Y72</f>
        <v>2.3330018279477116E-6</v>
      </c>
      <c r="DG72" s="35">
        <f t="shared" ref="DG72:DG103" si="630">IF(DF72&gt;0,DE72,DC72)</f>
        <v>1.0723423957824707</v>
      </c>
      <c r="DH72" s="35">
        <f t="shared" ref="DH72:DH96" si="631">IF(DF72&gt;0,DD72,DE72)</f>
        <v>1.072347068786621</v>
      </c>
      <c r="DI72" s="35">
        <f t="shared" ref="DI72:DI103" si="632">(DG72+DH72)/2</f>
        <v>1.0723447322845459</v>
      </c>
      <c r="DJ72" s="35">
        <f t="shared" ref="DJ72:DJ103" si="633">SUMPRODUCT(($G$8:$G$694=X72)*($I$8:$I$694^DI72))-Y72</f>
        <v>8.7482310728859147E-7</v>
      </c>
      <c r="DK72" s="35">
        <f t="shared" ref="DK72:DK103" si="634">IF(DJ72&gt;0,DI72,DG72)</f>
        <v>1.0723447322845459</v>
      </c>
      <c r="DL72" s="35">
        <f t="shared" ref="DL72:DL96" si="635">IF(DJ72&gt;0,DH72,DI72)</f>
        <v>1.072347068786621</v>
      </c>
      <c r="DM72" s="35">
        <f t="shared" ref="DM72:DM103" si="636">(DK72+DL72)/2</f>
        <v>1.0723459005355833</v>
      </c>
      <c r="DN72" s="35">
        <f t="shared" ref="DN72:DN103" si="637">SUMPRODUCT(($G$8:$G$694=X72)*($I$8:$I$694^DM72))-Y72</f>
        <v>1.4573462769895684E-7</v>
      </c>
      <c r="DO72" s="35">
        <f t="shared" ref="DO72:DO103" si="638">IF(DN72&gt;0,DM72,DK72)</f>
        <v>1.0723459005355833</v>
      </c>
      <c r="DP72" s="35">
        <f t="shared" ref="DP72:DP96" si="639">IF(DN72&gt;0,DL72,DM72)</f>
        <v>1.072347068786621</v>
      </c>
      <c r="DQ72" s="35">
        <f t="shared" ref="DQ72:DQ103" si="640">(DO72+DP72)/2</f>
        <v>1.0723464846611022</v>
      </c>
      <c r="DR72" s="35">
        <f t="shared" ref="DR72:DR103" si="641">SUMPRODUCT(($G$8:$G$694=X72)*($I$8:$I$694^DQ72))-Y72</f>
        <v>-2.1880939216067929E-7</v>
      </c>
      <c r="DS72" s="35">
        <f t="shared" ref="DS72:DS103" si="642">IF(DR72&gt;0,DQ72,DO72)</f>
        <v>1.0723459005355833</v>
      </c>
      <c r="DT72" s="35">
        <f t="shared" ref="DT72:DT96" si="643">IF(DR72&gt;0,DP72,DQ72)</f>
        <v>1.0723464846611022</v>
      </c>
      <c r="DU72" s="35">
        <f t="shared" ref="DU72:DU103" si="644">(DS72+DT72)/2</f>
        <v>1.0723461925983426</v>
      </c>
      <c r="DV72" s="35">
        <f t="shared" ref="DV72:DV103" si="645">SUMPRODUCT(($G$8:$G$694=X72)*($I$8:$I$694^DU72))-Y72</f>
        <v>-3.6537400660563435E-8</v>
      </c>
      <c r="DW72" s="35">
        <f t="shared" ref="DW72:DW103" si="646">IF(DV72&gt;0,DU72,DS72)</f>
        <v>1.0723459005355833</v>
      </c>
      <c r="DX72" s="35">
        <f t="shared" ref="DX72:DX96" si="647">IF(DV72&gt;0,DT72,DU72)</f>
        <v>1.0723461925983426</v>
      </c>
      <c r="DY72" s="35">
        <f t="shared" ref="DY72:DY103" si="648">(DW72+DX72)/2</f>
        <v>1.072346046566963</v>
      </c>
      <c r="DZ72" s="35">
        <f t="shared" ref="DZ72:DZ103" si="649">SUMPRODUCT(($G$8:$G$694=X72)*($I$8:$I$694^DY72))-Y72</f>
        <v>5.4598608967282303E-8</v>
      </c>
      <c r="EA72" s="35">
        <f t="shared" ref="EA72:EA103" si="650">IF(DZ72&gt;0,DY72,DW72)</f>
        <v>1.072346046566963</v>
      </c>
      <c r="EB72" s="35">
        <f t="shared" ref="EB72:EB96" si="651">IF(DZ72&gt;0,DX72,DY72)</f>
        <v>1.0723461925983426</v>
      </c>
      <c r="EC72" s="35">
        <f t="shared" ref="EC72:EC103" si="652">(EA72+EB72)/2</f>
        <v>1.0723461195826527</v>
      </c>
      <c r="ED72" s="35">
        <f t="shared" ref="ED72:ED103" si="653">SUMPRODUCT(($G$8:$G$694=X72)*($I$8:$I$694^EC72))-Y72</f>
        <v>9.0306031541587117E-9</v>
      </c>
      <c r="EE72" s="35">
        <f t="shared" ref="EE72:EE103" si="654">IF(ED72&gt;0,EC72,EA72)</f>
        <v>1.0723461195826527</v>
      </c>
      <c r="EF72" s="35">
        <f t="shared" ref="EF72:EF96" si="655">IF(ED72&gt;0,EB72,EC72)</f>
        <v>1.0723461925983426</v>
      </c>
      <c r="EG72" s="35">
        <f t="shared" ref="EG72:EG103" si="656">(EE72+EF72)/2</f>
        <v>1.0723461560904977</v>
      </c>
      <c r="EH72" s="35">
        <f t="shared" ref="EH72:EH103" si="657">SUMPRODUCT(($G$8:$G$694=X72)*($I$8:$I$694^EG72))-Y72</f>
        <v>-1.3753398975246967E-8</v>
      </c>
      <c r="EI72" s="35">
        <f t="shared" ref="EI72:EI103" si="658">IF(EH72&gt;0,EG72,EE72)</f>
        <v>1.0723461195826527</v>
      </c>
      <c r="EJ72" s="35">
        <f t="shared" ref="EJ72:EJ96" si="659">IF(EH72&gt;0,EF72,EG72)</f>
        <v>1.0723461560904977</v>
      </c>
      <c r="EK72" s="35">
        <f t="shared" ref="EK72:EK103" si="660">(EI72+EJ72)/2</f>
        <v>1.0723461378365751</v>
      </c>
      <c r="EL72" s="35">
        <f t="shared" ref="EL72:EL103" si="661">SUMPRODUCT(($G$8:$G$694=X72)*($I$8:$I$694^EK72))-Y72</f>
        <v>-2.3613979660552786E-9</v>
      </c>
      <c r="EM72" s="35">
        <f t="shared" ref="EM72:EM103" si="662">IF(EL72&gt;0,EK72,EI72)</f>
        <v>1.0723461195826527</v>
      </c>
      <c r="EN72" s="35">
        <f t="shared" ref="EN72:EN96" si="663">IF(EL72&gt;0,EJ72,EK72)</f>
        <v>1.0723461378365751</v>
      </c>
      <c r="EO72" s="35">
        <f t="shared" ref="EO72:EO103" si="664">(EM72+EN72)/2</f>
        <v>1.0723461287096139</v>
      </c>
      <c r="EP72" s="35">
        <f t="shared" ref="EP72:EP103" si="665">SUMPRODUCT(($G$8:$G$694=X72)*($I$8:$I$694^EO72))-Y72</f>
        <v>3.3346025940517166E-9</v>
      </c>
      <c r="EQ72" s="35">
        <f t="shared" ref="EQ72:EQ103" si="666">IF(EP72&gt;0,EO72,EM72)</f>
        <v>1.0723461287096139</v>
      </c>
      <c r="ER72" s="35">
        <f t="shared" ref="ER72:ER96" si="667">IF(EP72&gt;0,EN72,EO72)</f>
        <v>1.0723461378365751</v>
      </c>
      <c r="ES72" s="35">
        <f t="shared" ref="ES72:ES103" si="668">(EQ72+ER72)/2</f>
        <v>1.0723461332730944</v>
      </c>
      <c r="ET72" s="35">
        <f t="shared" ref="ET72:ET103" si="669">SUMPRODUCT(($G$8:$G$694=X72)*($I$8:$I$694^ES72))-Y72</f>
        <v>4.8660231399821896E-10</v>
      </c>
      <c r="EU72" s="35">
        <f t="shared" ref="EU72:EU103" si="670">IF(ET72&gt;0,ES72,EQ72)</f>
        <v>1.0723461332730944</v>
      </c>
      <c r="EV72" s="35">
        <f t="shared" ref="EV72:EV96" si="671">IF(ET72&gt;0,ER72,ES72)</f>
        <v>1.0723461378365751</v>
      </c>
      <c r="EW72" s="35">
        <f t="shared" ref="EW72:EW103" si="672">(EU72+EV72)/2</f>
        <v>1.0723461355548347</v>
      </c>
      <c r="EX72" s="35">
        <f t="shared" ref="EX72:EX103" si="673">SUMPRODUCT(($G$8:$G$694=X72)*($I$8:$I$694^EW72))-Y72</f>
        <v>-9.3739771500622737E-10</v>
      </c>
      <c r="EY72" s="35">
        <f t="shared" ref="EY72:EY103" si="674">IF(EX72&gt;0,EW72,EU72)</f>
        <v>1.0723461332730944</v>
      </c>
      <c r="EZ72" s="35">
        <f t="shared" ref="EZ72:EZ96" si="675">IF(EX72&gt;0,EV72,EW72)</f>
        <v>1.0723461355548347</v>
      </c>
      <c r="FA72" s="10">
        <v>9.9999999999999995E-7</v>
      </c>
      <c r="FB72" s="10">
        <v>0.99990000000000001</v>
      </c>
      <c r="FC72" s="35">
        <f t="shared" ref="FC72:FC103" si="676">(FA72+FB72)/2</f>
        <v>0.49995050000000002</v>
      </c>
      <c r="FD72" s="35">
        <f t="shared" ref="FD72:FD103" si="677">(SUMPRODUCT(($G$8:$G$694=X72)*SQRT(FC72^2+4*(1-FC72)*$I$8:$I$694^2/Z72))-COUNTIF($G$8:$G$694,X72)*FC72)/(2*(1-FC72))-1</f>
        <v>-0.23329404127084175</v>
      </c>
      <c r="FE72" s="35">
        <f t="shared" ref="FE72:FE103" si="678">IF(FD72&gt;0,FC72,FA72)</f>
        <v>9.9999999999999995E-7</v>
      </c>
      <c r="FF72" s="35">
        <f t="shared" ref="FF72:FF96" si="679">IF(FD72&gt;0,FB72,FC72)</f>
        <v>0.49995050000000002</v>
      </c>
      <c r="FG72" s="35">
        <f t="shared" ref="FG72:FG103" si="680">(FE72+FF72)/2</f>
        <v>0.24997575</v>
      </c>
      <c r="FH72" s="35">
        <f t="shared" ref="FH72:FH103" si="681">(SUMPRODUCT(($G$8:$G$694=X72)*SQRT(FG72^2+4*(1-FG72)*$I$8:$I$694^2/Z72))-COUNTIF($G$8:$G$694,X72)*FG72)/(2*(1-FG72))-1</f>
        <v>-0.10425883322809071</v>
      </c>
      <c r="FI72" s="35">
        <f t="shared" ref="FI72:FI103" si="682">IF(FH72&gt;0,FG72,FE72)</f>
        <v>9.9999999999999995E-7</v>
      </c>
      <c r="FJ72" s="35">
        <f t="shared" ref="FJ72:FJ96" si="683">IF(FH72&gt;0,FF72,FG72)</f>
        <v>0.24997575</v>
      </c>
      <c r="FK72" s="35">
        <f t="shared" ref="FK72:FK103" si="684">(FI72+FJ72)/2</f>
        <v>0.124988375</v>
      </c>
      <c r="FL72" s="35">
        <f t="shared" ref="FL72:FL103" si="685">(SUMPRODUCT(($G$8:$G$694=X72)*SQRT(FK72^2+4*(1-FK72)*$I$8:$I$694^2/Z72))-COUNTIF($G$8:$G$694,X72)*FK72)/(2*(1-FK72))-1</f>
        <v>-3.9655256600094946E-2</v>
      </c>
      <c r="FM72" s="35">
        <f t="shared" ref="FM72:FM103" si="686">IF(FL72&gt;0,FK72,FI72)</f>
        <v>9.9999999999999995E-7</v>
      </c>
      <c r="FN72" s="35">
        <f t="shared" ref="FN72:FN96" si="687">IF(FL72&gt;0,FJ72,FK72)</f>
        <v>0.124988375</v>
      </c>
      <c r="FO72" s="35">
        <f t="shared" ref="FO72:FO103" si="688">(FM72+FN72)/2</f>
        <v>6.24946875E-2</v>
      </c>
      <c r="FP72" s="35">
        <f t="shared" ref="FP72:FP103" si="689">(SUMPRODUCT(($G$8:$G$694=X72)*SQRT(FO72^2+4*(1-FO72)*$I$8:$I$694^2/Z72))-COUNTIF($G$8:$G$694,X72)*FO72)/(2*(1-FO72))-1</f>
        <v>-8.0398601359088495E-3</v>
      </c>
      <c r="FQ72" s="35">
        <f t="shared" ref="FQ72:FQ103" si="690">IF(FP72&gt;0,FO72,FM72)</f>
        <v>9.9999999999999995E-7</v>
      </c>
      <c r="FR72" s="35">
        <f t="shared" ref="FR72:FR96" si="691">IF(FP72&gt;0,FN72,FO72)</f>
        <v>6.24946875E-2</v>
      </c>
      <c r="FS72" s="35">
        <f t="shared" ref="FS72:FS103" si="692">(FQ72+FR72)/2</f>
        <v>3.124784375E-2</v>
      </c>
      <c r="FT72" s="35">
        <f t="shared" ref="FT72:FT103" si="693">(SUMPRODUCT(($G$8:$G$694=X72)*SQRT(FS72^2+4*(1-FS72)*$I$8:$I$694^2/Z72))-COUNTIF($G$8:$G$694,X72)*FS72)/(2*(1-FS72))-1</f>
        <v>7.5186026735483136E-3</v>
      </c>
      <c r="FU72" s="35">
        <f t="shared" ref="FU72:FU103" si="694">IF(FT72&gt;0,FS72,FQ72)</f>
        <v>3.124784375E-2</v>
      </c>
      <c r="FV72" s="35">
        <f t="shared" ref="FV72:FV96" si="695">IF(FT72&gt;0,FR72,FS72)</f>
        <v>6.24946875E-2</v>
      </c>
      <c r="FW72" s="35">
        <f t="shared" ref="FW72:FW103" si="696">(FU72+FV72)/2</f>
        <v>4.6871265624999998E-2</v>
      </c>
      <c r="FX72" s="35">
        <f t="shared" ref="FX72:FX103" si="697">(SUMPRODUCT(($G$8:$G$694=X72)*SQRT(FW72^2+4*(1-FW72)*$I$8:$I$694^2/Z72))-COUNTIF($G$8:$G$694,X72)*FW72)/(2*(1-FW72))-1</f>
        <v>-2.3782194002053281E-4</v>
      </c>
      <c r="FY72" s="35">
        <f t="shared" ref="FY72:FY103" si="698">IF(FX72&gt;0,FW72,FU72)</f>
        <v>3.124784375E-2</v>
      </c>
      <c r="FZ72" s="35">
        <f t="shared" ref="FZ72:FZ96" si="699">IF(FX72&gt;0,FV72,FW72)</f>
        <v>4.6871265624999998E-2</v>
      </c>
      <c r="GA72" s="35">
        <f t="shared" ref="GA72:GA103" si="700">(FY72+FZ72)/2</f>
        <v>3.9059554687499998E-2</v>
      </c>
      <c r="GB72" s="35">
        <f t="shared" ref="GB72:GB103" si="701">(SUMPRODUCT(($G$8:$G$694=X72)*SQRT(GA72^2+4*(1-GA72)*$I$8:$I$694^2/Z72))-COUNTIF($G$8:$G$694,X72)*GA72)/(2*(1-GA72))-1</f>
        <v>3.6462349284258622E-3</v>
      </c>
      <c r="GC72" s="35">
        <f t="shared" ref="GC72:GC103" si="702">IF(GB72&gt;0,GA72,FY72)</f>
        <v>3.9059554687499998E-2</v>
      </c>
      <c r="GD72" s="35">
        <f t="shared" ref="GD72:GD96" si="703">IF(GB72&gt;0,FZ72,GA72)</f>
        <v>4.6871265624999998E-2</v>
      </c>
      <c r="GE72" s="35">
        <f t="shared" ref="GE72:GE103" si="704">(GC72+GD72)/2</f>
        <v>4.2965410156249995E-2</v>
      </c>
      <c r="GF72" s="35">
        <f t="shared" ref="GF72:GF103" si="705">(SUMPRODUCT(($G$8:$G$694=X72)*SQRT(GE72^2+4*(1-GE72)*$I$8:$I$694^2/Z72))-COUNTIF($G$8:$G$694,X72)*GE72)/(2*(1-GE72))-1</f>
        <v>1.7056500676302377E-3</v>
      </c>
      <c r="GG72" s="35">
        <f t="shared" ref="GG72:GG103" si="706">IF(GF72&gt;0,GE72,GC72)</f>
        <v>4.2965410156249995E-2</v>
      </c>
      <c r="GH72" s="35">
        <f t="shared" ref="GH72:GH96" si="707">IF(GF72&gt;0,GD72,GE72)</f>
        <v>4.6871265624999998E-2</v>
      </c>
      <c r="GI72" s="35">
        <f t="shared" ref="GI72:GI103" si="708">(GG72+GH72)/2</f>
        <v>4.4918337890624993E-2</v>
      </c>
      <c r="GJ72" s="35">
        <f t="shared" ref="GJ72:GJ103" si="709">(SUMPRODUCT(($G$8:$G$694=X72)*SQRT(GI72^2+4*(1-GI72)*$I$8:$I$694^2/Z72))-COUNTIF($G$8:$G$694,X72)*GI72)/(2*(1-GI72))-1</f>
        <v>7.3427273569048879E-4</v>
      </c>
      <c r="GK72" s="35">
        <f t="shared" ref="GK72:GK103" si="710">IF(GJ72&gt;0,GI72,GG72)</f>
        <v>4.4918337890624993E-2</v>
      </c>
      <c r="GL72" s="35">
        <f t="shared" ref="GL72:GL96" si="711">IF(GJ72&gt;0,GH72,GI72)</f>
        <v>4.6871265624999998E-2</v>
      </c>
      <c r="GM72" s="35">
        <f t="shared" ref="GM72:GM103" si="712">(GK72+GL72)/2</f>
        <v>4.5894801757812492E-2</v>
      </c>
      <c r="GN72" s="35">
        <f t="shared" ref="GN72:GN103" si="713">(SUMPRODUCT(($G$8:$G$694=X72)*SQRT(GM72^2+4*(1-GM72)*$I$8:$I$694^2/Z72))-COUNTIF($G$8:$G$694,X72)*GM72)/(2*(1-GM72))-1</f>
        <v>2.4831478652931338E-4</v>
      </c>
      <c r="GO72" s="35">
        <f t="shared" ref="GO72:GO103" si="714">IF(GN72&gt;0,GM72,GK72)</f>
        <v>4.5894801757812492E-2</v>
      </c>
      <c r="GP72" s="35">
        <f t="shared" ref="GP72:GP96" si="715">IF(GN72&gt;0,GL72,GM72)</f>
        <v>4.6871265624999998E-2</v>
      </c>
      <c r="GQ72" s="35">
        <f t="shared" ref="GQ72:GQ103" si="716">(GO72+GP72)/2</f>
        <v>4.6383033691406242E-2</v>
      </c>
      <c r="GR72" s="35">
        <f t="shared" ref="GR72:GR103" si="717">(SUMPRODUCT(($G$8:$G$694=X72)*SQRT(GQ72^2+4*(1-GQ72)*$I$8:$I$694^2/Z72))-COUNTIF($G$8:$G$694,X72)*GQ72)/(2*(1-GQ72))-1</f>
        <v>5.268735418839654E-6</v>
      </c>
      <c r="GS72" s="35">
        <f t="shared" ref="GS72:GS103" si="718">IF(GR72&gt;0,GQ72,GO72)</f>
        <v>4.6383033691406242E-2</v>
      </c>
      <c r="GT72" s="35">
        <f t="shared" ref="GT72:GT96" si="719">IF(GR72&gt;0,GP72,GQ72)</f>
        <v>4.6871265624999998E-2</v>
      </c>
      <c r="GU72" s="35">
        <f t="shared" ref="GU72:GU103" si="720">(GS72+GT72)/2</f>
        <v>4.6627149658203124E-2</v>
      </c>
      <c r="GV72" s="35">
        <f t="shared" ref="GV72:GV103" si="721">(SUMPRODUCT(($G$8:$G$694=X72)*SQRT(GU72^2+4*(1-GU72)*$I$8:$I$694^2/Z72))-COUNTIF($G$8:$G$694,X72)*GU72)/(2*(1-GU72))-1</f>
        <v>-1.162710286419788E-4</v>
      </c>
      <c r="GW72" s="35">
        <f t="shared" ref="GW72:GW103" si="722">IF(GV72&gt;0,GU72,GS72)</f>
        <v>4.6383033691406242E-2</v>
      </c>
      <c r="GX72" s="35">
        <f t="shared" ref="GX72:GX96" si="723">IF(GV72&gt;0,GT72,GU72)</f>
        <v>4.6627149658203124E-2</v>
      </c>
      <c r="GY72" s="35">
        <f t="shared" ref="GY72:GY103" si="724">(GW72+GX72)/2</f>
        <v>4.6505091674804683E-2</v>
      </c>
      <c r="GZ72" s="35">
        <f t="shared" ref="GZ72:GZ103" si="725">(SUMPRODUCT(($G$8:$G$694=X72)*SQRT(GY72^2+4*(1-GY72)*$I$8:$I$694^2/Z72))-COUNTIF($G$8:$G$694,X72)*GY72)/(2*(1-GY72))-1</f>
        <v>-5.5499752648735523E-5</v>
      </c>
      <c r="HA72" s="35">
        <f t="shared" ref="HA72:HA103" si="726">IF(GZ72&gt;0,GY72,GW72)</f>
        <v>4.6383033691406242E-2</v>
      </c>
      <c r="HB72" s="35">
        <f t="shared" ref="HB72:HB96" si="727">IF(GZ72&gt;0,GX72,GY72)</f>
        <v>4.6505091674804683E-2</v>
      </c>
      <c r="HC72" s="35">
        <f t="shared" ref="HC72:HC103" si="728">(HA72+HB72)/2</f>
        <v>4.6444062683105462E-2</v>
      </c>
      <c r="HD72" s="35">
        <f t="shared" ref="HD72:HD103" si="729">(SUMPRODUCT(($G$8:$G$694=X72)*SQRT(HC72^2+4*(1-HC72)*$I$8:$I$694^2/Z72))-COUNTIF($G$8:$G$694,X72)*HC72)/(2*(1-HC72))-1</f>
        <v>-2.5115160055655394E-5</v>
      </c>
      <c r="HE72" s="35">
        <f t="shared" ref="HE72:HE103" si="730">IF(HD72&gt;0,HC72,HA72)</f>
        <v>4.6383033691406242E-2</v>
      </c>
      <c r="HF72" s="35">
        <f t="shared" ref="HF72:HF96" si="731">IF(HD72&gt;0,HB72,HC72)</f>
        <v>4.6444062683105462E-2</v>
      </c>
      <c r="HG72" s="35">
        <f t="shared" ref="HG72:HG103" si="732">(HE72+HF72)/2</f>
        <v>4.6413548187255849E-2</v>
      </c>
      <c r="HH72" s="35">
        <f t="shared" ref="HH72:HH103" si="733">(SUMPRODUCT(($G$8:$G$694=X72)*SQRT(HG72^2+4*(1-HG72)*$I$8:$I$694^2/Z72))-COUNTIF($G$8:$G$694,X72)*HG72)/(2*(1-HG72))-1</f>
        <v>-9.9231251701192846E-6</v>
      </c>
      <c r="HI72" s="35">
        <f t="shared" ref="HI72:HI103" si="734">IF(HH72&gt;0,HG72,HE72)</f>
        <v>4.6383033691406242E-2</v>
      </c>
      <c r="HJ72" s="35">
        <f t="shared" ref="HJ72:HJ96" si="735">IF(HH72&gt;0,HF72,HG72)</f>
        <v>4.6413548187255849E-2</v>
      </c>
      <c r="HK72" s="35">
        <f t="shared" ref="HK72:HK103" si="736">(HI72+HJ72)/2</f>
        <v>4.6398290939331045E-2</v>
      </c>
      <c r="HL72" s="35">
        <f t="shared" ref="HL72:HL103" si="737">(SUMPRODUCT(($G$8:$G$694=X72)*SQRT(HK72^2+4*(1-HK72)*$I$8:$I$694^2/Z72))-COUNTIF($G$8:$G$694,X72)*HK72)/(2*(1-HK72))-1</f>
        <v>-2.3271730874574459E-6</v>
      </c>
      <c r="HM72" s="35">
        <f t="shared" ref="HM72:HM103" si="738">IF(HL72&gt;0,HK72,HI72)</f>
        <v>4.6383033691406242E-2</v>
      </c>
      <c r="HN72" s="35">
        <f t="shared" ref="HN72:HN96" si="739">IF(HL72&gt;0,HJ72,HK72)</f>
        <v>4.6398290939331045E-2</v>
      </c>
      <c r="HO72" s="35">
        <f t="shared" ref="HO72:HO103" si="740">(HM72+HN72)/2</f>
        <v>4.6390662315368647E-2</v>
      </c>
      <c r="HP72" s="35">
        <f t="shared" ref="HP72:HP103" si="741">(SUMPRODUCT(($G$8:$G$694=X72)*SQRT(HO72^2+4*(1-HO72)*$I$8:$I$694^2/Z72))-COUNTIF($G$8:$G$694,X72)*HO72)/(2*(1-HO72))-1</f>
        <v>1.4707866129448632E-6</v>
      </c>
      <c r="HQ72" s="35">
        <f t="shared" ref="HQ72:HQ103" si="742">IF(HP72&gt;0,HO72,HM72)</f>
        <v>4.6390662315368647E-2</v>
      </c>
      <c r="HR72" s="35">
        <f t="shared" ref="HR72:HR96" si="743">IF(HP72&gt;0,HN72,HO72)</f>
        <v>4.6398290939331045E-2</v>
      </c>
      <c r="HS72" s="35">
        <f t="shared" ref="HS72:HS103" si="744">(HQ72+HR72)/2</f>
        <v>4.6394476627349843E-2</v>
      </c>
      <c r="HT72" s="35">
        <f t="shared" ref="HT72:HT103" si="745">(SUMPRODUCT(($G$8:$G$694=X72)*SQRT(HS72^2+4*(1-HS72)*$I$8:$I$694^2/Z72))-COUNTIF($G$8:$G$694,X72)*HS72)/(2*(1-HS72))-1</f>
        <v>-4.2819187540121817E-7</v>
      </c>
      <c r="HU72" s="35">
        <f t="shared" ref="HU72:HU103" si="746">IF(HT72&gt;0,HS72,HQ72)</f>
        <v>4.6390662315368647E-2</v>
      </c>
      <c r="HV72" s="35">
        <f t="shared" ref="HV72:HV96" si="747">IF(HT72&gt;0,HR72,HS72)</f>
        <v>4.6394476627349843E-2</v>
      </c>
      <c r="HW72" s="35">
        <f t="shared" ref="HW72:HW103" si="748">(HU72+HV72)/2</f>
        <v>4.6392569471359245E-2</v>
      </c>
      <c r="HX72" s="35">
        <f t="shared" ref="HX72:HX103" si="749">(SUMPRODUCT(($G$8:$G$694=X72)*SQRT(HW72^2+4*(1-HW72)*$I$8:$I$694^2/Z72))-COUNTIF($G$8:$G$694,X72)*HW72)/(2*(1-HW72))-1</f>
        <v>5.2129770899966843E-7</v>
      </c>
      <c r="HY72" s="35">
        <f t="shared" ref="HY72:HY103" si="750">IF(HX72&gt;0,HW72,HU72)</f>
        <v>4.6392569471359245E-2</v>
      </c>
      <c r="HZ72" s="35">
        <f t="shared" ref="HZ72:HZ96" si="751">IF(HX72&gt;0,HV72,HW72)</f>
        <v>4.6394476627349843E-2</v>
      </c>
      <c r="IA72" s="35">
        <f t="shared" ref="IA72:IA103" si="752">(HY72+HZ72)/2</f>
        <v>4.639352304935454E-2</v>
      </c>
      <c r="IB72" s="35">
        <f t="shared" ref="IB72:IB103" si="753">(SUMPRODUCT(($G$8:$G$694=X72)*SQRT(IA72^2+4*(1-IA72)*$I$8:$I$694^2/Z72))-COUNTIF($G$8:$G$694,X72)*IA72)/(2*(1-IA72))-1</f>
        <v>4.6553001897819968E-8</v>
      </c>
      <c r="IC72" s="35">
        <f t="shared" ref="IC72:IC103" si="754">IF(IB72&gt;0,IA72,HY72)</f>
        <v>4.639352304935454E-2</v>
      </c>
      <c r="ID72" s="35">
        <f t="shared" ref="ID72:ID96" si="755">IF(IB72&gt;0,HZ72,IA72)</f>
        <v>4.6394476627349843E-2</v>
      </c>
      <c r="IE72" s="35">
        <f t="shared" ref="IE72:IE103" si="756">(IC72+ID72)/2</f>
        <v>4.6393999838352191E-2</v>
      </c>
      <c r="IF72" s="35">
        <f t="shared" ref="IF72:IF103" si="757">(SUMPRODUCT(($G$8:$G$694=X72)*SQRT(IE72^2+4*(1-IE72)*$I$8:$I$694^2/Z72))-COUNTIF($G$8:$G$694,X72)*IE72)/(2*(1-IE72))-1</f>
        <v>-1.9081941560195048E-7</v>
      </c>
      <c r="IG72" s="35">
        <f t="shared" ref="IG72:IG103" si="758">IF(IF72&gt;0,IE72,IC72)</f>
        <v>4.639352304935454E-2</v>
      </c>
      <c r="IH72" s="35">
        <f t="shared" ref="IH72:IH96" si="759">IF(IF72&gt;0,ID72,IE72)</f>
        <v>4.6393999838352191E-2</v>
      </c>
      <c r="II72" s="35">
        <f t="shared" ref="II72:II103" si="760">(IG72+IH72)/2</f>
        <v>4.6393761443853362E-2</v>
      </c>
      <c r="IJ72" s="35">
        <f t="shared" ref="IJ72:IJ103" si="761">(SUMPRODUCT(($G$8:$G$694=X72)*SQRT(II72^2+4*(1-II72)*$I$8:$I$694^2/Z72))-COUNTIF($G$8:$G$694,X72)*II72)/(2*(1-II72))-1</f>
        <v>-7.2133201411972436E-8</v>
      </c>
      <c r="IK72" s="35">
        <f t="shared" ref="IK72:IK103" si="762">IF(IJ72&gt;0,II72,IG72)</f>
        <v>4.639352304935454E-2</v>
      </c>
      <c r="IL72" s="35">
        <f t="shared" ref="IL72:IL96" si="763">IF(IJ72&gt;0,IH72,II72)</f>
        <v>4.6393761443853362E-2</v>
      </c>
      <c r="IM72" s="35">
        <f t="shared" ref="IM72:IM103" si="764">(IK72+IL72)/2</f>
        <v>4.6393642246603951E-2</v>
      </c>
      <c r="IN72" s="35">
        <f t="shared" ref="IN72:IN103" si="765">(SUMPRODUCT(($G$8:$G$694=X72)*SQRT(IM72^2+4*(1-IM72)*$I$8:$I$694^2/Z72))-COUNTIF($G$8:$G$694,X72)*IM72)/(2*(1-IM72))-1</f>
        <v>-1.2790098424808605E-8</v>
      </c>
      <c r="IO72" s="35">
        <f t="shared" ref="IO72:IO103" si="766">IF(IN72&gt;0,IM72,IK72)</f>
        <v>4.639352304935454E-2</v>
      </c>
      <c r="IP72" s="35">
        <f t="shared" ref="IP72:IP96" si="767">IF(IN72&gt;0,IL72,IM72)</f>
        <v>4.6393642246603951E-2</v>
      </c>
      <c r="IQ72" s="35">
        <f t="shared" ref="IQ72:IQ103" si="768">(IO72+IP72)/2</f>
        <v>4.6393582647979242E-2</v>
      </c>
      <c r="IR72" s="35">
        <f t="shared" ref="IR72:IR103" si="769">(SUMPRODUCT(($G$8:$G$694=X72)*SQRT(IQ72^2+4*(1-IQ72)*$I$8:$I$694^2/Z72))-COUNTIF($G$8:$G$694,X72)*IQ72)/(2*(1-IQ72))-1</f>
        <v>1.6881452014061438E-8</v>
      </c>
      <c r="IS72" s="35">
        <f t="shared" ref="IS72:IS103" si="770">IF(IR72&gt;0,IQ72,IO72)</f>
        <v>4.6393582647979242E-2</v>
      </c>
      <c r="IT72" s="35">
        <f t="shared" ref="IT72:IT96" si="771">IF(IR72&gt;0,IP72,IQ72)</f>
        <v>4.6393642246603951E-2</v>
      </c>
      <c r="IU72" s="35">
        <f t="shared" ref="IU72:IU103" si="772">(IS72+IT72)/2</f>
        <v>4.6393612447291593E-2</v>
      </c>
      <c r="IV72" s="35">
        <f t="shared" ref="IV72:IV103" si="773">(SUMPRODUCT(($G$8:$G$694=X72)*SQRT(IU72^2+4*(1-IU72)*$I$8:$I$694^2/Z72))-COUNTIF($G$8:$G$694,X72)*IU72)/(2*(1-IU72))-1</f>
        <v>2.0456769611598702E-9</v>
      </c>
      <c r="IW72" s="35">
        <f t="shared" ref="IW72:IW103" si="774">IF(IV72&gt;0,IU72,IS72)</f>
        <v>4.6393612447291593E-2</v>
      </c>
      <c r="IX72" s="35">
        <f t="shared" ref="IX72:IX96" si="775">IF(IV72&gt;0,IT72,IU72)</f>
        <v>4.6393642246603951E-2</v>
      </c>
      <c r="IY72" s="35">
        <f t="shared" ref="IY72:IY103" si="776">(IW72+IX72)/2</f>
        <v>4.6393627346947769E-2</v>
      </c>
      <c r="IZ72" s="35">
        <f t="shared" ref="IZ72:IZ103" si="777">(SUMPRODUCT(($G$8:$G$694=X72)*SQRT(IY72^2+4*(1-IY72)*$I$8:$I$694^2/Z72))-COUNTIF($G$8:$G$694,X72)*IY72)/(2*(1-IY72))-1</f>
        <v>-5.3722105652909136E-9</v>
      </c>
      <c r="JA72" s="35">
        <f t="shared" ref="JA72:JA103" si="778">IF(IZ72&gt;0,IY72,IW72)</f>
        <v>4.6393612447291593E-2</v>
      </c>
      <c r="JB72" s="35">
        <f t="shared" ref="JB72:JB96" si="779">IF(IZ72&gt;0,IX72,IY72)</f>
        <v>4.6393627346947769E-2</v>
      </c>
      <c r="JC72" s="35">
        <f t="shared" ref="JC72:JC103" si="780">(JA72+JB72)/2</f>
        <v>4.6393619897119681E-2</v>
      </c>
      <c r="JD72" s="35">
        <f t="shared" ref="JD72:JD103" si="781">(SUMPRODUCT(($G$8:$G$694=X72)*SQRT(JC72^2+4*(1-JC72)*$I$8:$I$694^2/Z72))-COUNTIF($G$8:$G$694,X72)*JC72)/(2*(1-JC72))-1</f>
        <v>-1.6632668575766729E-9</v>
      </c>
      <c r="JE72" s="35">
        <f t="shared" ref="JE72:JE103" si="782">IF(JD72&gt;0,JC72,JA72)</f>
        <v>4.6393612447291593E-2</v>
      </c>
      <c r="JF72" s="35">
        <f t="shared" ref="JF72:JF96" si="783">IF(JD72&gt;0,JB72,JC72)</f>
        <v>4.6393619897119681E-2</v>
      </c>
      <c r="JG72" s="35">
        <f t="shared" ref="JG72:JG103" si="784">(JE72+JF72)/2</f>
        <v>4.6393616172205637E-2</v>
      </c>
      <c r="JH72" s="35">
        <f t="shared" ref="JH72:JH103" si="785">(SUMPRODUCT(($G$8:$G$694=X72)*SQRT(JG72^2+4*(1-JG72)*$I$8:$I$694^2/Z72))-COUNTIF($G$8:$G$694,X72)*JG72)/(2*(1-JG72))-1</f>
        <v>1.9120505179159863E-10</v>
      </c>
      <c r="JI72" s="35">
        <f t="shared" ref="JI72:JI103" si="786">IF(JH72&gt;0,JG72,JE72)</f>
        <v>4.6393616172205637E-2</v>
      </c>
      <c r="JJ72" s="35">
        <f t="shared" ref="JJ72:JJ96" si="787">IF(JH72&gt;0,JF72,JG72)</f>
        <v>4.6393619897119681E-2</v>
      </c>
      <c r="JK72" s="35">
        <f t="shared" ref="JK72:JK103" si="788">(JI72+JJ72)/2</f>
        <v>4.6393618034662659E-2</v>
      </c>
      <c r="JL72" s="35">
        <f t="shared" ref="JL72:JL103" si="789">(SUMPRODUCT(($G$8:$G$694=X72)*SQRT(JK72^2+4*(1-JK72)*$I$8:$I$694^2/Z72))-COUNTIF($G$8:$G$694,X72)*JK72)/(2*(1-JK72))-1</f>
        <v>-7.3603090289253714E-10</v>
      </c>
      <c r="JM72" s="35">
        <f t="shared" ref="JM72:JM103" si="790">IF(JL72&gt;0,JK72,JI72)</f>
        <v>4.6393616172205637E-2</v>
      </c>
      <c r="JN72" s="35">
        <f t="shared" ref="JN72:JN96" si="791">IF(JL72&gt;0,JJ72,JK72)</f>
        <v>4.6393618034662659E-2</v>
      </c>
      <c r="JO72" s="35">
        <f t="shared" ref="JO72:JO103" si="792">(JM72+JN72)/2</f>
        <v>4.6393617103434148E-2</v>
      </c>
      <c r="JP72" s="35">
        <f t="shared" ref="JP72:JP103" si="793">(SUMPRODUCT(($G$8:$G$694=X72)*SQRT(JO72^2+4*(1-JO72)*$I$8:$I$694^2/Z72))-COUNTIF($G$8:$G$694,X72)*JO72)/(2*(1-JO72))-1</f>
        <v>-2.7241298106162048E-10</v>
      </c>
      <c r="JQ72" s="35">
        <f t="shared" ref="JQ72:JQ103" si="794">IF(JP72&gt;0,JO72,JM72)</f>
        <v>4.6393616172205637E-2</v>
      </c>
      <c r="JR72" s="35">
        <f t="shared" ref="JR72:JR96" si="795">IF(JP72&gt;0,JN72,JO72)</f>
        <v>4.6393617103434148E-2</v>
      </c>
      <c r="JS72" s="35">
        <f t="shared" ref="JS72:JS103" si="796">(JQ72+JR72)/2</f>
        <v>4.6393616637819893E-2</v>
      </c>
      <c r="JT72" s="35">
        <f t="shared" ref="JT72:JT103" si="797">(SUMPRODUCT(($G$8:$G$694=X72)*SQRT(JS72^2+4*(1-JS72)*$I$8:$I$694^2/Z72))-COUNTIF($G$8:$G$694,X72)*JS72)/(2*(1-JS72))-1</f>
        <v>-4.0603964635010925E-11</v>
      </c>
      <c r="JU72" s="35">
        <f t="shared" ref="JU72:JU103" si="798">IF(JT72&gt;0,JS72,JQ72)</f>
        <v>4.6393616172205637E-2</v>
      </c>
      <c r="JV72" s="35">
        <f t="shared" ref="JV72:JV96" si="799">IF(JT72&gt;0,JR72,JS72)</f>
        <v>4.6393616637819893E-2</v>
      </c>
      <c r="JW72" s="35">
        <f t="shared" ref="JW72:JW103" si="800">(JU72+JV72)/2</f>
        <v>4.6393616405012765E-2</v>
      </c>
      <c r="JX72" s="35">
        <f t="shared" ref="JX72:JX103" si="801">(SUMPRODUCT(($G$8:$G$694=X72)*SQRT(JW72^2+4*(1-JW72)*$I$8:$I$694^2/Z72))-COUNTIF($G$8:$G$694,X72)*JW72)/(2*(1-JW72))-1</f>
        <v>7.5300432555991392E-11</v>
      </c>
      <c r="JY72" s="35">
        <f t="shared" ref="JY72:JY103" si="802">IF(JX72&gt;0,JW72,JU72)</f>
        <v>4.6393616405012765E-2</v>
      </c>
      <c r="JZ72" s="35">
        <f t="shared" ref="JZ72:JZ96" si="803">IF(JX72&gt;0,JV72,JW72)</f>
        <v>4.6393616637819893E-2</v>
      </c>
      <c r="KA72" s="35">
        <f t="shared" ref="KA72:KA96" si="804">(EY72+EZ72)/2</f>
        <v>1.0723461344139644</v>
      </c>
      <c r="KB72" s="35">
        <f t="shared" ref="KB72:KB96" si="805">(JY72+JZ72)/2</f>
        <v>4.6393616521416325E-2</v>
      </c>
    </row>
    <row r="73" spans="1:288" ht="15" customHeight="1" x14ac:dyDescent="0.3">
      <c r="A73" s="30">
        <f>Odds_Input!A73</f>
        <v>65</v>
      </c>
      <c r="B73" s="7" t="str">
        <f>Odds_Input!B73</f>
        <v>DIV_CENTRAL</v>
      </c>
      <c r="C73" s="7" t="str">
        <f>Odds_Input!C73</f>
        <v>Chicago Bulls</v>
      </c>
      <c r="D73" s="7" t="str">
        <f>Odds_Input!D73</f>
        <v>YES</v>
      </c>
      <c r="E73" s="31" t="str">
        <f>Odds_Input!E73</f>
        <v>-</v>
      </c>
      <c r="F73" s="32">
        <f>Odds_Input!F73</f>
        <v>6000</v>
      </c>
      <c r="G73" s="6" t="str">
        <f t="shared" si="533"/>
        <v>DIV_CENTRAL</v>
      </c>
      <c r="H73" s="14">
        <f t="shared" si="534"/>
        <v>61</v>
      </c>
      <c r="I73" s="33">
        <f t="shared" si="535"/>
        <v>1.6393442622950821E-2</v>
      </c>
      <c r="J73" s="17">
        <f t="shared" si="536"/>
        <v>1</v>
      </c>
      <c r="K73" s="17">
        <f t="shared" si="537"/>
        <v>5</v>
      </c>
      <c r="L73" s="18">
        <f t="shared" si="538"/>
        <v>1.1224660395565</v>
      </c>
      <c r="M73" s="34">
        <f t="shared" si="539"/>
        <v>0.12246603955650004</v>
      </c>
      <c r="N73" s="33">
        <f t="shared" si="540"/>
        <v>1.4604845086830484E-2</v>
      </c>
      <c r="O73" s="33">
        <f t="shared" si="541"/>
        <v>1.0285549966684727E-2</v>
      </c>
      <c r="P73" s="33">
        <f t="shared" si="542"/>
        <v>4.8451579737366392E-3</v>
      </c>
      <c r="Q73" s="33">
        <f t="shared" si="543"/>
        <v>4.8451579737366392E-3</v>
      </c>
      <c r="R73" s="35">
        <f t="shared" si="544"/>
        <v>1.1133922946406529</v>
      </c>
      <c r="S73" s="35">
        <f t="shared" si="545"/>
        <v>4.4786884626375145E-2</v>
      </c>
      <c r="X73" s="6" t="s">
        <v>848</v>
      </c>
      <c r="Y73" s="6">
        <f t="shared" si="546"/>
        <v>1</v>
      </c>
      <c r="Z73" s="18">
        <f t="shared" si="547"/>
        <v>1.0309153364316024</v>
      </c>
      <c r="AA73" s="10">
        <v>0.2</v>
      </c>
      <c r="AB73" s="10">
        <v>10</v>
      </c>
      <c r="AC73" s="35">
        <f t="shared" si="548"/>
        <v>5.0999999999999996</v>
      </c>
      <c r="AD73" s="35">
        <f t="shared" si="549"/>
        <v>-4.9480499097246611E-2</v>
      </c>
      <c r="AE73" s="35">
        <f t="shared" si="550"/>
        <v>0.2</v>
      </c>
      <c r="AF73" s="35">
        <f t="shared" si="551"/>
        <v>5.0999999999999996</v>
      </c>
      <c r="AG73" s="35">
        <f t="shared" si="552"/>
        <v>2.65</v>
      </c>
      <c r="AH73" s="35">
        <f t="shared" si="553"/>
        <v>-2.5815456810676096E-2</v>
      </c>
      <c r="AI73" s="35">
        <f t="shared" si="554"/>
        <v>0.2</v>
      </c>
      <c r="AJ73" s="35">
        <f t="shared" si="555"/>
        <v>2.65</v>
      </c>
      <c r="AK73" s="35">
        <f t="shared" si="556"/>
        <v>1.425</v>
      </c>
      <c r="AL73" s="35">
        <f t="shared" si="557"/>
        <v>-3.5973103520985372E-3</v>
      </c>
      <c r="AM73" s="35">
        <f t="shared" si="558"/>
        <v>0.2</v>
      </c>
      <c r="AN73" s="35">
        <f t="shared" si="559"/>
        <v>1.425</v>
      </c>
      <c r="AO73" s="35">
        <f t="shared" si="560"/>
        <v>0.8125</v>
      </c>
      <c r="AP73" s="35">
        <f t="shared" si="561"/>
        <v>6.6301644164687534E-2</v>
      </c>
      <c r="AQ73" s="35">
        <f t="shared" si="562"/>
        <v>0.8125</v>
      </c>
      <c r="AR73" s="35">
        <f t="shared" si="563"/>
        <v>1.425</v>
      </c>
      <c r="AS73" s="35">
        <f t="shared" si="564"/>
        <v>1.1187499999999999</v>
      </c>
      <c r="AT73" s="35">
        <f t="shared" si="565"/>
        <v>1.6846907104035136E-2</v>
      </c>
      <c r="AU73" s="35">
        <f t="shared" si="566"/>
        <v>1.1187499999999999</v>
      </c>
      <c r="AV73" s="35">
        <f t="shared" si="567"/>
        <v>1.425</v>
      </c>
      <c r="AW73" s="35">
        <f t="shared" si="568"/>
        <v>1.2718750000000001</v>
      </c>
      <c r="AX73" s="35">
        <f t="shared" si="569"/>
        <v>4.5304011300275615E-3</v>
      </c>
      <c r="AY73" s="35">
        <f t="shared" si="570"/>
        <v>1.2718750000000001</v>
      </c>
      <c r="AZ73" s="35">
        <f t="shared" si="571"/>
        <v>1.425</v>
      </c>
      <c r="BA73" s="35">
        <f t="shared" si="572"/>
        <v>1.3484375000000002</v>
      </c>
      <c r="BB73" s="35">
        <f t="shared" si="573"/>
        <v>6.2699372658236996E-5</v>
      </c>
      <c r="BC73" s="35">
        <f t="shared" si="574"/>
        <v>1.3484375000000002</v>
      </c>
      <c r="BD73" s="35">
        <f t="shared" si="575"/>
        <v>1.425</v>
      </c>
      <c r="BE73" s="35">
        <f t="shared" si="576"/>
        <v>1.38671875</v>
      </c>
      <c r="BF73" s="35">
        <f t="shared" si="577"/>
        <v>-1.8563057263356608E-3</v>
      </c>
      <c r="BG73" s="35">
        <f t="shared" si="578"/>
        <v>1.3484375000000002</v>
      </c>
      <c r="BH73" s="35">
        <f t="shared" si="579"/>
        <v>1.38671875</v>
      </c>
      <c r="BI73" s="35">
        <f t="shared" si="580"/>
        <v>1.3675781250000001</v>
      </c>
      <c r="BJ73" s="35">
        <f t="shared" si="581"/>
        <v>-9.2043479125791805E-4</v>
      </c>
      <c r="BK73" s="35">
        <f t="shared" si="582"/>
        <v>1.3484375000000002</v>
      </c>
      <c r="BL73" s="35">
        <f t="shared" si="583"/>
        <v>1.3675781250000001</v>
      </c>
      <c r="BM73" s="35">
        <f t="shared" si="584"/>
        <v>1.3580078125000001</v>
      </c>
      <c r="BN73" s="35">
        <f t="shared" si="585"/>
        <v>-4.349576996486304E-4</v>
      </c>
      <c r="BO73" s="35">
        <f t="shared" si="586"/>
        <v>1.3484375000000002</v>
      </c>
      <c r="BP73" s="35">
        <f t="shared" si="587"/>
        <v>1.3580078125000001</v>
      </c>
      <c r="BQ73" s="35">
        <f t="shared" si="588"/>
        <v>1.3532226562500003</v>
      </c>
      <c r="BR73" s="35">
        <f t="shared" si="589"/>
        <v>-1.8767503624428361E-4</v>
      </c>
      <c r="BS73" s="35">
        <f t="shared" si="590"/>
        <v>1.3484375000000002</v>
      </c>
      <c r="BT73" s="35">
        <f t="shared" si="591"/>
        <v>1.3532226562500003</v>
      </c>
      <c r="BU73" s="35">
        <f t="shared" si="592"/>
        <v>1.3508300781250002</v>
      </c>
      <c r="BV73" s="35">
        <f t="shared" si="593"/>
        <v>-6.2877261157612274E-5</v>
      </c>
      <c r="BW73" s="35">
        <f t="shared" si="594"/>
        <v>1.3484375000000002</v>
      </c>
      <c r="BX73" s="35">
        <f t="shared" si="595"/>
        <v>1.3508300781250002</v>
      </c>
      <c r="BY73" s="35">
        <f t="shared" si="596"/>
        <v>1.3496337890625001</v>
      </c>
      <c r="BZ73" s="35">
        <f t="shared" si="597"/>
        <v>-1.8667422141405154E-7</v>
      </c>
      <c r="CA73" s="35">
        <f t="shared" si="598"/>
        <v>1.3484375000000002</v>
      </c>
      <c r="CB73" s="35">
        <f t="shared" si="599"/>
        <v>1.3496337890625001</v>
      </c>
      <c r="CC73" s="35">
        <f t="shared" si="600"/>
        <v>1.3490356445312501</v>
      </c>
      <c r="CD73" s="35">
        <f t="shared" si="601"/>
        <v>3.1231869990655525E-5</v>
      </c>
      <c r="CE73" s="35">
        <f t="shared" si="602"/>
        <v>1.3490356445312501</v>
      </c>
      <c r="CF73" s="35">
        <f t="shared" si="603"/>
        <v>1.3496337890625001</v>
      </c>
      <c r="CG73" s="35">
        <f t="shared" si="604"/>
        <v>1.349334716796875</v>
      </c>
      <c r="CH73" s="35">
        <f t="shared" si="605"/>
        <v>1.55164839266142E-5</v>
      </c>
      <c r="CI73" s="35">
        <f t="shared" si="606"/>
        <v>1.349334716796875</v>
      </c>
      <c r="CJ73" s="35">
        <f t="shared" si="607"/>
        <v>1.3496337890625001</v>
      </c>
      <c r="CK73" s="35">
        <f t="shared" si="608"/>
        <v>1.3494842529296875</v>
      </c>
      <c r="CL73" s="35">
        <f t="shared" si="609"/>
        <v>7.6633770935696788E-6</v>
      </c>
      <c r="CM73" s="35">
        <f t="shared" si="610"/>
        <v>1.3494842529296875</v>
      </c>
      <c r="CN73" s="35">
        <f t="shared" si="611"/>
        <v>1.3496337890625001</v>
      </c>
      <c r="CO73" s="35">
        <f t="shared" si="612"/>
        <v>1.3495590209960939</v>
      </c>
      <c r="CP73" s="35">
        <f t="shared" si="613"/>
        <v>3.7379695876360586E-6</v>
      </c>
      <c r="CQ73" s="35">
        <f t="shared" si="614"/>
        <v>1.3495590209960939</v>
      </c>
      <c r="CR73" s="35">
        <f t="shared" si="615"/>
        <v>1.3496337890625001</v>
      </c>
      <c r="CS73" s="35">
        <f t="shared" si="616"/>
        <v>1.349596405029297</v>
      </c>
      <c r="CT73" s="35">
        <f t="shared" si="617"/>
        <v>1.7755522323525952E-6</v>
      </c>
      <c r="CU73" s="35">
        <f t="shared" si="618"/>
        <v>1.349596405029297</v>
      </c>
      <c r="CV73" s="35">
        <f t="shared" si="619"/>
        <v>1.3496337890625001</v>
      </c>
      <c r="CW73" s="35">
        <f t="shared" si="620"/>
        <v>1.3496150970458984</v>
      </c>
      <c r="CX73" s="35">
        <f t="shared" si="621"/>
        <v>7.9441514433398197E-7</v>
      </c>
      <c r="CY73" s="35">
        <f t="shared" si="622"/>
        <v>1.3496150970458984</v>
      </c>
      <c r="CZ73" s="35">
        <f t="shared" si="623"/>
        <v>1.3496337890625001</v>
      </c>
      <c r="DA73" s="35">
        <f t="shared" si="624"/>
        <v>1.3496244430541993</v>
      </c>
      <c r="DB73" s="35">
        <f t="shared" si="625"/>
        <v>3.0386449645369851E-7</v>
      </c>
      <c r="DC73" s="35">
        <f t="shared" si="626"/>
        <v>1.3496244430541993</v>
      </c>
      <c r="DD73" s="35">
        <f t="shared" si="627"/>
        <v>1.3496337890625001</v>
      </c>
      <c r="DE73" s="35">
        <f t="shared" si="628"/>
        <v>1.3496291160583498</v>
      </c>
      <c r="DF73" s="35">
        <f t="shared" si="629"/>
        <v>5.8593646157234502E-8</v>
      </c>
      <c r="DG73" s="35">
        <f t="shared" si="630"/>
        <v>1.3496291160583498</v>
      </c>
      <c r="DH73" s="35">
        <f t="shared" si="631"/>
        <v>1.3496337890625001</v>
      </c>
      <c r="DI73" s="35">
        <f t="shared" si="632"/>
        <v>1.3496314525604249</v>
      </c>
      <c r="DJ73" s="35">
        <f t="shared" si="633"/>
        <v>-6.404066044130019E-8</v>
      </c>
      <c r="DK73" s="35">
        <f t="shared" si="634"/>
        <v>1.3496291160583498</v>
      </c>
      <c r="DL73" s="35">
        <f t="shared" si="635"/>
        <v>1.3496314525604249</v>
      </c>
      <c r="DM73" s="35">
        <f t="shared" si="636"/>
        <v>1.3496302843093875</v>
      </c>
      <c r="DN73" s="35">
        <f t="shared" si="637"/>
        <v>-2.7236002342334587E-9</v>
      </c>
      <c r="DO73" s="35">
        <f t="shared" si="638"/>
        <v>1.3496291160583498</v>
      </c>
      <c r="DP73" s="35">
        <f t="shared" si="639"/>
        <v>1.3496302843093875</v>
      </c>
      <c r="DQ73" s="35">
        <f t="shared" si="640"/>
        <v>1.3496297001838686</v>
      </c>
      <c r="DR73" s="35">
        <f t="shared" si="641"/>
        <v>2.7934999646817005E-8</v>
      </c>
      <c r="DS73" s="35">
        <f t="shared" si="642"/>
        <v>1.3496297001838686</v>
      </c>
      <c r="DT73" s="35">
        <f t="shared" si="643"/>
        <v>1.3496302843093875</v>
      </c>
      <c r="DU73" s="35">
        <f t="shared" si="644"/>
        <v>1.3496299922466282</v>
      </c>
      <c r="DV73" s="35">
        <f t="shared" si="645"/>
        <v>1.2605693822109743E-8</v>
      </c>
      <c r="DW73" s="35">
        <f t="shared" si="646"/>
        <v>1.3496299922466282</v>
      </c>
      <c r="DX73" s="35">
        <f t="shared" si="647"/>
        <v>1.3496302843093875</v>
      </c>
      <c r="DY73" s="35">
        <f t="shared" si="648"/>
        <v>1.3496301382780078</v>
      </c>
      <c r="DZ73" s="35">
        <f t="shared" si="649"/>
        <v>4.9410453506482099E-9</v>
      </c>
      <c r="EA73" s="35">
        <f t="shared" si="650"/>
        <v>1.3496301382780078</v>
      </c>
      <c r="EB73" s="35">
        <f t="shared" si="651"/>
        <v>1.3496302843093875</v>
      </c>
      <c r="EC73" s="35">
        <f t="shared" si="652"/>
        <v>1.3496302112936975</v>
      </c>
      <c r="ED73" s="35">
        <f t="shared" si="653"/>
        <v>1.1087222251404683E-9</v>
      </c>
      <c r="EE73" s="35">
        <f t="shared" si="654"/>
        <v>1.3496302112936975</v>
      </c>
      <c r="EF73" s="35">
        <f t="shared" si="655"/>
        <v>1.3496302843093875</v>
      </c>
      <c r="EG73" s="35">
        <f t="shared" si="656"/>
        <v>1.3496302478015425</v>
      </c>
      <c r="EH73" s="35">
        <f t="shared" si="657"/>
        <v>-8.0743911556879766E-10</v>
      </c>
      <c r="EI73" s="35">
        <f t="shared" si="658"/>
        <v>1.3496302112936975</v>
      </c>
      <c r="EJ73" s="35">
        <f t="shared" si="659"/>
        <v>1.3496302478015425</v>
      </c>
      <c r="EK73" s="35">
        <f t="shared" si="660"/>
        <v>1.3496302295476199</v>
      </c>
      <c r="EL73" s="35">
        <f t="shared" si="661"/>
        <v>1.5064149927468407E-10</v>
      </c>
      <c r="EM73" s="35">
        <f t="shared" si="662"/>
        <v>1.3496302295476199</v>
      </c>
      <c r="EN73" s="35">
        <f t="shared" si="663"/>
        <v>1.3496302478015425</v>
      </c>
      <c r="EO73" s="35">
        <f t="shared" si="664"/>
        <v>1.3496302386745813</v>
      </c>
      <c r="EP73" s="35">
        <f t="shared" si="665"/>
        <v>-3.2839886365820803E-10</v>
      </c>
      <c r="EQ73" s="35">
        <f t="shared" si="666"/>
        <v>1.3496302295476199</v>
      </c>
      <c r="ER73" s="35">
        <f t="shared" si="667"/>
        <v>1.3496302386745813</v>
      </c>
      <c r="ES73" s="35">
        <f t="shared" si="668"/>
        <v>1.3496302341111006</v>
      </c>
      <c r="ET73" s="35">
        <f t="shared" si="669"/>
        <v>-8.8878571169459519E-11</v>
      </c>
      <c r="EU73" s="35">
        <f t="shared" si="670"/>
        <v>1.3496302295476199</v>
      </c>
      <c r="EV73" s="35">
        <f t="shared" si="671"/>
        <v>1.3496302341111006</v>
      </c>
      <c r="EW73" s="35">
        <f t="shared" si="672"/>
        <v>1.3496302318293603</v>
      </c>
      <c r="EX73" s="35">
        <f t="shared" si="673"/>
        <v>3.0881519563763504E-11</v>
      </c>
      <c r="EY73" s="35">
        <f t="shared" si="674"/>
        <v>1.3496302318293603</v>
      </c>
      <c r="EZ73" s="35">
        <f t="shared" si="675"/>
        <v>1.3496302341111006</v>
      </c>
      <c r="FA73" s="10">
        <v>9.9999999999999995E-7</v>
      </c>
      <c r="FB73" s="10">
        <v>0.99990000000000001</v>
      </c>
      <c r="FC73" s="35">
        <f t="shared" si="676"/>
        <v>0.49995050000000002</v>
      </c>
      <c r="FD73" s="35">
        <f t="shared" si="677"/>
        <v>-2.9876349712175232E-2</v>
      </c>
      <c r="FE73" s="35">
        <f t="shared" si="678"/>
        <v>9.9999999999999995E-7</v>
      </c>
      <c r="FF73" s="35">
        <f t="shared" si="679"/>
        <v>0.49995050000000002</v>
      </c>
      <c r="FG73" s="35">
        <f t="shared" si="680"/>
        <v>0.24997575</v>
      </c>
      <c r="FH73" s="35">
        <f t="shared" si="681"/>
        <v>-2.2059326246176458E-2</v>
      </c>
      <c r="FI73" s="35">
        <f t="shared" si="682"/>
        <v>9.9999999999999995E-7</v>
      </c>
      <c r="FJ73" s="35">
        <f t="shared" si="683"/>
        <v>0.24997575</v>
      </c>
      <c r="FK73" s="35">
        <f t="shared" si="684"/>
        <v>0.124988375</v>
      </c>
      <c r="FL73" s="35">
        <f t="shared" si="685"/>
        <v>-1.4582790195949102E-2</v>
      </c>
      <c r="FM73" s="35">
        <f t="shared" si="686"/>
        <v>9.9999999999999995E-7</v>
      </c>
      <c r="FN73" s="35">
        <f t="shared" si="687"/>
        <v>0.124988375</v>
      </c>
      <c r="FO73" s="35">
        <f t="shared" si="688"/>
        <v>6.24946875E-2</v>
      </c>
      <c r="FP73" s="35">
        <f t="shared" si="689"/>
        <v>-5.7500747583177914E-3</v>
      </c>
      <c r="FQ73" s="35">
        <f t="shared" si="690"/>
        <v>9.9999999999999995E-7</v>
      </c>
      <c r="FR73" s="35">
        <f t="shared" si="691"/>
        <v>6.24946875E-2</v>
      </c>
      <c r="FS73" s="35">
        <f t="shared" si="692"/>
        <v>3.124784375E-2</v>
      </c>
      <c r="FT73" s="35">
        <f t="shared" si="693"/>
        <v>2.5297872428620138E-3</v>
      </c>
      <c r="FU73" s="35">
        <f t="shared" si="694"/>
        <v>3.124784375E-2</v>
      </c>
      <c r="FV73" s="35">
        <f t="shared" si="695"/>
        <v>6.24946875E-2</v>
      </c>
      <c r="FW73" s="35">
        <f t="shared" si="696"/>
        <v>4.6871265624999998E-2</v>
      </c>
      <c r="FX73" s="35">
        <f t="shared" si="697"/>
        <v>-2.0852439215566232E-3</v>
      </c>
      <c r="FY73" s="35">
        <f t="shared" si="698"/>
        <v>3.124784375E-2</v>
      </c>
      <c r="FZ73" s="35">
        <f t="shared" si="699"/>
        <v>4.6871265624999998E-2</v>
      </c>
      <c r="GA73" s="35">
        <f t="shared" si="700"/>
        <v>3.9059554687499998E-2</v>
      </c>
      <c r="GB73" s="35">
        <f t="shared" si="701"/>
        <v>9.0114237432992184E-5</v>
      </c>
      <c r="GC73" s="35">
        <f t="shared" si="702"/>
        <v>3.9059554687499998E-2</v>
      </c>
      <c r="GD73" s="35">
        <f t="shared" si="703"/>
        <v>4.6871265624999998E-2</v>
      </c>
      <c r="GE73" s="35">
        <f t="shared" si="704"/>
        <v>4.2965410156249995E-2</v>
      </c>
      <c r="GF73" s="35">
        <f t="shared" si="705"/>
        <v>-1.0289584930878171E-3</v>
      </c>
      <c r="GG73" s="35">
        <f t="shared" si="706"/>
        <v>3.9059554687499998E-2</v>
      </c>
      <c r="GH73" s="35">
        <f t="shared" si="707"/>
        <v>4.2965410156249995E-2</v>
      </c>
      <c r="GI73" s="35">
        <f t="shared" si="708"/>
        <v>4.1012482421874996E-2</v>
      </c>
      <c r="GJ73" s="35">
        <f t="shared" si="709"/>
        <v>-4.7748052517981865E-4</v>
      </c>
      <c r="GK73" s="35">
        <f t="shared" si="710"/>
        <v>3.9059554687499998E-2</v>
      </c>
      <c r="GL73" s="35">
        <f t="shared" si="711"/>
        <v>4.1012482421874996E-2</v>
      </c>
      <c r="GM73" s="35">
        <f t="shared" si="712"/>
        <v>4.0036018554687497E-2</v>
      </c>
      <c r="GN73" s="35">
        <f t="shared" si="713"/>
        <v>-1.957237233812803E-4</v>
      </c>
      <c r="GO73" s="35">
        <f t="shared" si="714"/>
        <v>3.9059554687499998E-2</v>
      </c>
      <c r="GP73" s="35">
        <f t="shared" si="715"/>
        <v>4.0036018554687497E-2</v>
      </c>
      <c r="GQ73" s="35">
        <f t="shared" si="716"/>
        <v>3.9547786621093747E-2</v>
      </c>
      <c r="GR73" s="35">
        <f t="shared" si="717"/>
        <v>-5.3318113354516861E-5</v>
      </c>
      <c r="GS73" s="35">
        <f t="shared" si="718"/>
        <v>3.9059554687499998E-2</v>
      </c>
      <c r="GT73" s="35">
        <f t="shared" si="719"/>
        <v>3.9547786621093747E-2</v>
      </c>
      <c r="GU73" s="35">
        <f t="shared" si="720"/>
        <v>3.9303670654296873E-2</v>
      </c>
      <c r="GV73" s="35">
        <f t="shared" si="721"/>
        <v>1.8269317804353591E-5</v>
      </c>
      <c r="GW73" s="35">
        <f t="shared" si="722"/>
        <v>3.9303670654296873E-2</v>
      </c>
      <c r="GX73" s="35">
        <f t="shared" si="723"/>
        <v>3.9547786621093747E-2</v>
      </c>
      <c r="GY73" s="35">
        <f t="shared" si="724"/>
        <v>3.9425728637695306E-2</v>
      </c>
      <c r="GZ73" s="35">
        <f t="shared" si="725"/>
        <v>-1.7556533701390542E-5</v>
      </c>
      <c r="HA73" s="35">
        <f t="shared" si="726"/>
        <v>3.9303670654296873E-2</v>
      </c>
      <c r="HB73" s="35">
        <f t="shared" si="727"/>
        <v>3.9425728637695306E-2</v>
      </c>
      <c r="HC73" s="35">
        <f t="shared" si="728"/>
        <v>3.9364699645996093E-2</v>
      </c>
      <c r="HD73" s="35">
        <f t="shared" si="729"/>
        <v>3.483517989621987E-7</v>
      </c>
      <c r="HE73" s="35">
        <f t="shared" si="730"/>
        <v>3.9364699645996093E-2</v>
      </c>
      <c r="HF73" s="35">
        <f t="shared" si="731"/>
        <v>3.9425728637695306E-2</v>
      </c>
      <c r="HG73" s="35">
        <f t="shared" si="732"/>
        <v>3.93952141418457E-2</v>
      </c>
      <c r="HH73" s="35">
        <f t="shared" si="733"/>
        <v>-8.6061002307902257E-6</v>
      </c>
      <c r="HI73" s="35">
        <f t="shared" si="734"/>
        <v>3.9364699645996093E-2</v>
      </c>
      <c r="HJ73" s="35">
        <f t="shared" si="735"/>
        <v>3.93952141418457E-2</v>
      </c>
      <c r="HK73" s="35">
        <f t="shared" si="736"/>
        <v>3.9379956893920896E-2</v>
      </c>
      <c r="HL73" s="35">
        <f t="shared" si="737"/>
        <v>-4.1293766339656202E-6</v>
      </c>
      <c r="HM73" s="35">
        <f t="shared" si="738"/>
        <v>3.9364699645996093E-2</v>
      </c>
      <c r="HN73" s="35">
        <f t="shared" si="739"/>
        <v>3.9379956893920896E-2</v>
      </c>
      <c r="HO73" s="35">
        <f t="shared" si="740"/>
        <v>3.9372328269958498E-2</v>
      </c>
      <c r="HP73" s="35">
        <f t="shared" si="741"/>
        <v>-1.8906380342409435E-6</v>
      </c>
      <c r="HQ73" s="35">
        <f t="shared" si="742"/>
        <v>3.9364699645996093E-2</v>
      </c>
      <c r="HR73" s="35">
        <f t="shared" si="743"/>
        <v>3.9372328269958498E-2</v>
      </c>
      <c r="HS73" s="35">
        <f t="shared" si="744"/>
        <v>3.9368513957977296E-2</v>
      </c>
      <c r="HT73" s="35">
        <f t="shared" si="745"/>
        <v>-7.7117452335073722E-7</v>
      </c>
      <c r="HU73" s="35">
        <f t="shared" si="746"/>
        <v>3.9364699645996093E-2</v>
      </c>
      <c r="HV73" s="35">
        <f t="shared" si="747"/>
        <v>3.9368513957977296E-2</v>
      </c>
      <c r="HW73" s="35">
        <f t="shared" si="748"/>
        <v>3.9366606801986698E-2</v>
      </c>
      <c r="HX73" s="35">
        <f t="shared" si="749"/>
        <v>-2.1141921402456632E-7</v>
      </c>
      <c r="HY73" s="35">
        <f t="shared" si="750"/>
        <v>3.9364699645996093E-2</v>
      </c>
      <c r="HZ73" s="35">
        <f t="shared" si="751"/>
        <v>3.9366606801986698E-2</v>
      </c>
      <c r="IA73" s="35">
        <f t="shared" si="752"/>
        <v>3.9365653223991395E-2</v>
      </c>
      <c r="IB73" s="35">
        <f t="shared" si="753"/>
        <v>6.8464329316952899E-8</v>
      </c>
      <c r="IC73" s="35">
        <f t="shared" si="754"/>
        <v>3.9365653223991395E-2</v>
      </c>
      <c r="ID73" s="35">
        <f t="shared" si="755"/>
        <v>3.9366606801986698E-2</v>
      </c>
      <c r="IE73" s="35">
        <f t="shared" si="756"/>
        <v>3.9366130012989047E-2</v>
      </c>
      <c r="IF73" s="35">
        <f t="shared" si="757"/>
        <v>-7.1477933016872441E-8</v>
      </c>
      <c r="IG73" s="35">
        <f t="shared" si="758"/>
        <v>3.9365653223991395E-2</v>
      </c>
      <c r="IH73" s="35">
        <f t="shared" si="759"/>
        <v>3.9366130012989047E-2</v>
      </c>
      <c r="II73" s="35">
        <f t="shared" si="760"/>
        <v>3.9365891618490217E-2</v>
      </c>
      <c r="IJ73" s="35">
        <f t="shared" si="761"/>
        <v>-1.5069244740928411E-9</v>
      </c>
      <c r="IK73" s="35">
        <f t="shared" si="762"/>
        <v>3.9365653223991395E-2</v>
      </c>
      <c r="IL73" s="35">
        <f t="shared" si="763"/>
        <v>3.9365891618490217E-2</v>
      </c>
      <c r="IM73" s="35">
        <f t="shared" si="764"/>
        <v>3.9365772421240806E-2</v>
      </c>
      <c r="IN73" s="35">
        <f t="shared" si="765"/>
        <v>3.34786718347857E-8</v>
      </c>
      <c r="IO73" s="35">
        <f t="shared" si="766"/>
        <v>3.9365772421240806E-2</v>
      </c>
      <c r="IP73" s="35">
        <f t="shared" si="767"/>
        <v>3.9365891618490217E-2</v>
      </c>
      <c r="IQ73" s="35">
        <f t="shared" si="768"/>
        <v>3.9365832019865515E-2</v>
      </c>
      <c r="IR73" s="35">
        <f t="shared" si="769"/>
        <v>1.5985865964296408E-8</v>
      </c>
      <c r="IS73" s="35">
        <f t="shared" si="770"/>
        <v>3.9365832019865515E-2</v>
      </c>
      <c r="IT73" s="35">
        <f t="shared" si="771"/>
        <v>3.9365891618490217E-2</v>
      </c>
      <c r="IU73" s="35">
        <f t="shared" si="772"/>
        <v>3.9365861819177866E-2</v>
      </c>
      <c r="IV73" s="35">
        <f t="shared" si="773"/>
        <v>7.2394690242560955E-9</v>
      </c>
      <c r="IW73" s="35">
        <f t="shared" si="774"/>
        <v>3.9365861819177866E-2</v>
      </c>
      <c r="IX73" s="35">
        <f t="shared" si="775"/>
        <v>3.9365891618490217E-2</v>
      </c>
      <c r="IY73" s="35">
        <f t="shared" si="776"/>
        <v>3.9365876718834042E-2</v>
      </c>
      <c r="IZ73" s="35">
        <f t="shared" si="777"/>
        <v>2.8662716644589636E-9</v>
      </c>
      <c r="JA73" s="35">
        <f t="shared" si="778"/>
        <v>3.9365876718834042E-2</v>
      </c>
      <c r="JB73" s="35">
        <f t="shared" si="779"/>
        <v>3.9365891618490217E-2</v>
      </c>
      <c r="JC73" s="35">
        <f t="shared" si="780"/>
        <v>3.936588416866213E-2</v>
      </c>
      <c r="JD73" s="35">
        <f t="shared" si="781"/>
        <v>6.7967342864960756E-10</v>
      </c>
      <c r="JE73" s="35">
        <f t="shared" si="782"/>
        <v>3.936588416866213E-2</v>
      </c>
      <c r="JF73" s="35">
        <f t="shared" si="783"/>
        <v>3.9365891618490217E-2</v>
      </c>
      <c r="JG73" s="35">
        <f t="shared" si="784"/>
        <v>3.9365887893576174E-2</v>
      </c>
      <c r="JH73" s="35">
        <f t="shared" si="785"/>
        <v>-4.1362546721046556E-10</v>
      </c>
      <c r="JI73" s="35">
        <f t="shared" si="786"/>
        <v>3.936588416866213E-2</v>
      </c>
      <c r="JJ73" s="35">
        <f t="shared" si="787"/>
        <v>3.9365887893576174E-2</v>
      </c>
      <c r="JK73" s="35">
        <f t="shared" si="788"/>
        <v>3.9365886031119152E-2</v>
      </c>
      <c r="JL73" s="35">
        <f t="shared" si="789"/>
        <v>1.3302403623072223E-10</v>
      </c>
      <c r="JM73" s="35">
        <f t="shared" si="790"/>
        <v>3.9365886031119152E-2</v>
      </c>
      <c r="JN73" s="35">
        <f t="shared" si="791"/>
        <v>3.9365887893576174E-2</v>
      </c>
      <c r="JO73" s="35">
        <f t="shared" si="792"/>
        <v>3.9365886962347663E-2</v>
      </c>
      <c r="JP73" s="35">
        <f t="shared" si="793"/>
        <v>-1.4030077100102289E-10</v>
      </c>
      <c r="JQ73" s="35">
        <f t="shared" si="794"/>
        <v>3.9365886031119152E-2</v>
      </c>
      <c r="JR73" s="35">
        <f t="shared" si="795"/>
        <v>3.9365886962347663E-2</v>
      </c>
      <c r="JS73" s="35">
        <f t="shared" si="796"/>
        <v>3.9365886496733407E-2</v>
      </c>
      <c r="JT73" s="35">
        <f t="shared" si="797"/>
        <v>-3.638422896301563E-12</v>
      </c>
      <c r="JU73" s="35">
        <f t="shared" si="798"/>
        <v>3.9365886031119152E-2</v>
      </c>
      <c r="JV73" s="35">
        <f t="shared" si="799"/>
        <v>3.9365886496733407E-2</v>
      </c>
      <c r="JW73" s="35">
        <f t="shared" si="800"/>
        <v>3.9365886263926279E-2</v>
      </c>
      <c r="JX73" s="35">
        <f t="shared" si="801"/>
        <v>6.4692695644907872E-11</v>
      </c>
      <c r="JY73" s="35">
        <f t="shared" si="802"/>
        <v>3.9365886263926279E-2</v>
      </c>
      <c r="JZ73" s="35">
        <f t="shared" si="803"/>
        <v>3.9365886496733407E-2</v>
      </c>
      <c r="KA73" s="35">
        <f t="shared" si="804"/>
        <v>1.3496302329702305</v>
      </c>
      <c r="KB73" s="35">
        <f t="shared" si="805"/>
        <v>3.936588638032984E-2</v>
      </c>
    </row>
    <row r="74" spans="1:288" ht="15" customHeight="1" x14ac:dyDescent="0.3">
      <c r="A74" s="30">
        <f>Odds_Input!A74</f>
        <v>66</v>
      </c>
      <c r="B74" s="7" t="str">
        <f>Odds_Input!B74</f>
        <v>DIV_CENTRAL</v>
      </c>
      <c r="C74" s="7" t="str">
        <f>Odds_Input!C74</f>
        <v>Cleveland Cavaliers</v>
      </c>
      <c r="D74" s="7" t="str">
        <f>Odds_Input!D74</f>
        <v>YES</v>
      </c>
      <c r="E74" s="31" t="str">
        <f>Odds_Input!E74</f>
        <v>-</v>
      </c>
      <c r="F74" s="32">
        <f>Odds_Input!F74</f>
        <v>135</v>
      </c>
      <c r="G74" s="6" t="str">
        <f t="shared" si="533"/>
        <v>DIV_CENTRAL</v>
      </c>
      <c r="H74" s="14">
        <f t="shared" si="534"/>
        <v>2.35</v>
      </c>
      <c r="I74" s="33">
        <f t="shared" si="535"/>
        <v>0.42553191489361702</v>
      </c>
      <c r="J74" s="17">
        <f t="shared" si="536"/>
        <v>1</v>
      </c>
      <c r="K74" s="17">
        <f t="shared" si="537"/>
        <v>5</v>
      </c>
      <c r="L74" s="18">
        <f t="shared" si="538"/>
        <v>1.1224660395565</v>
      </c>
      <c r="M74" s="34">
        <f t="shared" si="539"/>
        <v>0.12246603955650004</v>
      </c>
      <c r="N74" s="33">
        <f t="shared" si="540"/>
        <v>0.37910448948794018</v>
      </c>
      <c r="O74" s="33">
        <f t="shared" si="541"/>
        <v>0.38623880199396537</v>
      </c>
      <c r="P74" s="33">
        <f t="shared" si="542"/>
        <v>0.3881807987577397</v>
      </c>
      <c r="Q74" s="33">
        <f t="shared" si="543"/>
        <v>0.3881807987577397</v>
      </c>
      <c r="R74" s="35">
        <f t="shared" si="544"/>
        <v>1.1133922946406529</v>
      </c>
      <c r="S74" s="35">
        <f t="shared" si="545"/>
        <v>4.4786884626375145E-2</v>
      </c>
      <c r="X74" s="6" t="s">
        <v>849</v>
      </c>
      <c r="Y74" s="6">
        <f t="shared" si="546"/>
        <v>1</v>
      </c>
      <c r="Z74" s="18">
        <f t="shared" si="547"/>
        <v>1.0566801619433197</v>
      </c>
      <c r="AA74" s="10">
        <v>0.2</v>
      </c>
      <c r="AB74" s="10">
        <v>10</v>
      </c>
      <c r="AC74" s="35">
        <f t="shared" si="548"/>
        <v>5.0999999999999996</v>
      </c>
      <c r="AD74" s="35">
        <f t="shared" si="549"/>
        <v>-0.57307484895679273</v>
      </c>
      <c r="AE74" s="35">
        <f t="shared" si="550"/>
        <v>0.2</v>
      </c>
      <c r="AF74" s="35">
        <f t="shared" si="551"/>
        <v>5.0999999999999996</v>
      </c>
      <c r="AG74" s="35">
        <f t="shared" si="552"/>
        <v>2.65</v>
      </c>
      <c r="AH74" s="35">
        <f t="shared" si="553"/>
        <v>-0.34159821431558346</v>
      </c>
      <c r="AI74" s="35">
        <f t="shared" si="554"/>
        <v>0.2</v>
      </c>
      <c r="AJ74" s="35">
        <f t="shared" si="555"/>
        <v>2.65</v>
      </c>
      <c r="AK74" s="35">
        <f t="shared" si="556"/>
        <v>1.425</v>
      </c>
      <c r="AL74" s="35">
        <f t="shared" si="557"/>
        <v>-0.10326790795989271</v>
      </c>
      <c r="AM74" s="35">
        <f t="shared" si="558"/>
        <v>0.2</v>
      </c>
      <c r="AN74" s="35">
        <f t="shared" si="559"/>
        <v>1.425</v>
      </c>
      <c r="AO74" s="35">
        <f t="shared" si="560"/>
        <v>0.8125</v>
      </c>
      <c r="AP74" s="35">
        <f t="shared" si="561"/>
        <v>0.15503638327173164</v>
      </c>
      <c r="AQ74" s="35">
        <f t="shared" si="562"/>
        <v>0.8125</v>
      </c>
      <c r="AR74" s="35">
        <f t="shared" si="563"/>
        <v>1.425</v>
      </c>
      <c r="AS74" s="35">
        <f t="shared" si="564"/>
        <v>1.1187499999999999</v>
      </c>
      <c r="AT74" s="35">
        <f t="shared" si="565"/>
        <v>4.4976536028855651E-3</v>
      </c>
      <c r="AU74" s="35">
        <f t="shared" si="566"/>
        <v>1.1187499999999999</v>
      </c>
      <c r="AV74" s="35">
        <f t="shared" si="567"/>
        <v>1.425</v>
      </c>
      <c r="AW74" s="35">
        <f t="shared" si="568"/>
        <v>1.2718750000000001</v>
      </c>
      <c r="AX74" s="35">
        <f t="shared" si="569"/>
        <v>-5.3591239686168302E-2</v>
      </c>
      <c r="AY74" s="35">
        <f t="shared" si="570"/>
        <v>1.1187499999999999</v>
      </c>
      <c r="AZ74" s="35">
        <f t="shared" si="571"/>
        <v>1.2718750000000001</v>
      </c>
      <c r="BA74" s="35">
        <f t="shared" si="572"/>
        <v>1.1953125</v>
      </c>
      <c r="BB74" s="35">
        <f t="shared" si="573"/>
        <v>-2.5720080458371819E-2</v>
      </c>
      <c r="BC74" s="35">
        <f t="shared" si="574"/>
        <v>1.1187499999999999</v>
      </c>
      <c r="BD74" s="35">
        <f t="shared" si="575"/>
        <v>1.1953125</v>
      </c>
      <c r="BE74" s="35">
        <f t="shared" si="576"/>
        <v>1.15703125</v>
      </c>
      <c r="BF74" s="35">
        <f t="shared" si="577"/>
        <v>-1.0921380569162253E-2</v>
      </c>
      <c r="BG74" s="35">
        <f t="shared" si="578"/>
        <v>1.1187499999999999</v>
      </c>
      <c r="BH74" s="35">
        <f t="shared" si="579"/>
        <v>1.15703125</v>
      </c>
      <c r="BI74" s="35">
        <f t="shared" si="580"/>
        <v>1.1378906249999998</v>
      </c>
      <c r="BJ74" s="35">
        <f t="shared" si="581"/>
        <v>-3.291621822841595E-3</v>
      </c>
      <c r="BK74" s="35">
        <f t="shared" si="582"/>
        <v>1.1187499999999999</v>
      </c>
      <c r="BL74" s="35">
        <f t="shared" si="583"/>
        <v>1.1378906249999998</v>
      </c>
      <c r="BM74" s="35">
        <f t="shared" si="584"/>
        <v>1.1283203124999999</v>
      </c>
      <c r="BN74" s="35">
        <f t="shared" si="585"/>
        <v>5.8279199125466086E-4</v>
      </c>
      <c r="BO74" s="35">
        <f t="shared" si="586"/>
        <v>1.1283203124999999</v>
      </c>
      <c r="BP74" s="35">
        <f t="shared" si="587"/>
        <v>1.1378906249999998</v>
      </c>
      <c r="BQ74" s="35">
        <f t="shared" si="588"/>
        <v>1.1331054687499997</v>
      </c>
      <c r="BR74" s="35">
        <f t="shared" si="589"/>
        <v>-1.3594350215485607E-3</v>
      </c>
      <c r="BS74" s="35">
        <f t="shared" si="590"/>
        <v>1.1283203124999999</v>
      </c>
      <c r="BT74" s="35">
        <f t="shared" si="591"/>
        <v>1.1331054687499997</v>
      </c>
      <c r="BU74" s="35">
        <f t="shared" si="592"/>
        <v>1.1307128906249999</v>
      </c>
      <c r="BV74" s="35">
        <f t="shared" si="593"/>
        <v>-3.8958100442698651E-4</v>
      </c>
      <c r="BW74" s="35">
        <f t="shared" si="594"/>
        <v>1.1283203124999999</v>
      </c>
      <c r="BX74" s="35">
        <f t="shared" si="595"/>
        <v>1.1307128906249999</v>
      </c>
      <c r="BY74" s="35">
        <f t="shared" si="596"/>
        <v>1.1295166015625</v>
      </c>
      <c r="BZ74" s="35">
        <f t="shared" si="597"/>
        <v>9.629006142675145E-5</v>
      </c>
      <c r="CA74" s="35">
        <f t="shared" si="598"/>
        <v>1.1295166015625</v>
      </c>
      <c r="CB74" s="35">
        <f t="shared" si="599"/>
        <v>1.1307128906249999</v>
      </c>
      <c r="CC74" s="35">
        <f t="shared" si="600"/>
        <v>1.13011474609375</v>
      </c>
      <c r="CD74" s="35">
        <f t="shared" si="601"/>
        <v>-1.4672425945749801E-4</v>
      </c>
      <c r="CE74" s="35">
        <f t="shared" si="602"/>
        <v>1.1295166015625</v>
      </c>
      <c r="CF74" s="35">
        <f t="shared" si="603"/>
        <v>1.13011474609375</v>
      </c>
      <c r="CG74" s="35">
        <f t="shared" si="604"/>
        <v>1.1298156738281251</v>
      </c>
      <c r="CH74" s="35">
        <f t="shared" si="605"/>
        <v>-2.5236804754524833E-5</v>
      </c>
      <c r="CI74" s="35">
        <f t="shared" si="606"/>
        <v>1.1295166015625</v>
      </c>
      <c r="CJ74" s="35">
        <f t="shared" si="607"/>
        <v>1.1298156738281251</v>
      </c>
      <c r="CK74" s="35">
        <f t="shared" si="608"/>
        <v>1.1296661376953125</v>
      </c>
      <c r="CL74" s="35">
        <f t="shared" si="609"/>
        <v>3.5521700807228385E-5</v>
      </c>
      <c r="CM74" s="35">
        <f t="shared" si="610"/>
        <v>1.1296661376953125</v>
      </c>
      <c r="CN74" s="35">
        <f t="shared" si="611"/>
        <v>1.1298156738281251</v>
      </c>
      <c r="CO74" s="35">
        <f t="shared" si="612"/>
        <v>1.1297409057617189</v>
      </c>
      <c r="CP74" s="35">
        <f t="shared" si="613"/>
        <v>5.1412162807018547E-6</v>
      </c>
      <c r="CQ74" s="35">
        <f t="shared" si="614"/>
        <v>1.1297409057617189</v>
      </c>
      <c r="CR74" s="35">
        <f t="shared" si="615"/>
        <v>1.1298156738281251</v>
      </c>
      <c r="CS74" s="35">
        <f t="shared" si="616"/>
        <v>1.129778289794922</v>
      </c>
      <c r="CT74" s="35">
        <f t="shared" si="617"/>
        <v>-1.0048102156101635E-5</v>
      </c>
      <c r="CU74" s="35">
        <f t="shared" si="618"/>
        <v>1.1297409057617189</v>
      </c>
      <c r="CV74" s="35">
        <f t="shared" si="619"/>
        <v>1.129778289794922</v>
      </c>
      <c r="CW74" s="35">
        <f t="shared" si="620"/>
        <v>1.1297595977783206</v>
      </c>
      <c r="CX74" s="35">
        <f t="shared" si="621"/>
        <v>-2.4535199196762392E-6</v>
      </c>
      <c r="CY74" s="35">
        <f t="shared" si="622"/>
        <v>1.1297409057617189</v>
      </c>
      <c r="CZ74" s="35">
        <f t="shared" si="623"/>
        <v>1.1297595977783206</v>
      </c>
      <c r="DA74" s="35">
        <f t="shared" si="624"/>
        <v>1.1297502517700198</v>
      </c>
      <c r="DB74" s="35">
        <f t="shared" si="625"/>
        <v>1.3438289347966759E-6</v>
      </c>
      <c r="DC74" s="35">
        <f t="shared" si="626"/>
        <v>1.1297502517700198</v>
      </c>
      <c r="DD74" s="35">
        <f t="shared" si="627"/>
        <v>1.1297595977783206</v>
      </c>
      <c r="DE74" s="35">
        <f t="shared" si="628"/>
        <v>1.1297549247741703</v>
      </c>
      <c r="DF74" s="35">
        <f t="shared" si="629"/>
        <v>-5.5485030381330347E-7</v>
      </c>
      <c r="DG74" s="35">
        <f t="shared" si="630"/>
        <v>1.1297502517700198</v>
      </c>
      <c r="DH74" s="35">
        <f t="shared" si="631"/>
        <v>1.1297549247741703</v>
      </c>
      <c r="DI74" s="35">
        <f t="shared" si="632"/>
        <v>1.1297525882720949</v>
      </c>
      <c r="DJ74" s="35">
        <f t="shared" si="633"/>
        <v>3.9448811262055017E-7</v>
      </c>
      <c r="DK74" s="35">
        <f t="shared" si="634"/>
        <v>1.1297525882720949</v>
      </c>
      <c r="DL74" s="35">
        <f t="shared" si="635"/>
        <v>1.1297549247741703</v>
      </c>
      <c r="DM74" s="35">
        <f t="shared" si="636"/>
        <v>1.1297537565231326</v>
      </c>
      <c r="DN74" s="35">
        <f t="shared" si="637"/>
        <v>-8.018139630028287E-8</v>
      </c>
      <c r="DO74" s="35">
        <f t="shared" si="638"/>
        <v>1.1297525882720949</v>
      </c>
      <c r="DP74" s="35">
        <f t="shared" si="639"/>
        <v>1.1297537565231326</v>
      </c>
      <c r="DQ74" s="35">
        <f t="shared" si="640"/>
        <v>1.1297531723976137</v>
      </c>
      <c r="DR74" s="35">
        <f t="shared" si="641"/>
        <v>1.5715328305354603E-7</v>
      </c>
      <c r="DS74" s="35">
        <f t="shared" si="642"/>
        <v>1.1297531723976137</v>
      </c>
      <c r="DT74" s="35">
        <f t="shared" si="643"/>
        <v>1.1297537565231326</v>
      </c>
      <c r="DU74" s="35">
        <f t="shared" si="644"/>
        <v>1.1297534644603733</v>
      </c>
      <c r="DV74" s="35">
        <f t="shared" si="645"/>
        <v>3.8485924447329012E-8</v>
      </c>
      <c r="DW74" s="35">
        <f t="shared" si="646"/>
        <v>1.1297534644603733</v>
      </c>
      <c r="DX74" s="35">
        <f t="shared" si="647"/>
        <v>1.1297537565231326</v>
      </c>
      <c r="DY74" s="35">
        <f t="shared" si="648"/>
        <v>1.1297536104917529</v>
      </c>
      <c r="DZ74" s="35">
        <f t="shared" si="649"/>
        <v>-2.0847740644924784E-8</v>
      </c>
      <c r="EA74" s="35">
        <f t="shared" si="650"/>
        <v>1.1297534644603733</v>
      </c>
      <c r="EB74" s="35">
        <f t="shared" si="651"/>
        <v>1.1297536104917529</v>
      </c>
      <c r="EC74" s="35">
        <f t="shared" si="652"/>
        <v>1.1297535374760632</v>
      </c>
      <c r="ED74" s="35">
        <f t="shared" si="653"/>
        <v>8.8190907909790894E-9</v>
      </c>
      <c r="EE74" s="35">
        <f t="shared" si="654"/>
        <v>1.1297535374760632</v>
      </c>
      <c r="EF74" s="35">
        <f t="shared" si="655"/>
        <v>1.1297536104917529</v>
      </c>
      <c r="EG74" s="35">
        <f t="shared" si="656"/>
        <v>1.129753573983908</v>
      </c>
      <c r="EH74" s="35">
        <f t="shared" si="657"/>
        <v>-6.0143251490174521E-9</v>
      </c>
      <c r="EI74" s="35">
        <f t="shared" si="658"/>
        <v>1.1297535374760632</v>
      </c>
      <c r="EJ74" s="35">
        <f t="shared" si="659"/>
        <v>1.129753573983908</v>
      </c>
      <c r="EK74" s="35">
        <f t="shared" si="660"/>
        <v>1.1297535557299856</v>
      </c>
      <c r="EL74" s="35">
        <f t="shared" si="661"/>
        <v>1.402382654447365E-9</v>
      </c>
      <c r="EM74" s="35">
        <f t="shared" si="662"/>
        <v>1.1297535557299856</v>
      </c>
      <c r="EN74" s="35">
        <f t="shared" si="663"/>
        <v>1.129753573983908</v>
      </c>
      <c r="EO74" s="35">
        <f t="shared" si="664"/>
        <v>1.1297535648569468</v>
      </c>
      <c r="EP74" s="35">
        <f t="shared" si="665"/>
        <v>-2.3059713027961948E-9</v>
      </c>
      <c r="EQ74" s="35">
        <f t="shared" si="666"/>
        <v>1.1297535557299856</v>
      </c>
      <c r="ER74" s="35">
        <f t="shared" si="667"/>
        <v>1.1297535648569468</v>
      </c>
      <c r="ES74" s="35">
        <f t="shared" si="668"/>
        <v>1.1297535602934663</v>
      </c>
      <c r="ET74" s="35">
        <f t="shared" si="669"/>
        <v>-4.5179437968556613E-10</v>
      </c>
      <c r="EU74" s="35">
        <f t="shared" si="670"/>
        <v>1.1297535557299856</v>
      </c>
      <c r="EV74" s="35">
        <f t="shared" si="671"/>
        <v>1.1297535602934663</v>
      </c>
      <c r="EW74" s="35">
        <f t="shared" si="672"/>
        <v>1.1297535580117259</v>
      </c>
      <c r="EX74" s="35">
        <f t="shared" si="673"/>
        <v>4.7529424840320189E-10</v>
      </c>
      <c r="EY74" s="35">
        <f t="shared" si="674"/>
        <v>1.1297535580117259</v>
      </c>
      <c r="EZ74" s="35">
        <f t="shared" si="675"/>
        <v>1.1297535602934663</v>
      </c>
      <c r="FA74" s="10">
        <v>9.9999999999999995E-7</v>
      </c>
      <c r="FB74" s="10">
        <v>0.99990000000000001</v>
      </c>
      <c r="FC74" s="35">
        <f t="shared" si="676"/>
        <v>0.49995050000000002</v>
      </c>
      <c r="FD74" s="35">
        <f t="shared" si="677"/>
        <v>-0.15521418701872147</v>
      </c>
      <c r="FE74" s="35">
        <f t="shared" si="678"/>
        <v>9.9999999999999995E-7</v>
      </c>
      <c r="FF74" s="35">
        <f t="shared" si="679"/>
        <v>0.49995050000000002</v>
      </c>
      <c r="FG74" s="35">
        <f t="shared" si="680"/>
        <v>0.24997575</v>
      </c>
      <c r="FH74" s="35">
        <f t="shared" si="681"/>
        <v>-7.9019495512587468E-2</v>
      </c>
      <c r="FI74" s="35">
        <f t="shared" si="682"/>
        <v>9.9999999999999995E-7</v>
      </c>
      <c r="FJ74" s="35">
        <f t="shared" si="683"/>
        <v>0.24997575</v>
      </c>
      <c r="FK74" s="35">
        <f t="shared" si="684"/>
        <v>0.124988375</v>
      </c>
      <c r="FL74" s="35">
        <f t="shared" si="685"/>
        <v>-2.9676729252918754E-2</v>
      </c>
      <c r="FM74" s="35">
        <f t="shared" si="686"/>
        <v>9.9999999999999995E-7</v>
      </c>
      <c r="FN74" s="35">
        <f t="shared" si="687"/>
        <v>0.124988375</v>
      </c>
      <c r="FO74" s="35">
        <f t="shared" si="688"/>
        <v>6.24946875E-2</v>
      </c>
      <c r="FP74" s="35">
        <f t="shared" si="689"/>
        <v>-1.7389048874490998E-3</v>
      </c>
      <c r="FQ74" s="35">
        <f t="shared" si="690"/>
        <v>9.9999999999999995E-7</v>
      </c>
      <c r="FR74" s="35">
        <f t="shared" si="691"/>
        <v>6.24946875E-2</v>
      </c>
      <c r="FS74" s="35">
        <f t="shared" si="692"/>
        <v>3.124784375E-2</v>
      </c>
      <c r="FT74" s="35">
        <f t="shared" si="693"/>
        <v>1.292038256696415E-2</v>
      </c>
      <c r="FU74" s="35">
        <f t="shared" si="694"/>
        <v>3.124784375E-2</v>
      </c>
      <c r="FV74" s="35">
        <f t="shared" si="695"/>
        <v>6.24946875E-2</v>
      </c>
      <c r="FW74" s="35">
        <f t="shared" si="696"/>
        <v>4.6871265624999998E-2</v>
      </c>
      <c r="FX74" s="35">
        <f t="shared" si="697"/>
        <v>5.5398115541118731E-3</v>
      </c>
      <c r="FY74" s="35">
        <f t="shared" si="698"/>
        <v>4.6871265624999998E-2</v>
      </c>
      <c r="FZ74" s="35">
        <f t="shared" si="699"/>
        <v>6.24946875E-2</v>
      </c>
      <c r="GA74" s="35">
        <f t="shared" si="700"/>
        <v>5.4682976562499999E-2</v>
      </c>
      <c r="GB74" s="35">
        <f t="shared" si="701"/>
        <v>1.8871638644966104E-3</v>
      </c>
      <c r="GC74" s="35">
        <f t="shared" si="702"/>
        <v>5.4682976562499999E-2</v>
      </c>
      <c r="GD74" s="35">
        <f t="shared" si="703"/>
        <v>6.24946875E-2</v>
      </c>
      <c r="GE74" s="35">
        <f t="shared" si="704"/>
        <v>5.8588832031249996E-2</v>
      </c>
      <c r="GF74" s="35">
        <f t="shared" si="705"/>
        <v>7.0740107927624862E-5</v>
      </c>
      <c r="GG74" s="35">
        <f t="shared" si="706"/>
        <v>5.8588832031249996E-2</v>
      </c>
      <c r="GH74" s="35">
        <f t="shared" si="707"/>
        <v>6.24946875E-2</v>
      </c>
      <c r="GI74" s="35">
        <f t="shared" si="708"/>
        <v>6.0541759765624995E-2</v>
      </c>
      <c r="GJ74" s="35">
        <f t="shared" si="709"/>
        <v>-8.3493793286504303E-4</v>
      </c>
      <c r="GK74" s="35">
        <f t="shared" si="710"/>
        <v>5.8588832031249996E-2</v>
      </c>
      <c r="GL74" s="35">
        <f t="shared" si="711"/>
        <v>6.0541759765624995E-2</v>
      </c>
      <c r="GM74" s="35">
        <f t="shared" si="712"/>
        <v>5.9565295898437495E-2</v>
      </c>
      <c r="GN74" s="35">
        <f t="shared" si="713"/>
        <v>-3.8231178167258406E-4</v>
      </c>
      <c r="GO74" s="35">
        <f t="shared" si="714"/>
        <v>5.8588832031249996E-2</v>
      </c>
      <c r="GP74" s="35">
        <f t="shared" si="715"/>
        <v>5.9565295898437495E-2</v>
      </c>
      <c r="GQ74" s="35">
        <f t="shared" si="716"/>
        <v>5.9077063964843746E-2</v>
      </c>
      <c r="GR74" s="35">
        <f t="shared" si="717"/>
        <v>-1.5583892638115771E-4</v>
      </c>
      <c r="GS74" s="35">
        <f t="shared" si="718"/>
        <v>5.8588832031249996E-2</v>
      </c>
      <c r="GT74" s="35">
        <f t="shared" si="719"/>
        <v>5.9077063964843746E-2</v>
      </c>
      <c r="GU74" s="35">
        <f t="shared" si="720"/>
        <v>5.8832947998046871E-2</v>
      </c>
      <c r="GV74" s="35">
        <f t="shared" si="721"/>
        <v>-4.2562665585110793E-5</v>
      </c>
      <c r="GW74" s="35">
        <f t="shared" si="722"/>
        <v>5.8588832031249996E-2</v>
      </c>
      <c r="GX74" s="35">
        <f t="shared" si="723"/>
        <v>5.8832947998046871E-2</v>
      </c>
      <c r="GY74" s="35">
        <f t="shared" si="724"/>
        <v>5.8710890014648437E-2</v>
      </c>
      <c r="GZ74" s="35">
        <f t="shared" si="725"/>
        <v>1.4085409086872502E-5</v>
      </c>
      <c r="HA74" s="35">
        <f t="shared" si="726"/>
        <v>5.8710890014648437E-2</v>
      </c>
      <c r="HB74" s="35">
        <f t="shared" si="727"/>
        <v>5.8832947998046871E-2</v>
      </c>
      <c r="HC74" s="35">
        <f t="shared" si="728"/>
        <v>5.877191900634765E-2</v>
      </c>
      <c r="HD74" s="35">
        <f t="shared" si="729"/>
        <v>-1.423945652101466E-5</v>
      </c>
      <c r="HE74" s="35">
        <f t="shared" si="730"/>
        <v>5.8710890014648437E-2</v>
      </c>
      <c r="HF74" s="35">
        <f t="shared" si="731"/>
        <v>5.877191900634765E-2</v>
      </c>
      <c r="HG74" s="35">
        <f t="shared" si="732"/>
        <v>5.8741404510498044E-2</v>
      </c>
      <c r="HH74" s="35">
        <f t="shared" si="733"/>
        <v>-7.7230753681156727E-8</v>
      </c>
      <c r="HI74" s="35">
        <f t="shared" si="734"/>
        <v>5.8710890014648437E-2</v>
      </c>
      <c r="HJ74" s="35">
        <f t="shared" si="735"/>
        <v>5.8741404510498044E-2</v>
      </c>
      <c r="HK74" s="35">
        <f t="shared" si="736"/>
        <v>5.872614726257324E-2</v>
      </c>
      <c r="HL74" s="35">
        <f t="shared" si="737"/>
        <v>7.0040374111624004E-6</v>
      </c>
      <c r="HM74" s="35">
        <f t="shared" si="738"/>
        <v>5.872614726257324E-2</v>
      </c>
      <c r="HN74" s="35">
        <f t="shared" si="739"/>
        <v>5.8741404510498044E-2</v>
      </c>
      <c r="HO74" s="35">
        <f t="shared" si="740"/>
        <v>5.8733775886535639E-2</v>
      </c>
      <c r="HP74" s="35">
        <f t="shared" si="741"/>
        <v>3.4633903893688256E-6</v>
      </c>
      <c r="HQ74" s="35">
        <f t="shared" si="742"/>
        <v>5.8733775886535639E-2</v>
      </c>
      <c r="HR74" s="35">
        <f t="shared" si="743"/>
        <v>5.8741404510498044E-2</v>
      </c>
      <c r="HS74" s="35">
        <f t="shared" si="744"/>
        <v>5.8737590198516841E-2</v>
      </c>
      <c r="HT74" s="35">
        <f t="shared" si="745"/>
        <v>1.6930765829314964E-6</v>
      </c>
      <c r="HU74" s="35">
        <f t="shared" si="746"/>
        <v>5.8737590198516841E-2</v>
      </c>
      <c r="HV74" s="35">
        <f t="shared" si="747"/>
        <v>5.8741404510498044E-2</v>
      </c>
      <c r="HW74" s="35">
        <f t="shared" si="748"/>
        <v>5.8739497354507439E-2</v>
      </c>
      <c r="HX74" s="35">
        <f t="shared" si="749"/>
        <v>8.0792210588320756E-7</v>
      </c>
      <c r="HY74" s="35">
        <f t="shared" si="750"/>
        <v>5.8739497354507439E-2</v>
      </c>
      <c r="HZ74" s="35">
        <f t="shared" si="751"/>
        <v>5.8741404510498044E-2</v>
      </c>
      <c r="IA74" s="35">
        <f t="shared" si="752"/>
        <v>5.8740450932502741E-2</v>
      </c>
      <c r="IB74" s="35">
        <f t="shared" si="753"/>
        <v>3.6534547409594609E-7</v>
      </c>
      <c r="IC74" s="35">
        <f t="shared" si="754"/>
        <v>5.8740450932502741E-2</v>
      </c>
      <c r="ID74" s="35">
        <f t="shared" si="755"/>
        <v>5.8741404510498044E-2</v>
      </c>
      <c r="IE74" s="35">
        <f t="shared" si="756"/>
        <v>5.8740927721500392E-2</v>
      </c>
      <c r="IF74" s="35">
        <f t="shared" si="757"/>
        <v>1.440573094146913E-7</v>
      </c>
      <c r="IG74" s="35">
        <f t="shared" si="758"/>
        <v>5.8740927721500392E-2</v>
      </c>
      <c r="IH74" s="35">
        <f t="shared" si="759"/>
        <v>5.8741404510498044E-2</v>
      </c>
      <c r="II74" s="35">
        <f t="shared" si="760"/>
        <v>5.8741166115999222E-2</v>
      </c>
      <c r="IJ74" s="35">
        <f t="shared" si="761"/>
        <v>3.3413265265735959E-8</v>
      </c>
      <c r="IK74" s="35">
        <f t="shared" si="762"/>
        <v>5.8741166115999222E-2</v>
      </c>
      <c r="IL74" s="35">
        <f t="shared" si="763"/>
        <v>5.8741404510498044E-2</v>
      </c>
      <c r="IM74" s="35">
        <f t="shared" si="764"/>
        <v>5.8741285313248633E-2</v>
      </c>
      <c r="IN74" s="35">
        <f t="shared" si="765"/>
        <v>-2.1908747482868307E-8</v>
      </c>
      <c r="IO74" s="35">
        <f t="shared" si="766"/>
        <v>5.8741166115999222E-2</v>
      </c>
      <c r="IP74" s="35">
        <f t="shared" si="767"/>
        <v>5.8741285313248633E-2</v>
      </c>
      <c r="IQ74" s="35">
        <f t="shared" si="768"/>
        <v>5.8741225714623924E-2</v>
      </c>
      <c r="IR74" s="35">
        <f t="shared" si="769"/>
        <v>5.752258003255406E-9</v>
      </c>
      <c r="IS74" s="35">
        <f t="shared" si="770"/>
        <v>5.8741225714623924E-2</v>
      </c>
      <c r="IT74" s="35">
        <f t="shared" si="771"/>
        <v>5.8741285313248633E-2</v>
      </c>
      <c r="IU74" s="35">
        <f t="shared" si="772"/>
        <v>5.8741255513936275E-2</v>
      </c>
      <c r="IV74" s="35">
        <f t="shared" si="773"/>
        <v>-8.0782447398064505E-9</v>
      </c>
      <c r="IW74" s="35">
        <f t="shared" si="774"/>
        <v>5.8741225714623924E-2</v>
      </c>
      <c r="IX74" s="35">
        <f t="shared" si="775"/>
        <v>5.8741255513936275E-2</v>
      </c>
      <c r="IY74" s="35">
        <f t="shared" si="776"/>
        <v>5.8741240614280099E-2</v>
      </c>
      <c r="IZ74" s="35">
        <f t="shared" si="777"/>
        <v>-1.1629933682755222E-9</v>
      </c>
      <c r="JA74" s="35">
        <f t="shared" si="778"/>
        <v>5.8741225714623924E-2</v>
      </c>
      <c r="JB74" s="35">
        <f t="shared" si="779"/>
        <v>5.8741240614280099E-2</v>
      </c>
      <c r="JC74" s="35">
        <f t="shared" si="780"/>
        <v>5.8741233164452011E-2</v>
      </c>
      <c r="JD74" s="35">
        <f t="shared" si="781"/>
        <v>2.2946324840233956E-9</v>
      </c>
      <c r="JE74" s="35">
        <f t="shared" si="782"/>
        <v>5.8741233164452011E-2</v>
      </c>
      <c r="JF74" s="35">
        <f t="shared" si="783"/>
        <v>5.8741240614280099E-2</v>
      </c>
      <c r="JG74" s="35">
        <f t="shared" si="784"/>
        <v>5.8741236889366055E-2</v>
      </c>
      <c r="JH74" s="35">
        <f t="shared" si="785"/>
        <v>5.6581961338508791E-10</v>
      </c>
      <c r="JI74" s="35">
        <f t="shared" si="786"/>
        <v>5.8741236889366055E-2</v>
      </c>
      <c r="JJ74" s="35">
        <f t="shared" si="787"/>
        <v>5.8741240614280099E-2</v>
      </c>
      <c r="JK74" s="35">
        <f t="shared" si="788"/>
        <v>5.8741238751823077E-2</v>
      </c>
      <c r="JL74" s="35">
        <f t="shared" si="789"/>
        <v>-2.9858704397867086E-10</v>
      </c>
      <c r="JM74" s="35">
        <f t="shared" si="790"/>
        <v>5.8741236889366055E-2</v>
      </c>
      <c r="JN74" s="35">
        <f t="shared" si="791"/>
        <v>5.8741238751823077E-2</v>
      </c>
      <c r="JO74" s="35">
        <f t="shared" si="792"/>
        <v>5.8741237820594566E-2</v>
      </c>
      <c r="JP74" s="35">
        <f t="shared" si="793"/>
        <v>1.3361622919205729E-10</v>
      </c>
      <c r="JQ74" s="35">
        <f t="shared" si="794"/>
        <v>5.8741237820594566E-2</v>
      </c>
      <c r="JR74" s="35">
        <f t="shared" si="795"/>
        <v>5.8741238751823077E-2</v>
      </c>
      <c r="JS74" s="35">
        <f t="shared" si="796"/>
        <v>5.8741238286208822E-2</v>
      </c>
      <c r="JT74" s="35">
        <f t="shared" si="797"/>
        <v>-8.2485462904458018E-11</v>
      </c>
      <c r="JU74" s="35">
        <f t="shared" si="798"/>
        <v>5.8741237820594566E-2</v>
      </c>
      <c r="JV74" s="35">
        <f t="shared" si="799"/>
        <v>5.8741238286208822E-2</v>
      </c>
      <c r="JW74" s="35">
        <f t="shared" si="800"/>
        <v>5.8741238053401694E-2</v>
      </c>
      <c r="JX74" s="35">
        <f t="shared" si="801"/>
        <v>2.556554967725333E-11</v>
      </c>
      <c r="JY74" s="35">
        <f t="shared" si="802"/>
        <v>5.8741238053401694E-2</v>
      </c>
      <c r="JZ74" s="35">
        <f t="shared" si="803"/>
        <v>5.8741238286208822E-2</v>
      </c>
      <c r="KA74" s="35">
        <f t="shared" si="804"/>
        <v>1.1297535591525962</v>
      </c>
      <c r="KB74" s="35">
        <f t="shared" si="805"/>
        <v>5.8741238169805254E-2</v>
      </c>
    </row>
    <row r="75" spans="1:288" ht="15" customHeight="1" x14ac:dyDescent="0.3">
      <c r="A75" s="30">
        <f>Odds_Input!A75</f>
        <v>67</v>
      </c>
      <c r="B75" s="7" t="str">
        <f>Odds_Input!B75</f>
        <v>DIV_CENTRAL</v>
      </c>
      <c r="C75" s="7" t="str">
        <f>Odds_Input!C75</f>
        <v>Detroit Pistons</v>
      </c>
      <c r="D75" s="7" t="str">
        <f>Odds_Input!D75</f>
        <v>YES</v>
      </c>
      <c r="E75" s="31" t="str">
        <f>Odds_Input!E75</f>
        <v>-</v>
      </c>
      <c r="F75" s="32">
        <f>Odds_Input!F75</f>
        <v>125</v>
      </c>
      <c r="G75" s="6" t="str">
        <f t="shared" si="533"/>
        <v>DIV_CENTRAL</v>
      </c>
      <c r="H75" s="14">
        <f t="shared" si="534"/>
        <v>2.25</v>
      </c>
      <c r="I75" s="33">
        <f t="shared" si="535"/>
        <v>0.44444444444444442</v>
      </c>
      <c r="J75" s="17">
        <f t="shared" si="536"/>
        <v>1</v>
      </c>
      <c r="K75" s="17">
        <f t="shared" si="537"/>
        <v>5</v>
      </c>
      <c r="L75" s="18">
        <f t="shared" si="538"/>
        <v>1.1224660395565</v>
      </c>
      <c r="M75" s="34">
        <f t="shared" si="539"/>
        <v>0.12246603955650004</v>
      </c>
      <c r="N75" s="33">
        <f t="shared" si="540"/>
        <v>0.39595357790962638</v>
      </c>
      <c r="O75" s="33">
        <f t="shared" si="541"/>
        <v>0.40539902328623945</v>
      </c>
      <c r="P75" s="33">
        <f t="shared" si="542"/>
        <v>0.40641712481740577</v>
      </c>
      <c r="Q75" s="33">
        <f t="shared" si="543"/>
        <v>0.40641712481740577</v>
      </c>
      <c r="R75" s="35">
        <f t="shared" si="544"/>
        <v>1.1133922946406529</v>
      </c>
      <c r="S75" s="35">
        <f t="shared" si="545"/>
        <v>4.4786884626375145E-2</v>
      </c>
      <c r="X75" s="6" t="s">
        <v>850</v>
      </c>
      <c r="Y75" s="6">
        <f t="shared" si="546"/>
        <v>1</v>
      </c>
      <c r="Z75" s="18">
        <f t="shared" si="547"/>
        <v>1.0713489409141581</v>
      </c>
      <c r="AA75" s="10">
        <v>0.2</v>
      </c>
      <c r="AB75" s="10">
        <v>10</v>
      </c>
      <c r="AC75" s="35">
        <f t="shared" si="548"/>
        <v>5.0999999999999996</v>
      </c>
      <c r="AD75" s="35">
        <f t="shared" si="549"/>
        <v>-0.4240056158810156</v>
      </c>
      <c r="AE75" s="35">
        <f t="shared" si="550"/>
        <v>0.2</v>
      </c>
      <c r="AF75" s="35">
        <f t="shared" si="551"/>
        <v>5.0999999999999996</v>
      </c>
      <c r="AG75" s="35">
        <f t="shared" si="552"/>
        <v>2.65</v>
      </c>
      <c r="AH75" s="35">
        <f t="shared" si="553"/>
        <v>-0.23961020718982373</v>
      </c>
      <c r="AI75" s="35">
        <f t="shared" si="554"/>
        <v>0.2</v>
      </c>
      <c r="AJ75" s="35">
        <f t="shared" si="555"/>
        <v>2.65</v>
      </c>
      <c r="AK75" s="35">
        <f t="shared" si="556"/>
        <v>1.425</v>
      </c>
      <c r="AL75" s="35">
        <f t="shared" si="557"/>
        <v>-6.0209280759456307E-2</v>
      </c>
      <c r="AM75" s="35">
        <f t="shared" si="558"/>
        <v>0.2</v>
      </c>
      <c r="AN75" s="35">
        <f t="shared" si="559"/>
        <v>1.425</v>
      </c>
      <c r="AO75" s="35">
        <f t="shared" si="560"/>
        <v>0.8125</v>
      </c>
      <c r="AP75" s="35">
        <f t="shared" si="561"/>
        <v>0.1572490277407832</v>
      </c>
      <c r="AQ75" s="35">
        <f t="shared" si="562"/>
        <v>0.8125</v>
      </c>
      <c r="AR75" s="35">
        <f t="shared" si="563"/>
        <v>1.425</v>
      </c>
      <c r="AS75" s="35">
        <f t="shared" si="564"/>
        <v>1.1187499999999999</v>
      </c>
      <c r="AT75" s="35">
        <f t="shared" si="565"/>
        <v>2.7270611314585302E-2</v>
      </c>
      <c r="AU75" s="35">
        <f t="shared" si="566"/>
        <v>1.1187499999999999</v>
      </c>
      <c r="AV75" s="35">
        <f t="shared" si="567"/>
        <v>1.425</v>
      </c>
      <c r="AW75" s="35">
        <f t="shared" si="568"/>
        <v>1.2718750000000001</v>
      </c>
      <c r="AX75" s="35">
        <f t="shared" si="569"/>
        <v>-2.0489588537731085E-2</v>
      </c>
      <c r="AY75" s="35">
        <f t="shared" si="570"/>
        <v>1.1187499999999999</v>
      </c>
      <c r="AZ75" s="35">
        <f t="shared" si="571"/>
        <v>1.2718750000000001</v>
      </c>
      <c r="BA75" s="35">
        <f t="shared" si="572"/>
        <v>1.1953125</v>
      </c>
      <c r="BB75" s="35">
        <f t="shared" si="573"/>
        <v>2.2504393351530094E-3</v>
      </c>
      <c r="BC75" s="35">
        <f t="shared" si="574"/>
        <v>1.1953125</v>
      </c>
      <c r="BD75" s="35">
        <f t="shared" si="575"/>
        <v>1.2718750000000001</v>
      </c>
      <c r="BE75" s="35">
        <f t="shared" si="576"/>
        <v>1.23359375</v>
      </c>
      <c r="BF75" s="35">
        <f t="shared" si="577"/>
        <v>-9.3862987606662118E-3</v>
      </c>
      <c r="BG75" s="35">
        <f t="shared" si="578"/>
        <v>1.1953125</v>
      </c>
      <c r="BH75" s="35">
        <f t="shared" si="579"/>
        <v>1.23359375</v>
      </c>
      <c r="BI75" s="35">
        <f t="shared" si="580"/>
        <v>1.2144531249999999</v>
      </c>
      <c r="BJ75" s="35">
        <f t="shared" si="581"/>
        <v>-3.6368022857512505E-3</v>
      </c>
      <c r="BK75" s="35">
        <f t="shared" si="582"/>
        <v>1.1953125</v>
      </c>
      <c r="BL75" s="35">
        <f t="shared" si="583"/>
        <v>1.2144531249999999</v>
      </c>
      <c r="BM75" s="35">
        <f t="shared" si="584"/>
        <v>1.2048828125</v>
      </c>
      <c r="BN75" s="35">
        <f t="shared" si="585"/>
        <v>-7.1068163899901116E-4</v>
      </c>
      <c r="BO75" s="35">
        <f t="shared" si="586"/>
        <v>1.1953125</v>
      </c>
      <c r="BP75" s="35">
        <f t="shared" si="587"/>
        <v>1.2048828125</v>
      </c>
      <c r="BQ75" s="35">
        <f t="shared" si="588"/>
        <v>1.2000976562500001</v>
      </c>
      <c r="BR75" s="35">
        <f t="shared" si="589"/>
        <v>7.6546803690424881E-4</v>
      </c>
      <c r="BS75" s="35">
        <f t="shared" si="590"/>
        <v>1.2000976562500001</v>
      </c>
      <c r="BT75" s="35">
        <f t="shared" si="591"/>
        <v>1.2048828125</v>
      </c>
      <c r="BU75" s="35">
        <f t="shared" si="592"/>
        <v>1.2024902343749999</v>
      </c>
      <c r="BV75" s="35">
        <f t="shared" si="593"/>
        <v>2.6294990803643614E-5</v>
      </c>
      <c r="BW75" s="35">
        <f t="shared" si="594"/>
        <v>1.2024902343749999</v>
      </c>
      <c r="BX75" s="35">
        <f t="shared" si="595"/>
        <v>1.2048828125</v>
      </c>
      <c r="BY75" s="35">
        <f t="shared" si="596"/>
        <v>1.2036865234374998</v>
      </c>
      <c r="BZ75" s="35">
        <f t="shared" si="597"/>
        <v>-3.42467316356454E-4</v>
      </c>
      <c r="CA75" s="35">
        <f t="shared" si="598"/>
        <v>1.2024902343749999</v>
      </c>
      <c r="CB75" s="35">
        <f t="shared" si="599"/>
        <v>1.2036865234374998</v>
      </c>
      <c r="CC75" s="35">
        <f t="shared" si="600"/>
        <v>1.2030883789062499</v>
      </c>
      <c r="CD75" s="35">
        <f t="shared" si="601"/>
        <v>-1.5815473072211539E-4</v>
      </c>
      <c r="CE75" s="35">
        <f t="shared" si="602"/>
        <v>1.2024902343749999</v>
      </c>
      <c r="CF75" s="35">
        <f t="shared" si="603"/>
        <v>1.2030883789062499</v>
      </c>
      <c r="CG75" s="35">
        <f t="shared" si="604"/>
        <v>1.202789306640625</v>
      </c>
      <c r="CH75" s="35">
        <f t="shared" si="605"/>
        <v>-6.5947020688850166E-5</v>
      </c>
      <c r="CI75" s="35">
        <f t="shared" si="606"/>
        <v>1.2024902343749999</v>
      </c>
      <c r="CJ75" s="35">
        <f t="shared" si="607"/>
        <v>1.202789306640625</v>
      </c>
      <c r="CK75" s="35">
        <f t="shared" si="608"/>
        <v>1.2026397705078125</v>
      </c>
      <c r="CL75" s="35">
        <f t="shared" si="609"/>
        <v>-1.9830303718437747E-5</v>
      </c>
      <c r="CM75" s="35">
        <f t="shared" si="610"/>
        <v>1.2024902343749999</v>
      </c>
      <c r="CN75" s="35">
        <f t="shared" si="611"/>
        <v>1.2026397705078125</v>
      </c>
      <c r="CO75" s="35">
        <f t="shared" si="612"/>
        <v>1.2025650024414061</v>
      </c>
      <c r="CP75" s="35">
        <f t="shared" si="613"/>
        <v>3.2312712119342279E-6</v>
      </c>
      <c r="CQ75" s="35">
        <f t="shared" si="614"/>
        <v>1.2025650024414061</v>
      </c>
      <c r="CR75" s="35">
        <f t="shared" si="615"/>
        <v>1.2026397705078125</v>
      </c>
      <c r="CS75" s="35">
        <f t="shared" si="616"/>
        <v>1.2026023864746094</v>
      </c>
      <c r="CT75" s="35">
        <f t="shared" si="617"/>
        <v>-8.2997843188215015E-6</v>
      </c>
      <c r="CU75" s="35">
        <f t="shared" si="618"/>
        <v>1.2025650024414061</v>
      </c>
      <c r="CV75" s="35">
        <f t="shared" si="619"/>
        <v>1.2026023864746094</v>
      </c>
      <c r="CW75" s="35">
        <f t="shared" si="620"/>
        <v>1.2025836944580077</v>
      </c>
      <c r="CX75" s="35">
        <f t="shared" si="621"/>
        <v>-2.5343235720010071E-6</v>
      </c>
      <c r="CY75" s="35">
        <f t="shared" si="622"/>
        <v>1.2025650024414061</v>
      </c>
      <c r="CZ75" s="35">
        <f t="shared" si="623"/>
        <v>1.2025836944580077</v>
      </c>
      <c r="DA75" s="35">
        <f t="shared" si="624"/>
        <v>1.2025743484497069</v>
      </c>
      <c r="DB75" s="35">
        <f t="shared" si="625"/>
        <v>3.4845706520236774E-7</v>
      </c>
      <c r="DC75" s="35">
        <f t="shared" si="626"/>
        <v>1.2025743484497069</v>
      </c>
      <c r="DD75" s="35">
        <f t="shared" si="627"/>
        <v>1.2025836944580077</v>
      </c>
      <c r="DE75" s="35">
        <f t="shared" si="628"/>
        <v>1.2025790214538574</v>
      </c>
      <c r="DF75" s="35">
        <f t="shared" si="629"/>
        <v>-1.0929374422152804E-6</v>
      </c>
      <c r="DG75" s="35">
        <f t="shared" si="630"/>
        <v>1.2025743484497069</v>
      </c>
      <c r="DH75" s="35">
        <f t="shared" si="631"/>
        <v>1.2025790214538574</v>
      </c>
      <c r="DI75" s="35">
        <f t="shared" si="632"/>
        <v>1.202576684951782</v>
      </c>
      <c r="DJ75" s="35">
        <f t="shared" si="633"/>
        <v>-3.7224123572432433E-7</v>
      </c>
      <c r="DK75" s="35">
        <f t="shared" si="634"/>
        <v>1.2025743484497069</v>
      </c>
      <c r="DL75" s="35">
        <f t="shared" si="635"/>
        <v>1.202576684951782</v>
      </c>
      <c r="DM75" s="35">
        <f t="shared" si="636"/>
        <v>1.2025755167007444</v>
      </c>
      <c r="DN75" s="35">
        <f t="shared" si="637"/>
        <v>-1.1892347107078649E-8</v>
      </c>
      <c r="DO75" s="35">
        <f t="shared" si="638"/>
        <v>1.2025743484497069</v>
      </c>
      <c r="DP75" s="35">
        <f t="shared" si="639"/>
        <v>1.2025755167007444</v>
      </c>
      <c r="DQ75" s="35">
        <f t="shared" si="640"/>
        <v>1.2025749325752257</v>
      </c>
      <c r="DR75" s="35">
        <f t="shared" si="641"/>
        <v>1.682822936555084E-7</v>
      </c>
      <c r="DS75" s="35">
        <f t="shared" si="642"/>
        <v>1.2025749325752257</v>
      </c>
      <c r="DT75" s="35">
        <f t="shared" si="643"/>
        <v>1.2025755167007444</v>
      </c>
      <c r="DU75" s="35">
        <f t="shared" si="644"/>
        <v>1.2025752246379851</v>
      </c>
      <c r="DV75" s="35">
        <f t="shared" si="645"/>
        <v>7.8194956731891807E-8</v>
      </c>
      <c r="DW75" s="35">
        <f t="shared" si="646"/>
        <v>1.2025752246379851</v>
      </c>
      <c r="DX75" s="35">
        <f t="shared" si="647"/>
        <v>1.2025755167007444</v>
      </c>
      <c r="DY75" s="35">
        <f t="shared" si="648"/>
        <v>1.2025753706693647</v>
      </c>
      <c r="DZ75" s="35">
        <f t="shared" si="649"/>
        <v>3.315130081560369E-8</v>
      </c>
      <c r="EA75" s="35">
        <f t="shared" si="650"/>
        <v>1.2025753706693647</v>
      </c>
      <c r="EB75" s="35">
        <f t="shared" si="651"/>
        <v>1.2025755167007444</v>
      </c>
      <c r="EC75" s="35">
        <f t="shared" si="652"/>
        <v>1.2025754436850544</v>
      </c>
      <c r="ED75" s="35">
        <f t="shared" si="653"/>
        <v>1.0629475966084101E-8</v>
      </c>
      <c r="EE75" s="35">
        <f t="shared" si="654"/>
        <v>1.2025754436850544</v>
      </c>
      <c r="EF75" s="35">
        <f t="shared" si="655"/>
        <v>1.2025755167007444</v>
      </c>
      <c r="EG75" s="35">
        <f t="shared" si="656"/>
        <v>1.2025754801928994</v>
      </c>
      <c r="EH75" s="35">
        <f t="shared" si="657"/>
        <v>-6.3143590356418144E-10</v>
      </c>
      <c r="EI75" s="35">
        <f t="shared" si="658"/>
        <v>1.2025754436850544</v>
      </c>
      <c r="EJ75" s="35">
        <f t="shared" si="659"/>
        <v>1.2025754801928994</v>
      </c>
      <c r="EK75" s="35">
        <f t="shared" si="660"/>
        <v>1.2025754619389768</v>
      </c>
      <c r="EL75" s="35">
        <f t="shared" si="661"/>
        <v>4.999020086771111E-9</v>
      </c>
      <c r="EM75" s="35">
        <f t="shared" si="662"/>
        <v>1.2025754619389768</v>
      </c>
      <c r="EN75" s="35">
        <f t="shared" si="663"/>
        <v>1.2025754801928994</v>
      </c>
      <c r="EO75" s="35">
        <f t="shared" si="664"/>
        <v>1.2025754710659382</v>
      </c>
      <c r="EP75" s="35">
        <f t="shared" si="665"/>
        <v>2.1837920360923135E-9</v>
      </c>
      <c r="EQ75" s="35">
        <f t="shared" si="666"/>
        <v>1.2025754710659382</v>
      </c>
      <c r="ER75" s="35">
        <f t="shared" si="667"/>
        <v>1.2025754801928994</v>
      </c>
      <c r="ES75" s="35">
        <f t="shared" si="668"/>
        <v>1.2025754756294189</v>
      </c>
      <c r="ET75" s="35">
        <f t="shared" si="669"/>
        <v>7.7617801075291482E-10</v>
      </c>
      <c r="EU75" s="35">
        <f t="shared" si="670"/>
        <v>1.2025754756294189</v>
      </c>
      <c r="EV75" s="35">
        <f t="shared" si="671"/>
        <v>1.2025754801928994</v>
      </c>
      <c r="EW75" s="35">
        <f t="shared" si="672"/>
        <v>1.202575477911159</v>
      </c>
      <c r="EX75" s="35">
        <f t="shared" si="673"/>
        <v>7.2371220127820379E-11</v>
      </c>
      <c r="EY75" s="35">
        <f t="shared" si="674"/>
        <v>1.202575477911159</v>
      </c>
      <c r="EZ75" s="35">
        <f t="shared" si="675"/>
        <v>1.2025754801928994</v>
      </c>
      <c r="FA75" s="10">
        <v>9.9999999999999995E-7</v>
      </c>
      <c r="FB75" s="10">
        <v>0.99990000000000001</v>
      </c>
      <c r="FC75" s="35">
        <f t="shared" si="676"/>
        <v>0.49995050000000002</v>
      </c>
      <c r="FD75" s="35">
        <f t="shared" si="677"/>
        <v>-0.12219798363616108</v>
      </c>
      <c r="FE75" s="35">
        <f t="shared" si="678"/>
        <v>9.9999999999999995E-7</v>
      </c>
      <c r="FF75" s="35">
        <f t="shared" si="679"/>
        <v>0.49995050000000002</v>
      </c>
      <c r="FG75" s="35">
        <f t="shared" si="680"/>
        <v>0.24997575</v>
      </c>
      <c r="FH75" s="35">
        <f t="shared" si="681"/>
        <v>-6.2606619328297253E-2</v>
      </c>
      <c r="FI75" s="35">
        <f t="shared" si="682"/>
        <v>9.9999999999999995E-7</v>
      </c>
      <c r="FJ75" s="35">
        <f t="shared" si="683"/>
        <v>0.24997575</v>
      </c>
      <c r="FK75" s="35">
        <f t="shared" si="684"/>
        <v>0.124988375</v>
      </c>
      <c r="FL75" s="35">
        <f t="shared" si="685"/>
        <v>-1.9897873060369609E-2</v>
      </c>
      <c r="FM75" s="35">
        <f t="shared" si="686"/>
        <v>9.9999999999999995E-7</v>
      </c>
      <c r="FN75" s="35">
        <f t="shared" si="687"/>
        <v>0.124988375</v>
      </c>
      <c r="FO75" s="35">
        <f t="shared" si="688"/>
        <v>6.24946875E-2</v>
      </c>
      <c r="FP75" s="35">
        <f t="shared" si="689"/>
        <v>6.13355658342285E-3</v>
      </c>
      <c r="FQ75" s="35">
        <f t="shared" si="690"/>
        <v>6.24946875E-2</v>
      </c>
      <c r="FR75" s="35">
        <f t="shared" si="691"/>
        <v>0.124988375</v>
      </c>
      <c r="FS75" s="35">
        <f t="shared" si="692"/>
        <v>9.3741531249999996E-2</v>
      </c>
      <c r="FT75" s="35">
        <f t="shared" si="693"/>
        <v>-7.2740967158876346E-3</v>
      </c>
      <c r="FU75" s="35">
        <f t="shared" si="694"/>
        <v>6.24946875E-2</v>
      </c>
      <c r="FV75" s="35">
        <f t="shared" si="695"/>
        <v>9.3741531249999996E-2</v>
      </c>
      <c r="FW75" s="35">
        <f t="shared" si="696"/>
        <v>7.8118109374999994E-2</v>
      </c>
      <c r="FX75" s="35">
        <f t="shared" si="697"/>
        <v>-6.6576782133109802E-4</v>
      </c>
      <c r="FY75" s="35">
        <f t="shared" si="698"/>
        <v>6.24946875E-2</v>
      </c>
      <c r="FZ75" s="35">
        <f t="shared" si="699"/>
        <v>7.8118109374999994E-2</v>
      </c>
      <c r="GA75" s="35">
        <f t="shared" si="700"/>
        <v>7.0306398437500001E-2</v>
      </c>
      <c r="GB75" s="35">
        <f t="shared" si="701"/>
        <v>2.7104472378793876E-3</v>
      </c>
      <c r="GC75" s="35">
        <f t="shared" si="702"/>
        <v>7.0306398437500001E-2</v>
      </c>
      <c r="GD75" s="35">
        <f t="shared" si="703"/>
        <v>7.8118109374999994E-2</v>
      </c>
      <c r="GE75" s="35">
        <f t="shared" si="704"/>
        <v>7.4212253906249998E-2</v>
      </c>
      <c r="GF75" s="35">
        <f t="shared" si="705"/>
        <v>1.0164193612389738E-3</v>
      </c>
      <c r="GG75" s="35">
        <f t="shared" si="706"/>
        <v>7.4212253906249998E-2</v>
      </c>
      <c r="GH75" s="35">
        <f t="shared" si="707"/>
        <v>7.8118109374999994E-2</v>
      </c>
      <c r="GI75" s="35">
        <f t="shared" si="708"/>
        <v>7.6165181640624996E-2</v>
      </c>
      <c r="GJ75" s="35">
        <f t="shared" si="709"/>
        <v>1.7383881023103065E-4</v>
      </c>
      <c r="GK75" s="35">
        <f t="shared" si="710"/>
        <v>7.6165181640624996E-2</v>
      </c>
      <c r="GL75" s="35">
        <f t="shared" si="711"/>
        <v>7.8118109374999994E-2</v>
      </c>
      <c r="GM75" s="35">
        <f t="shared" si="712"/>
        <v>7.7141645507812495E-2</v>
      </c>
      <c r="GN75" s="35">
        <f t="shared" si="713"/>
        <v>-2.4633707644206027E-4</v>
      </c>
      <c r="GO75" s="35">
        <f t="shared" si="714"/>
        <v>7.6165181640624996E-2</v>
      </c>
      <c r="GP75" s="35">
        <f t="shared" si="715"/>
        <v>7.7141645507812495E-2</v>
      </c>
      <c r="GQ75" s="35">
        <f t="shared" si="716"/>
        <v>7.6653413574218746E-2</v>
      </c>
      <c r="GR75" s="35">
        <f t="shared" si="717"/>
        <v>-3.6342173219017226E-5</v>
      </c>
      <c r="GS75" s="35">
        <f t="shared" si="718"/>
        <v>7.6165181640624996E-2</v>
      </c>
      <c r="GT75" s="35">
        <f t="shared" si="719"/>
        <v>7.6653413574218746E-2</v>
      </c>
      <c r="GU75" s="35">
        <f t="shared" si="720"/>
        <v>7.6409297607421878E-2</v>
      </c>
      <c r="GV75" s="35">
        <f t="shared" si="721"/>
        <v>6.872507141419959E-5</v>
      </c>
      <c r="GW75" s="35">
        <f t="shared" si="722"/>
        <v>7.6409297607421878E-2</v>
      </c>
      <c r="GX75" s="35">
        <f t="shared" si="723"/>
        <v>7.6653413574218746E-2</v>
      </c>
      <c r="GY75" s="35">
        <f t="shared" si="724"/>
        <v>7.6531355590820305E-2</v>
      </c>
      <c r="GZ75" s="35">
        <f t="shared" si="725"/>
        <v>1.6185635702603562E-5</v>
      </c>
      <c r="HA75" s="35">
        <f t="shared" si="726"/>
        <v>7.6531355590820305E-2</v>
      </c>
      <c r="HB75" s="35">
        <f t="shared" si="727"/>
        <v>7.6653413574218746E-2</v>
      </c>
      <c r="HC75" s="35">
        <f t="shared" si="728"/>
        <v>7.6592384582519518E-2</v>
      </c>
      <c r="HD75" s="35">
        <f t="shared" si="729"/>
        <v>-1.0079722309264127E-5</v>
      </c>
      <c r="HE75" s="35">
        <f t="shared" si="730"/>
        <v>7.6531355590820305E-2</v>
      </c>
      <c r="HF75" s="35">
        <f t="shared" si="731"/>
        <v>7.6592384582519518E-2</v>
      </c>
      <c r="HG75" s="35">
        <f t="shared" si="732"/>
        <v>7.6561870086669911E-2</v>
      </c>
      <c r="HH75" s="35">
        <f t="shared" si="733"/>
        <v>3.0525933341074563E-6</v>
      </c>
      <c r="HI75" s="35">
        <f t="shared" si="734"/>
        <v>7.6561870086669911E-2</v>
      </c>
      <c r="HJ75" s="35">
        <f t="shared" si="735"/>
        <v>7.6592384582519518E-2</v>
      </c>
      <c r="HK75" s="35">
        <f t="shared" si="736"/>
        <v>7.6577127334594708E-2</v>
      </c>
      <c r="HL75" s="35">
        <f t="shared" si="737"/>
        <v>-3.5136553312442587E-6</v>
      </c>
      <c r="HM75" s="35">
        <f t="shared" si="738"/>
        <v>7.6561870086669911E-2</v>
      </c>
      <c r="HN75" s="35">
        <f t="shared" si="739"/>
        <v>7.6577127334594708E-2</v>
      </c>
      <c r="HO75" s="35">
        <f t="shared" si="740"/>
        <v>7.6569498710632317E-2</v>
      </c>
      <c r="HP75" s="35">
        <f t="shared" si="741"/>
        <v>-2.3055370912405948E-7</v>
      </c>
      <c r="HQ75" s="35">
        <f t="shared" si="742"/>
        <v>7.6561870086669911E-2</v>
      </c>
      <c r="HR75" s="35">
        <f t="shared" si="743"/>
        <v>7.6569498710632317E-2</v>
      </c>
      <c r="HS75" s="35">
        <f t="shared" si="744"/>
        <v>7.6565684398651107E-2</v>
      </c>
      <c r="HT75" s="35">
        <f t="shared" si="745"/>
        <v>1.4110141350887062E-6</v>
      </c>
      <c r="HU75" s="35">
        <f t="shared" si="746"/>
        <v>7.6565684398651107E-2</v>
      </c>
      <c r="HV75" s="35">
        <f t="shared" si="747"/>
        <v>7.6569498710632317E-2</v>
      </c>
      <c r="HW75" s="35">
        <f t="shared" si="748"/>
        <v>7.6567591554641712E-2</v>
      </c>
      <c r="HX75" s="35">
        <f t="shared" si="749"/>
        <v>5.9022879361769753E-7</v>
      </c>
      <c r="HY75" s="35">
        <f t="shared" si="750"/>
        <v>7.6567591554641712E-2</v>
      </c>
      <c r="HZ75" s="35">
        <f t="shared" si="751"/>
        <v>7.6569498710632317E-2</v>
      </c>
      <c r="IA75" s="35">
        <f t="shared" si="752"/>
        <v>7.6568545132637014E-2</v>
      </c>
      <c r="IB75" s="35">
        <f t="shared" si="753"/>
        <v>1.7983718758607381E-7</v>
      </c>
      <c r="IC75" s="35">
        <f t="shared" si="754"/>
        <v>7.6568545132637014E-2</v>
      </c>
      <c r="ID75" s="35">
        <f t="shared" si="755"/>
        <v>7.6569498710632317E-2</v>
      </c>
      <c r="IE75" s="35">
        <f t="shared" si="756"/>
        <v>7.6569021921634672E-2</v>
      </c>
      <c r="IF75" s="35">
        <f t="shared" si="757"/>
        <v>-2.5358349531323654E-8</v>
      </c>
      <c r="IG75" s="35">
        <f t="shared" si="758"/>
        <v>7.6568545132637014E-2</v>
      </c>
      <c r="IH75" s="35">
        <f t="shared" si="759"/>
        <v>7.6569021921634672E-2</v>
      </c>
      <c r="II75" s="35">
        <f t="shared" si="760"/>
        <v>7.6568783527135836E-2</v>
      </c>
      <c r="IJ75" s="35">
        <f t="shared" si="761"/>
        <v>7.7239396878425737E-8</v>
      </c>
      <c r="IK75" s="35">
        <f t="shared" si="762"/>
        <v>7.6568783527135836E-2</v>
      </c>
      <c r="IL75" s="35">
        <f t="shared" si="763"/>
        <v>7.6569021921634672E-2</v>
      </c>
      <c r="IM75" s="35">
        <f t="shared" si="764"/>
        <v>7.6568902724385254E-2</v>
      </c>
      <c r="IN75" s="35">
        <f t="shared" si="765"/>
        <v>2.5940517955902465E-8</v>
      </c>
      <c r="IO75" s="35">
        <f t="shared" si="766"/>
        <v>7.6568902724385254E-2</v>
      </c>
      <c r="IP75" s="35">
        <f t="shared" si="767"/>
        <v>7.6569021921634672E-2</v>
      </c>
      <c r="IQ75" s="35">
        <f t="shared" si="768"/>
        <v>7.656896232300997E-2</v>
      </c>
      <c r="IR75" s="35">
        <f t="shared" si="769"/>
        <v>2.9108293553292697E-10</v>
      </c>
      <c r="IS75" s="35">
        <f t="shared" si="770"/>
        <v>7.656896232300997E-2</v>
      </c>
      <c r="IT75" s="35">
        <f t="shared" si="771"/>
        <v>7.6569021921634672E-2</v>
      </c>
      <c r="IU75" s="35">
        <f t="shared" si="772"/>
        <v>7.6568992122322321E-2</v>
      </c>
      <c r="IV75" s="35">
        <f t="shared" si="773"/>
        <v>-1.2533633686473422E-8</v>
      </c>
      <c r="IW75" s="35">
        <f t="shared" si="774"/>
        <v>7.656896232300997E-2</v>
      </c>
      <c r="IX75" s="35">
        <f t="shared" si="775"/>
        <v>7.6568992122322321E-2</v>
      </c>
      <c r="IY75" s="35">
        <f t="shared" si="776"/>
        <v>7.6568977222666146E-2</v>
      </c>
      <c r="IZ75" s="35">
        <f t="shared" si="777"/>
        <v>-6.1212755975148525E-9</v>
      </c>
      <c r="JA75" s="35">
        <f t="shared" si="778"/>
        <v>7.656896232300997E-2</v>
      </c>
      <c r="JB75" s="35">
        <f t="shared" si="779"/>
        <v>7.6568977222666146E-2</v>
      </c>
      <c r="JC75" s="35">
        <f t="shared" si="780"/>
        <v>7.6568969772838058E-2</v>
      </c>
      <c r="JD75" s="35">
        <f t="shared" si="781"/>
        <v>-2.915096386502114E-9</v>
      </c>
      <c r="JE75" s="35">
        <f t="shared" si="782"/>
        <v>7.656896232300997E-2</v>
      </c>
      <c r="JF75" s="35">
        <f t="shared" si="783"/>
        <v>7.6568969772838058E-2</v>
      </c>
      <c r="JG75" s="35">
        <f t="shared" si="784"/>
        <v>7.6568966047924014E-2</v>
      </c>
      <c r="JH75" s="35">
        <f t="shared" si="785"/>
        <v>-1.3120067254845935E-9</v>
      </c>
      <c r="JI75" s="35">
        <f t="shared" si="786"/>
        <v>7.656896232300997E-2</v>
      </c>
      <c r="JJ75" s="35">
        <f t="shared" si="787"/>
        <v>7.6568966047924014E-2</v>
      </c>
      <c r="JK75" s="35">
        <f t="shared" si="788"/>
        <v>7.6568964185466992E-2</v>
      </c>
      <c r="JL75" s="35">
        <f t="shared" si="789"/>
        <v>-5.1046189497583327E-10</v>
      </c>
      <c r="JM75" s="35">
        <f t="shared" si="790"/>
        <v>7.656896232300997E-2</v>
      </c>
      <c r="JN75" s="35">
        <f t="shared" si="791"/>
        <v>7.6568964185466992E-2</v>
      </c>
      <c r="JO75" s="35">
        <f t="shared" si="792"/>
        <v>7.6568963254238481E-2</v>
      </c>
      <c r="JP75" s="35">
        <f t="shared" si="793"/>
        <v>-1.0968947972145315E-10</v>
      </c>
      <c r="JQ75" s="35">
        <f t="shared" si="794"/>
        <v>7.656896232300997E-2</v>
      </c>
      <c r="JR75" s="35">
        <f t="shared" si="795"/>
        <v>7.6568963254238481E-2</v>
      </c>
      <c r="JS75" s="35">
        <f t="shared" si="796"/>
        <v>7.6568962788624226E-2</v>
      </c>
      <c r="JT75" s="35">
        <f t="shared" si="797"/>
        <v>9.0696561372283213E-11</v>
      </c>
      <c r="JU75" s="35">
        <f t="shared" si="798"/>
        <v>7.6568962788624226E-2</v>
      </c>
      <c r="JV75" s="35">
        <f t="shared" si="799"/>
        <v>7.6568963254238481E-2</v>
      </c>
      <c r="JW75" s="35">
        <f t="shared" si="800"/>
        <v>7.6568963021431347E-2</v>
      </c>
      <c r="JX75" s="35">
        <f t="shared" si="801"/>
        <v>-9.496403663433739E-12</v>
      </c>
      <c r="JY75" s="35">
        <f t="shared" si="802"/>
        <v>7.6568962788624226E-2</v>
      </c>
      <c r="JZ75" s="35">
        <f t="shared" si="803"/>
        <v>7.6568963021431347E-2</v>
      </c>
      <c r="KA75" s="35">
        <f t="shared" si="804"/>
        <v>1.2025754790520291</v>
      </c>
      <c r="KB75" s="35">
        <f t="shared" si="805"/>
        <v>7.6568962905027793E-2</v>
      </c>
    </row>
    <row r="76" spans="1:288" ht="15" customHeight="1" x14ac:dyDescent="0.3">
      <c r="A76" s="30">
        <f>Odds_Input!A76</f>
        <v>68</v>
      </c>
      <c r="B76" s="7" t="str">
        <f>Odds_Input!B76</f>
        <v>DIV_CENTRAL</v>
      </c>
      <c r="C76" s="7" t="str">
        <f>Odds_Input!C76</f>
        <v>Indiana Pacers</v>
      </c>
      <c r="D76" s="7" t="str">
        <f>Odds_Input!D76</f>
        <v>YES</v>
      </c>
      <c r="E76" s="31" t="str">
        <f>Odds_Input!E76</f>
        <v>-</v>
      </c>
      <c r="F76" s="32">
        <f>Odds_Input!F76</f>
        <v>335</v>
      </c>
      <c r="G76" s="6" t="str">
        <f t="shared" si="533"/>
        <v>DIV_CENTRAL</v>
      </c>
      <c r="H76" s="14">
        <f t="shared" si="534"/>
        <v>4.3499999999999996</v>
      </c>
      <c r="I76" s="33">
        <f t="shared" si="535"/>
        <v>0.22988505747126439</v>
      </c>
      <c r="J76" s="17">
        <f t="shared" si="536"/>
        <v>1</v>
      </c>
      <c r="K76" s="17">
        <f t="shared" si="537"/>
        <v>5</v>
      </c>
      <c r="L76" s="18">
        <f t="shared" si="538"/>
        <v>1.1224660395565</v>
      </c>
      <c r="M76" s="34">
        <f t="shared" si="539"/>
        <v>0.12246603955650004</v>
      </c>
      <c r="N76" s="33">
        <f t="shared" si="540"/>
        <v>0.20480357478084127</v>
      </c>
      <c r="O76" s="33">
        <f t="shared" si="541"/>
        <v>0.19458572691089204</v>
      </c>
      <c r="P76" s="33">
        <f t="shared" si="542"/>
        <v>0.19980167936752136</v>
      </c>
      <c r="Q76" s="33">
        <f t="shared" si="543"/>
        <v>0.19980167936752136</v>
      </c>
      <c r="R76" s="35">
        <f t="shared" si="544"/>
        <v>1.1133922946406529</v>
      </c>
      <c r="S76" s="35">
        <f t="shared" si="545"/>
        <v>4.4786884626375145E-2</v>
      </c>
      <c r="X76" s="6" t="s">
        <v>286</v>
      </c>
      <c r="Y76" s="6">
        <f t="shared" si="546"/>
        <v>1</v>
      </c>
      <c r="Z76" s="18">
        <f t="shared" si="547"/>
        <v>1.299364577282498</v>
      </c>
      <c r="AA76" s="10">
        <v>0.2</v>
      </c>
      <c r="AB76" s="10">
        <v>10</v>
      </c>
      <c r="AC76" s="35">
        <f t="shared" si="548"/>
        <v>5.0999999999999996</v>
      </c>
      <c r="AD76" s="35">
        <f t="shared" si="549"/>
        <v>-0.99859435606584945</v>
      </c>
      <c r="AE76" s="35">
        <f t="shared" si="550"/>
        <v>0.2</v>
      </c>
      <c r="AF76" s="35">
        <f t="shared" si="551"/>
        <v>5.0999999999999996</v>
      </c>
      <c r="AG76" s="35">
        <f t="shared" si="552"/>
        <v>2.65</v>
      </c>
      <c r="AH76" s="35">
        <f t="shared" si="553"/>
        <v>-0.950410128601343</v>
      </c>
      <c r="AI76" s="35">
        <f t="shared" si="554"/>
        <v>0.2</v>
      </c>
      <c r="AJ76" s="35">
        <f t="shared" si="555"/>
        <v>2.65</v>
      </c>
      <c r="AK76" s="35">
        <f t="shared" si="556"/>
        <v>1.425</v>
      </c>
      <c r="AL76" s="35">
        <f t="shared" si="557"/>
        <v>-0.52472152277291251</v>
      </c>
      <c r="AM76" s="35">
        <f t="shared" si="558"/>
        <v>0.2</v>
      </c>
      <c r="AN76" s="35">
        <f t="shared" si="559"/>
        <v>1.425</v>
      </c>
      <c r="AO76" s="35">
        <f t="shared" si="560"/>
        <v>0.8125</v>
      </c>
      <c r="AP76" s="35">
        <f t="shared" si="561"/>
        <v>1.137782767129897</v>
      </c>
      <c r="AQ76" s="35">
        <f t="shared" si="562"/>
        <v>0.8125</v>
      </c>
      <c r="AR76" s="35">
        <f t="shared" si="563"/>
        <v>1.425</v>
      </c>
      <c r="AS76" s="35">
        <f t="shared" si="564"/>
        <v>1.1187499999999999</v>
      </c>
      <c r="AT76" s="35">
        <f t="shared" si="565"/>
        <v>-3.4693174027246809E-2</v>
      </c>
      <c r="AU76" s="35">
        <f t="shared" si="566"/>
        <v>0.8125</v>
      </c>
      <c r="AV76" s="35">
        <f t="shared" si="567"/>
        <v>1.1187499999999999</v>
      </c>
      <c r="AW76" s="35">
        <f t="shared" si="568"/>
        <v>0.96562499999999996</v>
      </c>
      <c r="AX76" s="35">
        <f t="shared" si="569"/>
        <v>0.41971701054023769</v>
      </c>
      <c r="AY76" s="35">
        <f t="shared" si="570"/>
        <v>0.96562499999999996</v>
      </c>
      <c r="AZ76" s="35">
        <f t="shared" si="571"/>
        <v>1.1187499999999999</v>
      </c>
      <c r="BA76" s="35">
        <f t="shared" si="572"/>
        <v>1.0421874999999998</v>
      </c>
      <c r="BB76" s="35">
        <f t="shared" si="573"/>
        <v>0.16736687012398832</v>
      </c>
      <c r="BC76" s="35">
        <f t="shared" si="574"/>
        <v>1.0421874999999998</v>
      </c>
      <c r="BD76" s="35">
        <f t="shared" si="575"/>
        <v>1.1187499999999999</v>
      </c>
      <c r="BE76" s="35">
        <f t="shared" si="576"/>
        <v>1.0804687499999999</v>
      </c>
      <c r="BF76" s="35">
        <f t="shared" si="577"/>
        <v>6.0806819228686582E-2</v>
      </c>
      <c r="BG76" s="35">
        <f t="shared" si="578"/>
        <v>1.0804687499999999</v>
      </c>
      <c r="BH76" s="35">
        <f t="shared" si="579"/>
        <v>1.1187499999999999</v>
      </c>
      <c r="BI76" s="35">
        <f t="shared" si="580"/>
        <v>1.099609375</v>
      </c>
      <c r="BJ76" s="35">
        <f t="shared" si="581"/>
        <v>1.1757968697151178E-2</v>
      </c>
      <c r="BK76" s="35">
        <f t="shared" si="582"/>
        <v>1.099609375</v>
      </c>
      <c r="BL76" s="35">
        <f t="shared" si="583"/>
        <v>1.1187499999999999</v>
      </c>
      <c r="BM76" s="35">
        <f t="shared" si="584"/>
        <v>1.1091796875</v>
      </c>
      <c r="BN76" s="35">
        <f t="shared" si="585"/>
        <v>-1.1782466505854683E-2</v>
      </c>
      <c r="BO76" s="35">
        <f t="shared" si="586"/>
        <v>1.099609375</v>
      </c>
      <c r="BP76" s="35">
        <f t="shared" si="587"/>
        <v>1.1091796875</v>
      </c>
      <c r="BQ76" s="35">
        <f t="shared" si="588"/>
        <v>1.1043945312500001</v>
      </c>
      <c r="BR76" s="35">
        <f t="shared" si="589"/>
        <v>-9.2170244998412976E-5</v>
      </c>
      <c r="BS76" s="35">
        <f t="shared" si="590"/>
        <v>1.099609375</v>
      </c>
      <c r="BT76" s="35">
        <f t="shared" si="591"/>
        <v>1.1043945312500001</v>
      </c>
      <c r="BU76" s="35">
        <f t="shared" si="592"/>
        <v>1.102001953125</v>
      </c>
      <c r="BV76" s="35">
        <f t="shared" si="593"/>
        <v>5.8127659958289168E-3</v>
      </c>
      <c r="BW76" s="35">
        <f t="shared" si="594"/>
        <v>1.102001953125</v>
      </c>
      <c r="BX76" s="35">
        <f t="shared" si="595"/>
        <v>1.1043945312500001</v>
      </c>
      <c r="BY76" s="35">
        <f t="shared" si="596"/>
        <v>1.1031982421875002</v>
      </c>
      <c r="BZ76" s="35">
        <f t="shared" si="597"/>
        <v>2.8552837801358866E-3</v>
      </c>
      <c r="CA76" s="35">
        <f t="shared" si="598"/>
        <v>1.1031982421875002</v>
      </c>
      <c r="CB76" s="35">
        <f t="shared" si="599"/>
        <v>1.1043945312500001</v>
      </c>
      <c r="CC76" s="35">
        <f t="shared" si="600"/>
        <v>1.1037963867187501</v>
      </c>
      <c r="CD76" s="35">
        <f t="shared" si="601"/>
        <v>1.380305636462742E-3</v>
      </c>
      <c r="CE76" s="35">
        <f t="shared" si="602"/>
        <v>1.1037963867187501</v>
      </c>
      <c r="CF76" s="35">
        <f t="shared" si="603"/>
        <v>1.1043945312500001</v>
      </c>
      <c r="CG76" s="35">
        <f t="shared" si="604"/>
        <v>1.104095458984375</v>
      </c>
      <c r="CH76" s="35">
        <f t="shared" si="605"/>
        <v>6.4375521149639958E-4</v>
      </c>
      <c r="CI76" s="35">
        <f t="shared" si="606"/>
        <v>1.104095458984375</v>
      </c>
      <c r="CJ76" s="35">
        <f t="shared" si="607"/>
        <v>1.1043945312500001</v>
      </c>
      <c r="CK76" s="35">
        <f t="shared" si="608"/>
        <v>1.1042449951171875</v>
      </c>
      <c r="CL76" s="35">
        <f t="shared" si="609"/>
        <v>2.7571439947271514E-4</v>
      </c>
      <c r="CM76" s="35">
        <f t="shared" si="610"/>
        <v>1.1042449951171875</v>
      </c>
      <c r="CN76" s="35">
        <f t="shared" si="611"/>
        <v>1.1043945312500001</v>
      </c>
      <c r="CO76" s="35">
        <f t="shared" si="612"/>
        <v>1.1043197631835939</v>
      </c>
      <c r="CP76" s="35">
        <f t="shared" si="613"/>
        <v>9.1752560950952855E-5</v>
      </c>
      <c r="CQ76" s="35">
        <f t="shared" si="614"/>
        <v>1.1043197631835939</v>
      </c>
      <c r="CR76" s="35">
        <f t="shared" si="615"/>
        <v>1.1043945312500001</v>
      </c>
      <c r="CS76" s="35">
        <f t="shared" si="616"/>
        <v>1.104357147216797</v>
      </c>
      <c r="CT76" s="35">
        <f t="shared" si="617"/>
        <v>-2.1372051273171877E-7</v>
      </c>
      <c r="CU76" s="35">
        <f t="shared" si="618"/>
        <v>1.1043197631835939</v>
      </c>
      <c r="CV76" s="35">
        <f t="shared" si="619"/>
        <v>1.104357147216797</v>
      </c>
      <c r="CW76" s="35">
        <f t="shared" si="620"/>
        <v>1.1043384552001956</v>
      </c>
      <c r="CX76" s="35">
        <f t="shared" si="621"/>
        <v>4.5768200523488289E-5</v>
      </c>
      <c r="CY76" s="35">
        <f t="shared" si="622"/>
        <v>1.1043384552001956</v>
      </c>
      <c r="CZ76" s="35">
        <f t="shared" si="623"/>
        <v>1.104357147216797</v>
      </c>
      <c r="DA76" s="35">
        <f t="shared" si="624"/>
        <v>1.1043478012084962</v>
      </c>
      <c r="DB76" s="35">
        <f t="shared" si="625"/>
        <v>2.2776935090673689E-5</v>
      </c>
      <c r="DC76" s="35">
        <f t="shared" si="626"/>
        <v>1.1043478012084962</v>
      </c>
      <c r="DD76" s="35">
        <f t="shared" si="627"/>
        <v>1.104357147216797</v>
      </c>
      <c r="DE76" s="35">
        <f t="shared" si="628"/>
        <v>1.1043524742126465</v>
      </c>
      <c r="DF76" s="35">
        <f t="shared" si="629"/>
        <v>1.1281531061779759E-5</v>
      </c>
      <c r="DG76" s="35">
        <f t="shared" si="630"/>
        <v>1.1043524742126465</v>
      </c>
      <c r="DH76" s="35">
        <f t="shared" si="631"/>
        <v>1.104357147216797</v>
      </c>
      <c r="DI76" s="35">
        <f t="shared" si="632"/>
        <v>1.1043548107147219</v>
      </c>
      <c r="DJ76" s="35">
        <f t="shared" si="633"/>
        <v>5.5338862172682468E-6</v>
      </c>
      <c r="DK76" s="35">
        <f t="shared" si="634"/>
        <v>1.1043548107147219</v>
      </c>
      <c r="DL76" s="35">
        <f t="shared" si="635"/>
        <v>1.104357147216797</v>
      </c>
      <c r="DM76" s="35">
        <f t="shared" si="636"/>
        <v>1.1043559789657595</v>
      </c>
      <c r="DN76" s="35">
        <f t="shared" si="637"/>
        <v>2.6600780873575758E-6</v>
      </c>
      <c r="DO76" s="35">
        <f t="shared" si="638"/>
        <v>1.1043559789657595</v>
      </c>
      <c r="DP76" s="35">
        <f t="shared" si="639"/>
        <v>1.104357147216797</v>
      </c>
      <c r="DQ76" s="35">
        <f t="shared" si="640"/>
        <v>1.1043565630912782</v>
      </c>
      <c r="DR76" s="35">
        <f t="shared" si="641"/>
        <v>1.223177596765268E-6</v>
      </c>
      <c r="DS76" s="35">
        <f t="shared" si="642"/>
        <v>1.1043565630912782</v>
      </c>
      <c r="DT76" s="35">
        <f t="shared" si="643"/>
        <v>1.104357147216797</v>
      </c>
      <c r="DU76" s="35">
        <f t="shared" si="644"/>
        <v>1.1043568551540375</v>
      </c>
      <c r="DV76" s="35">
        <f t="shared" si="645"/>
        <v>5.047282447545598E-7</v>
      </c>
      <c r="DW76" s="35">
        <f t="shared" si="646"/>
        <v>1.1043568551540375</v>
      </c>
      <c r="DX76" s="35">
        <f t="shared" si="647"/>
        <v>1.104357147216797</v>
      </c>
      <c r="DY76" s="35">
        <f t="shared" si="648"/>
        <v>1.1043570011854174</v>
      </c>
      <c r="DZ76" s="35">
        <f t="shared" si="649"/>
        <v>1.455037912378998E-7</v>
      </c>
      <c r="EA76" s="35">
        <f t="shared" si="650"/>
        <v>1.1043570011854174</v>
      </c>
      <c r="EB76" s="35">
        <f t="shared" si="651"/>
        <v>1.104357147216797</v>
      </c>
      <c r="EC76" s="35">
        <f t="shared" si="652"/>
        <v>1.1043570742011073</v>
      </c>
      <c r="ED76" s="35">
        <f t="shared" si="653"/>
        <v>-3.4108379898256658E-8</v>
      </c>
      <c r="EE76" s="35">
        <f t="shared" si="654"/>
        <v>1.1043570011854174</v>
      </c>
      <c r="EF76" s="35">
        <f t="shared" si="655"/>
        <v>1.1043570742011073</v>
      </c>
      <c r="EG76" s="35">
        <f t="shared" si="656"/>
        <v>1.1043570376932623</v>
      </c>
      <c r="EH76" s="35">
        <f t="shared" si="657"/>
        <v>5.5697700895862567E-8</v>
      </c>
      <c r="EI76" s="35">
        <f t="shared" si="658"/>
        <v>1.1043570376932623</v>
      </c>
      <c r="EJ76" s="35">
        <f t="shared" si="659"/>
        <v>1.1043570742011073</v>
      </c>
      <c r="EK76" s="35">
        <f t="shared" si="660"/>
        <v>1.1043570559471849</v>
      </c>
      <c r="EL76" s="35">
        <f t="shared" si="661"/>
        <v>1.0794659610624535E-8</v>
      </c>
      <c r="EM76" s="35">
        <f t="shared" si="662"/>
        <v>1.1043570559471849</v>
      </c>
      <c r="EN76" s="35">
        <f t="shared" si="663"/>
        <v>1.1043570742011073</v>
      </c>
      <c r="EO76" s="35">
        <f t="shared" si="664"/>
        <v>1.1043570650741461</v>
      </c>
      <c r="EP76" s="35">
        <f t="shared" si="665"/>
        <v>-1.1656860698927574E-8</v>
      </c>
      <c r="EQ76" s="35">
        <f t="shared" si="666"/>
        <v>1.1043570559471849</v>
      </c>
      <c r="ER76" s="35">
        <f t="shared" si="667"/>
        <v>1.1043570650741461</v>
      </c>
      <c r="ES76" s="35">
        <f t="shared" si="668"/>
        <v>1.1043570605106656</v>
      </c>
      <c r="ET76" s="35">
        <f t="shared" si="669"/>
        <v>-4.3110126579648522E-10</v>
      </c>
      <c r="EU76" s="35">
        <f t="shared" si="670"/>
        <v>1.1043570559471849</v>
      </c>
      <c r="EV76" s="35">
        <f t="shared" si="671"/>
        <v>1.1043570605106656</v>
      </c>
      <c r="EW76" s="35">
        <f t="shared" si="672"/>
        <v>1.1043570582289253</v>
      </c>
      <c r="EX76" s="35">
        <f t="shared" si="673"/>
        <v>5.1817790058805713E-9</v>
      </c>
      <c r="EY76" s="35">
        <f t="shared" si="674"/>
        <v>1.1043570582289253</v>
      </c>
      <c r="EZ76" s="35">
        <f t="shared" si="675"/>
        <v>1.1043570605106656</v>
      </c>
      <c r="FA76" s="10">
        <v>9.9999999999999995E-7</v>
      </c>
      <c r="FB76" s="10">
        <v>0.99990000000000001</v>
      </c>
      <c r="FC76" s="35">
        <f t="shared" si="676"/>
        <v>0.49995050000000002</v>
      </c>
      <c r="FD76" s="35">
        <f t="shared" si="677"/>
        <v>-0.78136174018647897</v>
      </c>
      <c r="FE76" s="35">
        <f t="shared" si="678"/>
        <v>9.9999999999999995E-7</v>
      </c>
      <c r="FF76" s="35">
        <f t="shared" si="679"/>
        <v>0.49995050000000002</v>
      </c>
      <c r="FG76" s="35">
        <f t="shared" si="680"/>
        <v>0.24997575</v>
      </c>
      <c r="FH76" s="35">
        <f t="shared" si="681"/>
        <v>-0.63302123162416679</v>
      </c>
      <c r="FI76" s="35">
        <f t="shared" si="682"/>
        <v>9.9999999999999995E-7</v>
      </c>
      <c r="FJ76" s="35">
        <f t="shared" si="683"/>
        <v>0.24997575</v>
      </c>
      <c r="FK76" s="35">
        <f t="shared" si="684"/>
        <v>0.124988375</v>
      </c>
      <c r="FL76" s="35">
        <f t="shared" si="685"/>
        <v>-0.46051912987569987</v>
      </c>
      <c r="FM76" s="35">
        <f t="shared" si="686"/>
        <v>9.9999999999999995E-7</v>
      </c>
      <c r="FN76" s="35">
        <f t="shared" si="687"/>
        <v>0.124988375</v>
      </c>
      <c r="FO76" s="35">
        <f t="shared" si="688"/>
        <v>6.24946875E-2</v>
      </c>
      <c r="FP76" s="35">
        <f t="shared" si="689"/>
        <v>-0.2865757915175815</v>
      </c>
      <c r="FQ76" s="35">
        <f t="shared" si="690"/>
        <v>9.9999999999999995E-7</v>
      </c>
      <c r="FR76" s="35">
        <f t="shared" si="691"/>
        <v>6.24946875E-2</v>
      </c>
      <c r="FS76" s="35">
        <f t="shared" si="692"/>
        <v>3.124784375E-2</v>
      </c>
      <c r="FT76" s="35">
        <f t="shared" si="693"/>
        <v>-0.1363626112436781</v>
      </c>
      <c r="FU76" s="35">
        <f t="shared" si="694"/>
        <v>9.9999999999999995E-7</v>
      </c>
      <c r="FV76" s="35">
        <f t="shared" si="695"/>
        <v>3.124784375E-2</v>
      </c>
      <c r="FW76" s="35">
        <f t="shared" si="696"/>
        <v>1.5624421875000001E-2</v>
      </c>
      <c r="FX76" s="35">
        <f t="shared" si="697"/>
        <v>-2.6050585498350709E-2</v>
      </c>
      <c r="FY76" s="35">
        <f t="shared" si="698"/>
        <v>9.9999999999999995E-7</v>
      </c>
      <c r="FZ76" s="35">
        <f t="shared" si="699"/>
        <v>1.5624421875000001E-2</v>
      </c>
      <c r="GA76" s="35">
        <f t="shared" si="700"/>
        <v>7.8127109375E-3</v>
      </c>
      <c r="GB76" s="35">
        <f t="shared" si="701"/>
        <v>4.5509315935629457E-2</v>
      </c>
      <c r="GC76" s="35">
        <f t="shared" si="702"/>
        <v>7.8127109375E-3</v>
      </c>
      <c r="GD76" s="35">
        <f t="shared" si="703"/>
        <v>1.5624421875000001E-2</v>
      </c>
      <c r="GE76" s="35">
        <f t="shared" si="704"/>
        <v>1.171856640625E-2</v>
      </c>
      <c r="GF76" s="35">
        <f t="shared" si="705"/>
        <v>7.8278718440936146E-3</v>
      </c>
      <c r="GG76" s="35">
        <f t="shared" si="706"/>
        <v>1.171856640625E-2</v>
      </c>
      <c r="GH76" s="35">
        <f t="shared" si="707"/>
        <v>1.5624421875000001E-2</v>
      </c>
      <c r="GI76" s="35">
        <f t="shared" si="708"/>
        <v>1.3671494140625001E-2</v>
      </c>
      <c r="GJ76" s="35">
        <f t="shared" si="709"/>
        <v>-9.5229597283059686E-3</v>
      </c>
      <c r="GK76" s="35">
        <f t="shared" si="710"/>
        <v>1.171856640625E-2</v>
      </c>
      <c r="GL76" s="35">
        <f t="shared" si="711"/>
        <v>1.3671494140625001E-2</v>
      </c>
      <c r="GM76" s="35">
        <f t="shared" si="712"/>
        <v>1.2695030273437501E-2</v>
      </c>
      <c r="GN76" s="35">
        <f t="shared" si="713"/>
        <v>-9.5691355732396843E-4</v>
      </c>
      <c r="GO76" s="35">
        <f t="shared" si="714"/>
        <v>1.171856640625E-2</v>
      </c>
      <c r="GP76" s="35">
        <f t="shared" si="715"/>
        <v>1.2695030273437501E-2</v>
      </c>
      <c r="GQ76" s="35">
        <f t="shared" si="716"/>
        <v>1.2206798339843752E-2</v>
      </c>
      <c r="GR76" s="35">
        <f t="shared" si="717"/>
        <v>3.4072223018679626E-3</v>
      </c>
      <c r="GS76" s="35">
        <f t="shared" si="718"/>
        <v>1.2206798339843752E-2</v>
      </c>
      <c r="GT76" s="35">
        <f t="shared" si="719"/>
        <v>1.2695030273437501E-2</v>
      </c>
      <c r="GU76" s="35">
        <f t="shared" si="720"/>
        <v>1.2450914306640627E-2</v>
      </c>
      <c r="GV76" s="35">
        <f t="shared" si="721"/>
        <v>1.2182098711344125E-3</v>
      </c>
      <c r="GW76" s="35">
        <f t="shared" si="722"/>
        <v>1.2450914306640627E-2</v>
      </c>
      <c r="GX76" s="35">
        <f t="shared" si="723"/>
        <v>1.2695030273437501E-2</v>
      </c>
      <c r="GY76" s="35">
        <f t="shared" si="724"/>
        <v>1.2572972290039064E-2</v>
      </c>
      <c r="GZ76" s="35">
        <f t="shared" si="725"/>
        <v>1.2892649918883059E-4</v>
      </c>
      <c r="HA76" s="35">
        <f t="shared" si="726"/>
        <v>1.2572972290039064E-2</v>
      </c>
      <c r="HB76" s="35">
        <f t="shared" si="727"/>
        <v>1.2695030273437501E-2</v>
      </c>
      <c r="HC76" s="35">
        <f t="shared" si="728"/>
        <v>1.2634001281738283E-2</v>
      </c>
      <c r="HD76" s="35">
        <f t="shared" si="729"/>
        <v>-4.1442216479914418E-4</v>
      </c>
      <c r="HE76" s="35">
        <f t="shared" si="730"/>
        <v>1.2572972290039064E-2</v>
      </c>
      <c r="HF76" s="35">
        <f t="shared" si="731"/>
        <v>1.2634001281738283E-2</v>
      </c>
      <c r="HG76" s="35">
        <f t="shared" si="732"/>
        <v>1.2603486785888674E-2</v>
      </c>
      <c r="HH76" s="35">
        <f t="shared" si="733"/>
        <v>-1.4285521277057622E-4</v>
      </c>
      <c r="HI76" s="35">
        <f t="shared" si="734"/>
        <v>1.2572972290039064E-2</v>
      </c>
      <c r="HJ76" s="35">
        <f t="shared" si="735"/>
        <v>1.2603486785888674E-2</v>
      </c>
      <c r="HK76" s="35">
        <f t="shared" si="736"/>
        <v>1.2588229537963869E-2</v>
      </c>
      <c r="HL76" s="35">
        <f t="shared" si="737"/>
        <v>-6.9912295247442913E-6</v>
      </c>
      <c r="HM76" s="35">
        <f t="shared" si="738"/>
        <v>1.2572972290039064E-2</v>
      </c>
      <c r="HN76" s="35">
        <f t="shared" si="739"/>
        <v>1.2588229537963869E-2</v>
      </c>
      <c r="HO76" s="35">
        <f t="shared" si="740"/>
        <v>1.2580600914001466E-2</v>
      </c>
      <c r="HP76" s="35">
        <f t="shared" si="741"/>
        <v>6.0960913172314335E-5</v>
      </c>
      <c r="HQ76" s="35">
        <f t="shared" si="742"/>
        <v>1.2580600914001466E-2</v>
      </c>
      <c r="HR76" s="35">
        <f t="shared" si="743"/>
        <v>1.2588229537963869E-2</v>
      </c>
      <c r="HS76" s="35">
        <f t="shared" si="744"/>
        <v>1.2584415225982668E-2</v>
      </c>
      <c r="HT76" s="35">
        <f t="shared" si="745"/>
        <v>2.6983161843352477E-5</v>
      </c>
      <c r="HU76" s="35">
        <f t="shared" si="746"/>
        <v>1.2584415225982668E-2</v>
      </c>
      <c r="HV76" s="35">
        <f t="shared" si="747"/>
        <v>1.2588229537963869E-2</v>
      </c>
      <c r="HW76" s="35">
        <f t="shared" si="748"/>
        <v>1.2586322381973269E-2</v>
      </c>
      <c r="HX76" s="35">
        <f t="shared" si="749"/>
        <v>9.9955462193879185E-6</v>
      </c>
      <c r="HY76" s="35">
        <f t="shared" si="750"/>
        <v>1.2586322381973269E-2</v>
      </c>
      <c r="HZ76" s="35">
        <f t="shared" si="751"/>
        <v>1.2588229537963869E-2</v>
      </c>
      <c r="IA76" s="35">
        <f t="shared" si="752"/>
        <v>1.2587275959968568E-2</v>
      </c>
      <c r="IB76" s="35">
        <f t="shared" si="753"/>
        <v>1.502053367907763E-6</v>
      </c>
      <c r="IC76" s="35">
        <f t="shared" si="754"/>
        <v>1.2587275959968568E-2</v>
      </c>
      <c r="ID76" s="35">
        <f t="shared" si="755"/>
        <v>1.2588229537963869E-2</v>
      </c>
      <c r="IE76" s="35">
        <f t="shared" si="756"/>
        <v>1.258775274896622E-2</v>
      </c>
      <c r="IF76" s="35">
        <f t="shared" si="757"/>
        <v>-2.7446143215925645E-6</v>
      </c>
      <c r="IG76" s="35">
        <f t="shared" si="758"/>
        <v>1.2587275959968568E-2</v>
      </c>
      <c r="IH76" s="35">
        <f t="shared" si="759"/>
        <v>1.258775274896622E-2</v>
      </c>
      <c r="II76" s="35">
        <f t="shared" si="760"/>
        <v>1.2587514354467394E-2</v>
      </c>
      <c r="IJ76" s="35">
        <f t="shared" si="761"/>
        <v>-6.2128703903763238E-7</v>
      </c>
      <c r="IK76" s="35">
        <f t="shared" si="762"/>
        <v>1.2587275959968568E-2</v>
      </c>
      <c r="IL76" s="35">
        <f t="shared" si="763"/>
        <v>1.2587514354467394E-2</v>
      </c>
      <c r="IM76" s="35">
        <f t="shared" si="764"/>
        <v>1.2587395157217981E-2</v>
      </c>
      <c r="IN76" s="35">
        <f t="shared" si="765"/>
        <v>4.403815252462806E-7</v>
      </c>
      <c r="IO76" s="35">
        <f t="shared" si="766"/>
        <v>1.2587395157217981E-2</v>
      </c>
      <c r="IP76" s="35">
        <f t="shared" si="767"/>
        <v>1.2587514354467394E-2</v>
      </c>
      <c r="IQ76" s="35">
        <f t="shared" si="768"/>
        <v>1.2587454755842688E-2</v>
      </c>
      <c r="IR76" s="35">
        <f t="shared" si="769"/>
        <v>-9.045316673450543E-8</v>
      </c>
      <c r="IS76" s="35">
        <f t="shared" si="770"/>
        <v>1.2587395157217981E-2</v>
      </c>
      <c r="IT76" s="35">
        <f t="shared" si="771"/>
        <v>1.2587454755842688E-2</v>
      </c>
      <c r="IU76" s="35">
        <f t="shared" si="772"/>
        <v>1.2587424956530334E-2</v>
      </c>
      <c r="IV76" s="35">
        <f t="shared" si="773"/>
        <v>1.749640763382132E-7</v>
      </c>
      <c r="IW76" s="35">
        <f t="shared" si="774"/>
        <v>1.2587424956530334E-2</v>
      </c>
      <c r="IX76" s="35">
        <f t="shared" si="775"/>
        <v>1.2587454755842688E-2</v>
      </c>
      <c r="IY76" s="35">
        <f t="shared" si="776"/>
        <v>1.2587439856186511E-2</v>
      </c>
      <c r="IZ76" s="35">
        <f t="shared" si="777"/>
        <v>4.2255428933657413E-8</v>
      </c>
      <c r="JA76" s="35">
        <f t="shared" si="778"/>
        <v>1.2587439856186511E-2</v>
      </c>
      <c r="JB76" s="35">
        <f t="shared" si="779"/>
        <v>1.2587454755842688E-2</v>
      </c>
      <c r="JC76" s="35">
        <f t="shared" si="780"/>
        <v>1.2587447306014601E-2</v>
      </c>
      <c r="JD76" s="35">
        <f t="shared" si="781"/>
        <v>-2.4098875450739854E-8</v>
      </c>
      <c r="JE76" s="35">
        <f t="shared" si="782"/>
        <v>1.2587439856186511E-2</v>
      </c>
      <c r="JF76" s="35">
        <f t="shared" si="783"/>
        <v>1.2587447306014601E-2</v>
      </c>
      <c r="JG76" s="35">
        <f t="shared" si="784"/>
        <v>1.2587443581100557E-2</v>
      </c>
      <c r="JH76" s="35">
        <f t="shared" si="785"/>
        <v>9.0782754647023012E-9</v>
      </c>
      <c r="JI76" s="35">
        <f t="shared" si="786"/>
        <v>1.2587443581100557E-2</v>
      </c>
      <c r="JJ76" s="35">
        <f t="shared" si="787"/>
        <v>1.2587447306014601E-2</v>
      </c>
      <c r="JK76" s="35">
        <f t="shared" si="788"/>
        <v>1.2587445443557579E-2</v>
      </c>
      <c r="JL76" s="35">
        <f t="shared" si="789"/>
        <v>-7.5103008256860448E-9</v>
      </c>
      <c r="JM76" s="35">
        <f t="shared" si="790"/>
        <v>1.2587443581100557E-2</v>
      </c>
      <c r="JN76" s="35">
        <f t="shared" si="791"/>
        <v>1.2587445443557579E-2</v>
      </c>
      <c r="JO76" s="35">
        <f t="shared" si="792"/>
        <v>1.2587444512329068E-2</v>
      </c>
      <c r="JP76" s="35">
        <f t="shared" si="793"/>
        <v>7.8398776359733802E-10</v>
      </c>
      <c r="JQ76" s="35">
        <f t="shared" si="794"/>
        <v>1.2587444512329068E-2</v>
      </c>
      <c r="JR76" s="35">
        <f t="shared" si="795"/>
        <v>1.2587445443557579E-2</v>
      </c>
      <c r="JS76" s="35">
        <f t="shared" si="796"/>
        <v>1.2587444977943323E-2</v>
      </c>
      <c r="JT76" s="35">
        <f t="shared" si="797"/>
        <v>-3.3631553097990263E-9</v>
      </c>
      <c r="JU76" s="35">
        <f t="shared" si="798"/>
        <v>1.2587444512329068E-2</v>
      </c>
      <c r="JV76" s="35">
        <f t="shared" si="799"/>
        <v>1.2587444977943323E-2</v>
      </c>
      <c r="JW76" s="35">
        <f t="shared" si="800"/>
        <v>1.2587444745136196E-2</v>
      </c>
      <c r="JX76" s="35">
        <f t="shared" si="801"/>
        <v>-1.2895837731008442E-9</v>
      </c>
      <c r="JY76" s="35">
        <f t="shared" si="802"/>
        <v>1.2587444512329068E-2</v>
      </c>
      <c r="JZ76" s="35">
        <f t="shared" si="803"/>
        <v>1.2587444745136196E-2</v>
      </c>
      <c r="KA76" s="35">
        <f t="shared" si="804"/>
        <v>1.1043570593697956</v>
      </c>
      <c r="KB76" s="35">
        <f t="shared" si="805"/>
        <v>1.2587444628732632E-2</v>
      </c>
    </row>
    <row r="77" spans="1:288" ht="15" customHeight="1" x14ac:dyDescent="0.3">
      <c r="A77" s="30">
        <f>Odds_Input!A77</f>
        <v>69</v>
      </c>
      <c r="B77" s="7" t="str">
        <f>Odds_Input!B77</f>
        <v>DIV_CENTRAL</v>
      </c>
      <c r="C77" s="7" t="str">
        <f>Odds_Input!C77</f>
        <v>Milwaukee Bucks</v>
      </c>
      <c r="D77" s="7" t="str">
        <f>Odds_Input!D77</f>
        <v>YES</v>
      </c>
      <c r="E77" s="31" t="str">
        <f>Odds_Input!E77</f>
        <v>-</v>
      </c>
      <c r="F77" s="32">
        <f>Odds_Input!F77</f>
        <v>16000</v>
      </c>
      <c r="G77" s="6" t="str">
        <f t="shared" si="533"/>
        <v>DIV_CENTRAL</v>
      </c>
      <c r="H77" s="14">
        <f t="shared" si="534"/>
        <v>161</v>
      </c>
      <c r="I77" s="33">
        <f t="shared" si="535"/>
        <v>6.2111801242236021E-3</v>
      </c>
      <c r="J77" s="17">
        <f t="shared" si="536"/>
        <v>1</v>
      </c>
      <c r="K77" s="17">
        <f t="shared" si="537"/>
        <v>5</v>
      </c>
      <c r="L77" s="18">
        <f t="shared" si="538"/>
        <v>1.1224660395565</v>
      </c>
      <c r="M77" s="34">
        <f t="shared" si="539"/>
        <v>0.12246603955650004</v>
      </c>
      <c r="N77" s="33">
        <f t="shared" si="540"/>
        <v>5.5335127347618598E-3</v>
      </c>
      <c r="O77" s="33">
        <f t="shared" si="541"/>
        <v>3.4908973135084303E-3</v>
      </c>
      <c r="P77" s="33">
        <f t="shared" si="542"/>
        <v>7.5523904800889384E-4</v>
      </c>
      <c r="Q77" s="33">
        <f t="shared" si="543"/>
        <v>7.5523904800889384E-4</v>
      </c>
      <c r="R77" s="35">
        <f t="shared" si="544"/>
        <v>1.1133922946406529</v>
      </c>
      <c r="S77" s="35">
        <f t="shared" si="545"/>
        <v>4.4786884626375145E-2</v>
      </c>
      <c r="X77" s="6" t="s">
        <v>287</v>
      </c>
      <c r="Y77" s="6">
        <f t="shared" si="546"/>
        <v>1</v>
      </c>
      <c r="Z77" s="18">
        <f t="shared" si="547"/>
        <v>1.1760204081632653</v>
      </c>
      <c r="AA77" s="10">
        <v>0.2</v>
      </c>
      <c r="AB77" s="10">
        <v>10</v>
      </c>
      <c r="AC77" s="35">
        <f t="shared" si="548"/>
        <v>5.0999999999999996</v>
      </c>
      <c r="AD77" s="35">
        <f t="shared" si="549"/>
        <v>-0.98271935526602749</v>
      </c>
      <c r="AE77" s="35">
        <f t="shared" si="550"/>
        <v>0.2</v>
      </c>
      <c r="AF77" s="35">
        <f t="shared" si="551"/>
        <v>5.0999999999999996</v>
      </c>
      <c r="AG77" s="35">
        <f t="shared" si="552"/>
        <v>2.65</v>
      </c>
      <c r="AH77" s="35">
        <f t="shared" si="553"/>
        <v>-0.80418578845590627</v>
      </c>
      <c r="AI77" s="35">
        <f t="shared" si="554"/>
        <v>0.2</v>
      </c>
      <c r="AJ77" s="35">
        <f t="shared" si="555"/>
        <v>2.65</v>
      </c>
      <c r="AK77" s="35">
        <f t="shared" si="556"/>
        <v>1.425</v>
      </c>
      <c r="AL77" s="35">
        <f t="shared" si="557"/>
        <v>-0.28429921976382511</v>
      </c>
      <c r="AM77" s="35">
        <f t="shared" si="558"/>
        <v>0.2</v>
      </c>
      <c r="AN77" s="35">
        <f t="shared" si="559"/>
        <v>1.425</v>
      </c>
      <c r="AO77" s="35">
        <f t="shared" si="560"/>
        <v>0.8125</v>
      </c>
      <c r="AP77" s="35">
        <f t="shared" si="561"/>
        <v>0.48762286283551282</v>
      </c>
      <c r="AQ77" s="35">
        <f t="shared" si="562"/>
        <v>0.8125</v>
      </c>
      <c r="AR77" s="35">
        <f t="shared" si="563"/>
        <v>1.425</v>
      </c>
      <c r="AS77" s="35">
        <f t="shared" si="564"/>
        <v>1.1187499999999999</v>
      </c>
      <c r="AT77" s="35">
        <f t="shared" si="565"/>
        <v>1.9155036338086795E-2</v>
      </c>
      <c r="AU77" s="35">
        <f t="shared" si="566"/>
        <v>1.1187499999999999</v>
      </c>
      <c r="AV77" s="35">
        <f t="shared" si="567"/>
        <v>1.425</v>
      </c>
      <c r="AW77" s="35">
        <f t="shared" si="568"/>
        <v>1.2718750000000001</v>
      </c>
      <c r="AX77" s="35">
        <f t="shared" si="569"/>
        <v>-0.14808257090101018</v>
      </c>
      <c r="AY77" s="35">
        <f t="shared" si="570"/>
        <v>1.1187499999999999</v>
      </c>
      <c r="AZ77" s="35">
        <f t="shared" si="571"/>
        <v>1.2718750000000001</v>
      </c>
      <c r="BA77" s="35">
        <f t="shared" si="572"/>
        <v>1.1953125</v>
      </c>
      <c r="BB77" s="35">
        <f t="shared" si="573"/>
        <v>-6.8853096182439621E-2</v>
      </c>
      <c r="BC77" s="35">
        <f t="shared" si="574"/>
        <v>1.1187499999999999</v>
      </c>
      <c r="BD77" s="35">
        <f t="shared" si="575"/>
        <v>1.1953125</v>
      </c>
      <c r="BE77" s="35">
        <f t="shared" si="576"/>
        <v>1.15703125</v>
      </c>
      <c r="BF77" s="35">
        <f t="shared" si="577"/>
        <v>-2.6019625948580982E-2</v>
      </c>
      <c r="BG77" s="35">
        <f t="shared" si="578"/>
        <v>1.1187499999999999</v>
      </c>
      <c r="BH77" s="35">
        <f t="shared" si="579"/>
        <v>1.15703125</v>
      </c>
      <c r="BI77" s="35">
        <f t="shared" si="580"/>
        <v>1.1378906249999998</v>
      </c>
      <c r="BJ77" s="35">
        <f t="shared" si="581"/>
        <v>-3.7347671060727894E-3</v>
      </c>
      <c r="BK77" s="35">
        <f t="shared" si="582"/>
        <v>1.1187499999999999</v>
      </c>
      <c r="BL77" s="35">
        <f t="shared" si="583"/>
        <v>1.1378906249999998</v>
      </c>
      <c r="BM77" s="35">
        <f t="shared" si="584"/>
        <v>1.1283203124999999</v>
      </c>
      <c r="BN77" s="35">
        <f t="shared" si="585"/>
        <v>7.6332440684718783E-3</v>
      </c>
      <c r="BO77" s="35">
        <f t="shared" si="586"/>
        <v>1.1283203124999999</v>
      </c>
      <c r="BP77" s="35">
        <f t="shared" si="587"/>
        <v>1.1378906249999998</v>
      </c>
      <c r="BQ77" s="35">
        <f t="shared" si="588"/>
        <v>1.1331054687499997</v>
      </c>
      <c r="BR77" s="35">
        <f t="shared" si="589"/>
        <v>1.9301769538253577E-3</v>
      </c>
      <c r="BS77" s="35">
        <f t="shared" si="590"/>
        <v>1.1331054687499997</v>
      </c>
      <c r="BT77" s="35">
        <f t="shared" si="591"/>
        <v>1.1378906249999998</v>
      </c>
      <c r="BU77" s="35">
        <f t="shared" si="592"/>
        <v>1.1354980468749998</v>
      </c>
      <c r="BV77" s="35">
        <f t="shared" si="593"/>
        <v>-9.0704050059586816E-4</v>
      </c>
      <c r="BW77" s="35">
        <f t="shared" si="594"/>
        <v>1.1331054687499997</v>
      </c>
      <c r="BX77" s="35">
        <f t="shared" si="595"/>
        <v>1.1354980468749998</v>
      </c>
      <c r="BY77" s="35">
        <f t="shared" si="596"/>
        <v>1.1343017578124996</v>
      </c>
      <c r="BZ77" s="35">
        <f t="shared" si="597"/>
        <v>5.1037938385789516E-4</v>
      </c>
      <c r="CA77" s="35">
        <f t="shared" si="598"/>
        <v>1.1343017578124996</v>
      </c>
      <c r="CB77" s="35">
        <f t="shared" si="599"/>
        <v>1.1354980468749998</v>
      </c>
      <c r="CC77" s="35">
        <f t="shared" si="600"/>
        <v>1.1348999023437498</v>
      </c>
      <c r="CD77" s="35">
        <f t="shared" si="601"/>
        <v>-1.986274577279179E-4</v>
      </c>
      <c r="CE77" s="35">
        <f t="shared" si="602"/>
        <v>1.1343017578124996</v>
      </c>
      <c r="CF77" s="35">
        <f t="shared" si="603"/>
        <v>1.1348999023437498</v>
      </c>
      <c r="CG77" s="35">
        <f t="shared" si="604"/>
        <v>1.1346008300781247</v>
      </c>
      <c r="CH77" s="35">
        <f t="shared" si="605"/>
        <v>1.5580169934037436E-4</v>
      </c>
      <c r="CI77" s="35">
        <f t="shared" si="606"/>
        <v>1.1346008300781247</v>
      </c>
      <c r="CJ77" s="35">
        <f t="shared" si="607"/>
        <v>1.1348999023437498</v>
      </c>
      <c r="CK77" s="35">
        <f t="shared" si="608"/>
        <v>1.1347503662109373</v>
      </c>
      <c r="CL77" s="35">
        <f t="shared" si="609"/>
        <v>-2.1431440262453805E-5</v>
      </c>
      <c r="CM77" s="35">
        <f t="shared" si="610"/>
        <v>1.1346008300781247</v>
      </c>
      <c r="CN77" s="35">
        <f t="shared" si="611"/>
        <v>1.1347503662109373</v>
      </c>
      <c r="CO77" s="35">
        <f t="shared" si="612"/>
        <v>1.1346755981445309</v>
      </c>
      <c r="CP77" s="35">
        <f t="shared" si="613"/>
        <v>6.7180488664275728E-5</v>
      </c>
      <c r="CQ77" s="35">
        <f t="shared" si="614"/>
        <v>1.1346755981445309</v>
      </c>
      <c r="CR77" s="35">
        <f t="shared" si="615"/>
        <v>1.1347503662109373</v>
      </c>
      <c r="CS77" s="35">
        <f t="shared" si="616"/>
        <v>1.1347129821777342</v>
      </c>
      <c r="CT77" s="35">
        <f t="shared" si="617"/>
        <v>2.287336405792928E-5</v>
      </c>
      <c r="CU77" s="35">
        <f t="shared" si="618"/>
        <v>1.1347129821777342</v>
      </c>
      <c r="CV77" s="35">
        <f t="shared" si="619"/>
        <v>1.1347503662109373</v>
      </c>
      <c r="CW77" s="35">
        <f t="shared" si="620"/>
        <v>1.1347316741943358</v>
      </c>
      <c r="CX77" s="35">
        <f t="shared" si="621"/>
        <v>7.2067187151247936E-7</v>
      </c>
      <c r="CY77" s="35">
        <f t="shared" si="622"/>
        <v>1.1347316741943358</v>
      </c>
      <c r="CZ77" s="35">
        <f t="shared" si="623"/>
        <v>1.1347503662109373</v>
      </c>
      <c r="DA77" s="35">
        <f t="shared" si="624"/>
        <v>1.1347410202026365</v>
      </c>
      <c r="DB77" s="35">
        <f t="shared" si="625"/>
        <v>-1.0355456700805732E-5</v>
      </c>
      <c r="DC77" s="35">
        <f t="shared" si="626"/>
        <v>1.1347316741943358</v>
      </c>
      <c r="DD77" s="35">
        <f t="shared" si="627"/>
        <v>1.1347410202026365</v>
      </c>
      <c r="DE77" s="35">
        <f t="shared" si="628"/>
        <v>1.1347363471984862</v>
      </c>
      <c r="DF77" s="35">
        <f t="shared" si="629"/>
        <v>-4.8174105410359047E-6</v>
      </c>
      <c r="DG77" s="35">
        <f t="shared" si="630"/>
        <v>1.1347316741943358</v>
      </c>
      <c r="DH77" s="35">
        <f t="shared" si="631"/>
        <v>1.1347363471984862</v>
      </c>
      <c r="DI77" s="35">
        <f t="shared" si="632"/>
        <v>1.134734010696411</v>
      </c>
      <c r="DJ77" s="35">
        <f t="shared" si="633"/>
        <v>-2.0483738665255657E-6</v>
      </c>
      <c r="DK77" s="35">
        <f t="shared" si="634"/>
        <v>1.1347316741943358</v>
      </c>
      <c r="DL77" s="35">
        <f t="shared" si="635"/>
        <v>1.134734010696411</v>
      </c>
      <c r="DM77" s="35">
        <f t="shared" si="636"/>
        <v>1.1347328424453735</v>
      </c>
      <c r="DN77" s="35">
        <f t="shared" si="637"/>
        <v>-6.6385213060016213E-7</v>
      </c>
      <c r="DO77" s="35">
        <f t="shared" si="638"/>
        <v>1.1347316741943358</v>
      </c>
      <c r="DP77" s="35">
        <f t="shared" si="639"/>
        <v>1.1347328424453735</v>
      </c>
      <c r="DQ77" s="35">
        <f t="shared" si="640"/>
        <v>1.1347322583198547</v>
      </c>
      <c r="DR77" s="35">
        <f t="shared" si="641"/>
        <v>2.840958712724273E-8</v>
      </c>
      <c r="DS77" s="35">
        <f t="shared" si="642"/>
        <v>1.1347322583198547</v>
      </c>
      <c r="DT77" s="35">
        <f t="shared" si="643"/>
        <v>1.1347328424453735</v>
      </c>
      <c r="DU77" s="35">
        <f t="shared" si="644"/>
        <v>1.1347325503826142</v>
      </c>
      <c r="DV77" s="35">
        <f t="shared" si="645"/>
        <v>-3.1772134256868867E-7</v>
      </c>
      <c r="DW77" s="35">
        <f t="shared" si="646"/>
        <v>1.1347322583198547</v>
      </c>
      <c r="DX77" s="35">
        <f t="shared" si="647"/>
        <v>1.1347325503826142</v>
      </c>
      <c r="DY77" s="35">
        <f t="shared" si="648"/>
        <v>1.1347324043512343</v>
      </c>
      <c r="DZ77" s="35">
        <f t="shared" si="649"/>
        <v>-1.4465589526224676E-7</v>
      </c>
      <c r="EA77" s="35">
        <f t="shared" si="650"/>
        <v>1.1347322583198547</v>
      </c>
      <c r="EB77" s="35">
        <f t="shared" si="651"/>
        <v>1.1347324043512343</v>
      </c>
      <c r="EC77" s="35">
        <f t="shared" si="652"/>
        <v>1.1347323313355444</v>
      </c>
      <c r="ED77" s="35">
        <f t="shared" si="653"/>
        <v>-5.8123158286349508E-8</v>
      </c>
      <c r="EE77" s="35">
        <f t="shared" si="654"/>
        <v>1.1347322583198547</v>
      </c>
      <c r="EF77" s="35">
        <f t="shared" si="655"/>
        <v>1.1347323313355444</v>
      </c>
      <c r="EG77" s="35">
        <f t="shared" si="656"/>
        <v>1.1347322948276997</v>
      </c>
      <c r="EH77" s="35">
        <f t="shared" si="657"/>
        <v>-1.4856786689776413E-8</v>
      </c>
      <c r="EI77" s="35">
        <f t="shared" si="658"/>
        <v>1.1347322583198547</v>
      </c>
      <c r="EJ77" s="35">
        <f t="shared" si="659"/>
        <v>1.1347322948276997</v>
      </c>
      <c r="EK77" s="35">
        <f t="shared" si="660"/>
        <v>1.1347322765737773</v>
      </c>
      <c r="EL77" s="35">
        <f t="shared" si="661"/>
        <v>6.7763998856662511E-9</v>
      </c>
      <c r="EM77" s="35">
        <f t="shared" si="662"/>
        <v>1.1347322765737773</v>
      </c>
      <c r="EN77" s="35">
        <f t="shared" si="663"/>
        <v>1.1347322948276997</v>
      </c>
      <c r="EO77" s="35">
        <f t="shared" si="664"/>
        <v>1.1347322857007385</v>
      </c>
      <c r="EP77" s="35">
        <f t="shared" si="665"/>
        <v>-4.0401935130773836E-9</v>
      </c>
      <c r="EQ77" s="35">
        <f t="shared" si="666"/>
        <v>1.1347322765737773</v>
      </c>
      <c r="ER77" s="35">
        <f t="shared" si="667"/>
        <v>1.1347322857007385</v>
      </c>
      <c r="ES77" s="35">
        <f t="shared" si="668"/>
        <v>1.134732281137258</v>
      </c>
      <c r="ET77" s="35">
        <f t="shared" si="669"/>
        <v>1.3681029642498288E-9</v>
      </c>
      <c r="EU77" s="35">
        <f t="shared" si="670"/>
        <v>1.134732281137258</v>
      </c>
      <c r="EV77" s="35">
        <f t="shared" si="671"/>
        <v>1.1347322857007385</v>
      </c>
      <c r="EW77" s="35">
        <f t="shared" si="672"/>
        <v>1.1347322834189981</v>
      </c>
      <c r="EX77" s="35">
        <f t="shared" si="673"/>
        <v>-1.3360452744137774E-9</v>
      </c>
      <c r="EY77" s="35">
        <f t="shared" si="674"/>
        <v>1.134732281137258</v>
      </c>
      <c r="EZ77" s="35">
        <f t="shared" si="675"/>
        <v>1.1347322834189981</v>
      </c>
      <c r="FA77" s="10">
        <v>9.9999999999999995E-7</v>
      </c>
      <c r="FB77" s="10">
        <v>0.99990000000000001</v>
      </c>
      <c r="FC77" s="35">
        <f t="shared" si="676"/>
        <v>0.49995050000000002</v>
      </c>
      <c r="FD77" s="35">
        <f t="shared" si="677"/>
        <v>-0.44960135315008309</v>
      </c>
      <c r="FE77" s="35">
        <f t="shared" si="678"/>
        <v>9.9999999999999995E-7</v>
      </c>
      <c r="FF77" s="35">
        <f t="shared" si="679"/>
        <v>0.49995050000000002</v>
      </c>
      <c r="FG77" s="35">
        <f t="shared" si="680"/>
        <v>0.24997575</v>
      </c>
      <c r="FH77" s="35">
        <f t="shared" si="681"/>
        <v>-0.24683180867383525</v>
      </c>
      <c r="FI77" s="35">
        <f t="shared" si="682"/>
        <v>9.9999999999999995E-7</v>
      </c>
      <c r="FJ77" s="35">
        <f t="shared" si="683"/>
        <v>0.24997575</v>
      </c>
      <c r="FK77" s="35">
        <f t="shared" si="684"/>
        <v>0.124988375</v>
      </c>
      <c r="FL77" s="35">
        <f t="shared" si="685"/>
        <v>-0.1099936197715794</v>
      </c>
      <c r="FM77" s="35">
        <f t="shared" si="686"/>
        <v>9.9999999999999995E-7</v>
      </c>
      <c r="FN77" s="35">
        <f t="shared" si="687"/>
        <v>0.124988375</v>
      </c>
      <c r="FO77" s="35">
        <f t="shared" si="688"/>
        <v>6.24946875E-2</v>
      </c>
      <c r="FP77" s="35">
        <f t="shared" si="689"/>
        <v>-2.416290518817199E-2</v>
      </c>
      <c r="FQ77" s="35">
        <f t="shared" si="690"/>
        <v>9.9999999999999995E-7</v>
      </c>
      <c r="FR77" s="35">
        <f t="shared" si="691"/>
        <v>6.24946875E-2</v>
      </c>
      <c r="FS77" s="35">
        <f t="shared" si="692"/>
        <v>3.124784375E-2</v>
      </c>
      <c r="FT77" s="35">
        <f t="shared" si="693"/>
        <v>2.6731048360625786E-2</v>
      </c>
      <c r="FU77" s="35">
        <f t="shared" si="694"/>
        <v>3.124784375E-2</v>
      </c>
      <c r="FV77" s="35">
        <f t="shared" si="695"/>
        <v>6.24946875E-2</v>
      </c>
      <c r="FW77" s="35">
        <f t="shared" si="696"/>
        <v>4.6871265624999998E-2</v>
      </c>
      <c r="FX77" s="35">
        <f t="shared" si="697"/>
        <v>4.7659227805296744E-4</v>
      </c>
      <c r="FY77" s="35">
        <f t="shared" si="698"/>
        <v>4.6871265624999998E-2</v>
      </c>
      <c r="FZ77" s="35">
        <f t="shared" si="699"/>
        <v>6.24946875E-2</v>
      </c>
      <c r="GA77" s="35">
        <f t="shared" si="700"/>
        <v>5.4682976562499999E-2</v>
      </c>
      <c r="GB77" s="35">
        <f t="shared" si="701"/>
        <v>-1.2035561748810264E-2</v>
      </c>
      <c r="GC77" s="35">
        <f t="shared" si="702"/>
        <v>4.6871265624999998E-2</v>
      </c>
      <c r="GD77" s="35">
        <f t="shared" si="703"/>
        <v>5.4682976562499999E-2</v>
      </c>
      <c r="GE77" s="35">
        <f t="shared" si="704"/>
        <v>5.0777121093750002E-2</v>
      </c>
      <c r="GF77" s="35">
        <f t="shared" si="705"/>
        <v>-5.8288834573198001E-3</v>
      </c>
      <c r="GG77" s="35">
        <f t="shared" si="706"/>
        <v>4.6871265624999998E-2</v>
      </c>
      <c r="GH77" s="35">
        <f t="shared" si="707"/>
        <v>5.0777121093750002E-2</v>
      </c>
      <c r="GI77" s="35">
        <f t="shared" si="708"/>
        <v>4.8824193359375004E-2</v>
      </c>
      <c r="GJ77" s="35">
        <f t="shared" si="709"/>
        <v>-2.6886492867354006E-3</v>
      </c>
      <c r="GK77" s="35">
        <f t="shared" si="710"/>
        <v>4.6871265624999998E-2</v>
      </c>
      <c r="GL77" s="35">
        <f t="shared" si="711"/>
        <v>4.8824193359375004E-2</v>
      </c>
      <c r="GM77" s="35">
        <f t="shared" si="712"/>
        <v>4.7847729492187505E-2</v>
      </c>
      <c r="GN77" s="35">
        <f t="shared" si="713"/>
        <v>-1.1091730764715146E-3</v>
      </c>
      <c r="GO77" s="35">
        <f t="shared" si="714"/>
        <v>4.6871265624999998E-2</v>
      </c>
      <c r="GP77" s="35">
        <f t="shared" si="715"/>
        <v>4.7847729492187505E-2</v>
      </c>
      <c r="GQ77" s="35">
        <f t="shared" si="716"/>
        <v>4.7359497558593755E-2</v>
      </c>
      <c r="GR77" s="35">
        <f t="shared" si="717"/>
        <v>-3.170788324355911E-4</v>
      </c>
      <c r="GS77" s="35">
        <f t="shared" si="718"/>
        <v>4.6871265624999998E-2</v>
      </c>
      <c r="GT77" s="35">
        <f t="shared" si="719"/>
        <v>4.7359497558593755E-2</v>
      </c>
      <c r="GU77" s="35">
        <f t="shared" si="720"/>
        <v>4.7115381591796873E-2</v>
      </c>
      <c r="GV77" s="35">
        <f t="shared" si="721"/>
        <v>7.9559330872447376E-5</v>
      </c>
      <c r="GW77" s="35">
        <f t="shared" si="722"/>
        <v>4.7115381591796873E-2</v>
      </c>
      <c r="GX77" s="35">
        <f t="shared" si="723"/>
        <v>4.7359497558593755E-2</v>
      </c>
      <c r="GY77" s="35">
        <f t="shared" si="724"/>
        <v>4.7237439575195314E-2</v>
      </c>
      <c r="GZ77" s="35">
        <f t="shared" si="725"/>
        <v>-1.1880906343164632E-4</v>
      </c>
      <c r="HA77" s="35">
        <f t="shared" si="726"/>
        <v>4.7115381591796873E-2</v>
      </c>
      <c r="HB77" s="35">
        <f t="shared" si="727"/>
        <v>4.7237439575195314E-2</v>
      </c>
      <c r="HC77" s="35">
        <f t="shared" si="728"/>
        <v>4.7176410583496094E-2</v>
      </c>
      <c r="HD77" s="35">
        <f t="shared" si="729"/>
        <v>-1.9637198866329086E-5</v>
      </c>
      <c r="HE77" s="35">
        <f t="shared" si="730"/>
        <v>4.7115381591796873E-2</v>
      </c>
      <c r="HF77" s="35">
        <f t="shared" si="731"/>
        <v>4.7176410583496094E-2</v>
      </c>
      <c r="HG77" s="35">
        <f t="shared" si="732"/>
        <v>4.714589608764648E-2</v>
      </c>
      <c r="HH77" s="35">
        <f t="shared" si="733"/>
        <v>2.995798230420732E-5</v>
      </c>
      <c r="HI77" s="35">
        <f t="shared" si="734"/>
        <v>4.714589608764648E-2</v>
      </c>
      <c r="HJ77" s="35">
        <f t="shared" si="735"/>
        <v>4.7176410583496094E-2</v>
      </c>
      <c r="HK77" s="35">
        <f t="shared" si="736"/>
        <v>4.716115333557129E-2</v>
      </c>
      <c r="HL77" s="35">
        <f t="shared" si="737"/>
        <v>5.1596208632265217E-6</v>
      </c>
      <c r="HM77" s="35">
        <f t="shared" si="738"/>
        <v>4.716115333557129E-2</v>
      </c>
      <c r="HN77" s="35">
        <f t="shared" si="739"/>
        <v>4.7176410583496094E-2</v>
      </c>
      <c r="HO77" s="35">
        <f t="shared" si="740"/>
        <v>4.7168781959533695E-2</v>
      </c>
      <c r="HP77" s="35">
        <f t="shared" si="741"/>
        <v>-7.2389817068474471E-6</v>
      </c>
      <c r="HQ77" s="35">
        <f t="shared" si="742"/>
        <v>4.716115333557129E-2</v>
      </c>
      <c r="HR77" s="35">
        <f t="shared" si="743"/>
        <v>4.7168781959533695E-2</v>
      </c>
      <c r="HS77" s="35">
        <f t="shared" si="744"/>
        <v>4.7164967647552493E-2</v>
      </c>
      <c r="HT77" s="35">
        <f t="shared" si="745"/>
        <v>-1.0397285992169714E-6</v>
      </c>
      <c r="HU77" s="35">
        <f t="shared" si="746"/>
        <v>4.716115333557129E-2</v>
      </c>
      <c r="HV77" s="35">
        <f t="shared" si="747"/>
        <v>4.7164967647552493E-2</v>
      </c>
      <c r="HW77" s="35">
        <f t="shared" si="748"/>
        <v>4.7163060491561895E-2</v>
      </c>
      <c r="HX77" s="35">
        <f t="shared" si="749"/>
        <v>2.0599340873062033E-6</v>
      </c>
      <c r="HY77" s="35">
        <f t="shared" si="750"/>
        <v>4.7163060491561895E-2</v>
      </c>
      <c r="HZ77" s="35">
        <f t="shared" si="751"/>
        <v>4.7164967647552493E-2</v>
      </c>
      <c r="IA77" s="35">
        <f t="shared" si="752"/>
        <v>4.7164014069557197E-2</v>
      </c>
      <c r="IB77" s="35">
        <f t="shared" si="753"/>
        <v>5.1009973311977319E-7</v>
      </c>
      <c r="IC77" s="35">
        <f t="shared" si="754"/>
        <v>4.7164014069557197E-2</v>
      </c>
      <c r="ID77" s="35">
        <f t="shared" si="755"/>
        <v>4.7164967647552493E-2</v>
      </c>
      <c r="IE77" s="35">
        <f t="shared" si="756"/>
        <v>4.7164490858554842E-2</v>
      </c>
      <c r="IF77" s="35">
        <f t="shared" si="757"/>
        <v>-2.6481518611287669E-7</v>
      </c>
      <c r="IG77" s="35">
        <f t="shared" si="758"/>
        <v>4.7164014069557197E-2</v>
      </c>
      <c r="IH77" s="35">
        <f t="shared" si="759"/>
        <v>4.7164490858554842E-2</v>
      </c>
      <c r="II77" s="35">
        <f t="shared" si="760"/>
        <v>4.716425246405602E-2</v>
      </c>
      <c r="IJ77" s="35">
        <f t="shared" si="761"/>
        <v>1.2264208515411212E-7</v>
      </c>
      <c r="IK77" s="35">
        <f t="shared" si="762"/>
        <v>4.716425246405602E-2</v>
      </c>
      <c r="IL77" s="35">
        <f t="shared" si="763"/>
        <v>4.7164490858554842E-2</v>
      </c>
      <c r="IM77" s="35">
        <f t="shared" si="764"/>
        <v>4.7164371661305431E-2</v>
      </c>
      <c r="IN77" s="35">
        <f t="shared" si="765"/>
        <v>-7.1086597164260468E-8</v>
      </c>
      <c r="IO77" s="35">
        <f t="shared" si="766"/>
        <v>4.716425246405602E-2</v>
      </c>
      <c r="IP77" s="35">
        <f t="shared" si="767"/>
        <v>4.7164371661305431E-2</v>
      </c>
      <c r="IQ77" s="35">
        <f t="shared" si="768"/>
        <v>4.7164312062680722E-2</v>
      </c>
      <c r="IR77" s="35">
        <f t="shared" si="769"/>
        <v>2.5777731949006011E-8</v>
      </c>
      <c r="IS77" s="35">
        <f t="shared" si="770"/>
        <v>4.7164312062680722E-2</v>
      </c>
      <c r="IT77" s="35">
        <f t="shared" si="771"/>
        <v>4.7164371661305431E-2</v>
      </c>
      <c r="IU77" s="35">
        <f t="shared" si="772"/>
        <v>4.7164341861993073E-2</v>
      </c>
      <c r="IV77" s="35">
        <f t="shared" si="773"/>
        <v>-2.2654435549718244E-8</v>
      </c>
      <c r="IW77" s="35">
        <f t="shared" si="774"/>
        <v>4.7164312062680722E-2</v>
      </c>
      <c r="IX77" s="35">
        <f t="shared" si="775"/>
        <v>4.7164341861993073E-2</v>
      </c>
      <c r="IY77" s="35">
        <f t="shared" si="776"/>
        <v>4.7164326962336897E-2</v>
      </c>
      <c r="IZ77" s="35">
        <f t="shared" si="777"/>
        <v>1.5616474779989176E-9</v>
      </c>
      <c r="JA77" s="35">
        <f t="shared" si="778"/>
        <v>4.7164326962336897E-2</v>
      </c>
      <c r="JB77" s="35">
        <f t="shared" si="779"/>
        <v>4.7164341861993073E-2</v>
      </c>
      <c r="JC77" s="35">
        <f t="shared" si="780"/>
        <v>4.7164334412164985E-2</v>
      </c>
      <c r="JD77" s="35">
        <f t="shared" si="781"/>
        <v>-1.0546394091370814E-8</v>
      </c>
      <c r="JE77" s="35">
        <f t="shared" si="782"/>
        <v>4.7164326962336897E-2</v>
      </c>
      <c r="JF77" s="35">
        <f t="shared" si="783"/>
        <v>4.7164334412164985E-2</v>
      </c>
      <c r="JG77" s="35">
        <f t="shared" si="784"/>
        <v>4.7164330687250941E-2</v>
      </c>
      <c r="JH77" s="35">
        <f t="shared" si="785"/>
        <v>-4.4923733621970996E-9</v>
      </c>
      <c r="JI77" s="35">
        <f t="shared" si="786"/>
        <v>4.7164326962336897E-2</v>
      </c>
      <c r="JJ77" s="35">
        <f t="shared" si="787"/>
        <v>4.7164330687250941E-2</v>
      </c>
      <c r="JK77" s="35">
        <f t="shared" si="788"/>
        <v>4.7164328824793919E-2</v>
      </c>
      <c r="JL77" s="35">
        <f t="shared" si="789"/>
        <v>-1.4653628310767886E-9</v>
      </c>
      <c r="JM77" s="35">
        <f t="shared" si="790"/>
        <v>4.7164326962336897E-2</v>
      </c>
      <c r="JN77" s="35">
        <f t="shared" si="791"/>
        <v>4.7164328824793919E-2</v>
      </c>
      <c r="JO77" s="35">
        <f t="shared" si="792"/>
        <v>4.7164327893565408E-2</v>
      </c>
      <c r="JP77" s="35">
        <f t="shared" si="793"/>
        <v>4.8142156927610813E-11</v>
      </c>
      <c r="JQ77" s="35">
        <f t="shared" si="794"/>
        <v>4.7164327893565408E-2</v>
      </c>
      <c r="JR77" s="35">
        <f t="shared" si="795"/>
        <v>4.7164328824793919E-2</v>
      </c>
      <c r="JS77" s="35">
        <f t="shared" si="796"/>
        <v>4.7164328359179664E-2</v>
      </c>
      <c r="JT77" s="35">
        <f t="shared" si="797"/>
        <v>-7.086103925857401E-10</v>
      </c>
      <c r="JU77" s="35">
        <f t="shared" si="798"/>
        <v>4.7164327893565408E-2</v>
      </c>
      <c r="JV77" s="35">
        <f t="shared" si="799"/>
        <v>4.7164328359179664E-2</v>
      </c>
      <c r="JW77" s="35">
        <f t="shared" si="800"/>
        <v>4.7164328126372536E-2</v>
      </c>
      <c r="JX77" s="35">
        <f t="shared" si="801"/>
        <v>-3.3023406231791341E-10</v>
      </c>
      <c r="JY77" s="35">
        <f t="shared" si="802"/>
        <v>4.7164327893565408E-2</v>
      </c>
      <c r="JZ77" s="35">
        <f t="shared" si="803"/>
        <v>4.7164328126372536E-2</v>
      </c>
      <c r="KA77" s="35">
        <f t="shared" si="804"/>
        <v>1.1347322822781281</v>
      </c>
      <c r="KB77" s="35">
        <f t="shared" si="805"/>
        <v>4.7164328009968975E-2</v>
      </c>
    </row>
    <row r="78" spans="1:288" ht="15" customHeight="1" x14ac:dyDescent="0.3">
      <c r="A78" s="30">
        <f>Odds_Input!A78</f>
        <v>70</v>
      </c>
      <c r="B78" s="7" t="str">
        <f>Odds_Input!B78</f>
        <v>DIV_SOUTHEAST</v>
      </c>
      <c r="C78" s="7" t="str">
        <f>Odds_Input!C78</f>
        <v>Atlanta Hawks</v>
      </c>
      <c r="D78" s="7" t="str">
        <f>Odds_Input!D78</f>
        <v>YES</v>
      </c>
      <c r="E78" s="31" t="str">
        <f>Odds_Input!E78</f>
        <v>-</v>
      </c>
      <c r="F78" s="32">
        <f>Odds_Input!F78</f>
        <v>250</v>
      </c>
      <c r="G78" s="6" t="str">
        <f t="shared" si="533"/>
        <v>DIV_SOUTHEAST</v>
      </c>
      <c r="H78" s="14">
        <f t="shared" si="534"/>
        <v>3.5</v>
      </c>
      <c r="I78" s="33">
        <f t="shared" si="535"/>
        <v>0.2857142857142857</v>
      </c>
      <c r="J78" s="17">
        <f t="shared" si="536"/>
        <v>1</v>
      </c>
      <c r="K78" s="17">
        <f t="shared" si="537"/>
        <v>5</v>
      </c>
      <c r="L78" s="18">
        <f t="shared" si="538"/>
        <v>1.118450515002239</v>
      </c>
      <c r="M78" s="34">
        <f t="shared" si="539"/>
        <v>0.11845051500223902</v>
      </c>
      <c r="N78" s="33">
        <f t="shared" si="540"/>
        <v>0.25545545545545545</v>
      </c>
      <c r="O78" s="33">
        <f t="shared" si="541"/>
        <v>0.25785708973472932</v>
      </c>
      <c r="P78" s="33">
        <f t="shared" si="542"/>
        <v>0.25920926022040286</v>
      </c>
      <c r="Q78" s="33">
        <f t="shared" si="543"/>
        <v>0.25920926022040286</v>
      </c>
      <c r="R78" s="35">
        <f t="shared" si="544"/>
        <v>1.0818884317064659</v>
      </c>
      <c r="S78" s="35">
        <f t="shared" si="545"/>
        <v>3.0193926930267709E-2</v>
      </c>
      <c r="X78" s="6" t="s">
        <v>288</v>
      </c>
      <c r="Y78" s="6">
        <f t="shared" si="546"/>
        <v>1</v>
      </c>
      <c r="Z78" s="18">
        <f t="shared" si="547"/>
        <v>1.1456876456876459</v>
      </c>
      <c r="AA78" s="10">
        <v>0.2</v>
      </c>
      <c r="AB78" s="10">
        <v>10</v>
      </c>
      <c r="AC78" s="35">
        <f t="shared" si="548"/>
        <v>5.0999999999999996</v>
      </c>
      <c r="AD78" s="35">
        <f t="shared" si="549"/>
        <v>-0.99465480862698896</v>
      </c>
      <c r="AE78" s="35">
        <f t="shared" si="550"/>
        <v>0.2</v>
      </c>
      <c r="AF78" s="35">
        <f t="shared" si="551"/>
        <v>5.0999999999999996</v>
      </c>
      <c r="AG78" s="35">
        <f t="shared" si="552"/>
        <v>2.65</v>
      </c>
      <c r="AH78" s="35">
        <f t="shared" si="553"/>
        <v>-0.88149020047116378</v>
      </c>
      <c r="AI78" s="35">
        <f t="shared" si="554"/>
        <v>0.2</v>
      </c>
      <c r="AJ78" s="35">
        <f t="shared" si="555"/>
        <v>2.65</v>
      </c>
      <c r="AK78" s="35">
        <f t="shared" si="556"/>
        <v>1.425</v>
      </c>
      <c r="AL78" s="35">
        <f t="shared" si="557"/>
        <v>-0.37306602361978547</v>
      </c>
      <c r="AM78" s="35">
        <f t="shared" si="558"/>
        <v>0.2</v>
      </c>
      <c r="AN78" s="35">
        <f t="shared" si="559"/>
        <v>1.425</v>
      </c>
      <c r="AO78" s="35">
        <f t="shared" si="560"/>
        <v>0.8125</v>
      </c>
      <c r="AP78" s="35">
        <f t="shared" si="561"/>
        <v>0.5013882429443377</v>
      </c>
      <c r="AQ78" s="35">
        <f t="shared" si="562"/>
        <v>0.8125</v>
      </c>
      <c r="AR78" s="35">
        <f t="shared" si="563"/>
        <v>1.425</v>
      </c>
      <c r="AS78" s="35">
        <f t="shared" si="564"/>
        <v>1.1187499999999999</v>
      </c>
      <c r="AT78" s="35">
        <f t="shared" si="565"/>
        <v>-3.3273195498398467E-2</v>
      </c>
      <c r="AU78" s="35">
        <f t="shared" si="566"/>
        <v>0.8125</v>
      </c>
      <c r="AV78" s="35">
        <f t="shared" si="567"/>
        <v>1.1187499999999999</v>
      </c>
      <c r="AW78" s="35">
        <f t="shared" si="568"/>
        <v>0.96562499999999996</v>
      </c>
      <c r="AX78" s="35">
        <f t="shared" si="569"/>
        <v>0.20366682946663639</v>
      </c>
      <c r="AY78" s="35">
        <f t="shared" si="570"/>
        <v>0.96562499999999996</v>
      </c>
      <c r="AZ78" s="35">
        <f t="shared" si="571"/>
        <v>1.1187499999999999</v>
      </c>
      <c r="BA78" s="35">
        <f t="shared" si="572"/>
        <v>1.0421874999999998</v>
      </c>
      <c r="BB78" s="35">
        <f t="shared" si="573"/>
        <v>7.8468237534208507E-2</v>
      </c>
      <c r="BC78" s="35">
        <f t="shared" si="574"/>
        <v>1.0421874999999998</v>
      </c>
      <c r="BD78" s="35">
        <f t="shared" si="575"/>
        <v>1.1187499999999999</v>
      </c>
      <c r="BE78" s="35">
        <f t="shared" si="576"/>
        <v>1.0804687499999999</v>
      </c>
      <c r="BF78" s="35">
        <f t="shared" si="577"/>
        <v>2.1012823415851312E-2</v>
      </c>
      <c r="BG78" s="35">
        <f t="shared" si="578"/>
        <v>1.0804687499999999</v>
      </c>
      <c r="BH78" s="35">
        <f t="shared" si="579"/>
        <v>1.1187499999999999</v>
      </c>
      <c r="BI78" s="35">
        <f t="shared" si="580"/>
        <v>1.099609375</v>
      </c>
      <c r="BJ78" s="35">
        <f t="shared" si="581"/>
        <v>-6.5148153504414053E-3</v>
      </c>
      <c r="BK78" s="35">
        <f t="shared" si="582"/>
        <v>1.0804687499999999</v>
      </c>
      <c r="BL78" s="35">
        <f t="shared" si="583"/>
        <v>1.099609375</v>
      </c>
      <c r="BM78" s="35">
        <f t="shared" si="584"/>
        <v>1.0900390624999998</v>
      </c>
      <c r="BN78" s="35">
        <f t="shared" si="585"/>
        <v>7.151430817200044E-3</v>
      </c>
      <c r="BO78" s="35">
        <f t="shared" si="586"/>
        <v>1.0900390624999998</v>
      </c>
      <c r="BP78" s="35">
        <f t="shared" si="587"/>
        <v>1.099609375</v>
      </c>
      <c r="BQ78" s="35">
        <f t="shared" si="588"/>
        <v>1.0948242187499999</v>
      </c>
      <c r="BR78" s="35">
        <f t="shared" si="589"/>
        <v>2.9409308955474778E-4</v>
      </c>
      <c r="BS78" s="35">
        <f t="shared" si="590"/>
        <v>1.0948242187499999</v>
      </c>
      <c r="BT78" s="35">
        <f t="shared" si="591"/>
        <v>1.099609375</v>
      </c>
      <c r="BU78" s="35">
        <f t="shared" si="592"/>
        <v>1.097216796875</v>
      </c>
      <c r="BV78" s="35">
        <f t="shared" si="593"/>
        <v>-3.11639260639196E-3</v>
      </c>
      <c r="BW78" s="35">
        <f t="shared" si="594"/>
        <v>1.0948242187499999</v>
      </c>
      <c r="BX78" s="35">
        <f t="shared" si="595"/>
        <v>1.097216796875</v>
      </c>
      <c r="BY78" s="35">
        <f t="shared" si="596"/>
        <v>1.0960205078124998</v>
      </c>
      <c r="BZ78" s="35">
        <f t="shared" si="597"/>
        <v>-1.4126603939798033E-3</v>
      </c>
      <c r="CA78" s="35">
        <f t="shared" si="598"/>
        <v>1.0948242187499999</v>
      </c>
      <c r="CB78" s="35">
        <f t="shared" si="599"/>
        <v>1.0960205078124998</v>
      </c>
      <c r="CC78" s="35">
        <f t="shared" si="600"/>
        <v>1.0954223632812499</v>
      </c>
      <c r="CD78" s="35">
        <f t="shared" si="601"/>
        <v>-5.5966165749676833E-4</v>
      </c>
      <c r="CE78" s="35">
        <f t="shared" si="602"/>
        <v>1.0948242187499999</v>
      </c>
      <c r="CF78" s="35">
        <f t="shared" si="603"/>
        <v>1.0954223632812499</v>
      </c>
      <c r="CG78" s="35">
        <f t="shared" si="604"/>
        <v>1.095123291015625</v>
      </c>
      <c r="CH78" s="35">
        <f t="shared" si="605"/>
        <v>-1.3287882862733635E-4</v>
      </c>
      <c r="CI78" s="35">
        <f t="shared" si="606"/>
        <v>1.0948242187499999</v>
      </c>
      <c r="CJ78" s="35">
        <f t="shared" si="607"/>
        <v>1.095123291015625</v>
      </c>
      <c r="CK78" s="35">
        <f t="shared" si="608"/>
        <v>1.0949737548828125</v>
      </c>
      <c r="CL78" s="35">
        <f t="shared" si="609"/>
        <v>8.0583488880625609E-5</v>
      </c>
      <c r="CM78" s="35">
        <f t="shared" si="610"/>
        <v>1.0949737548828125</v>
      </c>
      <c r="CN78" s="35">
        <f t="shared" si="611"/>
        <v>1.095123291015625</v>
      </c>
      <c r="CO78" s="35">
        <f t="shared" si="612"/>
        <v>1.0950485229492188</v>
      </c>
      <c r="CP78" s="35">
        <f t="shared" si="613"/>
        <v>-2.6153579591792209E-5</v>
      </c>
      <c r="CQ78" s="35">
        <f t="shared" si="614"/>
        <v>1.0949737548828125</v>
      </c>
      <c r="CR78" s="35">
        <f t="shared" si="615"/>
        <v>1.0950485229492188</v>
      </c>
      <c r="CS78" s="35">
        <f t="shared" si="616"/>
        <v>1.0950111389160155</v>
      </c>
      <c r="CT78" s="35">
        <f t="shared" si="617"/>
        <v>2.7213477130416663E-5</v>
      </c>
      <c r="CU78" s="35">
        <f t="shared" si="618"/>
        <v>1.0950111389160155</v>
      </c>
      <c r="CV78" s="35">
        <f t="shared" si="619"/>
        <v>1.0950485229492188</v>
      </c>
      <c r="CW78" s="35">
        <f t="shared" si="620"/>
        <v>1.0950298309326172</v>
      </c>
      <c r="CX78" s="35">
        <f t="shared" si="621"/>
        <v>5.2957940122055902E-7</v>
      </c>
      <c r="CY78" s="35">
        <f t="shared" si="622"/>
        <v>1.0950298309326172</v>
      </c>
      <c r="CZ78" s="35">
        <f t="shared" si="623"/>
        <v>1.0950485229492188</v>
      </c>
      <c r="DA78" s="35">
        <f t="shared" si="624"/>
        <v>1.095039176940918</v>
      </c>
      <c r="DB78" s="35">
        <f t="shared" si="625"/>
        <v>-1.2812092435865452E-5</v>
      </c>
      <c r="DC78" s="35">
        <f t="shared" si="626"/>
        <v>1.0950298309326172</v>
      </c>
      <c r="DD78" s="35">
        <f t="shared" si="627"/>
        <v>1.095039176940918</v>
      </c>
      <c r="DE78" s="35">
        <f t="shared" si="628"/>
        <v>1.0950345039367675</v>
      </c>
      <c r="DF78" s="35">
        <f t="shared" si="629"/>
        <v>-6.1412796026338867E-6</v>
      </c>
      <c r="DG78" s="35">
        <f t="shared" si="630"/>
        <v>1.0950298309326172</v>
      </c>
      <c r="DH78" s="35">
        <f t="shared" si="631"/>
        <v>1.0950345039367675</v>
      </c>
      <c r="DI78" s="35">
        <f t="shared" si="632"/>
        <v>1.0950321674346923</v>
      </c>
      <c r="DJ78" s="35">
        <f t="shared" si="633"/>
        <v>-2.8058558718679905E-6</v>
      </c>
      <c r="DK78" s="35">
        <f t="shared" si="634"/>
        <v>1.0950298309326172</v>
      </c>
      <c r="DL78" s="35">
        <f t="shared" si="635"/>
        <v>1.0950321674346923</v>
      </c>
      <c r="DM78" s="35">
        <f t="shared" si="636"/>
        <v>1.0950309991836549</v>
      </c>
      <c r="DN78" s="35">
        <f t="shared" si="637"/>
        <v>-1.1381396782805808E-6</v>
      </c>
      <c r="DO78" s="35">
        <f t="shared" si="638"/>
        <v>1.0950298309326172</v>
      </c>
      <c r="DP78" s="35">
        <f t="shared" si="639"/>
        <v>1.0950309991836549</v>
      </c>
      <c r="DQ78" s="35">
        <f t="shared" si="640"/>
        <v>1.095030415058136</v>
      </c>
      <c r="DR78" s="35">
        <f t="shared" si="641"/>
        <v>-3.042804992414716E-7</v>
      </c>
      <c r="DS78" s="35">
        <f t="shared" si="642"/>
        <v>1.0950298309326172</v>
      </c>
      <c r="DT78" s="35">
        <f t="shared" si="643"/>
        <v>1.095030415058136</v>
      </c>
      <c r="DU78" s="35">
        <f t="shared" si="644"/>
        <v>1.0950301229953765</v>
      </c>
      <c r="DV78" s="35">
        <f t="shared" si="645"/>
        <v>1.1264936095045641E-7</v>
      </c>
      <c r="DW78" s="35">
        <f t="shared" si="646"/>
        <v>1.0950301229953765</v>
      </c>
      <c r="DX78" s="35">
        <f t="shared" si="647"/>
        <v>1.095030415058136</v>
      </c>
      <c r="DY78" s="35">
        <f t="shared" si="648"/>
        <v>1.0950302690267564</v>
      </c>
      <c r="DZ78" s="35">
        <f t="shared" si="649"/>
        <v>-9.58155919050796E-8</v>
      </c>
      <c r="EA78" s="35">
        <f t="shared" si="650"/>
        <v>1.0950301229953765</v>
      </c>
      <c r="EB78" s="35">
        <f t="shared" si="651"/>
        <v>1.0950302690267564</v>
      </c>
      <c r="EC78" s="35">
        <f t="shared" si="652"/>
        <v>1.0950301960110664</v>
      </c>
      <c r="ED78" s="35">
        <f t="shared" si="653"/>
        <v>8.4168789715732828E-9</v>
      </c>
      <c r="EE78" s="35">
        <f t="shared" si="654"/>
        <v>1.0950301960110664</v>
      </c>
      <c r="EF78" s="35">
        <f t="shared" si="655"/>
        <v>1.0950302690267564</v>
      </c>
      <c r="EG78" s="35">
        <f t="shared" si="656"/>
        <v>1.0950302325189114</v>
      </c>
      <c r="EH78" s="35">
        <f t="shared" si="657"/>
        <v>-4.3699357687998486E-8</v>
      </c>
      <c r="EI78" s="35">
        <f t="shared" si="658"/>
        <v>1.0950301960110664</v>
      </c>
      <c r="EJ78" s="35">
        <f t="shared" si="659"/>
        <v>1.0950302325189114</v>
      </c>
      <c r="EK78" s="35">
        <f t="shared" si="660"/>
        <v>1.0950302142649888</v>
      </c>
      <c r="EL78" s="35">
        <f t="shared" si="661"/>
        <v>-1.7641239580257206E-8</v>
      </c>
      <c r="EM78" s="35">
        <f t="shared" si="662"/>
        <v>1.0950301960110664</v>
      </c>
      <c r="EN78" s="35">
        <f t="shared" si="663"/>
        <v>1.0950302142649888</v>
      </c>
      <c r="EO78" s="35">
        <f t="shared" si="664"/>
        <v>1.0950302051380276</v>
      </c>
      <c r="EP78" s="35">
        <f t="shared" si="665"/>
        <v>-4.6121803043419618E-9</v>
      </c>
      <c r="EQ78" s="35">
        <f t="shared" si="666"/>
        <v>1.0950301960110664</v>
      </c>
      <c r="ER78" s="35">
        <f t="shared" si="667"/>
        <v>1.0950302051380276</v>
      </c>
      <c r="ES78" s="35">
        <f t="shared" si="668"/>
        <v>1.0950302005745471</v>
      </c>
      <c r="ET78" s="35">
        <f t="shared" si="669"/>
        <v>1.9023491670822068E-9</v>
      </c>
      <c r="EU78" s="35">
        <f t="shared" si="670"/>
        <v>1.0950302005745471</v>
      </c>
      <c r="EV78" s="35">
        <f t="shared" si="671"/>
        <v>1.0950302051380276</v>
      </c>
      <c r="EW78" s="35">
        <f t="shared" si="672"/>
        <v>1.0950302028562873</v>
      </c>
      <c r="EX78" s="35">
        <f t="shared" si="673"/>
        <v>-1.3549155131187263E-9</v>
      </c>
      <c r="EY78" s="35">
        <f t="shared" si="674"/>
        <v>1.0950302005745471</v>
      </c>
      <c r="EZ78" s="35">
        <f t="shared" si="675"/>
        <v>1.0950302028562873</v>
      </c>
      <c r="FA78" s="10">
        <v>9.9999999999999995E-7</v>
      </c>
      <c r="FB78" s="10">
        <v>0.99990000000000001</v>
      </c>
      <c r="FC78" s="35">
        <f t="shared" si="676"/>
        <v>0.49995050000000002</v>
      </c>
      <c r="FD78" s="35">
        <f t="shared" si="677"/>
        <v>-0.55536451445947077</v>
      </c>
      <c r="FE78" s="35">
        <f t="shared" si="678"/>
        <v>9.9999999999999995E-7</v>
      </c>
      <c r="FF78" s="35">
        <f t="shared" si="679"/>
        <v>0.49995050000000002</v>
      </c>
      <c r="FG78" s="35">
        <f t="shared" si="680"/>
        <v>0.24997575</v>
      </c>
      <c r="FH78" s="35">
        <f t="shared" si="681"/>
        <v>-0.33050369298324511</v>
      </c>
      <c r="FI78" s="35">
        <f t="shared" si="682"/>
        <v>9.9999999999999995E-7</v>
      </c>
      <c r="FJ78" s="35">
        <f t="shared" si="683"/>
        <v>0.24997575</v>
      </c>
      <c r="FK78" s="35">
        <f t="shared" si="684"/>
        <v>0.124988375</v>
      </c>
      <c r="FL78" s="35">
        <f t="shared" si="685"/>
        <v>-0.1547049428389442</v>
      </c>
      <c r="FM78" s="35">
        <f t="shared" si="686"/>
        <v>9.9999999999999995E-7</v>
      </c>
      <c r="FN78" s="35">
        <f t="shared" si="687"/>
        <v>0.124988375</v>
      </c>
      <c r="FO78" s="35">
        <f t="shared" si="688"/>
        <v>6.24946875E-2</v>
      </c>
      <c r="FP78" s="35">
        <f t="shared" si="689"/>
        <v>-4.7759446884101386E-2</v>
      </c>
      <c r="FQ78" s="35">
        <f t="shared" si="690"/>
        <v>9.9999999999999995E-7</v>
      </c>
      <c r="FR78" s="35">
        <f t="shared" si="691"/>
        <v>6.24946875E-2</v>
      </c>
      <c r="FS78" s="35">
        <f t="shared" si="692"/>
        <v>3.124784375E-2</v>
      </c>
      <c r="FT78" s="35">
        <f t="shared" si="693"/>
        <v>1.0068087910818591E-2</v>
      </c>
      <c r="FU78" s="35">
        <f t="shared" si="694"/>
        <v>3.124784375E-2</v>
      </c>
      <c r="FV78" s="35">
        <f t="shared" si="695"/>
        <v>6.24946875E-2</v>
      </c>
      <c r="FW78" s="35">
        <f t="shared" si="696"/>
        <v>4.6871265624999998E-2</v>
      </c>
      <c r="FX78" s="35">
        <f t="shared" si="697"/>
        <v>-1.9178636313452735E-2</v>
      </c>
      <c r="FY78" s="35">
        <f t="shared" si="698"/>
        <v>3.124784375E-2</v>
      </c>
      <c r="FZ78" s="35">
        <f t="shared" si="699"/>
        <v>4.6871265624999998E-2</v>
      </c>
      <c r="GA78" s="35">
        <f t="shared" si="700"/>
        <v>3.9059554687499998E-2</v>
      </c>
      <c r="GB78" s="35">
        <f t="shared" si="701"/>
        <v>-4.6357085567235723E-3</v>
      </c>
      <c r="GC78" s="35">
        <f t="shared" si="702"/>
        <v>3.124784375E-2</v>
      </c>
      <c r="GD78" s="35">
        <f t="shared" si="703"/>
        <v>3.9059554687499998E-2</v>
      </c>
      <c r="GE78" s="35">
        <f t="shared" si="704"/>
        <v>3.5153699218750001E-2</v>
      </c>
      <c r="GF78" s="35">
        <f t="shared" si="705"/>
        <v>2.6964517698102597E-3</v>
      </c>
      <c r="GG78" s="35">
        <f t="shared" si="706"/>
        <v>3.5153699218750001E-2</v>
      </c>
      <c r="GH78" s="35">
        <f t="shared" si="707"/>
        <v>3.9059554687499998E-2</v>
      </c>
      <c r="GI78" s="35">
        <f t="shared" si="708"/>
        <v>3.7106626953124999E-2</v>
      </c>
      <c r="GJ78" s="35">
        <f t="shared" si="709"/>
        <v>-9.7461006364629732E-4</v>
      </c>
      <c r="GK78" s="35">
        <f t="shared" si="710"/>
        <v>3.5153699218750001E-2</v>
      </c>
      <c r="GL78" s="35">
        <f t="shared" si="711"/>
        <v>3.7106626953124999E-2</v>
      </c>
      <c r="GM78" s="35">
        <f t="shared" si="712"/>
        <v>3.61301630859375E-2</v>
      </c>
      <c r="GN78" s="35">
        <f t="shared" si="713"/>
        <v>8.5968128215263562E-4</v>
      </c>
      <c r="GO78" s="35">
        <f t="shared" si="714"/>
        <v>3.61301630859375E-2</v>
      </c>
      <c r="GP78" s="35">
        <f t="shared" si="715"/>
        <v>3.7106626953124999E-2</v>
      </c>
      <c r="GQ78" s="35">
        <f t="shared" si="716"/>
        <v>3.661839501953125E-2</v>
      </c>
      <c r="GR78" s="35">
        <f t="shared" si="717"/>
        <v>-5.7775017625716352E-5</v>
      </c>
      <c r="GS78" s="35">
        <f t="shared" si="718"/>
        <v>3.61301630859375E-2</v>
      </c>
      <c r="GT78" s="35">
        <f t="shared" si="719"/>
        <v>3.661839501953125E-2</v>
      </c>
      <c r="GU78" s="35">
        <f t="shared" si="720"/>
        <v>3.6374279052734375E-2</v>
      </c>
      <c r="GV78" s="35">
        <f t="shared" si="721"/>
        <v>4.0087556710588501E-4</v>
      </c>
      <c r="GW78" s="35">
        <f t="shared" si="722"/>
        <v>3.6374279052734375E-2</v>
      </c>
      <c r="GX78" s="35">
        <f t="shared" si="723"/>
        <v>3.661839501953125E-2</v>
      </c>
      <c r="GY78" s="35">
        <f t="shared" si="724"/>
        <v>3.6496337036132809E-2</v>
      </c>
      <c r="GZ78" s="35">
        <f t="shared" si="725"/>
        <v>1.71530871992287E-4</v>
      </c>
      <c r="HA78" s="35">
        <f t="shared" si="726"/>
        <v>3.6496337036132809E-2</v>
      </c>
      <c r="HB78" s="35">
        <f t="shared" si="727"/>
        <v>3.661839501953125E-2</v>
      </c>
      <c r="HC78" s="35">
        <f t="shared" si="728"/>
        <v>3.6557366027832029E-2</v>
      </c>
      <c r="HD78" s="35">
        <f t="shared" si="729"/>
        <v>5.6873075065411172E-5</v>
      </c>
      <c r="HE78" s="35">
        <f t="shared" si="730"/>
        <v>3.6557366027832029E-2</v>
      </c>
      <c r="HF78" s="35">
        <f t="shared" si="731"/>
        <v>3.661839501953125E-2</v>
      </c>
      <c r="HG78" s="35">
        <f t="shared" si="732"/>
        <v>3.6587880523681643E-2</v>
      </c>
      <c r="HH78" s="35">
        <f t="shared" si="733"/>
        <v>-4.5218448851969129E-7</v>
      </c>
      <c r="HI78" s="35">
        <f t="shared" si="734"/>
        <v>3.6557366027832029E-2</v>
      </c>
      <c r="HJ78" s="35">
        <f t="shared" si="735"/>
        <v>3.6587880523681643E-2</v>
      </c>
      <c r="HK78" s="35">
        <f t="shared" si="736"/>
        <v>3.6572623275756833E-2</v>
      </c>
      <c r="HL78" s="35">
        <f t="shared" si="737"/>
        <v>2.8210142008600059E-5</v>
      </c>
      <c r="HM78" s="35">
        <f t="shared" si="738"/>
        <v>3.6572623275756833E-2</v>
      </c>
      <c r="HN78" s="35">
        <f t="shared" si="739"/>
        <v>3.6587880523681643E-2</v>
      </c>
      <c r="HO78" s="35">
        <f t="shared" si="740"/>
        <v>3.6580251899719238E-2</v>
      </c>
      <c r="HP78" s="35">
        <f t="shared" si="741"/>
        <v>1.3878902937358717E-5</v>
      </c>
      <c r="HQ78" s="35">
        <f t="shared" si="742"/>
        <v>3.6580251899719238E-2</v>
      </c>
      <c r="HR78" s="35">
        <f t="shared" si="743"/>
        <v>3.6587880523681643E-2</v>
      </c>
      <c r="HS78" s="35">
        <f t="shared" si="744"/>
        <v>3.658406621170044E-2</v>
      </c>
      <c r="HT78" s="35">
        <f t="shared" si="745"/>
        <v>6.7133402683605681E-6</v>
      </c>
      <c r="HU78" s="35">
        <f t="shared" si="746"/>
        <v>3.658406621170044E-2</v>
      </c>
      <c r="HV78" s="35">
        <f t="shared" si="747"/>
        <v>3.6587880523681643E-2</v>
      </c>
      <c r="HW78" s="35">
        <f t="shared" si="748"/>
        <v>3.6585973367691038E-2</v>
      </c>
      <c r="HX78" s="35">
        <f t="shared" si="749"/>
        <v>3.1305731509334578E-6</v>
      </c>
      <c r="HY78" s="35">
        <f t="shared" si="750"/>
        <v>3.6585973367691038E-2</v>
      </c>
      <c r="HZ78" s="35">
        <f t="shared" si="751"/>
        <v>3.6587880523681643E-2</v>
      </c>
      <c r="IA78" s="35">
        <f t="shared" si="752"/>
        <v>3.6586926945686341E-2</v>
      </c>
      <c r="IB78" s="35">
        <f t="shared" si="753"/>
        <v>1.3391931463768714E-6</v>
      </c>
      <c r="IC78" s="35">
        <f t="shared" si="754"/>
        <v>3.6586926945686341E-2</v>
      </c>
      <c r="ID78" s="35">
        <f t="shared" si="755"/>
        <v>3.6587880523681643E-2</v>
      </c>
      <c r="IE78" s="35">
        <f t="shared" si="756"/>
        <v>3.6587403734683992E-2</v>
      </c>
      <c r="IF78" s="35">
        <f t="shared" si="757"/>
        <v>4.4350403238802016E-7</v>
      </c>
      <c r="IG78" s="35">
        <f t="shared" si="758"/>
        <v>3.6587403734683992E-2</v>
      </c>
      <c r="IH78" s="35">
        <f t="shared" si="759"/>
        <v>3.6587880523681643E-2</v>
      </c>
      <c r="II78" s="35">
        <f t="shared" si="760"/>
        <v>3.6587642129182821E-2</v>
      </c>
      <c r="IJ78" s="35">
        <f t="shared" si="761"/>
        <v>-4.3403018956666983E-9</v>
      </c>
      <c r="IK78" s="35">
        <f t="shared" si="762"/>
        <v>3.6587403734683992E-2</v>
      </c>
      <c r="IL78" s="35">
        <f t="shared" si="763"/>
        <v>3.6587642129182821E-2</v>
      </c>
      <c r="IM78" s="35">
        <f t="shared" si="764"/>
        <v>3.6587522931933403E-2</v>
      </c>
      <c r="IN78" s="35">
        <f t="shared" si="765"/>
        <v>2.1958184692749683E-7</v>
      </c>
      <c r="IO78" s="35">
        <f t="shared" si="766"/>
        <v>3.6587522931933403E-2</v>
      </c>
      <c r="IP78" s="35">
        <f t="shared" si="767"/>
        <v>3.6587642129182821E-2</v>
      </c>
      <c r="IQ78" s="35">
        <f t="shared" si="768"/>
        <v>3.6587582530558112E-2</v>
      </c>
      <c r="IR78" s="35">
        <f t="shared" si="769"/>
        <v>1.0762076807502297E-7</v>
      </c>
      <c r="IS78" s="35">
        <f t="shared" si="770"/>
        <v>3.6587582530558112E-2</v>
      </c>
      <c r="IT78" s="35">
        <f t="shared" si="771"/>
        <v>3.6587642129182821E-2</v>
      </c>
      <c r="IU78" s="35">
        <f t="shared" si="772"/>
        <v>3.658761232987047E-2</v>
      </c>
      <c r="IV78" s="35">
        <f t="shared" si="773"/>
        <v>5.1640231868432807E-8</v>
      </c>
      <c r="IW78" s="35">
        <f t="shared" si="774"/>
        <v>3.658761232987047E-2</v>
      </c>
      <c r="IX78" s="35">
        <f t="shared" si="775"/>
        <v>3.6587642129182821E-2</v>
      </c>
      <c r="IY78" s="35">
        <f t="shared" si="776"/>
        <v>3.6587627229526645E-2</v>
      </c>
      <c r="IZ78" s="35">
        <f t="shared" si="777"/>
        <v>2.3649964653316147E-8</v>
      </c>
      <c r="JA78" s="35">
        <f t="shared" si="778"/>
        <v>3.6587627229526645E-2</v>
      </c>
      <c r="JB78" s="35">
        <f t="shared" si="779"/>
        <v>3.6587642129182821E-2</v>
      </c>
      <c r="JC78" s="35">
        <f t="shared" si="780"/>
        <v>3.6587634679354733E-2</v>
      </c>
      <c r="JD78" s="35">
        <f t="shared" si="781"/>
        <v>9.6548313788247242E-9</v>
      </c>
      <c r="JE78" s="35">
        <f t="shared" si="782"/>
        <v>3.6587634679354733E-2</v>
      </c>
      <c r="JF78" s="35">
        <f t="shared" si="783"/>
        <v>3.6587642129182821E-2</v>
      </c>
      <c r="JG78" s="35">
        <f t="shared" si="784"/>
        <v>3.6587638404268777E-2</v>
      </c>
      <c r="JH78" s="35">
        <f t="shared" si="785"/>
        <v>2.6572646305567105E-9</v>
      </c>
      <c r="JI78" s="35">
        <f t="shared" si="786"/>
        <v>3.6587638404268777E-2</v>
      </c>
      <c r="JJ78" s="35">
        <f t="shared" si="787"/>
        <v>3.6587642129182821E-2</v>
      </c>
      <c r="JK78" s="35">
        <f t="shared" si="788"/>
        <v>3.6587640266725799E-2</v>
      </c>
      <c r="JL78" s="35">
        <f t="shared" si="789"/>
        <v>-8.4151863255499393E-10</v>
      </c>
      <c r="JM78" s="35">
        <f t="shared" si="790"/>
        <v>3.6587638404268777E-2</v>
      </c>
      <c r="JN78" s="35">
        <f t="shared" si="791"/>
        <v>3.6587640266725799E-2</v>
      </c>
      <c r="JO78" s="35">
        <f t="shared" si="792"/>
        <v>3.6587639335497288E-2</v>
      </c>
      <c r="JP78" s="35">
        <f t="shared" si="793"/>
        <v>9.0787311002316073E-10</v>
      </c>
      <c r="JQ78" s="35">
        <f t="shared" si="794"/>
        <v>3.6587639335497288E-2</v>
      </c>
      <c r="JR78" s="35">
        <f t="shared" si="795"/>
        <v>3.6587640266725799E-2</v>
      </c>
      <c r="JS78" s="35">
        <f t="shared" si="796"/>
        <v>3.6587639801111543E-2</v>
      </c>
      <c r="JT78" s="35">
        <f t="shared" si="797"/>
        <v>3.3177238734083403E-11</v>
      </c>
      <c r="JU78" s="35">
        <f t="shared" si="798"/>
        <v>3.6587639801111543E-2</v>
      </c>
      <c r="JV78" s="35">
        <f t="shared" si="799"/>
        <v>3.6587640266725799E-2</v>
      </c>
      <c r="JW78" s="35">
        <f t="shared" si="800"/>
        <v>3.6587640033918671E-2</v>
      </c>
      <c r="JX78" s="35">
        <f t="shared" si="801"/>
        <v>-4.0417080793275773E-10</v>
      </c>
      <c r="JY78" s="35">
        <f t="shared" si="802"/>
        <v>3.6587639801111543E-2</v>
      </c>
      <c r="JZ78" s="35">
        <f t="shared" si="803"/>
        <v>3.6587640033918671E-2</v>
      </c>
      <c r="KA78" s="35">
        <f t="shared" si="804"/>
        <v>1.0950302017154172</v>
      </c>
      <c r="KB78" s="35">
        <f t="shared" si="805"/>
        <v>3.6587639917515111E-2</v>
      </c>
    </row>
    <row r="79" spans="1:288" ht="15" customHeight="1" x14ac:dyDescent="0.3">
      <c r="A79" s="30">
        <f>Odds_Input!A79</f>
        <v>71</v>
      </c>
      <c r="B79" s="7" t="str">
        <f>Odds_Input!B79</f>
        <v>DIV_SOUTHEAST</v>
      </c>
      <c r="C79" s="7" t="str">
        <f>Odds_Input!C79</f>
        <v>Charlotte Hornets</v>
      </c>
      <c r="D79" s="7" t="str">
        <f>Odds_Input!D79</f>
        <v>YES</v>
      </c>
      <c r="E79" s="31" t="str">
        <f>Odds_Input!E79</f>
        <v>-</v>
      </c>
      <c r="F79" s="32">
        <f>Odds_Input!F79</f>
        <v>625</v>
      </c>
      <c r="G79" s="6" t="str">
        <f t="shared" si="533"/>
        <v>DIV_SOUTHEAST</v>
      </c>
      <c r="H79" s="14">
        <f t="shared" si="534"/>
        <v>7.25</v>
      </c>
      <c r="I79" s="33">
        <f t="shared" si="535"/>
        <v>0.13793103448275862</v>
      </c>
      <c r="J79" s="17">
        <f t="shared" si="536"/>
        <v>1</v>
      </c>
      <c r="K79" s="17">
        <f t="shared" si="537"/>
        <v>5</v>
      </c>
      <c r="L79" s="18">
        <f t="shared" si="538"/>
        <v>1.118450515002239</v>
      </c>
      <c r="M79" s="34">
        <f t="shared" si="539"/>
        <v>0.11845051500223902</v>
      </c>
      <c r="N79" s="33">
        <f t="shared" si="540"/>
        <v>0.12332332332332334</v>
      </c>
      <c r="O79" s="33">
        <f t="shared" si="541"/>
        <v>0.11727630204204895</v>
      </c>
      <c r="P79" s="33">
        <f t="shared" si="542"/>
        <v>0.11778231391405181</v>
      </c>
      <c r="Q79" s="33">
        <f t="shared" si="543"/>
        <v>0.11778231391405181</v>
      </c>
      <c r="R79" s="35">
        <f t="shared" si="544"/>
        <v>1.0818884317064659</v>
      </c>
      <c r="S79" s="35">
        <f t="shared" si="545"/>
        <v>3.0193926930267709E-2</v>
      </c>
      <c r="X79" s="6" t="s">
        <v>289</v>
      </c>
      <c r="Y79" s="6">
        <f t="shared" si="546"/>
        <v>1</v>
      </c>
      <c r="Z79" s="18">
        <f t="shared" si="547"/>
        <v>1.1640752148708085</v>
      </c>
      <c r="AA79" s="10">
        <v>0.2</v>
      </c>
      <c r="AB79" s="10">
        <v>10</v>
      </c>
      <c r="AC79" s="35">
        <f t="shared" si="548"/>
        <v>5.0999999999999996</v>
      </c>
      <c r="AD79" s="35">
        <f t="shared" si="549"/>
        <v>-0.9783054673124888</v>
      </c>
      <c r="AE79" s="35">
        <f t="shared" si="550"/>
        <v>0.2</v>
      </c>
      <c r="AF79" s="35">
        <f t="shared" si="551"/>
        <v>5.0999999999999996</v>
      </c>
      <c r="AG79" s="35">
        <f t="shared" si="552"/>
        <v>2.65</v>
      </c>
      <c r="AH79" s="35">
        <f t="shared" si="553"/>
        <v>-0.8153609346808125</v>
      </c>
      <c r="AI79" s="35">
        <f t="shared" si="554"/>
        <v>0.2</v>
      </c>
      <c r="AJ79" s="35">
        <f t="shared" si="555"/>
        <v>2.65</v>
      </c>
      <c r="AK79" s="35">
        <f t="shared" si="556"/>
        <v>1.425</v>
      </c>
      <c r="AL79" s="35">
        <f t="shared" si="557"/>
        <v>-0.31355888757122652</v>
      </c>
      <c r="AM79" s="35">
        <f t="shared" si="558"/>
        <v>0.2</v>
      </c>
      <c r="AN79" s="35">
        <f t="shared" si="559"/>
        <v>1.425</v>
      </c>
      <c r="AO79" s="35">
        <f t="shared" si="560"/>
        <v>0.8125</v>
      </c>
      <c r="AP79" s="35">
        <f t="shared" si="561"/>
        <v>0.49255298717605212</v>
      </c>
      <c r="AQ79" s="35">
        <f t="shared" si="562"/>
        <v>0.8125</v>
      </c>
      <c r="AR79" s="35">
        <f t="shared" si="563"/>
        <v>1.425</v>
      </c>
      <c r="AS79" s="35">
        <f t="shared" si="564"/>
        <v>1.1187499999999999</v>
      </c>
      <c r="AT79" s="35">
        <f t="shared" si="565"/>
        <v>-3.6020820648541285E-4</v>
      </c>
      <c r="AU79" s="35">
        <f t="shared" si="566"/>
        <v>0.8125</v>
      </c>
      <c r="AV79" s="35">
        <f t="shared" si="567"/>
        <v>1.1187499999999999</v>
      </c>
      <c r="AW79" s="35">
        <f t="shared" si="568"/>
        <v>0.96562499999999996</v>
      </c>
      <c r="AX79" s="35">
        <f t="shared" si="569"/>
        <v>0.21742480432467715</v>
      </c>
      <c r="AY79" s="35">
        <f t="shared" si="570"/>
        <v>0.96562499999999996</v>
      </c>
      <c r="AZ79" s="35">
        <f t="shared" si="571"/>
        <v>1.1187499999999999</v>
      </c>
      <c r="BA79" s="35">
        <f t="shared" si="572"/>
        <v>1.0421874999999998</v>
      </c>
      <c r="BB79" s="35">
        <f t="shared" si="573"/>
        <v>0.10228258623042952</v>
      </c>
      <c r="BC79" s="35">
        <f t="shared" si="574"/>
        <v>1.0421874999999998</v>
      </c>
      <c r="BD79" s="35">
        <f t="shared" si="575"/>
        <v>1.1187499999999999</v>
      </c>
      <c r="BE79" s="35">
        <f t="shared" si="576"/>
        <v>1.0804687499999999</v>
      </c>
      <c r="BF79" s="35">
        <f t="shared" si="577"/>
        <v>4.9499322305021076E-2</v>
      </c>
      <c r="BG79" s="35">
        <f t="shared" si="578"/>
        <v>1.0804687499999999</v>
      </c>
      <c r="BH79" s="35">
        <f t="shared" si="579"/>
        <v>1.1187499999999999</v>
      </c>
      <c r="BI79" s="35">
        <f t="shared" si="580"/>
        <v>1.099609375</v>
      </c>
      <c r="BJ79" s="35">
        <f t="shared" si="581"/>
        <v>2.4215874988509523E-2</v>
      </c>
      <c r="BK79" s="35">
        <f t="shared" si="582"/>
        <v>1.099609375</v>
      </c>
      <c r="BL79" s="35">
        <f t="shared" si="583"/>
        <v>1.1187499999999999</v>
      </c>
      <c r="BM79" s="35">
        <f t="shared" si="584"/>
        <v>1.1091796875</v>
      </c>
      <c r="BN79" s="35">
        <f t="shared" si="585"/>
        <v>1.1840839723322727E-2</v>
      </c>
      <c r="BO79" s="35">
        <f t="shared" si="586"/>
        <v>1.1091796875</v>
      </c>
      <c r="BP79" s="35">
        <f t="shared" si="587"/>
        <v>1.1187499999999999</v>
      </c>
      <c r="BQ79" s="35">
        <f t="shared" si="588"/>
        <v>1.1139648437499998</v>
      </c>
      <c r="BR79" s="35">
        <f t="shared" si="589"/>
        <v>5.718742892850015E-3</v>
      </c>
      <c r="BS79" s="35">
        <f t="shared" si="590"/>
        <v>1.1139648437499998</v>
      </c>
      <c r="BT79" s="35">
        <f t="shared" si="591"/>
        <v>1.1187499999999999</v>
      </c>
      <c r="BU79" s="35">
        <f t="shared" si="592"/>
        <v>1.1163574218749999</v>
      </c>
      <c r="BV79" s="35">
        <f t="shared" si="593"/>
        <v>2.6738958979999339E-3</v>
      </c>
      <c r="BW79" s="35">
        <f t="shared" si="594"/>
        <v>1.1163574218749999</v>
      </c>
      <c r="BX79" s="35">
        <f t="shared" si="595"/>
        <v>1.1187499999999999</v>
      </c>
      <c r="BY79" s="35">
        <f t="shared" si="596"/>
        <v>1.1175537109375</v>
      </c>
      <c r="BZ79" s="35">
        <f t="shared" si="597"/>
        <v>1.1555036951478304E-3</v>
      </c>
      <c r="CA79" s="35">
        <f t="shared" si="598"/>
        <v>1.1175537109375</v>
      </c>
      <c r="CB79" s="35">
        <f t="shared" si="599"/>
        <v>1.1187499999999999</v>
      </c>
      <c r="CC79" s="35">
        <f t="shared" si="600"/>
        <v>1.11815185546875</v>
      </c>
      <c r="CD79" s="35">
        <f t="shared" si="601"/>
        <v>3.9731304484758034E-4</v>
      </c>
      <c r="CE79" s="35">
        <f t="shared" si="602"/>
        <v>1.11815185546875</v>
      </c>
      <c r="CF79" s="35">
        <f t="shared" si="603"/>
        <v>1.1187499999999999</v>
      </c>
      <c r="CG79" s="35">
        <f t="shared" si="604"/>
        <v>1.1184509277343748</v>
      </c>
      <c r="CH79" s="35">
        <f t="shared" si="605"/>
        <v>1.8468786539660442E-5</v>
      </c>
      <c r="CI79" s="35">
        <f t="shared" si="606"/>
        <v>1.1184509277343748</v>
      </c>
      <c r="CJ79" s="35">
        <f t="shared" si="607"/>
        <v>1.1187499999999999</v>
      </c>
      <c r="CK79" s="35">
        <f t="shared" si="608"/>
        <v>1.1186004638671874</v>
      </c>
      <c r="CL79" s="35">
        <f t="shared" si="609"/>
        <v>-1.7089061285713303E-4</v>
      </c>
      <c r="CM79" s="35">
        <f t="shared" si="610"/>
        <v>1.1184509277343748</v>
      </c>
      <c r="CN79" s="35">
        <f t="shared" si="611"/>
        <v>1.1186004638671874</v>
      </c>
      <c r="CO79" s="35">
        <f t="shared" si="612"/>
        <v>1.118525695800781</v>
      </c>
      <c r="CP79" s="35">
        <f t="shared" si="613"/>
        <v>-7.6216139539009298E-5</v>
      </c>
      <c r="CQ79" s="35">
        <f t="shared" si="614"/>
        <v>1.1184509277343748</v>
      </c>
      <c r="CR79" s="35">
        <f t="shared" si="615"/>
        <v>1.118525695800781</v>
      </c>
      <c r="CS79" s="35">
        <f t="shared" si="616"/>
        <v>1.1184883117675779</v>
      </c>
      <c r="CT79" s="35">
        <f t="shared" si="617"/>
        <v>-2.8874983177273883E-5</v>
      </c>
      <c r="CU79" s="35">
        <f t="shared" si="618"/>
        <v>1.1184509277343748</v>
      </c>
      <c r="CV79" s="35">
        <f t="shared" si="619"/>
        <v>1.1184883117675779</v>
      </c>
      <c r="CW79" s="35">
        <f t="shared" si="620"/>
        <v>1.1184696197509765</v>
      </c>
      <c r="CX79" s="35">
        <f t="shared" si="621"/>
        <v>-5.2034249985455361E-6</v>
      </c>
      <c r="CY79" s="35">
        <f t="shared" si="622"/>
        <v>1.1184509277343748</v>
      </c>
      <c r="CZ79" s="35">
        <f t="shared" si="623"/>
        <v>1.1184696197509765</v>
      </c>
      <c r="DA79" s="35">
        <f t="shared" si="624"/>
        <v>1.1184602737426756</v>
      </c>
      <c r="DB79" s="35">
        <f t="shared" si="625"/>
        <v>6.6325990992766037E-6</v>
      </c>
      <c r="DC79" s="35">
        <f t="shared" si="626"/>
        <v>1.1184602737426756</v>
      </c>
      <c r="DD79" s="35">
        <f t="shared" si="627"/>
        <v>1.1184696197509765</v>
      </c>
      <c r="DE79" s="35">
        <f t="shared" si="628"/>
        <v>1.1184649467468262</v>
      </c>
      <c r="DF79" s="35">
        <f t="shared" si="629"/>
        <v>7.1456663275348831E-7</v>
      </c>
      <c r="DG79" s="35">
        <f t="shared" si="630"/>
        <v>1.1184649467468262</v>
      </c>
      <c r="DH79" s="35">
        <f t="shared" si="631"/>
        <v>1.1184696197509765</v>
      </c>
      <c r="DI79" s="35">
        <f t="shared" si="632"/>
        <v>1.1184672832489013</v>
      </c>
      <c r="DJ79" s="35">
        <f t="shared" si="633"/>
        <v>-2.2444342874239354E-6</v>
      </c>
      <c r="DK79" s="35">
        <f t="shared" si="634"/>
        <v>1.1184649467468262</v>
      </c>
      <c r="DL79" s="35">
        <f t="shared" si="635"/>
        <v>1.1184672832489013</v>
      </c>
      <c r="DM79" s="35">
        <f t="shared" si="636"/>
        <v>1.1184661149978639</v>
      </c>
      <c r="DN79" s="35">
        <f t="shared" si="637"/>
        <v>-7.6493510359210148E-7</v>
      </c>
      <c r="DO79" s="35">
        <f t="shared" si="638"/>
        <v>1.1184649467468262</v>
      </c>
      <c r="DP79" s="35">
        <f t="shared" si="639"/>
        <v>1.1184661149978639</v>
      </c>
      <c r="DQ79" s="35">
        <f t="shared" si="640"/>
        <v>1.118465530872345</v>
      </c>
      <c r="DR79" s="35">
        <f t="shared" si="641"/>
        <v>-2.5184554441892715E-8</v>
      </c>
      <c r="DS79" s="35">
        <f t="shared" si="642"/>
        <v>1.1184649467468262</v>
      </c>
      <c r="DT79" s="35">
        <f t="shared" si="643"/>
        <v>1.118465530872345</v>
      </c>
      <c r="DU79" s="35">
        <f t="shared" si="644"/>
        <v>1.1184652388095855</v>
      </c>
      <c r="DV79" s="35">
        <f t="shared" si="645"/>
        <v>3.4469095955280693E-7</v>
      </c>
      <c r="DW79" s="35">
        <f t="shared" si="646"/>
        <v>1.1184652388095855</v>
      </c>
      <c r="DX79" s="35">
        <f t="shared" si="647"/>
        <v>1.118465530872345</v>
      </c>
      <c r="DY79" s="35">
        <f t="shared" si="648"/>
        <v>1.1184653848409654</v>
      </c>
      <c r="DZ79" s="35">
        <f t="shared" si="649"/>
        <v>1.5975318246042036E-7</v>
      </c>
      <c r="EA79" s="35">
        <f t="shared" si="650"/>
        <v>1.1184653848409654</v>
      </c>
      <c r="EB79" s="35">
        <f t="shared" si="651"/>
        <v>1.118465530872345</v>
      </c>
      <c r="EC79" s="35">
        <f t="shared" si="652"/>
        <v>1.1184654578566553</v>
      </c>
      <c r="ED79" s="35">
        <f t="shared" si="653"/>
        <v>6.7284308791215608E-8</v>
      </c>
      <c r="EE79" s="35">
        <f t="shared" si="654"/>
        <v>1.1184654578566553</v>
      </c>
      <c r="EF79" s="35">
        <f t="shared" si="655"/>
        <v>1.118465530872345</v>
      </c>
      <c r="EG79" s="35">
        <f t="shared" si="656"/>
        <v>1.1184654943645</v>
      </c>
      <c r="EH79" s="35">
        <f t="shared" si="657"/>
        <v>2.1049876064438422E-8</v>
      </c>
      <c r="EI79" s="35">
        <f t="shared" si="658"/>
        <v>1.1184654943645</v>
      </c>
      <c r="EJ79" s="35">
        <f t="shared" si="659"/>
        <v>1.118465530872345</v>
      </c>
      <c r="EK79" s="35">
        <f t="shared" si="660"/>
        <v>1.1184655126184224</v>
      </c>
      <c r="EL79" s="35">
        <f t="shared" si="661"/>
        <v>-2.0673392997494489E-9</v>
      </c>
      <c r="EM79" s="35">
        <f t="shared" si="662"/>
        <v>1.1184654943645</v>
      </c>
      <c r="EN79" s="35">
        <f t="shared" si="663"/>
        <v>1.1184655126184224</v>
      </c>
      <c r="EO79" s="35">
        <f t="shared" si="664"/>
        <v>1.1184655034914612</v>
      </c>
      <c r="EP79" s="35">
        <f t="shared" si="665"/>
        <v>9.4912682158110329E-9</v>
      </c>
      <c r="EQ79" s="35">
        <f t="shared" si="666"/>
        <v>1.1184655034914612</v>
      </c>
      <c r="ER79" s="35">
        <f t="shared" si="667"/>
        <v>1.1184655126184224</v>
      </c>
      <c r="ES79" s="35">
        <f t="shared" si="668"/>
        <v>1.1184655080549417</v>
      </c>
      <c r="ET79" s="35">
        <f t="shared" si="669"/>
        <v>3.7119645135419432E-9</v>
      </c>
      <c r="EU79" s="35">
        <f t="shared" si="670"/>
        <v>1.1184655080549417</v>
      </c>
      <c r="EV79" s="35">
        <f t="shared" si="671"/>
        <v>1.1184655126184224</v>
      </c>
      <c r="EW79" s="35">
        <f t="shared" si="672"/>
        <v>1.1184655103366821</v>
      </c>
      <c r="EX79" s="35">
        <f t="shared" si="673"/>
        <v>8.2231266240739842E-10</v>
      </c>
      <c r="EY79" s="35">
        <f t="shared" si="674"/>
        <v>1.1184655103366821</v>
      </c>
      <c r="EZ79" s="35">
        <f t="shared" si="675"/>
        <v>1.1184655126184224</v>
      </c>
      <c r="FA79" s="10">
        <v>9.9999999999999995E-7</v>
      </c>
      <c r="FB79" s="10">
        <v>0.99990000000000001</v>
      </c>
      <c r="FC79" s="35">
        <f t="shared" si="676"/>
        <v>0.49995050000000002</v>
      </c>
      <c r="FD79" s="35">
        <f t="shared" si="677"/>
        <v>-0.48514369698362381</v>
      </c>
      <c r="FE79" s="35">
        <f t="shared" si="678"/>
        <v>9.9999999999999995E-7</v>
      </c>
      <c r="FF79" s="35">
        <f t="shared" si="679"/>
        <v>0.49995050000000002</v>
      </c>
      <c r="FG79" s="35">
        <f t="shared" si="680"/>
        <v>0.24997575</v>
      </c>
      <c r="FH79" s="35">
        <f t="shared" si="681"/>
        <v>-0.28320415217380412</v>
      </c>
      <c r="FI79" s="35">
        <f t="shared" si="682"/>
        <v>9.9999999999999995E-7</v>
      </c>
      <c r="FJ79" s="35">
        <f t="shared" si="683"/>
        <v>0.24997575</v>
      </c>
      <c r="FK79" s="35">
        <f t="shared" si="684"/>
        <v>0.124988375</v>
      </c>
      <c r="FL79" s="35">
        <f t="shared" si="685"/>
        <v>-0.13102517762111709</v>
      </c>
      <c r="FM79" s="35">
        <f t="shared" si="686"/>
        <v>9.9999999999999995E-7</v>
      </c>
      <c r="FN79" s="35">
        <f t="shared" si="687"/>
        <v>0.124988375</v>
      </c>
      <c r="FO79" s="35">
        <f t="shared" si="688"/>
        <v>6.24946875E-2</v>
      </c>
      <c r="FP79" s="35">
        <f t="shared" si="689"/>
        <v>-3.4752968270053697E-2</v>
      </c>
      <c r="FQ79" s="35">
        <f t="shared" si="690"/>
        <v>9.9999999999999995E-7</v>
      </c>
      <c r="FR79" s="35">
        <f t="shared" si="691"/>
        <v>6.24946875E-2</v>
      </c>
      <c r="FS79" s="35">
        <f t="shared" si="692"/>
        <v>3.124784375E-2</v>
      </c>
      <c r="FT79" s="35">
        <f t="shared" si="693"/>
        <v>1.9823880429179264E-2</v>
      </c>
      <c r="FU79" s="35">
        <f t="shared" si="694"/>
        <v>3.124784375E-2</v>
      </c>
      <c r="FV79" s="35">
        <f t="shared" si="695"/>
        <v>6.24946875E-2</v>
      </c>
      <c r="FW79" s="35">
        <f t="shared" si="696"/>
        <v>4.6871265624999998E-2</v>
      </c>
      <c r="FX79" s="35">
        <f t="shared" si="697"/>
        <v>-8.0338617621890096E-3</v>
      </c>
      <c r="FY79" s="35">
        <f t="shared" si="698"/>
        <v>3.124784375E-2</v>
      </c>
      <c r="FZ79" s="35">
        <f t="shared" si="699"/>
        <v>4.6871265624999998E-2</v>
      </c>
      <c r="GA79" s="35">
        <f t="shared" si="700"/>
        <v>3.9059554687499998E-2</v>
      </c>
      <c r="GB79" s="35">
        <f t="shared" si="701"/>
        <v>5.7518750617246983E-3</v>
      </c>
      <c r="GC79" s="35">
        <f t="shared" si="702"/>
        <v>3.9059554687499998E-2</v>
      </c>
      <c r="GD79" s="35">
        <f t="shared" si="703"/>
        <v>4.6871265624999998E-2</v>
      </c>
      <c r="GE79" s="35">
        <f t="shared" si="704"/>
        <v>4.2965410156249995E-2</v>
      </c>
      <c r="GF79" s="35">
        <f t="shared" si="705"/>
        <v>-1.1767486881519851E-3</v>
      </c>
      <c r="GG79" s="35">
        <f t="shared" si="706"/>
        <v>3.9059554687499998E-2</v>
      </c>
      <c r="GH79" s="35">
        <f t="shared" si="707"/>
        <v>4.2965410156249995E-2</v>
      </c>
      <c r="GI79" s="35">
        <f t="shared" si="708"/>
        <v>4.1012482421874996E-2</v>
      </c>
      <c r="GJ79" s="35">
        <f t="shared" si="709"/>
        <v>2.2786158782657218E-3</v>
      </c>
      <c r="GK79" s="35">
        <f t="shared" si="710"/>
        <v>4.1012482421874996E-2</v>
      </c>
      <c r="GL79" s="35">
        <f t="shared" si="711"/>
        <v>4.2965410156249995E-2</v>
      </c>
      <c r="GM79" s="35">
        <f t="shared" si="712"/>
        <v>4.1988946289062495E-2</v>
      </c>
      <c r="GN79" s="35">
        <f t="shared" si="713"/>
        <v>5.4869753059594295E-4</v>
      </c>
      <c r="GO79" s="35">
        <f t="shared" si="714"/>
        <v>4.1988946289062495E-2</v>
      </c>
      <c r="GP79" s="35">
        <f t="shared" si="715"/>
        <v>4.2965410156249995E-2</v>
      </c>
      <c r="GQ79" s="35">
        <f t="shared" si="716"/>
        <v>4.2477178222656245E-2</v>
      </c>
      <c r="GR79" s="35">
        <f t="shared" si="717"/>
        <v>-3.1458447314325344E-4</v>
      </c>
      <c r="GS79" s="35">
        <f t="shared" si="718"/>
        <v>4.1988946289062495E-2</v>
      </c>
      <c r="GT79" s="35">
        <f t="shared" si="719"/>
        <v>4.2477178222656245E-2</v>
      </c>
      <c r="GU79" s="35">
        <f t="shared" si="720"/>
        <v>4.223306225585937E-2</v>
      </c>
      <c r="GV79" s="35">
        <f t="shared" si="721"/>
        <v>1.1691678875158651E-4</v>
      </c>
      <c r="GW79" s="35">
        <f t="shared" si="722"/>
        <v>4.223306225585937E-2</v>
      </c>
      <c r="GX79" s="35">
        <f t="shared" si="723"/>
        <v>4.2477178222656245E-2</v>
      </c>
      <c r="GY79" s="35">
        <f t="shared" si="724"/>
        <v>4.2355120239257804E-2</v>
      </c>
      <c r="GZ79" s="35">
        <f t="shared" si="725"/>
        <v>-9.8868775213922788E-5</v>
      </c>
      <c r="HA79" s="35">
        <f t="shared" si="726"/>
        <v>4.223306225585937E-2</v>
      </c>
      <c r="HB79" s="35">
        <f t="shared" si="727"/>
        <v>4.2355120239257804E-2</v>
      </c>
      <c r="HC79" s="35">
        <f t="shared" si="728"/>
        <v>4.2294091247558591E-2</v>
      </c>
      <c r="HD79" s="35">
        <f t="shared" si="729"/>
        <v>9.0152732628023813E-6</v>
      </c>
      <c r="HE79" s="35">
        <f t="shared" si="730"/>
        <v>4.2294091247558591E-2</v>
      </c>
      <c r="HF79" s="35">
        <f t="shared" si="731"/>
        <v>4.2355120239257804E-2</v>
      </c>
      <c r="HG79" s="35">
        <f t="shared" si="732"/>
        <v>4.2324605743408197E-2</v>
      </c>
      <c r="HH79" s="35">
        <f t="shared" si="733"/>
        <v>-4.4928934320953573E-5</v>
      </c>
      <c r="HI79" s="35">
        <f t="shared" si="734"/>
        <v>4.2294091247558591E-2</v>
      </c>
      <c r="HJ79" s="35">
        <f t="shared" si="735"/>
        <v>4.2324605743408197E-2</v>
      </c>
      <c r="HK79" s="35">
        <f t="shared" si="736"/>
        <v>4.2309348495483394E-2</v>
      </c>
      <c r="HL79" s="35">
        <f t="shared" si="737"/>
        <v>-1.795737636911543E-5</v>
      </c>
      <c r="HM79" s="35">
        <f t="shared" si="738"/>
        <v>4.2294091247558591E-2</v>
      </c>
      <c r="HN79" s="35">
        <f t="shared" si="739"/>
        <v>4.2309348495483394E-2</v>
      </c>
      <c r="HO79" s="35">
        <f t="shared" si="740"/>
        <v>4.2301719871520996E-2</v>
      </c>
      <c r="HP79" s="35">
        <f t="shared" si="741"/>
        <v>-4.4711880136105719E-6</v>
      </c>
      <c r="HQ79" s="35">
        <f t="shared" si="742"/>
        <v>4.2294091247558591E-2</v>
      </c>
      <c r="HR79" s="35">
        <f t="shared" si="743"/>
        <v>4.2301719871520996E-2</v>
      </c>
      <c r="HS79" s="35">
        <f t="shared" si="744"/>
        <v>4.2297905559539793E-2</v>
      </c>
      <c r="HT79" s="35">
        <f t="shared" si="745"/>
        <v>2.2720085093297371E-6</v>
      </c>
      <c r="HU79" s="35">
        <f t="shared" si="746"/>
        <v>4.2297905559539793E-2</v>
      </c>
      <c r="HV79" s="35">
        <f t="shared" si="747"/>
        <v>4.2301719871520996E-2</v>
      </c>
      <c r="HW79" s="35">
        <f t="shared" si="748"/>
        <v>4.2299812715530391E-2</v>
      </c>
      <c r="HX79" s="35">
        <f t="shared" si="749"/>
        <v>-1.0995982809847149E-6</v>
      </c>
      <c r="HY79" s="35">
        <f t="shared" si="750"/>
        <v>4.2297905559539793E-2</v>
      </c>
      <c r="HZ79" s="35">
        <f t="shared" si="751"/>
        <v>4.2299812715530391E-2</v>
      </c>
      <c r="IA79" s="35">
        <f t="shared" si="752"/>
        <v>4.2298859137535089E-2</v>
      </c>
      <c r="IB79" s="35">
        <f t="shared" si="753"/>
        <v>5.8620298193368114E-7</v>
      </c>
      <c r="IC79" s="35">
        <f t="shared" si="754"/>
        <v>4.2298859137535089E-2</v>
      </c>
      <c r="ID79" s="35">
        <f t="shared" si="755"/>
        <v>4.2299812715530391E-2</v>
      </c>
      <c r="IE79" s="35">
        <f t="shared" si="756"/>
        <v>4.229933592653274E-2</v>
      </c>
      <c r="IF79" s="35">
        <f t="shared" si="757"/>
        <v>-2.5669818226603525E-7</v>
      </c>
      <c r="IG79" s="35">
        <f t="shared" si="758"/>
        <v>4.2298859137535089E-2</v>
      </c>
      <c r="IH79" s="35">
        <f t="shared" si="759"/>
        <v>4.229933592653274E-2</v>
      </c>
      <c r="II79" s="35">
        <f t="shared" si="760"/>
        <v>4.2299097532033911E-2</v>
      </c>
      <c r="IJ79" s="35">
        <f t="shared" si="761"/>
        <v>1.6475226649603769E-7</v>
      </c>
      <c r="IK79" s="35">
        <f t="shared" si="762"/>
        <v>4.2299097532033911E-2</v>
      </c>
      <c r="IL79" s="35">
        <f t="shared" si="763"/>
        <v>4.229933592653274E-2</v>
      </c>
      <c r="IM79" s="35">
        <f t="shared" si="764"/>
        <v>4.2299216729283329E-2</v>
      </c>
      <c r="IN79" s="35">
        <f t="shared" si="765"/>
        <v>-4.5972991302711819E-8</v>
      </c>
      <c r="IO79" s="35">
        <f t="shared" si="766"/>
        <v>4.2299097532033911E-2</v>
      </c>
      <c r="IP79" s="35">
        <f t="shared" si="767"/>
        <v>4.2299216729283329E-2</v>
      </c>
      <c r="IQ79" s="35">
        <f t="shared" si="768"/>
        <v>4.229915713065862E-2</v>
      </c>
      <c r="IR79" s="35">
        <f t="shared" si="769"/>
        <v>5.93896292144791E-8</v>
      </c>
      <c r="IS79" s="35">
        <f t="shared" si="770"/>
        <v>4.229915713065862E-2</v>
      </c>
      <c r="IT79" s="35">
        <f t="shared" si="771"/>
        <v>4.2299216729283329E-2</v>
      </c>
      <c r="IU79" s="35">
        <f t="shared" si="772"/>
        <v>4.2299186929970978E-2</v>
      </c>
      <c r="IV79" s="35">
        <f t="shared" si="773"/>
        <v>6.7083167909487429E-9</v>
      </c>
      <c r="IW79" s="35">
        <f t="shared" si="774"/>
        <v>4.2299186929970978E-2</v>
      </c>
      <c r="IX79" s="35">
        <f t="shared" si="775"/>
        <v>4.2299216729283329E-2</v>
      </c>
      <c r="IY79" s="35">
        <f t="shared" si="776"/>
        <v>4.2299201829627153E-2</v>
      </c>
      <c r="IZ79" s="35">
        <f t="shared" si="777"/>
        <v>-1.9632337644459597E-8</v>
      </c>
      <c r="JA79" s="35">
        <f t="shared" si="778"/>
        <v>4.2299186929970978E-2</v>
      </c>
      <c r="JB79" s="35">
        <f t="shared" si="779"/>
        <v>4.2299201829627153E-2</v>
      </c>
      <c r="JC79" s="35">
        <f t="shared" si="780"/>
        <v>4.2299194379799065E-2</v>
      </c>
      <c r="JD79" s="35">
        <f t="shared" si="781"/>
        <v>-6.462010482266578E-9</v>
      </c>
      <c r="JE79" s="35">
        <f t="shared" si="782"/>
        <v>4.2299186929970978E-2</v>
      </c>
      <c r="JF79" s="35">
        <f t="shared" si="783"/>
        <v>4.2299194379799065E-2</v>
      </c>
      <c r="JG79" s="35">
        <f t="shared" si="784"/>
        <v>4.2299190654885022E-2</v>
      </c>
      <c r="JH79" s="35">
        <f t="shared" si="785"/>
        <v>1.2315304331877996E-10</v>
      </c>
      <c r="JI79" s="35">
        <f t="shared" si="786"/>
        <v>4.2299190654885022E-2</v>
      </c>
      <c r="JJ79" s="35">
        <f t="shared" si="787"/>
        <v>4.2299194379799065E-2</v>
      </c>
      <c r="JK79" s="35">
        <f t="shared" si="788"/>
        <v>4.2299192517342044E-2</v>
      </c>
      <c r="JL79" s="35">
        <f t="shared" si="789"/>
        <v>-3.1694286084515966E-9</v>
      </c>
      <c r="JM79" s="35">
        <f t="shared" si="790"/>
        <v>4.2299190654885022E-2</v>
      </c>
      <c r="JN79" s="35">
        <f t="shared" si="791"/>
        <v>4.2299192517342044E-2</v>
      </c>
      <c r="JO79" s="35">
        <f t="shared" si="792"/>
        <v>4.2299191586113533E-2</v>
      </c>
      <c r="JP79" s="35">
        <f t="shared" si="793"/>
        <v>-1.5231378380775595E-9</v>
      </c>
      <c r="JQ79" s="35">
        <f t="shared" si="794"/>
        <v>4.2299190654885022E-2</v>
      </c>
      <c r="JR79" s="35">
        <f t="shared" si="795"/>
        <v>4.2299191586113533E-2</v>
      </c>
      <c r="JS79" s="35">
        <f t="shared" si="796"/>
        <v>4.2299191120499277E-2</v>
      </c>
      <c r="JT79" s="35">
        <f t="shared" si="797"/>
        <v>-6.9999239737938979E-10</v>
      </c>
      <c r="JU79" s="35">
        <f t="shared" si="798"/>
        <v>4.2299190654885022E-2</v>
      </c>
      <c r="JV79" s="35">
        <f t="shared" si="799"/>
        <v>4.2299191120499277E-2</v>
      </c>
      <c r="JW79" s="35">
        <f t="shared" si="800"/>
        <v>4.2299190887692149E-2</v>
      </c>
      <c r="JX79" s="35">
        <f t="shared" si="801"/>
        <v>-2.8841951049685122E-10</v>
      </c>
      <c r="JY79" s="35">
        <f t="shared" si="802"/>
        <v>4.2299190654885022E-2</v>
      </c>
      <c r="JZ79" s="35">
        <f t="shared" si="803"/>
        <v>4.2299190887692149E-2</v>
      </c>
      <c r="KA79" s="35">
        <f t="shared" si="804"/>
        <v>1.1184655114775524</v>
      </c>
      <c r="KB79" s="35">
        <f t="shared" si="805"/>
        <v>4.2299190771288589E-2</v>
      </c>
    </row>
    <row r="80" spans="1:288" ht="15" customHeight="1" x14ac:dyDescent="0.3">
      <c r="A80" s="30">
        <f>Odds_Input!A80</f>
        <v>72</v>
      </c>
      <c r="B80" s="7" t="str">
        <f>Odds_Input!B80</f>
        <v>DIV_SOUTHEAST</v>
      </c>
      <c r="C80" s="7" t="str">
        <f>Odds_Input!C80</f>
        <v>Miami Heat</v>
      </c>
      <c r="D80" s="7" t="str">
        <f>Odds_Input!D80</f>
        <v>YES</v>
      </c>
      <c r="E80" s="31" t="str">
        <f>Odds_Input!E80</f>
        <v>-</v>
      </c>
      <c r="F80" s="32">
        <f>Odds_Input!F80</f>
        <v>175</v>
      </c>
      <c r="G80" s="6" t="str">
        <f t="shared" si="533"/>
        <v>DIV_SOUTHEAST</v>
      </c>
      <c r="H80" s="14">
        <f t="shared" si="534"/>
        <v>2.75</v>
      </c>
      <c r="I80" s="33">
        <f t="shared" si="535"/>
        <v>0.36363636363636365</v>
      </c>
      <c r="J80" s="17">
        <f t="shared" si="536"/>
        <v>1</v>
      </c>
      <c r="K80" s="17">
        <f t="shared" si="537"/>
        <v>5</v>
      </c>
      <c r="L80" s="18">
        <f t="shared" si="538"/>
        <v>1.118450515002239</v>
      </c>
      <c r="M80" s="34">
        <f t="shared" si="539"/>
        <v>0.11845051500223902</v>
      </c>
      <c r="N80" s="33">
        <f t="shared" si="540"/>
        <v>0.32512512512512515</v>
      </c>
      <c r="O80" s="33">
        <f t="shared" si="541"/>
        <v>0.33472722792028897</v>
      </c>
      <c r="P80" s="33">
        <f t="shared" si="542"/>
        <v>0.33393341839158242</v>
      </c>
      <c r="Q80" s="33">
        <f t="shared" si="543"/>
        <v>0.33393341839158242</v>
      </c>
      <c r="R80" s="35">
        <f t="shared" si="544"/>
        <v>1.0818884317064659</v>
      </c>
      <c r="S80" s="35">
        <f t="shared" si="545"/>
        <v>3.0193926930267709E-2</v>
      </c>
      <c r="X80" s="6" t="s">
        <v>290</v>
      </c>
      <c r="Y80" s="6">
        <f t="shared" si="546"/>
        <v>1</v>
      </c>
      <c r="Z80" s="18">
        <f t="shared" si="547"/>
        <v>1.1576719576719576</v>
      </c>
      <c r="AA80" s="10">
        <v>0.2</v>
      </c>
      <c r="AB80" s="10">
        <v>10</v>
      </c>
      <c r="AC80" s="35">
        <f t="shared" si="548"/>
        <v>5.0999999999999996</v>
      </c>
      <c r="AD80" s="35">
        <f t="shared" si="549"/>
        <v>-0.98966770260521064</v>
      </c>
      <c r="AE80" s="35">
        <f t="shared" si="550"/>
        <v>0.2</v>
      </c>
      <c r="AF80" s="35">
        <f t="shared" si="551"/>
        <v>5.0999999999999996</v>
      </c>
      <c r="AG80" s="35">
        <f t="shared" si="552"/>
        <v>2.65</v>
      </c>
      <c r="AH80" s="35">
        <f t="shared" si="553"/>
        <v>-0.850897866975592</v>
      </c>
      <c r="AI80" s="35">
        <f t="shared" si="554"/>
        <v>0.2</v>
      </c>
      <c r="AJ80" s="35">
        <f t="shared" si="555"/>
        <v>2.65</v>
      </c>
      <c r="AK80" s="35">
        <f t="shared" si="556"/>
        <v>1.425</v>
      </c>
      <c r="AL80" s="35">
        <f t="shared" si="557"/>
        <v>-0.34111970307735606</v>
      </c>
      <c r="AM80" s="35">
        <f t="shared" si="558"/>
        <v>0.2</v>
      </c>
      <c r="AN80" s="35">
        <f t="shared" si="559"/>
        <v>1.425</v>
      </c>
      <c r="AO80" s="35">
        <f t="shared" si="560"/>
        <v>0.8125</v>
      </c>
      <c r="AP80" s="35">
        <f t="shared" si="561"/>
        <v>0.49973167196872814</v>
      </c>
      <c r="AQ80" s="35">
        <f t="shared" si="562"/>
        <v>0.8125</v>
      </c>
      <c r="AR80" s="35">
        <f t="shared" si="563"/>
        <v>1.425</v>
      </c>
      <c r="AS80" s="35">
        <f t="shared" si="564"/>
        <v>1.1187499999999999</v>
      </c>
      <c r="AT80" s="35">
        <f t="shared" si="565"/>
        <v>-1.4089817311112585E-2</v>
      </c>
      <c r="AU80" s="35">
        <f t="shared" si="566"/>
        <v>0.8125</v>
      </c>
      <c r="AV80" s="35">
        <f t="shared" si="567"/>
        <v>1.1187499999999999</v>
      </c>
      <c r="AW80" s="35">
        <f t="shared" si="568"/>
        <v>0.96562499999999996</v>
      </c>
      <c r="AX80" s="35">
        <f t="shared" si="569"/>
        <v>0.21334144370453867</v>
      </c>
      <c r="AY80" s="35">
        <f t="shared" si="570"/>
        <v>0.96562499999999996</v>
      </c>
      <c r="AZ80" s="35">
        <f t="shared" si="571"/>
        <v>1.1187499999999999</v>
      </c>
      <c r="BA80" s="35">
        <f t="shared" si="572"/>
        <v>1.0421874999999998</v>
      </c>
      <c r="BB80" s="35">
        <f t="shared" si="573"/>
        <v>9.315184066905946E-2</v>
      </c>
      <c r="BC80" s="35">
        <f t="shared" si="574"/>
        <v>1.0421874999999998</v>
      </c>
      <c r="BD80" s="35">
        <f t="shared" si="575"/>
        <v>1.1187499999999999</v>
      </c>
      <c r="BE80" s="35">
        <f t="shared" si="576"/>
        <v>1.0804687499999999</v>
      </c>
      <c r="BF80" s="35">
        <f t="shared" si="577"/>
        <v>3.8011726317066508E-2</v>
      </c>
      <c r="BG80" s="35">
        <f t="shared" si="578"/>
        <v>1.0804687499999999</v>
      </c>
      <c r="BH80" s="35">
        <f t="shared" si="579"/>
        <v>1.1187499999999999</v>
      </c>
      <c r="BI80" s="35">
        <f t="shared" si="580"/>
        <v>1.099609375</v>
      </c>
      <c r="BJ80" s="35">
        <f t="shared" si="581"/>
        <v>1.1592818260840687E-2</v>
      </c>
      <c r="BK80" s="35">
        <f t="shared" si="582"/>
        <v>1.099609375</v>
      </c>
      <c r="BL80" s="35">
        <f t="shared" si="583"/>
        <v>1.1187499999999999</v>
      </c>
      <c r="BM80" s="35">
        <f t="shared" si="584"/>
        <v>1.1091796875</v>
      </c>
      <c r="BN80" s="35">
        <f t="shared" si="585"/>
        <v>-1.3391153430748481E-3</v>
      </c>
      <c r="BO80" s="35">
        <f t="shared" si="586"/>
        <v>1.099609375</v>
      </c>
      <c r="BP80" s="35">
        <f t="shared" si="587"/>
        <v>1.1091796875</v>
      </c>
      <c r="BQ80" s="35">
        <f t="shared" si="588"/>
        <v>1.1043945312500001</v>
      </c>
      <c r="BR80" s="35">
        <f t="shared" si="589"/>
        <v>5.1040220732920805E-3</v>
      </c>
      <c r="BS80" s="35">
        <f t="shared" si="590"/>
        <v>1.1043945312500001</v>
      </c>
      <c r="BT80" s="35">
        <f t="shared" si="591"/>
        <v>1.1091796875</v>
      </c>
      <c r="BU80" s="35">
        <f t="shared" si="592"/>
        <v>1.1067871093749999</v>
      </c>
      <c r="BV80" s="35">
        <f t="shared" si="593"/>
        <v>1.8767680620515037E-3</v>
      </c>
      <c r="BW80" s="35">
        <f t="shared" si="594"/>
        <v>1.1067871093749999</v>
      </c>
      <c r="BX80" s="35">
        <f t="shared" si="595"/>
        <v>1.1091796875</v>
      </c>
      <c r="BY80" s="35">
        <f t="shared" si="596"/>
        <v>1.1079833984374998</v>
      </c>
      <c r="BZ80" s="35">
        <f t="shared" si="597"/>
        <v>2.6740777908740299E-4</v>
      </c>
      <c r="CA80" s="35">
        <f t="shared" si="598"/>
        <v>1.1079833984374998</v>
      </c>
      <c r="CB80" s="35">
        <f t="shared" si="599"/>
        <v>1.1091796875</v>
      </c>
      <c r="CC80" s="35">
        <f t="shared" si="600"/>
        <v>1.10858154296875</v>
      </c>
      <c r="CD80" s="35">
        <f t="shared" si="601"/>
        <v>-5.3620808455023816E-4</v>
      </c>
      <c r="CE80" s="35">
        <f t="shared" si="602"/>
        <v>1.1079833984374998</v>
      </c>
      <c r="CF80" s="35">
        <f t="shared" si="603"/>
        <v>1.10858154296875</v>
      </c>
      <c r="CG80" s="35">
        <f t="shared" si="604"/>
        <v>1.1082824707031249</v>
      </c>
      <c r="CH80" s="35">
        <f t="shared" si="605"/>
        <v>-1.344887711605125E-4</v>
      </c>
      <c r="CI80" s="35">
        <f t="shared" si="606"/>
        <v>1.1079833984374998</v>
      </c>
      <c r="CJ80" s="35">
        <f t="shared" si="607"/>
        <v>1.1082824707031249</v>
      </c>
      <c r="CK80" s="35">
        <f t="shared" si="608"/>
        <v>1.1081329345703124</v>
      </c>
      <c r="CL80" s="35">
        <f t="shared" si="609"/>
        <v>6.6437344004910415E-5</v>
      </c>
      <c r="CM80" s="35">
        <f t="shared" si="610"/>
        <v>1.1081329345703124</v>
      </c>
      <c r="CN80" s="35">
        <f t="shared" si="611"/>
        <v>1.1082824707031249</v>
      </c>
      <c r="CO80" s="35">
        <f t="shared" si="612"/>
        <v>1.1082077026367188</v>
      </c>
      <c r="CP80" s="35">
        <f t="shared" si="613"/>
        <v>-3.4031252898580888E-5</v>
      </c>
      <c r="CQ80" s="35">
        <f t="shared" si="614"/>
        <v>1.1081329345703124</v>
      </c>
      <c r="CR80" s="35">
        <f t="shared" si="615"/>
        <v>1.1082077026367188</v>
      </c>
      <c r="CS80" s="35">
        <f t="shared" si="616"/>
        <v>1.1081703186035154</v>
      </c>
      <c r="CT80" s="35">
        <f t="shared" si="617"/>
        <v>1.6201660639536541E-5</v>
      </c>
      <c r="CU80" s="35">
        <f t="shared" si="618"/>
        <v>1.1081703186035154</v>
      </c>
      <c r="CV80" s="35">
        <f t="shared" si="619"/>
        <v>1.1082077026367188</v>
      </c>
      <c r="CW80" s="35">
        <f t="shared" si="620"/>
        <v>1.1081890106201171</v>
      </c>
      <c r="CX80" s="35">
        <f t="shared" si="621"/>
        <v>-8.9151423474653768E-6</v>
      </c>
      <c r="CY80" s="35">
        <f t="shared" si="622"/>
        <v>1.1081703186035154</v>
      </c>
      <c r="CZ80" s="35">
        <f t="shared" si="623"/>
        <v>1.1081890106201171</v>
      </c>
      <c r="DA80" s="35">
        <f t="shared" si="624"/>
        <v>1.1081796646118163</v>
      </c>
      <c r="DB80" s="35">
        <f t="shared" si="625"/>
        <v>3.643172590273025E-6</v>
      </c>
      <c r="DC80" s="35">
        <f t="shared" si="626"/>
        <v>1.1081796646118163</v>
      </c>
      <c r="DD80" s="35">
        <f t="shared" si="627"/>
        <v>1.1081890106201171</v>
      </c>
      <c r="DE80" s="35">
        <f t="shared" si="628"/>
        <v>1.1081843376159668</v>
      </c>
      <c r="DF80" s="35">
        <f t="shared" si="629"/>
        <v>-2.6360065175090597E-6</v>
      </c>
      <c r="DG80" s="35">
        <f t="shared" si="630"/>
        <v>1.1081796646118163</v>
      </c>
      <c r="DH80" s="35">
        <f t="shared" si="631"/>
        <v>1.1081843376159668</v>
      </c>
      <c r="DI80" s="35">
        <f t="shared" si="632"/>
        <v>1.1081820011138914</v>
      </c>
      <c r="DJ80" s="35">
        <f t="shared" si="633"/>
        <v>5.0357762670927286E-7</v>
      </c>
      <c r="DK80" s="35">
        <f t="shared" si="634"/>
        <v>1.1081820011138914</v>
      </c>
      <c r="DL80" s="35">
        <f t="shared" si="635"/>
        <v>1.1081843376159668</v>
      </c>
      <c r="DM80" s="35">
        <f t="shared" si="636"/>
        <v>1.1081831693649291</v>
      </c>
      <c r="DN80" s="35">
        <f t="shared" si="637"/>
        <v>-1.0662157977625597E-6</v>
      </c>
      <c r="DO80" s="35">
        <f t="shared" si="638"/>
        <v>1.1081820011138914</v>
      </c>
      <c r="DP80" s="35">
        <f t="shared" si="639"/>
        <v>1.1081831693649291</v>
      </c>
      <c r="DQ80" s="35">
        <f t="shared" si="640"/>
        <v>1.1081825852394103</v>
      </c>
      <c r="DR80" s="35">
        <f t="shared" si="641"/>
        <v>-2.8131942342302096E-7</v>
      </c>
      <c r="DS80" s="35">
        <f t="shared" si="642"/>
        <v>1.1081820011138914</v>
      </c>
      <c r="DT80" s="35">
        <f t="shared" si="643"/>
        <v>1.1081825852394103</v>
      </c>
      <c r="DU80" s="35">
        <f t="shared" si="644"/>
        <v>1.1081822931766507</v>
      </c>
      <c r="DV80" s="35">
        <f t="shared" si="645"/>
        <v>1.1112901709964262E-7</v>
      </c>
      <c r="DW80" s="35">
        <f t="shared" si="646"/>
        <v>1.1081822931766507</v>
      </c>
      <c r="DX80" s="35">
        <f t="shared" si="647"/>
        <v>1.1081825852394103</v>
      </c>
      <c r="DY80" s="35">
        <f t="shared" si="648"/>
        <v>1.1081824392080306</v>
      </c>
      <c r="DZ80" s="35">
        <f t="shared" si="649"/>
        <v>-8.5095224533482394E-8</v>
      </c>
      <c r="EA80" s="35">
        <f t="shared" si="650"/>
        <v>1.1081822931766507</v>
      </c>
      <c r="EB80" s="35">
        <f t="shared" si="651"/>
        <v>1.1081824392080306</v>
      </c>
      <c r="EC80" s="35">
        <f t="shared" si="652"/>
        <v>1.1081823661923407</v>
      </c>
      <c r="ED80" s="35">
        <f t="shared" si="653"/>
        <v>1.301689112054305E-8</v>
      </c>
      <c r="EE80" s="35">
        <f t="shared" si="654"/>
        <v>1.1081823661923407</v>
      </c>
      <c r="EF80" s="35">
        <f t="shared" si="655"/>
        <v>1.1081824392080306</v>
      </c>
      <c r="EG80" s="35">
        <f t="shared" si="656"/>
        <v>1.1081824027001856</v>
      </c>
      <c r="EH80" s="35">
        <f t="shared" si="657"/>
        <v>-3.6039168094248453E-8</v>
      </c>
      <c r="EI80" s="35">
        <f t="shared" si="658"/>
        <v>1.1081823661923407</v>
      </c>
      <c r="EJ80" s="35">
        <f t="shared" si="659"/>
        <v>1.1081824027001856</v>
      </c>
      <c r="EK80" s="35">
        <f t="shared" si="660"/>
        <v>1.108182384446263</v>
      </c>
      <c r="EL80" s="35">
        <f t="shared" si="661"/>
        <v>-1.1511138486852701E-8</v>
      </c>
      <c r="EM80" s="35">
        <f t="shared" si="662"/>
        <v>1.1081823661923407</v>
      </c>
      <c r="EN80" s="35">
        <f t="shared" si="663"/>
        <v>1.108182384446263</v>
      </c>
      <c r="EO80" s="35">
        <f t="shared" si="664"/>
        <v>1.1081823753193019</v>
      </c>
      <c r="EP80" s="35">
        <f t="shared" si="665"/>
        <v>7.5287620582287218E-10</v>
      </c>
      <c r="EQ80" s="35">
        <f t="shared" si="666"/>
        <v>1.1081823753193019</v>
      </c>
      <c r="ER80" s="35">
        <f t="shared" si="667"/>
        <v>1.108182384446263</v>
      </c>
      <c r="ES80" s="35">
        <f t="shared" si="668"/>
        <v>1.1081823798827823</v>
      </c>
      <c r="ET80" s="35">
        <f t="shared" si="669"/>
        <v>-5.3791311405149145E-9</v>
      </c>
      <c r="EU80" s="35">
        <f t="shared" si="670"/>
        <v>1.1081823753193019</v>
      </c>
      <c r="EV80" s="35">
        <f t="shared" si="671"/>
        <v>1.1081823798827823</v>
      </c>
      <c r="EW80" s="35">
        <f t="shared" si="672"/>
        <v>1.1081823776010422</v>
      </c>
      <c r="EX80" s="35">
        <f t="shared" si="673"/>
        <v>-2.3131276893906261E-9</v>
      </c>
      <c r="EY80" s="35">
        <f t="shared" si="674"/>
        <v>1.1081823753193019</v>
      </c>
      <c r="EZ80" s="35">
        <f t="shared" si="675"/>
        <v>1.1081823776010422</v>
      </c>
      <c r="FA80" s="10">
        <v>9.9999999999999995E-7</v>
      </c>
      <c r="FB80" s="10">
        <v>0.99990000000000001</v>
      </c>
      <c r="FC80" s="35">
        <f t="shared" si="676"/>
        <v>0.49995050000000002</v>
      </c>
      <c r="FD80" s="35">
        <f t="shared" si="677"/>
        <v>-0.5174489260042604</v>
      </c>
      <c r="FE80" s="35">
        <f t="shared" si="678"/>
        <v>9.9999999999999995E-7</v>
      </c>
      <c r="FF80" s="35">
        <f t="shared" si="679"/>
        <v>0.49995050000000002</v>
      </c>
      <c r="FG80" s="35">
        <f t="shared" si="680"/>
        <v>0.24997575</v>
      </c>
      <c r="FH80" s="35">
        <f t="shared" si="681"/>
        <v>-0.30451399750977404</v>
      </c>
      <c r="FI80" s="35">
        <f t="shared" si="682"/>
        <v>9.9999999999999995E-7</v>
      </c>
      <c r="FJ80" s="35">
        <f t="shared" si="683"/>
        <v>0.24997575</v>
      </c>
      <c r="FK80" s="35">
        <f t="shared" si="684"/>
        <v>0.124988375</v>
      </c>
      <c r="FL80" s="35">
        <f t="shared" si="685"/>
        <v>-0.14190194384591126</v>
      </c>
      <c r="FM80" s="35">
        <f t="shared" si="686"/>
        <v>9.9999999999999995E-7</v>
      </c>
      <c r="FN80" s="35">
        <f t="shared" si="687"/>
        <v>0.124988375</v>
      </c>
      <c r="FO80" s="35">
        <f t="shared" si="688"/>
        <v>6.24946875E-2</v>
      </c>
      <c r="FP80" s="35">
        <f t="shared" si="689"/>
        <v>-4.0175226213018833E-2</v>
      </c>
      <c r="FQ80" s="35">
        <f t="shared" si="690"/>
        <v>9.9999999999999995E-7</v>
      </c>
      <c r="FR80" s="35">
        <f t="shared" si="691"/>
        <v>6.24946875E-2</v>
      </c>
      <c r="FS80" s="35">
        <f t="shared" si="692"/>
        <v>3.124784375E-2</v>
      </c>
      <c r="FT80" s="35">
        <f t="shared" si="693"/>
        <v>1.6192312037547341E-2</v>
      </c>
      <c r="FU80" s="35">
        <f t="shared" si="694"/>
        <v>3.124784375E-2</v>
      </c>
      <c r="FV80" s="35">
        <f t="shared" si="695"/>
        <v>6.24946875E-2</v>
      </c>
      <c r="FW80" s="35">
        <f t="shared" si="696"/>
        <v>4.6871265624999998E-2</v>
      </c>
      <c r="FX80" s="35">
        <f t="shared" si="697"/>
        <v>-1.2437131601284679E-2</v>
      </c>
      <c r="FY80" s="35">
        <f t="shared" si="698"/>
        <v>3.124784375E-2</v>
      </c>
      <c r="FZ80" s="35">
        <f t="shared" si="699"/>
        <v>4.6871265624999998E-2</v>
      </c>
      <c r="GA80" s="35">
        <f t="shared" si="700"/>
        <v>3.9059554687499998E-2</v>
      </c>
      <c r="GB80" s="35">
        <f t="shared" si="701"/>
        <v>1.7683440837776843E-3</v>
      </c>
      <c r="GC80" s="35">
        <f t="shared" si="702"/>
        <v>3.9059554687499998E-2</v>
      </c>
      <c r="GD80" s="35">
        <f t="shared" si="703"/>
        <v>4.6871265624999998E-2</v>
      </c>
      <c r="GE80" s="35">
        <f t="shared" si="704"/>
        <v>4.2965410156249995E-2</v>
      </c>
      <c r="GF80" s="35">
        <f t="shared" si="705"/>
        <v>-5.3620130824143519E-3</v>
      </c>
      <c r="GG80" s="35">
        <f t="shared" si="706"/>
        <v>3.9059554687499998E-2</v>
      </c>
      <c r="GH80" s="35">
        <f t="shared" si="707"/>
        <v>4.2965410156249995E-2</v>
      </c>
      <c r="GI80" s="35">
        <f t="shared" si="708"/>
        <v>4.1012482421874996E-2</v>
      </c>
      <c r="GJ80" s="35">
        <f t="shared" si="709"/>
        <v>-1.8037031230636602E-3</v>
      </c>
      <c r="GK80" s="35">
        <f t="shared" si="710"/>
        <v>3.9059554687499998E-2</v>
      </c>
      <c r="GL80" s="35">
        <f t="shared" si="711"/>
        <v>4.1012482421874996E-2</v>
      </c>
      <c r="GM80" s="35">
        <f t="shared" si="712"/>
        <v>4.0036018554687497E-2</v>
      </c>
      <c r="GN80" s="35">
        <f t="shared" si="713"/>
        <v>-1.9391951054048562E-5</v>
      </c>
      <c r="GO80" s="35">
        <f t="shared" si="714"/>
        <v>3.9059554687499998E-2</v>
      </c>
      <c r="GP80" s="35">
        <f t="shared" si="715"/>
        <v>4.0036018554687497E-2</v>
      </c>
      <c r="GQ80" s="35">
        <f t="shared" si="716"/>
        <v>3.9547786621093747E-2</v>
      </c>
      <c r="GR80" s="35">
        <f t="shared" si="717"/>
        <v>8.7404856148087795E-4</v>
      </c>
      <c r="GS80" s="35">
        <f t="shared" si="718"/>
        <v>3.9547786621093747E-2</v>
      </c>
      <c r="GT80" s="35">
        <f t="shared" si="719"/>
        <v>4.0036018554687497E-2</v>
      </c>
      <c r="GU80" s="35">
        <f t="shared" si="720"/>
        <v>3.9791902587890622E-2</v>
      </c>
      <c r="GV80" s="35">
        <f t="shared" si="721"/>
        <v>4.2722135306805242E-4</v>
      </c>
      <c r="GW80" s="35">
        <f t="shared" si="722"/>
        <v>3.9791902587890622E-2</v>
      </c>
      <c r="GX80" s="35">
        <f t="shared" si="723"/>
        <v>4.0036018554687497E-2</v>
      </c>
      <c r="GY80" s="35">
        <f t="shared" si="724"/>
        <v>3.9913960571289056E-2</v>
      </c>
      <c r="GZ80" s="35">
        <f t="shared" si="725"/>
        <v>2.0388795352865863E-4</v>
      </c>
      <c r="HA80" s="35">
        <f t="shared" si="726"/>
        <v>3.9913960571289056E-2</v>
      </c>
      <c r="HB80" s="35">
        <f t="shared" si="727"/>
        <v>4.0036018554687497E-2</v>
      </c>
      <c r="HC80" s="35">
        <f t="shared" si="728"/>
        <v>3.9974989562988276E-2</v>
      </c>
      <c r="HD80" s="35">
        <f t="shared" si="729"/>
        <v>9.2241313190077889E-5</v>
      </c>
      <c r="HE80" s="35">
        <f t="shared" si="730"/>
        <v>3.9974989562988276E-2</v>
      </c>
      <c r="HF80" s="35">
        <f t="shared" si="731"/>
        <v>4.0036018554687497E-2</v>
      </c>
      <c r="HG80" s="35">
        <f t="shared" si="732"/>
        <v>4.000550405883789E-2</v>
      </c>
      <c r="HH80" s="35">
        <f t="shared" si="733"/>
        <v>3.6423008909380883E-5</v>
      </c>
      <c r="HI80" s="35">
        <f t="shared" si="734"/>
        <v>4.000550405883789E-2</v>
      </c>
      <c r="HJ80" s="35">
        <f t="shared" si="735"/>
        <v>4.0036018554687497E-2</v>
      </c>
      <c r="HK80" s="35">
        <f t="shared" si="736"/>
        <v>4.0020761306762694E-2</v>
      </c>
      <c r="HL80" s="35">
        <f t="shared" si="737"/>
        <v>8.5151108697445466E-6</v>
      </c>
      <c r="HM80" s="35">
        <f t="shared" si="738"/>
        <v>4.0020761306762694E-2</v>
      </c>
      <c r="HN80" s="35">
        <f t="shared" si="739"/>
        <v>4.0036018554687497E-2</v>
      </c>
      <c r="HO80" s="35">
        <f t="shared" si="740"/>
        <v>4.0028389930725092E-2</v>
      </c>
      <c r="HP80" s="35">
        <f t="shared" si="741"/>
        <v>-5.438524608991635E-6</v>
      </c>
      <c r="HQ80" s="35">
        <f t="shared" si="742"/>
        <v>4.0020761306762694E-2</v>
      </c>
      <c r="HR80" s="35">
        <f t="shared" si="743"/>
        <v>4.0028389930725092E-2</v>
      </c>
      <c r="HS80" s="35">
        <f t="shared" si="744"/>
        <v>4.0024575618743896E-2</v>
      </c>
      <c r="HT80" s="35">
        <f t="shared" si="745"/>
        <v>1.5382670013330824E-6</v>
      </c>
      <c r="HU80" s="35">
        <f t="shared" si="746"/>
        <v>4.0024575618743896E-2</v>
      </c>
      <c r="HV80" s="35">
        <f t="shared" si="747"/>
        <v>4.0028389930725092E-2</v>
      </c>
      <c r="HW80" s="35">
        <f t="shared" si="748"/>
        <v>4.0026482774734494E-2</v>
      </c>
      <c r="HX80" s="35">
        <f t="shared" si="749"/>
        <v>-1.9501353361039975E-6</v>
      </c>
      <c r="HY80" s="35">
        <f t="shared" si="750"/>
        <v>4.0024575618743896E-2</v>
      </c>
      <c r="HZ80" s="35">
        <f t="shared" si="751"/>
        <v>4.0026482774734494E-2</v>
      </c>
      <c r="IA80" s="35">
        <f t="shared" si="752"/>
        <v>4.0025529196739199E-2</v>
      </c>
      <c r="IB80" s="35">
        <f t="shared" si="753"/>
        <v>-2.0593580052352678E-7</v>
      </c>
      <c r="IC80" s="35">
        <f t="shared" si="754"/>
        <v>4.0024575618743896E-2</v>
      </c>
      <c r="ID80" s="35">
        <f t="shared" si="755"/>
        <v>4.0025529196739199E-2</v>
      </c>
      <c r="IE80" s="35">
        <f t="shared" si="756"/>
        <v>4.0025052407741547E-2</v>
      </c>
      <c r="IF80" s="35">
        <f t="shared" si="757"/>
        <v>6.6616519212026049E-7</v>
      </c>
      <c r="IG80" s="35">
        <f t="shared" si="758"/>
        <v>4.0025052407741547E-2</v>
      </c>
      <c r="IH80" s="35">
        <f t="shared" si="759"/>
        <v>4.0025529196739199E-2</v>
      </c>
      <c r="II80" s="35">
        <f t="shared" si="760"/>
        <v>4.0025290802240376E-2</v>
      </c>
      <c r="IJ80" s="35">
        <f t="shared" si="761"/>
        <v>2.3011459382438204E-7</v>
      </c>
      <c r="IK80" s="35">
        <f t="shared" si="762"/>
        <v>4.0025290802240376E-2</v>
      </c>
      <c r="IL80" s="35">
        <f t="shared" si="763"/>
        <v>4.0025529196739199E-2</v>
      </c>
      <c r="IM80" s="35">
        <f t="shared" si="764"/>
        <v>4.0025409999489787E-2</v>
      </c>
      <c r="IN80" s="35">
        <f t="shared" si="765"/>
        <v>1.2089370837742308E-8</v>
      </c>
      <c r="IO80" s="35">
        <f t="shared" si="766"/>
        <v>4.0025409999489787E-2</v>
      </c>
      <c r="IP80" s="35">
        <f t="shared" si="767"/>
        <v>4.0025529196739199E-2</v>
      </c>
      <c r="IQ80" s="35">
        <f t="shared" si="768"/>
        <v>4.0025469598114496E-2</v>
      </c>
      <c r="IR80" s="35">
        <f t="shared" si="769"/>
        <v>-9.692322089360772E-8</v>
      </c>
      <c r="IS80" s="35">
        <f t="shared" si="770"/>
        <v>4.0025409999489787E-2</v>
      </c>
      <c r="IT80" s="35">
        <f t="shared" si="771"/>
        <v>4.0025469598114496E-2</v>
      </c>
      <c r="IU80" s="35">
        <f t="shared" si="772"/>
        <v>4.0025439798802145E-2</v>
      </c>
      <c r="IV80" s="35">
        <f t="shared" si="773"/>
        <v>-4.2416926526733789E-8</v>
      </c>
      <c r="IW80" s="35">
        <f t="shared" si="774"/>
        <v>4.0025409999489787E-2</v>
      </c>
      <c r="IX80" s="35">
        <f t="shared" si="775"/>
        <v>4.0025439798802145E-2</v>
      </c>
      <c r="IY80" s="35">
        <f t="shared" si="776"/>
        <v>4.002542489914597E-2</v>
      </c>
      <c r="IZ80" s="35">
        <f t="shared" si="777"/>
        <v>-1.5163778011029194E-8</v>
      </c>
      <c r="JA80" s="35">
        <f t="shared" si="778"/>
        <v>4.0025409999489787E-2</v>
      </c>
      <c r="JB80" s="35">
        <f t="shared" si="779"/>
        <v>4.002542489914597E-2</v>
      </c>
      <c r="JC80" s="35">
        <f t="shared" si="780"/>
        <v>4.0025417449317882E-2</v>
      </c>
      <c r="JD80" s="35">
        <f t="shared" si="781"/>
        <v>-1.5372036976657455E-9</v>
      </c>
      <c r="JE80" s="35">
        <f t="shared" si="782"/>
        <v>4.0025409999489787E-2</v>
      </c>
      <c r="JF80" s="35">
        <f t="shared" si="783"/>
        <v>4.0025417449317882E-2</v>
      </c>
      <c r="JG80" s="35">
        <f t="shared" si="784"/>
        <v>4.0025413724403838E-2</v>
      </c>
      <c r="JH80" s="35">
        <f t="shared" si="785"/>
        <v>5.2760840141274912E-9</v>
      </c>
      <c r="JI80" s="35">
        <f t="shared" si="786"/>
        <v>4.0025413724403838E-2</v>
      </c>
      <c r="JJ80" s="35">
        <f t="shared" si="787"/>
        <v>4.0025417449317882E-2</v>
      </c>
      <c r="JK80" s="35">
        <f t="shared" si="788"/>
        <v>4.002541558686086E-2</v>
      </c>
      <c r="JL80" s="35">
        <f t="shared" si="789"/>
        <v>1.8694401582308728E-9</v>
      </c>
      <c r="JM80" s="35">
        <f t="shared" si="790"/>
        <v>4.002541558686086E-2</v>
      </c>
      <c r="JN80" s="35">
        <f t="shared" si="791"/>
        <v>4.0025417449317882E-2</v>
      </c>
      <c r="JO80" s="35">
        <f t="shared" si="792"/>
        <v>4.0025416518089371E-2</v>
      </c>
      <c r="JP80" s="35">
        <f t="shared" si="793"/>
        <v>1.661184523271686E-10</v>
      </c>
      <c r="JQ80" s="35">
        <f t="shared" si="794"/>
        <v>4.0025416518089371E-2</v>
      </c>
      <c r="JR80" s="35">
        <f t="shared" si="795"/>
        <v>4.0025417449317882E-2</v>
      </c>
      <c r="JS80" s="35">
        <f t="shared" si="796"/>
        <v>4.0025416983703627E-2</v>
      </c>
      <c r="JT80" s="35">
        <f t="shared" si="797"/>
        <v>-6.8554262266928845E-10</v>
      </c>
      <c r="JU80" s="35">
        <f t="shared" si="798"/>
        <v>4.0025416518089371E-2</v>
      </c>
      <c r="JV80" s="35">
        <f t="shared" si="799"/>
        <v>4.0025416983703627E-2</v>
      </c>
      <c r="JW80" s="35">
        <f t="shared" si="800"/>
        <v>4.0025416750896499E-2</v>
      </c>
      <c r="JX80" s="35">
        <f t="shared" si="801"/>
        <v>-2.5971214068221116E-10</v>
      </c>
      <c r="JY80" s="35">
        <f t="shared" si="802"/>
        <v>4.0025416518089371E-2</v>
      </c>
      <c r="JZ80" s="35">
        <f t="shared" si="803"/>
        <v>4.0025416750896499E-2</v>
      </c>
      <c r="KA80" s="35">
        <f t="shared" si="804"/>
        <v>1.1081823764601721</v>
      </c>
      <c r="KB80" s="35">
        <f t="shared" si="805"/>
        <v>4.0025416634492939E-2</v>
      </c>
    </row>
    <row r="81" spans="1:288" ht="15" customHeight="1" x14ac:dyDescent="0.3">
      <c r="A81" s="30">
        <f>Odds_Input!A81</f>
        <v>73</v>
      </c>
      <c r="B81" s="7" t="str">
        <f>Odds_Input!B81</f>
        <v>DIV_SOUTHEAST</v>
      </c>
      <c r="C81" s="7" t="str">
        <f>Odds_Input!C81</f>
        <v>Orlando Magic</v>
      </c>
      <c r="D81" s="7" t="str">
        <f>Odds_Input!D81</f>
        <v>YES</v>
      </c>
      <c r="E81" s="31" t="str">
        <f>Odds_Input!E81</f>
        <v>-</v>
      </c>
      <c r="F81" s="32">
        <f>Odds_Input!F81</f>
        <v>285</v>
      </c>
      <c r="G81" s="6" t="str">
        <f t="shared" si="533"/>
        <v>DIV_SOUTHEAST</v>
      </c>
      <c r="H81" s="14">
        <f t="shared" si="534"/>
        <v>3.85</v>
      </c>
      <c r="I81" s="33">
        <f t="shared" si="535"/>
        <v>0.25974025974025972</v>
      </c>
      <c r="J81" s="17">
        <f t="shared" si="536"/>
        <v>1</v>
      </c>
      <c r="K81" s="17">
        <f t="shared" si="537"/>
        <v>5</v>
      </c>
      <c r="L81" s="18">
        <f t="shared" si="538"/>
        <v>1.118450515002239</v>
      </c>
      <c r="M81" s="34">
        <f t="shared" si="539"/>
        <v>0.11845051500223902</v>
      </c>
      <c r="N81" s="33">
        <f t="shared" si="540"/>
        <v>0.23223223223223224</v>
      </c>
      <c r="O81" s="33">
        <f t="shared" si="541"/>
        <v>0.23259309064007844</v>
      </c>
      <c r="P81" s="33">
        <f t="shared" si="542"/>
        <v>0.2343137702100852</v>
      </c>
      <c r="Q81" s="33">
        <f t="shared" si="543"/>
        <v>0.2343137702100852</v>
      </c>
      <c r="R81" s="35">
        <f t="shared" si="544"/>
        <v>1.0818884317064659</v>
      </c>
      <c r="S81" s="35">
        <f t="shared" si="545"/>
        <v>3.0193926930267709E-2</v>
      </c>
      <c r="X81" s="6" t="s">
        <v>291</v>
      </c>
      <c r="Y81" s="6">
        <f t="shared" si="546"/>
        <v>1</v>
      </c>
      <c r="Z81" s="18">
        <f t="shared" si="547"/>
        <v>1.1333333333333333</v>
      </c>
      <c r="AA81" s="10">
        <v>0.2</v>
      </c>
      <c r="AB81" s="10">
        <v>10</v>
      </c>
      <c r="AC81" s="35">
        <f t="shared" si="548"/>
        <v>5.0999999999999996</v>
      </c>
      <c r="AD81" s="35">
        <f t="shared" si="549"/>
        <v>-0.872690125016929</v>
      </c>
      <c r="AE81" s="35">
        <f t="shared" si="550"/>
        <v>0.2</v>
      </c>
      <c r="AF81" s="35">
        <f t="shared" si="551"/>
        <v>5.0999999999999996</v>
      </c>
      <c r="AG81" s="35">
        <f t="shared" si="552"/>
        <v>2.65</v>
      </c>
      <c r="AH81" s="35">
        <f t="shared" si="553"/>
        <v>-0.63023284676762292</v>
      </c>
      <c r="AI81" s="35">
        <f t="shared" si="554"/>
        <v>0.2</v>
      </c>
      <c r="AJ81" s="35">
        <f t="shared" si="555"/>
        <v>2.65</v>
      </c>
      <c r="AK81" s="35">
        <f t="shared" si="556"/>
        <v>1.425</v>
      </c>
      <c r="AL81" s="35">
        <f t="shared" si="557"/>
        <v>-0.22900154197002909</v>
      </c>
      <c r="AM81" s="35">
        <f t="shared" si="558"/>
        <v>0.2</v>
      </c>
      <c r="AN81" s="35">
        <f t="shared" si="559"/>
        <v>1.425</v>
      </c>
      <c r="AO81" s="35">
        <f t="shared" si="560"/>
        <v>0.8125</v>
      </c>
      <c r="AP81" s="35">
        <f t="shared" si="561"/>
        <v>0.3978678889449585</v>
      </c>
      <c r="AQ81" s="35">
        <f t="shared" si="562"/>
        <v>0.8125</v>
      </c>
      <c r="AR81" s="35">
        <f t="shared" si="563"/>
        <v>1.425</v>
      </c>
      <c r="AS81" s="35">
        <f t="shared" si="564"/>
        <v>1.1187499999999999</v>
      </c>
      <c r="AT81" s="35">
        <f t="shared" si="565"/>
        <v>6.0874304325277961E-3</v>
      </c>
      <c r="AU81" s="35">
        <f t="shared" si="566"/>
        <v>1.1187499999999999</v>
      </c>
      <c r="AV81" s="35">
        <f t="shared" si="567"/>
        <v>1.425</v>
      </c>
      <c r="AW81" s="35">
        <f t="shared" si="568"/>
        <v>1.2718750000000001</v>
      </c>
      <c r="AX81" s="35">
        <f t="shared" si="569"/>
        <v>-0.12516264037038738</v>
      </c>
      <c r="AY81" s="35">
        <f t="shared" si="570"/>
        <v>1.1187499999999999</v>
      </c>
      <c r="AZ81" s="35">
        <f t="shared" si="571"/>
        <v>1.2718750000000001</v>
      </c>
      <c r="BA81" s="35">
        <f t="shared" si="572"/>
        <v>1.1953125</v>
      </c>
      <c r="BB81" s="35">
        <f t="shared" si="573"/>
        <v>-6.3535351874350332E-2</v>
      </c>
      <c r="BC81" s="35">
        <f t="shared" si="574"/>
        <v>1.1187499999999999</v>
      </c>
      <c r="BD81" s="35">
        <f t="shared" si="575"/>
        <v>1.1953125</v>
      </c>
      <c r="BE81" s="35">
        <f t="shared" si="576"/>
        <v>1.15703125</v>
      </c>
      <c r="BF81" s="35">
        <f t="shared" si="577"/>
        <v>-2.9806673983545084E-2</v>
      </c>
      <c r="BG81" s="35">
        <f t="shared" si="578"/>
        <v>1.1187499999999999</v>
      </c>
      <c r="BH81" s="35">
        <f t="shared" si="579"/>
        <v>1.15703125</v>
      </c>
      <c r="BI81" s="35">
        <f t="shared" si="580"/>
        <v>1.1378906249999998</v>
      </c>
      <c r="BJ81" s="35">
        <f t="shared" si="581"/>
        <v>-1.2141561402337908E-2</v>
      </c>
      <c r="BK81" s="35">
        <f t="shared" si="582"/>
        <v>1.1187499999999999</v>
      </c>
      <c r="BL81" s="35">
        <f t="shared" si="583"/>
        <v>1.1378906249999998</v>
      </c>
      <c r="BM81" s="35">
        <f t="shared" si="584"/>
        <v>1.1283203124999999</v>
      </c>
      <c r="BN81" s="35">
        <f t="shared" si="585"/>
        <v>-3.0990152004045646E-3</v>
      </c>
      <c r="BO81" s="35">
        <f t="shared" si="586"/>
        <v>1.1187499999999999</v>
      </c>
      <c r="BP81" s="35">
        <f t="shared" si="587"/>
        <v>1.1283203124999999</v>
      </c>
      <c r="BQ81" s="35">
        <f t="shared" si="588"/>
        <v>1.12353515625</v>
      </c>
      <c r="BR81" s="35">
        <f t="shared" si="589"/>
        <v>1.4760333844150431E-3</v>
      </c>
      <c r="BS81" s="35">
        <f t="shared" si="590"/>
        <v>1.12353515625</v>
      </c>
      <c r="BT81" s="35">
        <f t="shared" si="591"/>
        <v>1.1283203124999999</v>
      </c>
      <c r="BU81" s="35">
        <f t="shared" si="592"/>
        <v>1.1259277343749998</v>
      </c>
      <c r="BV81" s="35">
        <f t="shared" si="593"/>
        <v>-8.1601094771399652E-4</v>
      </c>
      <c r="BW81" s="35">
        <f t="shared" si="594"/>
        <v>1.12353515625</v>
      </c>
      <c r="BX81" s="35">
        <f t="shared" si="595"/>
        <v>1.1259277343749998</v>
      </c>
      <c r="BY81" s="35">
        <f t="shared" si="596"/>
        <v>1.1247314453124999</v>
      </c>
      <c r="BZ81" s="35">
        <f t="shared" si="597"/>
        <v>3.2887827920657919E-4</v>
      </c>
      <c r="CA81" s="35">
        <f t="shared" si="598"/>
        <v>1.1247314453124999</v>
      </c>
      <c r="CB81" s="35">
        <f t="shared" si="599"/>
        <v>1.1259277343749998</v>
      </c>
      <c r="CC81" s="35">
        <f t="shared" si="600"/>
        <v>1.1253295898437499</v>
      </c>
      <c r="CD81" s="35">
        <f t="shared" si="601"/>
        <v>-2.4384920223008422E-4</v>
      </c>
      <c r="CE81" s="35">
        <f t="shared" si="602"/>
        <v>1.1247314453124999</v>
      </c>
      <c r="CF81" s="35">
        <f t="shared" si="603"/>
        <v>1.1253295898437499</v>
      </c>
      <c r="CG81" s="35">
        <f t="shared" si="604"/>
        <v>1.125030517578125</v>
      </c>
      <c r="CH81" s="35">
        <f t="shared" si="605"/>
        <v>4.2443775683853602E-5</v>
      </c>
      <c r="CI81" s="35">
        <f t="shared" si="606"/>
        <v>1.125030517578125</v>
      </c>
      <c r="CJ81" s="35">
        <f t="shared" si="607"/>
        <v>1.1253295898437499</v>
      </c>
      <c r="CK81" s="35">
        <f t="shared" si="608"/>
        <v>1.1251800537109373</v>
      </c>
      <c r="CL81" s="35">
        <f t="shared" si="609"/>
        <v>-1.0072039824515766E-4</v>
      </c>
      <c r="CM81" s="35">
        <f t="shared" si="610"/>
        <v>1.125030517578125</v>
      </c>
      <c r="CN81" s="35">
        <f t="shared" si="611"/>
        <v>1.1251800537109373</v>
      </c>
      <c r="CO81" s="35">
        <f t="shared" si="612"/>
        <v>1.1251052856445312</v>
      </c>
      <c r="CP81" s="35">
        <f t="shared" si="613"/>
        <v>-2.9142733239728713E-5</v>
      </c>
      <c r="CQ81" s="35">
        <f t="shared" si="614"/>
        <v>1.125030517578125</v>
      </c>
      <c r="CR81" s="35">
        <f t="shared" si="615"/>
        <v>1.1251052856445312</v>
      </c>
      <c r="CS81" s="35">
        <f t="shared" si="616"/>
        <v>1.1250679016113281</v>
      </c>
      <c r="CT81" s="35">
        <f t="shared" si="617"/>
        <v>6.6494156429897089E-6</v>
      </c>
      <c r="CU81" s="35">
        <f t="shared" si="618"/>
        <v>1.1250679016113281</v>
      </c>
      <c r="CV81" s="35">
        <f t="shared" si="619"/>
        <v>1.1251052856445312</v>
      </c>
      <c r="CW81" s="35">
        <f t="shared" si="620"/>
        <v>1.1250865936279295</v>
      </c>
      <c r="CX81" s="35">
        <f t="shared" si="621"/>
        <v>-1.1246935181841167E-5</v>
      </c>
      <c r="CY81" s="35">
        <f t="shared" si="622"/>
        <v>1.1250679016113281</v>
      </c>
      <c r="CZ81" s="35">
        <f t="shared" si="623"/>
        <v>1.1250865936279295</v>
      </c>
      <c r="DA81" s="35">
        <f t="shared" si="624"/>
        <v>1.1250772476196289</v>
      </c>
      <c r="DB81" s="35">
        <f t="shared" si="625"/>
        <v>-2.298828866931224E-6</v>
      </c>
      <c r="DC81" s="35">
        <f t="shared" si="626"/>
        <v>1.1250679016113281</v>
      </c>
      <c r="DD81" s="35">
        <f t="shared" si="627"/>
        <v>1.1250772476196289</v>
      </c>
      <c r="DE81" s="35">
        <f t="shared" si="628"/>
        <v>1.1250725746154786</v>
      </c>
      <c r="DF81" s="35">
        <f t="shared" si="629"/>
        <v>2.1752761134585796E-6</v>
      </c>
      <c r="DG81" s="35">
        <f t="shared" si="630"/>
        <v>1.1250725746154786</v>
      </c>
      <c r="DH81" s="35">
        <f t="shared" si="631"/>
        <v>1.1250772476196289</v>
      </c>
      <c r="DI81" s="35">
        <f t="shared" si="632"/>
        <v>1.1250749111175538</v>
      </c>
      <c r="DJ81" s="35">
        <f t="shared" si="633"/>
        <v>-6.1780695448376832E-8</v>
      </c>
      <c r="DK81" s="35">
        <f t="shared" si="634"/>
        <v>1.1250725746154786</v>
      </c>
      <c r="DL81" s="35">
        <f t="shared" si="635"/>
        <v>1.1250749111175538</v>
      </c>
      <c r="DM81" s="35">
        <f t="shared" si="636"/>
        <v>1.1250737428665163</v>
      </c>
      <c r="DN81" s="35">
        <f t="shared" si="637"/>
        <v>1.05674662931321E-6</v>
      </c>
      <c r="DO81" s="35">
        <f t="shared" si="638"/>
        <v>1.1250737428665163</v>
      </c>
      <c r="DP81" s="35">
        <f t="shared" si="639"/>
        <v>1.1250749111175538</v>
      </c>
      <c r="DQ81" s="35">
        <f t="shared" si="640"/>
        <v>1.1250743269920349</v>
      </c>
      <c r="DR81" s="35">
        <f t="shared" si="641"/>
        <v>4.9748269725924388E-7</v>
      </c>
      <c r="DS81" s="35">
        <f t="shared" si="642"/>
        <v>1.1250743269920349</v>
      </c>
      <c r="DT81" s="35">
        <f t="shared" si="643"/>
        <v>1.1250749111175538</v>
      </c>
      <c r="DU81" s="35">
        <f t="shared" si="644"/>
        <v>1.1250746190547942</v>
      </c>
      <c r="DV81" s="35">
        <f t="shared" si="645"/>
        <v>2.1785093351489593E-7</v>
      </c>
      <c r="DW81" s="35">
        <f t="shared" si="646"/>
        <v>1.1250746190547942</v>
      </c>
      <c r="DX81" s="35">
        <f t="shared" si="647"/>
        <v>1.1250749111175538</v>
      </c>
      <c r="DY81" s="35">
        <f t="shared" si="648"/>
        <v>1.1250747650861741</v>
      </c>
      <c r="DZ81" s="35">
        <f t="shared" si="649"/>
        <v>7.8035102157869574E-8</v>
      </c>
      <c r="EA81" s="35">
        <f t="shared" si="650"/>
        <v>1.1250747650861741</v>
      </c>
      <c r="EB81" s="35">
        <f t="shared" si="651"/>
        <v>1.1250749111175538</v>
      </c>
      <c r="EC81" s="35">
        <f t="shared" si="652"/>
        <v>1.125074838101864</v>
      </c>
      <c r="ED81" s="35">
        <f t="shared" si="653"/>
        <v>8.1271991358988771E-9</v>
      </c>
      <c r="EE81" s="35">
        <f t="shared" si="654"/>
        <v>1.125074838101864</v>
      </c>
      <c r="EF81" s="35">
        <f t="shared" si="655"/>
        <v>1.1250749111175538</v>
      </c>
      <c r="EG81" s="35">
        <f t="shared" si="656"/>
        <v>1.1250748746097088</v>
      </c>
      <c r="EH81" s="35">
        <f t="shared" si="657"/>
        <v>-2.6826749044417397E-8</v>
      </c>
      <c r="EI81" s="35">
        <f t="shared" si="658"/>
        <v>1.125074838101864</v>
      </c>
      <c r="EJ81" s="35">
        <f t="shared" si="659"/>
        <v>1.1250748746097088</v>
      </c>
      <c r="EK81" s="35">
        <f t="shared" si="660"/>
        <v>1.1250748563557864</v>
      </c>
      <c r="EL81" s="35">
        <f t="shared" si="661"/>
        <v>-9.3497752873261675E-9</v>
      </c>
      <c r="EM81" s="35">
        <f t="shared" si="662"/>
        <v>1.125074838101864</v>
      </c>
      <c r="EN81" s="35">
        <f t="shared" si="663"/>
        <v>1.1250748563557864</v>
      </c>
      <c r="EO81" s="35">
        <f t="shared" si="664"/>
        <v>1.1250748472288252</v>
      </c>
      <c r="EP81" s="35">
        <f t="shared" si="665"/>
        <v>-6.1128813122479642E-10</v>
      </c>
      <c r="EQ81" s="35">
        <f t="shared" si="666"/>
        <v>1.125074838101864</v>
      </c>
      <c r="ER81" s="35">
        <f t="shared" si="667"/>
        <v>1.1250748472288252</v>
      </c>
      <c r="ES81" s="35">
        <f t="shared" si="668"/>
        <v>1.1250748426653447</v>
      </c>
      <c r="ET81" s="35">
        <f t="shared" si="669"/>
        <v>3.7579552802924354E-9</v>
      </c>
      <c r="EU81" s="35">
        <f t="shared" si="670"/>
        <v>1.1250748426653447</v>
      </c>
      <c r="EV81" s="35">
        <f t="shared" si="671"/>
        <v>1.1250748472288252</v>
      </c>
      <c r="EW81" s="35">
        <f t="shared" si="672"/>
        <v>1.1250748449470849</v>
      </c>
      <c r="EX81" s="35">
        <f t="shared" si="673"/>
        <v>1.573333685556122E-9</v>
      </c>
      <c r="EY81" s="35">
        <f t="shared" si="674"/>
        <v>1.1250748449470849</v>
      </c>
      <c r="EZ81" s="35">
        <f t="shared" si="675"/>
        <v>1.1250748472288252</v>
      </c>
      <c r="FA81" s="10">
        <v>9.9999999999999995E-7</v>
      </c>
      <c r="FB81" s="10">
        <v>0.99990000000000001</v>
      </c>
      <c r="FC81" s="35">
        <f t="shared" si="676"/>
        <v>0.49995050000000002</v>
      </c>
      <c r="FD81" s="35">
        <f t="shared" si="677"/>
        <v>-0.35504711261286859</v>
      </c>
      <c r="FE81" s="35">
        <f t="shared" si="678"/>
        <v>9.9999999999999995E-7</v>
      </c>
      <c r="FF81" s="35">
        <f t="shared" si="679"/>
        <v>0.49995050000000002</v>
      </c>
      <c r="FG81" s="35">
        <f t="shared" si="680"/>
        <v>0.24997575</v>
      </c>
      <c r="FH81" s="35">
        <f t="shared" si="681"/>
        <v>-0.22001582021473753</v>
      </c>
      <c r="FI81" s="35">
        <f t="shared" si="682"/>
        <v>9.9999999999999995E-7</v>
      </c>
      <c r="FJ81" s="35">
        <f t="shared" si="683"/>
        <v>0.24997575</v>
      </c>
      <c r="FK81" s="35">
        <f t="shared" si="684"/>
        <v>0.124988375</v>
      </c>
      <c r="FL81" s="35">
        <f t="shared" si="685"/>
        <v>-0.1170410552648341</v>
      </c>
      <c r="FM81" s="35">
        <f t="shared" si="686"/>
        <v>9.9999999999999995E-7</v>
      </c>
      <c r="FN81" s="35">
        <f t="shared" si="687"/>
        <v>0.124988375</v>
      </c>
      <c r="FO81" s="35">
        <f t="shared" si="688"/>
        <v>6.24946875E-2</v>
      </c>
      <c r="FP81" s="35">
        <f t="shared" si="689"/>
        <v>-4.1254652864370356E-2</v>
      </c>
      <c r="FQ81" s="35">
        <f t="shared" si="690"/>
        <v>9.9999999999999995E-7</v>
      </c>
      <c r="FR81" s="35">
        <f t="shared" si="691"/>
        <v>6.24946875E-2</v>
      </c>
      <c r="FS81" s="35">
        <f t="shared" si="692"/>
        <v>3.124784375E-2</v>
      </c>
      <c r="FT81" s="35">
        <f t="shared" si="693"/>
        <v>7.3672533316719857E-3</v>
      </c>
      <c r="FU81" s="35">
        <f t="shared" si="694"/>
        <v>3.124784375E-2</v>
      </c>
      <c r="FV81" s="35">
        <f t="shared" si="695"/>
        <v>6.24946875E-2</v>
      </c>
      <c r="FW81" s="35">
        <f t="shared" si="696"/>
        <v>4.6871265624999998E-2</v>
      </c>
      <c r="FX81" s="35">
        <f t="shared" si="697"/>
        <v>-1.7984976389821217E-2</v>
      </c>
      <c r="FY81" s="35">
        <f t="shared" si="698"/>
        <v>3.124784375E-2</v>
      </c>
      <c r="FZ81" s="35">
        <f t="shared" si="699"/>
        <v>4.6871265624999998E-2</v>
      </c>
      <c r="GA81" s="35">
        <f t="shared" si="700"/>
        <v>3.9059554687499998E-2</v>
      </c>
      <c r="GB81" s="35">
        <f t="shared" si="701"/>
        <v>-5.5766775429116899E-3</v>
      </c>
      <c r="GC81" s="35">
        <f t="shared" si="702"/>
        <v>3.124784375E-2</v>
      </c>
      <c r="GD81" s="35">
        <f t="shared" si="703"/>
        <v>3.9059554687499998E-2</v>
      </c>
      <c r="GE81" s="35">
        <f t="shared" si="704"/>
        <v>3.5153699218750001E-2</v>
      </c>
      <c r="GF81" s="35">
        <f t="shared" si="705"/>
        <v>8.2765733890677318E-4</v>
      </c>
      <c r="GG81" s="35">
        <f t="shared" si="706"/>
        <v>3.5153699218750001E-2</v>
      </c>
      <c r="GH81" s="35">
        <f t="shared" si="707"/>
        <v>3.9059554687499998E-2</v>
      </c>
      <c r="GI81" s="35">
        <f t="shared" si="708"/>
        <v>3.7106626953124999E-2</v>
      </c>
      <c r="GJ81" s="35">
        <f t="shared" si="709"/>
        <v>-2.3913463265472501E-3</v>
      </c>
      <c r="GK81" s="35">
        <f t="shared" si="710"/>
        <v>3.5153699218750001E-2</v>
      </c>
      <c r="GL81" s="35">
        <f t="shared" si="711"/>
        <v>3.7106626953124999E-2</v>
      </c>
      <c r="GM81" s="35">
        <f t="shared" si="712"/>
        <v>3.61301630859375E-2</v>
      </c>
      <c r="GN81" s="35">
        <f t="shared" si="713"/>
        <v>-7.8606333631137115E-4</v>
      </c>
      <c r="GO81" s="35">
        <f t="shared" si="714"/>
        <v>3.5153699218750001E-2</v>
      </c>
      <c r="GP81" s="35">
        <f t="shared" si="715"/>
        <v>3.61301630859375E-2</v>
      </c>
      <c r="GQ81" s="35">
        <f t="shared" si="716"/>
        <v>3.564193115234375E-2</v>
      </c>
      <c r="GR81" s="35">
        <f t="shared" si="717"/>
        <v>1.9741141315199329E-5</v>
      </c>
      <c r="GS81" s="35">
        <f t="shared" si="718"/>
        <v>3.564193115234375E-2</v>
      </c>
      <c r="GT81" s="35">
        <f t="shared" si="719"/>
        <v>3.61301630859375E-2</v>
      </c>
      <c r="GU81" s="35">
        <f t="shared" si="720"/>
        <v>3.5886047119140625E-2</v>
      </c>
      <c r="GV81" s="35">
        <f t="shared" si="721"/>
        <v>-3.8342492216625335E-4</v>
      </c>
      <c r="GW81" s="35">
        <f t="shared" si="722"/>
        <v>3.564193115234375E-2</v>
      </c>
      <c r="GX81" s="35">
        <f t="shared" si="723"/>
        <v>3.5886047119140625E-2</v>
      </c>
      <c r="GY81" s="35">
        <f t="shared" si="724"/>
        <v>3.5763989135742191E-2</v>
      </c>
      <c r="GZ81" s="35">
        <f t="shared" si="725"/>
        <v>-1.8190786434346684E-4</v>
      </c>
      <c r="HA81" s="35">
        <f t="shared" si="726"/>
        <v>3.564193115234375E-2</v>
      </c>
      <c r="HB81" s="35">
        <f t="shared" si="727"/>
        <v>3.5763989135742191E-2</v>
      </c>
      <c r="HC81" s="35">
        <f t="shared" si="728"/>
        <v>3.5702960144042971E-2</v>
      </c>
      <c r="HD81" s="35">
        <f t="shared" si="729"/>
        <v>-8.1099857194177893E-5</v>
      </c>
      <c r="HE81" s="35">
        <f t="shared" si="730"/>
        <v>3.564193115234375E-2</v>
      </c>
      <c r="HF81" s="35">
        <f t="shared" si="731"/>
        <v>3.5702960144042971E-2</v>
      </c>
      <c r="HG81" s="35">
        <f t="shared" si="732"/>
        <v>3.5672445648193357E-2</v>
      </c>
      <c r="HH81" s="35">
        <f t="shared" si="733"/>
        <v>-3.0683482133087026E-5</v>
      </c>
      <c r="HI81" s="35">
        <f t="shared" si="734"/>
        <v>3.564193115234375E-2</v>
      </c>
      <c r="HJ81" s="35">
        <f t="shared" si="735"/>
        <v>3.5672445648193357E-2</v>
      </c>
      <c r="HK81" s="35">
        <f t="shared" si="736"/>
        <v>3.5657188400268554E-2</v>
      </c>
      <c r="HL81" s="35">
        <f t="shared" si="737"/>
        <v>-5.4722014919406092E-6</v>
      </c>
      <c r="HM81" s="35">
        <f t="shared" si="738"/>
        <v>3.564193115234375E-2</v>
      </c>
      <c r="HN81" s="35">
        <f t="shared" si="739"/>
        <v>3.5657188400268554E-2</v>
      </c>
      <c r="HO81" s="35">
        <f t="shared" si="740"/>
        <v>3.5649559776306156E-2</v>
      </c>
      <c r="HP81" s="35">
        <f t="shared" si="741"/>
        <v>7.1342121370499001E-6</v>
      </c>
      <c r="HQ81" s="35">
        <f t="shared" si="742"/>
        <v>3.5649559776306156E-2</v>
      </c>
      <c r="HR81" s="35">
        <f t="shared" si="743"/>
        <v>3.5657188400268554E-2</v>
      </c>
      <c r="HS81" s="35">
        <f t="shared" si="744"/>
        <v>3.5653374088287351E-2</v>
      </c>
      <c r="HT81" s="35">
        <f t="shared" si="745"/>
        <v>8.3094087943713646E-7</v>
      </c>
      <c r="HU81" s="35">
        <f t="shared" si="746"/>
        <v>3.5653374088287351E-2</v>
      </c>
      <c r="HV81" s="35">
        <f t="shared" si="747"/>
        <v>3.5657188400268554E-2</v>
      </c>
      <c r="HW81" s="35">
        <f t="shared" si="748"/>
        <v>3.5655281244277956E-2</v>
      </c>
      <c r="HX81" s="35">
        <f t="shared" si="749"/>
        <v>-2.3206464169200913E-6</v>
      </c>
      <c r="HY81" s="35">
        <f t="shared" si="750"/>
        <v>3.5653374088287351E-2</v>
      </c>
      <c r="HZ81" s="35">
        <f t="shared" si="751"/>
        <v>3.5655281244277956E-2</v>
      </c>
      <c r="IA81" s="35">
        <f t="shared" si="752"/>
        <v>3.5654327666282654E-2</v>
      </c>
      <c r="IB81" s="35">
        <f t="shared" si="753"/>
        <v>-7.4485679635305502E-7</v>
      </c>
      <c r="IC81" s="35">
        <f t="shared" si="754"/>
        <v>3.5653374088287351E-2</v>
      </c>
      <c r="ID81" s="35">
        <f t="shared" si="755"/>
        <v>3.5654327666282654E-2</v>
      </c>
      <c r="IE81" s="35">
        <f t="shared" si="756"/>
        <v>3.5653850877285002E-2</v>
      </c>
      <c r="IF81" s="35">
        <f t="shared" si="757"/>
        <v>4.304103473629084E-8</v>
      </c>
      <c r="IG81" s="35">
        <f t="shared" si="758"/>
        <v>3.5653850877285002E-2</v>
      </c>
      <c r="IH81" s="35">
        <f t="shared" si="759"/>
        <v>3.5654327666282654E-2</v>
      </c>
      <c r="II81" s="35">
        <f t="shared" si="760"/>
        <v>3.5654089271783831E-2</v>
      </c>
      <c r="IJ81" s="35">
        <f t="shared" si="761"/>
        <v>-3.5090813266247523E-7</v>
      </c>
      <c r="IK81" s="35">
        <f t="shared" si="762"/>
        <v>3.5653850877285002E-2</v>
      </c>
      <c r="IL81" s="35">
        <f t="shared" si="763"/>
        <v>3.5654089271783831E-2</v>
      </c>
      <c r="IM81" s="35">
        <f t="shared" si="764"/>
        <v>3.5653970074534413E-2</v>
      </c>
      <c r="IN81" s="35">
        <f t="shared" si="765"/>
        <v>-1.5393361174620424E-7</v>
      </c>
      <c r="IO81" s="35">
        <f t="shared" si="766"/>
        <v>3.5653850877285002E-2</v>
      </c>
      <c r="IP81" s="35">
        <f t="shared" si="767"/>
        <v>3.5653970074534413E-2</v>
      </c>
      <c r="IQ81" s="35">
        <f t="shared" si="768"/>
        <v>3.5653910475909711E-2</v>
      </c>
      <c r="IR81" s="35">
        <f t="shared" si="769"/>
        <v>-5.5446304436657101E-8</v>
      </c>
      <c r="IS81" s="35">
        <f t="shared" si="770"/>
        <v>3.5653850877285002E-2</v>
      </c>
      <c r="IT81" s="35">
        <f t="shared" si="771"/>
        <v>3.5653910475909711E-2</v>
      </c>
      <c r="IU81" s="35">
        <f t="shared" si="772"/>
        <v>3.565388067659736E-2</v>
      </c>
      <c r="IV81" s="35">
        <f t="shared" si="773"/>
        <v>-6.2026389580083219E-9</v>
      </c>
      <c r="IW81" s="35">
        <f t="shared" si="774"/>
        <v>3.5653850877285002E-2</v>
      </c>
      <c r="IX81" s="35">
        <f t="shared" si="775"/>
        <v>3.565388067659736E-2</v>
      </c>
      <c r="IY81" s="35">
        <f t="shared" si="776"/>
        <v>3.5653865776941185E-2</v>
      </c>
      <c r="IZ81" s="35">
        <f t="shared" si="777"/>
        <v>1.8419196834429385E-8</v>
      </c>
      <c r="JA81" s="35">
        <f t="shared" si="778"/>
        <v>3.5653865776941185E-2</v>
      </c>
      <c r="JB81" s="35">
        <f t="shared" si="779"/>
        <v>3.565388067659736E-2</v>
      </c>
      <c r="JC81" s="35">
        <f t="shared" si="780"/>
        <v>3.5653873226769273E-2</v>
      </c>
      <c r="JD81" s="35">
        <f t="shared" si="781"/>
        <v>6.1082787716770781E-9</v>
      </c>
      <c r="JE81" s="35">
        <f t="shared" si="782"/>
        <v>3.5653873226769273E-2</v>
      </c>
      <c r="JF81" s="35">
        <f t="shared" si="783"/>
        <v>3.565388067659736E-2</v>
      </c>
      <c r="JG81" s="35">
        <f t="shared" si="784"/>
        <v>3.5653876951683316E-2</v>
      </c>
      <c r="JH81" s="35">
        <f t="shared" si="785"/>
        <v>-4.7180037654470652E-11</v>
      </c>
      <c r="JI81" s="35">
        <f t="shared" si="786"/>
        <v>3.5653873226769273E-2</v>
      </c>
      <c r="JJ81" s="35">
        <f t="shared" si="787"/>
        <v>3.5653876951683316E-2</v>
      </c>
      <c r="JK81" s="35">
        <f t="shared" si="788"/>
        <v>3.5653875089226295E-2</v>
      </c>
      <c r="JL81" s="35">
        <f t="shared" si="789"/>
        <v>3.0305493670113037E-9</v>
      </c>
      <c r="JM81" s="35">
        <f t="shared" si="790"/>
        <v>3.5653875089226295E-2</v>
      </c>
      <c r="JN81" s="35">
        <f t="shared" si="791"/>
        <v>3.5653876951683316E-2</v>
      </c>
      <c r="JO81" s="35">
        <f t="shared" si="792"/>
        <v>3.5653876020454806E-2</v>
      </c>
      <c r="JP81" s="35">
        <f t="shared" si="793"/>
        <v>1.4916843316115092E-9</v>
      </c>
      <c r="JQ81" s="35">
        <f t="shared" si="794"/>
        <v>3.5653876020454806E-2</v>
      </c>
      <c r="JR81" s="35">
        <f t="shared" si="795"/>
        <v>3.5653876951683316E-2</v>
      </c>
      <c r="JS81" s="35">
        <f t="shared" si="796"/>
        <v>3.5653876486069061E-2</v>
      </c>
      <c r="JT81" s="35">
        <f t="shared" si="797"/>
        <v>7.2225225800082171E-10</v>
      </c>
      <c r="JU81" s="35">
        <f t="shared" si="798"/>
        <v>3.5653876486069061E-2</v>
      </c>
      <c r="JV81" s="35">
        <f t="shared" si="799"/>
        <v>3.5653876951683316E-2</v>
      </c>
      <c r="JW81" s="35">
        <f t="shared" si="800"/>
        <v>3.5653876718876189E-2</v>
      </c>
      <c r="JX81" s="35">
        <f t="shared" si="801"/>
        <v>3.3753622119547799E-10</v>
      </c>
      <c r="JY81" s="35">
        <f t="shared" si="802"/>
        <v>3.5653876718876189E-2</v>
      </c>
      <c r="JZ81" s="35">
        <f t="shared" si="803"/>
        <v>3.5653876951683316E-2</v>
      </c>
      <c r="KA81" s="35">
        <f t="shared" si="804"/>
        <v>1.1250748460879549</v>
      </c>
      <c r="KB81" s="35">
        <f t="shared" si="805"/>
        <v>3.5653876835279749E-2</v>
      </c>
    </row>
    <row r="82" spans="1:288" ht="15" customHeight="1" x14ac:dyDescent="0.3">
      <c r="A82" s="30">
        <f>Odds_Input!A82</f>
        <v>74</v>
      </c>
      <c r="B82" s="7" t="str">
        <f>Odds_Input!B82</f>
        <v>DIV_SOUTHEAST</v>
      </c>
      <c r="C82" s="7" t="str">
        <f>Odds_Input!C82</f>
        <v>Washington Wizards</v>
      </c>
      <c r="D82" s="7" t="str">
        <f>Odds_Input!D82</f>
        <v>YES</v>
      </c>
      <c r="E82" s="31" t="str">
        <f>Odds_Input!E82</f>
        <v>-</v>
      </c>
      <c r="F82" s="32">
        <f>Odds_Input!F82</f>
        <v>1300</v>
      </c>
      <c r="G82" s="6" t="str">
        <f t="shared" si="533"/>
        <v>DIV_SOUTHEAST</v>
      </c>
      <c r="H82" s="14">
        <f t="shared" si="534"/>
        <v>14</v>
      </c>
      <c r="I82" s="33">
        <f t="shared" si="535"/>
        <v>7.1428571428571425E-2</v>
      </c>
      <c r="J82" s="17">
        <f t="shared" si="536"/>
        <v>1</v>
      </c>
      <c r="K82" s="17">
        <f t="shared" si="537"/>
        <v>5</v>
      </c>
      <c r="L82" s="18">
        <f t="shared" si="538"/>
        <v>1.118450515002239</v>
      </c>
      <c r="M82" s="34">
        <f t="shared" si="539"/>
        <v>0.11845051500223902</v>
      </c>
      <c r="N82" s="33">
        <f t="shared" si="540"/>
        <v>6.3863863863863862E-2</v>
      </c>
      <c r="O82" s="33">
        <f t="shared" si="541"/>
        <v>5.754629092381109E-2</v>
      </c>
      <c r="P82" s="33">
        <f t="shared" si="542"/>
        <v>5.4761237252288208E-2</v>
      </c>
      <c r="Q82" s="33">
        <f t="shared" si="543"/>
        <v>5.4761237252288208E-2</v>
      </c>
      <c r="R82" s="35">
        <f t="shared" si="544"/>
        <v>1.0818884317064659</v>
      </c>
      <c r="S82" s="35">
        <f t="shared" si="545"/>
        <v>3.0193926930267709E-2</v>
      </c>
      <c r="X82" s="6" t="s">
        <v>292</v>
      </c>
      <c r="Y82" s="6">
        <f t="shared" si="546"/>
        <v>1</v>
      </c>
      <c r="Z82" s="18">
        <f t="shared" si="547"/>
        <v>1.1639301874595991</v>
      </c>
      <c r="AA82" s="10">
        <v>0.2</v>
      </c>
      <c r="AB82" s="10">
        <v>10</v>
      </c>
      <c r="AC82" s="35">
        <f t="shared" si="548"/>
        <v>5.0999999999999996</v>
      </c>
      <c r="AD82" s="35">
        <f t="shared" si="549"/>
        <v>-0.92555611129510151</v>
      </c>
      <c r="AE82" s="35">
        <f t="shared" si="550"/>
        <v>0.2</v>
      </c>
      <c r="AF82" s="35">
        <f t="shared" si="551"/>
        <v>5.0999999999999996</v>
      </c>
      <c r="AG82" s="35">
        <f t="shared" si="552"/>
        <v>2.65</v>
      </c>
      <c r="AH82" s="35">
        <f t="shared" si="553"/>
        <v>-0.70827400150664799</v>
      </c>
      <c r="AI82" s="35">
        <f t="shared" si="554"/>
        <v>0.2</v>
      </c>
      <c r="AJ82" s="35">
        <f t="shared" si="555"/>
        <v>2.65</v>
      </c>
      <c r="AK82" s="35">
        <f t="shared" si="556"/>
        <v>1.425</v>
      </c>
      <c r="AL82" s="35">
        <f t="shared" si="557"/>
        <v>-0.24890767297956562</v>
      </c>
      <c r="AM82" s="35">
        <f t="shared" si="558"/>
        <v>0.2</v>
      </c>
      <c r="AN82" s="35">
        <f t="shared" si="559"/>
        <v>1.425</v>
      </c>
      <c r="AO82" s="35">
        <f t="shared" si="560"/>
        <v>0.8125</v>
      </c>
      <c r="AP82" s="35">
        <f t="shared" si="561"/>
        <v>0.45020940837987622</v>
      </c>
      <c r="AQ82" s="35">
        <f t="shared" si="562"/>
        <v>0.8125</v>
      </c>
      <c r="AR82" s="35">
        <f t="shared" si="563"/>
        <v>1.425</v>
      </c>
      <c r="AS82" s="35">
        <f t="shared" si="564"/>
        <v>1.1187499999999999</v>
      </c>
      <c r="AT82" s="35">
        <f t="shared" si="565"/>
        <v>2.1799415125846489E-2</v>
      </c>
      <c r="AU82" s="35">
        <f t="shared" si="566"/>
        <v>1.1187499999999999</v>
      </c>
      <c r="AV82" s="35">
        <f t="shared" si="567"/>
        <v>1.425</v>
      </c>
      <c r="AW82" s="35">
        <f t="shared" si="568"/>
        <v>1.2718750000000001</v>
      </c>
      <c r="AX82" s="35">
        <f t="shared" si="569"/>
        <v>-0.12810899550624666</v>
      </c>
      <c r="AY82" s="35">
        <f t="shared" si="570"/>
        <v>1.1187499999999999</v>
      </c>
      <c r="AZ82" s="35">
        <f t="shared" si="571"/>
        <v>1.2718750000000001</v>
      </c>
      <c r="BA82" s="35">
        <f t="shared" si="572"/>
        <v>1.1953125</v>
      </c>
      <c r="BB82" s="35">
        <f t="shared" si="573"/>
        <v>-5.7305528294013586E-2</v>
      </c>
      <c r="BC82" s="35">
        <f t="shared" si="574"/>
        <v>1.1187499999999999</v>
      </c>
      <c r="BD82" s="35">
        <f t="shared" si="575"/>
        <v>1.1953125</v>
      </c>
      <c r="BE82" s="35">
        <f t="shared" si="576"/>
        <v>1.15703125</v>
      </c>
      <c r="BF82" s="35">
        <f t="shared" si="577"/>
        <v>-1.886425573183248E-2</v>
      </c>
      <c r="BG82" s="35">
        <f t="shared" si="578"/>
        <v>1.1187499999999999</v>
      </c>
      <c r="BH82" s="35">
        <f t="shared" si="579"/>
        <v>1.15703125</v>
      </c>
      <c r="BI82" s="35">
        <f t="shared" si="580"/>
        <v>1.1378906249999998</v>
      </c>
      <c r="BJ82" s="35">
        <f t="shared" si="581"/>
        <v>1.1799050938630096E-3</v>
      </c>
      <c r="BK82" s="35">
        <f t="shared" si="582"/>
        <v>1.1378906249999998</v>
      </c>
      <c r="BL82" s="35">
        <f t="shared" si="583"/>
        <v>1.15703125</v>
      </c>
      <c r="BM82" s="35">
        <f t="shared" si="584"/>
        <v>1.1474609375</v>
      </c>
      <c r="BN82" s="35">
        <f t="shared" si="585"/>
        <v>-8.9128270010414568E-3</v>
      </c>
      <c r="BO82" s="35">
        <f t="shared" si="586"/>
        <v>1.1378906249999998</v>
      </c>
      <c r="BP82" s="35">
        <f t="shared" si="587"/>
        <v>1.1474609375</v>
      </c>
      <c r="BQ82" s="35">
        <f t="shared" si="588"/>
        <v>1.1426757812499999</v>
      </c>
      <c r="BR82" s="35">
        <f t="shared" si="589"/>
        <v>-3.8842801498072399E-3</v>
      </c>
      <c r="BS82" s="35">
        <f t="shared" si="590"/>
        <v>1.1378906249999998</v>
      </c>
      <c r="BT82" s="35">
        <f t="shared" si="591"/>
        <v>1.1426757812499999</v>
      </c>
      <c r="BU82" s="35">
        <f t="shared" si="592"/>
        <v>1.1402832031249999</v>
      </c>
      <c r="BV82" s="35">
        <f t="shared" si="593"/>
        <v>-1.3566620427429843E-3</v>
      </c>
      <c r="BW82" s="35">
        <f t="shared" si="594"/>
        <v>1.1378906249999998</v>
      </c>
      <c r="BX82" s="35">
        <f t="shared" si="595"/>
        <v>1.1402832031249999</v>
      </c>
      <c r="BY82" s="35">
        <f t="shared" si="596"/>
        <v>1.1390869140624997</v>
      </c>
      <c r="BZ82" s="35">
        <f t="shared" si="597"/>
        <v>-8.9499579033258669E-5</v>
      </c>
      <c r="CA82" s="35">
        <f t="shared" si="598"/>
        <v>1.1378906249999998</v>
      </c>
      <c r="CB82" s="35">
        <f t="shared" si="599"/>
        <v>1.1390869140624997</v>
      </c>
      <c r="CC82" s="35">
        <f t="shared" si="600"/>
        <v>1.1384887695312498</v>
      </c>
      <c r="CD82" s="35">
        <f t="shared" si="601"/>
        <v>5.4492217106072438E-4</v>
      </c>
      <c r="CE82" s="35">
        <f t="shared" si="602"/>
        <v>1.1384887695312498</v>
      </c>
      <c r="CF82" s="35">
        <f t="shared" si="603"/>
        <v>1.1390869140624997</v>
      </c>
      <c r="CG82" s="35">
        <f t="shared" si="604"/>
        <v>1.1387878417968746</v>
      </c>
      <c r="CH82" s="35">
        <f t="shared" si="605"/>
        <v>2.2764118823315194E-4</v>
      </c>
      <c r="CI82" s="35">
        <f t="shared" si="606"/>
        <v>1.1387878417968746</v>
      </c>
      <c r="CJ82" s="35">
        <f t="shared" si="607"/>
        <v>1.1390869140624997</v>
      </c>
      <c r="CK82" s="35">
        <f t="shared" si="608"/>
        <v>1.1389373779296872</v>
      </c>
      <c r="CL82" s="35">
        <f t="shared" si="609"/>
        <v>6.9053282502951063E-5</v>
      </c>
      <c r="CM82" s="35">
        <f t="shared" si="610"/>
        <v>1.1389373779296872</v>
      </c>
      <c r="CN82" s="35">
        <f t="shared" si="611"/>
        <v>1.1390869140624997</v>
      </c>
      <c r="CO82" s="35">
        <f t="shared" si="612"/>
        <v>1.1390121459960936</v>
      </c>
      <c r="CP82" s="35">
        <f t="shared" si="613"/>
        <v>-1.0227528183914814E-5</v>
      </c>
      <c r="CQ82" s="35">
        <f t="shared" si="614"/>
        <v>1.1389373779296872</v>
      </c>
      <c r="CR82" s="35">
        <f t="shared" si="615"/>
        <v>1.1390121459960936</v>
      </c>
      <c r="CS82" s="35">
        <f t="shared" si="616"/>
        <v>1.1389747619628903</v>
      </c>
      <c r="CT82" s="35">
        <f t="shared" si="617"/>
        <v>2.941178210424944E-5</v>
      </c>
      <c r="CU82" s="35">
        <f t="shared" si="618"/>
        <v>1.1389747619628903</v>
      </c>
      <c r="CV82" s="35">
        <f t="shared" si="619"/>
        <v>1.1390121459960936</v>
      </c>
      <c r="CW82" s="35">
        <f t="shared" si="620"/>
        <v>1.1389934539794919</v>
      </c>
      <c r="CX82" s="35">
        <f t="shared" si="621"/>
        <v>9.5918532059258155E-6</v>
      </c>
      <c r="CY82" s="35">
        <f t="shared" si="622"/>
        <v>1.1389934539794919</v>
      </c>
      <c r="CZ82" s="35">
        <f t="shared" si="623"/>
        <v>1.1390121459960936</v>
      </c>
      <c r="DA82" s="35">
        <f t="shared" si="624"/>
        <v>1.1390027999877927</v>
      </c>
      <c r="DB82" s="35">
        <f t="shared" si="625"/>
        <v>-3.179059262503614E-7</v>
      </c>
      <c r="DC82" s="35">
        <f t="shared" si="626"/>
        <v>1.1389934539794919</v>
      </c>
      <c r="DD82" s="35">
        <f t="shared" si="627"/>
        <v>1.1390027999877927</v>
      </c>
      <c r="DE82" s="35">
        <f t="shared" si="628"/>
        <v>1.1389981269836422</v>
      </c>
      <c r="DF82" s="35">
        <f t="shared" si="629"/>
        <v>4.6369565303017168E-6</v>
      </c>
      <c r="DG82" s="35">
        <f t="shared" si="630"/>
        <v>1.1389981269836422</v>
      </c>
      <c r="DH82" s="35">
        <f t="shared" si="631"/>
        <v>1.1390027999877927</v>
      </c>
      <c r="DI82" s="35">
        <f t="shared" si="632"/>
        <v>1.1390004634857176</v>
      </c>
      <c r="DJ82" s="35">
        <f t="shared" si="633"/>
        <v>2.1595210244473861E-6</v>
      </c>
      <c r="DK82" s="35">
        <f t="shared" si="634"/>
        <v>1.1390004634857176</v>
      </c>
      <c r="DL82" s="35">
        <f t="shared" si="635"/>
        <v>1.1390027999877927</v>
      </c>
      <c r="DM82" s="35">
        <f t="shared" si="636"/>
        <v>1.1390016317367553</v>
      </c>
      <c r="DN82" s="35">
        <f t="shared" si="637"/>
        <v>9.2080647973169505E-7</v>
      </c>
      <c r="DO82" s="35">
        <f t="shared" si="638"/>
        <v>1.1390016317367553</v>
      </c>
      <c r="DP82" s="35">
        <f t="shared" si="639"/>
        <v>1.1390027999877927</v>
      </c>
      <c r="DQ82" s="35">
        <f t="shared" si="640"/>
        <v>1.1390022158622739</v>
      </c>
      <c r="DR82" s="35">
        <f t="shared" si="641"/>
        <v>3.0145000939896249E-7</v>
      </c>
      <c r="DS82" s="35">
        <f t="shared" si="642"/>
        <v>1.1390022158622739</v>
      </c>
      <c r="DT82" s="35">
        <f t="shared" si="643"/>
        <v>1.1390027999877927</v>
      </c>
      <c r="DU82" s="35">
        <f t="shared" si="644"/>
        <v>1.1390025079250332</v>
      </c>
      <c r="DV82" s="35">
        <f t="shared" si="645"/>
        <v>-8.2280251501032353E-9</v>
      </c>
      <c r="DW82" s="35">
        <f t="shared" si="646"/>
        <v>1.1390022158622739</v>
      </c>
      <c r="DX82" s="35">
        <f t="shared" si="647"/>
        <v>1.1390025079250332</v>
      </c>
      <c r="DY82" s="35">
        <f t="shared" si="648"/>
        <v>1.1390023618936536</v>
      </c>
      <c r="DZ82" s="35">
        <f t="shared" si="649"/>
        <v>1.4661097536006196E-7</v>
      </c>
      <c r="EA82" s="35">
        <f t="shared" si="650"/>
        <v>1.1390023618936536</v>
      </c>
      <c r="EB82" s="35">
        <f t="shared" si="651"/>
        <v>1.1390025079250332</v>
      </c>
      <c r="EC82" s="35">
        <f t="shared" si="652"/>
        <v>1.1390024349093433</v>
      </c>
      <c r="ED82" s="35">
        <f t="shared" si="653"/>
        <v>6.919147099715417E-8</v>
      </c>
      <c r="EE82" s="35">
        <f t="shared" si="654"/>
        <v>1.1390024349093433</v>
      </c>
      <c r="EF82" s="35">
        <f t="shared" si="655"/>
        <v>1.1390025079250332</v>
      </c>
      <c r="EG82" s="35">
        <f t="shared" si="656"/>
        <v>1.1390024714171882</v>
      </c>
      <c r="EH82" s="35">
        <f t="shared" si="657"/>
        <v>3.0481722035347047E-8</v>
      </c>
      <c r="EI82" s="35">
        <f t="shared" si="658"/>
        <v>1.1390024714171882</v>
      </c>
      <c r="EJ82" s="35">
        <f t="shared" si="659"/>
        <v>1.1390025079250332</v>
      </c>
      <c r="EK82" s="35">
        <f t="shared" si="660"/>
        <v>1.1390024896711108</v>
      </c>
      <c r="EL82" s="35">
        <f t="shared" si="661"/>
        <v>1.1126848109554999E-8</v>
      </c>
      <c r="EM82" s="35">
        <f t="shared" si="662"/>
        <v>1.1390024896711108</v>
      </c>
      <c r="EN82" s="35">
        <f t="shared" si="663"/>
        <v>1.1390025079250332</v>
      </c>
      <c r="EO82" s="35">
        <f t="shared" si="664"/>
        <v>1.139002498798072</v>
      </c>
      <c r="EP82" s="35">
        <f t="shared" si="665"/>
        <v>1.4494114797258817E-9</v>
      </c>
      <c r="EQ82" s="35">
        <f t="shared" si="666"/>
        <v>1.139002498798072</v>
      </c>
      <c r="ER82" s="35">
        <f t="shared" si="667"/>
        <v>1.1390025079250332</v>
      </c>
      <c r="ES82" s="35">
        <f t="shared" si="668"/>
        <v>1.1390025033615525</v>
      </c>
      <c r="ET82" s="35">
        <f t="shared" si="669"/>
        <v>-3.3893067241663744E-9</v>
      </c>
      <c r="EU82" s="35">
        <f t="shared" si="670"/>
        <v>1.139002498798072</v>
      </c>
      <c r="EV82" s="35">
        <f t="shared" si="671"/>
        <v>1.1390025033615525</v>
      </c>
      <c r="EW82" s="35">
        <f t="shared" si="672"/>
        <v>1.1390025010798124</v>
      </c>
      <c r="EX82" s="35">
        <f t="shared" si="673"/>
        <v>-9.6994789977600249E-10</v>
      </c>
      <c r="EY82" s="35">
        <f t="shared" si="674"/>
        <v>1.139002498798072</v>
      </c>
      <c r="EZ82" s="35">
        <f t="shared" si="675"/>
        <v>1.1390025010798124</v>
      </c>
      <c r="FA82" s="10">
        <v>9.9999999999999995E-7</v>
      </c>
      <c r="FB82" s="10">
        <v>0.99990000000000001</v>
      </c>
      <c r="FC82" s="35">
        <f t="shared" si="676"/>
        <v>0.49995050000000002</v>
      </c>
      <c r="FD82" s="35">
        <f t="shared" si="677"/>
        <v>-0.40475060032096766</v>
      </c>
      <c r="FE82" s="35">
        <f t="shared" si="678"/>
        <v>9.9999999999999995E-7</v>
      </c>
      <c r="FF82" s="35">
        <f t="shared" si="679"/>
        <v>0.49995050000000002</v>
      </c>
      <c r="FG82" s="35">
        <f t="shared" si="680"/>
        <v>0.24997575</v>
      </c>
      <c r="FH82" s="35">
        <f t="shared" si="681"/>
        <v>-0.23296819331889485</v>
      </c>
      <c r="FI82" s="35">
        <f t="shared" si="682"/>
        <v>9.9999999999999995E-7</v>
      </c>
      <c r="FJ82" s="35">
        <f t="shared" si="683"/>
        <v>0.24997575</v>
      </c>
      <c r="FK82" s="35">
        <f t="shared" si="684"/>
        <v>0.124988375</v>
      </c>
      <c r="FL82" s="35">
        <f t="shared" si="685"/>
        <v>-0.10346644514620107</v>
      </c>
      <c r="FM82" s="35">
        <f t="shared" si="686"/>
        <v>9.9999999999999995E-7</v>
      </c>
      <c r="FN82" s="35">
        <f t="shared" si="687"/>
        <v>0.124988375</v>
      </c>
      <c r="FO82" s="35">
        <f t="shared" si="688"/>
        <v>6.24946875E-2</v>
      </c>
      <c r="FP82" s="35">
        <f t="shared" si="689"/>
        <v>-2.2344019491121303E-2</v>
      </c>
      <c r="FQ82" s="35">
        <f t="shared" si="690"/>
        <v>9.9999999999999995E-7</v>
      </c>
      <c r="FR82" s="35">
        <f t="shared" si="691"/>
        <v>6.24946875E-2</v>
      </c>
      <c r="FS82" s="35">
        <f t="shared" si="692"/>
        <v>3.124784375E-2</v>
      </c>
      <c r="FT82" s="35">
        <f t="shared" si="693"/>
        <v>2.4067444144585393E-2</v>
      </c>
      <c r="FU82" s="35">
        <f t="shared" si="694"/>
        <v>3.124784375E-2</v>
      </c>
      <c r="FV82" s="35">
        <f t="shared" si="695"/>
        <v>6.24946875E-2</v>
      </c>
      <c r="FW82" s="35">
        <f t="shared" si="696"/>
        <v>4.6871265624999998E-2</v>
      </c>
      <c r="FX82" s="35">
        <f t="shared" si="697"/>
        <v>1.8314277223341335E-4</v>
      </c>
      <c r="FY82" s="35">
        <f t="shared" si="698"/>
        <v>4.6871265624999998E-2</v>
      </c>
      <c r="FZ82" s="35">
        <f t="shared" si="699"/>
        <v>6.24946875E-2</v>
      </c>
      <c r="GA82" s="35">
        <f t="shared" si="700"/>
        <v>5.4682976562499999E-2</v>
      </c>
      <c r="GB82" s="35">
        <f t="shared" si="701"/>
        <v>-1.1223663149729002E-2</v>
      </c>
      <c r="GC82" s="35">
        <f t="shared" si="702"/>
        <v>4.6871265624999998E-2</v>
      </c>
      <c r="GD82" s="35">
        <f t="shared" si="703"/>
        <v>5.4682976562499999E-2</v>
      </c>
      <c r="GE82" s="35">
        <f t="shared" si="704"/>
        <v>5.0777121093750002E-2</v>
      </c>
      <c r="GF82" s="35">
        <f t="shared" si="705"/>
        <v>-5.5586339341062718E-3</v>
      </c>
      <c r="GG82" s="35">
        <f t="shared" si="706"/>
        <v>4.6871265624999998E-2</v>
      </c>
      <c r="GH82" s="35">
        <f t="shared" si="707"/>
        <v>5.0777121093750002E-2</v>
      </c>
      <c r="GI82" s="35">
        <f t="shared" si="708"/>
        <v>4.8824193359375004E-2</v>
      </c>
      <c r="GJ82" s="35">
        <f t="shared" si="709"/>
        <v>-2.6977145106098499E-3</v>
      </c>
      <c r="GK82" s="35">
        <f t="shared" si="710"/>
        <v>4.6871265624999998E-2</v>
      </c>
      <c r="GL82" s="35">
        <f t="shared" si="711"/>
        <v>4.8824193359375004E-2</v>
      </c>
      <c r="GM82" s="35">
        <f t="shared" si="712"/>
        <v>4.7847729492187505E-2</v>
      </c>
      <c r="GN82" s="35">
        <f t="shared" si="713"/>
        <v>-1.2598289269474261E-3</v>
      </c>
      <c r="GO82" s="35">
        <f t="shared" si="714"/>
        <v>4.6871265624999998E-2</v>
      </c>
      <c r="GP82" s="35">
        <f t="shared" si="715"/>
        <v>4.7847729492187505E-2</v>
      </c>
      <c r="GQ82" s="35">
        <f t="shared" si="716"/>
        <v>4.7359497558593755E-2</v>
      </c>
      <c r="GR82" s="35">
        <f t="shared" si="717"/>
        <v>-5.3898545413455512E-4</v>
      </c>
      <c r="GS82" s="35">
        <f t="shared" si="718"/>
        <v>4.6871265624999998E-2</v>
      </c>
      <c r="GT82" s="35">
        <f t="shared" si="719"/>
        <v>4.7359497558593755E-2</v>
      </c>
      <c r="GU82" s="35">
        <f t="shared" si="720"/>
        <v>4.7115381591796873E-2</v>
      </c>
      <c r="GV82" s="35">
        <f t="shared" si="721"/>
        <v>-1.7808277840458686E-4</v>
      </c>
      <c r="GW82" s="35">
        <f t="shared" si="722"/>
        <v>4.6871265624999998E-2</v>
      </c>
      <c r="GX82" s="35">
        <f t="shared" si="723"/>
        <v>4.7115381591796873E-2</v>
      </c>
      <c r="GY82" s="35">
        <f t="shared" si="724"/>
        <v>4.6993323608398432E-2</v>
      </c>
      <c r="GZ82" s="35">
        <f t="shared" si="725"/>
        <v>2.4895310823946915E-6</v>
      </c>
      <c r="HA82" s="35">
        <f t="shared" si="726"/>
        <v>4.6993323608398432E-2</v>
      </c>
      <c r="HB82" s="35">
        <f t="shared" si="727"/>
        <v>4.7115381591796873E-2</v>
      </c>
      <c r="HC82" s="35">
        <f t="shared" si="728"/>
        <v>4.7054352600097653E-2</v>
      </c>
      <c r="HD82" s="35">
        <f t="shared" si="729"/>
        <v>-8.7806726763006715E-5</v>
      </c>
      <c r="HE82" s="35">
        <f t="shared" si="730"/>
        <v>4.6993323608398432E-2</v>
      </c>
      <c r="HF82" s="35">
        <f t="shared" si="731"/>
        <v>4.7054352600097653E-2</v>
      </c>
      <c r="HG82" s="35">
        <f t="shared" si="732"/>
        <v>4.7023838104248039E-2</v>
      </c>
      <c r="HH82" s="35">
        <f t="shared" si="733"/>
        <v>-4.2661125282061896E-5</v>
      </c>
      <c r="HI82" s="35">
        <f t="shared" si="734"/>
        <v>4.6993323608398432E-2</v>
      </c>
      <c r="HJ82" s="35">
        <f t="shared" si="735"/>
        <v>4.7023838104248039E-2</v>
      </c>
      <c r="HK82" s="35">
        <f t="shared" si="736"/>
        <v>4.7008580856323236E-2</v>
      </c>
      <c r="HL82" s="35">
        <f t="shared" si="737"/>
        <v>-2.0086429169063891E-5</v>
      </c>
      <c r="HM82" s="35">
        <f t="shared" si="738"/>
        <v>4.6993323608398432E-2</v>
      </c>
      <c r="HN82" s="35">
        <f t="shared" si="739"/>
        <v>4.7008580856323236E-2</v>
      </c>
      <c r="HO82" s="35">
        <f t="shared" si="740"/>
        <v>4.7000952232360838E-2</v>
      </c>
      <c r="HP82" s="35">
        <f t="shared" si="741"/>
        <v>-8.7986070865797572E-6</v>
      </c>
      <c r="HQ82" s="35">
        <f t="shared" si="742"/>
        <v>4.6993323608398432E-2</v>
      </c>
      <c r="HR82" s="35">
        <f t="shared" si="743"/>
        <v>4.7000952232360838E-2</v>
      </c>
      <c r="HS82" s="35">
        <f t="shared" si="744"/>
        <v>4.6997137920379635E-2</v>
      </c>
      <c r="HT82" s="35">
        <f t="shared" si="745"/>
        <v>-3.1545775163177581E-6</v>
      </c>
      <c r="HU82" s="35">
        <f t="shared" si="746"/>
        <v>4.6993323608398432E-2</v>
      </c>
      <c r="HV82" s="35">
        <f t="shared" si="747"/>
        <v>4.6997137920379635E-2</v>
      </c>
      <c r="HW82" s="35">
        <f t="shared" si="748"/>
        <v>4.6995230764389037E-2</v>
      </c>
      <c r="HX82" s="35">
        <f t="shared" si="749"/>
        <v>-3.3253309583702872E-7</v>
      </c>
      <c r="HY82" s="35">
        <f t="shared" si="750"/>
        <v>4.6993323608398432E-2</v>
      </c>
      <c r="HZ82" s="35">
        <f t="shared" si="751"/>
        <v>4.6995230764389037E-2</v>
      </c>
      <c r="IA82" s="35">
        <f t="shared" si="752"/>
        <v>4.6994277186393735E-2</v>
      </c>
      <c r="IB82" s="35">
        <f t="shared" si="753"/>
        <v>1.0784965236432242E-6</v>
      </c>
      <c r="IC82" s="35">
        <f t="shared" si="754"/>
        <v>4.6994277186393735E-2</v>
      </c>
      <c r="ID82" s="35">
        <f t="shared" si="755"/>
        <v>4.6995230764389037E-2</v>
      </c>
      <c r="IE82" s="35">
        <f t="shared" si="756"/>
        <v>4.6994753975391386E-2</v>
      </c>
      <c r="IF82" s="35">
        <f t="shared" si="757"/>
        <v>3.7298109645256261E-7</v>
      </c>
      <c r="IG82" s="35">
        <f t="shared" si="758"/>
        <v>4.6994753975391386E-2</v>
      </c>
      <c r="IH82" s="35">
        <f t="shared" si="759"/>
        <v>4.6995230764389037E-2</v>
      </c>
      <c r="II82" s="35">
        <f t="shared" si="760"/>
        <v>4.6994992369890215E-2</v>
      </c>
      <c r="IJ82" s="35">
        <f t="shared" si="761"/>
        <v>2.0223845931255369E-8</v>
      </c>
      <c r="IK82" s="35">
        <f t="shared" si="762"/>
        <v>4.6994992369890215E-2</v>
      </c>
      <c r="IL82" s="35">
        <f t="shared" si="763"/>
        <v>4.6995230764389037E-2</v>
      </c>
      <c r="IM82" s="35">
        <f t="shared" si="764"/>
        <v>4.6995111567139626E-2</v>
      </c>
      <c r="IN82" s="35">
        <f t="shared" si="765"/>
        <v>-1.5615466342211448E-7</v>
      </c>
      <c r="IO82" s="35">
        <f t="shared" si="766"/>
        <v>4.6994992369890215E-2</v>
      </c>
      <c r="IP82" s="35">
        <f t="shared" si="767"/>
        <v>4.6995111567139626E-2</v>
      </c>
      <c r="IQ82" s="35">
        <f t="shared" si="768"/>
        <v>4.6995051968514917E-2</v>
      </c>
      <c r="IR82" s="35">
        <f t="shared" si="769"/>
        <v>-6.7965418404369871E-8</v>
      </c>
      <c r="IS82" s="35">
        <f t="shared" si="770"/>
        <v>4.6994992369890215E-2</v>
      </c>
      <c r="IT82" s="35">
        <f t="shared" si="771"/>
        <v>4.6995051968514917E-2</v>
      </c>
      <c r="IU82" s="35">
        <f t="shared" si="772"/>
        <v>4.6995022169202566E-2</v>
      </c>
      <c r="IV82" s="35">
        <f t="shared" si="773"/>
        <v>-2.3870788679047905E-8</v>
      </c>
      <c r="IW82" s="35">
        <f t="shared" si="774"/>
        <v>4.6994992369890215E-2</v>
      </c>
      <c r="IX82" s="35">
        <f t="shared" si="775"/>
        <v>4.6995022169202566E-2</v>
      </c>
      <c r="IY82" s="35">
        <f t="shared" si="776"/>
        <v>4.6995007269546391E-2</v>
      </c>
      <c r="IZ82" s="35">
        <f t="shared" si="777"/>
        <v>-1.823472040030083E-9</v>
      </c>
      <c r="JA82" s="35">
        <f t="shared" si="778"/>
        <v>4.6994992369890215E-2</v>
      </c>
      <c r="JB82" s="35">
        <f t="shared" si="779"/>
        <v>4.6995007269546391E-2</v>
      </c>
      <c r="JC82" s="35">
        <f t="shared" si="780"/>
        <v>4.6994999819718303E-2</v>
      </c>
      <c r="JD82" s="35">
        <f t="shared" si="781"/>
        <v>9.2001868345903404E-9</v>
      </c>
      <c r="JE82" s="35">
        <f t="shared" si="782"/>
        <v>4.6994999819718303E-2</v>
      </c>
      <c r="JF82" s="35">
        <f t="shared" si="783"/>
        <v>4.6995007269546391E-2</v>
      </c>
      <c r="JG82" s="35">
        <f t="shared" si="784"/>
        <v>4.6995003544632347E-2</v>
      </c>
      <c r="JH82" s="35">
        <f t="shared" si="785"/>
        <v>3.6883573972801287E-9</v>
      </c>
      <c r="JI82" s="35">
        <f t="shared" si="786"/>
        <v>4.6995003544632347E-2</v>
      </c>
      <c r="JJ82" s="35">
        <f t="shared" si="787"/>
        <v>4.6995007269546391E-2</v>
      </c>
      <c r="JK82" s="35">
        <f t="shared" si="788"/>
        <v>4.6995005407089369E-2</v>
      </c>
      <c r="JL82" s="35">
        <f t="shared" si="789"/>
        <v>9.3244256760272037E-10</v>
      </c>
      <c r="JM82" s="35">
        <f t="shared" si="790"/>
        <v>4.6995005407089369E-2</v>
      </c>
      <c r="JN82" s="35">
        <f t="shared" si="791"/>
        <v>4.6995007269546391E-2</v>
      </c>
      <c r="JO82" s="35">
        <f t="shared" si="792"/>
        <v>4.699500633831788E-2</v>
      </c>
      <c r="JP82" s="35">
        <f t="shared" si="793"/>
        <v>-4.4551473621368132E-10</v>
      </c>
      <c r="JQ82" s="35">
        <f t="shared" si="794"/>
        <v>4.6995005407089369E-2</v>
      </c>
      <c r="JR82" s="35">
        <f t="shared" si="795"/>
        <v>4.699500633831788E-2</v>
      </c>
      <c r="JS82" s="35">
        <f t="shared" si="796"/>
        <v>4.6995005872703624E-2</v>
      </c>
      <c r="JT82" s="35">
        <f t="shared" si="797"/>
        <v>2.4346391569451953E-10</v>
      </c>
      <c r="JU82" s="35">
        <f t="shared" si="798"/>
        <v>4.6995005872703624E-2</v>
      </c>
      <c r="JV82" s="35">
        <f t="shared" si="799"/>
        <v>4.699500633831788E-2</v>
      </c>
      <c r="JW82" s="35">
        <f t="shared" si="800"/>
        <v>4.6995006105510752E-2</v>
      </c>
      <c r="JX82" s="35">
        <f t="shared" si="801"/>
        <v>-1.0102541025958089E-10</v>
      </c>
      <c r="JY82" s="35">
        <f t="shared" si="802"/>
        <v>4.6995005872703624E-2</v>
      </c>
      <c r="JZ82" s="35">
        <f t="shared" si="803"/>
        <v>4.6995006105510752E-2</v>
      </c>
      <c r="KA82" s="35">
        <f t="shared" si="804"/>
        <v>1.1390024999389423</v>
      </c>
      <c r="KB82" s="35">
        <f t="shared" si="805"/>
        <v>4.6995005989107191E-2</v>
      </c>
    </row>
    <row r="83" spans="1:288" ht="15" customHeight="1" x14ac:dyDescent="0.3">
      <c r="A83" s="30">
        <f>Odds_Input!A83</f>
        <v>75</v>
      </c>
      <c r="B83" s="7" t="str">
        <f>Odds_Input!B83</f>
        <v>DIV_NORTHWEST</v>
      </c>
      <c r="C83" s="7" t="str">
        <f>Odds_Input!C83</f>
        <v>Denver Nuggets</v>
      </c>
      <c r="D83" s="7" t="str">
        <f>Odds_Input!D83</f>
        <v>YES</v>
      </c>
      <c r="E83" s="31" t="str">
        <f>Odds_Input!E83</f>
        <v>-</v>
      </c>
      <c r="F83" s="32">
        <f>Odds_Input!F83</f>
        <v>925</v>
      </c>
      <c r="G83" s="6" t="str">
        <f t="shared" si="533"/>
        <v>DIV_NORTHWEST</v>
      </c>
      <c r="H83" s="14">
        <f t="shared" si="534"/>
        <v>10.25</v>
      </c>
      <c r="I83" s="33">
        <f t="shared" si="535"/>
        <v>9.7560975609756101E-2</v>
      </c>
      <c r="J83" s="17">
        <f t="shared" si="536"/>
        <v>1</v>
      </c>
      <c r="K83" s="17">
        <f t="shared" si="537"/>
        <v>5</v>
      </c>
      <c r="L83" s="18">
        <f t="shared" si="538"/>
        <v>1.1129211191777471</v>
      </c>
      <c r="M83" s="34">
        <f t="shared" si="539"/>
        <v>0.11292111917774705</v>
      </c>
      <c r="N83" s="33">
        <f t="shared" si="540"/>
        <v>8.7662075890730246E-2</v>
      </c>
      <c r="O83" s="33">
        <f t="shared" si="541"/>
        <v>6.4088807725087876E-2</v>
      </c>
      <c r="P83" s="33">
        <f t="shared" si="542"/>
        <v>7.7817681530566798E-2</v>
      </c>
      <c r="Q83" s="33">
        <f t="shared" si="543"/>
        <v>7.7817681530566798E-2</v>
      </c>
      <c r="R83" s="35">
        <f t="shared" si="544"/>
        <v>1.1805576662300159</v>
      </c>
      <c r="S83" s="35">
        <f t="shared" si="545"/>
        <v>3.4792828498521472E-2</v>
      </c>
      <c r="X83" s="6" t="s">
        <v>293</v>
      </c>
      <c r="Y83" s="6">
        <f t="shared" si="546"/>
        <v>1</v>
      </c>
      <c r="Z83" s="18">
        <f t="shared" si="547"/>
        <v>1.2752336644537776</v>
      </c>
      <c r="AA83" s="10">
        <v>0.2</v>
      </c>
      <c r="AB83" s="10">
        <v>10</v>
      </c>
      <c r="AC83" s="35">
        <f t="shared" si="548"/>
        <v>5.0999999999999996</v>
      </c>
      <c r="AD83" s="35">
        <f t="shared" si="549"/>
        <v>-0.99566332336229513</v>
      </c>
      <c r="AE83" s="35">
        <f t="shared" si="550"/>
        <v>0.2</v>
      </c>
      <c r="AF83" s="35">
        <f t="shared" si="551"/>
        <v>5.0999999999999996</v>
      </c>
      <c r="AG83" s="35">
        <f t="shared" si="552"/>
        <v>2.65</v>
      </c>
      <c r="AH83" s="35">
        <f t="shared" si="553"/>
        <v>-0.9084728032452698</v>
      </c>
      <c r="AI83" s="35">
        <f t="shared" si="554"/>
        <v>0.2</v>
      </c>
      <c r="AJ83" s="35">
        <f t="shared" si="555"/>
        <v>2.65</v>
      </c>
      <c r="AK83" s="35">
        <f t="shared" si="556"/>
        <v>1.425</v>
      </c>
      <c r="AL83" s="35">
        <f t="shared" si="557"/>
        <v>-0.42854845777216677</v>
      </c>
      <c r="AM83" s="35">
        <f t="shared" si="558"/>
        <v>0.2</v>
      </c>
      <c r="AN83" s="35">
        <f t="shared" si="559"/>
        <v>1.425</v>
      </c>
      <c r="AO83" s="35">
        <f t="shared" si="560"/>
        <v>0.8125</v>
      </c>
      <c r="AP83" s="35">
        <f t="shared" si="561"/>
        <v>0.94124678522625538</v>
      </c>
      <c r="AQ83" s="35">
        <f t="shared" si="562"/>
        <v>0.8125</v>
      </c>
      <c r="AR83" s="35">
        <f t="shared" si="563"/>
        <v>1.425</v>
      </c>
      <c r="AS83" s="35">
        <f t="shared" si="564"/>
        <v>1.1187499999999999</v>
      </c>
      <c r="AT83" s="35">
        <f t="shared" si="565"/>
        <v>1.5329120256641904E-3</v>
      </c>
      <c r="AU83" s="35">
        <f t="shared" si="566"/>
        <v>1.1187499999999999</v>
      </c>
      <c r="AV83" s="35">
        <f t="shared" si="567"/>
        <v>1.425</v>
      </c>
      <c r="AW83" s="35">
        <f t="shared" si="568"/>
        <v>1.2718750000000001</v>
      </c>
      <c r="AX83" s="35">
        <f t="shared" si="569"/>
        <v>-0.25058720242292121</v>
      </c>
      <c r="AY83" s="35">
        <f t="shared" si="570"/>
        <v>1.1187499999999999</v>
      </c>
      <c r="AZ83" s="35">
        <f t="shared" si="571"/>
        <v>1.2718750000000001</v>
      </c>
      <c r="BA83" s="35">
        <f t="shared" si="572"/>
        <v>1.1953125</v>
      </c>
      <c r="BB83" s="35">
        <f t="shared" si="573"/>
        <v>-0.13597963761204024</v>
      </c>
      <c r="BC83" s="35">
        <f t="shared" si="574"/>
        <v>1.1187499999999999</v>
      </c>
      <c r="BD83" s="35">
        <f t="shared" si="575"/>
        <v>1.1953125</v>
      </c>
      <c r="BE83" s="35">
        <f t="shared" si="576"/>
        <v>1.15703125</v>
      </c>
      <c r="BF83" s="35">
        <f t="shared" si="577"/>
        <v>-7.0430221618822064E-2</v>
      </c>
      <c r="BG83" s="35">
        <f t="shared" si="578"/>
        <v>1.1187499999999999</v>
      </c>
      <c r="BH83" s="35">
        <f t="shared" si="579"/>
        <v>1.15703125</v>
      </c>
      <c r="BI83" s="35">
        <f t="shared" si="580"/>
        <v>1.1378906249999998</v>
      </c>
      <c r="BJ83" s="35">
        <f t="shared" si="581"/>
        <v>-3.5298909419106073E-2</v>
      </c>
      <c r="BK83" s="35">
        <f t="shared" si="582"/>
        <v>1.1187499999999999</v>
      </c>
      <c r="BL83" s="35">
        <f t="shared" si="583"/>
        <v>1.1378906249999998</v>
      </c>
      <c r="BM83" s="35">
        <f t="shared" si="584"/>
        <v>1.1283203124999999</v>
      </c>
      <c r="BN83" s="35">
        <f t="shared" si="585"/>
        <v>-1.7102022377826986E-2</v>
      </c>
      <c r="BO83" s="35">
        <f t="shared" si="586"/>
        <v>1.1187499999999999</v>
      </c>
      <c r="BP83" s="35">
        <f t="shared" si="587"/>
        <v>1.1283203124999999</v>
      </c>
      <c r="BQ83" s="35">
        <f t="shared" si="588"/>
        <v>1.12353515625</v>
      </c>
      <c r="BR83" s="35">
        <f t="shared" si="589"/>
        <v>-7.8401446780267392E-3</v>
      </c>
      <c r="BS83" s="35">
        <f t="shared" si="590"/>
        <v>1.1187499999999999</v>
      </c>
      <c r="BT83" s="35">
        <f t="shared" si="591"/>
        <v>1.12353515625</v>
      </c>
      <c r="BU83" s="35">
        <f t="shared" si="592"/>
        <v>1.121142578125</v>
      </c>
      <c r="BV83" s="35">
        <f t="shared" si="593"/>
        <v>-3.1676195803796992E-3</v>
      </c>
      <c r="BW83" s="35">
        <f t="shared" si="594"/>
        <v>1.1187499999999999</v>
      </c>
      <c r="BX83" s="35">
        <f t="shared" si="595"/>
        <v>1.121142578125</v>
      </c>
      <c r="BY83" s="35">
        <f t="shared" si="596"/>
        <v>1.1199462890624998</v>
      </c>
      <c r="BZ83" s="35">
        <f t="shared" si="597"/>
        <v>-8.2086793245239598E-4</v>
      </c>
      <c r="CA83" s="35">
        <f t="shared" si="598"/>
        <v>1.1187499999999999</v>
      </c>
      <c r="CB83" s="35">
        <f t="shared" si="599"/>
        <v>1.1199462890624998</v>
      </c>
      <c r="CC83" s="35">
        <f t="shared" si="600"/>
        <v>1.1193481445312499</v>
      </c>
      <c r="CD83" s="35">
        <f t="shared" si="601"/>
        <v>3.5514183341778249E-4</v>
      </c>
      <c r="CE83" s="35">
        <f t="shared" si="602"/>
        <v>1.1193481445312499</v>
      </c>
      <c r="CF83" s="35">
        <f t="shared" si="603"/>
        <v>1.1199462890624998</v>
      </c>
      <c r="CG83" s="35">
        <f t="shared" si="604"/>
        <v>1.1196472167968747</v>
      </c>
      <c r="CH83" s="35">
        <f t="shared" si="605"/>
        <v>-2.3308289321144482E-4</v>
      </c>
      <c r="CI83" s="35">
        <f t="shared" si="606"/>
        <v>1.1193481445312499</v>
      </c>
      <c r="CJ83" s="35">
        <f t="shared" si="607"/>
        <v>1.1196472167968747</v>
      </c>
      <c r="CK83" s="35">
        <f t="shared" si="608"/>
        <v>1.1194976806640624</v>
      </c>
      <c r="CL83" s="35">
        <f t="shared" si="609"/>
        <v>6.0974482998243928E-5</v>
      </c>
      <c r="CM83" s="35">
        <f t="shared" si="610"/>
        <v>1.1194976806640624</v>
      </c>
      <c r="CN83" s="35">
        <f t="shared" si="611"/>
        <v>1.1196472167968747</v>
      </c>
      <c r="CO83" s="35">
        <f t="shared" si="612"/>
        <v>1.1195724487304686</v>
      </c>
      <c r="CP83" s="35">
        <f t="shared" si="613"/>
        <v>-8.6067948609103162E-5</v>
      </c>
      <c r="CQ83" s="35">
        <f t="shared" si="614"/>
        <v>1.1194976806640624</v>
      </c>
      <c r="CR83" s="35">
        <f t="shared" si="615"/>
        <v>1.1195724487304686</v>
      </c>
      <c r="CS83" s="35">
        <f t="shared" si="616"/>
        <v>1.1195350646972655</v>
      </c>
      <c r="CT83" s="35">
        <f t="shared" si="617"/>
        <v>-1.2550169090297381E-5</v>
      </c>
      <c r="CU83" s="35">
        <f t="shared" si="618"/>
        <v>1.1194976806640624</v>
      </c>
      <c r="CV83" s="35">
        <f t="shared" si="619"/>
        <v>1.1195350646972655</v>
      </c>
      <c r="CW83" s="35">
        <f t="shared" si="620"/>
        <v>1.1195163726806641</v>
      </c>
      <c r="CX83" s="35">
        <f t="shared" si="621"/>
        <v>2.4211297831477907E-5</v>
      </c>
      <c r="CY83" s="35">
        <f t="shared" si="622"/>
        <v>1.1195163726806641</v>
      </c>
      <c r="CZ83" s="35">
        <f t="shared" si="623"/>
        <v>1.1195350646972655</v>
      </c>
      <c r="DA83" s="35">
        <f t="shared" si="624"/>
        <v>1.1195257186889647</v>
      </c>
      <c r="DB83" s="35">
        <f t="shared" si="625"/>
        <v>5.8303495964473484E-6</v>
      </c>
      <c r="DC83" s="35">
        <f t="shared" si="626"/>
        <v>1.1195257186889647</v>
      </c>
      <c r="DD83" s="35">
        <f t="shared" si="627"/>
        <v>1.1195350646972655</v>
      </c>
      <c r="DE83" s="35">
        <f t="shared" si="628"/>
        <v>1.119530391693115</v>
      </c>
      <c r="DF83" s="35">
        <f t="shared" si="629"/>
        <v>-3.3599634398084888E-6</v>
      </c>
      <c r="DG83" s="35">
        <f t="shared" si="630"/>
        <v>1.1195257186889647</v>
      </c>
      <c r="DH83" s="35">
        <f t="shared" si="631"/>
        <v>1.119530391693115</v>
      </c>
      <c r="DI83" s="35">
        <f t="shared" si="632"/>
        <v>1.1195280551910398</v>
      </c>
      <c r="DJ83" s="35">
        <f t="shared" si="633"/>
        <v>1.2351796558895956E-6</v>
      </c>
      <c r="DK83" s="35">
        <f t="shared" si="634"/>
        <v>1.1195280551910398</v>
      </c>
      <c r="DL83" s="35">
        <f t="shared" si="635"/>
        <v>1.119530391693115</v>
      </c>
      <c r="DM83" s="35">
        <f t="shared" si="636"/>
        <v>1.1195292234420773</v>
      </c>
      <c r="DN83" s="35">
        <f t="shared" si="637"/>
        <v>-1.0623952476640497E-6</v>
      </c>
      <c r="DO83" s="35">
        <f t="shared" si="638"/>
        <v>1.1195280551910398</v>
      </c>
      <c r="DP83" s="35">
        <f t="shared" si="639"/>
        <v>1.1195292234420773</v>
      </c>
      <c r="DQ83" s="35">
        <f t="shared" si="640"/>
        <v>1.1195286393165587</v>
      </c>
      <c r="DR83" s="35">
        <f t="shared" si="641"/>
        <v>8.6391364506610557E-8</v>
      </c>
      <c r="DS83" s="35">
        <f t="shared" si="642"/>
        <v>1.1195286393165587</v>
      </c>
      <c r="DT83" s="35">
        <f t="shared" si="643"/>
        <v>1.1195292234420773</v>
      </c>
      <c r="DU83" s="35">
        <f t="shared" si="644"/>
        <v>1.119528931379318</v>
      </c>
      <c r="DV83" s="35">
        <f t="shared" si="645"/>
        <v>-4.8800215168842698E-7</v>
      </c>
      <c r="DW83" s="35">
        <f t="shared" si="646"/>
        <v>1.1195286393165587</v>
      </c>
      <c r="DX83" s="35">
        <f t="shared" si="647"/>
        <v>1.119528931379318</v>
      </c>
      <c r="DY83" s="35">
        <f t="shared" si="648"/>
        <v>1.1195287853479383</v>
      </c>
      <c r="DZ83" s="35">
        <f t="shared" si="649"/>
        <v>-2.0080544527179001E-7</v>
      </c>
      <c r="EA83" s="35">
        <f t="shared" si="650"/>
        <v>1.1195286393165587</v>
      </c>
      <c r="EB83" s="35">
        <f t="shared" si="651"/>
        <v>1.1195287853479383</v>
      </c>
      <c r="EC83" s="35">
        <f t="shared" si="652"/>
        <v>1.1195287123322486</v>
      </c>
      <c r="ED83" s="35">
        <f t="shared" si="653"/>
        <v>-5.7207053760777171E-8</v>
      </c>
      <c r="EE83" s="35">
        <f t="shared" si="654"/>
        <v>1.1195286393165587</v>
      </c>
      <c r="EF83" s="35">
        <f t="shared" si="655"/>
        <v>1.1195287123322486</v>
      </c>
      <c r="EG83" s="35">
        <f t="shared" si="656"/>
        <v>1.1195286758244036</v>
      </c>
      <c r="EH83" s="35">
        <f t="shared" si="657"/>
        <v>1.4592151931225317E-8</v>
      </c>
      <c r="EI83" s="35">
        <f t="shared" si="658"/>
        <v>1.1195286758244036</v>
      </c>
      <c r="EJ83" s="35">
        <f t="shared" si="659"/>
        <v>1.1195287123322486</v>
      </c>
      <c r="EK83" s="35">
        <f t="shared" si="660"/>
        <v>1.1195286940783262</v>
      </c>
      <c r="EL83" s="35">
        <f t="shared" si="661"/>
        <v>-2.1307451580909742E-8</v>
      </c>
      <c r="EM83" s="35">
        <f t="shared" si="662"/>
        <v>1.1195286758244036</v>
      </c>
      <c r="EN83" s="35">
        <f t="shared" si="663"/>
        <v>1.1195286940783262</v>
      </c>
      <c r="EO83" s="35">
        <f t="shared" si="664"/>
        <v>1.1195286849513648</v>
      </c>
      <c r="EP83" s="35">
        <f t="shared" si="665"/>
        <v>-3.3576499358645151E-9</v>
      </c>
      <c r="EQ83" s="35">
        <f t="shared" si="666"/>
        <v>1.1195286758244036</v>
      </c>
      <c r="ER83" s="35">
        <f t="shared" si="667"/>
        <v>1.1195286849513648</v>
      </c>
      <c r="ES83" s="35">
        <f t="shared" si="668"/>
        <v>1.1195286803878841</v>
      </c>
      <c r="ET83" s="35">
        <f t="shared" si="669"/>
        <v>5.6172515527919131E-9</v>
      </c>
      <c r="EU83" s="35">
        <f t="shared" si="670"/>
        <v>1.1195286803878841</v>
      </c>
      <c r="EV83" s="35">
        <f t="shared" si="671"/>
        <v>1.1195286849513648</v>
      </c>
      <c r="EW83" s="35">
        <f t="shared" si="672"/>
        <v>1.1195286826696245</v>
      </c>
      <c r="EX83" s="35">
        <f t="shared" si="673"/>
        <v>1.1298002533521867E-9</v>
      </c>
      <c r="EY83" s="35">
        <f t="shared" si="674"/>
        <v>1.1195286826696245</v>
      </c>
      <c r="EZ83" s="35">
        <f t="shared" si="675"/>
        <v>1.1195286849513648</v>
      </c>
      <c r="FA83" s="10">
        <v>9.9999999999999995E-7</v>
      </c>
      <c r="FB83" s="10">
        <v>0.99990000000000001</v>
      </c>
      <c r="FC83" s="35">
        <f t="shared" si="676"/>
        <v>0.49995050000000002</v>
      </c>
      <c r="FD83" s="35">
        <f t="shared" si="677"/>
        <v>-0.67129108492490386</v>
      </c>
      <c r="FE83" s="35">
        <f t="shared" si="678"/>
        <v>9.9999999999999995E-7</v>
      </c>
      <c r="FF83" s="35">
        <f t="shared" si="679"/>
        <v>0.49995050000000002</v>
      </c>
      <c r="FG83" s="35">
        <f t="shared" si="680"/>
        <v>0.24997575</v>
      </c>
      <c r="FH83" s="35">
        <f t="shared" si="681"/>
        <v>-0.4846816530187561</v>
      </c>
      <c r="FI83" s="35">
        <f t="shared" si="682"/>
        <v>9.9999999999999995E-7</v>
      </c>
      <c r="FJ83" s="35">
        <f t="shared" si="683"/>
        <v>0.24997575</v>
      </c>
      <c r="FK83" s="35">
        <f t="shared" si="684"/>
        <v>0.124988375</v>
      </c>
      <c r="FL83" s="35">
        <f t="shared" si="685"/>
        <v>-0.3089128317471187</v>
      </c>
      <c r="FM83" s="35">
        <f t="shared" si="686"/>
        <v>9.9999999999999995E-7</v>
      </c>
      <c r="FN83" s="35">
        <f t="shared" si="687"/>
        <v>0.124988375</v>
      </c>
      <c r="FO83" s="35">
        <f t="shared" si="688"/>
        <v>6.24946875E-2</v>
      </c>
      <c r="FP83" s="35">
        <f t="shared" si="689"/>
        <v>-0.17024282628798748</v>
      </c>
      <c r="FQ83" s="35">
        <f t="shared" si="690"/>
        <v>9.9999999999999995E-7</v>
      </c>
      <c r="FR83" s="35">
        <f t="shared" si="691"/>
        <v>6.24946875E-2</v>
      </c>
      <c r="FS83" s="35">
        <f t="shared" si="692"/>
        <v>3.124784375E-2</v>
      </c>
      <c r="FT83" s="35">
        <f t="shared" si="693"/>
        <v>-7.0441387673033096E-2</v>
      </c>
      <c r="FU83" s="35">
        <f t="shared" si="694"/>
        <v>9.9999999999999995E-7</v>
      </c>
      <c r="FV83" s="35">
        <f t="shared" si="695"/>
        <v>3.124784375E-2</v>
      </c>
      <c r="FW83" s="35">
        <f t="shared" si="696"/>
        <v>1.5624421875000001E-2</v>
      </c>
      <c r="FX83" s="35">
        <f t="shared" si="697"/>
        <v>-3.3359949062028438E-4</v>
      </c>
      <c r="FY83" s="35">
        <f t="shared" si="698"/>
        <v>9.9999999999999995E-7</v>
      </c>
      <c r="FZ83" s="35">
        <f t="shared" si="699"/>
        <v>1.5624421875000001E-2</v>
      </c>
      <c r="GA83" s="35">
        <f t="shared" si="700"/>
        <v>7.8127109375E-3</v>
      </c>
      <c r="GB83" s="35">
        <f t="shared" si="701"/>
        <v>4.9618425558466406E-2</v>
      </c>
      <c r="GC83" s="35">
        <f t="shared" si="702"/>
        <v>7.8127109375E-3</v>
      </c>
      <c r="GD83" s="35">
        <f t="shared" si="703"/>
        <v>1.5624421875000001E-2</v>
      </c>
      <c r="GE83" s="35">
        <f t="shared" si="704"/>
        <v>1.171856640625E-2</v>
      </c>
      <c r="GF83" s="35">
        <f t="shared" si="705"/>
        <v>2.248768420310987E-2</v>
      </c>
      <c r="GG83" s="35">
        <f t="shared" si="706"/>
        <v>1.171856640625E-2</v>
      </c>
      <c r="GH83" s="35">
        <f t="shared" si="707"/>
        <v>1.5624421875000001E-2</v>
      </c>
      <c r="GI83" s="35">
        <f t="shared" si="708"/>
        <v>1.3671494140625001E-2</v>
      </c>
      <c r="GJ83" s="35">
        <f t="shared" si="709"/>
        <v>1.0652420070090152E-2</v>
      </c>
      <c r="GK83" s="35">
        <f t="shared" si="710"/>
        <v>1.3671494140625001E-2</v>
      </c>
      <c r="GL83" s="35">
        <f t="shared" si="711"/>
        <v>1.5624421875000001E-2</v>
      </c>
      <c r="GM83" s="35">
        <f t="shared" si="712"/>
        <v>1.46479580078125E-2</v>
      </c>
      <c r="GN83" s="35">
        <f t="shared" si="713"/>
        <v>5.0640423438665927E-3</v>
      </c>
      <c r="GO83" s="35">
        <f t="shared" si="714"/>
        <v>1.46479580078125E-2</v>
      </c>
      <c r="GP83" s="35">
        <f t="shared" si="715"/>
        <v>1.5624421875000001E-2</v>
      </c>
      <c r="GQ83" s="35">
        <f t="shared" si="716"/>
        <v>1.5136189941406249E-2</v>
      </c>
      <c r="GR83" s="35">
        <f t="shared" si="717"/>
        <v>2.3425618988408559E-3</v>
      </c>
      <c r="GS83" s="35">
        <f t="shared" si="718"/>
        <v>1.5136189941406249E-2</v>
      </c>
      <c r="GT83" s="35">
        <f t="shared" si="719"/>
        <v>1.5624421875000001E-2</v>
      </c>
      <c r="GU83" s="35">
        <f t="shared" si="720"/>
        <v>1.5380305908203124E-2</v>
      </c>
      <c r="GV83" s="35">
        <f t="shared" si="721"/>
        <v>9.9895502771230049E-4</v>
      </c>
      <c r="GW83" s="35">
        <f t="shared" si="722"/>
        <v>1.5380305908203124E-2</v>
      </c>
      <c r="GX83" s="35">
        <f t="shared" si="723"/>
        <v>1.5624421875000001E-2</v>
      </c>
      <c r="GY83" s="35">
        <f t="shared" si="724"/>
        <v>1.5502363891601562E-2</v>
      </c>
      <c r="GZ83" s="35">
        <f t="shared" si="725"/>
        <v>3.3131302914490846E-4</v>
      </c>
      <c r="HA83" s="35">
        <f t="shared" si="726"/>
        <v>1.5502363891601562E-2</v>
      </c>
      <c r="HB83" s="35">
        <f t="shared" si="727"/>
        <v>1.5624421875000001E-2</v>
      </c>
      <c r="HC83" s="35">
        <f t="shared" si="728"/>
        <v>1.5563392883300782E-2</v>
      </c>
      <c r="HD83" s="35">
        <f t="shared" si="729"/>
        <v>-1.4823473031277956E-6</v>
      </c>
      <c r="HE83" s="35">
        <f t="shared" si="730"/>
        <v>1.5502363891601562E-2</v>
      </c>
      <c r="HF83" s="35">
        <f t="shared" si="731"/>
        <v>1.5563392883300782E-2</v>
      </c>
      <c r="HG83" s="35">
        <f t="shared" si="732"/>
        <v>1.5532878387451172E-2</v>
      </c>
      <c r="HH83" s="35">
        <f t="shared" si="733"/>
        <v>1.6483030466618587E-4</v>
      </c>
      <c r="HI83" s="35">
        <f t="shared" si="734"/>
        <v>1.5532878387451172E-2</v>
      </c>
      <c r="HJ83" s="35">
        <f t="shared" si="735"/>
        <v>1.5563392883300782E-2</v>
      </c>
      <c r="HK83" s="35">
        <f t="shared" si="736"/>
        <v>1.5548135635375977E-2</v>
      </c>
      <c r="HL83" s="35">
        <f t="shared" si="737"/>
        <v>8.1652751847016702E-5</v>
      </c>
      <c r="HM83" s="35">
        <f t="shared" si="738"/>
        <v>1.5548135635375977E-2</v>
      </c>
      <c r="HN83" s="35">
        <f t="shared" si="739"/>
        <v>1.5563392883300782E-2</v>
      </c>
      <c r="HO83" s="35">
        <f t="shared" si="740"/>
        <v>1.555576425933838E-2</v>
      </c>
      <c r="HP83" s="35">
        <f t="shared" si="741"/>
        <v>4.0079899582545764E-5</v>
      </c>
      <c r="HQ83" s="35">
        <f t="shared" si="742"/>
        <v>1.555576425933838E-2</v>
      </c>
      <c r="HR83" s="35">
        <f t="shared" si="743"/>
        <v>1.5563392883300782E-2</v>
      </c>
      <c r="HS83" s="35">
        <f t="shared" si="744"/>
        <v>1.5559578571319581E-2</v>
      </c>
      <c r="HT83" s="35">
        <f t="shared" si="745"/>
        <v>1.9297450970290342E-5</v>
      </c>
      <c r="HU83" s="35">
        <f t="shared" si="746"/>
        <v>1.5559578571319581E-2</v>
      </c>
      <c r="HV83" s="35">
        <f t="shared" si="747"/>
        <v>1.5563392883300782E-2</v>
      </c>
      <c r="HW83" s="35">
        <f t="shared" si="748"/>
        <v>1.5561485727310181E-2</v>
      </c>
      <c r="HX83" s="35">
        <f t="shared" si="749"/>
        <v>8.9072206048701474E-6</v>
      </c>
      <c r="HY83" s="35">
        <f t="shared" si="750"/>
        <v>1.5561485727310181E-2</v>
      </c>
      <c r="HZ83" s="35">
        <f t="shared" si="751"/>
        <v>1.5563392883300782E-2</v>
      </c>
      <c r="IA83" s="35">
        <f t="shared" si="752"/>
        <v>1.5562439305305481E-2</v>
      </c>
      <c r="IB83" s="35">
        <f t="shared" si="753"/>
        <v>3.7123538496608433E-6</v>
      </c>
      <c r="IC83" s="35">
        <f t="shared" si="754"/>
        <v>1.5562439305305481E-2</v>
      </c>
      <c r="ID83" s="35">
        <f t="shared" si="755"/>
        <v>1.5563392883300782E-2</v>
      </c>
      <c r="IE83" s="35">
        <f t="shared" si="756"/>
        <v>1.5562916094303131E-2</v>
      </c>
      <c r="IF83" s="35">
        <f t="shared" si="757"/>
        <v>1.1149825740464081E-6</v>
      </c>
      <c r="IG83" s="35">
        <f t="shared" si="758"/>
        <v>1.5562916094303131E-2</v>
      </c>
      <c r="IH83" s="35">
        <f t="shared" si="759"/>
        <v>1.5563392883300782E-2</v>
      </c>
      <c r="II83" s="35">
        <f t="shared" si="760"/>
        <v>1.5563154488801956E-2</v>
      </c>
      <c r="IJ83" s="35">
        <f t="shared" si="761"/>
        <v>-1.8368753917918923E-7</v>
      </c>
      <c r="IK83" s="35">
        <f t="shared" si="762"/>
        <v>1.5562916094303131E-2</v>
      </c>
      <c r="IL83" s="35">
        <f t="shared" si="763"/>
        <v>1.5563154488801956E-2</v>
      </c>
      <c r="IM83" s="35">
        <f t="shared" si="764"/>
        <v>1.5563035291552544E-2</v>
      </c>
      <c r="IN83" s="35">
        <f t="shared" si="765"/>
        <v>4.6564622402378575E-7</v>
      </c>
      <c r="IO83" s="35">
        <f t="shared" si="766"/>
        <v>1.5563035291552544E-2</v>
      </c>
      <c r="IP83" s="35">
        <f t="shared" si="767"/>
        <v>1.5563154488801956E-2</v>
      </c>
      <c r="IQ83" s="35">
        <f t="shared" si="768"/>
        <v>1.5563094890177251E-2</v>
      </c>
      <c r="IR83" s="35">
        <f t="shared" si="769"/>
        <v>1.4097901890330888E-7</v>
      </c>
      <c r="IS83" s="35">
        <f t="shared" si="770"/>
        <v>1.5563094890177251E-2</v>
      </c>
      <c r="IT83" s="35">
        <f t="shared" si="771"/>
        <v>1.5563154488801956E-2</v>
      </c>
      <c r="IU83" s="35">
        <f t="shared" si="772"/>
        <v>1.5563124689489604E-2</v>
      </c>
      <c r="IV83" s="35">
        <f t="shared" si="773"/>
        <v>-2.1354341073198668E-8</v>
      </c>
      <c r="IW83" s="35">
        <f t="shared" si="774"/>
        <v>1.5563094890177251E-2</v>
      </c>
      <c r="IX83" s="35">
        <f t="shared" si="775"/>
        <v>1.5563124689489604E-2</v>
      </c>
      <c r="IY83" s="35">
        <f t="shared" si="776"/>
        <v>1.5563109789833426E-2</v>
      </c>
      <c r="IZ83" s="35">
        <f t="shared" si="777"/>
        <v>5.9812318875529513E-8</v>
      </c>
      <c r="JA83" s="35">
        <f t="shared" si="778"/>
        <v>1.5563109789833426E-2</v>
      </c>
      <c r="JB83" s="35">
        <f t="shared" si="779"/>
        <v>1.5563124689489604E-2</v>
      </c>
      <c r="JC83" s="35">
        <f t="shared" si="780"/>
        <v>1.5563117239661514E-2</v>
      </c>
      <c r="JD83" s="35">
        <f t="shared" si="781"/>
        <v>1.9228984404762173E-8</v>
      </c>
      <c r="JE83" s="35">
        <f t="shared" si="782"/>
        <v>1.5563117239661514E-2</v>
      </c>
      <c r="JF83" s="35">
        <f t="shared" si="783"/>
        <v>1.5563124689489604E-2</v>
      </c>
      <c r="JG83" s="35">
        <f t="shared" si="784"/>
        <v>1.5563120964575558E-2</v>
      </c>
      <c r="JH83" s="35">
        <f t="shared" si="785"/>
        <v>-1.0626785007517014E-9</v>
      </c>
      <c r="JI83" s="35">
        <f t="shared" si="786"/>
        <v>1.5563117239661514E-2</v>
      </c>
      <c r="JJ83" s="35">
        <f t="shared" si="787"/>
        <v>1.5563120964575558E-2</v>
      </c>
      <c r="JK83" s="35">
        <f t="shared" si="788"/>
        <v>1.5563119102118536E-2</v>
      </c>
      <c r="JL83" s="35">
        <f t="shared" si="789"/>
        <v>9.0831520083156647E-9</v>
      </c>
      <c r="JM83" s="35">
        <f t="shared" si="790"/>
        <v>1.5563119102118536E-2</v>
      </c>
      <c r="JN83" s="35">
        <f t="shared" si="791"/>
        <v>1.5563120964575558E-2</v>
      </c>
      <c r="JO83" s="35">
        <f t="shared" si="792"/>
        <v>1.5563120033347047E-2</v>
      </c>
      <c r="JP83" s="35">
        <f t="shared" si="793"/>
        <v>4.0102372533823427E-9</v>
      </c>
      <c r="JQ83" s="35">
        <f t="shared" si="794"/>
        <v>1.5563120033347047E-2</v>
      </c>
      <c r="JR83" s="35">
        <f t="shared" si="795"/>
        <v>1.5563120964575558E-2</v>
      </c>
      <c r="JS83" s="35">
        <f t="shared" si="796"/>
        <v>1.5563120498961303E-2</v>
      </c>
      <c r="JT83" s="35">
        <f t="shared" si="797"/>
        <v>1.4737786546703546E-9</v>
      </c>
      <c r="JU83" s="35">
        <f t="shared" si="798"/>
        <v>1.5563120498961303E-2</v>
      </c>
      <c r="JV83" s="35">
        <f t="shared" si="799"/>
        <v>1.5563120964575558E-2</v>
      </c>
      <c r="JW83" s="35">
        <f t="shared" si="800"/>
        <v>1.556312073176843E-2</v>
      </c>
      <c r="JX83" s="35">
        <f t="shared" si="801"/>
        <v>2.0555002144817536E-10</v>
      </c>
      <c r="JY83" s="35">
        <f t="shared" si="802"/>
        <v>1.556312073176843E-2</v>
      </c>
      <c r="JZ83" s="35">
        <f t="shared" si="803"/>
        <v>1.5563120964575558E-2</v>
      </c>
      <c r="KA83" s="35">
        <f t="shared" si="804"/>
        <v>1.1195286838104948</v>
      </c>
      <c r="KB83" s="35">
        <f t="shared" si="805"/>
        <v>1.5563120848171994E-2</v>
      </c>
    </row>
    <row r="84" spans="1:288" ht="15" customHeight="1" x14ac:dyDescent="0.3">
      <c r="A84" s="30">
        <f>Odds_Input!A84</f>
        <v>76</v>
      </c>
      <c r="B84" s="7" t="str">
        <f>Odds_Input!B84</f>
        <v>DIV_NORTHWEST</v>
      </c>
      <c r="C84" s="7" t="str">
        <f>Odds_Input!C84</f>
        <v>Minnesota Timberwolves</v>
      </c>
      <c r="D84" s="7" t="str">
        <f>Odds_Input!D84</f>
        <v>YES</v>
      </c>
      <c r="E84" s="31" t="str">
        <f>Odds_Input!E84</f>
        <v>-</v>
      </c>
      <c r="F84" s="32">
        <f>Odds_Input!F84</f>
        <v>875</v>
      </c>
      <c r="G84" s="6" t="str">
        <f t="shared" si="533"/>
        <v>DIV_NORTHWEST</v>
      </c>
      <c r="H84" s="14">
        <f t="shared" si="534"/>
        <v>9.75</v>
      </c>
      <c r="I84" s="33">
        <f t="shared" si="535"/>
        <v>0.10256410256410256</v>
      </c>
      <c r="J84" s="17">
        <f t="shared" si="536"/>
        <v>1</v>
      </c>
      <c r="K84" s="17">
        <f t="shared" si="537"/>
        <v>5</v>
      </c>
      <c r="L84" s="18">
        <f t="shared" si="538"/>
        <v>1.1129211191777471</v>
      </c>
      <c r="M84" s="34">
        <f t="shared" si="539"/>
        <v>0.11292111917774705</v>
      </c>
      <c r="N84" s="33">
        <f t="shared" si="540"/>
        <v>9.2157566962049742E-2</v>
      </c>
      <c r="O84" s="33">
        <f t="shared" si="541"/>
        <v>6.7986552455295668E-2</v>
      </c>
      <c r="P84" s="33">
        <f t="shared" si="542"/>
        <v>8.2562893807064955E-2</v>
      </c>
      <c r="Q84" s="33">
        <f t="shared" si="543"/>
        <v>8.2562893807064955E-2</v>
      </c>
      <c r="R84" s="35">
        <f t="shared" si="544"/>
        <v>1.1805576662300159</v>
      </c>
      <c r="S84" s="35">
        <f t="shared" si="545"/>
        <v>3.4792828498521472E-2</v>
      </c>
      <c r="X84" s="6" t="s">
        <v>322</v>
      </c>
      <c r="Y84" s="6">
        <f t="shared" si="546"/>
        <v>1</v>
      </c>
      <c r="Z84" s="18">
        <f t="shared" si="547"/>
        <v>1.114947275784421</v>
      </c>
      <c r="AA84" s="10">
        <v>0.2</v>
      </c>
      <c r="AB84" s="10">
        <v>10</v>
      </c>
      <c r="AC84" s="35">
        <f t="shared" si="548"/>
        <v>5.0999999999999996</v>
      </c>
      <c r="AD84" s="35">
        <f t="shared" si="549"/>
        <v>-0.71352764529719548</v>
      </c>
      <c r="AE84" s="35">
        <f t="shared" si="550"/>
        <v>0.2</v>
      </c>
      <c r="AF84" s="35">
        <f t="shared" si="551"/>
        <v>5.0999999999999996</v>
      </c>
      <c r="AG84" s="35">
        <f t="shared" si="552"/>
        <v>2.65</v>
      </c>
      <c r="AH84" s="35">
        <f t="shared" si="553"/>
        <v>-0.4758499640066548</v>
      </c>
      <c r="AI84" s="35">
        <f t="shared" si="554"/>
        <v>0.2</v>
      </c>
      <c r="AJ84" s="35">
        <f t="shared" si="555"/>
        <v>2.65</v>
      </c>
      <c r="AK84" s="35">
        <f t="shared" si="556"/>
        <v>1.425</v>
      </c>
      <c r="AL84" s="35">
        <f t="shared" si="557"/>
        <v>-0.21839167503554624</v>
      </c>
      <c r="AM84" s="35">
        <f t="shared" si="558"/>
        <v>0.2</v>
      </c>
      <c r="AN84" s="35">
        <f t="shared" si="559"/>
        <v>1.425</v>
      </c>
      <c r="AO84" s="35">
        <f t="shared" si="560"/>
        <v>0.8125</v>
      </c>
      <c r="AP84" s="35">
        <f t="shared" si="561"/>
        <v>0.47767071152440121</v>
      </c>
      <c r="AQ84" s="35">
        <f t="shared" si="562"/>
        <v>0.8125</v>
      </c>
      <c r="AR84" s="35">
        <f t="shared" si="563"/>
        <v>1.425</v>
      </c>
      <c r="AS84" s="35">
        <f t="shared" si="564"/>
        <v>1.1187499999999999</v>
      </c>
      <c r="AT84" s="35">
        <f t="shared" si="565"/>
        <v>-2.1866652570409761E-2</v>
      </c>
      <c r="AU84" s="35">
        <f t="shared" si="566"/>
        <v>0.8125</v>
      </c>
      <c r="AV84" s="35">
        <f t="shared" si="567"/>
        <v>1.1187499999999999</v>
      </c>
      <c r="AW84" s="35">
        <f t="shared" si="568"/>
        <v>0.96562499999999996</v>
      </c>
      <c r="AX84" s="35">
        <f t="shared" si="569"/>
        <v>0.16533047407987245</v>
      </c>
      <c r="AY84" s="35">
        <f t="shared" si="570"/>
        <v>0.96562499999999996</v>
      </c>
      <c r="AZ84" s="35">
        <f t="shared" si="571"/>
        <v>1.1187499999999999</v>
      </c>
      <c r="BA84" s="35">
        <f t="shared" si="572"/>
        <v>1.0421874999999998</v>
      </c>
      <c r="BB84" s="35">
        <f t="shared" si="573"/>
        <v>6.0367467785330753E-2</v>
      </c>
      <c r="BC84" s="35">
        <f t="shared" si="574"/>
        <v>1.0421874999999998</v>
      </c>
      <c r="BD84" s="35">
        <f t="shared" si="575"/>
        <v>1.1187499999999999</v>
      </c>
      <c r="BE84" s="35">
        <f t="shared" si="576"/>
        <v>1.0804687499999999</v>
      </c>
      <c r="BF84" s="35">
        <f t="shared" si="577"/>
        <v>1.681078721693563E-2</v>
      </c>
      <c r="BG84" s="35">
        <f t="shared" si="578"/>
        <v>1.0804687499999999</v>
      </c>
      <c r="BH84" s="35">
        <f t="shared" si="579"/>
        <v>1.1187499999999999</v>
      </c>
      <c r="BI84" s="35">
        <f t="shared" si="580"/>
        <v>1.099609375</v>
      </c>
      <c r="BJ84" s="35">
        <f t="shared" si="581"/>
        <v>-3.0941325645700291E-3</v>
      </c>
      <c r="BK84" s="35">
        <f t="shared" si="582"/>
        <v>1.0804687499999999</v>
      </c>
      <c r="BL84" s="35">
        <f t="shared" si="583"/>
        <v>1.099609375</v>
      </c>
      <c r="BM84" s="35">
        <f t="shared" si="584"/>
        <v>1.0900390624999998</v>
      </c>
      <c r="BN84" s="35">
        <f t="shared" si="585"/>
        <v>6.711574436438994E-3</v>
      </c>
      <c r="BO84" s="35">
        <f t="shared" si="586"/>
        <v>1.0900390624999998</v>
      </c>
      <c r="BP84" s="35">
        <f t="shared" si="587"/>
        <v>1.099609375</v>
      </c>
      <c r="BQ84" s="35">
        <f t="shared" si="588"/>
        <v>1.0948242187499999</v>
      </c>
      <c r="BR84" s="35">
        <f t="shared" si="589"/>
        <v>1.772698642056536E-3</v>
      </c>
      <c r="BS84" s="35">
        <f t="shared" si="590"/>
        <v>1.0948242187499999</v>
      </c>
      <c r="BT84" s="35">
        <f t="shared" si="591"/>
        <v>1.099609375</v>
      </c>
      <c r="BU84" s="35">
        <f t="shared" si="592"/>
        <v>1.097216796875</v>
      </c>
      <c r="BV84" s="35">
        <f t="shared" si="593"/>
        <v>-6.6964067961117202E-4</v>
      </c>
      <c r="BW84" s="35">
        <f t="shared" si="594"/>
        <v>1.0948242187499999</v>
      </c>
      <c r="BX84" s="35">
        <f t="shared" si="595"/>
        <v>1.097216796875</v>
      </c>
      <c r="BY84" s="35">
        <f t="shared" si="596"/>
        <v>1.0960205078124998</v>
      </c>
      <c r="BZ84" s="35">
        <f t="shared" si="597"/>
        <v>5.4928788082797553E-4</v>
      </c>
      <c r="CA84" s="35">
        <f t="shared" si="598"/>
        <v>1.0960205078124998</v>
      </c>
      <c r="CB84" s="35">
        <f t="shared" si="599"/>
        <v>1.097216796875</v>
      </c>
      <c r="CC84" s="35">
        <f t="shared" si="600"/>
        <v>1.09661865234375</v>
      </c>
      <c r="CD84" s="35">
        <f t="shared" si="601"/>
        <v>-6.0735399342704E-5</v>
      </c>
      <c r="CE84" s="35">
        <f t="shared" si="602"/>
        <v>1.0960205078124998</v>
      </c>
      <c r="CF84" s="35">
        <f t="shared" si="603"/>
        <v>1.09661865234375</v>
      </c>
      <c r="CG84" s="35">
        <f t="shared" si="604"/>
        <v>1.0963195800781249</v>
      </c>
      <c r="CH84" s="35">
        <f t="shared" si="605"/>
        <v>2.4413633159947601E-4</v>
      </c>
      <c r="CI84" s="35">
        <f t="shared" si="606"/>
        <v>1.0963195800781249</v>
      </c>
      <c r="CJ84" s="35">
        <f t="shared" si="607"/>
        <v>1.09661865234375</v>
      </c>
      <c r="CK84" s="35">
        <f t="shared" si="608"/>
        <v>1.0964691162109375</v>
      </c>
      <c r="CL84" s="35">
        <f t="shared" si="609"/>
        <v>9.1665508751503921E-5</v>
      </c>
      <c r="CM84" s="35">
        <f t="shared" si="610"/>
        <v>1.0964691162109375</v>
      </c>
      <c r="CN84" s="35">
        <f t="shared" si="611"/>
        <v>1.09661865234375</v>
      </c>
      <c r="CO84" s="35">
        <f t="shared" si="612"/>
        <v>1.0965438842773438</v>
      </c>
      <c r="CP84" s="35">
        <f t="shared" si="613"/>
        <v>1.5456317847828416E-5</v>
      </c>
      <c r="CQ84" s="35">
        <f t="shared" si="614"/>
        <v>1.0965438842773438</v>
      </c>
      <c r="CR84" s="35">
        <f t="shared" si="615"/>
        <v>1.09661865234375</v>
      </c>
      <c r="CS84" s="35">
        <f t="shared" si="616"/>
        <v>1.0965812683105469</v>
      </c>
      <c r="CT84" s="35">
        <f t="shared" si="617"/>
        <v>-2.2641724650829254E-5</v>
      </c>
      <c r="CU84" s="35">
        <f t="shared" si="618"/>
        <v>1.0965438842773438</v>
      </c>
      <c r="CV84" s="35">
        <f t="shared" si="619"/>
        <v>1.0965812683105469</v>
      </c>
      <c r="CW84" s="35">
        <f t="shared" si="620"/>
        <v>1.0965625762939455</v>
      </c>
      <c r="CX84" s="35">
        <f t="shared" si="621"/>
        <v>-3.5932494167889573E-6</v>
      </c>
      <c r="CY84" s="35">
        <f t="shared" si="622"/>
        <v>1.0965438842773438</v>
      </c>
      <c r="CZ84" s="35">
        <f t="shared" si="623"/>
        <v>1.0965625762939455</v>
      </c>
      <c r="DA84" s="35">
        <f t="shared" si="624"/>
        <v>1.0965532302856447</v>
      </c>
      <c r="DB84" s="35">
        <f t="shared" si="625"/>
        <v>5.93139770677098E-6</v>
      </c>
      <c r="DC84" s="35">
        <f t="shared" si="626"/>
        <v>1.0965532302856447</v>
      </c>
      <c r="DD84" s="35">
        <f t="shared" si="627"/>
        <v>1.0965625762939455</v>
      </c>
      <c r="DE84" s="35">
        <f t="shared" si="628"/>
        <v>1.0965579032897952</v>
      </c>
      <c r="DF84" s="35">
        <f t="shared" si="629"/>
        <v>1.1690400185671024E-6</v>
      </c>
      <c r="DG84" s="35">
        <f t="shared" si="630"/>
        <v>1.0965579032897952</v>
      </c>
      <c r="DH84" s="35">
        <f t="shared" si="631"/>
        <v>1.0965625762939455</v>
      </c>
      <c r="DI84" s="35">
        <f t="shared" si="632"/>
        <v>1.0965602397918703</v>
      </c>
      <c r="DJ84" s="35">
        <f t="shared" si="633"/>
        <v>-1.2121132306752713E-6</v>
      </c>
      <c r="DK84" s="35">
        <f t="shared" si="634"/>
        <v>1.0965579032897952</v>
      </c>
      <c r="DL84" s="35">
        <f t="shared" si="635"/>
        <v>1.0965602397918703</v>
      </c>
      <c r="DM84" s="35">
        <f t="shared" si="636"/>
        <v>1.0965590715408329</v>
      </c>
      <c r="DN84" s="35">
        <f t="shared" si="637"/>
        <v>-2.153873890353708E-8</v>
      </c>
      <c r="DO84" s="35">
        <f t="shared" si="638"/>
        <v>1.0965579032897952</v>
      </c>
      <c r="DP84" s="35">
        <f t="shared" si="639"/>
        <v>1.0965590715408329</v>
      </c>
      <c r="DQ84" s="35">
        <f t="shared" si="640"/>
        <v>1.096558487415314</v>
      </c>
      <c r="DR84" s="35">
        <f t="shared" si="641"/>
        <v>5.7375010675819738E-7</v>
      </c>
      <c r="DS84" s="35">
        <f t="shared" si="642"/>
        <v>1.096558487415314</v>
      </c>
      <c r="DT84" s="35">
        <f t="shared" si="643"/>
        <v>1.0965590715408329</v>
      </c>
      <c r="DU84" s="35">
        <f t="shared" si="644"/>
        <v>1.0965587794780736</v>
      </c>
      <c r="DV84" s="35">
        <f t="shared" si="645"/>
        <v>2.7610555020096683E-7</v>
      </c>
      <c r="DW84" s="35">
        <f t="shared" si="646"/>
        <v>1.0965587794780736</v>
      </c>
      <c r="DX84" s="35">
        <f t="shared" si="647"/>
        <v>1.0965590715408329</v>
      </c>
      <c r="DY84" s="35">
        <f t="shared" si="648"/>
        <v>1.0965589255094532</v>
      </c>
      <c r="DZ84" s="35">
        <f t="shared" si="649"/>
        <v>1.2728337228651299E-7</v>
      </c>
      <c r="EA84" s="35">
        <f t="shared" si="650"/>
        <v>1.0965589255094532</v>
      </c>
      <c r="EB84" s="35">
        <f t="shared" si="651"/>
        <v>1.0965590715408329</v>
      </c>
      <c r="EC84" s="35">
        <f t="shared" si="652"/>
        <v>1.0965589985251429</v>
      </c>
      <c r="ED84" s="35">
        <f t="shared" si="653"/>
        <v>5.2872308531348722E-8</v>
      </c>
      <c r="EE84" s="35">
        <f t="shared" si="654"/>
        <v>1.0965589985251429</v>
      </c>
      <c r="EF84" s="35">
        <f t="shared" si="655"/>
        <v>1.0965590715408329</v>
      </c>
      <c r="EG84" s="35">
        <f t="shared" si="656"/>
        <v>1.0965590350329879</v>
      </c>
      <c r="EH84" s="35">
        <f t="shared" si="657"/>
        <v>1.566678253794862E-8</v>
      </c>
      <c r="EI84" s="35">
        <f t="shared" si="658"/>
        <v>1.0965590350329879</v>
      </c>
      <c r="EJ84" s="35">
        <f t="shared" si="659"/>
        <v>1.0965590715408329</v>
      </c>
      <c r="EK84" s="35">
        <f t="shared" si="660"/>
        <v>1.0965590532869105</v>
      </c>
      <c r="EL84" s="35">
        <f t="shared" si="661"/>
        <v>-2.9359790154614984E-9</v>
      </c>
      <c r="EM84" s="35">
        <f t="shared" si="662"/>
        <v>1.0965590350329879</v>
      </c>
      <c r="EN84" s="35">
        <f t="shared" si="663"/>
        <v>1.0965590532869105</v>
      </c>
      <c r="EO84" s="35">
        <f t="shared" si="664"/>
        <v>1.0965590441599491</v>
      </c>
      <c r="EP84" s="35">
        <f t="shared" si="665"/>
        <v>6.3654019832881659E-9</v>
      </c>
      <c r="EQ84" s="35">
        <f t="shared" si="666"/>
        <v>1.0965590441599491</v>
      </c>
      <c r="ER84" s="35">
        <f t="shared" si="667"/>
        <v>1.0965590532869105</v>
      </c>
      <c r="ES84" s="35">
        <f t="shared" si="668"/>
        <v>1.0965590487234298</v>
      </c>
      <c r="ET84" s="35">
        <f t="shared" si="669"/>
        <v>1.7147112618687288E-9</v>
      </c>
      <c r="EU84" s="35">
        <f t="shared" si="670"/>
        <v>1.0965590487234298</v>
      </c>
      <c r="EV84" s="35">
        <f t="shared" si="671"/>
        <v>1.0965590532869105</v>
      </c>
      <c r="EW84" s="35">
        <f t="shared" si="672"/>
        <v>1.0965590510051701</v>
      </c>
      <c r="EX84" s="35">
        <f t="shared" si="673"/>
        <v>-6.1063365475177989E-10</v>
      </c>
      <c r="EY84" s="35">
        <f t="shared" si="674"/>
        <v>1.0965590487234298</v>
      </c>
      <c r="EZ84" s="35">
        <f t="shared" si="675"/>
        <v>1.0965590510051701</v>
      </c>
      <c r="FA84" s="10">
        <v>9.9999999999999995E-7</v>
      </c>
      <c r="FB84" s="10">
        <v>0.99990000000000001</v>
      </c>
      <c r="FC84" s="35">
        <f t="shared" si="676"/>
        <v>0.49995050000000002</v>
      </c>
      <c r="FD84" s="35">
        <f t="shared" si="677"/>
        <v>-0.31669324952667</v>
      </c>
      <c r="FE84" s="35">
        <f t="shared" si="678"/>
        <v>9.9999999999999995E-7</v>
      </c>
      <c r="FF84" s="35">
        <f t="shared" si="679"/>
        <v>0.49995050000000002</v>
      </c>
      <c r="FG84" s="35">
        <f t="shared" si="680"/>
        <v>0.24997575</v>
      </c>
      <c r="FH84" s="35">
        <f t="shared" si="681"/>
        <v>-0.25226248202292945</v>
      </c>
      <c r="FI84" s="35">
        <f t="shared" si="682"/>
        <v>9.9999999999999995E-7</v>
      </c>
      <c r="FJ84" s="35">
        <f t="shared" si="683"/>
        <v>0.24997575</v>
      </c>
      <c r="FK84" s="35">
        <f t="shared" si="684"/>
        <v>0.124988375</v>
      </c>
      <c r="FL84" s="35">
        <f t="shared" si="685"/>
        <v>-0.19942505065937555</v>
      </c>
      <c r="FM84" s="35">
        <f t="shared" si="686"/>
        <v>9.9999999999999995E-7</v>
      </c>
      <c r="FN84" s="35">
        <f t="shared" si="687"/>
        <v>0.124988375</v>
      </c>
      <c r="FO84" s="35">
        <f t="shared" si="688"/>
        <v>6.24946875E-2</v>
      </c>
      <c r="FP84" s="35">
        <f t="shared" si="689"/>
        <v>-0.14435626794967493</v>
      </c>
      <c r="FQ84" s="35">
        <f t="shared" si="690"/>
        <v>9.9999999999999995E-7</v>
      </c>
      <c r="FR84" s="35">
        <f t="shared" si="691"/>
        <v>6.24946875E-2</v>
      </c>
      <c r="FS84" s="35">
        <f t="shared" si="692"/>
        <v>3.124784375E-2</v>
      </c>
      <c r="FT84" s="35">
        <f t="shared" si="693"/>
        <v>-8.7523233120587518E-2</v>
      </c>
      <c r="FU84" s="35">
        <f t="shared" si="694"/>
        <v>9.9999999999999995E-7</v>
      </c>
      <c r="FV84" s="35">
        <f t="shared" si="695"/>
        <v>3.124784375E-2</v>
      </c>
      <c r="FW84" s="35">
        <f t="shared" si="696"/>
        <v>1.5624421875000001E-2</v>
      </c>
      <c r="FX84" s="35">
        <f t="shared" si="697"/>
        <v>-3.6111640889834429E-2</v>
      </c>
      <c r="FY84" s="35">
        <f t="shared" si="698"/>
        <v>9.9999999999999995E-7</v>
      </c>
      <c r="FZ84" s="35">
        <f t="shared" si="699"/>
        <v>1.5624421875000001E-2</v>
      </c>
      <c r="GA84" s="35">
        <f t="shared" si="700"/>
        <v>7.8127109375E-3</v>
      </c>
      <c r="GB84" s="35">
        <f t="shared" si="701"/>
        <v>2.5444332382327239E-3</v>
      </c>
      <c r="GC84" s="35">
        <f t="shared" si="702"/>
        <v>7.8127109375E-3</v>
      </c>
      <c r="GD84" s="35">
        <f t="shared" si="703"/>
        <v>1.5624421875000001E-2</v>
      </c>
      <c r="GE84" s="35">
        <f t="shared" si="704"/>
        <v>1.171856640625E-2</v>
      </c>
      <c r="GF84" s="35">
        <f t="shared" si="705"/>
        <v>-1.8281384845302728E-2</v>
      </c>
      <c r="GG84" s="35">
        <f t="shared" si="706"/>
        <v>7.8127109375E-3</v>
      </c>
      <c r="GH84" s="35">
        <f t="shared" si="707"/>
        <v>1.171856640625E-2</v>
      </c>
      <c r="GI84" s="35">
        <f t="shared" si="708"/>
        <v>9.7656386718750002E-3</v>
      </c>
      <c r="GJ84" s="35">
        <f t="shared" si="709"/>
        <v>-8.2846897809522035E-3</v>
      </c>
      <c r="GK84" s="35">
        <f t="shared" si="710"/>
        <v>7.8127109375E-3</v>
      </c>
      <c r="GL84" s="35">
        <f t="shared" si="711"/>
        <v>9.7656386718750002E-3</v>
      </c>
      <c r="GM84" s="35">
        <f t="shared" si="712"/>
        <v>8.789174804687501E-3</v>
      </c>
      <c r="GN84" s="35">
        <f t="shared" si="713"/>
        <v>-2.9797616922155878E-3</v>
      </c>
      <c r="GO84" s="35">
        <f t="shared" si="714"/>
        <v>7.8127109375E-3</v>
      </c>
      <c r="GP84" s="35">
        <f t="shared" si="715"/>
        <v>8.789174804687501E-3</v>
      </c>
      <c r="GQ84" s="35">
        <f t="shared" si="716"/>
        <v>8.3009428710937513E-3</v>
      </c>
      <c r="GR84" s="35">
        <f t="shared" si="717"/>
        <v>-2.4578430476007718E-4</v>
      </c>
      <c r="GS84" s="35">
        <f t="shared" si="718"/>
        <v>7.8127109375E-3</v>
      </c>
      <c r="GT84" s="35">
        <f t="shared" si="719"/>
        <v>8.3009428710937513E-3</v>
      </c>
      <c r="GU84" s="35">
        <f t="shared" si="720"/>
        <v>8.0568269042968765E-3</v>
      </c>
      <c r="GV84" s="35">
        <f t="shared" si="721"/>
        <v>1.1422050182252619E-3</v>
      </c>
      <c r="GW84" s="35">
        <f t="shared" si="722"/>
        <v>8.0568269042968765E-3</v>
      </c>
      <c r="GX84" s="35">
        <f t="shared" si="723"/>
        <v>8.3009428710937513E-3</v>
      </c>
      <c r="GY84" s="35">
        <f t="shared" si="724"/>
        <v>8.1788848876953139E-3</v>
      </c>
      <c r="GZ84" s="35">
        <f t="shared" si="725"/>
        <v>4.4644168373997317E-4</v>
      </c>
      <c r="HA84" s="35">
        <f t="shared" si="726"/>
        <v>8.1788848876953139E-3</v>
      </c>
      <c r="HB84" s="35">
        <f t="shared" si="727"/>
        <v>8.3009428710937513E-3</v>
      </c>
      <c r="HC84" s="35">
        <f t="shared" si="728"/>
        <v>8.2399138793945326E-3</v>
      </c>
      <c r="HD84" s="35">
        <f t="shared" si="729"/>
        <v>9.9887919301933081E-5</v>
      </c>
      <c r="HE84" s="35">
        <f t="shared" si="730"/>
        <v>8.2399138793945326E-3</v>
      </c>
      <c r="HF84" s="35">
        <f t="shared" si="731"/>
        <v>8.3009428710937513E-3</v>
      </c>
      <c r="HG84" s="35">
        <f t="shared" si="732"/>
        <v>8.2704283752441411E-3</v>
      </c>
      <c r="HH84" s="35">
        <f t="shared" si="733"/>
        <v>-7.3058210572907178E-5</v>
      </c>
      <c r="HI84" s="35">
        <f t="shared" si="734"/>
        <v>8.2399138793945326E-3</v>
      </c>
      <c r="HJ84" s="35">
        <f t="shared" si="735"/>
        <v>8.2704283752441411E-3</v>
      </c>
      <c r="HK84" s="35">
        <f t="shared" si="736"/>
        <v>8.2551711273193377E-3</v>
      </c>
      <c r="HL84" s="35">
        <f t="shared" si="737"/>
        <v>1.3387328068548143E-5</v>
      </c>
      <c r="HM84" s="35">
        <f t="shared" si="738"/>
        <v>8.2551711273193377E-3</v>
      </c>
      <c r="HN84" s="35">
        <f t="shared" si="739"/>
        <v>8.2704283752441411E-3</v>
      </c>
      <c r="HO84" s="35">
        <f t="shared" si="740"/>
        <v>8.2627997512817394E-3</v>
      </c>
      <c r="HP84" s="35">
        <f t="shared" si="741"/>
        <v>-2.9842320096618025E-5</v>
      </c>
      <c r="HQ84" s="35">
        <f t="shared" si="742"/>
        <v>8.2551711273193377E-3</v>
      </c>
      <c r="HR84" s="35">
        <f t="shared" si="743"/>
        <v>8.2627997512817394E-3</v>
      </c>
      <c r="HS84" s="35">
        <f t="shared" si="744"/>
        <v>8.2589854393005386E-3</v>
      </c>
      <c r="HT84" s="35">
        <f t="shared" si="745"/>
        <v>-8.2292160660246694E-6</v>
      </c>
      <c r="HU84" s="35">
        <f t="shared" si="746"/>
        <v>8.2551711273193377E-3</v>
      </c>
      <c r="HV84" s="35">
        <f t="shared" si="747"/>
        <v>8.2589854393005386E-3</v>
      </c>
      <c r="HW84" s="35">
        <f t="shared" si="748"/>
        <v>8.257078283309939E-3</v>
      </c>
      <c r="HX84" s="35">
        <f t="shared" si="749"/>
        <v>2.578625945215407E-6</v>
      </c>
      <c r="HY84" s="35">
        <f t="shared" si="750"/>
        <v>8.257078283309939E-3</v>
      </c>
      <c r="HZ84" s="35">
        <f t="shared" si="751"/>
        <v>8.2589854393005386E-3</v>
      </c>
      <c r="IA84" s="35">
        <f t="shared" si="752"/>
        <v>8.2580318613052379E-3</v>
      </c>
      <c r="IB84" s="35">
        <f t="shared" si="753"/>
        <v>-2.8254025692397988E-6</v>
      </c>
      <c r="IC84" s="35">
        <f t="shared" si="754"/>
        <v>8.257078283309939E-3</v>
      </c>
      <c r="ID84" s="35">
        <f t="shared" si="755"/>
        <v>8.2580318613052379E-3</v>
      </c>
      <c r="IE84" s="35">
        <f t="shared" si="756"/>
        <v>8.2575550723075885E-3</v>
      </c>
      <c r="IF84" s="35">
        <f t="shared" si="757"/>
        <v>-1.2341518929037676E-7</v>
      </c>
      <c r="IG84" s="35">
        <f t="shared" si="758"/>
        <v>8.257078283309939E-3</v>
      </c>
      <c r="IH84" s="35">
        <f t="shared" si="759"/>
        <v>8.2575550723075885E-3</v>
      </c>
      <c r="II84" s="35">
        <f t="shared" si="760"/>
        <v>8.2573166778087646E-3</v>
      </c>
      <c r="IJ84" s="35">
        <f t="shared" si="761"/>
        <v>1.2275986582821474E-6</v>
      </c>
      <c r="IK84" s="35">
        <f t="shared" si="762"/>
        <v>8.2573166778087646E-3</v>
      </c>
      <c r="IL84" s="35">
        <f t="shared" si="763"/>
        <v>8.2575550723075885E-3</v>
      </c>
      <c r="IM84" s="35">
        <f t="shared" si="764"/>
        <v>8.2574358750581757E-3</v>
      </c>
      <c r="IN84" s="35">
        <f t="shared" si="765"/>
        <v>5.5209005433987102E-7</v>
      </c>
      <c r="IO84" s="35">
        <f t="shared" si="766"/>
        <v>8.2574358750581757E-3</v>
      </c>
      <c r="IP84" s="35">
        <f t="shared" si="767"/>
        <v>8.2575550723075885E-3</v>
      </c>
      <c r="IQ84" s="35">
        <f t="shared" si="768"/>
        <v>8.2574954736828812E-3</v>
      </c>
      <c r="IR84" s="35">
        <f t="shared" si="769"/>
        <v>2.1433701258288806E-7</v>
      </c>
      <c r="IS84" s="35">
        <f t="shared" si="770"/>
        <v>8.2574954736828812E-3</v>
      </c>
      <c r="IT84" s="35">
        <f t="shared" si="771"/>
        <v>8.2575550723075885E-3</v>
      </c>
      <c r="IU84" s="35">
        <f t="shared" si="772"/>
        <v>8.2575252729952357E-3</v>
      </c>
      <c r="IV84" s="35">
        <f t="shared" si="773"/>
        <v>4.5460806674668675E-8</v>
      </c>
      <c r="IW84" s="35">
        <f t="shared" si="774"/>
        <v>8.2575252729952357E-3</v>
      </c>
      <c r="IX84" s="35">
        <f t="shared" si="775"/>
        <v>8.2575550723075885E-3</v>
      </c>
      <c r="IY84" s="35">
        <f t="shared" si="776"/>
        <v>8.2575401726514112E-3</v>
      </c>
      <c r="IZ84" s="35">
        <f t="shared" si="777"/>
        <v>-3.8977218008717784E-8</v>
      </c>
      <c r="JA84" s="35">
        <f t="shared" si="778"/>
        <v>8.2575252729952357E-3</v>
      </c>
      <c r="JB84" s="35">
        <f t="shared" si="779"/>
        <v>8.2575401726514112E-3</v>
      </c>
      <c r="JC84" s="35">
        <f t="shared" si="780"/>
        <v>8.2575327228233235E-3</v>
      </c>
      <c r="JD84" s="35">
        <f t="shared" si="781"/>
        <v>3.2417872830592387E-9</v>
      </c>
      <c r="JE84" s="35">
        <f t="shared" si="782"/>
        <v>8.2575327228233235E-3</v>
      </c>
      <c r="JF84" s="35">
        <f t="shared" si="783"/>
        <v>8.2575401726514112E-3</v>
      </c>
      <c r="JG84" s="35">
        <f t="shared" si="784"/>
        <v>8.2575364477373674E-3</v>
      </c>
      <c r="JH84" s="35">
        <f t="shared" si="785"/>
        <v>-1.7867716861630356E-8</v>
      </c>
      <c r="JI84" s="35">
        <f t="shared" si="786"/>
        <v>8.2575327228233235E-3</v>
      </c>
      <c r="JJ84" s="35">
        <f t="shared" si="787"/>
        <v>8.2575364477373674E-3</v>
      </c>
      <c r="JK84" s="35">
        <f t="shared" si="788"/>
        <v>8.2575345852803454E-3</v>
      </c>
      <c r="JL84" s="35">
        <f t="shared" si="789"/>
        <v>-7.3129647892855587E-9</v>
      </c>
      <c r="JM84" s="35">
        <f t="shared" si="790"/>
        <v>8.2575327228233235E-3</v>
      </c>
      <c r="JN84" s="35">
        <f t="shared" si="791"/>
        <v>8.2575345852803454E-3</v>
      </c>
      <c r="JO84" s="35">
        <f t="shared" si="792"/>
        <v>8.2575336540518345E-3</v>
      </c>
      <c r="JP84" s="35">
        <f t="shared" si="793"/>
        <v>-2.0355886976020088E-9</v>
      </c>
      <c r="JQ84" s="35">
        <f t="shared" si="794"/>
        <v>8.2575327228233235E-3</v>
      </c>
      <c r="JR84" s="35">
        <f t="shared" si="795"/>
        <v>8.2575336540518345E-3</v>
      </c>
      <c r="JS84" s="35">
        <f t="shared" si="796"/>
        <v>8.257533188437579E-3</v>
      </c>
      <c r="JT84" s="35">
        <f t="shared" si="797"/>
        <v>6.0309934823976619E-10</v>
      </c>
      <c r="JU84" s="35">
        <f t="shared" si="798"/>
        <v>8.257533188437579E-3</v>
      </c>
      <c r="JV84" s="35">
        <f t="shared" si="799"/>
        <v>8.2575336540518345E-3</v>
      </c>
      <c r="JW84" s="35">
        <f t="shared" si="800"/>
        <v>8.2575334212447067E-3</v>
      </c>
      <c r="JX84" s="35">
        <f t="shared" si="801"/>
        <v>-7.1624506325917991E-10</v>
      </c>
      <c r="JY84" s="35">
        <f t="shared" si="802"/>
        <v>8.257533188437579E-3</v>
      </c>
      <c r="JZ84" s="35">
        <f t="shared" si="803"/>
        <v>8.2575334212447067E-3</v>
      </c>
      <c r="KA84" s="35">
        <f t="shared" si="804"/>
        <v>1.0965590498642999</v>
      </c>
      <c r="KB84" s="35">
        <f t="shared" si="805"/>
        <v>8.2575333048411428E-3</v>
      </c>
    </row>
    <row r="85" spans="1:288" ht="15" customHeight="1" x14ac:dyDescent="0.3">
      <c r="A85" s="30">
        <f>Odds_Input!A85</f>
        <v>77</v>
      </c>
      <c r="B85" s="7" t="str">
        <f>Odds_Input!B85</f>
        <v>DIV_NORTHWEST</v>
      </c>
      <c r="C85" s="7" t="str">
        <f>Odds_Input!C85</f>
        <v>Oklahoma City Thunder</v>
      </c>
      <c r="D85" s="7" t="str">
        <f>Odds_Input!D85</f>
        <v>YES</v>
      </c>
      <c r="E85" s="31" t="str">
        <f>Odds_Input!E85</f>
        <v>-</v>
      </c>
      <c r="F85" s="32">
        <f>Odds_Input!F85</f>
        <v>-650</v>
      </c>
      <c r="G85" s="6" t="str">
        <f t="shared" si="533"/>
        <v>DIV_NORTHWEST</v>
      </c>
      <c r="H85" s="14">
        <f t="shared" si="534"/>
        <v>1.1538461538461537</v>
      </c>
      <c r="I85" s="33">
        <f t="shared" si="535"/>
        <v>0.8666666666666667</v>
      </c>
      <c r="J85" s="17">
        <f t="shared" si="536"/>
        <v>1</v>
      </c>
      <c r="K85" s="17">
        <f t="shared" si="537"/>
        <v>5</v>
      </c>
      <c r="L85" s="18">
        <f t="shared" si="538"/>
        <v>1.1129211191777471</v>
      </c>
      <c r="M85" s="34">
        <f t="shared" si="539"/>
        <v>0.11292111917774705</v>
      </c>
      <c r="N85" s="33">
        <f t="shared" si="540"/>
        <v>0.77873144082932033</v>
      </c>
      <c r="O85" s="33">
        <f t="shared" si="541"/>
        <v>0.84456059059824262</v>
      </c>
      <c r="P85" s="33">
        <f t="shared" si="542"/>
        <v>0.81836969046429509</v>
      </c>
      <c r="Q85" s="33">
        <f t="shared" si="543"/>
        <v>0.81836969046429509</v>
      </c>
      <c r="R85" s="35">
        <f t="shared" si="544"/>
        <v>1.1805576662300159</v>
      </c>
      <c r="S85" s="35">
        <f t="shared" si="545"/>
        <v>3.4792828498521472E-2</v>
      </c>
      <c r="X85" s="6" t="s">
        <v>337</v>
      </c>
      <c r="Y85" s="6">
        <f t="shared" si="546"/>
        <v>1</v>
      </c>
      <c r="Z85" s="18">
        <f t="shared" si="547"/>
        <v>1.1888421350034255</v>
      </c>
      <c r="AA85" s="10">
        <v>0.2</v>
      </c>
      <c r="AB85" s="10">
        <v>10</v>
      </c>
      <c r="AC85" s="35">
        <f t="shared" si="548"/>
        <v>5.0999999999999996</v>
      </c>
      <c r="AD85" s="35">
        <f t="shared" si="549"/>
        <v>-0.99782027324657208</v>
      </c>
      <c r="AE85" s="35">
        <f t="shared" si="550"/>
        <v>0.2</v>
      </c>
      <c r="AF85" s="35">
        <f t="shared" si="551"/>
        <v>5.0999999999999996</v>
      </c>
      <c r="AG85" s="35">
        <f t="shared" si="552"/>
        <v>2.65</v>
      </c>
      <c r="AH85" s="35">
        <f t="shared" si="553"/>
        <v>-0.91886903591270097</v>
      </c>
      <c r="AI85" s="35">
        <f t="shared" si="554"/>
        <v>0.2</v>
      </c>
      <c r="AJ85" s="35">
        <f t="shared" si="555"/>
        <v>2.65</v>
      </c>
      <c r="AK85" s="35">
        <f t="shared" si="556"/>
        <v>1.425</v>
      </c>
      <c r="AL85" s="35">
        <f t="shared" si="557"/>
        <v>-0.44480487885665332</v>
      </c>
      <c r="AM85" s="35">
        <f t="shared" si="558"/>
        <v>0.2</v>
      </c>
      <c r="AN85" s="35">
        <f t="shared" si="559"/>
        <v>1.425</v>
      </c>
      <c r="AO85" s="35">
        <f t="shared" si="560"/>
        <v>0.8125</v>
      </c>
      <c r="AP85" s="35">
        <f t="shared" si="561"/>
        <v>0.73236611876296398</v>
      </c>
      <c r="AQ85" s="35">
        <f t="shared" si="562"/>
        <v>0.8125</v>
      </c>
      <c r="AR85" s="35">
        <f t="shared" si="563"/>
        <v>1.425</v>
      </c>
      <c r="AS85" s="35">
        <f t="shared" si="564"/>
        <v>1.1187499999999999</v>
      </c>
      <c r="AT85" s="35">
        <f t="shared" si="565"/>
        <v>-4.9026413886050113E-2</v>
      </c>
      <c r="AU85" s="35">
        <f t="shared" si="566"/>
        <v>0.8125</v>
      </c>
      <c r="AV85" s="35">
        <f t="shared" si="567"/>
        <v>1.1187499999999999</v>
      </c>
      <c r="AW85" s="35">
        <f t="shared" si="568"/>
        <v>0.96562499999999996</v>
      </c>
      <c r="AX85" s="35">
        <f t="shared" si="569"/>
        <v>0.27074559341827453</v>
      </c>
      <c r="AY85" s="35">
        <f t="shared" si="570"/>
        <v>0.96562499999999996</v>
      </c>
      <c r="AZ85" s="35">
        <f t="shared" si="571"/>
        <v>1.1187499999999999</v>
      </c>
      <c r="BA85" s="35">
        <f t="shared" si="572"/>
        <v>1.0421874999999998</v>
      </c>
      <c r="BB85" s="35">
        <f t="shared" si="573"/>
        <v>9.6910857956962859E-2</v>
      </c>
      <c r="BC85" s="35">
        <f t="shared" si="574"/>
        <v>1.0421874999999998</v>
      </c>
      <c r="BD85" s="35">
        <f t="shared" si="575"/>
        <v>1.1187499999999999</v>
      </c>
      <c r="BE85" s="35">
        <f t="shared" si="576"/>
        <v>1.0804687499999999</v>
      </c>
      <c r="BF85" s="35">
        <f t="shared" si="577"/>
        <v>2.0823559371543121E-2</v>
      </c>
      <c r="BG85" s="35">
        <f t="shared" si="578"/>
        <v>1.0804687499999999</v>
      </c>
      <c r="BH85" s="35">
        <f t="shared" si="579"/>
        <v>1.1187499999999999</v>
      </c>
      <c r="BI85" s="35">
        <f t="shared" si="580"/>
        <v>1.099609375</v>
      </c>
      <c r="BJ85" s="35">
        <f t="shared" si="581"/>
        <v>-1.4840152501355952E-2</v>
      </c>
      <c r="BK85" s="35">
        <f t="shared" si="582"/>
        <v>1.0804687499999999</v>
      </c>
      <c r="BL85" s="35">
        <f t="shared" si="583"/>
        <v>1.099609375</v>
      </c>
      <c r="BM85" s="35">
        <f t="shared" si="584"/>
        <v>1.0900390624999998</v>
      </c>
      <c r="BN85" s="35">
        <f t="shared" si="585"/>
        <v>2.8021114920133705E-3</v>
      </c>
      <c r="BO85" s="35">
        <f t="shared" si="586"/>
        <v>1.0900390624999998</v>
      </c>
      <c r="BP85" s="35">
        <f t="shared" si="587"/>
        <v>1.099609375</v>
      </c>
      <c r="BQ85" s="35">
        <f t="shared" si="588"/>
        <v>1.0948242187499999</v>
      </c>
      <c r="BR85" s="35">
        <f t="shared" si="589"/>
        <v>-6.0657922551107246E-3</v>
      </c>
      <c r="BS85" s="35">
        <f t="shared" si="590"/>
        <v>1.0900390624999998</v>
      </c>
      <c r="BT85" s="35">
        <f t="shared" si="591"/>
        <v>1.0948242187499999</v>
      </c>
      <c r="BU85" s="35">
        <f t="shared" si="592"/>
        <v>1.0924316406249999</v>
      </c>
      <c r="BV85" s="35">
        <f t="shared" si="593"/>
        <v>-1.6436108073139E-3</v>
      </c>
      <c r="BW85" s="35">
        <f t="shared" si="594"/>
        <v>1.0900390624999998</v>
      </c>
      <c r="BX85" s="35">
        <f t="shared" si="595"/>
        <v>1.0924316406249999</v>
      </c>
      <c r="BY85" s="35">
        <f t="shared" si="596"/>
        <v>1.0912353515624997</v>
      </c>
      <c r="BZ85" s="35">
        <f t="shared" si="597"/>
        <v>5.762979812322655E-4</v>
      </c>
      <c r="CA85" s="35">
        <f t="shared" si="598"/>
        <v>1.0912353515624997</v>
      </c>
      <c r="CB85" s="35">
        <f t="shared" si="599"/>
        <v>1.0924316406249999</v>
      </c>
      <c r="CC85" s="35">
        <f t="shared" si="600"/>
        <v>1.0918334960937499</v>
      </c>
      <c r="CD85" s="35">
        <f t="shared" si="601"/>
        <v>-5.3439328090243432E-4</v>
      </c>
      <c r="CE85" s="35">
        <f t="shared" si="602"/>
        <v>1.0912353515624997</v>
      </c>
      <c r="CF85" s="35">
        <f t="shared" si="603"/>
        <v>1.0918334960937499</v>
      </c>
      <c r="CG85" s="35">
        <f t="shared" si="604"/>
        <v>1.0915344238281248</v>
      </c>
      <c r="CH85" s="35">
        <f t="shared" si="605"/>
        <v>2.0767980590807866E-5</v>
      </c>
      <c r="CI85" s="35">
        <f t="shared" si="606"/>
        <v>1.0915344238281248</v>
      </c>
      <c r="CJ85" s="35">
        <f t="shared" si="607"/>
        <v>1.0918334960937499</v>
      </c>
      <c r="CK85" s="35">
        <f t="shared" si="608"/>
        <v>1.0916839599609374</v>
      </c>
      <c r="CL85" s="35">
        <f t="shared" si="609"/>
        <v>-2.5685872346137284E-4</v>
      </c>
      <c r="CM85" s="35">
        <f t="shared" si="610"/>
        <v>1.0915344238281248</v>
      </c>
      <c r="CN85" s="35">
        <f t="shared" si="611"/>
        <v>1.0916839599609374</v>
      </c>
      <c r="CO85" s="35">
        <f t="shared" si="612"/>
        <v>1.091609191894531</v>
      </c>
      <c r="CP85" s="35">
        <f t="shared" si="613"/>
        <v>-1.1805689214650084E-4</v>
      </c>
      <c r="CQ85" s="35">
        <f t="shared" si="614"/>
        <v>1.0915344238281248</v>
      </c>
      <c r="CR85" s="35">
        <f t="shared" si="615"/>
        <v>1.091609191894531</v>
      </c>
      <c r="CS85" s="35">
        <f t="shared" si="616"/>
        <v>1.0915718078613279</v>
      </c>
      <c r="CT85" s="35">
        <f t="shared" si="617"/>
        <v>-4.8647336253981877E-5</v>
      </c>
      <c r="CU85" s="35">
        <f t="shared" si="618"/>
        <v>1.0915344238281248</v>
      </c>
      <c r="CV85" s="35">
        <f t="shared" si="619"/>
        <v>1.0915718078613279</v>
      </c>
      <c r="CW85" s="35">
        <f t="shared" si="620"/>
        <v>1.0915531158447265</v>
      </c>
      <c r="CX85" s="35">
        <f t="shared" si="621"/>
        <v>-1.3940397988299047E-5</v>
      </c>
      <c r="CY85" s="35">
        <f t="shared" si="622"/>
        <v>1.0915344238281248</v>
      </c>
      <c r="CZ85" s="35">
        <f t="shared" si="623"/>
        <v>1.0915531158447265</v>
      </c>
      <c r="DA85" s="35">
        <f t="shared" si="624"/>
        <v>1.0915437698364256</v>
      </c>
      <c r="DB85" s="35">
        <f t="shared" si="625"/>
        <v>3.4136112576632627E-6</v>
      </c>
      <c r="DC85" s="35">
        <f t="shared" si="626"/>
        <v>1.0915437698364256</v>
      </c>
      <c r="DD85" s="35">
        <f t="shared" si="627"/>
        <v>1.0915531158447265</v>
      </c>
      <c r="DE85" s="35">
        <f t="shared" si="628"/>
        <v>1.0915484428405762</v>
      </c>
      <c r="DF85" s="35">
        <f t="shared" si="629"/>
        <v>-5.263438375813223E-6</v>
      </c>
      <c r="DG85" s="35">
        <f t="shared" si="630"/>
        <v>1.0915437698364256</v>
      </c>
      <c r="DH85" s="35">
        <f t="shared" si="631"/>
        <v>1.0915484428405762</v>
      </c>
      <c r="DI85" s="35">
        <f t="shared" si="632"/>
        <v>1.0915461063385008</v>
      </c>
      <c r="DJ85" s="35">
        <f t="shared" si="633"/>
        <v>-9.2492481129635706E-7</v>
      </c>
      <c r="DK85" s="35">
        <f t="shared" si="634"/>
        <v>1.0915437698364256</v>
      </c>
      <c r="DL85" s="35">
        <f t="shared" si="635"/>
        <v>1.0915461063385008</v>
      </c>
      <c r="DM85" s="35">
        <f t="shared" si="636"/>
        <v>1.0915449380874631</v>
      </c>
      <c r="DN85" s="35">
        <f t="shared" si="637"/>
        <v>1.2443404102668865E-6</v>
      </c>
      <c r="DO85" s="35">
        <f t="shared" si="638"/>
        <v>1.0915449380874631</v>
      </c>
      <c r="DP85" s="35">
        <f t="shared" si="639"/>
        <v>1.0915461063385008</v>
      </c>
      <c r="DQ85" s="35">
        <f t="shared" si="640"/>
        <v>1.091545522212982</v>
      </c>
      <c r="DR85" s="35">
        <f t="shared" si="641"/>
        <v>1.5970709621448975E-7</v>
      </c>
      <c r="DS85" s="35">
        <f t="shared" si="642"/>
        <v>1.091545522212982</v>
      </c>
      <c r="DT85" s="35">
        <f t="shared" si="643"/>
        <v>1.0915461063385008</v>
      </c>
      <c r="DU85" s="35">
        <f t="shared" si="644"/>
        <v>1.0915458142757415</v>
      </c>
      <c r="DV85" s="35">
        <f t="shared" si="645"/>
        <v>-3.8260903412190572E-7</v>
      </c>
      <c r="DW85" s="35">
        <f t="shared" si="646"/>
        <v>1.091545522212982</v>
      </c>
      <c r="DX85" s="35">
        <f t="shared" si="647"/>
        <v>1.0915458142757415</v>
      </c>
      <c r="DY85" s="35">
        <f t="shared" si="648"/>
        <v>1.0915456682443616</v>
      </c>
      <c r="DZ85" s="35">
        <f t="shared" si="649"/>
        <v>-1.1145101308507321E-7</v>
      </c>
      <c r="EA85" s="35">
        <f t="shared" si="650"/>
        <v>1.091545522212982</v>
      </c>
      <c r="EB85" s="35">
        <f t="shared" si="651"/>
        <v>1.0915456682443616</v>
      </c>
      <c r="EC85" s="35">
        <f t="shared" si="652"/>
        <v>1.0915455952286717</v>
      </c>
      <c r="ED85" s="35">
        <f t="shared" si="653"/>
        <v>2.4128030684522628E-8</v>
      </c>
      <c r="EE85" s="35">
        <f t="shared" si="654"/>
        <v>1.0915455952286717</v>
      </c>
      <c r="EF85" s="35">
        <f t="shared" si="655"/>
        <v>1.0915456682443616</v>
      </c>
      <c r="EG85" s="35">
        <f t="shared" si="656"/>
        <v>1.0915456317365166</v>
      </c>
      <c r="EH85" s="35">
        <f t="shared" si="657"/>
        <v>-4.3661493531743645E-8</v>
      </c>
      <c r="EI85" s="35">
        <f t="shared" si="658"/>
        <v>1.0915455952286717</v>
      </c>
      <c r="EJ85" s="35">
        <f t="shared" si="659"/>
        <v>1.0915456317365166</v>
      </c>
      <c r="EK85" s="35">
        <f t="shared" si="660"/>
        <v>1.091545613482594</v>
      </c>
      <c r="EL85" s="35">
        <f t="shared" si="661"/>
        <v>-9.7667317566774159E-9</v>
      </c>
      <c r="EM85" s="35">
        <f t="shared" si="662"/>
        <v>1.0915455952286717</v>
      </c>
      <c r="EN85" s="35">
        <f t="shared" si="663"/>
        <v>1.091545613482594</v>
      </c>
      <c r="EO85" s="35">
        <f t="shared" si="664"/>
        <v>1.0915456043556329</v>
      </c>
      <c r="EP85" s="35">
        <f t="shared" si="665"/>
        <v>7.1806491863668498E-9</v>
      </c>
      <c r="EQ85" s="35">
        <f t="shared" si="666"/>
        <v>1.0915456043556329</v>
      </c>
      <c r="ER85" s="35">
        <f t="shared" si="667"/>
        <v>1.091545613482594</v>
      </c>
      <c r="ES85" s="35">
        <f t="shared" si="668"/>
        <v>1.0915456089191133</v>
      </c>
      <c r="ET85" s="35">
        <f t="shared" si="669"/>
        <v>-1.2930408965772244E-9</v>
      </c>
      <c r="EU85" s="35">
        <f t="shared" si="670"/>
        <v>1.0915456043556329</v>
      </c>
      <c r="EV85" s="35">
        <f t="shared" si="671"/>
        <v>1.0915456089191133</v>
      </c>
      <c r="EW85" s="35">
        <f t="shared" si="672"/>
        <v>1.0915456066373732</v>
      </c>
      <c r="EX85" s="35">
        <f t="shared" si="673"/>
        <v>2.9438043114282664E-9</v>
      </c>
      <c r="EY85" s="35">
        <f t="shared" si="674"/>
        <v>1.0915456066373732</v>
      </c>
      <c r="EZ85" s="35">
        <f t="shared" si="675"/>
        <v>1.0915456089191133</v>
      </c>
      <c r="FA85" s="10">
        <v>9.9999999999999995E-7</v>
      </c>
      <c r="FB85" s="10">
        <v>0.99990000000000001</v>
      </c>
      <c r="FC85" s="35">
        <f t="shared" si="676"/>
        <v>0.49995050000000002</v>
      </c>
      <c r="FD85" s="35">
        <f t="shared" si="677"/>
        <v>-0.6573201673748329</v>
      </c>
      <c r="FE85" s="35">
        <f t="shared" si="678"/>
        <v>9.9999999999999995E-7</v>
      </c>
      <c r="FF85" s="35">
        <f t="shared" si="679"/>
        <v>0.49995050000000002</v>
      </c>
      <c r="FG85" s="35">
        <f t="shared" si="680"/>
        <v>0.24997575</v>
      </c>
      <c r="FH85" s="35">
        <f t="shared" si="681"/>
        <v>-0.45521556643164829</v>
      </c>
      <c r="FI85" s="35">
        <f t="shared" si="682"/>
        <v>9.9999999999999995E-7</v>
      </c>
      <c r="FJ85" s="35">
        <f t="shared" si="683"/>
        <v>0.24997575</v>
      </c>
      <c r="FK85" s="35">
        <f t="shared" si="684"/>
        <v>0.124988375</v>
      </c>
      <c r="FL85" s="35">
        <f t="shared" si="685"/>
        <v>-0.27584911166472315</v>
      </c>
      <c r="FM85" s="35">
        <f t="shared" si="686"/>
        <v>9.9999999999999995E-7</v>
      </c>
      <c r="FN85" s="35">
        <f t="shared" si="687"/>
        <v>0.124988375</v>
      </c>
      <c r="FO85" s="35">
        <f t="shared" si="688"/>
        <v>6.24946875E-2</v>
      </c>
      <c r="FP85" s="35">
        <f t="shared" si="689"/>
        <v>-0.14535369487785332</v>
      </c>
      <c r="FQ85" s="35">
        <f t="shared" si="690"/>
        <v>9.9999999999999995E-7</v>
      </c>
      <c r="FR85" s="35">
        <f t="shared" si="691"/>
        <v>6.24946875E-2</v>
      </c>
      <c r="FS85" s="35">
        <f t="shared" si="692"/>
        <v>3.124784375E-2</v>
      </c>
      <c r="FT85" s="35">
        <f t="shared" si="693"/>
        <v>-5.7107581726669299E-2</v>
      </c>
      <c r="FU85" s="35">
        <f t="shared" si="694"/>
        <v>9.9999999999999995E-7</v>
      </c>
      <c r="FV85" s="35">
        <f t="shared" si="695"/>
        <v>3.124784375E-2</v>
      </c>
      <c r="FW85" s="35">
        <f t="shared" si="696"/>
        <v>1.5624421875000001E-2</v>
      </c>
      <c r="FX85" s="35">
        <f t="shared" si="697"/>
        <v>1.5461484701295714E-3</v>
      </c>
      <c r="FY85" s="35">
        <f t="shared" si="698"/>
        <v>1.5624421875000001E-2</v>
      </c>
      <c r="FZ85" s="35">
        <f t="shared" si="699"/>
        <v>3.124784375E-2</v>
      </c>
      <c r="GA85" s="35">
        <f t="shared" si="700"/>
        <v>2.34361328125E-2</v>
      </c>
      <c r="GB85" s="35">
        <f t="shared" si="701"/>
        <v>-2.9835802073667206E-2</v>
      </c>
      <c r="GC85" s="35">
        <f t="shared" si="702"/>
        <v>1.5624421875000001E-2</v>
      </c>
      <c r="GD85" s="35">
        <f t="shared" si="703"/>
        <v>2.34361328125E-2</v>
      </c>
      <c r="GE85" s="35">
        <f t="shared" si="704"/>
        <v>1.9530277343749999E-2</v>
      </c>
      <c r="GF85" s="35">
        <f t="shared" si="705"/>
        <v>-1.479066065064083E-2</v>
      </c>
      <c r="GG85" s="35">
        <f t="shared" si="706"/>
        <v>1.5624421875000001E-2</v>
      </c>
      <c r="GH85" s="35">
        <f t="shared" si="707"/>
        <v>1.9530277343749999E-2</v>
      </c>
      <c r="GI85" s="35">
        <f t="shared" si="708"/>
        <v>1.7577349609375001E-2</v>
      </c>
      <c r="GJ85" s="35">
        <f t="shared" si="709"/>
        <v>-6.8059164915426074E-3</v>
      </c>
      <c r="GK85" s="35">
        <f t="shared" si="710"/>
        <v>1.5624421875000001E-2</v>
      </c>
      <c r="GL85" s="35">
        <f t="shared" si="711"/>
        <v>1.7577349609375001E-2</v>
      </c>
      <c r="GM85" s="35">
        <f t="shared" si="712"/>
        <v>1.6600885742187502E-2</v>
      </c>
      <c r="GN85" s="35">
        <f t="shared" si="713"/>
        <v>-2.6790387437987118E-3</v>
      </c>
      <c r="GO85" s="35">
        <f t="shared" si="714"/>
        <v>1.5624421875000001E-2</v>
      </c>
      <c r="GP85" s="35">
        <f t="shared" si="715"/>
        <v>1.6600885742187502E-2</v>
      </c>
      <c r="GQ85" s="35">
        <f t="shared" si="716"/>
        <v>1.6112653808593752E-2</v>
      </c>
      <c r="GR85" s="35">
        <f t="shared" si="717"/>
        <v>-5.7917166133181208E-4</v>
      </c>
      <c r="GS85" s="35">
        <f t="shared" si="718"/>
        <v>1.5624421875000001E-2</v>
      </c>
      <c r="GT85" s="35">
        <f t="shared" si="719"/>
        <v>1.6112653808593752E-2</v>
      </c>
      <c r="GU85" s="35">
        <f t="shared" si="720"/>
        <v>1.5868537841796877E-2</v>
      </c>
      <c r="GV85" s="35">
        <f t="shared" si="721"/>
        <v>4.802498658655896E-4</v>
      </c>
      <c r="GW85" s="35">
        <f t="shared" si="722"/>
        <v>1.5868537841796877E-2</v>
      </c>
      <c r="GX85" s="35">
        <f t="shared" si="723"/>
        <v>1.6112653808593752E-2</v>
      </c>
      <c r="GY85" s="35">
        <f t="shared" si="724"/>
        <v>1.5990595825195315E-2</v>
      </c>
      <c r="GZ85" s="35">
        <f t="shared" si="725"/>
        <v>-5.0263319434140641E-5</v>
      </c>
      <c r="HA85" s="35">
        <f t="shared" si="726"/>
        <v>1.5868537841796877E-2</v>
      </c>
      <c r="HB85" s="35">
        <f t="shared" si="727"/>
        <v>1.5990595825195315E-2</v>
      </c>
      <c r="HC85" s="35">
        <f t="shared" si="728"/>
        <v>1.5929566833496098E-2</v>
      </c>
      <c r="HD85" s="35">
        <f t="shared" si="729"/>
        <v>2.1479177245309344E-4</v>
      </c>
      <c r="HE85" s="35">
        <f t="shared" si="730"/>
        <v>1.5929566833496098E-2</v>
      </c>
      <c r="HF85" s="35">
        <f t="shared" si="731"/>
        <v>1.5990595825195315E-2</v>
      </c>
      <c r="HG85" s="35">
        <f t="shared" si="732"/>
        <v>1.5960081329345704E-2</v>
      </c>
      <c r="HH85" s="35">
        <f t="shared" si="733"/>
        <v>8.2213963626731612E-5</v>
      </c>
      <c r="HI85" s="35">
        <f t="shared" si="734"/>
        <v>1.5960081329345704E-2</v>
      </c>
      <c r="HJ85" s="35">
        <f t="shared" si="735"/>
        <v>1.5990595825195315E-2</v>
      </c>
      <c r="HK85" s="35">
        <f t="shared" si="736"/>
        <v>1.5975338577270508E-2</v>
      </c>
      <c r="HL85" s="35">
        <f t="shared" si="737"/>
        <v>1.5962770379296387E-5</v>
      </c>
      <c r="HM85" s="35">
        <f t="shared" si="738"/>
        <v>1.5975338577270508E-2</v>
      </c>
      <c r="HN85" s="35">
        <f t="shared" si="739"/>
        <v>1.5990595825195315E-2</v>
      </c>
      <c r="HO85" s="35">
        <f t="shared" si="740"/>
        <v>1.5982967201232913E-2</v>
      </c>
      <c r="HP85" s="35">
        <f t="shared" si="741"/>
        <v>-1.7153410707737571E-5</v>
      </c>
      <c r="HQ85" s="35">
        <f t="shared" si="742"/>
        <v>1.5975338577270508E-2</v>
      </c>
      <c r="HR85" s="35">
        <f t="shared" si="743"/>
        <v>1.5982967201232913E-2</v>
      </c>
      <c r="HS85" s="35">
        <f t="shared" si="744"/>
        <v>1.597915288925171E-2</v>
      </c>
      <c r="HT85" s="35">
        <f t="shared" si="745"/>
        <v>-5.9610442781909967E-7</v>
      </c>
      <c r="HU85" s="35">
        <f t="shared" si="746"/>
        <v>1.5975338577270508E-2</v>
      </c>
      <c r="HV85" s="35">
        <f t="shared" si="747"/>
        <v>1.597915288925171E-2</v>
      </c>
      <c r="HW85" s="35">
        <f t="shared" si="748"/>
        <v>1.5977245733261109E-2</v>
      </c>
      <c r="HX85" s="35">
        <f t="shared" si="749"/>
        <v>7.683136882485897E-6</v>
      </c>
      <c r="HY85" s="35">
        <f t="shared" si="750"/>
        <v>1.5977245733261109E-2</v>
      </c>
      <c r="HZ85" s="35">
        <f t="shared" si="751"/>
        <v>1.597915288925171E-2</v>
      </c>
      <c r="IA85" s="35">
        <f t="shared" si="752"/>
        <v>1.5978199311256408E-2</v>
      </c>
      <c r="IB85" s="35">
        <f t="shared" si="753"/>
        <v>3.5434672072121032E-6</v>
      </c>
      <c r="IC85" s="35">
        <f t="shared" si="754"/>
        <v>1.5978199311256408E-2</v>
      </c>
      <c r="ID85" s="35">
        <f t="shared" si="755"/>
        <v>1.597915288925171E-2</v>
      </c>
      <c r="IE85" s="35">
        <f t="shared" si="756"/>
        <v>1.5978676100254059E-2</v>
      </c>
      <c r="IF85" s="35">
        <f t="shared" si="757"/>
        <v>1.4736691349437336E-6</v>
      </c>
      <c r="IG85" s="35">
        <f t="shared" si="758"/>
        <v>1.5978676100254059E-2</v>
      </c>
      <c r="IH85" s="35">
        <f t="shared" si="759"/>
        <v>1.597915288925171E-2</v>
      </c>
      <c r="II85" s="35">
        <f t="shared" si="760"/>
        <v>1.5978914494752885E-2</v>
      </c>
      <c r="IJ85" s="35">
        <f t="shared" si="761"/>
        <v>4.3877928979085823E-7</v>
      </c>
      <c r="IK85" s="35">
        <f t="shared" si="762"/>
        <v>1.5978914494752885E-2</v>
      </c>
      <c r="IL85" s="35">
        <f t="shared" si="763"/>
        <v>1.597915288925171E-2</v>
      </c>
      <c r="IM85" s="35">
        <f t="shared" si="764"/>
        <v>1.5979033692002299E-2</v>
      </c>
      <c r="IN85" s="35">
        <f t="shared" si="765"/>
        <v>-7.8663334512896199E-8</v>
      </c>
      <c r="IO85" s="35">
        <f t="shared" si="766"/>
        <v>1.5978914494752885E-2</v>
      </c>
      <c r="IP85" s="35">
        <f t="shared" si="767"/>
        <v>1.5979033692002299E-2</v>
      </c>
      <c r="IQ85" s="35">
        <f t="shared" si="768"/>
        <v>1.597897409337759E-2</v>
      </c>
      <c r="IR85" s="35">
        <f t="shared" si="769"/>
        <v>1.8005778623653157E-7</v>
      </c>
      <c r="IS85" s="35">
        <f t="shared" si="770"/>
        <v>1.597897409337759E-2</v>
      </c>
      <c r="IT85" s="35">
        <f t="shared" si="771"/>
        <v>1.5979033692002299E-2</v>
      </c>
      <c r="IU85" s="35">
        <f t="shared" si="772"/>
        <v>1.5979003892689945E-2</v>
      </c>
      <c r="IV85" s="35">
        <f t="shared" si="773"/>
        <v>5.0697177345071509E-8</v>
      </c>
      <c r="IW85" s="35">
        <f t="shared" si="774"/>
        <v>1.5979003892689945E-2</v>
      </c>
      <c r="IX85" s="35">
        <f t="shared" si="775"/>
        <v>1.5979033692002299E-2</v>
      </c>
      <c r="IY85" s="35">
        <f t="shared" si="776"/>
        <v>1.5979018792346124E-2</v>
      </c>
      <c r="IZ85" s="35">
        <f t="shared" si="777"/>
        <v>-1.3983090352276406E-8</v>
      </c>
      <c r="JA85" s="35">
        <f t="shared" si="778"/>
        <v>1.5979003892689945E-2</v>
      </c>
      <c r="JB85" s="35">
        <f t="shared" si="779"/>
        <v>1.5979018792346124E-2</v>
      </c>
      <c r="JC85" s="35">
        <f t="shared" si="780"/>
        <v>1.5979011342518036E-2</v>
      </c>
      <c r="JD85" s="35">
        <f t="shared" si="781"/>
        <v>1.8357040776351141E-8</v>
      </c>
      <c r="JE85" s="35">
        <f t="shared" si="782"/>
        <v>1.5979011342518036E-2</v>
      </c>
      <c r="JF85" s="35">
        <f t="shared" si="783"/>
        <v>1.5979018792346124E-2</v>
      </c>
      <c r="JG85" s="35">
        <f t="shared" si="784"/>
        <v>1.597901506743208E-2</v>
      </c>
      <c r="JH85" s="35">
        <f t="shared" si="785"/>
        <v>2.1869739352808892E-9</v>
      </c>
      <c r="JI85" s="35">
        <f t="shared" si="786"/>
        <v>1.597901506743208E-2</v>
      </c>
      <c r="JJ85" s="35">
        <f t="shared" si="787"/>
        <v>1.5979018792346124E-2</v>
      </c>
      <c r="JK85" s="35">
        <f t="shared" si="788"/>
        <v>1.5979016929889102E-2</v>
      </c>
      <c r="JL85" s="35">
        <f t="shared" si="789"/>
        <v>-5.8980584860535146E-9</v>
      </c>
      <c r="JM85" s="35">
        <f t="shared" si="790"/>
        <v>1.597901506743208E-2</v>
      </c>
      <c r="JN85" s="35">
        <f t="shared" si="791"/>
        <v>1.5979016929889102E-2</v>
      </c>
      <c r="JO85" s="35">
        <f t="shared" si="792"/>
        <v>1.5979015998660591E-2</v>
      </c>
      <c r="JP85" s="35">
        <f t="shared" si="793"/>
        <v>-1.8555429415201274E-9</v>
      </c>
      <c r="JQ85" s="35">
        <f t="shared" si="794"/>
        <v>1.597901506743208E-2</v>
      </c>
      <c r="JR85" s="35">
        <f t="shared" si="795"/>
        <v>1.5979015998660591E-2</v>
      </c>
      <c r="JS85" s="35">
        <f t="shared" si="796"/>
        <v>1.5979015533046335E-2</v>
      </c>
      <c r="JT85" s="35">
        <f t="shared" si="797"/>
        <v>1.6571588545843952E-10</v>
      </c>
      <c r="JU85" s="35">
        <f t="shared" si="798"/>
        <v>1.5979015533046335E-2</v>
      </c>
      <c r="JV85" s="35">
        <f t="shared" si="799"/>
        <v>1.5979015998660591E-2</v>
      </c>
      <c r="JW85" s="35">
        <f t="shared" si="800"/>
        <v>1.5979015765853463E-2</v>
      </c>
      <c r="JX85" s="35">
        <f t="shared" si="801"/>
        <v>-8.4491302843048288E-10</v>
      </c>
      <c r="JY85" s="35">
        <f t="shared" si="802"/>
        <v>1.5979015533046335E-2</v>
      </c>
      <c r="JZ85" s="35">
        <f t="shared" si="803"/>
        <v>1.5979015765853463E-2</v>
      </c>
      <c r="KA85" s="35">
        <f t="shared" si="804"/>
        <v>1.0915456077782433</v>
      </c>
      <c r="KB85" s="35">
        <f t="shared" si="805"/>
        <v>1.5979015649449899E-2</v>
      </c>
    </row>
    <row r="86" spans="1:288" ht="15" customHeight="1" x14ac:dyDescent="0.3">
      <c r="A86" s="30">
        <f>Odds_Input!A86</f>
        <v>78</v>
      </c>
      <c r="B86" s="7" t="str">
        <f>Odds_Input!B86</f>
        <v>DIV_NORTHWEST</v>
      </c>
      <c r="C86" s="7" t="str">
        <f>Odds_Input!C86</f>
        <v>Portland Trail Blazers</v>
      </c>
      <c r="D86" s="7" t="str">
        <f>Odds_Input!D86</f>
        <v>YES</v>
      </c>
      <c r="E86" s="31" t="str">
        <f>Odds_Input!E86</f>
        <v>-</v>
      </c>
      <c r="F86" s="32">
        <f>Odds_Input!F86</f>
        <v>4000</v>
      </c>
      <c r="G86" s="6" t="str">
        <f t="shared" si="533"/>
        <v>DIV_NORTHWEST</v>
      </c>
      <c r="H86" s="14">
        <f t="shared" si="534"/>
        <v>41</v>
      </c>
      <c r="I86" s="33">
        <f t="shared" si="535"/>
        <v>2.4390243902439025E-2</v>
      </c>
      <c r="J86" s="17">
        <f t="shared" si="536"/>
        <v>1</v>
      </c>
      <c r="K86" s="17">
        <f t="shared" si="537"/>
        <v>5</v>
      </c>
      <c r="L86" s="18">
        <f t="shared" si="538"/>
        <v>1.1129211191777471</v>
      </c>
      <c r="M86" s="34">
        <f t="shared" si="539"/>
        <v>0.11292111917774705</v>
      </c>
      <c r="N86" s="33">
        <f t="shared" si="540"/>
        <v>2.1915518972682561E-2</v>
      </c>
      <c r="O86" s="33">
        <f t="shared" si="541"/>
        <v>1.2474284765121E-2</v>
      </c>
      <c r="P86" s="33">
        <f t="shared" si="542"/>
        <v>1.1618351468081841E-2</v>
      </c>
      <c r="Q86" s="33">
        <f t="shared" si="543"/>
        <v>1.1618351468081841E-2</v>
      </c>
      <c r="R86" s="35">
        <f t="shared" si="544"/>
        <v>1.1805576662300159</v>
      </c>
      <c r="S86" s="35">
        <f t="shared" si="545"/>
        <v>3.4792828498521472E-2</v>
      </c>
      <c r="X86" s="6" t="s">
        <v>354</v>
      </c>
      <c r="Y86" s="6">
        <f t="shared" si="546"/>
        <v>1</v>
      </c>
      <c r="Z86" s="18">
        <f t="shared" si="547"/>
        <v>1.0216061091972586</v>
      </c>
      <c r="AA86" s="10">
        <v>0.2</v>
      </c>
      <c r="AB86" s="10">
        <v>10</v>
      </c>
      <c r="AC86" s="35">
        <f t="shared" si="548"/>
        <v>5.0999999999999996</v>
      </c>
      <c r="AD86" s="35">
        <f t="shared" si="549"/>
        <v>-0.99993006387129379</v>
      </c>
      <c r="AE86" s="35">
        <f t="shared" si="550"/>
        <v>0.2</v>
      </c>
      <c r="AF86" s="35">
        <f t="shared" si="551"/>
        <v>5.0999999999999996</v>
      </c>
      <c r="AG86" s="35">
        <f t="shared" si="552"/>
        <v>2.65</v>
      </c>
      <c r="AH86" s="35">
        <f t="shared" si="553"/>
        <v>-0.98739856417631788</v>
      </c>
      <c r="AI86" s="35">
        <f t="shared" si="554"/>
        <v>0.2</v>
      </c>
      <c r="AJ86" s="35">
        <f t="shared" si="555"/>
        <v>2.65</v>
      </c>
      <c r="AK86" s="35">
        <f t="shared" si="556"/>
        <v>1.425</v>
      </c>
      <c r="AL86" s="35">
        <f t="shared" si="557"/>
        <v>-0.70990148456951996</v>
      </c>
      <c r="AM86" s="35">
        <f t="shared" si="558"/>
        <v>0.2</v>
      </c>
      <c r="AN86" s="35">
        <f t="shared" si="559"/>
        <v>1.425</v>
      </c>
      <c r="AO86" s="35">
        <f t="shared" si="560"/>
        <v>0.8125</v>
      </c>
      <c r="AP86" s="35">
        <f t="shared" si="561"/>
        <v>0.83125492483702357</v>
      </c>
      <c r="AQ86" s="35">
        <f t="shared" si="562"/>
        <v>0.8125</v>
      </c>
      <c r="AR86" s="35">
        <f t="shared" si="563"/>
        <v>1.425</v>
      </c>
      <c r="AS86" s="35">
        <f t="shared" si="564"/>
        <v>1.1187499999999999</v>
      </c>
      <c r="AT86" s="35">
        <f t="shared" si="565"/>
        <v>-0.28792590332895485</v>
      </c>
      <c r="AU86" s="35">
        <f t="shared" si="566"/>
        <v>0.8125</v>
      </c>
      <c r="AV86" s="35">
        <f t="shared" si="567"/>
        <v>1.1187499999999999</v>
      </c>
      <c r="AW86" s="35">
        <f t="shared" si="568"/>
        <v>0.96562499999999996</v>
      </c>
      <c r="AX86" s="35">
        <f t="shared" si="569"/>
        <v>0.13557728438631012</v>
      </c>
      <c r="AY86" s="35">
        <f t="shared" si="570"/>
        <v>0.96562499999999996</v>
      </c>
      <c r="AZ86" s="35">
        <f t="shared" si="571"/>
        <v>1.1187499999999999</v>
      </c>
      <c r="BA86" s="35">
        <f t="shared" si="572"/>
        <v>1.0421874999999998</v>
      </c>
      <c r="BB86" s="35">
        <f t="shared" si="573"/>
        <v>-0.10205627149433005</v>
      </c>
      <c r="BC86" s="35">
        <f t="shared" si="574"/>
        <v>0.96562499999999996</v>
      </c>
      <c r="BD86" s="35">
        <f t="shared" si="575"/>
        <v>1.0421874999999998</v>
      </c>
      <c r="BE86" s="35">
        <f t="shared" si="576"/>
        <v>1.00390625</v>
      </c>
      <c r="BF86" s="35">
        <f t="shared" si="577"/>
        <v>9.4373893160544231E-3</v>
      </c>
      <c r="BG86" s="35">
        <f t="shared" si="578"/>
        <v>1.00390625</v>
      </c>
      <c r="BH86" s="35">
        <f t="shared" si="579"/>
        <v>1.0421874999999998</v>
      </c>
      <c r="BI86" s="35">
        <f t="shared" si="580"/>
        <v>1.0230468749999999</v>
      </c>
      <c r="BJ86" s="35">
        <f t="shared" si="581"/>
        <v>-4.8024829632219213E-2</v>
      </c>
      <c r="BK86" s="35">
        <f t="shared" si="582"/>
        <v>1.00390625</v>
      </c>
      <c r="BL86" s="35">
        <f t="shared" si="583"/>
        <v>1.0230468749999999</v>
      </c>
      <c r="BM86" s="35">
        <f t="shared" si="584"/>
        <v>1.0134765625</v>
      </c>
      <c r="BN86" s="35">
        <f t="shared" si="585"/>
        <v>-1.9736399273108107E-2</v>
      </c>
      <c r="BO86" s="35">
        <f t="shared" si="586"/>
        <v>1.00390625</v>
      </c>
      <c r="BP86" s="35">
        <f t="shared" si="587"/>
        <v>1.0134765625</v>
      </c>
      <c r="BQ86" s="35">
        <f t="shared" si="588"/>
        <v>1.0086914062500001</v>
      </c>
      <c r="BR86" s="35">
        <f t="shared" si="589"/>
        <v>-5.2619539749088062E-3</v>
      </c>
      <c r="BS86" s="35">
        <f t="shared" si="590"/>
        <v>1.00390625</v>
      </c>
      <c r="BT86" s="35">
        <f t="shared" si="591"/>
        <v>1.0086914062500001</v>
      </c>
      <c r="BU86" s="35">
        <f t="shared" si="592"/>
        <v>1.006298828125</v>
      </c>
      <c r="BV86" s="35">
        <f t="shared" si="593"/>
        <v>2.0593798008314845E-3</v>
      </c>
      <c r="BW86" s="35">
        <f t="shared" si="594"/>
        <v>1.006298828125</v>
      </c>
      <c r="BX86" s="35">
        <f t="shared" si="595"/>
        <v>1.0086914062500001</v>
      </c>
      <c r="BY86" s="35">
        <f t="shared" si="596"/>
        <v>1.0074951171875002</v>
      </c>
      <c r="BZ86" s="35">
        <f t="shared" si="597"/>
        <v>-1.6083432066400505E-3</v>
      </c>
      <c r="CA86" s="35">
        <f t="shared" si="598"/>
        <v>1.006298828125</v>
      </c>
      <c r="CB86" s="35">
        <f t="shared" si="599"/>
        <v>1.0074951171875002</v>
      </c>
      <c r="CC86" s="35">
        <f t="shared" si="600"/>
        <v>1.00689697265625</v>
      </c>
      <c r="CD86" s="35">
        <f t="shared" si="601"/>
        <v>2.2375073283664726E-4</v>
      </c>
      <c r="CE86" s="35">
        <f t="shared" si="602"/>
        <v>1.00689697265625</v>
      </c>
      <c r="CF86" s="35">
        <f t="shared" si="603"/>
        <v>1.0074951171875002</v>
      </c>
      <c r="CG86" s="35">
        <f t="shared" si="604"/>
        <v>1.0071960449218751</v>
      </c>
      <c r="CH86" s="35">
        <f t="shared" si="605"/>
        <v>-6.9273768560229598E-4</v>
      </c>
      <c r="CI86" s="35">
        <f t="shared" si="606"/>
        <v>1.00689697265625</v>
      </c>
      <c r="CJ86" s="35">
        <f t="shared" si="607"/>
        <v>1.0071960449218751</v>
      </c>
      <c r="CK86" s="35">
        <f t="shared" si="608"/>
        <v>1.0070465087890625</v>
      </c>
      <c r="CL86" s="35">
        <f t="shared" si="609"/>
        <v>-2.3460389381768643E-4</v>
      </c>
      <c r="CM86" s="35">
        <f t="shared" si="610"/>
        <v>1.00689697265625</v>
      </c>
      <c r="CN86" s="35">
        <f t="shared" si="611"/>
        <v>1.0070465087890625</v>
      </c>
      <c r="CO86" s="35">
        <f t="shared" si="612"/>
        <v>1.0069717407226562</v>
      </c>
      <c r="CP86" s="35">
        <f t="shared" si="613"/>
        <v>-5.4541917592354494E-6</v>
      </c>
      <c r="CQ86" s="35">
        <f t="shared" si="614"/>
        <v>1.00689697265625</v>
      </c>
      <c r="CR86" s="35">
        <f t="shared" si="615"/>
        <v>1.0069717407226562</v>
      </c>
      <c r="CS86" s="35">
        <f t="shared" si="616"/>
        <v>1.0069343566894531</v>
      </c>
      <c r="CT86" s="35">
        <f t="shared" si="617"/>
        <v>1.0914136685702402E-4</v>
      </c>
      <c r="CU86" s="35">
        <f t="shared" si="618"/>
        <v>1.0069343566894531</v>
      </c>
      <c r="CV86" s="35">
        <f t="shared" si="619"/>
        <v>1.0069717407226562</v>
      </c>
      <c r="CW86" s="35">
        <f t="shared" si="620"/>
        <v>1.0069530487060545</v>
      </c>
      <c r="CX86" s="35">
        <f t="shared" si="621"/>
        <v>5.1841861737456085E-5</v>
      </c>
      <c r="CY86" s="35">
        <f t="shared" si="622"/>
        <v>1.0069530487060545</v>
      </c>
      <c r="CZ86" s="35">
        <f t="shared" si="623"/>
        <v>1.0069717407226562</v>
      </c>
      <c r="DA86" s="35">
        <f t="shared" si="624"/>
        <v>1.0069623947143553</v>
      </c>
      <c r="DB86" s="35">
        <f t="shared" si="625"/>
        <v>2.319340354928201E-5</v>
      </c>
      <c r="DC86" s="35">
        <f t="shared" si="626"/>
        <v>1.0069623947143553</v>
      </c>
      <c r="DD86" s="35">
        <f t="shared" si="627"/>
        <v>1.0069717407226562</v>
      </c>
      <c r="DE86" s="35">
        <f t="shared" si="628"/>
        <v>1.0069670677185059</v>
      </c>
      <c r="DF86" s="35">
        <f t="shared" si="629"/>
        <v>8.8694980360237707E-6</v>
      </c>
      <c r="DG86" s="35">
        <f t="shared" si="630"/>
        <v>1.0069670677185059</v>
      </c>
      <c r="DH86" s="35">
        <f t="shared" si="631"/>
        <v>1.0069717407226562</v>
      </c>
      <c r="DI86" s="35">
        <f t="shared" si="632"/>
        <v>1.006969404220581</v>
      </c>
      <c r="DJ86" s="35">
        <f t="shared" si="633"/>
        <v>1.7076261744630727E-6</v>
      </c>
      <c r="DK86" s="35">
        <f t="shared" si="634"/>
        <v>1.006969404220581</v>
      </c>
      <c r="DL86" s="35">
        <f t="shared" si="635"/>
        <v>1.0069717407226562</v>
      </c>
      <c r="DM86" s="35">
        <f t="shared" si="636"/>
        <v>1.0069705724716185</v>
      </c>
      <c r="DN86" s="35">
        <f t="shared" si="637"/>
        <v>-1.8732895329387489E-6</v>
      </c>
      <c r="DO86" s="35">
        <f t="shared" si="638"/>
        <v>1.006969404220581</v>
      </c>
      <c r="DP86" s="35">
        <f t="shared" si="639"/>
        <v>1.0069705724716185</v>
      </c>
      <c r="DQ86" s="35">
        <f t="shared" si="640"/>
        <v>1.0069699883460999</v>
      </c>
      <c r="DR86" s="35">
        <f t="shared" si="641"/>
        <v>-8.2833365167012118E-8</v>
      </c>
      <c r="DS86" s="35">
        <f t="shared" si="642"/>
        <v>1.006969404220581</v>
      </c>
      <c r="DT86" s="35">
        <f t="shared" si="643"/>
        <v>1.0069699883460999</v>
      </c>
      <c r="DU86" s="35">
        <f t="shared" si="644"/>
        <v>1.0069696962833405</v>
      </c>
      <c r="DV86" s="35">
        <f t="shared" si="645"/>
        <v>8.1239598315185901E-7</v>
      </c>
      <c r="DW86" s="35">
        <f t="shared" si="646"/>
        <v>1.0069696962833405</v>
      </c>
      <c r="DX86" s="35">
        <f t="shared" si="647"/>
        <v>1.0069699883460999</v>
      </c>
      <c r="DY86" s="35">
        <f t="shared" si="648"/>
        <v>1.0069698423147202</v>
      </c>
      <c r="DZ86" s="35">
        <f t="shared" si="649"/>
        <v>3.6478120324368035E-7</v>
      </c>
      <c r="EA86" s="35">
        <f t="shared" si="650"/>
        <v>1.0069698423147202</v>
      </c>
      <c r="EB86" s="35">
        <f t="shared" si="651"/>
        <v>1.0069699883460999</v>
      </c>
      <c r="EC86" s="35">
        <f t="shared" si="652"/>
        <v>1.0069699153304099</v>
      </c>
      <c r="ED86" s="35">
        <f t="shared" si="653"/>
        <v>1.4097389255951498E-7</v>
      </c>
      <c r="EE86" s="35">
        <f t="shared" si="654"/>
        <v>1.0069699153304099</v>
      </c>
      <c r="EF86" s="35">
        <f t="shared" si="655"/>
        <v>1.0069699883460999</v>
      </c>
      <c r="EG86" s="35">
        <f t="shared" si="656"/>
        <v>1.0069699518382549</v>
      </c>
      <c r="EH86" s="35">
        <f t="shared" si="657"/>
        <v>2.9070257312469039E-8</v>
      </c>
      <c r="EI86" s="35">
        <f t="shared" si="658"/>
        <v>1.0069699518382549</v>
      </c>
      <c r="EJ86" s="35">
        <f t="shared" si="659"/>
        <v>1.0069699883460999</v>
      </c>
      <c r="EK86" s="35">
        <f t="shared" si="660"/>
        <v>1.0069699700921775</v>
      </c>
      <c r="EL86" s="35">
        <f t="shared" si="661"/>
        <v>-2.6881555981184135E-8</v>
      </c>
      <c r="EM86" s="35">
        <f t="shared" si="662"/>
        <v>1.0069699518382549</v>
      </c>
      <c r="EN86" s="35">
        <f t="shared" si="663"/>
        <v>1.0069699700921775</v>
      </c>
      <c r="EO86" s="35">
        <f t="shared" si="664"/>
        <v>1.0069699609652161</v>
      </c>
      <c r="EP86" s="35">
        <f t="shared" si="665"/>
        <v>1.0943506101313005E-9</v>
      </c>
      <c r="EQ86" s="35">
        <f t="shared" si="666"/>
        <v>1.0069699609652161</v>
      </c>
      <c r="ER86" s="35">
        <f t="shared" si="667"/>
        <v>1.0069699700921775</v>
      </c>
      <c r="ES86" s="35">
        <f t="shared" si="668"/>
        <v>1.0069699655286968</v>
      </c>
      <c r="ET86" s="35">
        <f t="shared" si="669"/>
        <v>-1.2893602407970661E-8</v>
      </c>
      <c r="EU86" s="35">
        <f t="shared" si="670"/>
        <v>1.0069699609652161</v>
      </c>
      <c r="EV86" s="35">
        <f t="shared" si="671"/>
        <v>1.0069699655286968</v>
      </c>
      <c r="EW86" s="35">
        <f t="shared" si="672"/>
        <v>1.0069699632469564</v>
      </c>
      <c r="EX86" s="35">
        <f t="shared" si="673"/>
        <v>-5.8996257878973779E-9</v>
      </c>
      <c r="EY86" s="35">
        <f t="shared" si="674"/>
        <v>1.0069699609652161</v>
      </c>
      <c r="EZ86" s="35">
        <f t="shared" si="675"/>
        <v>1.0069699632469564</v>
      </c>
      <c r="FA86" s="10">
        <v>9.9999999999999995E-7</v>
      </c>
      <c r="FB86" s="10">
        <v>0.99990000000000001</v>
      </c>
      <c r="FC86" s="35">
        <f t="shared" si="676"/>
        <v>0.49995050000000002</v>
      </c>
      <c r="FD86" s="35">
        <f t="shared" si="677"/>
        <v>-0.8825483007464654</v>
      </c>
      <c r="FE86" s="35">
        <f t="shared" si="678"/>
        <v>9.9999999999999995E-7</v>
      </c>
      <c r="FF86" s="35">
        <f t="shared" si="679"/>
        <v>0.49995050000000002</v>
      </c>
      <c r="FG86" s="35">
        <f t="shared" si="680"/>
        <v>0.24997575</v>
      </c>
      <c r="FH86" s="35">
        <f t="shared" si="681"/>
        <v>-0.7828749385395396</v>
      </c>
      <c r="FI86" s="35">
        <f t="shared" si="682"/>
        <v>9.9999999999999995E-7</v>
      </c>
      <c r="FJ86" s="35">
        <f t="shared" si="683"/>
        <v>0.24997575</v>
      </c>
      <c r="FK86" s="35">
        <f t="shared" si="684"/>
        <v>0.124988375</v>
      </c>
      <c r="FL86" s="35">
        <f t="shared" si="685"/>
        <v>-0.6397633891153065</v>
      </c>
      <c r="FM86" s="35">
        <f t="shared" si="686"/>
        <v>9.9999999999999995E-7</v>
      </c>
      <c r="FN86" s="35">
        <f t="shared" si="687"/>
        <v>0.124988375</v>
      </c>
      <c r="FO86" s="35">
        <f t="shared" si="688"/>
        <v>6.24946875E-2</v>
      </c>
      <c r="FP86" s="35">
        <f t="shared" si="689"/>
        <v>-0.46796837549979708</v>
      </c>
      <c r="FQ86" s="35">
        <f t="shared" si="690"/>
        <v>9.9999999999999995E-7</v>
      </c>
      <c r="FR86" s="35">
        <f t="shared" si="691"/>
        <v>6.24946875E-2</v>
      </c>
      <c r="FS86" s="35">
        <f t="shared" si="692"/>
        <v>3.124784375E-2</v>
      </c>
      <c r="FT86" s="35">
        <f t="shared" si="693"/>
        <v>-0.29796302566142119</v>
      </c>
      <c r="FU86" s="35">
        <f t="shared" si="694"/>
        <v>9.9999999999999995E-7</v>
      </c>
      <c r="FV86" s="35">
        <f t="shared" si="695"/>
        <v>3.124784375E-2</v>
      </c>
      <c r="FW86" s="35">
        <f t="shared" si="696"/>
        <v>1.5624421875000001E-2</v>
      </c>
      <c r="FX86" s="35">
        <f t="shared" si="697"/>
        <v>-0.16669746036958821</v>
      </c>
      <c r="FY86" s="35">
        <f t="shared" si="698"/>
        <v>9.9999999999999995E-7</v>
      </c>
      <c r="FZ86" s="35">
        <f t="shared" si="699"/>
        <v>1.5624421875000001E-2</v>
      </c>
      <c r="GA86" s="35">
        <f t="shared" si="700"/>
        <v>7.8127109375E-3</v>
      </c>
      <c r="GB86" s="35">
        <f t="shared" si="701"/>
        <v>-8.4318904229798375E-2</v>
      </c>
      <c r="GC86" s="35">
        <f t="shared" si="702"/>
        <v>9.9999999999999995E-7</v>
      </c>
      <c r="GD86" s="35">
        <f t="shared" si="703"/>
        <v>7.8127109375E-3</v>
      </c>
      <c r="GE86" s="35">
        <f t="shared" si="704"/>
        <v>3.9068554687499996E-3</v>
      </c>
      <c r="GF86" s="35">
        <f t="shared" si="705"/>
        <v>-3.8408389555558364E-2</v>
      </c>
      <c r="GG86" s="35">
        <f t="shared" si="706"/>
        <v>9.9999999999999995E-7</v>
      </c>
      <c r="GH86" s="35">
        <f t="shared" si="707"/>
        <v>3.9068554687499996E-3</v>
      </c>
      <c r="GI86" s="35">
        <f t="shared" si="708"/>
        <v>1.9539277343749999E-3</v>
      </c>
      <c r="GJ86" s="35">
        <f t="shared" si="709"/>
        <v>-1.4242085386015679E-2</v>
      </c>
      <c r="GK86" s="35">
        <f t="shared" si="710"/>
        <v>9.9999999999999995E-7</v>
      </c>
      <c r="GL86" s="35">
        <f t="shared" si="711"/>
        <v>1.9539277343749999E-3</v>
      </c>
      <c r="GM86" s="35">
        <f t="shared" si="712"/>
        <v>9.7746386718750001E-4</v>
      </c>
      <c r="GN86" s="35">
        <f t="shared" si="713"/>
        <v>-1.8556813435399722E-3</v>
      </c>
      <c r="GO86" s="35">
        <f t="shared" si="714"/>
        <v>9.9999999999999995E-7</v>
      </c>
      <c r="GP86" s="35">
        <f t="shared" si="715"/>
        <v>9.7746386718750001E-4</v>
      </c>
      <c r="GQ86" s="35">
        <f t="shared" si="716"/>
        <v>4.8923193359374996E-4</v>
      </c>
      <c r="GR86" s="35">
        <f t="shared" si="717"/>
        <v>4.4131649628238456E-3</v>
      </c>
      <c r="GS86" s="35">
        <f t="shared" si="718"/>
        <v>4.8923193359374996E-4</v>
      </c>
      <c r="GT86" s="35">
        <f t="shared" si="719"/>
        <v>9.7746386718750001E-4</v>
      </c>
      <c r="GU86" s="35">
        <f t="shared" si="720"/>
        <v>7.3334790039062498E-4</v>
      </c>
      <c r="GV86" s="35">
        <f t="shared" si="721"/>
        <v>1.2724461516069319E-3</v>
      </c>
      <c r="GW86" s="35">
        <f t="shared" si="722"/>
        <v>7.3334790039062498E-4</v>
      </c>
      <c r="GX86" s="35">
        <f t="shared" si="723"/>
        <v>9.7746386718750001E-4</v>
      </c>
      <c r="GY86" s="35">
        <f t="shared" si="724"/>
        <v>8.554058837890625E-4</v>
      </c>
      <c r="GZ86" s="35">
        <f t="shared" si="725"/>
        <v>-2.9319219111700878E-4</v>
      </c>
      <c r="HA86" s="35">
        <f t="shared" si="726"/>
        <v>7.3334790039062498E-4</v>
      </c>
      <c r="HB86" s="35">
        <f t="shared" si="727"/>
        <v>8.554058837890625E-4</v>
      </c>
      <c r="HC86" s="35">
        <f t="shared" si="728"/>
        <v>7.9437689208984369E-4</v>
      </c>
      <c r="HD86" s="35">
        <f t="shared" si="729"/>
        <v>4.8923341382423047E-4</v>
      </c>
      <c r="HE86" s="35">
        <f t="shared" si="730"/>
        <v>7.9437689208984369E-4</v>
      </c>
      <c r="HF86" s="35">
        <f t="shared" si="731"/>
        <v>8.554058837890625E-4</v>
      </c>
      <c r="HG86" s="35">
        <f t="shared" si="732"/>
        <v>8.2489138793945304E-4</v>
      </c>
      <c r="HH86" s="35">
        <f t="shared" si="733"/>
        <v>9.7922209283174411E-5</v>
      </c>
      <c r="HI86" s="35">
        <f t="shared" si="734"/>
        <v>8.2489138793945304E-4</v>
      </c>
      <c r="HJ86" s="35">
        <f t="shared" si="735"/>
        <v>8.554058837890625E-4</v>
      </c>
      <c r="HK86" s="35">
        <f t="shared" si="736"/>
        <v>8.4014863586425771E-4</v>
      </c>
      <c r="HL86" s="35">
        <f t="shared" si="737"/>
        <v>-9.7659592727783462E-5</v>
      </c>
      <c r="HM86" s="35">
        <f t="shared" si="738"/>
        <v>8.2489138793945304E-4</v>
      </c>
      <c r="HN86" s="35">
        <f t="shared" si="739"/>
        <v>8.4014863586425771E-4</v>
      </c>
      <c r="HO86" s="35">
        <f t="shared" si="740"/>
        <v>8.3252001190185537E-4</v>
      </c>
      <c r="HP86" s="35">
        <f t="shared" si="741"/>
        <v>1.2515798530898792E-7</v>
      </c>
      <c r="HQ86" s="35">
        <f t="shared" si="742"/>
        <v>8.3252001190185537E-4</v>
      </c>
      <c r="HR86" s="35">
        <f t="shared" si="743"/>
        <v>8.4014863586425771E-4</v>
      </c>
      <c r="HS86" s="35">
        <f t="shared" si="744"/>
        <v>8.3633432388305654E-4</v>
      </c>
      <c r="HT86" s="35">
        <f t="shared" si="745"/>
        <v>-4.8768754964512162E-5</v>
      </c>
      <c r="HU86" s="35">
        <f t="shared" si="746"/>
        <v>8.3252001190185537E-4</v>
      </c>
      <c r="HV86" s="35">
        <f t="shared" si="747"/>
        <v>8.3633432388305654E-4</v>
      </c>
      <c r="HW86" s="35">
        <f t="shared" si="748"/>
        <v>8.3442716789245601E-4</v>
      </c>
      <c r="HX86" s="35">
        <f t="shared" si="749"/>
        <v>-2.4322182885505583E-5</v>
      </c>
      <c r="HY86" s="35">
        <f t="shared" si="750"/>
        <v>8.3252001190185537E-4</v>
      </c>
      <c r="HZ86" s="35">
        <f t="shared" si="751"/>
        <v>8.3442716789245601E-4</v>
      </c>
      <c r="IA86" s="35">
        <f t="shared" si="752"/>
        <v>8.3347358989715569E-4</v>
      </c>
      <c r="IB86" s="35">
        <f t="shared" si="753"/>
        <v>-1.2098608548116729E-5</v>
      </c>
      <c r="IC86" s="35">
        <f t="shared" si="754"/>
        <v>8.3252001190185537E-4</v>
      </c>
      <c r="ID86" s="35">
        <f t="shared" si="755"/>
        <v>8.3347358989715569E-4</v>
      </c>
      <c r="IE86" s="35">
        <f t="shared" si="756"/>
        <v>8.3299680089950548E-4</v>
      </c>
      <c r="IF86" s="35">
        <f t="shared" si="757"/>
        <v>-5.9867493056309229E-6</v>
      </c>
      <c r="IG86" s="35">
        <f t="shared" si="758"/>
        <v>8.3252001190185537E-4</v>
      </c>
      <c r="IH86" s="35">
        <f t="shared" si="759"/>
        <v>8.3299680089950548E-4</v>
      </c>
      <c r="II86" s="35">
        <f t="shared" si="760"/>
        <v>8.3275840640068043E-4</v>
      </c>
      <c r="IJ86" s="35">
        <f t="shared" si="761"/>
        <v>-2.9308016659124192E-6</v>
      </c>
      <c r="IK86" s="35">
        <f t="shared" si="762"/>
        <v>8.3252001190185537E-4</v>
      </c>
      <c r="IL86" s="35">
        <f t="shared" si="763"/>
        <v>8.3275840640068043E-4</v>
      </c>
      <c r="IM86" s="35">
        <f t="shared" si="764"/>
        <v>8.3263920915126795E-4</v>
      </c>
      <c r="IN86" s="35">
        <f t="shared" si="765"/>
        <v>-1.4028233419338676E-6</v>
      </c>
      <c r="IO86" s="35">
        <f t="shared" si="766"/>
        <v>8.3252001190185537E-4</v>
      </c>
      <c r="IP86" s="35">
        <f t="shared" si="767"/>
        <v>8.3263920915126795E-4</v>
      </c>
      <c r="IQ86" s="35">
        <f t="shared" si="768"/>
        <v>8.3257961052656166E-4</v>
      </c>
      <c r="IR86" s="35">
        <f t="shared" si="769"/>
        <v>-6.3883305345679986E-7</v>
      </c>
      <c r="IS86" s="35">
        <f t="shared" si="770"/>
        <v>8.3252001190185537E-4</v>
      </c>
      <c r="IT86" s="35">
        <f t="shared" si="771"/>
        <v>8.3257961052656166E-4</v>
      </c>
      <c r="IU86" s="35">
        <f t="shared" si="772"/>
        <v>8.3254981121420857E-4</v>
      </c>
      <c r="IV86" s="35">
        <f t="shared" si="773"/>
        <v>-2.568376279432627E-7</v>
      </c>
      <c r="IW86" s="35">
        <f t="shared" si="774"/>
        <v>8.3252001190185537E-4</v>
      </c>
      <c r="IX86" s="35">
        <f t="shared" si="775"/>
        <v>8.3254981121420857E-4</v>
      </c>
      <c r="IY86" s="35">
        <f t="shared" si="776"/>
        <v>8.3253491155803197E-4</v>
      </c>
      <c r="IZ86" s="35">
        <f t="shared" si="777"/>
        <v>-6.5839844909376666E-8</v>
      </c>
      <c r="JA86" s="35">
        <f t="shared" si="778"/>
        <v>8.3252001190185537E-4</v>
      </c>
      <c r="JB86" s="35">
        <f t="shared" si="779"/>
        <v>8.3253491155803197E-4</v>
      </c>
      <c r="JC86" s="35">
        <f t="shared" si="780"/>
        <v>8.3252746172994367E-4</v>
      </c>
      <c r="JD86" s="35">
        <f t="shared" si="781"/>
        <v>2.9659064759712805E-8</v>
      </c>
      <c r="JE86" s="35">
        <f t="shared" si="782"/>
        <v>8.3252746172994367E-4</v>
      </c>
      <c r="JF86" s="35">
        <f t="shared" si="783"/>
        <v>8.3253491155803197E-4</v>
      </c>
      <c r="JG86" s="35">
        <f t="shared" si="784"/>
        <v>8.3253118664398788E-4</v>
      </c>
      <c r="JH86" s="35">
        <f t="shared" si="785"/>
        <v>-1.8090391962211072E-8</v>
      </c>
      <c r="JI86" s="35">
        <f t="shared" si="786"/>
        <v>8.3252746172994367E-4</v>
      </c>
      <c r="JJ86" s="35">
        <f t="shared" si="787"/>
        <v>8.3253118664398788E-4</v>
      </c>
      <c r="JK86" s="35">
        <f t="shared" si="788"/>
        <v>8.3252932418696572E-4</v>
      </c>
      <c r="JL86" s="35">
        <f t="shared" si="789"/>
        <v>5.7843361211951105E-9</v>
      </c>
      <c r="JM86" s="35">
        <f t="shared" si="790"/>
        <v>8.3252932418696572E-4</v>
      </c>
      <c r="JN86" s="35">
        <f t="shared" si="791"/>
        <v>8.3253118664398788E-4</v>
      </c>
      <c r="JO86" s="35">
        <f t="shared" si="792"/>
        <v>8.325302554154768E-4</v>
      </c>
      <c r="JP86" s="35">
        <f t="shared" si="793"/>
        <v>-6.1530277539745271E-9</v>
      </c>
      <c r="JQ86" s="35">
        <f t="shared" si="794"/>
        <v>8.3252932418696572E-4</v>
      </c>
      <c r="JR86" s="35">
        <f t="shared" si="795"/>
        <v>8.325302554154768E-4</v>
      </c>
      <c r="JS86" s="35">
        <f t="shared" si="796"/>
        <v>8.3252978980122121E-4</v>
      </c>
      <c r="JT86" s="35">
        <f t="shared" si="797"/>
        <v>-1.8434576087855703E-10</v>
      </c>
      <c r="JU86" s="35">
        <f t="shared" si="798"/>
        <v>8.3252932418696572E-4</v>
      </c>
      <c r="JV86" s="35">
        <f t="shared" si="799"/>
        <v>8.3252978980122121E-4</v>
      </c>
      <c r="JW86" s="35">
        <f t="shared" si="800"/>
        <v>8.3252955699409346E-4</v>
      </c>
      <c r="JX86" s="35">
        <f t="shared" si="801"/>
        <v>2.7999951246471255E-9</v>
      </c>
      <c r="JY86" s="35">
        <f t="shared" si="802"/>
        <v>8.3252955699409346E-4</v>
      </c>
      <c r="JZ86" s="35">
        <f t="shared" si="803"/>
        <v>8.3252978980122121E-4</v>
      </c>
      <c r="KA86" s="35">
        <f t="shared" si="804"/>
        <v>1.0069699621060861</v>
      </c>
      <c r="KB86" s="35">
        <f t="shared" si="805"/>
        <v>8.3252967339765734E-4</v>
      </c>
    </row>
    <row r="87" spans="1:288" ht="15" customHeight="1" x14ac:dyDescent="0.3">
      <c r="A87" s="30">
        <f>Odds_Input!A87</f>
        <v>79</v>
      </c>
      <c r="B87" s="7" t="str">
        <f>Odds_Input!B87</f>
        <v>DIV_NORTHWEST</v>
      </c>
      <c r="C87" s="7" t="str">
        <f>Odds_Input!C87</f>
        <v>Utah Jazz</v>
      </c>
      <c r="D87" s="7" t="str">
        <f>Odds_Input!D87</f>
        <v>YES</v>
      </c>
      <c r="E87" s="31" t="str">
        <f>Odds_Input!E87</f>
        <v>-</v>
      </c>
      <c r="F87" s="32">
        <f>Odds_Input!F87</f>
        <v>4500</v>
      </c>
      <c r="G87" s="6" t="str">
        <f t="shared" si="533"/>
        <v>DIV_NORTHWEST</v>
      </c>
      <c r="H87" s="14">
        <f t="shared" si="534"/>
        <v>46</v>
      </c>
      <c r="I87" s="33">
        <f t="shared" si="535"/>
        <v>2.1739130434782608E-2</v>
      </c>
      <c r="J87" s="17">
        <f t="shared" si="536"/>
        <v>1</v>
      </c>
      <c r="K87" s="17">
        <f t="shared" si="537"/>
        <v>5</v>
      </c>
      <c r="L87" s="18">
        <f t="shared" si="538"/>
        <v>1.1129211191777471</v>
      </c>
      <c r="M87" s="34">
        <f t="shared" si="539"/>
        <v>0.11292111917774705</v>
      </c>
      <c r="N87" s="33">
        <f t="shared" si="540"/>
        <v>1.9533397345217064E-2</v>
      </c>
      <c r="O87" s="33">
        <f t="shared" si="541"/>
        <v>1.0889764671455603E-2</v>
      </c>
      <c r="P87" s="33">
        <f t="shared" si="542"/>
        <v>9.6313826851673699E-3</v>
      </c>
      <c r="Q87" s="33">
        <f t="shared" si="543"/>
        <v>9.6313826851673699E-3</v>
      </c>
      <c r="R87" s="35">
        <f t="shared" si="544"/>
        <v>1.1805576662300159</v>
      </c>
      <c r="S87" s="35">
        <f t="shared" si="545"/>
        <v>3.4792828498521472E-2</v>
      </c>
      <c r="X87" s="6" t="s">
        <v>382</v>
      </c>
      <c r="Y87" s="6">
        <f t="shared" si="546"/>
        <v>1</v>
      </c>
      <c r="Z87" s="18">
        <f t="shared" si="547"/>
        <v>1.271969535715286</v>
      </c>
      <c r="AA87" s="10">
        <v>0.2</v>
      </c>
      <c r="AB87" s="10">
        <v>10</v>
      </c>
      <c r="AC87" s="35">
        <f t="shared" si="548"/>
        <v>5.0999999999999996</v>
      </c>
      <c r="AD87" s="35">
        <f t="shared" si="549"/>
        <v>-0.99998141758668013</v>
      </c>
      <c r="AE87" s="35">
        <f t="shared" si="550"/>
        <v>0.2</v>
      </c>
      <c r="AF87" s="35">
        <f t="shared" si="551"/>
        <v>5.0999999999999996</v>
      </c>
      <c r="AG87" s="35">
        <f t="shared" si="552"/>
        <v>2.65</v>
      </c>
      <c r="AH87" s="35">
        <f t="shared" si="553"/>
        <v>-0.99104969416017941</v>
      </c>
      <c r="AI87" s="35">
        <f t="shared" si="554"/>
        <v>0.2</v>
      </c>
      <c r="AJ87" s="35">
        <f t="shared" si="555"/>
        <v>2.65</v>
      </c>
      <c r="AK87" s="35">
        <f t="shared" si="556"/>
        <v>1.425</v>
      </c>
      <c r="AL87" s="35">
        <f t="shared" si="557"/>
        <v>-0.67576275381535156</v>
      </c>
      <c r="AM87" s="35">
        <f t="shared" si="558"/>
        <v>0.2</v>
      </c>
      <c r="AN87" s="35">
        <f t="shared" si="559"/>
        <v>1.425</v>
      </c>
      <c r="AO87" s="35">
        <f t="shared" si="560"/>
        <v>0.8125</v>
      </c>
      <c r="AP87" s="35">
        <f t="shared" si="561"/>
        <v>1.3714651527433928</v>
      </c>
      <c r="AQ87" s="35">
        <f t="shared" si="562"/>
        <v>0.8125</v>
      </c>
      <c r="AR87" s="35">
        <f t="shared" si="563"/>
        <v>1.425</v>
      </c>
      <c r="AS87" s="35">
        <f t="shared" si="564"/>
        <v>1.1187499999999999</v>
      </c>
      <c r="AT87" s="35">
        <f t="shared" si="565"/>
        <v>-0.13735390741310682</v>
      </c>
      <c r="AU87" s="35">
        <f t="shared" si="566"/>
        <v>0.8125</v>
      </c>
      <c r="AV87" s="35">
        <f t="shared" si="567"/>
        <v>1.1187499999999999</v>
      </c>
      <c r="AW87" s="35">
        <f t="shared" si="568"/>
        <v>0.96562499999999996</v>
      </c>
      <c r="AX87" s="35">
        <f t="shared" si="569"/>
        <v>0.42458718886699121</v>
      </c>
      <c r="AY87" s="35">
        <f t="shared" si="570"/>
        <v>0.96562499999999996</v>
      </c>
      <c r="AZ87" s="35">
        <f t="shared" si="571"/>
        <v>1.1187499999999999</v>
      </c>
      <c r="BA87" s="35">
        <f t="shared" si="572"/>
        <v>1.0421874999999998</v>
      </c>
      <c r="BB87" s="35">
        <f t="shared" si="573"/>
        <v>0.10744118741009401</v>
      </c>
      <c r="BC87" s="35">
        <f t="shared" si="574"/>
        <v>1.0421874999999998</v>
      </c>
      <c r="BD87" s="35">
        <f t="shared" si="575"/>
        <v>1.1187499999999999</v>
      </c>
      <c r="BE87" s="35">
        <f t="shared" si="576"/>
        <v>1.0804687499999999</v>
      </c>
      <c r="BF87" s="35">
        <f t="shared" si="577"/>
        <v>-2.2839438122578937E-2</v>
      </c>
      <c r="BG87" s="35">
        <f t="shared" si="578"/>
        <v>1.0421874999999998</v>
      </c>
      <c r="BH87" s="35">
        <f t="shared" si="579"/>
        <v>1.0804687499999999</v>
      </c>
      <c r="BI87" s="35">
        <f t="shared" si="580"/>
        <v>1.0613281249999997</v>
      </c>
      <c r="BJ87" s="35">
        <f t="shared" si="581"/>
        <v>4.0197245487863853E-2</v>
      </c>
      <c r="BK87" s="35">
        <f t="shared" si="582"/>
        <v>1.0613281249999997</v>
      </c>
      <c r="BL87" s="35">
        <f t="shared" si="583"/>
        <v>1.0804687499999999</v>
      </c>
      <c r="BM87" s="35">
        <f t="shared" si="584"/>
        <v>1.0708984374999999</v>
      </c>
      <c r="BN87" s="35">
        <f t="shared" si="585"/>
        <v>8.1703110441140314E-3</v>
      </c>
      <c r="BO87" s="35">
        <f t="shared" si="586"/>
        <v>1.0708984374999999</v>
      </c>
      <c r="BP87" s="35">
        <f t="shared" si="587"/>
        <v>1.0804687499999999</v>
      </c>
      <c r="BQ87" s="35">
        <f t="shared" si="588"/>
        <v>1.07568359375</v>
      </c>
      <c r="BR87" s="35">
        <f t="shared" si="589"/>
        <v>-7.4596111749933858E-3</v>
      </c>
      <c r="BS87" s="35">
        <f t="shared" si="590"/>
        <v>1.0708984374999999</v>
      </c>
      <c r="BT87" s="35">
        <f t="shared" si="591"/>
        <v>1.07568359375</v>
      </c>
      <c r="BU87" s="35">
        <f t="shared" si="592"/>
        <v>1.073291015625</v>
      </c>
      <c r="BV87" s="35">
        <f t="shared" si="593"/>
        <v>3.2382824479570971E-4</v>
      </c>
      <c r="BW87" s="35">
        <f t="shared" si="594"/>
        <v>1.073291015625</v>
      </c>
      <c r="BX87" s="35">
        <f t="shared" si="595"/>
        <v>1.07568359375</v>
      </c>
      <c r="BY87" s="35">
        <f t="shared" si="596"/>
        <v>1.0744873046875001</v>
      </c>
      <c r="BZ87" s="35">
        <f t="shared" si="597"/>
        <v>-3.5757392425523893E-3</v>
      </c>
      <c r="CA87" s="35">
        <f t="shared" si="598"/>
        <v>1.073291015625</v>
      </c>
      <c r="CB87" s="35">
        <f t="shared" si="599"/>
        <v>1.0744873046875001</v>
      </c>
      <c r="CC87" s="35">
        <f t="shared" si="600"/>
        <v>1.0738891601562499</v>
      </c>
      <c r="CD87" s="35">
        <f t="shared" si="601"/>
        <v>-1.6279215130392544E-3</v>
      </c>
      <c r="CE87" s="35">
        <f t="shared" si="602"/>
        <v>1.073291015625</v>
      </c>
      <c r="CF87" s="35">
        <f t="shared" si="603"/>
        <v>1.0738891601562499</v>
      </c>
      <c r="CG87" s="35">
        <f t="shared" si="604"/>
        <v>1.0735900878906248</v>
      </c>
      <c r="CH87" s="35">
        <f t="shared" si="605"/>
        <v>-6.5253864733127998E-4</v>
      </c>
      <c r="CI87" s="35">
        <f t="shared" si="606"/>
        <v>1.073291015625</v>
      </c>
      <c r="CJ87" s="35">
        <f t="shared" si="607"/>
        <v>1.0735900878906248</v>
      </c>
      <c r="CK87" s="35">
        <f t="shared" si="608"/>
        <v>1.0734405517578125</v>
      </c>
      <c r="CL87" s="35">
        <f t="shared" si="609"/>
        <v>-1.6447826833909662E-4</v>
      </c>
      <c r="CM87" s="35">
        <f t="shared" si="610"/>
        <v>1.073291015625</v>
      </c>
      <c r="CN87" s="35">
        <f t="shared" si="611"/>
        <v>1.0734405517578125</v>
      </c>
      <c r="CO87" s="35">
        <f t="shared" si="612"/>
        <v>1.0733657836914063</v>
      </c>
      <c r="CP87" s="35">
        <f t="shared" si="613"/>
        <v>7.9644213486051996E-5</v>
      </c>
      <c r="CQ87" s="35">
        <f t="shared" si="614"/>
        <v>1.0733657836914063</v>
      </c>
      <c r="CR87" s="35">
        <f t="shared" si="615"/>
        <v>1.0734405517578125</v>
      </c>
      <c r="CS87" s="35">
        <f t="shared" si="616"/>
        <v>1.0734031677246094</v>
      </c>
      <c r="CT87" s="35">
        <f t="shared" si="617"/>
        <v>-4.242472011550813E-5</v>
      </c>
      <c r="CU87" s="35">
        <f t="shared" si="618"/>
        <v>1.0733657836914063</v>
      </c>
      <c r="CV87" s="35">
        <f t="shared" si="619"/>
        <v>1.0734031677246094</v>
      </c>
      <c r="CW87" s="35">
        <f t="shared" si="620"/>
        <v>1.073384475708008</v>
      </c>
      <c r="CX87" s="35">
        <f t="shared" si="621"/>
        <v>1.8607823388583355E-5</v>
      </c>
      <c r="CY87" s="35">
        <f t="shared" si="622"/>
        <v>1.073384475708008</v>
      </c>
      <c r="CZ87" s="35">
        <f t="shared" si="623"/>
        <v>1.0734031677246094</v>
      </c>
      <c r="DA87" s="35">
        <f t="shared" si="624"/>
        <v>1.0733938217163086</v>
      </c>
      <c r="DB87" s="35">
        <f t="shared" si="625"/>
        <v>-1.1908929171355886E-5</v>
      </c>
      <c r="DC87" s="35">
        <f t="shared" si="626"/>
        <v>1.073384475708008</v>
      </c>
      <c r="DD87" s="35">
        <f t="shared" si="627"/>
        <v>1.0733938217163086</v>
      </c>
      <c r="DE87" s="35">
        <f t="shared" si="628"/>
        <v>1.0733891487121583</v>
      </c>
      <c r="DF87" s="35">
        <f t="shared" si="629"/>
        <v>3.3493269044893026E-6</v>
      </c>
      <c r="DG87" s="35">
        <f t="shared" si="630"/>
        <v>1.0733891487121583</v>
      </c>
      <c r="DH87" s="35">
        <f t="shared" si="631"/>
        <v>1.0733938217163086</v>
      </c>
      <c r="DI87" s="35">
        <f t="shared" si="632"/>
        <v>1.0733914852142334</v>
      </c>
      <c r="DJ87" s="35">
        <f t="shared" si="633"/>
        <v>-4.2798311845615444E-6</v>
      </c>
      <c r="DK87" s="35">
        <f t="shared" si="634"/>
        <v>1.0733891487121583</v>
      </c>
      <c r="DL87" s="35">
        <f t="shared" si="635"/>
        <v>1.0733914852142334</v>
      </c>
      <c r="DM87" s="35">
        <f t="shared" si="636"/>
        <v>1.073390316963196</v>
      </c>
      <c r="DN87" s="35">
        <f t="shared" si="637"/>
        <v>-4.6525965302635086E-7</v>
      </c>
      <c r="DO87" s="35">
        <f t="shared" si="638"/>
        <v>1.0733891487121583</v>
      </c>
      <c r="DP87" s="35">
        <f t="shared" si="639"/>
        <v>1.073390316963196</v>
      </c>
      <c r="DQ87" s="35">
        <f t="shared" si="640"/>
        <v>1.0733897328376771</v>
      </c>
      <c r="DR87" s="35">
        <f t="shared" si="641"/>
        <v>1.4420317475671851E-6</v>
      </c>
      <c r="DS87" s="35">
        <f t="shared" si="642"/>
        <v>1.0733897328376771</v>
      </c>
      <c r="DT87" s="35">
        <f t="shared" si="643"/>
        <v>1.073390316963196</v>
      </c>
      <c r="DU87" s="35">
        <f t="shared" si="644"/>
        <v>1.0733900249004367</v>
      </c>
      <c r="DV87" s="35">
        <f t="shared" si="645"/>
        <v>4.883855773130108E-7</v>
      </c>
      <c r="DW87" s="35">
        <f t="shared" si="646"/>
        <v>1.0733900249004367</v>
      </c>
      <c r="DX87" s="35">
        <f t="shared" si="647"/>
        <v>1.073390316963196</v>
      </c>
      <c r="DY87" s="35">
        <f t="shared" si="648"/>
        <v>1.0733901709318163</v>
      </c>
      <c r="DZ87" s="35">
        <f t="shared" si="649"/>
        <v>1.1562844015600149E-8</v>
      </c>
      <c r="EA87" s="35">
        <f t="shared" si="650"/>
        <v>1.0733901709318163</v>
      </c>
      <c r="EB87" s="35">
        <f t="shared" si="651"/>
        <v>1.073390316963196</v>
      </c>
      <c r="EC87" s="35">
        <f t="shared" si="652"/>
        <v>1.073390243947506</v>
      </c>
      <c r="ED87" s="35">
        <f t="shared" si="653"/>
        <v>-2.2684843326015169E-7</v>
      </c>
      <c r="EE87" s="35">
        <f t="shared" si="654"/>
        <v>1.0733901709318163</v>
      </c>
      <c r="EF87" s="35">
        <f t="shared" si="655"/>
        <v>1.073390243947506</v>
      </c>
      <c r="EG87" s="35">
        <f t="shared" si="656"/>
        <v>1.0733902074396613</v>
      </c>
      <c r="EH87" s="35">
        <f t="shared" si="657"/>
        <v>-1.0764280178321428E-7</v>
      </c>
      <c r="EI87" s="35">
        <f t="shared" si="658"/>
        <v>1.0733901709318163</v>
      </c>
      <c r="EJ87" s="35">
        <f t="shared" si="659"/>
        <v>1.0733902074396613</v>
      </c>
      <c r="EK87" s="35">
        <f t="shared" si="660"/>
        <v>1.0733901891857389</v>
      </c>
      <c r="EL87" s="35">
        <f t="shared" si="661"/>
        <v>-4.8039980993230813E-8</v>
      </c>
      <c r="EM87" s="35">
        <f t="shared" si="662"/>
        <v>1.0733901709318163</v>
      </c>
      <c r="EN87" s="35">
        <f t="shared" si="663"/>
        <v>1.0733901891857389</v>
      </c>
      <c r="EO87" s="35">
        <f t="shared" si="664"/>
        <v>1.0733901800587775</v>
      </c>
      <c r="EP87" s="35">
        <f t="shared" si="665"/>
        <v>-1.8238568655348786E-8</v>
      </c>
      <c r="EQ87" s="35">
        <f t="shared" si="666"/>
        <v>1.0733901709318163</v>
      </c>
      <c r="ER87" s="35">
        <f t="shared" si="667"/>
        <v>1.0733901800587775</v>
      </c>
      <c r="ES87" s="35">
        <f t="shared" si="668"/>
        <v>1.0733901754952968</v>
      </c>
      <c r="ET87" s="35">
        <f t="shared" si="669"/>
        <v>-3.3378617647628062E-9</v>
      </c>
      <c r="EU87" s="35">
        <f t="shared" si="670"/>
        <v>1.0733901709318163</v>
      </c>
      <c r="EV87" s="35">
        <f t="shared" si="671"/>
        <v>1.0733901754952968</v>
      </c>
      <c r="EW87" s="35">
        <f t="shared" si="672"/>
        <v>1.0733901732135567</v>
      </c>
      <c r="EX87" s="35">
        <f t="shared" si="673"/>
        <v>4.1124910143963689E-9</v>
      </c>
      <c r="EY87" s="35">
        <f t="shared" si="674"/>
        <v>1.0733901732135567</v>
      </c>
      <c r="EZ87" s="35">
        <f t="shared" si="675"/>
        <v>1.0733901754952968</v>
      </c>
      <c r="FA87" s="10">
        <v>9.9999999999999995E-7</v>
      </c>
      <c r="FB87" s="10">
        <v>0.99990000000000001</v>
      </c>
      <c r="FC87" s="35">
        <f t="shared" si="676"/>
        <v>0.49995050000000002</v>
      </c>
      <c r="FD87" s="35">
        <f t="shared" si="677"/>
        <v>-0.91178729092470345</v>
      </c>
      <c r="FE87" s="35">
        <f t="shared" si="678"/>
        <v>9.9999999999999995E-7</v>
      </c>
      <c r="FF87" s="35">
        <f t="shared" si="679"/>
        <v>0.49995050000000002</v>
      </c>
      <c r="FG87" s="35">
        <f t="shared" si="680"/>
        <v>0.24997575</v>
      </c>
      <c r="FH87" s="35">
        <f t="shared" si="681"/>
        <v>-0.82926206698400029</v>
      </c>
      <c r="FI87" s="35">
        <f t="shared" si="682"/>
        <v>9.9999999999999995E-7</v>
      </c>
      <c r="FJ87" s="35">
        <f t="shared" si="683"/>
        <v>0.24997575</v>
      </c>
      <c r="FK87" s="35">
        <f t="shared" si="684"/>
        <v>0.124988375</v>
      </c>
      <c r="FL87" s="35">
        <f t="shared" si="685"/>
        <v>-0.69151790371372035</v>
      </c>
      <c r="FM87" s="35">
        <f t="shared" si="686"/>
        <v>9.9999999999999995E-7</v>
      </c>
      <c r="FN87" s="35">
        <f t="shared" si="687"/>
        <v>0.124988375</v>
      </c>
      <c r="FO87" s="35">
        <f t="shared" si="688"/>
        <v>6.24946875E-2</v>
      </c>
      <c r="FP87" s="35">
        <f t="shared" si="689"/>
        <v>-0.50276727862753312</v>
      </c>
      <c r="FQ87" s="35">
        <f t="shared" si="690"/>
        <v>9.9999999999999995E-7</v>
      </c>
      <c r="FR87" s="35">
        <f t="shared" si="691"/>
        <v>6.24946875E-2</v>
      </c>
      <c r="FS87" s="35">
        <f t="shared" si="692"/>
        <v>3.124784375E-2</v>
      </c>
      <c r="FT87" s="35">
        <f t="shared" si="693"/>
        <v>-0.29813527236942805</v>
      </c>
      <c r="FU87" s="35">
        <f t="shared" si="694"/>
        <v>9.9999999999999995E-7</v>
      </c>
      <c r="FV87" s="35">
        <f t="shared" si="695"/>
        <v>3.124784375E-2</v>
      </c>
      <c r="FW87" s="35">
        <f t="shared" si="696"/>
        <v>1.5624421875000001E-2</v>
      </c>
      <c r="FX87" s="35">
        <f t="shared" si="697"/>
        <v>-0.12632928194158566</v>
      </c>
      <c r="FY87" s="35">
        <f t="shared" si="698"/>
        <v>9.9999999999999995E-7</v>
      </c>
      <c r="FZ87" s="35">
        <f t="shared" si="699"/>
        <v>1.5624421875000001E-2</v>
      </c>
      <c r="GA87" s="35">
        <f t="shared" si="700"/>
        <v>7.8127109375E-3</v>
      </c>
      <c r="GB87" s="35">
        <f t="shared" si="701"/>
        <v>-1.1350196325710993E-2</v>
      </c>
      <c r="GC87" s="35">
        <f t="shared" si="702"/>
        <v>9.9999999999999995E-7</v>
      </c>
      <c r="GD87" s="35">
        <f t="shared" si="703"/>
        <v>7.8127109375E-3</v>
      </c>
      <c r="GE87" s="35">
        <f t="shared" si="704"/>
        <v>3.9068554687499996E-3</v>
      </c>
      <c r="GF87" s="35">
        <f t="shared" si="705"/>
        <v>5.5065189818990667E-2</v>
      </c>
      <c r="GG87" s="35">
        <f t="shared" si="706"/>
        <v>3.9068554687499996E-3</v>
      </c>
      <c r="GH87" s="35">
        <f t="shared" si="707"/>
        <v>7.8127109375E-3</v>
      </c>
      <c r="GI87" s="35">
        <f t="shared" si="708"/>
        <v>5.8597832031249998E-3</v>
      </c>
      <c r="GJ87" s="35">
        <f t="shared" si="709"/>
        <v>2.1077791620085495E-2</v>
      </c>
      <c r="GK87" s="35">
        <f t="shared" si="710"/>
        <v>5.8597832031249998E-3</v>
      </c>
      <c r="GL87" s="35">
        <f t="shared" si="711"/>
        <v>7.8127109375E-3</v>
      </c>
      <c r="GM87" s="35">
        <f t="shared" si="712"/>
        <v>6.8362470703124999E-3</v>
      </c>
      <c r="GN87" s="35">
        <f t="shared" si="713"/>
        <v>4.6708435603679543E-3</v>
      </c>
      <c r="GO87" s="35">
        <f t="shared" si="714"/>
        <v>6.8362470703124999E-3</v>
      </c>
      <c r="GP87" s="35">
        <f t="shared" si="715"/>
        <v>7.8127109375E-3</v>
      </c>
      <c r="GQ87" s="35">
        <f t="shared" si="716"/>
        <v>7.3244790039062504E-3</v>
      </c>
      <c r="GR87" s="35">
        <f t="shared" si="717"/>
        <v>-3.3876266719283787E-3</v>
      </c>
      <c r="GS87" s="35">
        <f t="shared" si="718"/>
        <v>6.8362470703124999E-3</v>
      </c>
      <c r="GT87" s="35">
        <f t="shared" si="719"/>
        <v>7.3244790039062504E-3</v>
      </c>
      <c r="GU87" s="35">
        <f t="shared" si="720"/>
        <v>7.0803630371093756E-3</v>
      </c>
      <c r="GV87" s="35">
        <f t="shared" si="721"/>
        <v>6.2958308884231151E-4</v>
      </c>
      <c r="GW87" s="35">
        <f t="shared" si="722"/>
        <v>7.0803630371093756E-3</v>
      </c>
      <c r="GX87" s="35">
        <f t="shared" si="723"/>
        <v>7.3244790039062504E-3</v>
      </c>
      <c r="GY87" s="35">
        <f t="shared" si="724"/>
        <v>7.202421020507813E-3</v>
      </c>
      <c r="GZ87" s="35">
        <f t="shared" si="725"/>
        <v>-1.3820235141395187E-3</v>
      </c>
      <c r="HA87" s="35">
        <f t="shared" si="726"/>
        <v>7.0803630371093756E-3</v>
      </c>
      <c r="HB87" s="35">
        <f t="shared" si="727"/>
        <v>7.202421020507813E-3</v>
      </c>
      <c r="HC87" s="35">
        <f t="shared" si="728"/>
        <v>7.1413920288085943E-3</v>
      </c>
      <c r="HD87" s="35">
        <f t="shared" si="729"/>
        <v>-3.7697122708835185E-4</v>
      </c>
      <c r="HE87" s="35">
        <f t="shared" si="730"/>
        <v>7.0803630371093756E-3</v>
      </c>
      <c r="HF87" s="35">
        <f t="shared" si="731"/>
        <v>7.1413920288085943E-3</v>
      </c>
      <c r="HG87" s="35">
        <f t="shared" si="732"/>
        <v>7.1108775329589849E-3</v>
      </c>
      <c r="HH87" s="35">
        <f t="shared" si="733"/>
        <v>1.2611810488150077E-4</v>
      </c>
      <c r="HI87" s="35">
        <f t="shared" si="734"/>
        <v>7.1108775329589849E-3</v>
      </c>
      <c r="HJ87" s="35">
        <f t="shared" si="735"/>
        <v>7.1413920288085943E-3</v>
      </c>
      <c r="HK87" s="35">
        <f t="shared" si="736"/>
        <v>7.1261347808837892E-3</v>
      </c>
      <c r="HL87" s="35">
        <f t="shared" si="737"/>
        <v>-1.2547350858027606E-4</v>
      </c>
      <c r="HM87" s="35">
        <f t="shared" si="738"/>
        <v>7.1108775329589849E-3</v>
      </c>
      <c r="HN87" s="35">
        <f t="shared" si="739"/>
        <v>7.1261347808837892E-3</v>
      </c>
      <c r="HO87" s="35">
        <f t="shared" si="740"/>
        <v>7.1185061569213875E-3</v>
      </c>
      <c r="HP87" s="35">
        <f t="shared" si="741"/>
        <v>3.1056015226127442E-7</v>
      </c>
      <c r="HQ87" s="35">
        <f t="shared" si="742"/>
        <v>7.1185061569213875E-3</v>
      </c>
      <c r="HR87" s="35">
        <f t="shared" si="743"/>
        <v>7.1261347808837892E-3</v>
      </c>
      <c r="HS87" s="35">
        <f t="shared" si="744"/>
        <v>7.1223204689025883E-3</v>
      </c>
      <c r="HT87" s="35">
        <f t="shared" si="745"/>
        <v>-6.258440857265235E-5</v>
      </c>
      <c r="HU87" s="35">
        <f t="shared" si="746"/>
        <v>7.1185061569213875E-3</v>
      </c>
      <c r="HV87" s="35">
        <f t="shared" si="747"/>
        <v>7.1223204689025883E-3</v>
      </c>
      <c r="HW87" s="35">
        <f t="shared" si="748"/>
        <v>7.1204133129119879E-3</v>
      </c>
      <c r="HX87" s="35">
        <f t="shared" si="749"/>
        <v>-3.1137657818036679E-5</v>
      </c>
      <c r="HY87" s="35">
        <f t="shared" si="750"/>
        <v>7.1185061569213875E-3</v>
      </c>
      <c r="HZ87" s="35">
        <f t="shared" si="751"/>
        <v>7.1204133129119879E-3</v>
      </c>
      <c r="IA87" s="35">
        <f t="shared" si="752"/>
        <v>7.1194597349166881E-3</v>
      </c>
      <c r="IB87" s="35">
        <f t="shared" si="753"/>
        <v>-1.5413732236790878E-5</v>
      </c>
      <c r="IC87" s="35">
        <f t="shared" si="754"/>
        <v>7.1185061569213875E-3</v>
      </c>
      <c r="ID87" s="35">
        <f t="shared" si="755"/>
        <v>7.1194597349166881E-3</v>
      </c>
      <c r="IE87" s="35">
        <f t="shared" si="756"/>
        <v>7.1189829459190378E-3</v>
      </c>
      <c r="IF87" s="35">
        <f t="shared" si="757"/>
        <v>-7.5516318936985627E-6</v>
      </c>
      <c r="IG87" s="35">
        <f t="shared" si="758"/>
        <v>7.1185061569213875E-3</v>
      </c>
      <c r="IH87" s="35">
        <f t="shared" si="759"/>
        <v>7.1189829459190378E-3</v>
      </c>
      <c r="II87" s="35">
        <f t="shared" si="760"/>
        <v>7.1187445514202131E-3</v>
      </c>
      <c r="IJ87" s="35">
        <f t="shared" si="761"/>
        <v>-3.6205473338268845E-6</v>
      </c>
      <c r="IK87" s="35">
        <f t="shared" si="762"/>
        <v>7.1185061569213875E-3</v>
      </c>
      <c r="IL87" s="35">
        <f t="shared" si="763"/>
        <v>7.1187445514202131E-3</v>
      </c>
      <c r="IM87" s="35">
        <f t="shared" si="764"/>
        <v>7.1186253541708003E-3</v>
      </c>
      <c r="IN87" s="35">
        <f t="shared" si="765"/>
        <v>-1.6549964562129205E-6</v>
      </c>
      <c r="IO87" s="35">
        <f t="shared" si="766"/>
        <v>7.1185061569213875E-3</v>
      </c>
      <c r="IP87" s="35">
        <f t="shared" si="767"/>
        <v>7.1186253541708003E-3</v>
      </c>
      <c r="IQ87" s="35">
        <f t="shared" si="768"/>
        <v>7.1185657555460939E-3</v>
      </c>
      <c r="IR87" s="35">
        <f t="shared" si="769"/>
        <v>-6.7221886879131887E-7</v>
      </c>
      <c r="IS87" s="35">
        <f t="shared" si="770"/>
        <v>7.1185061569213875E-3</v>
      </c>
      <c r="IT87" s="35">
        <f t="shared" si="771"/>
        <v>7.1185657555460939E-3</v>
      </c>
      <c r="IU87" s="35">
        <f t="shared" si="772"/>
        <v>7.1185359562337402E-3</v>
      </c>
      <c r="IV87" s="35">
        <f t="shared" si="773"/>
        <v>-1.808295374550184E-7</v>
      </c>
      <c r="IW87" s="35">
        <f t="shared" si="774"/>
        <v>7.1185061569213875E-3</v>
      </c>
      <c r="IX87" s="35">
        <f t="shared" si="775"/>
        <v>7.1185359562337402E-3</v>
      </c>
      <c r="IY87" s="35">
        <f t="shared" si="776"/>
        <v>7.1185210565775639E-3</v>
      </c>
      <c r="IZ87" s="35">
        <f t="shared" si="777"/>
        <v>6.4865262716651273E-8</v>
      </c>
      <c r="JA87" s="35">
        <f t="shared" si="778"/>
        <v>7.1185210565775639E-3</v>
      </c>
      <c r="JB87" s="35">
        <f t="shared" si="779"/>
        <v>7.1185359562337402E-3</v>
      </c>
      <c r="JC87" s="35">
        <f t="shared" si="780"/>
        <v>7.1185285064056525E-3</v>
      </c>
      <c r="JD87" s="35">
        <f t="shared" si="781"/>
        <v>-5.7982148415902657E-8</v>
      </c>
      <c r="JE87" s="35">
        <f t="shared" si="782"/>
        <v>7.1185210565775639E-3</v>
      </c>
      <c r="JF87" s="35">
        <f t="shared" si="783"/>
        <v>7.1185285064056525E-3</v>
      </c>
      <c r="JG87" s="35">
        <f t="shared" si="784"/>
        <v>7.1185247814916086E-3</v>
      </c>
      <c r="JH87" s="35">
        <f t="shared" si="785"/>
        <v>3.4415539307275367E-9</v>
      </c>
      <c r="JI87" s="35">
        <f t="shared" si="786"/>
        <v>7.1185247814916086E-3</v>
      </c>
      <c r="JJ87" s="35">
        <f t="shared" si="787"/>
        <v>7.1185285064056525E-3</v>
      </c>
      <c r="JK87" s="35">
        <f t="shared" si="788"/>
        <v>7.1185266439486306E-3</v>
      </c>
      <c r="JL87" s="35">
        <f t="shared" si="789"/>
        <v>-2.7270297908721375E-8</v>
      </c>
      <c r="JM87" s="35">
        <f t="shared" si="790"/>
        <v>7.1185247814916086E-3</v>
      </c>
      <c r="JN87" s="35">
        <f t="shared" si="791"/>
        <v>7.1185266439486306E-3</v>
      </c>
      <c r="JO87" s="35">
        <f t="shared" si="792"/>
        <v>7.1185257127201196E-3</v>
      </c>
      <c r="JP87" s="35">
        <f t="shared" si="793"/>
        <v>-1.191437160041886E-8</v>
      </c>
      <c r="JQ87" s="35">
        <f t="shared" si="794"/>
        <v>7.1185247814916086E-3</v>
      </c>
      <c r="JR87" s="35">
        <f t="shared" si="795"/>
        <v>7.1185257127201196E-3</v>
      </c>
      <c r="JS87" s="35">
        <f t="shared" si="796"/>
        <v>7.1185252471058641E-3</v>
      </c>
      <c r="JT87" s="35">
        <f t="shared" si="797"/>
        <v>-4.2364086683122082E-9</v>
      </c>
      <c r="JU87" s="35">
        <f t="shared" si="798"/>
        <v>7.1185247814916086E-3</v>
      </c>
      <c r="JV87" s="35">
        <f t="shared" si="799"/>
        <v>7.1185252471058641E-3</v>
      </c>
      <c r="JW87" s="35">
        <f t="shared" si="800"/>
        <v>7.1185250142987364E-3</v>
      </c>
      <c r="JX87" s="35">
        <f t="shared" si="801"/>
        <v>-3.9742731328118452E-10</v>
      </c>
      <c r="JY87" s="35">
        <f t="shared" si="802"/>
        <v>7.1185247814916086E-3</v>
      </c>
      <c r="JZ87" s="35">
        <f t="shared" si="803"/>
        <v>7.1185250142987364E-3</v>
      </c>
      <c r="KA87" s="35">
        <f t="shared" si="804"/>
        <v>1.0733901743544267</v>
      </c>
      <c r="KB87" s="35">
        <f t="shared" si="805"/>
        <v>7.1185248978951725E-3</v>
      </c>
    </row>
    <row r="88" spans="1:288" ht="15" customHeight="1" x14ac:dyDescent="0.3">
      <c r="A88" s="30">
        <f>Odds_Input!A88</f>
        <v>80</v>
      </c>
      <c r="B88" s="7" t="str">
        <f>Odds_Input!B88</f>
        <v>DIV_PACIFIC</v>
      </c>
      <c r="C88" s="7" t="str">
        <f>Odds_Input!C88</f>
        <v>Golden State Warriors</v>
      </c>
      <c r="D88" s="7" t="str">
        <f>Odds_Input!D88</f>
        <v>YES</v>
      </c>
      <c r="E88" s="31" t="str">
        <f>Odds_Input!E88</f>
        <v>-</v>
      </c>
      <c r="F88" s="32">
        <f>Odds_Input!F88</f>
        <v>325</v>
      </c>
      <c r="G88" s="6" t="str">
        <f t="shared" si="533"/>
        <v>DIV_PACIFIC</v>
      </c>
      <c r="H88" s="14">
        <f t="shared" si="534"/>
        <v>4.25</v>
      </c>
      <c r="I88" s="33">
        <f t="shared" si="535"/>
        <v>0.23529411764705882</v>
      </c>
      <c r="J88" s="17">
        <f t="shared" si="536"/>
        <v>1</v>
      </c>
      <c r="K88" s="17">
        <f t="shared" si="537"/>
        <v>5</v>
      </c>
      <c r="L88" s="18">
        <f t="shared" si="538"/>
        <v>1.1183220337576816</v>
      </c>
      <c r="M88" s="34">
        <f t="shared" si="539"/>
        <v>0.11832203375768158</v>
      </c>
      <c r="N88" s="33">
        <f t="shared" si="540"/>
        <v>0.21039925043455099</v>
      </c>
      <c r="O88" s="33">
        <f t="shared" si="541"/>
        <v>0.19890094009506709</v>
      </c>
      <c r="P88" s="33">
        <f t="shared" si="542"/>
        <v>0.2076000601953184</v>
      </c>
      <c r="Q88" s="33">
        <f t="shared" si="543"/>
        <v>0.2076000601953184</v>
      </c>
      <c r="R88" s="35">
        <f t="shared" si="544"/>
        <v>1.1161290892632678</v>
      </c>
      <c r="S88" s="35">
        <f t="shared" si="545"/>
        <v>3.8953388235045946E-2</v>
      </c>
      <c r="X88" s="6" t="s">
        <v>411</v>
      </c>
      <c r="Y88" s="6">
        <f t="shared" si="546"/>
        <v>1</v>
      </c>
      <c r="Z88" s="18">
        <f t="shared" si="547"/>
        <v>1.4242866879447975</v>
      </c>
      <c r="AA88" s="10">
        <v>0.2</v>
      </c>
      <c r="AB88" s="10">
        <v>10</v>
      </c>
      <c r="AC88" s="35">
        <f t="shared" si="548"/>
        <v>5.0999999999999996</v>
      </c>
      <c r="AD88" s="35">
        <f t="shared" si="549"/>
        <v>-0.99996527380260403</v>
      </c>
      <c r="AE88" s="35">
        <f t="shared" si="550"/>
        <v>0.2</v>
      </c>
      <c r="AF88" s="35">
        <f t="shared" si="551"/>
        <v>5.0999999999999996</v>
      </c>
      <c r="AG88" s="35">
        <f t="shared" si="552"/>
        <v>2.65</v>
      </c>
      <c r="AH88" s="35">
        <f t="shared" si="553"/>
        <v>-0.98459877060736833</v>
      </c>
      <c r="AI88" s="35">
        <f t="shared" si="554"/>
        <v>0.2</v>
      </c>
      <c r="AJ88" s="35">
        <f t="shared" si="555"/>
        <v>2.65</v>
      </c>
      <c r="AK88" s="35">
        <f t="shared" si="556"/>
        <v>1.425</v>
      </c>
      <c r="AL88" s="35">
        <f t="shared" si="557"/>
        <v>-0.57831273248227588</v>
      </c>
      <c r="AM88" s="35">
        <f t="shared" si="558"/>
        <v>0.2</v>
      </c>
      <c r="AN88" s="35">
        <f t="shared" si="559"/>
        <v>1.425</v>
      </c>
      <c r="AO88" s="35">
        <f t="shared" si="560"/>
        <v>0.8125</v>
      </c>
      <c r="AP88" s="35">
        <f t="shared" si="561"/>
        <v>1.4705934505070641</v>
      </c>
      <c r="AQ88" s="35">
        <f t="shared" si="562"/>
        <v>0.8125</v>
      </c>
      <c r="AR88" s="35">
        <f t="shared" si="563"/>
        <v>1.425</v>
      </c>
      <c r="AS88" s="35">
        <f t="shared" si="564"/>
        <v>1.1187499999999999</v>
      </c>
      <c r="AT88" s="35">
        <f t="shared" si="565"/>
        <v>9.384874158612222E-3</v>
      </c>
      <c r="AU88" s="35">
        <f t="shared" si="566"/>
        <v>1.1187499999999999</v>
      </c>
      <c r="AV88" s="35">
        <f t="shared" si="567"/>
        <v>1.425</v>
      </c>
      <c r="AW88" s="35">
        <f t="shared" si="568"/>
        <v>1.2718750000000001</v>
      </c>
      <c r="AX88" s="35">
        <f t="shared" si="569"/>
        <v>-0.34931698582931947</v>
      </c>
      <c r="AY88" s="35">
        <f t="shared" si="570"/>
        <v>1.1187499999999999</v>
      </c>
      <c r="AZ88" s="35">
        <f t="shared" si="571"/>
        <v>1.2718750000000001</v>
      </c>
      <c r="BA88" s="35">
        <f t="shared" si="572"/>
        <v>1.1953125</v>
      </c>
      <c r="BB88" s="35">
        <f t="shared" si="573"/>
        <v>-0.19012586647458452</v>
      </c>
      <c r="BC88" s="35">
        <f t="shared" si="574"/>
        <v>1.1187499999999999</v>
      </c>
      <c r="BD88" s="35">
        <f t="shared" si="575"/>
        <v>1.1953125</v>
      </c>
      <c r="BE88" s="35">
        <f t="shared" si="576"/>
        <v>1.15703125</v>
      </c>
      <c r="BF88" s="35">
        <f t="shared" si="577"/>
        <v>-9.6012584614111218E-2</v>
      </c>
      <c r="BG88" s="35">
        <f t="shared" si="578"/>
        <v>1.1187499999999999</v>
      </c>
      <c r="BH88" s="35">
        <f t="shared" si="579"/>
        <v>1.15703125</v>
      </c>
      <c r="BI88" s="35">
        <f t="shared" si="580"/>
        <v>1.1378906249999998</v>
      </c>
      <c r="BJ88" s="35">
        <f t="shared" si="581"/>
        <v>-4.4807759570464567E-2</v>
      </c>
      <c r="BK88" s="35">
        <f t="shared" si="582"/>
        <v>1.1187499999999999</v>
      </c>
      <c r="BL88" s="35">
        <f t="shared" si="583"/>
        <v>1.1378906249999998</v>
      </c>
      <c r="BM88" s="35">
        <f t="shared" si="584"/>
        <v>1.1283203124999999</v>
      </c>
      <c r="BN88" s="35">
        <f t="shared" si="585"/>
        <v>-1.8095896806663347E-2</v>
      </c>
      <c r="BO88" s="35">
        <f t="shared" si="586"/>
        <v>1.1187499999999999</v>
      </c>
      <c r="BP88" s="35">
        <f t="shared" si="587"/>
        <v>1.1283203124999999</v>
      </c>
      <c r="BQ88" s="35">
        <f t="shared" si="588"/>
        <v>1.12353515625</v>
      </c>
      <c r="BR88" s="35">
        <f t="shared" si="589"/>
        <v>-4.4530334296256635E-3</v>
      </c>
      <c r="BS88" s="35">
        <f t="shared" si="590"/>
        <v>1.1187499999999999</v>
      </c>
      <c r="BT88" s="35">
        <f t="shared" si="591"/>
        <v>1.12353515625</v>
      </c>
      <c r="BU88" s="35">
        <f t="shared" si="592"/>
        <v>1.121142578125</v>
      </c>
      <c r="BV88" s="35">
        <f t="shared" si="593"/>
        <v>2.4413614420857321E-3</v>
      </c>
      <c r="BW88" s="35">
        <f t="shared" si="594"/>
        <v>1.121142578125</v>
      </c>
      <c r="BX88" s="35">
        <f t="shared" si="595"/>
        <v>1.12353515625</v>
      </c>
      <c r="BY88" s="35">
        <f t="shared" si="596"/>
        <v>1.1223388671875001</v>
      </c>
      <c r="BZ88" s="35">
        <f t="shared" si="597"/>
        <v>-1.0119533201019548E-3</v>
      </c>
      <c r="CA88" s="35">
        <f t="shared" si="598"/>
        <v>1.121142578125</v>
      </c>
      <c r="CB88" s="35">
        <f t="shared" si="599"/>
        <v>1.1223388671875001</v>
      </c>
      <c r="CC88" s="35">
        <f t="shared" si="600"/>
        <v>1.1217407226562499</v>
      </c>
      <c r="CD88" s="35">
        <f t="shared" si="601"/>
        <v>7.131719354516175E-4</v>
      </c>
      <c r="CE88" s="35">
        <f t="shared" si="602"/>
        <v>1.1217407226562499</v>
      </c>
      <c r="CF88" s="35">
        <f t="shared" si="603"/>
        <v>1.1223388671875001</v>
      </c>
      <c r="CG88" s="35">
        <f t="shared" si="604"/>
        <v>1.122039794921875</v>
      </c>
      <c r="CH88" s="35">
        <f t="shared" si="605"/>
        <v>-1.4977337405575053E-4</v>
      </c>
      <c r="CI88" s="35">
        <f t="shared" si="606"/>
        <v>1.1217407226562499</v>
      </c>
      <c r="CJ88" s="35">
        <f t="shared" si="607"/>
        <v>1.122039794921875</v>
      </c>
      <c r="CK88" s="35">
        <f t="shared" si="608"/>
        <v>1.1218902587890625</v>
      </c>
      <c r="CL88" s="35">
        <f t="shared" si="609"/>
        <v>2.8160356658402108E-4</v>
      </c>
      <c r="CM88" s="35">
        <f t="shared" si="610"/>
        <v>1.1218902587890625</v>
      </c>
      <c r="CN88" s="35">
        <f t="shared" si="611"/>
        <v>1.122039794921875</v>
      </c>
      <c r="CO88" s="35">
        <f t="shared" si="612"/>
        <v>1.1219650268554688</v>
      </c>
      <c r="CP88" s="35">
        <f t="shared" si="613"/>
        <v>6.5891173197218933E-5</v>
      </c>
      <c r="CQ88" s="35">
        <f t="shared" si="614"/>
        <v>1.1219650268554688</v>
      </c>
      <c r="CR88" s="35">
        <f t="shared" si="615"/>
        <v>1.122039794921875</v>
      </c>
      <c r="CS88" s="35">
        <f t="shared" si="616"/>
        <v>1.1220024108886719</v>
      </c>
      <c r="CT88" s="35">
        <f t="shared" si="617"/>
        <v>-4.1947080513082824E-5</v>
      </c>
      <c r="CU88" s="35">
        <f t="shared" si="618"/>
        <v>1.1219650268554688</v>
      </c>
      <c r="CV88" s="35">
        <f t="shared" si="619"/>
        <v>1.1220024108886719</v>
      </c>
      <c r="CW88" s="35">
        <f t="shared" si="620"/>
        <v>1.1219837188720705</v>
      </c>
      <c r="CX88" s="35">
        <f t="shared" si="621"/>
        <v>1.1970551234918858E-5</v>
      </c>
      <c r="CY88" s="35">
        <f t="shared" si="622"/>
        <v>1.1219837188720705</v>
      </c>
      <c r="CZ88" s="35">
        <f t="shared" si="623"/>
        <v>1.1220024108886719</v>
      </c>
      <c r="DA88" s="35">
        <f t="shared" si="624"/>
        <v>1.1219930648803711</v>
      </c>
      <c r="DB88" s="35">
        <f t="shared" si="625"/>
        <v>-1.4988638404656029E-5</v>
      </c>
      <c r="DC88" s="35">
        <f t="shared" si="626"/>
        <v>1.1219837188720705</v>
      </c>
      <c r="DD88" s="35">
        <f t="shared" si="627"/>
        <v>1.1219930648803711</v>
      </c>
      <c r="DE88" s="35">
        <f t="shared" si="628"/>
        <v>1.1219883918762208</v>
      </c>
      <c r="DF88" s="35">
        <f t="shared" si="629"/>
        <v>-1.5091370275666094E-6</v>
      </c>
      <c r="DG88" s="35">
        <f t="shared" si="630"/>
        <v>1.1219837188720705</v>
      </c>
      <c r="DH88" s="35">
        <f t="shared" si="631"/>
        <v>1.1219883918762208</v>
      </c>
      <c r="DI88" s="35">
        <f t="shared" si="632"/>
        <v>1.1219860553741456</v>
      </c>
      <c r="DJ88" s="35">
        <f t="shared" si="633"/>
        <v>5.2306837432514186E-6</v>
      </c>
      <c r="DK88" s="35">
        <f t="shared" si="634"/>
        <v>1.1219860553741456</v>
      </c>
      <c r="DL88" s="35">
        <f t="shared" si="635"/>
        <v>1.1219883918762208</v>
      </c>
      <c r="DM88" s="35">
        <f t="shared" si="636"/>
        <v>1.1219872236251831</v>
      </c>
      <c r="DN88" s="35">
        <f t="shared" si="637"/>
        <v>1.8607675178472505E-6</v>
      </c>
      <c r="DO88" s="35">
        <f t="shared" si="638"/>
        <v>1.1219872236251831</v>
      </c>
      <c r="DP88" s="35">
        <f t="shared" si="639"/>
        <v>1.1219883918762208</v>
      </c>
      <c r="DQ88" s="35">
        <f t="shared" si="640"/>
        <v>1.1219878077507019</v>
      </c>
      <c r="DR88" s="35">
        <f t="shared" si="641"/>
        <v>1.7581378530806546E-7</v>
      </c>
      <c r="DS88" s="35">
        <f t="shared" si="642"/>
        <v>1.1219878077507019</v>
      </c>
      <c r="DT88" s="35">
        <f t="shared" si="643"/>
        <v>1.1219883918762208</v>
      </c>
      <c r="DU88" s="35">
        <f t="shared" si="644"/>
        <v>1.1219880998134615</v>
      </c>
      <c r="DV88" s="35">
        <f t="shared" si="645"/>
        <v>-6.6666198639264707E-7</v>
      </c>
      <c r="DW88" s="35">
        <f t="shared" si="646"/>
        <v>1.1219878077507019</v>
      </c>
      <c r="DX88" s="35">
        <f t="shared" si="647"/>
        <v>1.1219880998134615</v>
      </c>
      <c r="DY88" s="35">
        <f t="shared" si="648"/>
        <v>1.1219879537820816</v>
      </c>
      <c r="DZ88" s="35">
        <f t="shared" si="649"/>
        <v>-2.4542419163608997E-7</v>
      </c>
      <c r="EA88" s="35">
        <f t="shared" si="650"/>
        <v>1.1219878077507019</v>
      </c>
      <c r="EB88" s="35">
        <f t="shared" si="651"/>
        <v>1.1219879537820816</v>
      </c>
      <c r="EC88" s="35">
        <f t="shared" si="652"/>
        <v>1.1219878807663917</v>
      </c>
      <c r="ED88" s="35">
        <f t="shared" si="653"/>
        <v>-3.4805225701539655E-8</v>
      </c>
      <c r="EE88" s="35">
        <f t="shared" si="654"/>
        <v>1.1219878077507019</v>
      </c>
      <c r="EF88" s="35">
        <f t="shared" si="655"/>
        <v>1.1219878807663917</v>
      </c>
      <c r="EG88" s="35">
        <f t="shared" si="656"/>
        <v>1.1219878442585469</v>
      </c>
      <c r="EH88" s="35">
        <f t="shared" si="657"/>
        <v>7.0504274196636629E-8</v>
      </c>
      <c r="EI88" s="35">
        <f t="shared" si="658"/>
        <v>1.1219878442585469</v>
      </c>
      <c r="EJ88" s="35">
        <f t="shared" si="659"/>
        <v>1.1219878807663917</v>
      </c>
      <c r="EK88" s="35">
        <f t="shared" si="660"/>
        <v>1.1219878625124693</v>
      </c>
      <c r="EL88" s="35">
        <f t="shared" si="661"/>
        <v>1.7849522748747404E-8</v>
      </c>
      <c r="EM88" s="35">
        <f t="shared" si="662"/>
        <v>1.1219878625124693</v>
      </c>
      <c r="EN88" s="35">
        <f t="shared" si="663"/>
        <v>1.1219878807663917</v>
      </c>
      <c r="EO88" s="35">
        <f t="shared" si="664"/>
        <v>1.1219878716394305</v>
      </c>
      <c r="EP88" s="35">
        <f t="shared" si="665"/>
        <v>-8.4778517539518816E-9</v>
      </c>
      <c r="EQ88" s="35">
        <f t="shared" si="666"/>
        <v>1.1219878625124693</v>
      </c>
      <c r="ER88" s="35">
        <f t="shared" si="667"/>
        <v>1.1219878716394305</v>
      </c>
      <c r="ES88" s="35">
        <f t="shared" si="668"/>
        <v>1.12198786707595</v>
      </c>
      <c r="ET88" s="35">
        <f t="shared" si="669"/>
        <v>4.6858354973977612E-9</v>
      </c>
      <c r="EU88" s="35">
        <f t="shared" si="670"/>
        <v>1.12198786707595</v>
      </c>
      <c r="EV88" s="35">
        <f t="shared" si="671"/>
        <v>1.1219878716394305</v>
      </c>
      <c r="EW88" s="35">
        <f t="shared" si="672"/>
        <v>1.1219878693576901</v>
      </c>
      <c r="EX88" s="35">
        <f t="shared" si="673"/>
        <v>-1.8960080172547578E-9</v>
      </c>
      <c r="EY88" s="35">
        <f t="shared" si="674"/>
        <v>1.12198786707595</v>
      </c>
      <c r="EZ88" s="35">
        <f t="shared" si="675"/>
        <v>1.1219878693576901</v>
      </c>
      <c r="FA88" s="10">
        <v>9.9999999999999995E-7</v>
      </c>
      <c r="FB88" s="10">
        <v>0.99990000000000001</v>
      </c>
      <c r="FC88" s="35">
        <f t="shared" si="676"/>
        <v>0.49995050000000002</v>
      </c>
      <c r="FD88" s="35">
        <f t="shared" si="677"/>
        <v>-0.87970874222590312</v>
      </c>
      <c r="FE88" s="35">
        <f t="shared" si="678"/>
        <v>9.9999999999999995E-7</v>
      </c>
      <c r="FF88" s="35">
        <f t="shared" si="679"/>
        <v>0.49995050000000002</v>
      </c>
      <c r="FG88" s="35">
        <f t="shared" si="680"/>
        <v>0.24997575</v>
      </c>
      <c r="FH88" s="35">
        <f t="shared" si="681"/>
        <v>-0.76806929393565393</v>
      </c>
      <c r="FI88" s="35">
        <f t="shared" si="682"/>
        <v>9.9999999999999995E-7</v>
      </c>
      <c r="FJ88" s="35">
        <f t="shared" si="683"/>
        <v>0.24997575</v>
      </c>
      <c r="FK88" s="35">
        <f t="shared" si="684"/>
        <v>0.124988375</v>
      </c>
      <c r="FL88" s="35">
        <f t="shared" si="685"/>
        <v>-0.58784422221546806</v>
      </c>
      <c r="FM88" s="35">
        <f t="shared" si="686"/>
        <v>9.9999999999999995E-7</v>
      </c>
      <c r="FN88" s="35">
        <f t="shared" si="687"/>
        <v>0.124988375</v>
      </c>
      <c r="FO88" s="35">
        <f t="shared" si="688"/>
        <v>6.24946875E-2</v>
      </c>
      <c r="FP88" s="35">
        <f t="shared" si="689"/>
        <v>-0.36386762973799569</v>
      </c>
      <c r="FQ88" s="35">
        <f t="shared" si="690"/>
        <v>9.9999999999999995E-7</v>
      </c>
      <c r="FR88" s="35">
        <f t="shared" si="691"/>
        <v>6.24946875E-2</v>
      </c>
      <c r="FS88" s="35">
        <f t="shared" si="692"/>
        <v>3.124784375E-2</v>
      </c>
      <c r="FT88" s="35">
        <f t="shared" si="693"/>
        <v>-0.15581441005853069</v>
      </c>
      <c r="FU88" s="35">
        <f t="shared" si="694"/>
        <v>9.9999999999999995E-7</v>
      </c>
      <c r="FV88" s="35">
        <f t="shared" si="695"/>
        <v>3.124784375E-2</v>
      </c>
      <c r="FW88" s="35">
        <f t="shared" si="696"/>
        <v>1.5624421875000001E-2</v>
      </c>
      <c r="FX88" s="35">
        <f t="shared" si="697"/>
        <v>-4.6893222275983248E-3</v>
      </c>
      <c r="FY88" s="35">
        <f t="shared" si="698"/>
        <v>9.9999999999999995E-7</v>
      </c>
      <c r="FZ88" s="35">
        <f t="shared" si="699"/>
        <v>1.5624421875000001E-2</v>
      </c>
      <c r="GA88" s="35">
        <f t="shared" si="700"/>
        <v>7.8127109375E-3</v>
      </c>
      <c r="GB88" s="35">
        <f t="shared" si="701"/>
        <v>8.775632725516691E-2</v>
      </c>
      <c r="GC88" s="35">
        <f t="shared" si="702"/>
        <v>7.8127109375E-3</v>
      </c>
      <c r="GD88" s="35">
        <f t="shared" si="703"/>
        <v>1.5624421875000001E-2</v>
      </c>
      <c r="GE88" s="35">
        <f t="shared" si="704"/>
        <v>1.171856640625E-2</v>
      </c>
      <c r="GF88" s="35">
        <f t="shared" si="705"/>
        <v>3.9954829033765904E-2</v>
      </c>
      <c r="GG88" s="35">
        <f t="shared" si="706"/>
        <v>1.171856640625E-2</v>
      </c>
      <c r="GH88" s="35">
        <f t="shared" si="707"/>
        <v>1.5624421875000001E-2</v>
      </c>
      <c r="GI88" s="35">
        <f t="shared" si="708"/>
        <v>1.3671494140625001E-2</v>
      </c>
      <c r="GJ88" s="35">
        <f t="shared" si="709"/>
        <v>1.725015734959312E-2</v>
      </c>
      <c r="GK88" s="35">
        <f t="shared" si="710"/>
        <v>1.3671494140625001E-2</v>
      </c>
      <c r="GL88" s="35">
        <f t="shared" si="711"/>
        <v>1.5624421875000001E-2</v>
      </c>
      <c r="GM88" s="35">
        <f t="shared" si="712"/>
        <v>1.46479580078125E-2</v>
      </c>
      <c r="GN88" s="35">
        <f t="shared" si="713"/>
        <v>6.1863731033628966E-3</v>
      </c>
      <c r="GO88" s="35">
        <f t="shared" si="714"/>
        <v>1.46479580078125E-2</v>
      </c>
      <c r="GP88" s="35">
        <f t="shared" si="715"/>
        <v>1.5624421875000001E-2</v>
      </c>
      <c r="GQ88" s="35">
        <f t="shared" si="716"/>
        <v>1.5136189941406249E-2</v>
      </c>
      <c r="GR88" s="35">
        <f t="shared" si="717"/>
        <v>7.2521873283348803E-4</v>
      </c>
      <c r="GS88" s="35">
        <f t="shared" si="718"/>
        <v>1.5136189941406249E-2</v>
      </c>
      <c r="GT88" s="35">
        <f t="shared" si="719"/>
        <v>1.5624421875000001E-2</v>
      </c>
      <c r="GU88" s="35">
        <f t="shared" si="720"/>
        <v>1.5380305908203124E-2</v>
      </c>
      <c r="GV88" s="35">
        <f t="shared" si="721"/>
        <v>-1.9878526893577497E-3</v>
      </c>
      <c r="GW88" s="35">
        <f t="shared" si="722"/>
        <v>1.5136189941406249E-2</v>
      </c>
      <c r="GX88" s="35">
        <f t="shared" si="723"/>
        <v>1.5380305908203124E-2</v>
      </c>
      <c r="GY88" s="35">
        <f t="shared" si="724"/>
        <v>1.5258247924804687E-2</v>
      </c>
      <c r="GZ88" s="35">
        <f t="shared" si="725"/>
        <v>-6.3277043770249009E-4</v>
      </c>
      <c r="HA88" s="35">
        <f t="shared" si="726"/>
        <v>1.5136189941406249E-2</v>
      </c>
      <c r="HB88" s="35">
        <f t="shared" si="727"/>
        <v>1.5258247924804687E-2</v>
      </c>
      <c r="HC88" s="35">
        <f t="shared" si="728"/>
        <v>1.5197218933105468E-2</v>
      </c>
      <c r="HD88" s="35">
        <f t="shared" si="729"/>
        <v>4.5860380308626603E-5</v>
      </c>
      <c r="HE88" s="35">
        <f t="shared" si="730"/>
        <v>1.5197218933105468E-2</v>
      </c>
      <c r="HF88" s="35">
        <f t="shared" si="731"/>
        <v>1.5258247924804687E-2</v>
      </c>
      <c r="HG88" s="35">
        <f t="shared" si="732"/>
        <v>1.5227733428955077E-2</v>
      </c>
      <c r="HH88" s="35">
        <f t="shared" si="733"/>
        <v>-2.9354592023933535E-4</v>
      </c>
      <c r="HI88" s="35">
        <f t="shared" si="734"/>
        <v>1.5197218933105468E-2</v>
      </c>
      <c r="HJ88" s="35">
        <f t="shared" si="735"/>
        <v>1.5227733428955077E-2</v>
      </c>
      <c r="HK88" s="35">
        <f t="shared" si="736"/>
        <v>1.5212476181030273E-2</v>
      </c>
      <c r="HL88" s="35">
        <f t="shared" si="737"/>
        <v>-1.2386549913590006E-4</v>
      </c>
      <c r="HM88" s="35">
        <f t="shared" si="738"/>
        <v>1.5197218933105468E-2</v>
      </c>
      <c r="HN88" s="35">
        <f t="shared" si="739"/>
        <v>1.5212476181030273E-2</v>
      </c>
      <c r="HO88" s="35">
        <f t="shared" si="740"/>
        <v>1.5204847557067871E-2</v>
      </c>
      <c r="HP88" s="35">
        <f t="shared" si="741"/>
        <v>-3.9008242491478384E-5</v>
      </c>
      <c r="HQ88" s="35">
        <f t="shared" si="742"/>
        <v>1.5197218933105468E-2</v>
      </c>
      <c r="HR88" s="35">
        <f t="shared" si="743"/>
        <v>1.5204847557067871E-2</v>
      </c>
      <c r="HS88" s="35">
        <f t="shared" si="744"/>
        <v>1.5201033245086669E-2</v>
      </c>
      <c r="HT88" s="35">
        <f t="shared" si="745"/>
        <v>3.4246480404842572E-6</v>
      </c>
      <c r="HU88" s="35">
        <f t="shared" si="746"/>
        <v>1.5201033245086669E-2</v>
      </c>
      <c r="HV88" s="35">
        <f t="shared" si="747"/>
        <v>1.5204847557067871E-2</v>
      </c>
      <c r="HW88" s="35">
        <f t="shared" si="748"/>
        <v>1.520294040107727E-2</v>
      </c>
      <c r="HX88" s="35">
        <f t="shared" si="749"/>
        <v>-1.7792152430473607E-5</v>
      </c>
      <c r="HY88" s="35">
        <f t="shared" si="750"/>
        <v>1.5201033245086669E-2</v>
      </c>
      <c r="HZ88" s="35">
        <f t="shared" si="751"/>
        <v>1.520294040107727E-2</v>
      </c>
      <c r="IA88" s="35">
        <f t="shared" si="752"/>
        <v>1.520198682308197E-2</v>
      </c>
      <c r="IB88" s="35">
        <f t="shared" si="753"/>
        <v>-7.1838409977376116E-6</v>
      </c>
      <c r="IC88" s="35">
        <f t="shared" si="754"/>
        <v>1.5201033245086669E-2</v>
      </c>
      <c r="ID88" s="35">
        <f t="shared" si="755"/>
        <v>1.520198682308197E-2</v>
      </c>
      <c r="IE88" s="35">
        <f t="shared" si="756"/>
        <v>1.520151003408432E-2</v>
      </c>
      <c r="IF88" s="35">
        <f t="shared" si="757"/>
        <v>-1.8796186784797442E-6</v>
      </c>
      <c r="IG88" s="35">
        <f t="shared" si="758"/>
        <v>1.5201033245086669E-2</v>
      </c>
      <c r="IH88" s="35">
        <f t="shared" si="759"/>
        <v>1.520151003408432E-2</v>
      </c>
      <c r="II88" s="35">
        <f t="shared" si="760"/>
        <v>1.5201271639585495E-2</v>
      </c>
      <c r="IJ88" s="35">
        <f t="shared" si="761"/>
        <v>7.7250913088633411E-7</v>
      </c>
      <c r="IK88" s="35">
        <f t="shared" si="762"/>
        <v>1.5201271639585495E-2</v>
      </c>
      <c r="IL88" s="35">
        <f t="shared" si="763"/>
        <v>1.520151003408432E-2</v>
      </c>
      <c r="IM88" s="35">
        <f t="shared" si="764"/>
        <v>1.5201390836834907E-2</v>
      </c>
      <c r="IN88" s="35">
        <f t="shared" si="765"/>
        <v>-5.5355616201957503E-7</v>
      </c>
      <c r="IO88" s="35">
        <f t="shared" si="766"/>
        <v>1.5201271639585495E-2</v>
      </c>
      <c r="IP88" s="35">
        <f t="shared" si="767"/>
        <v>1.5201390836834907E-2</v>
      </c>
      <c r="IQ88" s="35">
        <f t="shared" si="768"/>
        <v>1.52013312382102E-2</v>
      </c>
      <c r="IR88" s="35">
        <f t="shared" si="769"/>
        <v>1.0947613771072895E-7</v>
      </c>
      <c r="IS88" s="35">
        <f t="shared" si="770"/>
        <v>1.52013312382102E-2</v>
      </c>
      <c r="IT88" s="35">
        <f t="shared" si="771"/>
        <v>1.5201390836834907E-2</v>
      </c>
      <c r="IU88" s="35">
        <f t="shared" si="772"/>
        <v>1.5201361037522555E-2</v>
      </c>
      <c r="IV88" s="35">
        <f t="shared" si="773"/>
        <v>-2.2204009886284126E-7</v>
      </c>
      <c r="IW88" s="35">
        <f t="shared" si="774"/>
        <v>1.52013312382102E-2</v>
      </c>
      <c r="IX88" s="35">
        <f t="shared" si="775"/>
        <v>1.5201361037522555E-2</v>
      </c>
      <c r="IY88" s="35">
        <f t="shared" si="776"/>
        <v>1.5201346137866377E-2</v>
      </c>
      <c r="IZ88" s="35">
        <f t="shared" si="777"/>
        <v>-5.6282001836827078E-8</v>
      </c>
      <c r="JA88" s="35">
        <f t="shared" si="778"/>
        <v>1.52013312382102E-2</v>
      </c>
      <c r="JB88" s="35">
        <f t="shared" si="779"/>
        <v>1.5201346137866377E-2</v>
      </c>
      <c r="JC88" s="35">
        <f t="shared" si="780"/>
        <v>1.5201338688038288E-2</v>
      </c>
      <c r="JD88" s="35">
        <f t="shared" si="781"/>
        <v>2.6597062552369266E-8</v>
      </c>
      <c r="JE88" s="35">
        <f t="shared" si="782"/>
        <v>1.5201338688038288E-2</v>
      </c>
      <c r="JF88" s="35">
        <f t="shared" si="783"/>
        <v>1.5201346137866377E-2</v>
      </c>
      <c r="JG88" s="35">
        <f t="shared" si="784"/>
        <v>1.5201342412952332E-2</v>
      </c>
      <c r="JH88" s="35">
        <f t="shared" si="785"/>
        <v>-1.4842471474096897E-8</v>
      </c>
      <c r="JI88" s="35">
        <f t="shared" si="786"/>
        <v>1.5201338688038288E-2</v>
      </c>
      <c r="JJ88" s="35">
        <f t="shared" si="787"/>
        <v>1.5201342412952332E-2</v>
      </c>
      <c r="JK88" s="35">
        <f t="shared" si="788"/>
        <v>1.520134055049531E-2</v>
      </c>
      <c r="JL88" s="35">
        <f t="shared" si="789"/>
        <v>5.877294650957765E-9</v>
      </c>
      <c r="JM88" s="35">
        <f t="shared" si="790"/>
        <v>1.520134055049531E-2</v>
      </c>
      <c r="JN88" s="35">
        <f t="shared" si="791"/>
        <v>1.5201342412952332E-2</v>
      </c>
      <c r="JO88" s="35">
        <f t="shared" si="792"/>
        <v>1.5201341481723821E-2</v>
      </c>
      <c r="JP88" s="35">
        <f t="shared" si="793"/>
        <v>-4.4825888556587756E-9</v>
      </c>
      <c r="JQ88" s="35">
        <f t="shared" si="794"/>
        <v>1.520134055049531E-2</v>
      </c>
      <c r="JR88" s="35">
        <f t="shared" si="795"/>
        <v>1.5201341481723821E-2</v>
      </c>
      <c r="JS88" s="35">
        <f t="shared" si="796"/>
        <v>1.5201341016109565E-2</v>
      </c>
      <c r="JT88" s="35">
        <f t="shared" si="797"/>
        <v>6.9735328622755333E-10</v>
      </c>
      <c r="JU88" s="35">
        <f t="shared" si="798"/>
        <v>1.5201341016109565E-2</v>
      </c>
      <c r="JV88" s="35">
        <f t="shared" si="799"/>
        <v>1.5201341481723821E-2</v>
      </c>
      <c r="JW88" s="35">
        <f t="shared" si="800"/>
        <v>1.5201341248916693E-2</v>
      </c>
      <c r="JX88" s="35">
        <f t="shared" si="801"/>
        <v>-1.8926172851152501E-9</v>
      </c>
      <c r="JY88" s="35">
        <f t="shared" si="802"/>
        <v>1.5201341016109565E-2</v>
      </c>
      <c r="JZ88" s="35">
        <f t="shared" si="803"/>
        <v>1.5201341248916693E-2</v>
      </c>
      <c r="KA88" s="35">
        <f t="shared" si="804"/>
        <v>1.1219878682168201</v>
      </c>
      <c r="KB88" s="35">
        <f t="shared" si="805"/>
        <v>1.5201341132513129E-2</v>
      </c>
    </row>
    <row r="89" spans="1:288" ht="15" customHeight="1" x14ac:dyDescent="0.3">
      <c r="A89" s="30">
        <f>Odds_Input!A89</f>
        <v>81</v>
      </c>
      <c r="B89" s="7" t="str">
        <f>Odds_Input!B89</f>
        <v>DIV_PACIFIC</v>
      </c>
      <c r="C89" s="7" t="str">
        <f>Odds_Input!C89</f>
        <v>Los Angeles Clippers</v>
      </c>
      <c r="D89" s="7" t="str">
        <f>Odds_Input!D89</f>
        <v>YES</v>
      </c>
      <c r="E89" s="31" t="str">
        <f>Odds_Input!E89</f>
        <v>-</v>
      </c>
      <c r="F89" s="32">
        <f>Odds_Input!F89</f>
        <v>2350</v>
      </c>
      <c r="G89" s="6" t="str">
        <f t="shared" si="533"/>
        <v>DIV_PACIFIC</v>
      </c>
      <c r="H89" s="14">
        <f t="shared" si="534"/>
        <v>24.5</v>
      </c>
      <c r="I89" s="33">
        <f t="shared" si="535"/>
        <v>4.0816326530612242E-2</v>
      </c>
      <c r="J89" s="17">
        <f t="shared" si="536"/>
        <v>1</v>
      </c>
      <c r="K89" s="17">
        <f t="shared" si="537"/>
        <v>5</v>
      </c>
      <c r="L89" s="18">
        <f t="shared" si="538"/>
        <v>1.1183220337576816</v>
      </c>
      <c r="M89" s="34">
        <f t="shared" si="539"/>
        <v>0.11832203375768158</v>
      </c>
      <c r="N89" s="33">
        <f t="shared" si="540"/>
        <v>3.6497829157013946E-2</v>
      </c>
      <c r="O89" s="33">
        <f t="shared" si="541"/>
        <v>2.8152134156426686E-2</v>
      </c>
      <c r="P89" s="33">
        <f t="shared" si="542"/>
        <v>2.4014843452650269E-2</v>
      </c>
      <c r="Q89" s="33">
        <f t="shared" si="543"/>
        <v>2.4014843452650269E-2</v>
      </c>
      <c r="R89" s="35">
        <f t="shared" si="544"/>
        <v>1.1161290892632678</v>
      </c>
      <c r="S89" s="35">
        <f t="shared" si="545"/>
        <v>3.8953388235045946E-2</v>
      </c>
      <c r="X89" s="6" t="s">
        <v>442</v>
      </c>
      <c r="Y89" s="6">
        <f t="shared" si="546"/>
        <v>1</v>
      </c>
      <c r="Z89" s="18">
        <f t="shared" si="547"/>
        <v>1.0260590881525793</v>
      </c>
      <c r="AA89" s="10">
        <v>0.2</v>
      </c>
      <c r="AB89" s="10">
        <v>10</v>
      </c>
      <c r="AC89" s="35">
        <f t="shared" si="548"/>
        <v>5.0999999999999996</v>
      </c>
      <c r="AD89" s="35">
        <f t="shared" si="549"/>
        <v>-0.99994977645458616</v>
      </c>
      <c r="AE89" s="35">
        <f t="shared" si="550"/>
        <v>0.2</v>
      </c>
      <c r="AF89" s="35">
        <f t="shared" si="551"/>
        <v>5.0999999999999996</v>
      </c>
      <c r="AG89" s="35">
        <f t="shared" si="552"/>
        <v>2.65</v>
      </c>
      <c r="AH89" s="35">
        <f t="shared" si="553"/>
        <v>-0.98569989396672952</v>
      </c>
      <c r="AI89" s="35">
        <f t="shared" si="554"/>
        <v>0.2</v>
      </c>
      <c r="AJ89" s="35">
        <f t="shared" si="555"/>
        <v>2.65</v>
      </c>
      <c r="AK89" s="35">
        <f t="shared" si="556"/>
        <v>1.425</v>
      </c>
      <c r="AL89" s="35">
        <f t="shared" si="557"/>
        <v>-0.67918060505172839</v>
      </c>
      <c r="AM89" s="35">
        <f t="shared" si="558"/>
        <v>0.2</v>
      </c>
      <c r="AN89" s="35">
        <f t="shared" si="559"/>
        <v>1.425</v>
      </c>
      <c r="AO89" s="35">
        <f t="shared" si="560"/>
        <v>0.8125</v>
      </c>
      <c r="AP89" s="35">
        <f t="shared" si="561"/>
        <v>0.74401015902568846</v>
      </c>
      <c r="AQ89" s="35">
        <f t="shared" si="562"/>
        <v>0.8125</v>
      </c>
      <c r="AR89" s="35">
        <f t="shared" si="563"/>
        <v>1.425</v>
      </c>
      <c r="AS89" s="35">
        <f t="shared" si="564"/>
        <v>1.1187499999999999</v>
      </c>
      <c r="AT89" s="35">
        <f t="shared" si="565"/>
        <v>-0.26249183647509122</v>
      </c>
      <c r="AU89" s="35">
        <f t="shared" si="566"/>
        <v>0.8125</v>
      </c>
      <c r="AV89" s="35">
        <f t="shared" si="567"/>
        <v>1.1187499999999999</v>
      </c>
      <c r="AW89" s="35">
        <f t="shared" si="568"/>
        <v>0.96562499999999996</v>
      </c>
      <c r="AX89" s="35">
        <f t="shared" si="569"/>
        <v>0.12990094644145866</v>
      </c>
      <c r="AY89" s="35">
        <f t="shared" si="570"/>
        <v>0.96562499999999996</v>
      </c>
      <c r="AZ89" s="35">
        <f t="shared" si="571"/>
        <v>1.1187499999999999</v>
      </c>
      <c r="BA89" s="35">
        <f t="shared" si="572"/>
        <v>1.0421874999999998</v>
      </c>
      <c r="BB89" s="35">
        <f t="shared" si="573"/>
        <v>-8.7969909182641137E-2</v>
      </c>
      <c r="BC89" s="35">
        <f t="shared" si="574"/>
        <v>0.96562499999999996</v>
      </c>
      <c r="BD89" s="35">
        <f t="shared" si="575"/>
        <v>1.0421874999999998</v>
      </c>
      <c r="BE89" s="35">
        <f t="shared" si="576"/>
        <v>1.00390625</v>
      </c>
      <c r="BF89" s="35">
        <f t="shared" si="577"/>
        <v>1.4903811882705176E-2</v>
      </c>
      <c r="BG89" s="35">
        <f t="shared" si="578"/>
        <v>1.00390625</v>
      </c>
      <c r="BH89" s="35">
        <f t="shared" si="579"/>
        <v>1.0421874999999998</v>
      </c>
      <c r="BI89" s="35">
        <f t="shared" si="580"/>
        <v>1.0230468749999999</v>
      </c>
      <c r="BJ89" s="35">
        <f t="shared" si="581"/>
        <v>-3.7962033261652151E-2</v>
      </c>
      <c r="BK89" s="35">
        <f t="shared" si="582"/>
        <v>1.00390625</v>
      </c>
      <c r="BL89" s="35">
        <f t="shared" si="583"/>
        <v>1.0230468749999999</v>
      </c>
      <c r="BM89" s="35">
        <f t="shared" si="584"/>
        <v>1.0134765625</v>
      </c>
      <c r="BN89" s="35">
        <f t="shared" si="585"/>
        <v>-1.1896757531759228E-2</v>
      </c>
      <c r="BO89" s="35">
        <f t="shared" si="586"/>
        <v>1.00390625</v>
      </c>
      <c r="BP89" s="35">
        <f t="shared" si="587"/>
        <v>1.0134765625</v>
      </c>
      <c r="BQ89" s="35">
        <f t="shared" si="588"/>
        <v>1.0086914062500001</v>
      </c>
      <c r="BR89" s="35">
        <f t="shared" si="589"/>
        <v>1.410280970506772E-3</v>
      </c>
      <c r="BS89" s="35">
        <f t="shared" si="590"/>
        <v>1.0086914062500001</v>
      </c>
      <c r="BT89" s="35">
        <f t="shared" si="591"/>
        <v>1.0134765625</v>
      </c>
      <c r="BU89" s="35">
        <f t="shared" si="592"/>
        <v>1.0110839843749999</v>
      </c>
      <c r="BV89" s="35">
        <f t="shared" si="593"/>
        <v>-5.2663814528254305E-3</v>
      </c>
      <c r="BW89" s="35">
        <f t="shared" si="594"/>
        <v>1.0086914062500001</v>
      </c>
      <c r="BX89" s="35">
        <f t="shared" si="595"/>
        <v>1.0110839843749999</v>
      </c>
      <c r="BY89" s="35">
        <f t="shared" si="596"/>
        <v>1.0098876953125</v>
      </c>
      <c r="BZ89" s="35">
        <f t="shared" si="597"/>
        <v>-1.9338569827981322E-3</v>
      </c>
      <c r="CA89" s="35">
        <f t="shared" si="598"/>
        <v>1.0086914062500001</v>
      </c>
      <c r="CB89" s="35">
        <f t="shared" si="599"/>
        <v>1.0098876953125</v>
      </c>
      <c r="CC89" s="35">
        <f t="shared" si="600"/>
        <v>1.00928955078125</v>
      </c>
      <c r="CD89" s="35">
        <f t="shared" si="601"/>
        <v>-2.6324231874275128E-4</v>
      </c>
      <c r="CE89" s="35">
        <f t="shared" si="602"/>
        <v>1.0086914062500001</v>
      </c>
      <c r="CF89" s="35">
        <f t="shared" si="603"/>
        <v>1.00928955078125</v>
      </c>
      <c r="CG89" s="35">
        <f t="shared" si="604"/>
        <v>1.0089904785156252</v>
      </c>
      <c r="CH89" s="35">
        <f t="shared" si="605"/>
        <v>5.731554187937693E-4</v>
      </c>
      <c r="CI89" s="35">
        <f t="shared" si="606"/>
        <v>1.0089904785156252</v>
      </c>
      <c r="CJ89" s="35">
        <f t="shared" si="607"/>
        <v>1.00928955078125</v>
      </c>
      <c r="CK89" s="35">
        <f t="shared" si="608"/>
        <v>1.0091400146484375</v>
      </c>
      <c r="CL89" s="35">
        <f t="shared" si="609"/>
        <v>1.5486561439526092E-4</v>
      </c>
      <c r="CM89" s="35">
        <f t="shared" si="610"/>
        <v>1.0091400146484375</v>
      </c>
      <c r="CN89" s="35">
        <f t="shared" si="611"/>
        <v>1.00928955078125</v>
      </c>
      <c r="CO89" s="35">
        <f t="shared" si="612"/>
        <v>1.0092147827148437</v>
      </c>
      <c r="CP89" s="35">
        <f t="shared" si="613"/>
        <v>-5.4211080940502754E-5</v>
      </c>
      <c r="CQ89" s="35">
        <f t="shared" si="614"/>
        <v>1.0091400146484375</v>
      </c>
      <c r="CR89" s="35">
        <f t="shared" si="615"/>
        <v>1.0092147827148437</v>
      </c>
      <c r="CS89" s="35">
        <f t="shared" si="616"/>
        <v>1.0091773986816406</v>
      </c>
      <c r="CT89" s="35">
        <f t="shared" si="617"/>
        <v>5.032158389317587E-5</v>
      </c>
      <c r="CU89" s="35">
        <f t="shared" si="618"/>
        <v>1.0091773986816406</v>
      </c>
      <c r="CV89" s="35">
        <f t="shared" si="619"/>
        <v>1.0092147827148437</v>
      </c>
      <c r="CW89" s="35">
        <f t="shared" si="620"/>
        <v>1.009196090698242</v>
      </c>
      <c r="CX89" s="35">
        <f t="shared" si="621"/>
        <v>-1.9461691516120538E-6</v>
      </c>
      <c r="CY89" s="35">
        <f t="shared" si="622"/>
        <v>1.0091773986816406</v>
      </c>
      <c r="CZ89" s="35">
        <f t="shared" si="623"/>
        <v>1.009196090698242</v>
      </c>
      <c r="DA89" s="35">
        <f t="shared" si="624"/>
        <v>1.0091867446899414</v>
      </c>
      <c r="DB89" s="35">
        <f t="shared" si="625"/>
        <v>2.4187352203552948E-5</v>
      </c>
      <c r="DC89" s="35">
        <f t="shared" si="626"/>
        <v>1.0091867446899414</v>
      </c>
      <c r="DD89" s="35">
        <f t="shared" si="627"/>
        <v>1.009196090698242</v>
      </c>
      <c r="DE89" s="35">
        <f t="shared" si="628"/>
        <v>1.0091914176940917</v>
      </c>
      <c r="DF89" s="35">
        <f t="shared" si="629"/>
        <v>1.1120502735550986E-5</v>
      </c>
      <c r="DG89" s="35">
        <f t="shared" si="630"/>
        <v>1.0091914176940917</v>
      </c>
      <c r="DH89" s="35">
        <f t="shared" si="631"/>
        <v>1.009196090698242</v>
      </c>
      <c r="DI89" s="35">
        <f t="shared" si="632"/>
        <v>1.0091937541961669</v>
      </c>
      <c r="DJ89" s="35">
        <f t="shared" si="633"/>
        <v>4.5871445943923561E-6</v>
      </c>
      <c r="DK89" s="35">
        <f t="shared" si="634"/>
        <v>1.0091937541961669</v>
      </c>
      <c r="DL89" s="35">
        <f t="shared" si="635"/>
        <v>1.009196090698242</v>
      </c>
      <c r="DM89" s="35">
        <f t="shared" si="636"/>
        <v>1.0091949224472043</v>
      </c>
      <c r="DN89" s="35">
        <f t="shared" si="637"/>
        <v>1.3204821722734295E-6</v>
      </c>
      <c r="DO89" s="35">
        <f t="shared" si="638"/>
        <v>1.0091949224472043</v>
      </c>
      <c r="DP89" s="35">
        <f t="shared" si="639"/>
        <v>1.009196090698242</v>
      </c>
      <c r="DQ89" s="35">
        <f t="shared" si="640"/>
        <v>1.0091955065727232</v>
      </c>
      <c r="DR89" s="35">
        <f t="shared" si="641"/>
        <v>-3.1284487689298146E-7</v>
      </c>
      <c r="DS89" s="35">
        <f t="shared" si="642"/>
        <v>1.0091949224472043</v>
      </c>
      <c r="DT89" s="35">
        <f t="shared" si="643"/>
        <v>1.0091955065727232</v>
      </c>
      <c r="DU89" s="35">
        <f t="shared" si="644"/>
        <v>1.0091952145099636</v>
      </c>
      <c r="DV89" s="35">
        <f t="shared" si="645"/>
        <v>5.0381830107859571E-7</v>
      </c>
      <c r="DW89" s="35">
        <f t="shared" si="646"/>
        <v>1.0091952145099636</v>
      </c>
      <c r="DX89" s="35">
        <f t="shared" si="647"/>
        <v>1.0091955065727232</v>
      </c>
      <c r="DY89" s="35">
        <f t="shared" si="648"/>
        <v>1.0091953605413435</v>
      </c>
      <c r="DZ89" s="35">
        <f t="shared" si="649"/>
        <v>9.5486625273366599E-8</v>
      </c>
      <c r="EA89" s="35">
        <f t="shared" si="650"/>
        <v>1.0091953605413435</v>
      </c>
      <c r="EB89" s="35">
        <f t="shared" si="651"/>
        <v>1.0091955065727232</v>
      </c>
      <c r="EC89" s="35">
        <f t="shared" si="652"/>
        <v>1.0091954335570335</v>
      </c>
      <c r="ED89" s="35">
        <f t="shared" si="653"/>
        <v>-1.0867914801426792E-7</v>
      </c>
      <c r="EE89" s="35">
        <f t="shared" si="654"/>
        <v>1.0091953605413435</v>
      </c>
      <c r="EF89" s="35">
        <f t="shared" si="655"/>
        <v>1.0091954335570335</v>
      </c>
      <c r="EG89" s="35">
        <f t="shared" si="656"/>
        <v>1.0091953970491885</v>
      </c>
      <c r="EH89" s="35">
        <f t="shared" si="657"/>
        <v>-6.5962667550323317E-9</v>
      </c>
      <c r="EI89" s="35">
        <f t="shared" si="658"/>
        <v>1.0091953605413435</v>
      </c>
      <c r="EJ89" s="35">
        <f t="shared" si="659"/>
        <v>1.0091953970491885</v>
      </c>
      <c r="EK89" s="35">
        <f t="shared" si="660"/>
        <v>1.0091953787952659</v>
      </c>
      <c r="EL89" s="35">
        <f t="shared" si="661"/>
        <v>4.444517820445526E-8</v>
      </c>
      <c r="EM89" s="35">
        <f t="shared" si="662"/>
        <v>1.0091953787952659</v>
      </c>
      <c r="EN89" s="35">
        <f t="shared" si="663"/>
        <v>1.0091953970491885</v>
      </c>
      <c r="EO89" s="35">
        <f t="shared" si="664"/>
        <v>1.0091953879222273</v>
      </c>
      <c r="EP89" s="35">
        <f t="shared" si="665"/>
        <v>1.8924455114088801E-8</v>
      </c>
      <c r="EQ89" s="35">
        <f t="shared" si="666"/>
        <v>1.0091953879222273</v>
      </c>
      <c r="ER89" s="35">
        <f t="shared" si="667"/>
        <v>1.0091953970491885</v>
      </c>
      <c r="ES89" s="35">
        <f t="shared" si="668"/>
        <v>1.009195392485708</v>
      </c>
      <c r="ET89" s="35">
        <f t="shared" si="669"/>
        <v>6.1640936799278734E-9</v>
      </c>
      <c r="EU89" s="35">
        <f t="shared" si="670"/>
        <v>1.009195392485708</v>
      </c>
      <c r="EV89" s="35">
        <f t="shared" si="671"/>
        <v>1.0091953970491885</v>
      </c>
      <c r="EW89" s="35">
        <f t="shared" si="672"/>
        <v>1.0091953947674481</v>
      </c>
      <c r="EX89" s="35">
        <f t="shared" si="673"/>
        <v>-2.1608648204107794E-10</v>
      </c>
      <c r="EY89" s="35">
        <f t="shared" si="674"/>
        <v>1.009195392485708</v>
      </c>
      <c r="EZ89" s="35">
        <f t="shared" si="675"/>
        <v>1.0091953947674481</v>
      </c>
      <c r="FA89" s="10">
        <v>9.9999999999999995E-7</v>
      </c>
      <c r="FB89" s="10">
        <v>0.99990000000000001</v>
      </c>
      <c r="FC89" s="35">
        <f t="shared" si="676"/>
        <v>0.49995050000000002</v>
      </c>
      <c r="FD89" s="35">
        <f t="shared" si="677"/>
        <v>-0.86232387281268497</v>
      </c>
      <c r="FE89" s="35">
        <f t="shared" si="678"/>
        <v>9.9999999999999995E-7</v>
      </c>
      <c r="FF89" s="35">
        <f t="shared" si="679"/>
        <v>0.49995050000000002</v>
      </c>
      <c r="FG89" s="35">
        <f t="shared" si="680"/>
        <v>0.24997575</v>
      </c>
      <c r="FH89" s="35">
        <f t="shared" si="681"/>
        <v>-0.74221022197419706</v>
      </c>
      <c r="FI89" s="35">
        <f t="shared" si="682"/>
        <v>9.9999999999999995E-7</v>
      </c>
      <c r="FJ89" s="35">
        <f t="shared" si="683"/>
        <v>0.24997575</v>
      </c>
      <c r="FK89" s="35">
        <f t="shared" si="684"/>
        <v>0.124988375</v>
      </c>
      <c r="FL89" s="35">
        <f t="shared" si="685"/>
        <v>-0.56970120406247338</v>
      </c>
      <c r="FM89" s="35">
        <f t="shared" si="686"/>
        <v>9.9999999999999995E-7</v>
      </c>
      <c r="FN89" s="35">
        <f t="shared" si="687"/>
        <v>0.124988375</v>
      </c>
      <c r="FO89" s="35">
        <f t="shared" si="688"/>
        <v>6.24946875E-2</v>
      </c>
      <c r="FP89" s="35">
        <f t="shared" si="689"/>
        <v>-0.38319887216271264</v>
      </c>
      <c r="FQ89" s="35">
        <f t="shared" si="690"/>
        <v>9.9999999999999995E-7</v>
      </c>
      <c r="FR89" s="35">
        <f t="shared" si="691"/>
        <v>6.24946875E-2</v>
      </c>
      <c r="FS89" s="35">
        <f t="shared" si="692"/>
        <v>3.124784375E-2</v>
      </c>
      <c r="FT89" s="35">
        <f t="shared" si="693"/>
        <v>-0.227192425273397</v>
      </c>
      <c r="FU89" s="35">
        <f t="shared" si="694"/>
        <v>9.9999999999999995E-7</v>
      </c>
      <c r="FV89" s="35">
        <f t="shared" si="695"/>
        <v>3.124784375E-2</v>
      </c>
      <c r="FW89" s="35">
        <f t="shared" si="696"/>
        <v>1.5624421875000001E-2</v>
      </c>
      <c r="FX89" s="35">
        <f t="shared" si="697"/>
        <v>-0.12056327606730644</v>
      </c>
      <c r="FY89" s="35">
        <f t="shared" si="698"/>
        <v>9.9999999999999995E-7</v>
      </c>
      <c r="FZ89" s="35">
        <f t="shared" si="699"/>
        <v>1.5624421875000001E-2</v>
      </c>
      <c r="GA89" s="35">
        <f t="shared" si="700"/>
        <v>7.8127109375E-3</v>
      </c>
      <c r="GB89" s="35">
        <f t="shared" si="701"/>
        <v>-5.7482320777887841E-2</v>
      </c>
      <c r="GC89" s="35">
        <f t="shared" si="702"/>
        <v>9.9999999999999995E-7</v>
      </c>
      <c r="GD89" s="35">
        <f t="shared" si="703"/>
        <v>7.8127109375E-3</v>
      </c>
      <c r="GE89" s="35">
        <f t="shared" si="704"/>
        <v>3.9068554687499996E-3</v>
      </c>
      <c r="GF89" s="35">
        <f t="shared" si="705"/>
        <v>-2.3208610701179744E-2</v>
      </c>
      <c r="GG89" s="35">
        <f t="shared" si="706"/>
        <v>9.9999999999999995E-7</v>
      </c>
      <c r="GH89" s="35">
        <f t="shared" si="707"/>
        <v>3.9068554687499996E-3</v>
      </c>
      <c r="GI89" s="35">
        <f t="shared" si="708"/>
        <v>1.9539277343749999E-3</v>
      </c>
      <c r="GJ89" s="35">
        <f t="shared" si="709"/>
        <v>-5.3703015388997244E-3</v>
      </c>
      <c r="GK89" s="35">
        <f t="shared" si="710"/>
        <v>9.9999999999999995E-7</v>
      </c>
      <c r="GL89" s="35">
        <f t="shared" si="711"/>
        <v>1.9539277343749999E-3</v>
      </c>
      <c r="GM89" s="35">
        <f t="shared" si="712"/>
        <v>9.7746386718750001E-4</v>
      </c>
      <c r="GN89" s="35">
        <f t="shared" si="713"/>
        <v>3.7245638147054283E-3</v>
      </c>
      <c r="GO89" s="35">
        <f t="shared" si="714"/>
        <v>9.7746386718750001E-4</v>
      </c>
      <c r="GP89" s="35">
        <f t="shared" si="715"/>
        <v>1.9539277343749999E-3</v>
      </c>
      <c r="GQ89" s="35">
        <f t="shared" si="716"/>
        <v>1.4656958007812498E-3</v>
      </c>
      <c r="GR89" s="35">
        <f t="shared" si="717"/>
        <v>-8.3749351362305546E-4</v>
      </c>
      <c r="GS89" s="35">
        <f t="shared" si="718"/>
        <v>9.7746386718750001E-4</v>
      </c>
      <c r="GT89" s="35">
        <f t="shared" si="719"/>
        <v>1.4656958007812498E-3</v>
      </c>
      <c r="GU89" s="35">
        <f t="shared" si="720"/>
        <v>1.221579833984375E-3</v>
      </c>
      <c r="GV89" s="35">
        <f t="shared" si="721"/>
        <v>1.4398812532931959E-3</v>
      </c>
      <c r="GW89" s="35">
        <f t="shared" si="722"/>
        <v>1.221579833984375E-3</v>
      </c>
      <c r="GX89" s="35">
        <f t="shared" si="723"/>
        <v>1.4656958007812498E-3</v>
      </c>
      <c r="GY89" s="35">
        <f t="shared" si="724"/>
        <v>1.3436378173828124E-3</v>
      </c>
      <c r="GZ89" s="35">
        <f t="shared" si="725"/>
        <v>3.0028008599702893E-4</v>
      </c>
      <c r="HA89" s="35">
        <f t="shared" si="726"/>
        <v>1.3436378173828124E-3</v>
      </c>
      <c r="HB89" s="35">
        <f t="shared" si="727"/>
        <v>1.4656958007812498E-3</v>
      </c>
      <c r="HC89" s="35">
        <f t="shared" si="728"/>
        <v>1.4046668090820311E-3</v>
      </c>
      <c r="HD89" s="35">
        <f t="shared" si="729"/>
        <v>-2.6883519615916729E-4</v>
      </c>
      <c r="HE89" s="35">
        <f t="shared" si="730"/>
        <v>1.3436378173828124E-3</v>
      </c>
      <c r="HF89" s="35">
        <f t="shared" si="731"/>
        <v>1.4046668090820311E-3</v>
      </c>
      <c r="HG89" s="35">
        <f t="shared" si="732"/>
        <v>1.3741523132324218E-3</v>
      </c>
      <c r="HH89" s="35">
        <f t="shared" si="733"/>
        <v>1.5665328777725307E-5</v>
      </c>
      <c r="HI89" s="35">
        <f t="shared" si="734"/>
        <v>1.3741523132324218E-3</v>
      </c>
      <c r="HJ89" s="35">
        <f t="shared" si="735"/>
        <v>1.4046668090820311E-3</v>
      </c>
      <c r="HK89" s="35">
        <f t="shared" si="736"/>
        <v>1.3894095611572265E-3</v>
      </c>
      <c r="HL89" s="35">
        <f t="shared" si="737"/>
        <v>-1.265992132880589E-4</v>
      </c>
      <c r="HM89" s="35">
        <f t="shared" si="738"/>
        <v>1.3741523132324218E-3</v>
      </c>
      <c r="HN89" s="35">
        <f t="shared" si="739"/>
        <v>1.3894095611572265E-3</v>
      </c>
      <c r="HO89" s="35">
        <f t="shared" si="740"/>
        <v>1.3817809371948241E-3</v>
      </c>
      <c r="HP89" s="35">
        <f t="shared" si="741"/>
        <v>-5.5470512084432322E-5</v>
      </c>
      <c r="HQ89" s="35">
        <f t="shared" si="742"/>
        <v>1.3741523132324218E-3</v>
      </c>
      <c r="HR89" s="35">
        <f t="shared" si="743"/>
        <v>1.3817809371948241E-3</v>
      </c>
      <c r="HS89" s="35">
        <f t="shared" si="744"/>
        <v>1.3779666252136231E-3</v>
      </c>
      <c r="HT89" s="35">
        <f t="shared" si="745"/>
        <v>-1.9903484102190561E-5</v>
      </c>
      <c r="HU89" s="35">
        <f t="shared" si="746"/>
        <v>1.3741523132324218E-3</v>
      </c>
      <c r="HV89" s="35">
        <f t="shared" si="747"/>
        <v>1.3779666252136231E-3</v>
      </c>
      <c r="HW89" s="35">
        <f t="shared" si="748"/>
        <v>1.3760594692230224E-3</v>
      </c>
      <c r="HX89" s="35">
        <f t="shared" si="749"/>
        <v>-2.1193007733177893E-6</v>
      </c>
      <c r="HY89" s="35">
        <f t="shared" si="750"/>
        <v>1.3741523132324218E-3</v>
      </c>
      <c r="HZ89" s="35">
        <f t="shared" si="751"/>
        <v>1.3760594692230224E-3</v>
      </c>
      <c r="IA89" s="35">
        <f t="shared" si="752"/>
        <v>1.375105891227722E-3</v>
      </c>
      <c r="IB89" s="35">
        <f t="shared" si="753"/>
        <v>6.7729582244879794E-6</v>
      </c>
      <c r="IC89" s="35">
        <f t="shared" si="754"/>
        <v>1.375105891227722E-3</v>
      </c>
      <c r="ID89" s="35">
        <f t="shared" si="755"/>
        <v>1.3760594692230224E-3</v>
      </c>
      <c r="IE89" s="35">
        <f t="shared" si="756"/>
        <v>1.3755826802253723E-3</v>
      </c>
      <c r="IF89" s="35">
        <f t="shared" si="757"/>
        <v>2.326814781294928E-6</v>
      </c>
      <c r="IG89" s="35">
        <f t="shared" si="758"/>
        <v>1.3755826802253723E-3</v>
      </c>
      <c r="IH89" s="35">
        <f t="shared" si="759"/>
        <v>1.3760594692230224E-3</v>
      </c>
      <c r="II89" s="35">
        <f t="shared" si="760"/>
        <v>1.3758210747241975E-3</v>
      </c>
      <c r="IJ89" s="35">
        <f t="shared" si="761"/>
        <v>1.0375351799929433E-7</v>
      </c>
      <c r="IK89" s="35">
        <f t="shared" si="762"/>
        <v>1.3758210747241975E-3</v>
      </c>
      <c r="IL89" s="35">
        <f t="shared" si="763"/>
        <v>1.3760594692230224E-3</v>
      </c>
      <c r="IM89" s="35">
        <f t="shared" si="764"/>
        <v>1.3759402719736098E-3</v>
      </c>
      <c r="IN89" s="35">
        <f t="shared" si="765"/>
        <v>-1.0077744990732995E-6</v>
      </c>
      <c r="IO89" s="35">
        <f t="shared" si="766"/>
        <v>1.3758210747241975E-3</v>
      </c>
      <c r="IP89" s="35">
        <f t="shared" si="767"/>
        <v>1.3759402719736098E-3</v>
      </c>
      <c r="IQ89" s="35">
        <f t="shared" si="768"/>
        <v>1.3758806733489037E-3</v>
      </c>
      <c r="IR89" s="35">
        <f t="shared" si="769"/>
        <v>-4.5201070830724888E-7</v>
      </c>
      <c r="IS89" s="35">
        <f t="shared" si="770"/>
        <v>1.3758210747241975E-3</v>
      </c>
      <c r="IT89" s="35">
        <f t="shared" si="771"/>
        <v>1.3758806733489037E-3</v>
      </c>
      <c r="IU89" s="35">
        <f t="shared" si="772"/>
        <v>1.3758508740365507E-3</v>
      </c>
      <c r="IV89" s="35">
        <f t="shared" si="773"/>
        <v>-1.7412864961041663E-7</v>
      </c>
      <c r="IW89" s="35">
        <f t="shared" si="774"/>
        <v>1.3758210747241975E-3</v>
      </c>
      <c r="IX89" s="35">
        <f t="shared" si="775"/>
        <v>1.3758508740365507E-3</v>
      </c>
      <c r="IY89" s="35">
        <f t="shared" si="776"/>
        <v>1.3758359743803741E-3</v>
      </c>
      <c r="IZ89" s="35">
        <f t="shared" si="777"/>
        <v>-3.5187579627837806E-8</v>
      </c>
      <c r="JA89" s="35">
        <f t="shared" si="778"/>
        <v>1.3758210747241975E-3</v>
      </c>
      <c r="JB89" s="35">
        <f t="shared" si="779"/>
        <v>1.3758359743803741E-3</v>
      </c>
      <c r="JC89" s="35">
        <f t="shared" si="780"/>
        <v>1.3758285245522857E-3</v>
      </c>
      <c r="JD89" s="35">
        <f t="shared" si="781"/>
        <v>3.4282966021592642E-8</v>
      </c>
      <c r="JE89" s="35">
        <f t="shared" si="782"/>
        <v>1.3758285245522857E-3</v>
      </c>
      <c r="JF89" s="35">
        <f t="shared" si="783"/>
        <v>1.3758359743803741E-3</v>
      </c>
      <c r="JG89" s="35">
        <f t="shared" si="784"/>
        <v>1.37583224946633E-3</v>
      </c>
      <c r="JH89" s="35">
        <f t="shared" si="785"/>
        <v>-4.5230763578985034E-10</v>
      </c>
      <c r="JI89" s="35">
        <f t="shared" si="786"/>
        <v>1.3758285245522857E-3</v>
      </c>
      <c r="JJ89" s="35">
        <f t="shared" si="787"/>
        <v>1.37583224946633E-3</v>
      </c>
      <c r="JK89" s="35">
        <f t="shared" si="788"/>
        <v>1.3758303870093078E-3</v>
      </c>
      <c r="JL89" s="35">
        <f t="shared" si="789"/>
        <v>1.691532891534564E-8</v>
      </c>
      <c r="JM89" s="35">
        <f t="shared" si="790"/>
        <v>1.3758303870093078E-3</v>
      </c>
      <c r="JN89" s="35">
        <f t="shared" si="791"/>
        <v>1.37583224946633E-3</v>
      </c>
      <c r="JO89" s="35">
        <f t="shared" si="792"/>
        <v>1.375831318237819E-3</v>
      </c>
      <c r="JP89" s="35">
        <f t="shared" si="793"/>
        <v>8.2315108063113485E-9</v>
      </c>
      <c r="JQ89" s="35">
        <f t="shared" si="794"/>
        <v>1.375831318237819E-3</v>
      </c>
      <c r="JR89" s="35">
        <f t="shared" si="795"/>
        <v>1.37583224946633E-3</v>
      </c>
      <c r="JS89" s="35">
        <f t="shared" si="796"/>
        <v>1.3758317838520745E-3</v>
      </c>
      <c r="JT89" s="35">
        <f t="shared" si="797"/>
        <v>3.8896013077049929E-9</v>
      </c>
      <c r="JU89" s="35">
        <f t="shared" si="798"/>
        <v>1.3758317838520745E-3</v>
      </c>
      <c r="JV89" s="35">
        <f t="shared" si="799"/>
        <v>1.37583224946633E-3</v>
      </c>
      <c r="JW89" s="35">
        <f t="shared" si="800"/>
        <v>1.3758320166592022E-3</v>
      </c>
      <c r="JX89" s="35">
        <f t="shared" si="801"/>
        <v>1.718647002491025E-9</v>
      </c>
      <c r="JY89" s="35">
        <f t="shared" si="802"/>
        <v>1.3758320166592022E-3</v>
      </c>
      <c r="JZ89" s="35">
        <f t="shared" si="803"/>
        <v>1.37583224946633E-3</v>
      </c>
      <c r="KA89" s="35">
        <f t="shared" si="804"/>
        <v>1.0091953936265781</v>
      </c>
      <c r="KB89" s="35">
        <f t="shared" si="805"/>
        <v>1.3758321330627661E-3</v>
      </c>
    </row>
    <row r="90" spans="1:288" ht="15" customHeight="1" x14ac:dyDescent="0.3">
      <c r="A90" s="30">
        <f>Odds_Input!A90</f>
        <v>82</v>
      </c>
      <c r="B90" s="7" t="str">
        <f>Odds_Input!B90</f>
        <v>DIV_PACIFIC</v>
      </c>
      <c r="C90" s="7" t="str">
        <f>Odds_Input!C90</f>
        <v>Los Angeles Lakers</v>
      </c>
      <c r="D90" s="7" t="str">
        <f>Odds_Input!D90</f>
        <v>YES</v>
      </c>
      <c r="E90" s="31" t="str">
        <f>Odds_Input!E90</f>
        <v>-</v>
      </c>
      <c r="F90" s="32">
        <f>Odds_Input!F90</f>
        <v>-175</v>
      </c>
      <c r="G90" s="6" t="str">
        <f t="shared" si="533"/>
        <v>DIV_PACIFIC</v>
      </c>
      <c r="H90" s="14">
        <f t="shared" si="534"/>
        <v>1.5714285714285714</v>
      </c>
      <c r="I90" s="33">
        <f t="shared" si="535"/>
        <v>0.63636363636363635</v>
      </c>
      <c r="J90" s="17">
        <f t="shared" si="536"/>
        <v>1</v>
      </c>
      <c r="K90" s="17">
        <f t="shared" si="537"/>
        <v>5</v>
      </c>
      <c r="L90" s="18">
        <f t="shared" si="538"/>
        <v>1.1183220337576816</v>
      </c>
      <c r="M90" s="34">
        <f t="shared" si="539"/>
        <v>0.11832203375768158</v>
      </c>
      <c r="N90" s="33">
        <f t="shared" si="540"/>
        <v>0.56903433640253565</v>
      </c>
      <c r="O90" s="33">
        <f t="shared" si="541"/>
        <v>0.60382325712451035</v>
      </c>
      <c r="P90" s="33">
        <f t="shared" si="542"/>
        <v>0.59390056135770675</v>
      </c>
      <c r="Q90" s="33">
        <f t="shared" si="543"/>
        <v>0.59390056135770675</v>
      </c>
      <c r="R90" s="35">
        <f t="shared" si="544"/>
        <v>1.1161290892632678</v>
      </c>
      <c r="S90" s="35">
        <f t="shared" si="545"/>
        <v>3.8953388235045946E-2</v>
      </c>
      <c r="X90" s="6" t="s">
        <v>446</v>
      </c>
      <c r="Y90" s="6">
        <f t="shared" si="546"/>
        <v>1</v>
      </c>
      <c r="Z90" s="18">
        <f t="shared" si="547"/>
        <v>1.3226294635992208</v>
      </c>
      <c r="AA90" s="10">
        <v>0.2</v>
      </c>
      <c r="AB90" s="10">
        <v>10</v>
      </c>
      <c r="AC90" s="35">
        <f t="shared" si="548"/>
        <v>5.0999999999999996</v>
      </c>
      <c r="AD90" s="35">
        <f t="shared" si="549"/>
        <v>-0.99942375199812639</v>
      </c>
      <c r="AE90" s="35">
        <f t="shared" si="550"/>
        <v>0.2</v>
      </c>
      <c r="AF90" s="35">
        <f t="shared" si="551"/>
        <v>5.0999999999999996</v>
      </c>
      <c r="AG90" s="35">
        <f t="shared" si="552"/>
        <v>2.65</v>
      </c>
      <c r="AH90" s="35">
        <f t="shared" si="553"/>
        <v>-0.96895882167979708</v>
      </c>
      <c r="AI90" s="35">
        <f t="shared" si="554"/>
        <v>0.2</v>
      </c>
      <c r="AJ90" s="35">
        <f t="shared" si="555"/>
        <v>2.65</v>
      </c>
      <c r="AK90" s="35">
        <f t="shared" si="556"/>
        <v>1.425</v>
      </c>
      <c r="AL90" s="35">
        <f t="shared" si="557"/>
        <v>-0.59372566713198738</v>
      </c>
      <c r="AM90" s="35">
        <f t="shared" si="558"/>
        <v>0.2</v>
      </c>
      <c r="AN90" s="35">
        <f t="shared" si="559"/>
        <v>1.425</v>
      </c>
      <c r="AO90" s="35">
        <f t="shared" si="560"/>
        <v>0.8125</v>
      </c>
      <c r="AP90" s="35">
        <f t="shared" si="561"/>
        <v>1.3574777630525849</v>
      </c>
      <c r="AQ90" s="35">
        <f t="shared" si="562"/>
        <v>0.8125</v>
      </c>
      <c r="AR90" s="35">
        <f t="shared" si="563"/>
        <v>1.425</v>
      </c>
      <c r="AS90" s="35">
        <f t="shared" si="564"/>
        <v>1.1187499999999999</v>
      </c>
      <c r="AT90" s="35">
        <f t="shared" si="565"/>
        <v>-6.628852150480391E-2</v>
      </c>
      <c r="AU90" s="35">
        <f t="shared" si="566"/>
        <v>0.8125</v>
      </c>
      <c r="AV90" s="35">
        <f t="shared" si="567"/>
        <v>1.1187499999999999</v>
      </c>
      <c r="AW90" s="35">
        <f t="shared" si="568"/>
        <v>0.96562499999999996</v>
      </c>
      <c r="AX90" s="35">
        <f t="shared" si="569"/>
        <v>0.46673989220900136</v>
      </c>
      <c r="AY90" s="35">
        <f t="shared" si="570"/>
        <v>0.96562499999999996</v>
      </c>
      <c r="AZ90" s="35">
        <f t="shared" si="571"/>
        <v>1.1187499999999999</v>
      </c>
      <c r="BA90" s="35">
        <f t="shared" si="572"/>
        <v>1.0421874999999998</v>
      </c>
      <c r="BB90" s="35">
        <f t="shared" si="573"/>
        <v>0.166836818194664</v>
      </c>
      <c r="BC90" s="35">
        <f t="shared" si="574"/>
        <v>1.0421874999999998</v>
      </c>
      <c r="BD90" s="35">
        <f t="shared" si="575"/>
        <v>1.1187499999999999</v>
      </c>
      <c r="BE90" s="35">
        <f t="shared" si="576"/>
        <v>1.0804687499999999</v>
      </c>
      <c r="BF90" s="35">
        <f t="shared" si="577"/>
        <v>4.3015267610839514E-2</v>
      </c>
      <c r="BG90" s="35">
        <f t="shared" si="578"/>
        <v>1.0804687499999999</v>
      </c>
      <c r="BH90" s="35">
        <f t="shared" si="579"/>
        <v>1.1187499999999999</v>
      </c>
      <c r="BI90" s="35">
        <f t="shared" si="580"/>
        <v>1.099609375</v>
      </c>
      <c r="BJ90" s="35">
        <f t="shared" si="581"/>
        <v>-1.3331541000600855E-2</v>
      </c>
      <c r="BK90" s="35">
        <f t="shared" si="582"/>
        <v>1.0804687499999999</v>
      </c>
      <c r="BL90" s="35">
        <f t="shared" si="583"/>
        <v>1.099609375</v>
      </c>
      <c r="BM90" s="35">
        <f t="shared" si="584"/>
        <v>1.0900390624999998</v>
      </c>
      <c r="BN90" s="35">
        <f t="shared" si="585"/>
        <v>1.440381639665067E-2</v>
      </c>
      <c r="BO90" s="35">
        <f t="shared" si="586"/>
        <v>1.0900390624999998</v>
      </c>
      <c r="BP90" s="35">
        <f t="shared" si="587"/>
        <v>1.099609375</v>
      </c>
      <c r="BQ90" s="35">
        <f t="shared" si="588"/>
        <v>1.0948242187499999</v>
      </c>
      <c r="BR90" s="35">
        <f t="shared" si="589"/>
        <v>4.2845521985346302E-4</v>
      </c>
      <c r="BS90" s="35">
        <f t="shared" si="590"/>
        <v>1.0948242187499999</v>
      </c>
      <c r="BT90" s="35">
        <f t="shared" si="591"/>
        <v>1.099609375</v>
      </c>
      <c r="BU90" s="35">
        <f t="shared" si="592"/>
        <v>1.097216796875</v>
      </c>
      <c r="BV90" s="35">
        <f t="shared" si="593"/>
        <v>-6.4782383621203588E-3</v>
      </c>
      <c r="BW90" s="35">
        <f t="shared" si="594"/>
        <v>1.0948242187499999</v>
      </c>
      <c r="BX90" s="35">
        <f t="shared" si="595"/>
        <v>1.097216796875</v>
      </c>
      <c r="BY90" s="35">
        <f t="shared" si="596"/>
        <v>1.0960205078124998</v>
      </c>
      <c r="BZ90" s="35">
        <f t="shared" si="597"/>
        <v>-3.031593427771262E-3</v>
      </c>
      <c r="CA90" s="35">
        <f t="shared" si="598"/>
        <v>1.0948242187499999</v>
      </c>
      <c r="CB90" s="35">
        <f t="shared" si="599"/>
        <v>1.0960205078124998</v>
      </c>
      <c r="CC90" s="35">
        <f t="shared" si="600"/>
        <v>1.0954223632812499</v>
      </c>
      <c r="CD90" s="35">
        <f t="shared" si="601"/>
        <v>-1.303248080193331E-3</v>
      </c>
      <c r="CE90" s="35">
        <f t="shared" si="602"/>
        <v>1.0948242187499999</v>
      </c>
      <c r="CF90" s="35">
        <f t="shared" si="603"/>
        <v>1.0954223632812499</v>
      </c>
      <c r="CG90" s="35">
        <f t="shared" si="604"/>
        <v>1.095123291015625</v>
      </c>
      <c r="CH90" s="35">
        <f t="shared" si="605"/>
        <v>-4.3781661408348604E-4</v>
      </c>
      <c r="CI90" s="35">
        <f t="shared" si="606"/>
        <v>1.0948242187499999</v>
      </c>
      <c r="CJ90" s="35">
        <f t="shared" si="607"/>
        <v>1.095123291015625</v>
      </c>
      <c r="CK90" s="35">
        <f t="shared" si="608"/>
        <v>1.0949737548828125</v>
      </c>
      <c r="CL90" s="35">
        <f t="shared" si="609"/>
        <v>-4.785798128459362E-6</v>
      </c>
      <c r="CM90" s="35">
        <f t="shared" si="610"/>
        <v>1.0948242187499999</v>
      </c>
      <c r="CN90" s="35">
        <f t="shared" si="611"/>
        <v>1.0949737548828125</v>
      </c>
      <c r="CO90" s="35">
        <f t="shared" si="612"/>
        <v>1.0948989868164061</v>
      </c>
      <c r="CP90" s="35">
        <f t="shared" si="613"/>
        <v>2.1180842872681183E-4</v>
      </c>
      <c r="CQ90" s="35">
        <f t="shared" si="614"/>
        <v>1.0948989868164061</v>
      </c>
      <c r="CR90" s="35">
        <f t="shared" si="615"/>
        <v>1.0949737548828125</v>
      </c>
      <c r="CS90" s="35">
        <f t="shared" si="616"/>
        <v>1.0949363708496094</v>
      </c>
      <c r="CT90" s="35">
        <f t="shared" si="617"/>
        <v>1.035047456250382E-4</v>
      </c>
      <c r="CU90" s="35">
        <f t="shared" si="618"/>
        <v>1.0949363708496094</v>
      </c>
      <c r="CV90" s="35">
        <f t="shared" si="619"/>
        <v>1.0949737548828125</v>
      </c>
      <c r="CW90" s="35">
        <f t="shared" si="620"/>
        <v>1.094955062866211</v>
      </c>
      <c r="CX90" s="35">
        <f t="shared" si="621"/>
        <v>4.935783143733552E-5</v>
      </c>
      <c r="CY90" s="35">
        <f t="shared" si="622"/>
        <v>1.094955062866211</v>
      </c>
      <c r="CZ90" s="35">
        <f t="shared" si="623"/>
        <v>1.0949737548828125</v>
      </c>
      <c r="DA90" s="35">
        <f t="shared" si="624"/>
        <v>1.0949644088745116</v>
      </c>
      <c r="DB90" s="35">
        <f t="shared" si="625"/>
        <v>2.2285606090299837E-5</v>
      </c>
      <c r="DC90" s="35">
        <f t="shared" si="626"/>
        <v>1.0949644088745116</v>
      </c>
      <c r="DD90" s="35">
        <f t="shared" si="627"/>
        <v>1.0949737548828125</v>
      </c>
      <c r="DE90" s="35">
        <f t="shared" si="628"/>
        <v>1.0949690818786619</v>
      </c>
      <c r="DF90" s="35">
        <f t="shared" si="629"/>
        <v>8.7498013421338783E-6</v>
      </c>
      <c r="DG90" s="35">
        <f t="shared" si="630"/>
        <v>1.0949690818786619</v>
      </c>
      <c r="DH90" s="35">
        <f t="shared" si="631"/>
        <v>1.0949737548828125</v>
      </c>
      <c r="DI90" s="35">
        <f t="shared" si="632"/>
        <v>1.0949714183807373</v>
      </c>
      <c r="DJ90" s="35">
        <f t="shared" si="633"/>
        <v>1.9819759464745346E-6</v>
      </c>
      <c r="DK90" s="35">
        <f t="shared" si="634"/>
        <v>1.0949714183807373</v>
      </c>
      <c r="DL90" s="35">
        <f t="shared" si="635"/>
        <v>1.0949737548828125</v>
      </c>
      <c r="DM90" s="35">
        <f t="shared" si="636"/>
        <v>1.094972586631775</v>
      </c>
      <c r="DN90" s="35">
        <f t="shared" si="637"/>
        <v>-1.4019175063051392E-6</v>
      </c>
      <c r="DO90" s="35">
        <f t="shared" si="638"/>
        <v>1.0949714183807373</v>
      </c>
      <c r="DP90" s="35">
        <f t="shared" si="639"/>
        <v>1.094972586631775</v>
      </c>
      <c r="DQ90" s="35">
        <f t="shared" si="640"/>
        <v>1.0949720025062561</v>
      </c>
      <c r="DR90" s="35">
        <f t="shared" si="641"/>
        <v>2.9002761703367241E-7</v>
      </c>
      <c r="DS90" s="35">
        <f t="shared" si="642"/>
        <v>1.0949720025062561</v>
      </c>
      <c r="DT90" s="35">
        <f t="shared" si="643"/>
        <v>1.094972586631775</v>
      </c>
      <c r="DU90" s="35">
        <f t="shared" si="644"/>
        <v>1.0949722945690157</v>
      </c>
      <c r="DV90" s="35">
        <f t="shared" si="645"/>
        <v>-5.559453456482899E-7</v>
      </c>
      <c r="DW90" s="35">
        <f t="shared" si="646"/>
        <v>1.0949720025062561</v>
      </c>
      <c r="DX90" s="35">
        <f t="shared" si="647"/>
        <v>1.0949722945690157</v>
      </c>
      <c r="DY90" s="35">
        <f t="shared" si="648"/>
        <v>1.0949721485376358</v>
      </c>
      <c r="DZ90" s="35">
        <f t="shared" si="649"/>
        <v>-1.3295896439391441E-7</v>
      </c>
      <c r="EA90" s="35">
        <f t="shared" si="650"/>
        <v>1.0949720025062561</v>
      </c>
      <c r="EB90" s="35">
        <f t="shared" si="651"/>
        <v>1.0949721485376358</v>
      </c>
      <c r="EC90" s="35">
        <f t="shared" si="652"/>
        <v>1.0949720755219459</v>
      </c>
      <c r="ED90" s="35">
        <f t="shared" si="653"/>
        <v>7.8534301728439004E-8</v>
      </c>
      <c r="EE90" s="35">
        <f t="shared" si="654"/>
        <v>1.0949720755219459</v>
      </c>
      <c r="EF90" s="35">
        <f t="shared" si="655"/>
        <v>1.0949721485376358</v>
      </c>
      <c r="EG90" s="35">
        <f t="shared" si="656"/>
        <v>1.0949721120297908</v>
      </c>
      <c r="EH90" s="35">
        <f t="shared" si="657"/>
        <v>-2.7212338049587004E-8</v>
      </c>
      <c r="EI90" s="35">
        <f t="shared" si="658"/>
        <v>1.0949720755219459</v>
      </c>
      <c r="EJ90" s="35">
        <f t="shared" si="659"/>
        <v>1.0949721120297908</v>
      </c>
      <c r="EK90" s="35">
        <f t="shared" si="660"/>
        <v>1.0949720937758682</v>
      </c>
      <c r="EL90" s="35">
        <f t="shared" si="661"/>
        <v>2.5660980895736429E-8</v>
      </c>
      <c r="EM90" s="35">
        <f t="shared" si="662"/>
        <v>1.0949720937758682</v>
      </c>
      <c r="EN90" s="35">
        <f t="shared" si="663"/>
        <v>1.0949721120297908</v>
      </c>
      <c r="EO90" s="35">
        <f t="shared" si="664"/>
        <v>1.0949721029028296</v>
      </c>
      <c r="EP90" s="35">
        <f t="shared" si="665"/>
        <v>-7.756792985702532E-10</v>
      </c>
      <c r="EQ90" s="35">
        <f t="shared" si="666"/>
        <v>1.0949720937758682</v>
      </c>
      <c r="ER90" s="35">
        <f t="shared" si="667"/>
        <v>1.0949721029028296</v>
      </c>
      <c r="ES90" s="35">
        <f t="shared" si="668"/>
        <v>1.0949720983393489</v>
      </c>
      <c r="ET90" s="35">
        <f t="shared" si="669"/>
        <v>1.2442650243471576E-8</v>
      </c>
      <c r="EU90" s="35">
        <f t="shared" si="670"/>
        <v>1.0949720983393489</v>
      </c>
      <c r="EV90" s="35">
        <f t="shared" si="671"/>
        <v>1.0949721029028296</v>
      </c>
      <c r="EW90" s="35">
        <f t="shared" si="672"/>
        <v>1.0949721006210893</v>
      </c>
      <c r="EX90" s="35">
        <f t="shared" si="673"/>
        <v>5.8334852504060564E-9</v>
      </c>
      <c r="EY90" s="35">
        <f t="shared" si="674"/>
        <v>1.0949721006210893</v>
      </c>
      <c r="EZ90" s="35">
        <f t="shared" si="675"/>
        <v>1.0949721029028296</v>
      </c>
      <c r="FA90" s="10">
        <v>9.9999999999999995E-7</v>
      </c>
      <c r="FB90" s="10">
        <v>0.99990000000000001</v>
      </c>
      <c r="FC90" s="35">
        <f t="shared" si="676"/>
        <v>0.49995050000000002</v>
      </c>
      <c r="FD90" s="35">
        <f t="shared" si="677"/>
        <v>-0.84365319969584884</v>
      </c>
      <c r="FE90" s="35">
        <f t="shared" si="678"/>
        <v>9.9999999999999995E-7</v>
      </c>
      <c r="FF90" s="35">
        <f t="shared" si="679"/>
        <v>0.49995050000000002</v>
      </c>
      <c r="FG90" s="35">
        <f t="shared" si="680"/>
        <v>0.24997575</v>
      </c>
      <c r="FH90" s="35">
        <f t="shared" si="681"/>
        <v>-0.72766289849313104</v>
      </c>
      <c r="FI90" s="35">
        <f t="shared" si="682"/>
        <v>9.9999999999999995E-7</v>
      </c>
      <c r="FJ90" s="35">
        <f t="shared" si="683"/>
        <v>0.24997575</v>
      </c>
      <c r="FK90" s="35">
        <f t="shared" si="684"/>
        <v>0.124988375</v>
      </c>
      <c r="FL90" s="35">
        <f t="shared" si="685"/>
        <v>-0.58138850764877636</v>
      </c>
      <c r="FM90" s="35">
        <f t="shared" si="686"/>
        <v>9.9999999999999995E-7</v>
      </c>
      <c r="FN90" s="35">
        <f t="shared" si="687"/>
        <v>0.124988375</v>
      </c>
      <c r="FO90" s="35">
        <f t="shared" si="688"/>
        <v>6.24946875E-2</v>
      </c>
      <c r="FP90" s="35">
        <f t="shared" si="689"/>
        <v>-0.41413027646187384</v>
      </c>
      <c r="FQ90" s="35">
        <f t="shared" si="690"/>
        <v>9.9999999999999995E-7</v>
      </c>
      <c r="FR90" s="35">
        <f t="shared" si="691"/>
        <v>6.24946875E-2</v>
      </c>
      <c r="FS90" s="35">
        <f t="shared" si="692"/>
        <v>3.124784375E-2</v>
      </c>
      <c r="FT90" s="35">
        <f t="shared" si="693"/>
        <v>-0.24117410512493298</v>
      </c>
      <c r="FU90" s="35">
        <f t="shared" si="694"/>
        <v>9.9999999999999995E-7</v>
      </c>
      <c r="FV90" s="35">
        <f t="shared" si="695"/>
        <v>3.124784375E-2</v>
      </c>
      <c r="FW90" s="35">
        <f t="shared" si="696"/>
        <v>1.5624421875000001E-2</v>
      </c>
      <c r="FX90" s="35">
        <f t="shared" si="697"/>
        <v>-9.1249702012066947E-2</v>
      </c>
      <c r="FY90" s="35">
        <f t="shared" si="698"/>
        <v>9.9999999999999995E-7</v>
      </c>
      <c r="FZ90" s="35">
        <f t="shared" si="699"/>
        <v>1.5624421875000001E-2</v>
      </c>
      <c r="GA90" s="35">
        <f t="shared" si="700"/>
        <v>7.8127109375E-3</v>
      </c>
      <c r="GB90" s="35">
        <f t="shared" si="701"/>
        <v>1.4664751179462643E-2</v>
      </c>
      <c r="GC90" s="35">
        <f t="shared" si="702"/>
        <v>7.8127109375E-3</v>
      </c>
      <c r="GD90" s="35">
        <f t="shared" si="703"/>
        <v>1.5624421875000001E-2</v>
      </c>
      <c r="GE90" s="35">
        <f t="shared" si="704"/>
        <v>1.171856640625E-2</v>
      </c>
      <c r="GF90" s="35">
        <f t="shared" si="705"/>
        <v>-4.1566842181963715E-2</v>
      </c>
      <c r="GG90" s="35">
        <f t="shared" si="706"/>
        <v>7.8127109375E-3</v>
      </c>
      <c r="GH90" s="35">
        <f t="shared" si="707"/>
        <v>1.171856640625E-2</v>
      </c>
      <c r="GI90" s="35">
        <f t="shared" si="708"/>
        <v>9.7656386718750002E-3</v>
      </c>
      <c r="GJ90" s="35">
        <f t="shared" si="709"/>
        <v>-1.432620484651681E-2</v>
      </c>
      <c r="GK90" s="35">
        <f t="shared" si="710"/>
        <v>7.8127109375E-3</v>
      </c>
      <c r="GL90" s="35">
        <f t="shared" si="711"/>
        <v>9.7656386718750002E-3</v>
      </c>
      <c r="GM90" s="35">
        <f t="shared" si="712"/>
        <v>8.789174804687501E-3</v>
      </c>
      <c r="GN90" s="35">
        <f t="shared" si="713"/>
        <v>-5.6419736681689869E-5</v>
      </c>
      <c r="GO90" s="35">
        <f t="shared" si="714"/>
        <v>7.8127109375E-3</v>
      </c>
      <c r="GP90" s="35">
        <f t="shared" si="715"/>
        <v>8.789174804687501E-3</v>
      </c>
      <c r="GQ90" s="35">
        <f t="shared" si="716"/>
        <v>8.3009428710937513E-3</v>
      </c>
      <c r="GR90" s="35">
        <f t="shared" si="717"/>
        <v>7.2469032408115641E-3</v>
      </c>
      <c r="GS90" s="35">
        <f t="shared" si="718"/>
        <v>8.3009428710937513E-3</v>
      </c>
      <c r="GT90" s="35">
        <f t="shared" si="719"/>
        <v>8.789174804687501E-3</v>
      </c>
      <c r="GU90" s="35">
        <f t="shared" si="720"/>
        <v>8.5450588378906261E-3</v>
      </c>
      <c r="GV90" s="35">
        <f t="shared" si="721"/>
        <v>3.5810296755454107E-3</v>
      </c>
      <c r="GW90" s="35">
        <f t="shared" si="722"/>
        <v>8.5450588378906261E-3</v>
      </c>
      <c r="GX90" s="35">
        <f t="shared" si="723"/>
        <v>8.789174804687501E-3</v>
      </c>
      <c r="GY90" s="35">
        <f t="shared" si="724"/>
        <v>8.6671168212890635E-3</v>
      </c>
      <c r="GZ90" s="35">
        <f t="shared" si="725"/>
        <v>1.7587650226829066E-3</v>
      </c>
      <c r="HA90" s="35">
        <f t="shared" si="726"/>
        <v>8.6671168212890635E-3</v>
      </c>
      <c r="HB90" s="35">
        <f t="shared" si="727"/>
        <v>8.789174804687501E-3</v>
      </c>
      <c r="HC90" s="35">
        <f t="shared" si="728"/>
        <v>8.7281458129882823E-3</v>
      </c>
      <c r="HD90" s="35">
        <f t="shared" si="729"/>
        <v>8.5028929790742502E-4</v>
      </c>
      <c r="HE90" s="35">
        <f t="shared" si="730"/>
        <v>8.7281458129882823E-3</v>
      </c>
      <c r="HF90" s="35">
        <f t="shared" si="731"/>
        <v>8.789174804687501E-3</v>
      </c>
      <c r="HG90" s="35">
        <f t="shared" si="732"/>
        <v>8.7586603088378907E-3</v>
      </c>
      <c r="HH90" s="35">
        <f t="shared" si="733"/>
        <v>3.9671414999409294E-4</v>
      </c>
      <c r="HI90" s="35">
        <f t="shared" si="734"/>
        <v>8.7586603088378907E-3</v>
      </c>
      <c r="HJ90" s="35">
        <f t="shared" si="735"/>
        <v>8.789174804687501E-3</v>
      </c>
      <c r="HK90" s="35">
        <f t="shared" si="736"/>
        <v>8.7739175567626958E-3</v>
      </c>
      <c r="HL90" s="35">
        <f t="shared" si="737"/>
        <v>1.7009207473495103E-4</v>
      </c>
      <c r="HM90" s="35">
        <f t="shared" si="738"/>
        <v>8.7739175567626958E-3</v>
      </c>
      <c r="HN90" s="35">
        <f t="shared" si="739"/>
        <v>8.789174804687501E-3</v>
      </c>
      <c r="HO90" s="35">
        <f t="shared" si="740"/>
        <v>8.7815461807250993E-3</v>
      </c>
      <c r="HP90" s="35">
        <f t="shared" si="741"/>
        <v>5.6822389265631656E-5</v>
      </c>
      <c r="HQ90" s="35">
        <f t="shared" si="742"/>
        <v>8.7815461807250993E-3</v>
      </c>
      <c r="HR90" s="35">
        <f t="shared" si="743"/>
        <v>8.789174804687501E-3</v>
      </c>
      <c r="HS90" s="35">
        <f t="shared" si="744"/>
        <v>8.7853604927063001E-3</v>
      </c>
      <c r="HT90" s="35">
        <f t="shared" si="745"/>
        <v>1.9788175409374276E-7</v>
      </c>
      <c r="HU90" s="35">
        <f t="shared" si="746"/>
        <v>8.7853604927063001E-3</v>
      </c>
      <c r="HV90" s="35">
        <f t="shared" si="747"/>
        <v>8.789174804687501E-3</v>
      </c>
      <c r="HW90" s="35">
        <f t="shared" si="748"/>
        <v>8.7872676486968997E-3</v>
      </c>
      <c r="HX90" s="35">
        <f t="shared" si="749"/>
        <v>-2.8111788548668137E-5</v>
      </c>
      <c r="HY90" s="35">
        <f t="shared" si="750"/>
        <v>8.7853604927063001E-3</v>
      </c>
      <c r="HZ90" s="35">
        <f t="shared" si="751"/>
        <v>8.7872676486968997E-3</v>
      </c>
      <c r="IA90" s="35">
        <f t="shared" si="752"/>
        <v>8.7863140707016008E-3</v>
      </c>
      <c r="IB90" s="35">
        <f t="shared" si="753"/>
        <v>-1.3957168674583187E-5</v>
      </c>
      <c r="IC90" s="35">
        <f t="shared" si="754"/>
        <v>8.7853604927063001E-3</v>
      </c>
      <c r="ID90" s="35">
        <f t="shared" si="755"/>
        <v>8.7863140707016008E-3</v>
      </c>
      <c r="IE90" s="35">
        <f t="shared" si="756"/>
        <v>8.7858372817039496E-3</v>
      </c>
      <c r="IF90" s="35">
        <f t="shared" si="757"/>
        <v>-6.8796972799711753E-6</v>
      </c>
      <c r="IG90" s="35">
        <f t="shared" si="758"/>
        <v>8.7853604927063001E-3</v>
      </c>
      <c r="IH90" s="35">
        <f t="shared" si="759"/>
        <v>8.7858372817039496E-3</v>
      </c>
      <c r="II90" s="35">
        <f t="shared" si="760"/>
        <v>8.785598887205124E-3</v>
      </c>
      <c r="IJ90" s="35">
        <f t="shared" si="761"/>
        <v>-3.3409212186752413E-6</v>
      </c>
      <c r="IK90" s="35">
        <f t="shared" si="762"/>
        <v>8.7853604927063001E-3</v>
      </c>
      <c r="IL90" s="35">
        <f t="shared" si="763"/>
        <v>8.785598887205124E-3</v>
      </c>
      <c r="IM90" s="35">
        <f t="shared" si="764"/>
        <v>8.7854796899557129E-3</v>
      </c>
      <c r="IN90" s="35">
        <f t="shared" si="765"/>
        <v>-1.571523096322025E-6</v>
      </c>
      <c r="IO90" s="35">
        <f t="shared" si="766"/>
        <v>8.7853604927063001E-3</v>
      </c>
      <c r="IP90" s="35">
        <f t="shared" si="767"/>
        <v>8.7854796899557129E-3</v>
      </c>
      <c r="IQ90" s="35">
        <f t="shared" si="768"/>
        <v>8.7854200913310074E-3</v>
      </c>
      <c r="IR90" s="35">
        <f t="shared" si="769"/>
        <v>-6.8682151310728301E-7</v>
      </c>
      <c r="IS90" s="35">
        <f t="shared" si="770"/>
        <v>8.7853604927063001E-3</v>
      </c>
      <c r="IT90" s="35">
        <f t="shared" si="771"/>
        <v>8.7854200913310074E-3</v>
      </c>
      <c r="IU90" s="35">
        <f t="shared" si="772"/>
        <v>8.7853902920186529E-3</v>
      </c>
      <c r="IV90" s="35">
        <f t="shared" si="773"/>
        <v>-2.4447008961647754E-7</v>
      </c>
      <c r="IW90" s="35">
        <f t="shared" si="774"/>
        <v>8.7853604927063001E-3</v>
      </c>
      <c r="IX90" s="35">
        <f t="shared" si="775"/>
        <v>8.7853902920186529E-3</v>
      </c>
      <c r="IY90" s="35">
        <f t="shared" si="776"/>
        <v>8.7853753923624774E-3</v>
      </c>
      <c r="IZ90" s="35">
        <f t="shared" si="777"/>
        <v>-2.3294220330427606E-8</v>
      </c>
      <c r="JA90" s="35">
        <f t="shared" si="778"/>
        <v>8.7853604927063001E-3</v>
      </c>
      <c r="JB90" s="35">
        <f t="shared" si="779"/>
        <v>8.7853753923624774E-3</v>
      </c>
      <c r="JC90" s="35">
        <f t="shared" si="780"/>
        <v>8.7853679425343896E-3</v>
      </c>
      <c r="JD90" s="35">
        <f t="shared" si="781"/>
        <v>8.7293754225115094E-8</v>
      </c>
      <c r="JE90" s="35">
        <f t="shared" si="782"/>
        <v>8.7853679425343896E-3</v>
      </c>
      <c r="JF90" s="35">
        <f t="shared" si="783"/>
        <v>8.7853753923624774E-3</v>
      </c>
      <c r="JG90" s="35">
        <f t="shared" si="784"/>
        <v>8.7853716674484335E-3</v>
      </c>
      <c r="JH90" s="35">
        <f t="shared" si="785"/>
        <v>3.1999763949741578E-8</v>
      </c>
      <c r="JI90" s="35">
        <f t="shared" si="786"/>
        <v>8.7853716674484335E-3</v>
      </c>
      <c r="JJ90" s="35">
        <f t="shared" si="787"/>
        <v>8.7853753923624774E-3</v>
      </c>
      <c r="JK90" s="35">
        <f t="shared" si="788"/>
        <v>8.7853735299054554E-3</v>
      </c>
      <c r="JL90" s="35">
        <f t="shared" si="789"/>
        <v>4.3527699222778438E-9</v>
      </c>
      <c r="JM90" s="35">
        <f t="shared" si="790"/>
        <v>8.7853735299054554E-3</v>
      </c>
      <c r="JN90" s="35">
        <f t="shared" si="791"/>
        <v>8.7853753923624774E-3</v>
      </c>
      <c r="JO90" s="35">
        <f t="shared" si="792"/>
        <v>8.7853744611339664E-3</v>
      </c>
      <c r="JP90" s="35">
        <f t="shared" si="793"/>
        <v>-9.4707242048741591E-9</v>
      </c>
      <c r="JQ90" s="35">
        <f t="shared" si="794"/>
        <v>8.7853735299054554E-3</v>
      </c>
      <c r="JR90" s="35">
        <f t="shared" si="795"/>
        <v>8.7853744611339664E-3</v>
      </c>
      <c r="JS90" s="35">
        <f t="shared" si="796"/>
        <v>8.7853739955197109E-3</v>
      </c>
      <c r="JT90" s="35">
        <f t="shared" si="797"/>
        <v>-2.5589779184542749E-9</v>
      </c>
      <c r="JU90" s="35">
        <f t="shared" si="798"/>
        <v>8.7853735299054554E-3</v>
      </c>
      <c r="JV90" s="35">
        <f t="shared" si="799"/>
        <v>8.7853739955197109E-3</v>
      </c>
      <c r="JW90" s="35">
        <f t="shared" si="800"/>
        <v>8.7853737627125832E-3</v>
      </c>
      <c r="JX90" s="35">
        <f t="shared" si="801"/>
        <v>8.9689655702329674E-10</v>
      </c>
      <c r="JY90" s="35">
        <f t="shared" si="802"/>
        <v>8.7853737627125832E-3</v>
      </c>
      <c r="JZ90" s="35">
        <f t="shared" si="803"/>
        <v>8.7853739955197109E-3</v>
      </c>
      <c r="KA90" s="35">
        <f t="shared" si="804"/>
        <v>1.0949721017619596</v>
      </c>
      <c r="KB90" s="35">
        <f t="shared" si="805"/>
        <v>8.785373879116147E-3</v>
      </c>
    </row>
    <row r="91" spans="1:288" ht="15" customHeight="1" x14ac:dyDescent="0.3">
      <c r="A91" s="30">
        <f>Odds_Input!A91</f>
        <v>83</v>
      </c>
      <c r="B91" s="7" t="str">
        <f>Odds_Input!B91</f>
        <v>DIV_PACIFIC</v>
      </c>
      <c r="C91" s="7" t="str">
        <f>Odds_Input!C91</f>
        <v>Phoenix Suns</v>
      </c>
      <c r="D91" s="7" t="str">
        <f>Odds_Input!D91</f>
        <v>YES</v>
      </c>
      <c r="E91" s="31" t="str">
        <f>Odds_Input!E91</f>
        <v>-</v>
      </c>
      <c r="F91" s="32">
        <f>Odds_Input!F91</f>
        <v>400</v>
      </c>
      <c r="G91" s="6" t="str">
        <f t="shared" si="533"/>
        <v>DIV_PACIFIC</v>
      </c>
      <c r="H91" s="14">
        <f t="shared" si="534"/>
        <v>5</v>
      </c>
      <c r="I91" s="33">
        <f t="shared" si="535"/>
        <v>0.2</v>
      </c>
      <c r="J91" s="17">
        <f t="shared" si="536"/>
        <v>1</v>
      </c>
      <c r="K91" s="17">
        <f t="shared" si="537"/>
        <v>5</v>
      </c>
      <c r="L91" s="18">
        <f t="shared" si="538"/>
        <v>1.1183220337576816</v>
      </c>
      <c r="M91" s="34">
        <f t="shared" si="539"/>
        <v>0.11832203375768158</v>
      </c>
      <c r="N91" s="33">
        <f t="shared" si="540"/>
        <v>0.17883936286936836</v>
      </c>
      <c r="O91" s="33">
        <f t="shared" si="541"/>
        <v>0.16590491243060546</v>
      </c>
      <c r="P91" s="33">
        <f t="shared" si="542"/>
        <v>0.17371413117844284</v>
      </c>
      <c r="Q91" s="33">
        <f t="shared" si="543"/>
        <v>0.17371413117844284</v>
      </c>
      <c r="R91" s="35">
        <f t="shared" si="544"/>
        <v>1.1161290892632678</v>
      </c>
      <c r="S91" s="35">
        <f t="shared" si="545"/>
        <v>3.8953388235045946E-2</v>
      </c>
      <c r="X91" s="6" t="s">
        <v>456</v>
      </c>
      <c r="Y91" s="6">
        <f t="shared" si="546"/>
        <v>1</v>
      </c>
      <c r="Z91" s="18">
        <f t="shared" si="547"/>
        <v>1.1852000857732747</v>
      </c>
      <c r="AA91" s="10">
        <v>0.2</v>
      </c>
      <c r="AB91" s="10">
        <v>10</v>
      </c>
      <c r="AC91" s="35">
        <f t="shared" si="548"/>
        <v>5.0999999999999996</v>
      </c>
      <c r="AD91" s="35">
        <f t="shared" si="549"/>
        <v>-0.95287340498586826</v>
      </c>
      <c r="AE91" s="35">
        <f t="shared" si="550"/>
        <v>0.2</v>
      </c>
      <c r="AF91" s="35">
        <f t="shared" si="551"/>
        <v>5.0999999999999996</v>
      </c>
      <c r="AG91" s="35">
        <f t="shared" si="552"/>
        <v>2.65</v>
      </c>
      <c r="AH91" s="35">
        <f t="shared" si="553"/>
        <v>-0.76079776859693427</v>
      </c>
      <c r="AI91" s="35">
        <f t="shared" si="554"/>
        <v>0.2</v>
      </c>
      <c r="AJ91" s="35">
        <f t="shared" si="555"/>
        <v>2.65</v>
      </c>
      <c r="AK91" s="35">
        <f t="shared" si="556"/>
        <v>1.425</v>
      </c>
      <c r="AL91" s="35">
        <f t="shared" si="557"/>
        <v>-0.32443152257369789</v>
      </c>
      <c r="AM91" s="35">
        <f t="shared" si="558"/>
        <v>0.2</v>
      </c>
      <c r="AN91" s="35">
        <f t="shared" si="559"/>
        <v>1.425</v>
      </c>
      <c r="AO91" s="35">
        <f t="shared" si="560"/>
        <v>0.8125</v>
      </c>
      <c r="AP91" s="35">
        <f t="shared" si="561"/>
        <v>0.66464191276547435</v>
      </c>
      <c r="AQ91" s="35">
        <f t="shared" si="562"/>
        <v>0.8125</v>
      </c>
      <c r="AR91" s="35">
        <f t="shared" si="563"/>
        <v>1.425</v>
      </c>
      <c r="AS91" s="35">
        <f t="shared" si="564"/>
        <v>1.1187499999999999</v>
      </c>
      <c r="AT91" s="35">
        <f t="shared" si="565"/>
        <v>-1.0905545434665043E-2</v>
      </c>
      <c r="AU91" s="35">
        <f t="shared" si="566"/>
        <v>0.8125</v>
      </c>
      <c r="AV91" s="35">
        <f t="shared" si="567"/>
        <v>1.1187499999999999</v>
      </c>
      <c r="AW91" s="35">
        <f t="shared" si="568"/>
        <v>0.96562499999999996</v>
      </c>
      <c r="AX91" s="35">
        <f t="shared" si="569"/>
        <v>0.2545987556584195</v>
      </c>
      <c r="AY91" s="35">
        <f t="shared" si="570"/>
        <v>0.96562499999999996</v>
      </c>
      <c r="AZ91" s="35">
        <f t="shared" si="571"/>
        <v>1.1187499999999999</v>
      </c>
      <c r="BA91" s="35">
        <f t="shared" si="572"/>
        <v>1.0421874999999998</v>
      </c>
      <c r="BB91" s="35">
        <f t="shared" si="573"/>
        <v>0.10847805758810569</v>
      </c>
      <c r="BC91" s="35">
        <f t="shared" si="574"/>
        <v>1.0421874999999998</v>
      </c>
      <c r="BD91" s="35">
        <f t="shared" si="575"/>
        <v>1.1187499999999999</v>
      </c>
      <c r="BE91" s="35">
        <f t="shared" si="576"/>
        <v>1.0804687499999999</v>
      </c>
      <c r="BF91" s="35">
        <f t="shared" si="577"/>
        <v>4.5881684854317983E-2</v>
      </c>
      <c r="BG91" s="35">
        <f t="shared" si="578"/>
        <v>1.0804687499999999</v>
      </c>
      <c r="BH91" s="35">
        <f t="shared" si="579"/>
        <v>1.1187499999999999</v>
      </c>
      <c r="BI91" s="35">
        <f t="shared" si="580"/>
        <v>1.099609375</v>
      </c>
      <c r="BJ91" s="35">
        <f t="shared" si="581"/>
        <v>1.6809469624413875E-2</v>
      </c>
      <c r="BK91" s="35">
        <f t="shared" si="582"/>
        <v>1.099609375</v>
      </c>
      <c r="BL91" s="35">
        <f t="shared" si="583"/>
        <v>1.1187499999999999</v>
      </c>
      <c r="BM91" s="35">
        <f t="shared" si="584"/>
        <v>1.1091796875</v>
      </c>
      <c r="BN91" s="35">
        <f t="shared" si="585"/>
        <v>2.7878620351631245E-3</v>
      </c>
      <c r="BO91" s="35">
        <f t="shared" si="586"/>
        <v>1.1091796875</v>
      </c>
      <c r="BP91" s="35">
        <f t="shared" si="587"/>
        <v>1.1187499999999999</v>
      </c>
      <c r="BQ91" s="35">
        <f t="shared" si="588"/>
        <v>1.1139648437499998</v>
      </c>
      <c r="BR91" s="35">
        <f t="shared" si="589"/>
        <v>-4.0991960176414155E-3</v>
      </c>
      <c r="BS91" s="35">
        <f t="shared" si="590"/>
        <v>1.1091796875</v>
      </c>
      <c r="BT91" s="35">
        <f t="shared" si="591"/>
        <v>1.1139648437499998</v>
      </c>
      <c r="BU91" s="35">
        <f t="shared" si="592"/>
        <v>1.111572265625</v>
      </c>
      <c r="BV91" s="35">
        <f t="shared" si="593"/>
        <v>-6.6583840652956194E-4</v>
      </c>
      <c r="BW91" s="35">
        <f t="shared" si="594"/>
        <v>1.1091796875</v>
      </c>
      <c r="BX91" s="35">
        <f t="shared" si="595"/>
        <v>1.111572265625</v>
      </c>
      <c r="BY91" s="35">
        <f t="shared" si="596"/>
        <v>1.1103759765625001</v>
      </c>
      <c r="BZ91" s="35">
        <f t="shared" si="597"/>
        <v>1.0584585192197071E-3</v>
      </c>
      <c r="CA91" s="35">
        <f t="shared" si="598"/>
        <v>1.1103759765625001</v>
      </c>
      <c r="CB91" s="35">
        <f t="shared" si="599"/>
        <v>1.111572265625</v>
      </c>
      <c r="CC91" s="35">
        <f t="shared" si="600"/>
        <v>1.11097412109375</v>
      </c>
      <c r="CD91" s="35">
        <f t="shared" si="601"/>
        <v>1.9567304163126131E-4</v>
      </c>
      <c r="CE91" s="35">
        <f t="shared" si="602"/>
        <v>1.11097412109375</v>
      </c>
      <c r="CF91" s="35">
        <f t="shared" si="603"/>
        <v>1.111572265625</v>
      </c>
      <c r="CG91" s="35">
        <f t="shared" si="604"/>
        <v>1.1112731933593749</v>
      </c>
      <c r="CH91" s="35">
        <f t="shared" si="605"/>
        <v>-2.3524177283684722E-4</v>
      </c>
      <c r="CI91" s="35">
        <f t="shared" si="606"/>
        <v>1.11097412109375</v>
      </c>
      <c r="CJ91" s="35">
        <f t="shared" si="607"/>
        <v>1.1112731933593749</v>
      </c>
      <c r="CK91" s="35">
        <f t="shared" si="608"/>
        <v>1.1111236572265626</v>
      </c>
      <c r="CL91" s="35">
        <f t="shared" si="609"/>
        <v>-1.9824158595915797E-5</v>
      </c>
      <c r="CM91" s="35">
        <f t="shared" si="610"/>
        <v>1.11097412109375</v>
      </c>
      <c r="CN91" s="35">
        <f t="shared" si="611"/>
        <v>1.1111236572265626</v>
      </c>
      <c r="CO91" s="35">
        <f t="shared" si="612"/>
        <v>1.1110488891601564</v>
      </c>
      <c r="CP91" s="35">
        <f t="shared" si="613"/>
        <v>8.7914490718210558E-5</v>
      </c>
      <c r="CQ91" s="35">
        <f t="shared" si="614"/>
        <v>1.1110488891601564</v>
      </c>
      <c r="CR91" s="35">
        <f t="shared" si="615"/>
        <v>1.1111236572265626</v>
      </c>
      <c r="CS91" s="35">
        <f t="shared" si="616"/>
        <v>1.1110862731933595</v>
      </c>
      <c r="CT91" s="35">
        <f t="shared" si="617"/>
        <v>3.4042678680235028E-5</v>
      </c>
      <c r="CU91" s="35">
        <f t="shared" si="618"/>
        <v>1.1110862731933595</v>
      </c>
      <c r="CV91" s="35">
        <f t="shared" si="619"/>
        <v>1.1111236572265626</v>
      </c>
      <c r="CW91" s="35">
        <f t="shared" si="620"/>
        <v>1.1111049652099609</v>
      </c>
      <c r="CX91" s="35">
        <f t="shared" si="621"/>
        <v>7.1086382367191447E-6</v>
      </c>
      <c r="CY91" s="35">
        <f t="shared" si="622"/>
        <v>1.1111049652099609</v>
      </c>
      <c r="CZ91" s="35">
        <f t="shared" si="623"/>
        <v>1.1111236572265626</v>
      </c>
      <c r="DA91" s="35">
        <f t="shared" si="624"/>
        <v>1.1111143112182618</v>
      </c>
      <c r="DB91" s="35">
        <f t="shared" si="625"/>
        <v>-6.3579156258652958E-6</v>
      </c>
      <c r="DC91" s="35">
        <f t="shared" si="626"/>
        <v>1.1111049652099609</v>
      </c>
      <c r="DD91" s="35">
        <f t="shared" si="627"/>
        <v>1.1111143112182618</v>
      </c>
      <c r="DE91" s="35">
        <f t="shared" si="628"/>
        <v>1.1111096382141112</v>
      </c>
      <c r="DF91" s="35">
        <f t="shared" si="629"/>
        <v>3.7532244356874855E-7</v>
      </c>
      <c r="DG91" s="35">
        <f t="shared" si="630"/>
        <v>1.1111096382141112</v>
      </c>
      <c r="DH91" s="35">
        <f t="shared" si="631"/>
        <v>1.1111143112182618</v>
      </c>
      <c r="DI91" s="35">
        <f t="shared" si="632"/>
        <v>1.1111119747161866</v>
      </c>
      <c r="DJ91" s="35">
        <f t="shared" si="633"/>
        <v>-2.991306306654451E-6</v>
      </c>
      <c r="DK91" s="35">
        <f t="shared" si="634"/>
        <v>1.1111096382141112</v>
      </c>
      <c r="DL91" s="35">
        <f t="shared" si="635"/>
        <v>1.1111119747161866</v>
      </c>
      <c r="DM91" s="35">
        <f t="shared" si="636"/>
        <v>1.1111108064651489</v>
      </c>
      <c r="DN91" s="35">
        <f t="shared" si="637"/>
        <v>-1.3079943603777622E-6</v>
      </c>
      <c r="DO91" s="35">
        <f t="shared" si="638"/>
        <v>1.1111096382141112</v>
      </c>
      <c r="DP91" s="35">
        <f t="shared" si="639"/>
        <v>1.1111108064651489</v>
      </c>
      <c r="DQ91" s="35">
        <f t="shared" si="640"/>
        <v>1.1111102223396301</v>
      </c>
      <c r="DR91" s="35">
        <f t="shared" si="641"/>
        <v>-4.6633656591854589E-7</v>
      </c>
      <c r="DS91" s="35">
        <f t="shared" si="642"/>
        <v>1.1111096382141112</v>
      </c>
      <c r="DT91" s="35">
        <f t="shared" si="643"/>
        <v>1.1111102223396301</v>
      </c>
      <c r="DU91" s="35">
        <f t="shared" si="644"/>
        <v>1.1111099302768705</v>
      </c>
      <c r="DV91" s="35">
        <f t="shared" si="645"/>
        <v>-4.5507212664830377E-8</v>
      </c>
      <c r="DW91" s="35">
        <f t="shared" si="646"/>
        <v>1.1111096382141112</v>
      </c>
      <c r="DX91" s="35">
        <f t="shared" si="647"/>
        <v>1.1111099302768705</v>
      </c>
      <c r="DY91" s="35">
        <f t="shared" si="648"/>
        <v>1.1111097842454909</v>
      </c>
      <c r="DZ91" s="35">
        <f t="shared" si="649"/>
        <v>1.6490757714926474E-7</v>
      </c>
      <c r="EA91" s="35">
        <f t="shared" si="650"/>
        <v>1.1111097842454909</v>
      </c>
      <c r="EB91" s="35">
        <f t="shared" si="651"/>
        <v>1.1111099302768705</v>
      </c>
      <c r="EC91" s="35">
        <f t="shared" si="652"/>
        <v>1.1111098572611806</v>
      </c>
      <c r="ED91" s="35">
        <f t="shared" si="653"/>
        <v>5.9700173027366077E-8</v>
      </c>
      <c r="EE91" s="35">
        <f t="shared" si="654"/>
        <v>1.1111098572611806</v>
      </c>
      <c r="EF91" s="35">
        <f t="shared" si="655"/>
        <v>1.1111099302768705</v>
      </c>
      <c r="EG91" s="35">
        <f t="shared" si="656"/>
        <v>1.1111098937690256</v>
      </c>
      <c r="EH91" s="35">
        <f t="shared" si="657"/>
        <v>7.0964780718441034E-9</v>
      </c>
      <c r="EI91" s="35">
        <f t="shared" si="658"/>
        <v>1.1111098937690256</v>
      </c>
      <c r="EJ91" s="35">
        <f t="shared" si="659"/>
        <v>1.1111099302768705</v>
      </c>
      <c r="EK91" s="35">
        <f t="shared" si="660"/>
        <v>1.1111099120229482</v>
      </c>
      <c r="EL91" s="35">
        <f t="shared" si="661"/>
        <v>-1.9205368406716161E-8</v>
      </c>
      <c r="EM91" s="35">
        <f t="shared" si="662"/>
        <v>1.1111098937690256</v>
      </c>
      <c r="EN91" s="35">
        <f t="shared" si="663"/>
        <v>1.1111099120229482</v>
      </c>
      <c r="EO91" s="35">
        <f t="shared" si="664"/>
        <v>1.1111099028959868</v>
      </c>
      <c r="EP91" s="35">
        <f t="shared" si="665"/>
        <v>-6.0544455005029363E-9</v>
      </c>
      <c r="EQ91" s="35">
        <f t="shared" si="666"/>
        <v>1.1111098937690256</v>
      </c>
      <c r="ER91" s="35">
        <f t="shared" si="667"/>
        <v>1.1111099028959868</v>
      </c>
      <c r="ES91" s="35">
        <f t="shared" si="668"/>
        <v>1.1111098983325061</v>
      </c>
      <c r="ET91" s="35">
        <f t="shared" si="669"/>
        <v>5.2101611913712986E-10</v>
      </c>
      <c r="EU91" s="35">
        <f t="shared" si="670"/>
        <v>1.1111098983325061</v>
      </c>
      <c r="EV91" s="35">
        <f t="shared" si="671"/>
        <v>1.1111099028959868</v>
      </c>
      <c r="EW91" s="35">
        <f t="shared" si="672"/>
        <v>1.1111099006142464</v>
      </c>
      <c r="EX91" s="35">
        <f t="shared" si="673"/>
        <v>-2.7667145241494495E-9</v>
      </c>
      <c r="EY91" s="35">
        <f t="shared" si="674"/>
        <v>1.1111098983325061</v>
      </c>
      <c r="EZ91" s="35">
        <f t="shared" si="675"/>
        <v>1.1111099006142464</v>
      </c>
      <c r="FA91" s="10">
        <v>9.9999999999999995E-7</v>
      </c>
      <c r="FB91" s="10">
        <v>0.99990000000000001</v>
      </c>
      <c r="FC91" s="35">
        <f t="shared" si="676"/>
        <v>0.49995050000000002</v>
      </c>
      <c r="FD91" s="35">
        <f t="shared" si="677"/>
        <v>-0.48476003210714624</v>
      </c>
      <c r="FE91" s="35">
        <f t="shared" si="678"/>
        <v>9.9999999999999995E-7</v>
      </c>
      <c r="FF91" s="35">
        <f t="shared" si="679"/>
        <v>0.49995050000000002</v>
      </c>
      <c r="FG91" s="35">
        <f t="shared" si="680"/>
        <v>0.24997575</v>
      </c>
      <c r="FH91" s="35">
        <f t="shared" si="681"/>
        <v>-0.33641529283164118</v>
      </c>
      <c r="FI91" s="35">
        <f t="shared" si="682"/>
        <v>9.9999999999999995E-7</v>
      </c>
      <c r="FJ91" s="35">
        <f t="shared" si="683"/>
        <v>0.24997575</v>
      </c>
      <c r="FK91" s="35">
        <f t="shared" si="684"/>
        <v>0.124988375</v>
      </c>
      <c r="FL91" s="35">
        <f t="shared" si="685"/>
        <v>-0.22507093336775408</v>
      </c>
      <c r="FM91" s="35">
        <f t="shared" si="686"/>
        <v>9.9999999999999995E-7</v>
      </c>
      <c r="FN91" s="35">
        <f t="shared" si="687"/>
        <v>0.124988375</v>
      </c>
      <c r="FO91" s="35">
        <f t="shared" si="688"/>
        <v>6.24946875E-2</v>
      </c>
      <c r="FP91" s="35">
        <f t="shared" si="689"/>
        <v>-0.13688404043599645</v>
      </c>
      <c r="FQ91" s="35">
        <f t="shared" si="690"/>
        <v>9.9999999999999995E-7</v>
      </c>
      <c r="FR91" s="35">
        <f t="shared" si="691"/>
        <v>6.24946875E-2</v>
      </c>
      <c r="FS91" s="35">
        <f t="shared" si="692"/>
        <v>3.124784375E-2</v>
      </c>
      <c r="FT91" s="35">
        <f t="shared" si="693"/>
        <v>-6.625018771564295E-2</v>
      </c>
      <c r="FU91" s="35">
        <f t="shared" si="694"/>
        <v>9.9999999999999995E-7</v>
      </c>
      <c r="FV91" s="35">
        <f t="shared" si="695"/>
        <v>3.124784375E-2</v>
      </c>
      <c r="FW91" s="35">
        <f t="shared" si="696"/>
        <v>1.5624421875000001E-2</v>
      </c>
      <c r="FX91" s="35">
        <f t="shared" si="697"/>
        <v>-1.1863644541302176E-2</v>
      </c>
      <c r="FY91" s="35">
        <f t="shared" si="698"/>
        <v>9.9999999999999995E-7</v>
      </c>
      <c r="FZ91" s="35">
        <f t="shared" si="699"/>
        <v>1.5624421875000001E-2</v>
      </c>
      <c r="GA91" s="35">
        <f t="shared" si="700"/>
        <v>7.8127109375E-3</v>
      </c>
      <c r="GB91" s="35">
        <f t="shared" si="701"/>
        <v>2.7764092378630867E-2</v>
      </c>
      <c r="GC91" s="35">
        <f t="shared" si="702"/>
        <v>7.8127109375E-3</v>
      </c>
      <c r="GD91" s="35">
        <f t="shared" si="703"/>
        <v>1.5624421875000001E-2</v>
      </c>
      <c r="GE91" s="35">
        <f t="shared" si="704"/>
        <v>1.171856640625E-2</v>
      </c>
      <c r="GF91" s="35">
        <f t="shared" si="705"/>
        <v>6.274344417697586E-3</v>
      </c>
      <c r="GG91" s="35">
        <f t="shared" si="706"/>
        <v>1.171856640625E-2</v>
      </c>
      <c r="GH91" s="35">
        <f t="shared" si="707"/>
        <v>1.5624421875000001E-2</v>
      </c>
      <c r="GI91" s="35">
        <f t="shared" si="708"/>
        <v>1.3671494140625001E-2</v>
      </c>
      <c r="GJ91" s="35">
        <f t="shared" si="709"/>
        <v>-3.136552634991796E-3</v>
      </c>
      <c r="GK91" s="35">
        <f t="shared" si="710"/>
        <v>1.171856640625E-2</v>
      </c>
      <c r="GL91" s="35">
        <f t="shared" si="711"/>
        <v>1.3671494140625001E-2</v>
      </c>
      <c r="GM91" s="35">
        <f t="shared" si="712"/>
        <v>1.2695030273437501E-2</v>
      </c>
      <c r="GN91" s="35">
        <f t="shared" si="713"/>
        <v>1.4754357808550722E-3</v>
      </c>
      <c r="GO91" s="35">
        <f t="shared" si="714"/>
        <v>1.2695030273437501E-2</v>
      </c>
      <c r="GP91" s="35">
        <f t="shared" si="715"/>
        <v>1.3671494140625001E-2</v>
      </c>
      <c r="GQ91" s="35">
        <f t="shared" si="716"/>
        <v>1.3183262207031251E-2</v>
      </c>
      <c r="GR91" s="35">
        <f t="shared" si="717"/>
        <v>-8.5283929659674129E-4</v>
      </c>
      <c r="GS91" s="35">
        <f t="shared" si="718"/>
        <v>1.2695030273437501E-2</v>
      </c>
      <c r="GT91" s="35">
        <f t="shared" si="719"/>
        <v>1.3183262207031251E-2</v>
      </c>
      <c r="GU91" s="35">
        <f t="shared" si="720"/>
        <v>1.2939146240234376E-2</v>
      </c>
      <c r="GV91" s="35">
        <f t="shared" si="721"/>
        <v>3.0559836515431371E-4</v>
      </c>
      <c r="GW91" s="35">
        <f t="shared" si="722"/>
        <v>1.2939146240234376E-2</v>
      </c>
      <c r="GX91" s="35">
        <f t="shared" si="723"/>
        <v>1.3183262207031251E-2</v>
      </c>
      <c r="GY91" s="35">
        <f t="shared" si="724"/>
        <v>1.3061204223632814E-2</v>
      </c>
      <c r="GZ91" s="35">
        <f t="shared" si="725"/>
        <v>-2.7502887714137003E-4</v>
      </c>
      <c r="HA91" s="35">
        <f t="shared" si="726"/>
        <v>1.2939146240234376E-2</v>
      </c>
      <c r="HB91" s="35">
        <f t="shared" si="727"/>
        <v>1.3061204223632814E-2</v>
      </c>
      <c r="HC91" s="35">
        <f t="shared" si="728"/>
        <v>1.3000175231933595E-2</v>
      </c>
      <c r="HD91" s="35">
        <f t="shared" si="729"/>
        <v>1.4930593803752501E-5</v>
      </c>
      <c r="HE91" s="35">
        <f t="shared" si="730"/>
        <v>1.3000175231933595E-2</v>
      </c>
      <c r="HF91" s="35">
        <f t="shared" si="731"/>
        <v>1.3061204223632814E-2</v>
      </c>
      <c r="HG91" s="35">
        <f t="shared" si="732"/>
        <v>1.3030689727783203E-2</v>
      </c>
      <c r="HH91" s="35">
        <f t="shared" si="733"/>
        <v>-1.3013742191725353E-4</v>
      </c>
      <c r="HI91" s="35">
        <f t="shared" si="734"/>
        <v>1.3000175231933595E-2</v>
      </c>
      <c r="HJ91" s="35">
        <f t="shared" si="735"/>
        <v>1.3030689727783203E-2</v>
      </c>
      <c r="HK91" s="35">
        <f t="shared" si="736"/>
        <v>1.30154324798584E-2</v>
      </c>
      <c r="HL91" s="35">
        <f t="shared" si="737"/>
        <v>-5.7625516194592663E-5</v>
      </c>
      <c r="HM91" s="35">
        <f t="shared" si="738"/>
        <v>1.3000175231933595E-2</v>
      </c>
      <c r="HN91" s="35">
        <f t="shared" si="739"/>
        <v>1.30154324798584E-2</v>
      </c>
      <c r="HO91" s="35">
        <f t="shared" si="740"/>
        <v>1.3007803855895998E-2</v>
      </c>
      <c r="HP91" s="35">
        <f t="shared" si="741"/>
        <v>-2.135299074623731E-5</v>
      </c>
      <c r="HQ91" s="35">
        <f t="shared" si="742"/>
        <v>1.3000175231933595E-2</v>
      </c>
      <c r="HR91" s="35">
        <f t="shared" si="743"/>
        <v>1.3007803855895998E-2</v>
      </c>
      <c r="HS91" s="35">
        <f t="shared" si="744"/>
        <v>1.3003989543914796E-2</v>
      </c>
      <c r="HT91" s="35">
        <f t="shared" si="745"/>
        <v>-3.2125813613781418E-6</v>
      </c>
      <c r="HU91" s="35">
        <f t="shared" si="746"/>
        <v>1.3000175231933595E-2</v>
      </c>
      <c r="HV91" s="35">
        <f t="shared" si="747"/>
        <v>1.3003989543914796E-2</v>
      </c>
      <c r="HW91" s="35">
        <f t="shared" si="748"/>
        <v>1.3002082387924194E-2</v>
      </c>
      <c r="HX91" s="35">
        <f t="shared" si="749"/>
        <v>5.8586604356758443E-6</v>
      </c>
      <c r="HY91" s="35">
        <f t="shared" si="750"/>
        <v>1.3002082387924194E-2</v>
      </c>
      <c r="HZ91" s="35">
        <f t="shared" si="751"/>
        <v>1.3003989543914796E-2</v>
      </c>
      <c r="IA91" s="35">
        <f t="shared" si="752"/>
        <v>1.3003035965919495E-2</v>
      </c>
      <c r="IB91" s="35">
        <f t="shared" si="753"/>
        <v>1.3229530990699345E-6</v>
      </c>
      <c r="IC91" s="35">
        <f t="shared" si="754"/>
        <v>1.3003035965919495E-2</v>
      </c>
      <c r="ID91" s="35">
        <f t="shared" si="755"/>
        <v>1.3003989543914796E-2</v>
      </c>
      <c r="IE91" s="35">
        <f t="shared" si="756"/>
        <v>1.3003512754917144E-2</v>
      </c>
      <c r="IF91" s="35">
        <f t="shared" si="757"/>
        <v>-9.4483574009096571E-7</v>
      </c>
      <c r="IG91" s="35">
        <f t="shared" si="758"/>
        <v>1.3003035965919495E-2</v>
      </c>
      <c r="IH91" s="35">
        <f t="shared" si="759"/>
        <v>1.3003512754917144E-2</v>
      </c>
      <c r="II91" s="35">
        <f t="shared" si="760"/>
        <v>1.3003274360418319E-2</v>
      </c>
      <c r="IJ91" s="35">
        <f t="shared" si="761"/>
        <v>1.8905327658913507E-7</v>
      </c>
      <c r="IK91" s="35">
        <f t="shared" si="762"/>
        <v>1.3003274360418319E-2</v>
      </c>
      <c r="IL91" s="35">
        <f t="shared" si="763"/>
        <v>1.3003512754917144E-2</v>
      </c>
      <c r="IM91" s="35">
        <f t="shared" si="764"/>
        <v>1.3003393557667732E-2</v>
      </c>
      <c r="IN91" s="35">
        <f t="shared" si="765"/>
        <v>-3.7789258244824708E-7</v>
      </c>
      <c r="IO91" s="35">
        <f t="shared" si="766"/>
        <v>1.3003274360418319E-2</v>
      </c>
      <c r="IP91" s="35">
        <f t="shared" si="767"/>
        <v>1.3003393557667732E-2</v>
      </c>
      <c r="IQ91" s="35">
        <f t="shared" si="768"/>
        <v>1.3003333959043024E-2</v>
      </c>
      <c r="IR91" s="35">
        <f t="shared" si="769"/>
        <v>-9.4419990714911251E-8</v>
      </c>
      <c r="IS91" s="35">
        <f t="shared" si="770"/>
        <v>1.3003274360418319E-2</v>
      </c>
      <c r="IT91" s="35">
        <f t="shared" si="771"/>
        <v>1.3003333959043024E-2</v>
      </c>
      <c r="IU91" s="35">
        <f t="shared" si="772"/>
        <v>1.3003304159730672E-2</v>
      </c>
      <c r="IV91" s="35">
        <f t="shared" si="773"/>
        <v>4.7316558449139734E-8</v>
      </c>
      <c r="IW91" s="35">
        <f t="shared" si="774"/>
        <v>1.3003304159730672E-2</v>
      </c>
      <c r="IX91" s="35">
        <f t="shared" si="775"/>
        <v>1.3003333959043024E-2</v>
      </c>
      <c r="IY91" s="35">
        <f t="shared" si="776"/>
        <v>1.3003319059386849E-2</v>
      </c>
      <c r="IZ91" s="35">
        <f t="shared" si="777"/>
        <v>-2.3551737560190134E-8</v>
      </c>
      <c r="JA91" s="35">
        <f t="shared" si="778"/>
        <v>1.3003304159730672E-2</v>
      </c>
      <c r="JB91" s="35">
        <f t="shared" si="779"/>
        <v>1.3003319059386849E-2</v>
      </c>
      <c r="JC91" s="35">
        <f t="shared" si="780"/>
        <v>1.3003311609558761E-2</v>
      </c>
      <c r="JD91" s="35">
        <f t="shared" si="781"/>
        <v>1.1882405059893131E-8</v>
      </c>
      <c r="JE91" s="35">
        <f t="shared" si="782"/>
        <v>1.3003311609558761E-2</v>
      </c>
      <c r="JF91" s="35">
        <f t="shared" si="783"/>
        <v>1.3003319059386849E-2</v>
      </c>
      <c r="JG91" s="35">
        <f t="shared" si="784"/>
        <v>1.3003315334472805E-2</v>
      </c>
      <c r="JH91" s="35">
        <f t="shared" si="785"/>
        <v>-5.8346676379272822E-9</v>
      </c>
      <c r="JI91" s="35">
        <f t="shared" si="786"/>
        <v>1.3003311609558761E-2</v>
      </c>
      <c r="JJ91" s="35">
        <f t="shared" si="787"/>
        <v>1.3003315334472805E-2</v>
      </c>
      <c r="JK91" s="35">
        <f t="shared" si="788"/>
        <v>1.3003313472015783E-2</v>
      </c>
      <c r="JL91" s="35">
        <f t="shared" si="789"/>
        <v>3.0238687109829243E-9</v>
      </c>
      <c r="JM91" s="35">
        <f t="shared" si="790"/>
        <v>1.3003313472015783E-2</v>
      </c>
      <c r="JN91" s="35">
        <f t="shared" si="791"/>
        <v>1.3003315334472805E-2</v>
      </c>
      <c r="JO91" s="35">
        <f t="shared" si="792"/>
        <v>1.3003314403244294E-2</v>
      </c>
      <c r="JP91" s="35">
        <f t="shared" si="793"/>
        <v>-1.4053997965390863E-9</v>
      </c>
      <c r="JQ91" s="35">
        <f t="shared" si="794"/>
        <v>1.3003313472015783E-2</v>
      </c>
      <c r="JR91" s="35">
        <f t="shared" si="795"/>
        <v>1.3003314403244294E-2</v>
      </c>
      <c r="JS91" s="35">
        <f t="shared" si="796"/>
        <v>1.3003313937630039E-2</v>
      </c>
      <c r="JT91" s="35">
        <f t="shared" si="797"/>
        <v>8.0923490131112885E-10</v>
      </c>
      <c r="JU91" s="35">
        <f t="shared" si="798"/>
        <v>1.3003313937630039E-2</v>
      </c>
      <c r="JV91" s="35">
        <f t="shared" si="799"/>
        <v>1.3003314403244294E-2</v>
      </c>
      <c r="JW91" s="35">
        <f t="shared" si="800"/>
        <v>1.3003314170437166E-2</v>
      </c>
      <c r="JX91" s="35">
        <f t="shared" si="801"/>
        <v>-2.9808189250246642E-10</v>
      </c>
      <c r="JY91" s="35">
        <f t="shared" si="802"/>
        <v>1.3003313937630039E-2</v>
      </c>
      <c r="JZ91" s="35">
        <f t="shared" si="803"/>
        <v>1.3003314170437166E-2</v>
      </c>
      <c r="KA91" s="35">
        <f t="shared" si="804"/>
        <v>1.1111098994733761</v>
      </c>
      <c r="KB91" s="35">
        <f t="shared" si="805"/>
        <v>1.3003314054033602E-2</v>
      </c>
    </row>
    <row r="92" spans="1:288" ht="15" customHeight="1" x14ac:dyDescent="0.3">
      <c r="A92" s="30">
        <f>Odds_Input!A92</f>
        <v>84</v>
      </c>
      <c r="B92" s="7" t="str">
        <f>Odds_Input!B92</f>
        <v>DIV_PACIFIC</v>
      </c>
      <c r="C92" s="7" t="str">
        <f>Odds_Input!C92</f>
        <v>Sacramento Kings</v>
      </c>
      <c r="D92" s="7" t="str">
        <f>Odds_Input!D92</f>
        <v>YES</v>
      </c>
      <c r="E92" s="31" t="str">
        <f>Odds_Input!E92</f>
        <v>-</v>
      </c>
      <c r="F92" s="32">
        <f>Odds_Input!F92</f>
        <v>17000</v>
      </c>
      <c r="G92" s="6" t="str">
        <f t="shared" si="533"/>
        <v>DIV_PACIFIC</v>
      </c>
      <c r="H92" s="14">
        <f t="shared" si="534"/>
        <v>171</v>
      </c>
      <c r="I92" s="33">
        <f t="shared" si="535"/>
        <v>5.8479532163742687E-3</v>
      </c>
      <c r="J92" s="17">
        <f t="shared" si="536"/>
        <v>1</v>
      </c>
      <c r="K92" s="17">
        <f t="shared" si="537"/>
        <v>5</v>
      </c>
      <c r="L92" s="18">
        <f t="shared" si="538"/>
        <v>1.1183220337576816</v>
      </c>
      <c r="M92" s="34">
        <f t="shared" si="539"/>
        <v>0.11832203375768158</v>
      </c>
      <c r="N92" s="33">
        <f t="shared" si="540"/>
        <v>5.2292211365312377E-3</v>
      </c>
      <c r="O92" s="33">
        <f t="shared" si="541"/>
        <v>3.2187562152023205E-3</v>
      </c>
      <c r="P92" s="33">
        <f t="shared" si="542"/>
        <v>7.7040379811494665E-4</v>
      </c>
      <c r="Q92" s="33">
        <f t="shared" si="543"/>
        <v>7.7040379811494665E-4</v>
      </c>
      <c r="R92" s="35">
        <f t="shared" si="544"/>
        <v>1.1161290892632678</v>
      </c>
      <c r="S92" s="35">
        <f t="shared" si="545"/>
        <v>3.8953388235045946E-2</v>
      </c>
      <c r="X92" s="6" t="s">
        <v>458</v>
      </c>
      <c r="Y92" s="6">
        <f t="shared" si="546"/>
        <v>1</v>
      </c>
      <c r="Z92" s="18">
        <f t="shared" si="547"/>
        <v>1.2026668715421771</v>
      </c>
      <c r="AA92" s="10">
        <v>0.2</v>
      </c>
      <c r="AB92" s="10">
        <v>10</v>
      </c>
      <c r="AC92" s="35">
        <f t="shared" si="548"/>
        <v>5.0999999999999996</v>
      </c>
      <c r="AD92" s="35">
        <f t="shared" si="549"/>
        <v>-0.99881344654431059</v>
      </c>
      <c r="AE92" s="35">
        <f t="shared" si="550"/>
        <v>0.2</v>
      </c>
      <c r="AF92" s="35">
        <f t="shared" si="551"/>
        <v>5.0999999999999996</v>
      </c>
      <c r="AG92" s="35">
        <f t="shared" si="552"/>
        <v>2.65</v>
      </c>
      <c r="AH92" s="35">
        <f t="shared" si="553"/>
        <v>-0.95324784704668675</v>
      </c>
      <c r="AI92" s="35">
        <f t="shared" si="554"/>
        <v>0.2</v>
      </c>
      <c r="AJ92" s="35">
        <f t="shared" si="555"/>
        <v>2.65</v>
      </c>
      <c r="AK92" s="35">
        <f t="shared" si="556"/>
        <v>1.425</v>
      </c>
      <c r="AL92" s="35">
        <f t="shared" si="557"/>
        <v>-0.53686909725509024</v>
      </c>
      <c r="AM92" s="35">
        <f t="shared" si="558"/>
        <v>0.2</v>
      </c>
      <c r="AN92" s="35">
        <f t="shared" si="559"/>
        <v>1.425</v>
      </c>
      <c r="AO92" s="35">
        <f t="shared" si="560"/>
        <v>0.8125</v>
      </c>
      <c r="AP92" s="35">
        <f t="shared" si="561"/>
        <v>0.91464133278371906</v>
      </c>
      <c r="AQ92" s="35">
        <f t="shared" si="562"/>
        <v>0.8125</v>
      </c>
      <c r="AR92" s="35">
        <f t="shared" si="563"/>
        <v>1.425</v>
      </c>
      <c r="AS92" s="35">
        <f t="shared" si="564"/>
        <v>1.1187499999999999</v>
      </c>
      <c r="AT92" s="35">
        <f t="shared" si="565"/>
        <v>-9.0147041694581431E-2</v>
      </c>
      <c r="AU92" s="35">
        <f t="shared" si="566"/>
        <v>0.8125</v>
      </c>
      <c r="AV92" s="35">
        <f t="shared" si="567"/>
        <v>1.1187499999999999</v>
      </c>
      <c r="AW92" s="35">
        <f t="shared" si="568"/>
        <v>0.96562499999999996</v>
      </c>
      <c r="AX92" s="35">
        <f t="shared" si="569"/>
        <v>0.30658691527166249</v>
      </c>
      <c r="AY92" s="35">
        <f t="shared" si="570"/>
        <v>0.96562499999999996</v>
      </c>
      <c r="AZ92" s="35">
        <f t="shared" si="571"/>
        <v>1.1187499999999999</v>
      </c>
      <c r="BA92" s="35">
        <f t="shared" si="572"/>
        <v>1.0421874999999998</v>
      </c>
      <c r="BB92" s="35">
        <f t="shared" si="573"/>
        <v>8.7803828825906649E-2</v>
      </c>
      <c r="BC92" s="35">
        <f t="shared" si="574"/>
        <v>1.0421874999999998</v>
      </c>
      <c r="BD92" s="35">
        <f t="shared" si="575"/>
        <v>1.1187499999999999</v>
      </c>
      <c r="BE92" s="35">
        <f t="shared" si="576"/>
        <v>1.0804687499999999</v>
      </c>
      <c r="BF92" s="35">
        <f t="shared" si="577"/>
        <v>-5.6928505190692036E-3</v>
      </c>
      <c r="BG92" s="35">
        <f t="shared" si="578"/>
        <v>1.0421874999999998</v>
      </c>
      <c r="BH92" s="35">
        <f t="shared" si="579"/>
        <v>1.0804687499999999</v>
      </c>
      <c r="BI92" s="35">
        <f t="shared" si="580"/>
        <v>1.0613281249999997</v>
      </c>
      <c r="BJ92" s="35">
        <f t="shared" si="581"/>
        <v>3.9858376825693265E-2</v>
      </c>
      <c r="BK92" s="35">
        <f t="shared" si="582"/>
        <v>1.0613281249999997</v>
      </c>
      <c r="BL92" s="35">
        <f t="shared" si="583"/>
        <v>1.0804687499999999</v>
      </c>
      <c r="BM92" s="35">
        <f t="shared" si="584"/>
        <v>1.0708984374999999</v>
      </c>
      <c r="BN92" s="35">
        <f t="shared" si="585"/>
        <v>1.6792182451063509E-2</v>
      </c>
      <c r="BO92" s="35">
        <f t="shared" si="586"/>
        <v>1.0708984374999999</v>
      </c>
      <c r="BP92" s="35">
        <f t="shared" si="587"/>
        <v>1.0804687499999999</v>
      </c>
      <c r="BQ92" s="35">
        <f t="shared" si="588"/>
        <v>1.07568359375</v>
      </c>
      <c r="BR92" s="35">
        <f t="shared" si="589"/>
        <v>5.4780765674800058E-3</v>
      </c>
      <c r="BS92" s="35">
        <f t="shared" si="590"/>
        <v>1.07568359375</v>
      </c>
      <c r="BT92" s="35">
        <f t="shared" si="591"/>
        <v>1.0804687499999999</v>
      </c>
      <c r="BU92" s="35">
        <f t="shared" si="592"/>
        <v>1.0780761718749998</v>
      </c>
      <c r="BV92" s="35">
        <f t="shared" si="593"/>
        <v>-1.2515426118198114E-4</v>
      </c>
      <c r="BW92" s="35">
        <f t="shared" si="594"/>
        <v>1.07568359375</v>
      </c>
      <c r="BX92" s="35">
        <f t="shared" si="595"/>
        <v>1.0780761718749998</v>
      </c>
      <c r="BY92" s="35">
        <f t="shared" si="596"/>
        <v>1.0768798828124999</v>
      </c>
      <c r="BZ92" s="35">
        <f t="shared" si="597"/>
        <v>2.6720031579199333E-3</v>
      </c>
      <c r="CA92" s="35">
        <f t="shared" si="598"/>
        <v>1.0768798828124999</v>
      </c>
      <c r="CB92" s="35">
        <f t="shared" si="599"/>
        <v>1.0780761718749998</v>
      </c>
      <c r="CC92" s="35">
        <f t="shared" si="600"/>
        <v>1.0774780273437499</v>
      </c>
      <c r="CD92" s="35">
        <f t="shared" si="601"/>
        <v>1.272311976530105E-3</v>
      </c>
      <c r="CE92" s="35">
        <f t="shared" si="602"/>
        <v>1.0774780273437499</v>
      </c>
      <c r="CF92" s="35">
        <f t="shared" si="603"/>
        <v>1.0780761718749998</v>
      </c>
      <c r="CG92" s="35">
        <f t="shared" si="604"/>
        <v>1.0777770996093747</v>
      </c>
      <c r="CH92" s="35">
        <f t="shared" si="605"/>
        <v>5.7330099262653533E-4</v>
      </c>
      <c r="CI92" s="35">
        <f t="shared" si="606"/>
        <v>1.0777770996093747</v>
      </c>
      <c r="CJ92" s="35">
        <f t="shared" si="607"/>
        <v>1.0780761718749998</v>
      </c>
      <c r="CK92" s="35">
        <f t="shared" si="608"/>
        <v>1.0779266357421873</v>
      </c>
      <c r="CL92" s="35">
        <f t="shared" si="609"/>
        <v>2.240039310454911E-4</v>
      </c>
      <c r="CM92" s="35">
        <f t="shared" si="610"/>
        <v>1.0779266357421873</v>
      </c>
      <c r="CN92" s="35">
        <f t="shared" si="611"/>
        <v>1.0780761718749998</v>
      </c>
      <c r="CO92" s="35">
        <f t="shared" si="612"/>
        <v>1.0780014038085937</v>
      </c>
      <c r="CP92" s="35">
        <f t="shared" si="613"/>
        <v>4.9407480208651933E-5</v>
      </c>
      <c r="CQ92" s="35">
        <f t="shared" si="614"/>
        <v>1.0780014038085937</v>
      </c>
      <c r="CR92" s="35">
        <f t="shared" si="615"/>
        <v>1.0780761718749998</v>
      </c>
      <c r="CS92" s="35">
        <f t="shared" si="616"/>
        <v>1.0780387878417967</v>
      </c>
      <c r="CT92" s="35">
        <f t="shared" si="617"/>
        <v>-3.7877728674251543E-5</v>
      </c>
      <c r="CU92" s="35">
        <f t="shared" si="618"/>
        <v>1.0780014038085937</v>
      </c>
      <c r="CV92" s="35">
        <f t="shared" si="619"/>
        <v>1.0780387878417967</v>
      </c>
      <c r="CW92" s="35">
        <f t="shared" si="620"/>
        <v>1.0780200958251953</v>
      </c>
      <c r="CX92" s="35">
        <f t="shared" si="621"/>
        <v>5.7637911583530155E-6</v>
      </c>
      <c r="CY92" s="35">
        <f t="shared" si="622"/>
        <v>1.0780200958251953</v>
      </c>
      <c r="CZ92" s="35">
        <f t="shared" si="623"/>
        <v>1.0780387878417967</v>
      </c>
      <c r="DA92" s="35">
        <f t="shared" si="624"/>
        <v>1.0780294418334959</v>
      </c>
      <c r="DB92" s="35">
        <f t="shared" si="625"/>
        <v>-1.6057239901945408E-5</v>
      </c>
      <c r="DC92" s="35">
        <f t="shared" si="626"/>
        <v>1.0780200958251953</v>
      </c>
      <c r="DD92" s="35">
        <f t="shared" si="627"/>
        <v>1.0780294418334959</v>
      </c>
      <c r="DE92" s="35">
        <f t="shared" si="628"/>
        <v>1.0780247688293456</v>
      </c>
      <c r="DF92" s="35">
        <f t="shared" si="629"/>
        <v>-5.1467921587944332E-6</v>
      </c>
      <c r="DG92" s="35">
        <f t="shared" si="630"/>
        <v>1.0780200958251953</v>
      </c>
      <c r="DH92" s="35">
        <f t="shared" si="631"/>
        <v>1.0780247688293456</v>
      </c>
      <c r="DI92" s="35">
        <f t="shared" si="632"/>
        <v>1.0780224323272705</v>
      </c>
      <c r="DJ92" s="35">
        <f t="shared" si="633"/>
        <v>3.0848255305748751E-7</v>
      </c>
      <c r="DK92" s="35">
        <f t="shared" si="634"/>
        <v>1.0780224323272705</v>
      </c>
      <c r="DL92" s="35">
        <f t="shared" si="635"/>
        <v>1.0780247688293456</v>
      </c>
      <c r="DM92" s="35">
        <f t="shared" si="636"/>
        <v>1.0780236005783079</v>
      </c>
      <c r="DN92" s="35">
        <f t="shared" si="637"/>
        <v>-2.4191590394240237E-6</v>
      </c>
      <c r="DO92" s="35">
        <f t="shared" si="638"/>
        <v>1.0780224323272705</v>
      </c>
      <c r="DP92" s="35">
        <f t="shared" si="639"/>
        <v>1.0780236005783079</v>
      </c>
      <c r="DQ92" s="35">
        <f t="shared" si="640"/>
        <v>1.0780230164527893</v>
      </c>
      <c r="DR92" s="35">
        <f t="shared" si="641"/>
        <v>-1.0553393027246116E-6</v>
      </c>
      <c r="DS92" s="35">
        <f t="shared" si="642"/>
        <v>1.0780224323272705</v>
      </c>
      <c r="DT92" s="35">
        <f t="shared" si="643"/>
        <v>1.0780230164527893</v>
      </c>
      <c r="DU92" s="35">
        <f t="shared" si="644"/>
        <v>1.07802272439003</v>
      </c>
      <c r="DV92" s="35">
        <f t="shared" si="645"/>
        <v>-3.7342863978828689E-7</v>
      </c>
      <c r="DW92" s="35">
        <f t="shared" si="646"/>
        <v>1.0780224323272705</v>
      </c>
      <c r="DX92" s="35">
        <f t="shared" si="647"/>
        <v>1.07802272439003</v>
      </c>
      <c r="DY92" s="35">
        <f t="shared" si="648"/>
        <v>1.0780225783586501</v>
      </c>
      <c r="DZ92" s="35">
        <f t="shared" si="649"/>
        <v>-3.2473108868558143E-8</v>
      </c>
      <c r="EA92" s="35">
        <f t="shared" si="650"/>
        <v>1.0780224323272705</v>
      </c>
      <c r="EB92" s="35">
        <f t="shared" si="651"/>
        <v>1.0780225783586501</v>
      </c>
      <c r="EC92" s="35">
        <f t="shared" si="652"/>
        <v>1.0780225053429602</v>
      </c>
      <c r="ED92" s="35">
        <f t="shared" si="653"/>
        <v>1.3800470544111931E-7</v>
      </c>
      <c r="EE92" s="35">
        <f t="shared" si="654"/>
        <v>1.0780225053429602</v>
      </c>
      <c r="EF92" s="35">
        <f t="shared" si="655"/>
        <v>1.0780225783586501</v>
      </c>
      <c r="EG92" s="35">
        <f t="shared" si="656"/>
        <v>1.0780225418508051</v>
      </c>
      <c r="EH92" s="35">
        <f t="shared" si="657"/>
        <v>5.2765794178455394E-8</v>
      </c>
      <c r="EI92" s="35">
        <f t="shared" si="658"/>
        <v>1.0780225418508051</v>
      </c>
      <c r="EJ92" s="35">
        <f t="shared" si="659"/>
        <v>1.0780225783586501</v>
      </c>
      <c r="EK92" s="35">
        <f t="shared" si="660"/>
        <v>1.0780225601047277</v>
      </c>
      <c r="EL92" s="35">
        <f t="shared" si="661"/>
        <v>1.0146340656547181E-8</v>
      </c>
      <c r="EM92" s="35">
        <f t="shared" si="662"/>
        <v>1.0780225601047277</v>
      </c>
      <c r="EN92" s="35">
        <f t="shared" si="663"/>
        <v>1.0780225783586501</v>
      </c>
      <c r="EO92" s="35">
        <f t="shared" si="664"/>
        <v>1.0780225692316889</v>
      </c>
      <c r="EP92" s="35">
        <f t="shared" si="665"/>
        <v>-1.1163384661116993E-8</v>
      </c>
      <c r="EQ92" s="35">
        <f t="shared" si="666"/>
        <v>1.0780225601047277</v>
      </c>
      <c r="ER92" s="35">
        <f t="shared" si="667"/>
        <v>1.0780225692316889</v>
      </c>
      <c r="ES92" s="35">
        <f t="shared" si="668"/>
        <v>1.0780225646682084</v>
      </c>
      <c r="ET92" s="35">
        <f t="shared" si="669"/>
        <v>-5.0852178024030081E-10</v>
      </c>
      <c r="EU92" s="35">
        <f t="shared" si="670"/>
        <v>1.0780225601047277</v>
      </c>
      <c r="EV92" s="35">
        <f t="shared" si="671"/>
        <v>1.0780225646682084</v>
      </c>
      <c r="EW92" s="35">
        <f t="shared" si="672"/>
        <v>1.0780225623864681</v>
      </c>
      <c r="EX92" s="35">
        <f t="shared" si="673"/>
        <v>4.8189094936645915E-9</v>
      </c>
      <c r="EY92" s="35">
        <f t="shared" si="674"/>
        <v>1.0780225623864681</v>
      </c>
      <c r="EZ92" s="35">
        <f t="shared" si="675"/>
        <v>1.0780225646682084</v>
      </c>
      <c r="FA92" s="10">
        <v>9.9999999999999995E-7</v>
      </c>
      <c r="FB92" s="10">
        <v>0.99990000000000001</v>
      </c>
      <c r="FC92" s="35">
        <f t="shared" si="676"/>
        <v>0.49995050000000002</v>
      </c>
      <c r="FD92" s="35">
        <f t="shared" si="677"/>
        <v>-0.76715507446755338</v>
      </c>
      <c r="FE92" s="35">
        <f t="shared" si="678"/>
        <v>9.9999999999999995E-7</v>
      </c>
      <c r="FF92" s="35">
        <f t="shared" si="679"/>
        <v>0.49995050000000002</v>
      </c>
      <c r="FG92" s="35">
        <f t="shared" si="680"/>
        <v>0.24997575</v>
      </c>
      <c r="FH92" s="35">
        <f t="shared" si="681"/>
        <v>-0.60509370437892296</v>
      </c>
      <c r="FI92" s="35">
        <f t="shared" si="682"/>
        <v>9.9999999999999995E-7</v>
      </c>
      <c r="FJ92" s="35">
        <f t="shared" si="683"/>
        <v>0.24997575</v>
      </c>
      <c r="FK92" s="35">
        <f t="shared" si="684"/>
        <v>0.124988375</v>
      </c>
      <c r="FL92" s="35">
        <f t="shared" si="685"/>
        <v>-0.4178371338171214</v>
      </c>
      <c r="FM92" s="35">
        <f t="shared" si="686"/>
        <v>9.9999999999999995E-7</v>
      </c>
      <c r="FN92" s="35">
        <f t="shared" si="687"/>
        <v>0.124988375</v>
      </c>
      <c r="FO92" s="35">
        <f t="shared" si="688"/>
        <v>6.24946875E-2</v>
      </c>
      <c r="FP92" s="35">
        <f t="shared" si="689"/>
        <v>-0.24768121546750033</v>
      </c>
      <c r="FQ92" s="35">
        <f t="shared" si="690"/>
        <v>9.9999999999999995E-7</v>
      </c>
      <c r="FR92" s="35">
        <f t="shared" si="691"/>
        <v>6.24946875E-2</v>
      </c>
      <c r="FS92" s="35">
        <f t="shared" si="692"/>
        <v>3.124784375E-2</v>
      </c>
      <c r="FT92" s="35">
        <f t="shared" si="693"/>
        <v>-0.12007039679390763</v>
      </c>
      <c r="FU92" s="35">
        <f t="shared" si="694"/>
        <v>9.9999999999999995E-7</v>
      </c>
      <c r="FV92" s="35">
        <f t="shared" si="695"/>
        <v>3.124784375E-2</v>
      </c>
      <c r="FW92" s="35">
        <f t="shared" si="696"/>
        <v>1.5624421875000001E-2</v>
      </c>
      <c r="FX92" s="35">
        <f t="shared" si="697"/>
        <v>-3.3918339684816945E-2</v>
      </c>
      <c r="FY92" s="35">
        <f t="shared" si="698"/>
        <v>9.9999999999999995E-7</v>
      </c>
      <c r="FZ92" s="35">
        <f t="shared" si="699"/>
        <v>1.5624421875000001E-2</v>
      </c>
      <c r="GA92" s="35">
        <f t="shared" si="700"/>
        <v>7.8127109375E-3</v>
      </c>
      <c r="GB92" s="35">
        <f t="shared" si="701"/>
        <v>2.1742038735846458E-2</v>
      </c>
      <c r="GC92" s="35">
        <f t="shared" si="702"/>
        <v>7.8127109375E-3</v>
      </c>
      <c r="GD92" s="35">
        <f t="shared" si="703"/>
        <v>1.5624421875000001E-2</v>
      </c>
      <c r="GE92" s="35">
        <f t="shared" si="704"/>
        <v>1.171856640625E-2</v>
      </c>
      <c r="GF92" s="35">
        <f t="shared" si="705"/>
        <v>-7.7018205171692777E-3</v>
      </c>
      <c r="GG92" s="35">
        <f t="shared" si="706"/>
        <v>7.8127109375E-3</v>
      </c>
      <c r="GH92" s="35">
        <f t="shared" si="707"/>
        <v>1.171856640625E-2</v>
      </c>
      <c r="GI92" s="35">
        <f t="shared" si="708"/>
        <v>9.7656386718750002E-3</v>
      </c>
      <c r="GJ92" s="35">
        <f t="shared" si="709"/>
        <v>6.5423570446234702E-3</v>
      </c>
      <c r="GK92" s="35">
        <f t="shared" si="710"/>
        <v>9.7656386718750002E-3</v>
      </c>
      <c r="GL92" s="35">
        <f t="shared" si="711"/>
        <v>1.171856640625E-2</v>
      </c>
      <c r="GM92" s="35">
        <f t="shared" si="712"/>
        <v>1.0742102539062499E-2</v>
      </c>
      <c r="GN92" s="35">
        <f t="shared" si="713"/>
        <v>-6.8842510910771537E-4</v>
      </c>
      <c r="GO92" s="35">
        <f t="shared" si="714"/>
        <v>9.7656386718750002E-3</v>
      </c>
      <c r="GP92" s="35">
        <f t="shared" si="715"/>
        <v>1.0742102539062499E-2</v>
      </c>
      <c r="GQ92" s="35">
        <f t="shared" si="716"/>
        <v>1.025387060546875E-2</v>
      </c>
      <c r="GR92" s="35">
        <f t="shared" si="717"/>
        <v>2.898552390229403E-3</v>
      </c>
      <c r="GS92" s="35">
        <f t="shared" si="718"/>
        <v>1.025387060546875E-2</v>
      </c>
      <c r="GT92" s="35">
        <f t="shared" si="719"/>
        <v>1.0742102539062499E-2</v>
      </c>
      <c r="GU92" s="35">
        <f t="shared" si="720"/>
        <v>1.0497986572265625E-2</v>
      </c>
      <c r="GV92" s="35">
        <f t="shared" si="721"/>
        <v>1.098121325782575E-3</v>
      </c>
      <c r="GW92" s="35">
        <f t="shared" si="722"/>
        <v>1.0497986572265625E-2</v>
      </c>
      <c r="GX92" s="35">
        <f t="shared" si="723"/>
        <v>1.0742102539062499E-2</v>
      </c>
      <c r="GY92" s="35">
        <f t="shared" si="724"/>
        <v>1.0620044555664062E-2</v>
      </c>
      <c r="GZ92" s="35">
        <f t="shared" si="725"/>
        <v>2.031321212629944E-4</v>
      </c>
      <c r="HA92" s="35">
        <f t="shared" si="726"/>
        <v>1.0620044555664062E-2</v>
      </c>
      <c r="HB92" s="35">
        <f t="shared" si="727"/>
        <v>1.0742102539062499E-2</v>
      </c>
      <c r="HC92" s="35">
        <f t="shared" si="728"/>
        <v>1.0681073547363281E-2</v>
      </c>
      <c r="HD92" s="35">
        <f t="shared" si="729"/>
        <v>-2.4307307497284381E-4</v>
      </c>
      <c r="HE92" s="35">
        <f t="shared" si="730"/>
        <v>1.0620044555664062E-2</v>
      </c>
      <c r="HF92" s="35">
        <f t="shared" si="731"/>
        <v>1.0681073547363281E-2</v>
      </c>
      <c r="HG92" s="35">
        <f t="shared" si="732"/>
        <v>1.0650559051513672E-2</v>
      </c>
      <c r="HH92" s="35">
        <f t="shared" si="733"/>
        <v>-2.0077422612785334E-5</v>
      </c>
      <c r="HI92" s="35">
        <f t="shared" si="734"/>
        <v>1.0620044555664062E-2</v>
      </c>
      <c r="HJ92" s="35">
        <f t="shared" si="735"/>
        <v>1.0650559051513672E-2</v>
      </c>
      <c r="HK92" s="35">
        <f t="shared" si="736"/>
        <v>1.0635301803588867E-2</v>
      </c>
      <c r="HL92" s="35">
        <f t="shared" si="737"/>
        <v>9.150057519513588E-5</v>
      </c>
      <c r="HM92" s="35">
        <f t="shared" si="738"/>
        <v>1.0635301803588867E-2</v>
      </c>
      <c r="HN92" s="35">
        <f t="shared" si="739"/>
        <v>1.0650559051513672E-2</v>
      </c>
      <c r="HO92" s="35">
        <f t="shared" si="740"/>
        <v>1.0642930427551271E-2</v>
      </c>
      <c r="HP92" s="35">
        <f t="shared" si="741"/>
        <v>3.5704887476173397E-5</v>
      </c>
      <c r="HQ92" s="35">
        <f t="shared" si="742"/>
        <v>1.0642930427551271E-2</v>
      </c>
      <c r="HR92" s="35">
        <f t="shared" si="743"/>
        <v>1.0650559051513672E-2</v>
      </c>
      <c r="HS92" s="35">
        <f t="shared" si="744"/>
        <v>1.0646744739532471E-2</v>
      </c>
      <c r="HT92" s="35">
        <f t="shared" si="745"/>
        <v>7.8120608169029992E-6</v>
      </c>
      <c r="HU92" s="35">
        <f t="shared" si="746"/>
        <v>1.0646744739532471E-2</v>
      </c>
      <c r="HV92" s="35">
        <f t="shared" si="747"/>
        <v>1.0650559051513672E-2</v>
      </c>
      <c r="HW92" s="35">
        <f t="shared" si="748"/>
        <v>1.0648651895523071E-2</v>
      </c>
      <c r="HX92" s="35">
        <f t="shared" si="749"/>
        <v>-6.1330987275454163E-6</v>
      </c>
      <c r="HY92" s="35">
        <f t="shared" si="750"/>
        <v>1.0646744739532471E-2</v>
      </c>
      <c r="HZ92" s="35">
        <f t="shared" si="751"/>
        <v>1.0648651895523071E-2</v>
      </c>
      <c r="IA92" s="35">
        <f t="shared" si="752"/>
        <v>1.0647698317527772E-2</v>
      </c>
      <c r="IB92" s="35">
        <f t="shared" si="753"/>
        <v>8.3937657779920016E-7</v>
      </c>
      <c r="IC92" s="35">
        <f t="shared" si="754"/>
        <v>1.0647698317527772E-2</v>
      </c>
      <c r="ID92" s="35">
        <f t="shared" si="755"/>
        <v>1.0648651895523071E-2</v>
      </c>
      <c r="IE92" s="35">
        <f t="shared" si="756"/>
        <v>1.0648175106525421E-2</v>
      </c>
      <c r="IF92" s="35">
        <f t="shared" si="757"/>
        <v>-2.6468871908713609E-6</v>
      </c>
      <c r="IG92" s="35">
        <f t="shared" si="758"/>
        <v>1.0647698317527772E-2</v>
      </c>
      <c r="IH92" s="35">
        <f t="shared" si="759"/>
        <v>1.0648175106525421E-2</v>
      </c>
      <c r="II92" s="35">
        <f t="shared" si="760"/>
        <v>1.0647936712026598E-2</v>
      </c>
      <c r="IJ92" s="35">
        <f t="shared" si="761"/>
        <v>-9.0376183492502093E-7</v>
      </c>
      <c r="IK92" s="35">
        <f t="shared" si="762"/>
        <v>1.0647698317527772E-2</v>
      </c>
      <c r="IL92" s="35">
        <f t="shared" si="763"/>
        <v>1.0647936712026598E-2</v>
      </c>
      <c r="IM92" s="35">
        <f t="shared" si="764"/>
        <v>1.0647817514777185E-2</v>
      </c>
      <c r="IN92" s="35">
        <f t="shared" si="765"/>
        <v>-3.2194261034845795E-8</v>
      </c>
      <c r="IO92" s="35">
        <f t="shared" si="766"/>
        <v>1.0647698317527772E-2</v>
      </c>
      <c r="IP92" s="35">
        <f t="shared" si="767"/>
        <v>1.0647817514777185E-2</v>
      </c>
      <c r="IQ92" s="35">
        <f t="shared" si="768"/>
        <v>1.0647757916152478E-2</v>
      </c>
      <c r="IR92" s="35">
        <f t="shared" si="769"/>
        <v>4.0359074993112642E-7</v>
      </c>
      <c r="IS92" s="35">
        <f t="shared" si="770"/>
        <v>1.0647757916152478E-2</v>
      </c>
      <c r="IT92" s="35">
        <f t="shared" si="771"/>
        <v>1.0647817514777185E-2</v>
      </c>
      <c r="IU92" s="35">
        <f t="shared" si="772"/>
        <v>1.0647787715464832E-2</v>
      </c>
      <c r="IV92" s="35">
        <f t="shared" si="773"/>
        <v>1.8569814175251054E-7</v>
      </c>
      <c r="IW92" s="35">
        <f t="shared" si="774"/>
        <v>1.0647787715464832E-2</v>
      </c>
      <c r="IX92" s="35">
        <f t="shared" si="775"/>
        <v>1.0647817514777185E-2</v>
      </c>
      <c r="IY92" s="35">
        <f t="shared" si="776"/>
        <v>1.0647802615121008E-2</v>
      </c>
      <c r="IZ92" s="35">
        <f t="shared" si="777"/>
        <v>7.6751915267792015E-8</v>
      </c>
      <c r="JA92" s="35">
        <f t="shared" si="778"/>
        <v>1.0647802615121008E-2</v>
      </c>
      <c r="JB92" s="35">
        <f t="shared" si="779"/>
        <v>1.0647817514777185E-2</v>
      </c>
      <c r="JC92" s="35">
        <f t="shared" si="780"/>
        <v>1.0647810064949095E-2</v>
      </c>
      <c r="JD92" s="35">
        <f t="shared" si="781"/>
        <v>2.227882034411266E-8</v>
      </c>
      <c r="JE92" s="35">
        <f t="shared" si="782"/>
        <v>1.0647810064949095E-2</v>
      </c>
      <c r="JF92" s="35">
        <f t="shared" si="783"/>
        <v>1.0647817514777185E-2</v>
      </c>
      <c r="JG92" s="35">
        <f t="shared" si="784"/>
        <v>1.0647813789863139E-2</v>
      </c>
      <c r="JH92" s="35">
        <f t="shared" si="785"/>
        <v>-4.9577224547903143E-9</v>
      </c>
      <c r="JI92" s="35">
        <f t="shared" si="786"/>
        <v>1.0647810064949095E-2</v>
      </c>
      <c r="JJ92" s="35">
        <f t="shared" si="787"/>
        <v>1.0647813789863139E-2</v>
      </c>
      <c r="JK92" s="35">
        <f t="shared" si="788"/>
        <v>1.0647811927406117E-2</v>
      </c>
      <c r="JL92" s="35">
        <f t="shared" si="789"/>
        <v>8.6605496107949875E-9</v>
      </c>
      <c r="JM92" s="35">
        <f t="shared" si="790"/>
        <v>1.0647811927406117E-2</v>
      </c>
      <c r="JN92" s="35">
        <f t="shared" si="791"/>
        <v>1.0647813789863139E-2</v>
      </c>
      <c r="JO92" s="35">
        <f t="shared" si="792"/>
        <v>1.0647812858634628E-2</v>
      </c>
      <c r="JP92" s="35">
        <f t="shared" si="793"/>
        <v>1.8514130228908243E-9</v>
      </c>
      <c r="JQ92" s="35">
        <f t="shared" si="794"/>
        <v>1.0647812858634628E-2</v>
      </c>
      <c r="JR92" s="35">
        <f t="shared" si="795"/>
        <v>1.0647813789863139E-2</v>
      </c>
      <c r="JS92" s="35">
        <f t="shared" si="796"/>
        <v>1.0647813324248884E-2</v>
      </c>
      <c r="JT92" s="35">
        <f t="shared" si="797"/>
        <v>-1.5531546049274425E-9</v>
      </c>
      <c r="JU92" s="35">
        <f t="shared" si="798"/>
        <v>1.0647812858634628E-2</v>
      </c>
      <c r="JV92" s="35">
        <f t="shared" si="799"/>
        <v>1.0647813324248884E-2</v>
      </c>
      <c r="JW92" s="35">
        <f t="shared" si="800"/>
        <v>1.0647813091441756E-2</v>
      </c>
      <c r="JX92" s="35">
        <f t="shared" si="801"/>
        <v>1.491293755151446E-10</v>
      </c>
      <c r="JY92" s="35">
        <f t="shared" si="802"/>
        <v>1.0647813091441756E-2</v>
      </c>
      <c r="JZ92" s="35">
        <f t="shared" si="803"/>
        <v>1.0647813324248884E-2</v>
      </c>
      <c r="KA92" s="35">
        <f t="shared" si="804"/>
        <v>1.0780225635273384</v>
      </c>
      <c r="KB92" s="35">
        <f t="shared" si="805"/>
        <v>1.064781320784532E-2</v>
      </c>
    </row>
    <row r="93" spans="1:288" ht="15" customHeight="1" x14ac:dyDescent="0.3">
      <c r="A93" s="30">
        <f>Odds_Input!A93</f>
        <v>85</v>
      </c>
      <c r="B93" s="7" t="str">
        <f>Odds_Input!B93</f>
        <v>DIV_SOUTHWEST</v>
      </c>
      <c r="C93" s="7" t="str">
        <f>Odds_Input!C93</f>
        <v>Dallas Mavericks</v>
      </c>
      <c r="D93" s="7" t="str">
        <f>Odds_Input!D93</f>
        <v>YES</v>
      </c>
      <c r="E93" s="31" t="str">
        <f>Odds_Input!E93</f>
        <v>-</v>
      </c>
      <c r="F93" s="32">
        <f>Odds_Input!F93</f>
        <v>3500</v>
      </c>
      <c r="G93" s="6" t="str">
        <f t="shared" si="533"/>
        <v>DIV_SOUTHWEST</v>
      </c>
      <c r="H93" s="14">
        <f t="shared" si="534"/>
        <v>36</v>
      </c>
      <c r="I93" s="33">
        <f t="shared" si="535"/>
        <v>2.7777777777777776E-2</v>
      </c>
      <c r="J93" s="17">
        <f t="shared" si="536"/>
        <v>1</v>
      </c>
      <c r="K93" s="17">
        <f t="shared" si="537"/>
        <v>5</v>
      </c>
      <c r="L93" s="18">
        <f t="shared" si="538"/>
        <v>1.1290383371509995</v>
      </c>
      <c r="M93" s="34">
        <f t="shared" si="539"/>
        <v>0.12903833715099955</v>
      </c>
      <c r="N93" s="33">
        <f t="shared" si="540"/>
        <v>2.4603042132184682E-2</v>
      </c>
      <c r="O93" s="33">
        <f t="shared" si="541"/>
        <v>9.0432893988181724E-3</v>
      </c>
      <c r="P93" s="33">
        <f t="shared" si="542"/>
        <v>8.1365919620160019E-3</v>
      </c>
      <c r="Q93" s="33">
        <f t="shared" si="543"/>
        <v>8.1365919620160019E-3</v>
      </c>
      <c r="R93" s="35">
        <f t="shared" si="544"/>
        <v>1.3131596009479836</v>
      </c>
      <c r="S93" s="35">
        <f t="shared" si="545"/>
        <v>7.6478816260245525E-2</v>
      </c>
      <c r="X93" s="6" t="s">
        <v>467</v>
      </c>
      <c r="Y93" s="6">
        <f t="shared" si="546"/>
        <v>1</v>
      </c>
      <c r="Z93" s="18">
        <f t="shared" si="547"/>
        <v>1.167773003312121</v>
      </c>
      <c r="AA93" s="10">
        <v>0.2</v>
      </c>
      <c r="AB93" s="10">
        <v>10</v>
      </c>
      <c r="AC93" s="35">
        <f t="shared" si="548"/>
        <v>5.0999999999999996</v>
      </c>
      <c r="AD93" s="35">
        <f t="shared" si="549"/>
        <v>-0.99476844626803351</v>
      </c>
      <c r="AE93" s="35">
        <f t="shared" si="550"/>
        <v>0.2</v>
      </c>
      <c r="AF93" s="35">
        <f t="shared" si="551"/>
        <v>5.0999999999999996</v>
      </c>
      <c r="AG93" s="35">
        <f t="shared" si="552"/>
        <v>2.65</v>
      </c>
      <c r="AH93" s="35">
        <f t="shared" si="553"/>
        <v>-0.8932805579649008</v>
      </c>
      <c r="AI93" s="35">
        <f t="shared" si="554"/>
        <v>0.2</v>
      </c>
      <c r="AJ93" s="35">
        <f t="shared" si="555"/>
        <v>2.65</v>
      </c>
      <c r="AK93" s="35">
        <f t="shared" si="556"/>
        <v>1.425</v>
      </c>
      <c r="AL93" s="35">
        <f t="shared" si="557"/>
        <v>-0.42021825573685534</v>
      </c>
      <c r="AM93" s="35">
        <f t="shared" si="558"/>
        <v>0.2</v>
      </c>
      <c r="AN93" s="35">
        <f t="shared" si="559"/>
        <v>1.425</v>
      </c>
      <c r="AO93" s="35">
        <f t="shared" si="560"/>
        <v>0.8125</v>
      </c>
      <c r="AP93" s="35">
        <f t="shared" si="561"/>
        <v>0.67368054247820952</v>
      </c>
      <c r="AQ93" s="35">
        <f t="shared" si="562"/>
        <v>0.8125</v>
      </c>
      <c r="AR93" s="35">
        <f t="shared" si="563"/>
        <v>1.425</v>
      </c>
      <c r="AS93" s="35">
        <f t="shared" si="564"/>
        <v>1.1187499999999999</v>
      </c>
      <c r="AT93" s="35">
        <f t="shared" si="565"/>
        <v>-5.1940275959947324E-2</v>
      </c>
      <c r="AU93" s="35">
        <f t="shared" si="566"/>
        <v>0.8125</v>
      </c>
      <c r="AV93" s="35">
        <f t="shared" si="567"/>
        <v>1.1187499999999999</v>
      </c>
      <c r="AW93" s="35">
        <f t="shared" si="568"/>
        <v>0.96562499999999996</v>
      </c>
      <c r="AX93" s="35">
        <f t="shared" si="569"/>
        <v>0.24353633993224655</v>
      </c>
      <c r="AY93" s="35">
        <f t="shared" si="570"/>
        <v>0.96562499999999996</v>
      </c>
      <c r="AZ93" s="35">
        <f t="shared" si="571"/>
        <v>1.1187499999999999</v>
      </c>
      <c r="BA93" s="35">
        <f t="shared" si="572"/>
        <v>1.0421874999999998</v>
      </c>
      <c r="BB93" s="35">
        <f t="shared" si="573"/>
        <v>8.2835589816684152E-2</v>
      </c>
      <c r="BC93" s="35">
        <f t="shared" si="574"/>
        <v>1.0421874999999998</v>
      </c>
      <c r="BD93" s="35">
        <f t="shared" si="575"/>
        <v>1.1187499999999999</v>
      </c>
      <c r="BE93" s="35">
        <f t="shared" si="576"/>
        <v>1.0804687499999999</v>
      </c>
      <c r="BF93" s="35">
        <f t="shared" si="577"/>
        <v>1.2573541026092316E-2</v>
      </c>
      <c r="BG93" s="35">
        <f t="shared" si="578"/>
        <v>1.0804687499999999</v>
      </c>
      <c r="BH93" s="35">
        <f t="shared" si="579"/>
        <v>1.1187499999999999</v>
      </c>
      <c r="BI93" s="35">
        <f t="shared" si="580"/>
        <v>1.099609375</v>
      </c>
      <c r="BJ93" s="35">
        <f t="shared" si="581"/>
        <v>-2.0361696922527539E-2</v>
      </c>
      <c r="BK93" s="35">
        <f t="shared" si="582"/>
        <v>1.0804687499999999</v>
      </c>
      <c r="BL93" s="35">
        <f t="shared" si="583"/>
        <v>1.099609375</v>
      </c>
      <c r="BM93" s="35">
        <f t="shared" si="584"/>
        <v>1.0900390624999998</v>
      </c>
      <c r="BN93" s="35">
        <f t="shared" si="585"/>
        <v>-4.0684611693636574E-3</v>
      </c>
      <c r="BO93" s="35">
        <f t="shared" si="586"/>
        <v>1.0804687499999999</v>
      </c>
      <c r="BP93" s="35">
        <f t="shared" si="587"/>
        <v>1.0900390624999998</v>
      </c>
      <c r="BQ93" s="35">
        <f t="shared" si="588"/>
        <v>1.0852539062499997</v>
      </c>
      <c r="BR93" s="35">
        <f t="shared" si="589"/>
        <v>4.2083251368496555E-3</v>
      </c>
      <c r="BS93" s="35">
        <f t="shared" si="590"/>
        <v>1.0852539062499997</v>
      </c>
      <c r="BT93" s="35">
        <f t="shared" si="591"/>
        <v>1.0900390624999998</v>
      </c>
      <c r="BU93" s="35">
        <f t="shared" si="592"/>
        <v>1.0876464843749998</v>
      </c>
      <c r="BV93" s="35">
        <f t="shared" si="593"/>
        <v>5.8956524611186722E-5</v>
      </c>
      <c r="BW93" s="35">
        <f t="shared" si="594"/>
        <v>1.0876464843749998</v>
      </c>
      <c r="BX93" s="35">
        <f t="shared" si="595"/>
        <v>1.0900390624999998</v>
      </c>
      <c r="BY93" s="35">
        <f t="shared" si="596"/>
        <v>1.0888427734374999</v>
      </c>
      <c r="BZ93" s="35">
        <f t="shared" si="597"/>
        <v>-2.0074864837466011E-3</v>
      </c>
      <c r="CA93" s="35">
        <f t="shared" si="598"/>
        <v>1.0876464843749998</v>
      </c>
      <c r="CB93" s="35">
        <f t="shared" si="599"/>
        <v>1.0888427734374999</v>
      </c>
      <c r="CC93" s="35">
        <f t="shared" si="600"/>
        <v>1.0882446289062497</v>
      </c>
      <c r="CD93" s="35">
        <f t="shared" si="601"/>
        <v>-9.749497294473386E-4</v>
      </c>
      <c r="CE93" s="35">
        <f t="shared" si="602"/>
        <v>1.0876464843749998</v>
      </c>
      <c r="CF93" s="35">
        <f t="shared" si="603"/>
        <v>1.0882446289062497</v>
      </c>
      <c r="CG93" s="35">
        <f t="shared" si="604"/>
        <v>1.0879455566406246</v>
      </c>
      <c r="CH93" s="35">
        <f t="shared" si="605"/>
        <v>-4.5816794137620853E-4</v>
      </c>
      <c r="CI93" s="35">
        <f t="shared" si="606"/>
        <v>1.0876464843749998</v>
      </c>
      <c r="CJ93" s="35">
        <f t="shared" si="607"/>
        <v>1.0879455566406246</v>
      </c>
      <c r="CK93" s="35">
        <f t="shared" si="608"/>
        <v>1.0877960205078123</v>
      </c>
      <c r="CL93" s="35">
        <f t="shared" si="609"/>
        <v>-1.9964856207654869E-4</v>
      </c>
      <c r="CM93" s="35">
        <f t="shared" si="610"/>
        <v>1.0876464843749998</v>
      </c>
      <c r="CN93" s="35">
        <f t="shared" si="611"/>
        <v>1.0877960205078123</v>
      </c>
      <c r="CO93" s="35">
        <f t="shared" si="612"/>
        <v>1.0877212524414062</v>
      </c>
      <c r="CP93" s="35">
        <f t="shared" si="613"/>
        <v>-7.035673452704394E-5</v>
      </c>
      <c r="CQ93" s="35">
        <f t="shared" si="614"/>
        <v>1.0876464843749998</v>
      </c>
      <c r="CR93" s="35">
        <f t="shared" si="615"/>
        <v>1.0877212524414062</v>
      </c>
      <c r="CS93" s="35">
        <f t="shared" si="616"/>
        <v>1.0876838684082029</v>
      </c>
      <c r="CT93" s="35">
        <f t="shared" si="617"/>
        <v>-5.7027842025325626E-6</v>
      </c>
      <c r="CU93" s="35">
        <f t="shared" si="618"/>
        <v>1.0876464843749998</v>
      </c>
      <c r="CV93" s="35">
        <f t="shared" si="619"/>
        <v>1.0876838684082029</v>
      </c>
      <c r="CW93" s="35">
        <f t="shared" si="620"/>
        <v>1.0876651763916012</v>
      </c>
      <c r="CX93" s="35">
        <f t="shared" si="621"/>
        <v>2.6626200356094643E-5</v>
      </c>
      <c r="CY93" s="35">
        <f t="shared" si="622"/>
        <v>1.0876651763916012</v>
      </c>
      <c r="CZ93" s="35">
        <f t="shared" si="623"/>
        <v>1.0876838684082029</v>
      </c>
      <c r="DA93" s="35">
        <f t="shared" si="624"/>
        <v>1.087674522399902</v>
      </c>
      <c r="DB93" s="35">
        <f t="shared" si="625"/>
        <v>1.0461540619344234E-5</v>
      </c>
      <c r="DC93" s="35">
        <f t="shared" si="626"/>
        <v>1.087674522399902</v>
      </c>
      <c r="DD93" s="35">
        <f t="shared" si="627"/>
        <v>1.0876838684082029</v>
      </c>
      <c r="DE93" s="35">
        <f t="shared" si="628"/>
        <v>1.0876791954040526</v>
      </c>
      <c r="DF93" s="35">
        <f t="shared" si="629"/>
        <v>2.3793363441715343E-6</v>
      </c>
      <c r="DG93" s="35">
        <f t="shared" si="630"/>
        <v>1.0876791954040526</v>
      </c>
      <c r="DH93" s="35">
        <f t="shared" si="631"/>
        <v>1.0876838684082029</v>
      </c>
      <c r="DI93" s="35">
        <f t="shared" si="632"/>
        <v>1.0876815319061277</v>
      </c>
      <c r="DJ93" s="35">
        <f t="shared" si="633"/>
        <v>-1.6617343946423446E-6</v>
      </c>
      <c r="DK93" s="35">
        <f t="shared" si="634"/>
        <v>1.0876791954040526</v>
      </c>
      <c r="DL93" s="35">
        <f t="shared" si="635"/>
        <v>1.0876815319061277</v>
      </c>
      <c r="DM93" s="35">
        <f t="shared" si="636"/>
        <v>1.0876803636550902</v>
      </c>
      <c r="DN93" s="35">
        <f t="shared" si="637"/>
        <v>3.5879835791341463E-7</v>
      </c>
      <c r="DO93" s="35">
        <f t="shared" si="638"/>
        <v>1.0876803636550902</v>
      </c>
      <c r="DP93" s="35">
        <f t="shared" si="639"/>
        <v>1.0876815319061277</v>
      </c>
      <c r="DQ93" s="35">
        <f t="shared" si="640"/>
        <v>1.0876809477806089</v>
      </c>
      <c r="DR93" s="35">
        <f t="shared" si="641"/>
        <v>-6.5146867211929305E-7</v>
      </c>
      <c r="DS93" s="35">
        <f t="shared" si="642"/>
        <v>1.0876803636550902</v>
      </c>
      <c r="DT93" s="35">
        <f t="shared" si="643"/>
        <v>1.0876809477806089</v>
      </c>
      <c r="DU93" s="35">
        <f t="shared" si="644"/>
        <v>1.0876806557178496</v>
      </c>
      <c r="DV93" s="35">
        <f t="shared" si="645"/>
        <v>-1.4633532052776843E-7</v>
      </c>
      <c r="DW93" s="35">
        <f t="shared" si="646"/>
        <v>1.0876803636550902</v>
      </c>
      <c r="DX93" s="35">
        <f t="shared" si="647"/>
        <v>1.0876806557178496</v>
      </c>
      <c r="DY93" s="35">
        <f t="shared" si="648"/>
        <v>1.0876805096864699</v>
      </c>
      <c r="DZ93" s="35">
        <f t="shared" si="649"/>
        <v>1.0623147761457119E-7</v>
      </c>
      <c r="EA93" s="35">
        <f t="shared" si="650"/>
        <v>1.0876805096864699</v>
      </c>
      <c r="EB93" s="35">
        <f t="shared" si="651"/>
        <v>1.0876806557178496</v>
      </c>
      <c r="EC93" s="35">
        <f t="shared" si="652"/>
        <v>1.0876805827021596</v>
      </c>
      <c r="ED93" s="35">
        <f t="shared" si="653"/>
        <v>-2.0051931226561237E-8</v>
      </c>
      <c r="EE93" s="35">
        <f t="shared" si="654"/>
        <v>1.0876805096864699</v>
      </c>
      <c r="EF93" s="35">
        <f t="shared" si="655"/>
        <v>1.0876805827021596</v>
      </c>
      <c r="EG93" s="35">
        <f t="shared" si="656"/>
        <v>1.0876805461943149</v>
      </c>
      <c r="EH93" s="35">
        <f t="shared" si="657"/>
        <v>4.308977019640281E-8</v>
      </c>
      <c r="EI93" s="35">
        <f t="shared" si="658"/>
        <v>1.0876805461943149</v>
      </c>
      <c r="EJ93" s="35">
        <f t="shared" si="659"/>
        <v>1.0876805827021596</v>
      </c>
      <c r="EK93" s="35">
        <f t="shared" si="660"/>
        <v>1.0876805644482372</v>
      </c>
      <c r="EL93" s="35">
        <f t="shared" si="661"/>
        <v>1.1518918929809274E-8</v>
      </c>
      <c r="EM93" s="35">
        <f t="shared" si="662"/>
        <v>1.0876805644482372</v>
      </c>
      <c r="EN93" s="35">
        <f t="shared" si="663"/>
        <v>1.0876805827021596</v>
      </c>
      <c r="EO93" s="35">
        <f t="shared" si="664"/>
        <v>1.0876805735751984</v>
      </c>
      <c r="EP93" s="35">
        <f t="shared" si="665"/>
        <v>-4.2665063704205863E-9</v>
      </c>
      <c r="EQ93" s="35">
        <f t="shared" si="666"/>
        <v>1.0876805644482372</v>
      </c>
      <c r="ER93" s="35">
        <f t="shared" si="667"/>
        <v>1.0876805735751984</v>
      </c>
      <c r="ES93" s="35">
        <f t="shared" si="668"/>
        <v>1.0876805690117179</v>
      </c>
      <c r="ET93" s="35">
        <f t="shared" si="669"/>
        <v>3.6262062241831927E-9</v>
      </c>
      <c r="EU93" s="35">
        <f t="shared" si="670"/>
        <v>1.0876805690117179</v>
      </c>
      <c r="EV93" s="35">
        <f t="shared" si="671"/>
        <v>1.0876805735751984</v>
      </c>
      <c r="EW93" s="35">
        <f t="shared" si="672"/>
        <v>1.0876805712934581</v>
      </c>
      <c r="EX93" s="35">
        <f t="shared" si="673"/>
        <v>-3.201502396521505E-10</v>
      </c>
      <c r="EY93" s="35">
        <f t="shared" si="674"/>
        <v>1.0876805690117179</v>
      </c>
      <c r="EZ93" s="35">
        <f t="shared" si="675"/>
        <v>1.0876805712934581</v>
      </c>
      <c r="FA93" s="10">
        <v>9.9999999999999995E-7</v>
      </c>
      <c r="FB93" s="10">
        <v>0.99990000000000001</v>
      </c>
      <c r="FC93" s="35">
        <f t="shared" si="676"/>
        <v>0.49995050000000002</v>
      </c>
      <c r="FD93" s="35">
        <f t="shared" si="677"/>
        <v>-0.61037396540894751</v>
      </c>
      <c r="FE93" s="35">
        <f t="shared" si="678"/>
        <v>9.9999999999999995E-7</v>
      </c>
      <c r="FF93" s="35">
        <f t="shared" si="679"/>
        <v>0.49995050000000002</v>
      </c>
      <c r="FG93" s="35">
        <f t="shared" si="680"/>
        <v>0.24997575</v>
      </c>
      <c r="FH93" s="35">
        <f t="shared" si="681"/>
        <v>-0.41291009836373904</v>
      </c>
      <c r="FI93" s="35">
        <f t="shared" si="682"/>
        <v>9.9999999999999995E-7</v>
      </c>
      <c r="FJ93" s="35">
        <f t="shared" si="683"/>
        <v>0.24997575</v>
      </c>
      <c r="FK93" s="35">
        <f t="shared" si="684"/>
        <v>0.124988375</v>
      </c>
      <c r="FL93" s="35">
        <f t="shared" si="685"/>
        <v>-0.24848642006657029</v>
      </c>
      <c r="FM93" s="35">
        <f t="shared" si="686"/>
        <v>9.9999999999999995E-7</v>
      </c>
      <c r="FN93" s="35">
        <f t="shared" si="687"/>
        <v>0.124988375</v>
      </c>
      <c r="FO93" s="35">
        <f t="shared" si="688"/>
        <v>6.24946875E-2</v>
      </c>
      <c r="FP93" s="35">
        <f t="shared" si="689"/>
        <v>-0.13331466570253048</v>
      </c>
      <c r="FQ93" s="35">
        <f t="shared" si="690"/>
        <v>9.9999999999999995E-7</v>
      </c>
      <c r="FR93" s="35">
        <f t="shared" si="691"/>
        <v>6.24946875E-2</v>
      </c>
      <c r="FS93" s="35">
        <f t="shared" si="692"/>
        <v>3.124784375E-2</v>
      </c>
      <c r="FT93" s="35">
        <f t="shared" si="693"/>
        <v>-5.7544076051298521E-2</v>
      </c>
      <c r="FU93" s="35">
        <f t="shared" si="694"/>
        <v>9.9999999999999995E-7</v>
      </c>
      <c r="FV93" s="35">
        <f t="shared" si="695"/>
        <v>3.124784375E-2</v>
      </c>
      <c r="FW93" s="35">
        <f t="shared" si="696"/>
        <v>1.5624421875000001E-2</v>
      </c>
      <c r="FX93" s="35">
        <f t="shared" si="697"/>
        <v>-6.752305647064416E-3</v>
      </c>
      <c r="FY93" s="35">
        <f t="shared" si="698"/>
        <v>9.9999999999999995E-7</v>
      </c>
      <c r="FZ93" s="35">
        <f t="shared" si="699"/>
        <v>1.5624421875000001E-2</v>
      </c>
      <c r="GA93" s="35">
        <f t="shared" si="700"/>
        <v>7.8127109375E-3</v>
      </c>
      <c r="GB93" s="35">
        <f t="shared" si="701"/>
        <v>2.8222357368988593E-2</v>
      </c>
      <c r="GC93" s="35">
        <f t="shared" si="702"/>
        <v>7.8127109375E-3</v>
      </c>
      <c r="GD93" s="35">
        <f t="shared" si="703"/>
        <v>1.5624421875000001E-2</v>
      </c>
      <c r="GE93" s="35">
        <f t="shared" si="704"/>
        <v>1.171856640625E-2</v>
      </c>
      <c r="GF93" s="35">
        <f t="shared" si="705"/>
        <v>9.3789859217139337E-3</v>
      </c>
      <c r="GG93" s="35">
        <f t="shared" si="706"/>
        <v>1.171856640625E-2</v>
      </c>
      <c r="GH93" s="35">
        <f t="shared" si="707"/>
        <v>1.5624421875000001E-2</v>
      </c>
      <c r="GI93" s="35">
        <f t="shared" si="708"/>
        <v>1.3671494140625001E-2</v>
      </c>
      <c r="GJ93" s="35">
        <f t="shared" si="709"/>
        <v>1.0418613670017951E-3</v>
      </c>
      <c r="GK93" s="35">
        <f t="shared" si="710"/>
        <v>1.3671494140625001E-2</v>
      </c>
      <c r="GL93" s="35">
        <f t="shared" si="711"/>
        <v>1.5624421875000001E-2</v>
      </c>
      <c r="GM93" s="35">
        <f t="shared" si="712"/>
        <v>1.46479580078125E-2</v>
      </c>
      <c r="GN93" s="35">
        <f t="shared" si="713"/>
        <v>-2.916530313764043E-3</v>
      </c>
      <c r="GO93" s="35">
        <f t="shared" si="714"/>
        <v>1.3671494140625001E-2</v>
      </c>
      <c r="GP93" s="35">
        <f t="shared" si="715"/>
        <v>1.46479580078125E-2</v>
      </c>
      <c r="GQ93" s="35">
        <f t="shared" si="716"/>
        <v>1.415972607421875E-2</v>
      </c>
      <c r="GR93" s="35">
        <f t="shared" si="717"/>
        <v>-9.5341247662728001E-4</v>
      </c>
      <c r="GS93" s="35">
        <f t="shared" si="718"/>
        <v>1.3671494140625001E-2</v>
      </c>
      <c r="GT93" s="35">
        <f t="shared" si="719"/>
        <v>1.415972607421875E-2</v>
      </c>
      <c r="GU93" s="35">
        <f t="shared" si="720"/>
        <v>1.3915610107421875E-2</v>
      </c>
      <c r="GV93" s="35">
        <f t="shared" si="721"/>
        <v>4.0105426615921758E-5</v>
      </c>
      <c r="GW93" s="35">
        <f t="shared" si="722"/>
        <v>1.3915610107421875E-2</v>
      </c>
      <c r="GX93" s="35">
        <f t="shared" si="723"/>
        <v>1.415972607421875E-2</v>
      </c>
      <c r="GY93" s="35">
        <f t="shared" si="724"/>
        <v>1.4037668090820313E-2</v>
      </c>
      <c r="GZ93" s="35">
        <f t="shared" si="725"/>
        <v>-4.5767057519552345E-4</v>
      </c>
      <c r="HA93" s="35">
        <f t="shared" si="726"/>
        <v>1.3915610107421875E-2</v>
      </c>
      <c r="HB93" s="35">
        <f t="shared" si="727"/>
        <v>1.4037668090820313E-2</v>
      </c>
      <c r="HC93" s="35">
        <f t="shared" si="728"/>
        <v>1.3976639099121094E-2</v>
      </c>
      <c r="HD93" s="35">
        <f t="shared" si="729"/>
        <v>-2.0903840800312601E-4</v>
      </c>
      <c r="HE93" s="35">
        <f t="shared" si="730"/>
        <v>1.3915610107421875E-2</v>
      </c>
      <c r="HF93" s="35">
        <f t="shared" si="731"/>
        <v>1.3976639099121094E-2</v>
      </c>
      <c r="HG93" s="35">
        <f t="shared" si="732"/>
        <v>1.3946124603271486E-2</v>
      </c>
      <c r="HH93" s="35">
        <f t="shared" si="733"/>
        <v>-8.4530646983216329E-5</v>
      </c>
      <c r="HI93" s="35">
        <f t="shared" si="734"/>
        <v>1.3915610107421875E-2</v>
      </c>
      <c r="HJ93" s="35">
        <f t="shared" si="735"/>
        <v>1.3946124603271486E-2</v>
      </c>
      <c r="HK93" s="35">
        <f t="shared" si="736"/>
        <v>1.393086735534668E-2</v>
      </c>
      <c r="HL93" s="35">
        <f t="shared" si="737"/>
        <v>-2.2228674079860511E-5</v>
      </c>
      <c r="HM93" s="35">
        <f t="shared" si="738"/>
        <v>1.3915610107421875E-2</v>
      </c>
      <c r="HN93" s="35">
        <f t="shared" si="739"/>
        <v>1.393086735534668E-2</v>
      </c>
      <c r="HO93" s="35">
        <f t="shared" si="740"/>
        <v>1.3923238731384277E-2</v>
      </c>
      <c r="HP93" s="35">
        <f t="shared" si="741"/>
        <v>8.9343571842981362E-6</v>
      </c>
      <c r="HQ93" s="35">
        <f t="shared" si="742"/>
        <v>1.3923238731384277E-2</v>
      </c>
      <c r="HR93" s="35">
        <f t="shared" si="743"/>
        <v>1.393086735534668E-2</v>
      </c>
      <c r="HS93" s="35">
        <f t="shared" si="744"/>
        <v>1.392705304336548E-2</v>
      </c>
      <c r="HT93" s="35">
        <f t="shared" si="745"/>
        <v>-6.6481628296921613E-6</v>
      </c>
      <c r="HU93" s="35">
        <f t="shared" si="746"/>
        <v>1.3923238731384277E-2</v>
      </c>
      <c r="HV93" s="35">
        <f t="shared" si="747"/>
        <v>1.392705304336548E-2</v>
      </c>
      <c r="HW93" s="35">
        <f t="shared" si="748"/>
        <v>1.3925145887374878E-2</v>
      </c>
      <c r="HX93" s="35">
        <f t="shared" si="749"/>
        <v>1.1428460333640089E-6</v>
      </c>
      <c r="HY93" s="35">
        <f t="shared" si="750"/>
        <v>1.3925145887374878E-2</v>
      </c>
      <c r="HZ93" s="35">
        <f t="shared" si="751"/>
        <v>1.392705304336548E-2</v>
      </c>
      <c r="IA93" s="35">
        <f t="shared" si="752"/>
        <v>1.3926099465370179E-2</v>
      </c>
      <c r="IB93" s="35">
        <f t="shared" si="753"/>
        <v>-2.75272117844505E-6</v>
      </c>
      <c r="IC93" s="35">
        <f t="shared" si="754"/>
        <v>1.3925145887374878E-2</v>
      </c>
      <c r="ID93" s="35">
        <f t="shared" si="755"/>
        <v>1.3926099465370179E-2</v>
      </c>
      <c r="IE93" s="35">
        <f t="shared" si="756"/>
        <v>1.392562267637253E-2</v>
      </c>
      <c r="IF93" s="35">
        <f t="shared" si="757"/>
        <v>-8.0495326848506465E-7</v>
      </c>
      <c r="IG93" s="35">
        <f t="shared" si="758"/>
        <v>1.3925145887374878E-2</v>
      </c>
      <c r="IH93" s="35">
        <f t="shared" si="759"/>
        <v>1.392562267637253E-2</v>
      </c>
      <c r="II93" s="35">
        <f t="shared" si="760"/>
        <v>1.3925384281873704E-2</v>
      </c>
      <c r="IJ93" s="35">
        <f t="shared" si="761"/>
        <v>1.6894245802312469E-7</v>
      </c>
      <c r="IK93" s="35">
        <f t="shared" si="762"/>
        <v>1.3925384281873704E-2</v>
      </c>
      <c r="IL93" s="35">
        <f t="shared" si="763"/>
        <v>1.392562267637253E-2</v>
      </c>
      <c r="IM93" s="35">
        <f t="shared" si="764"/>
        <v>1.3925503479123117E-2</v>
      </c>
      <c r="IN93" s="35">
        <f t="shared" si="765"/>
        <v>-3.1800638600198994E-7</v>
      </c>
      <c r="IO93" s="35">
        <f t="shared" si="766"/>
        <v>1.3925384281873704E-2</v>
      </c>
      <c r="IP93" s="35">
        <f t="shared" si="767"/>
        <v>1.3925503479123117E-2</v>
      </c>
      <c r="IQ93" s="35">
        <f t="shared" si="768"/>
        <v>1.3925443880498409E-2</v>
      </c>
      <c r="IR93" s="35">
        <f t="shared" si="769"/>
        <v>-7.4532208516053799E-8</v>
      </c>
      <c r="IS93" s="35">
        <f t="shared" si="770"/>
        <v>1.3925384281873704E-2</v>
      </c>
      <c r="IT93" s="35">
        <f t="shared" si="771"/>
        <v>1.3925443880498409E-2</v>
      </c>
      <c r="IU93" s="35">
        <f t="shared" si="772"/>
        <v>1.3925414081186057E-2</v>
      </c>
      <c r="IV93" s="35">
        <f t="shared" si="773"/>
        <v>4.7205063413713333E-8</v>
      </c>
      <c r="IW93" s="35">
        <f t="shared" si="774"/>
        <v>1.3925414081186057E-2</v>
      </c>
      <c r="IX93" s="35">
        <f t="shared" si="775"/>
        <v>1.3925443880498409E-2</v>
      </c>
      <c r="IY93" s="35">
        <f t="shared" si="776"/>
        <v>1.3925428980842234E-2</v>
      </c>
      <c r="IZ93" s="35">
        <f t="shared" si="777"/>
        <v>-1.3663588482870637E-8</v>
      </c>
      <c r="JA93" s="35">
        <f t="shared" si="778"/>
        <v>1.3925414081186057E-2</v>
      </c>
      <c r="JB93" s="35">
        <f t="shared" si="779"/>
        <v>1.3925428980842234E-2</v>
      </c>
      <c r="JC93" s="35">
        <f t="shared" si="780"/>
        <v>1.3925421531014146E-2</v>
      </c>
      <c r="JD93" s="35">
        <f t="shared" si="781"/>
        <v>1.6770734134752274E-8</v>
      </c>
      <c r="JE93" s="35">
        <f t="shared" si="782"/>
        <v>1.3925421531014146E-2</v>
      </c>
      <c r="JF93" s="35">
        <f t="shared" si="783"/>
        <v>1.3925428980842234E-2</v>
      </c>
      <c r="JG93" s="35">
        <f t="shared" si="784"/>
        <v>1.392542525592819E-2</v>
      </c>
      <c r="JH93" s="35">
        <f t="shared" si="785"/>
        <v>1.5535717157177942E-9</v>
      </c>
      <c r="JI93" s="35">
        <f t="shared" si="786"/>
        <v>1.392542525592819E-2</v>
      </c>
      <c r="JJ93" s="35">
        <f t="shared" si="787"/>
        <v>1.3925428980842234E-2</v>
      </c>
      <c r="JK93" s="35">
        <f t="shared" si="788"/>
        <v>1.3925427118385212E-2</v>
      </c>
      <c r="JL93" s="35">
        <f t="shared" si="789"/>
        <v>-6.0550083835764212E-9</v>
      </c>
      <c r="JM93" s="35">
        <f t="shared" si="790"/>
        <v>1.392542525592819E-2</v>
      </c>
      <c r="JN93" s="35">
        <f t="shared" si="791"/>
        <v>1.3925427118385212E-2</v>
      </c>
      <c r="JO93" s="35">
        <f t="shared" si="792"/>
        <v>1.3925426187156701E-2</v>
      </c>
      <c r="JP93" s="35">
        <f t="shared" si="793"/>
        <v>-2.250719166596582E-9</v>
      </c>
      <c r="JQ93" s="35">
        <f t="shared" si="794"/>
        <v>1.392542525592819E-2</v>
      </c>
      <c r="JR93" s="35">
        <f t="shared" si="795"/>
        <v>1.3925426187156701E-2</v>
      </c>
      <c r="JS93" s="35">
        <f t="shared" si="796"/>
        <v>1.3925425721542446E-2</v>
      </c>
      <c r="JT93" s="35">
        <f t="shared" si="797"/>
        <v>-3.4857305930557914E-10</v>
      </c>
      <c r="JU93" s="35">
        <f t="shared" si="798"/>
        <v>1.392542525592819E-2</v>
      </c>
      <c r="JV93" s="35">
        <f t="shared" si="799"/>
        <v>1.3925425721542446E-2</v>
      </c>
      <c r="JW93" s="35">
        <f t="shared" si="800"/>
        <v>1.3925425488735318E-2</v>
      </c>
      <c r="JX93" s="35">
        <f t="shared" si="801"/>
        <v>6.024989396280489E-10</v>
      </c>
      <c r="JY93" s="35">
        <f t="shared" si="802"/>
        <v>1.3925425488735318E-2</v>
      </c>
      <c r="JZ93" s="35">
        <f t="shared" si="803"/>
        <v>1.3925425721542446E-2</v>
      </c>
      <c r="KA93" s="35">
        <f t="shared" si="804"/>
        <v>1.087680570152588</v>
      </c>
      <c r="KB93" s="35">
        <f t="shared" si="805"/>
        <v>1.3925425605138882E-2</v>
      </c>
    </row>
    <row r="94" spans="1:288" ht="15" customHeight="1" x14ac:dyDescent="0.3">
      <c r="A94" s="30">
        <f>Odds_Input!A94</f>
        <v>86</v>
      </c>
      <c r="B94" s="7" t="str">
        <f>Odds_Input!B94</f>
        <v>DIV_SOUTHWEST</v>
      </c>
      <c r="C94" s="7" t="str">
        <f>Odds_Input!C94</f>
        <v>Houston Rockets</v>
      </c>
      <c r="D94" s="7" t="str">
        <f>Odds_Input!D94</f>
        <v>YES</v>
      </c>
      <c r="E94" s="31" t="str">
        <f>Odds_Input!E94</f>
        <v>-</v>
      </c>
      <c r="F94" s="32">
        <f>Odds_Input!F94</f>
        <v>450</v>
      </c>
      <c r="G94" s="6" t="str">
        <f t="shared" si="533"/>
        <v>DIV_SOUTHWEST</v>
      </c>
      <c r="H94" s="14">
        <f t="shared" si="534"/>
        <v>5.5</v>
      </c>
      <c r="I94" s="33">
        <f t="shared" si="535"/>
        <v>0.18181818181818182</v>
      </c>
      <c r="J94" s="17">
        <f t="shared" si="536"/>
        <v>1</v>
      </c>
      <c r="K94" s="17">
        <f t="shared" si="537"/>
        <v>5</v>
      </c>
      <c r="L94" s="18">
        <f t="shared" si="538"/>
        <v>1.1290383371509995</v>
      </c>
      <c r="M94" s="34">
        <f t="shared" si="539"/>
        <v>0.12903833715099955</v>
      </c>
      <c r="N94" s="33">
        <f t="shared" si="540"/>
        <v>0.16103809395611793</v>
      </c>
      <c r="O94" s="33">
        <f t="shared" si="541"/>
        <v>0.10660697642326655</v>
      </c>
      <c r="P94" s="33">
        <f t="shared" si="542"/>
        <v>0.14140208267511578</v>
      </c>
      <c r="Q94" s="33">
        <f t="shared" si="543"/>
        <v>0.14140208267511578</v>
      </c>
      <c r="R94" s="35">
        <f t="shared" si="544"/>
        <v>1.3131596009479836</v>
      </c>
      <c r="S94" s="35">
        <f t="shared" si="545"/>
        <v>7.6478816260245525E-2</v>
      </c>
      <c r="X94" s="6" t="s">
        <v>472</v>
      </c>
      <c r="Y94" s="6">
        <f t="shared" si="546"/>
        <v>1</v>
      </c>
      <c r="Z94" s="18">
        <f t="shared" si="547"/>
        <v>1.306790825116708</v>
      </c>
      <c r="AA94" s="10">
        <v>0.2</v>
      </c>
      <c r="AB94" s="10">
        <v>10</v>
      </c>
      <c r="AC94" s="35">
        <f t="shared" si="548"/>
        <v>5.0999999999999996</v>
      </c>
      <c r="AD94" s="35">
        <f t="shared" si="549"/>
        <v>-0.99876176809519124</v>
      </c>
      <c r="AE94" s="35">
        <f t="shared" si="550"/>
        <v>0.2</v>
      </c>
      <c r="AF94" s="35">
        <f t="shared" si="551"/>
        <v>5.0999999999999996</v>
      </c>
      <c r="AG94" s="35">
        <f t="shared" si="552"/>
        <v>2.65</v>
      </c>
      <c r="AH94" s="35">
        <f t="shared" si="553"/>
        <v>-0.94672811611415286</v>
      </c>
      <c r="AI94" s="35">
        <f t="shared" si="554"/>
        <v>0.2</v>
      </c>
      <c r="AJ94" s="35">
        <f t="shared" si="555"/>
        <v>2.65</v>
      </c>
      <c r="AK94" s="35">
        <f t="shared" si="556"/>
        <v>1.425</v>
      </c>
      <c r="AL94" s="35">
        <f t="shared" si="557"/>
        <v>-0.52527248313676855</v>
      </c>
      <c r="AM94" s="35">
        <f t="shared" si="558"/>
        <v>0.2</v>
      </c>
      <c r="AN94" s="35">
        <f t="shared" si="559"/>
        <v>1.425</v>
      </c>
      <c r="AO94" s="35">
        <f t="shared" si="560"/>
        <v>0.8125</v>
      </c>
      <c r="AP94" s="35">
        <f t="shared" si="561"/>
        <v>1.237467803991501</v>
      </c>
      <c r="AQ94" s="35">
        <f t="shared" si="562"/>
        <v>0.8125</v>
      </c>
      <c r="AR94" s="35">
        <f t="shared" si="563"/>
        <v>1.425</v>
      </c>
      <c r="AS94" s="35">
        <f t="shared" si="564"/>
        <v>1.1187499999999999</v>
      </c>
      <c r="AT94" s="35">
        <f t="shared" si="565"/>
        <v>-4.03604895432218E-2</v>
      </c>
      <c r="AU94" s="35">
        <f t="shared" si="566"/>
        <v>0.8125</v>
      </c>
      <c r="AV94" s="35">
        <f t="shared" si="567"/>
        <v>1.1187499999999999</v>
      </c>
      <c r="AW94" s="35">
        <f t="shared" si="568"/>
        <v>0.96562499999999996</v>
      </c>
      <c r="AX94" s="35">
        <f t="shared" si="569"/>
        <v>0.4353097100158172</v>
      </c>
      <c r="AY94" s="35">
        <f t="shared" si="570"/>
        <v>0.96562499999999996</v>
      </c>
      <c r="AZ94" s="35">
        <f t="shared" si="571"/>
        <v>1.1187499999999999</v>
      </c>
      <c r="BA94" s="35">
        <f t="shared" si="572"/>
        <v>1.0421874999999998</v>
      </c>
      <c r="BB94" s="35">
        <f t="shared" si="573"/>
        <v>0.16792336383428008</v>
      </c>
      <c r="BC94" s="35">
        <f t="shared" si="574"/>
        <v>1.0421874999999998</v>
      </c>
      <c r="BD94" s="35">
        <f t="shared" si="575"/>
        <v>1.1187499999999999</v>
      </c>
      <c r="BE94" s="35">
        <f t="shared" si="576"/>
        <v>1.0804687499999999</v>
      </c>
      <c r="BF94" s="35">
        <f t="shared" si="577"/>
        <v>5.7432170530542503E-2</v>
      </c>
      <c r="BG94" s="35">
        <f t="shared" si="578"/>
        <v>1.0804687499999999</v>
      </c>
      <c r="BH94" s="35">
        <f t="shared" si="579"/>
        <v>1.1187499999999999</v>
      </c>
      <c r="BI94" s="35">
        <f t="shared" si="580"/>
        <v>1.099609375</v>
      </c>
      <c r="BJ94" s="35">
        <f t="shared" si="581"/>
        <v>7.0607939133224829E-3</v>
      </c>
      <c r="BK94" s="35">
        <f t="shared" si="582"/>
        <v>1.099609375</v>
      </c>
      <c r="BL94" s="35">
        <f t="shared" si="583"/>
        <v>1.1187499999999999</v>
      </c>
      <c r="BM94" s="35">
        <f t="shared" si="584"/>
        <v>1.1091796875</v>
      </c>
      <c r="BN94" s="35">
        <f t="shared" si="585"/>
        <v>-1.7005537310955665E-2</v>
      </c>
      <c r="BO94" s="35">
        <f t="shared" si="586"/>
        <v>1.099609375</v>
      </c>
      <c r="BP94" s="35">
        <f t="shared" si="587"/>
        <v>1.1091796875</v>
      </c>
      <c r="BQ94" s="35">
        <f t="shared" si="588"/>
        <v>1.1043945312500001</v>
      </c>
      <c r="BR94" s="35">
        <f t="shared" si="589"/>
        <v>-5.0628875048615019E-3</v>
      </c>
      <c r="BS94" s="35">
        <f t="shared" si="590"/>
        <v>1.099609375</v>
      </c>
      <c r="BT94" s="35">
        <f t="shared" si="591"/>
        <v>1.1043945312500001</v>
      </c>
      <c r="BU94" s="35">
        <f t="shared" si="592"/>
        <v>1.102001953125</v>
      </c>
      <c r="BV94" s="35">
        <f t="shared" si="593"/>
        <v>9.7612159010584953E-4</v>
      </c>
      <c r="BW94" s="35">
        <f t="shared" si="594"/>
        <v>1.102001953125</v>
      </c>
      <c r="BX94" s="35">
        <f t="shared" si="595"/>
        <v>1.1043945312500001</v>
      </c>
      <c r="BY94" s="35">
        <f t="shared" si="596"/>
        <v>1.1031982421875002</v>
      </c>
      <c r="BZ94" s="35">
        <f t="shared" si="597"/>
        <v>-2.0490653704183792E-3</v>
      </c>
      <c r="CA94" s="35">
        <f t="shared" si="598"/>
        <v>1.102001953125</v>
      </c>
      <c r="CB94" s="35">
        <f t="shared" si="599"/>
        <v>1.1031982421875002</v>
      </c>
      <c r="CC94" s="35">
        <f t="shared" si="600"/>
        <v>1.10260009765625</v>
      </c>
      <c r="CD94" s="35">
        <f t="shared" si="601"/>
        <v>-5.3789566981676806E-4</v>
      </c>
      <c r="CE94" s="35">
        <f t="shared" si="602"/>
        <v>1.102001953125</v>
      </c>
      <c r="CF94" s="35">
        <f t="shared" si="603"/>
        <v>1.10260009765625</v>
      </c>
      <c r="CG94" s="35">
        <f t="shared" si="604"/>
        <v>1.1023010253906249</v>
      </c>
      <c r="CH94" s="35">
        <f t="shared" si="605"/>
        <v>2.1875661731485252E-4</v>
      </c>
      <c r="CI94" s="35">
        <f t="shared" si="606"/>
        <v>1.1023010253906249</v>
      </c>
      <c r="CJ94" s="35">
        <f t="shared" si="607"/>
        <v>1.10260009765625</v>
      </c>
      <c r="CK94" s="35">
        <f t="shared" si="608"/>
        <v>1.1024505615234375</v>
      </c>
      <c r="CL94" s="35">
        <f t="shared" si="609"/>
        <v>-1.5965856218003172E-4</v>
      </c>
      <c r="CM94" s="35">
        <f t="shared" si="610"/>
        <v>1.1023010253906249</v>
      </c>
      <c r="CN94" s="35">
        <f t="shared" si="611"/>
        <v>1.1024505615234375</v>
      </c>
      <c r="CO94" s="35">
        <f t="shared" si="612"/>
        <v>1.1023757934570311</v>
      </c>
      <c r="CP94" s="35">
        <f t="shared" si="613"/>
        <v>2.9526762366227643E-5</v>
      </c>
      <c r="CQ94" s="35">
        <f t="shared" si="614"/>
        <v>1.1023757934570311</v>
      </c>
      <c r="CR94" s="35">
        <f t="shared" si="615"/>
        <v>1.1024505615234375</v>
      </c>
      <c r="CS94" s="35">
        <f t="shared" si="616"/>
        <v>1.1024131774902344</v>
      </c>
      <c r="CT94" s="35">
        <f t="shared" si="617"/>
        <v>-6.5071465430777131E-5</v>
      </c>
      <c r="CU94" s="35">
        <f t="shared" si="618"/>
        <v>1.1023757934570311</v>
      </c>
      <c r="CV94" s="35">
        <f t="shared" si="619"/>
        <v>1.1024131774902344</v>
      </c>
      <c r="CW94" s="35">
        <f t="shared" si="620"/>
        <v>1.1023944854736327</v>
      </c>
      <c r="CX94" s="35">
        <f t="shared" si="621"/>
        <v>-1.7773743010374154E-5</v>
      </c>
      <c r="CY94" s="35">
        <f t="shared" si="622"/>
        <v>1.1023757934570311</v>
      </c>
      <c r="CZ94" s="35">
        <f t="shared" si="623"/>
        <v>1.1023944854736327</v>
      </c>
      <c r="DA94" s="35">
        <f t="shared" si="624"/>
        <v>1.1023851394653319</v>
      </c>
      <c r="DB94" s="35">
        <f t="shared" si="625"/>
        <v>5.8761617960367829E-6</v>
      </c>
      <c r="DC94" s="35">
        <f t="shared" si="626"/>
        <v>1.1023851394653319</v>
      </c>
      <c r="DD94" s="35">
        <f t="shared" si="627"/>
        <v>1.1023944854736327</v>
      </c>
      <c r="DE94" s="35">
        <f t="shared" si="628"/>
        <v>1.1023898124694824</v>
      </c>
      <c r="DF94" s="35">
        <f t="shared" si="629"/>
        <v>-5.9488775757676748E-6</v>
      </c>
      <c r="DG94" s="35">
        <f t="shared" si="630"/>
        <v>1.1023851394653319</v>
      </c>
      <c r="DH94" s="35">
        <f t="shared" si="631"/>
        <v>1.1023898124694824</v>
      </c>
      <c r="DI94" s="35">
        <f t="shared" si="632"/>
        <v>1.102387475967407</v>
      </c>
      <c r="DJ94" s="35">
        <f t="shared" si="633"/>
        <v>-3.6379632417649077E-8</v>
      </c>
      <c r="DK94" s="35">
        <f t="shared" si="634"/>
        <v>1.1023851394653319</v>
      </c>
      <c r="DL94" s="35">
        <f t="shared" si="635"/>
        <v>1.102387475967407</v>
      </c>
      <c r="DM94" s="35">
        <f t="shared" si="636"/>
        <v>1.1023863077163694</v>
      </c>
      <c r="DN94" s="35">
        <f t="shared" si="637"/>
        <v>2.9198856461576383E-6</v>
      </c>
      <c r="DO94" s="35">
        <f t="shared" si="638"/>
        <v>1.1023863077163694</v>
      </c>
      <c r="DP94" s="35">
        <f t="shared" si="639"/>
        <v>1.102387475967407</v>
      </c>
      <c r="DQ94" s="35">
        <f t="shared" si="640"/>
        <v>1.1023868918418882</v>
      </c>
      <c r="DR94" s="35">
        <f t="shared" si="641"/>
        <v>1.4417516476239456E-6</v>
      </c>
      <c r="DS94" s="35">
        <f t="shared" si="642"/>
        <v>1.1023868918418882</v>
      </c>
      <c r="DT94" s="35">
        <f t="shared" si="643"/>
        <v>1.102387475967407</v>
      </c>
      <c r="DU94" s="35">
        <f t="shared" si="644"/>
        <v>1.1023871839046477</v>
      </c>
      <c r="DV94" s="35">
        <f t="shared" si="645"/>
        <v>7.0268566787490272E-7</v>
      </c>
      <c r="DW94" s="35">
        <f t="shared" si="646"/>
        <v>1.1023871839046477</v>
      </c>
      <c r="DX94" s="35">
        <f t="shared" si="647"/>
        <v>1.102387475967407</v>
      </c>
      <c r="DY94" s="35">
        <f t="shared" si="648"/>
        <v>1.1023873299360274</v>
      </c>
      <c r="DZ94" s="35">
        <f t="shared" si="649"/>
        <v>3.3315293279656544E-7</v>
      </c>
      <c r="EA94" s="35">
        <f t="shared" si="650"/>
        <v>1.1023873299360274</v>
      </c>
      <c r="EB94" s="35">
        <f t="shared" si="651"/>
        <v>1.102387475967407</v>
      </c>
      <c r="EC94" s="35">
        <f t="shared" si="652"/>
        <v>1.1023874029517171</v>
      </c>
      <c r="ED94" s="35">
        <f t="shared" si="653"/>
        <v>1.4838662942828762E-7</v>
      </c>
      <c r="EE94" s="35">
        <f t="shared" si="654"/>
        <v>1.1023874029517171</v>
      </c>
      <c r="EF94" s="35">
        <f t="shared" si="655"/>
        <v>1.102387475967407</v>
      </c>
      <c r="EG94" s="35">
        <f t="shared" si="656"/>
        <v>1.1023874394595621</v>
      </c>
      <c r="EH94" s="35">
        <f t="shared" si="657"/>
        <v>5.6003493398293358E-8</v>
      </c>
      <c r="EI94" s="35">
        <f t="shared" si="658"/>
        <v>1.1023874394595621</v>
      </c>
      <c r="EJ94" s="35">
        <f t="shared" si="659"/>
        <v>1.102387475967407</v>
      </c>
      <c r="EK94" s="35">
        <f t="shared" si="660"/>
        <v>1.1023874577134847</v>
      </c>
      <c r="EL94" s="35">
        <f t="shared" si="661"/>
        <v>9.8119288249876035E-9</v>
      </c>
      <c r="EM94" s="35">
        <f t="shared" si="662"/>
        <v>1.1023874577134847</v>
      </c>
      <c r="EN94" s="35">
        <f t="shared" si="663"/>
        <v>1.102387475967407</v>
      </c>
      <c r="EO94" s="35">
        <f t="shared" si="664"/>
        <v>1.1023874668404459</v>
      </c>
      <c r="EP94" s="35">
        <f t="shared" si="665"/>
        <v>-1.3283852462464552E-8</v>
      </c>
      <c r="EQ94" s="35">
        <f t="shared" si="666"/>
        <v>1.1023874577134847</v>
      </c>
      <c r="ER94" s="35">
        <f t="shared" si="667"/>
        <v>1.1023874668404459</v>
      </c>
      <c r="ES94" s="35">
        <f t="shared" si="668"/>
        <v>1.1023874622769654</v>
      </c>
      <c r="ET94" s="35">
        <f t="shared" si="669"/>
        <v>-1.7359625958945912E-9</v>
      </c>
      <c r="EU94" s="35">
        <f t="shared" si="670"/>
        <v>1.1023874577134847</v>
      </c>
      <c r="EV94" s="35">
        <f t="shared" si="671"/>
        <v>1.1023874622769654</v>
      </c>
      <c r="EW94" s="35">
        <f t="shared" si="672"/>
        <v>1.102387459995225</v>
      </c>
      <c r="EX94" s="35">
        <f t="shared" si="673"/>
        <v>4.0379832810799599E-9</v>
      </c>
      <c r="EY94" s="35">
        <f t="shared" si="674"/>
        <v>1.102387459995225</v>
      </c>
      <c r="EZ94" s="35">
        <f t="shared" si="675"/>
        <v>1.1023874622769654</v>
      </c>
      <c r="FA94" s="10">
        <v>9.9999999999999995E-7</v>
      </c>
      <c r="FB94" s="10">
        <v>0.99990000000000001</v>
      </c>
      <c r="FC94" s="35">
        <f t="shared" si="676"/>
        <v>0.49995050000000002</v>
      </c>
      <c r="FD94" s="35">
        <f t="shared" si="677"/>
        <v>-0.77070892827569637</v>
      </c>
      <c r="FE94" s="35">
        <f t="shared" si="678"/>
        <v>9.9999999999999995E-7</v>
      </c>
      <c r="FF94" s="35">
        <f t="shared" si="679"/>
        <v>0.49995050000000002</v>
      </c>
      <c r="FG94" s="35">
        <f t="shared" si="680"/>
        <v>0.24997575</v>
      </c>
      <c r="FH94" s="35">
        <f t="shared" si="681"/>
        <v>-0.61746812414657049</v>
      </c>
      <c r="FI94" s="35">
        <f t="shared" si="682"/>
        <v>9.9999999999999995E-7</v>
      </c>
      <c r="FJ94" s="35">
        <f t="shared" si="683"/>
        <v>0.24997575</v>
      </c>
      <c r="FK94" s="35">
        <f t="shared" si="684"/>
        <v>0.124988375</v>
      </c>
      <c r="FL94" s="35">
        <f t="shared" si="685"/>
        <v>-0.45784395911405307</v>
      </c>
      <c r="FM94" s="35">
        <f t="shared" si="686"/>
        <v>9.9999999999999995E-7</v>
      </c>
      <c r="FN94" s="35">
        <f t="shared" si="687"/>
        <v>0.124988375</v>
      </c>
      <c r="FO94" s="35">
        <f t="shared" si="688"/>
        <v>6.24946875E-2</v>
      </c>
      <c r="FP94" s="35">
        <f t="shared" si="689"/>
        <v>-0.31710468772565814</v>
      </c>
      <c r="FQ94" s="35">
        <f t="shared" si="690"/>
        <v>9.9999999999999995E-7</v>
      </c>
      <c r="FR94" s="35">
        <f t="shared" si="691"/>
        <v>6.24946875E-2</v>
      </c>
      <c r="FS94" s="35">
        <f t="shared" si="692"/>
        <v>3.124784375E-2</v>
      </c>
      <c r="FT94" s="35">
        <f t="shared" si="693"/>
        <v>-0.19416502080980547</v>
      </c>
      <c r="FU94" s="35">
        <f t="shared" si="694"/>
        <v>9.9999999999999995E-7</v>
      </c>
      <c r="FV94" s="35">
        <f t="shared" si="695"/>
        <v>3.124784375E-2</v>
      </c>
      <c r="FW94" s="35">
        <f t="shared" si="696"/>
        <v>1.5624421875000001E-2</v>
      </c>
      <c r="FX94" s="35">
        <f t="shared" si="697"/>
        <v>-8.6605790525065784E-2</v>
      </c>
      <c r="FY94" s="35">
        <f t="shared" si="698"/>
        <v>9.9999999999999995E-7</v>
      </c>
      <c r="FZ94" s="35">
        <f t="shared" si="699"/>
        <v>1.5624421875000001E-2</v>
      </c>
      <c r="GA94" s="35">
        <f t="shared" si="700"/>
        <v>7.8127109375E-3</v>
      </c>
      <c r="GB94" s="35">
        <f t="shared" si="701"/>
        <v>8.7499661426893027E-4</v>
      </c>
      <c r="GC94" s="35">
        <f t="shared" si="702"/>
        <v>7.8127109375E-3</v>
      </c>
      <c r="GD94" s="35">
        <f t="shared" si="703"/>
        <v>1.5624421875000001E-2</v>
      </c>
      <c r="GE94" s="35">
        <f t="shared" si="704"/>
        <v>1.171856640625E-2</v>
      </c>
      <c r="GF94" s="35">
        <f t="shared" si="705"/>
        <v>-4.74282182701109E-2</v>
      </c>
      <c r="GG94" s="35">
        <f t="shared" si="706"/>
        <v>7.8127109375E-3</v>
      </c>
      <c r="GH94" s="35">
        <f t="shared" si="707"/>
        <v>1.171856640625E-2</v>
      </c>
      <c r="GI94" s="35">
        <f t="shared" si="708"/>
        <v>9.7656386718750002E-3</v>
      </c>
      <c r="GJ94" s="35">
        <f t="shared" si="709"/>
        <v>-2.4641870309619285E-2</v>
      </c>
      <c r="GK94" s="35">
        <f t="shared" si="710"/>
        <v>7.8127109375E-3</v>
      </c>
      <c r="GL94" s="35">
        <f t="shared" si="711"/>
        <v>9.7656386718750002E-3</v>
      </c>
      <c r="GM94" s="35">
        <f t="shared" si="712"/>
        <v>8.789174804687501E-3</v>
      </c>
      <c r="GN94" s="35">
        <f t="shared" si="713"/>
        <v>-1.2258690625313484E-2</v>
      </c>
      <c r="GO94" s="35">
        <f t="shared" si="714"/>
        <v>7.8127109375E-3</v>
      </c>
      <c r="GP94" s="35">
        <f t="shared" si="715"/>
        <v>8.789174804687501E-3</v>
      </c>
      <c r="GQ94" s="35">
        <f t="shared" si="716"/>
        <v>8.3009428710937513E-3</v>
      </c>
      <c r="GR94" s="35">
        <f t="shared" si="717"/>
        <v>-5.790311520214142E-3</v>
      </c>
      <c r="GS94" s="35">
        <f t="shared" si="718"/>
        <v>7.8127109375E-3</v>
      </c>
      <c r="GT94" s="35">
        <f t="shared" si="719"/>
        <v>8.3009428710937513E-3</v>
      </c>
      <c r="GU94" s="35">
        <f t="shared" si="720"/>
        <v>8.0568269042968765E-3</v>
      </c>
      <c r="GV94" s="35">
        <f t="shared" si="721"/>
        <v>-2.4828810393215939E-3</v>
      </c>
      <c r="GW94" s="35">
        <f t="shared" si="722"/>
        <v>7.8127109375E-3</v>
      </c>
      <c r="GX94" s="35">
        <f t="shared" si="723"/>
        <v>8.0568269042968765E-3</v>
      </c>
      <c r="GY94" s="35">
        <f t="shared" si="724"/>
        <v>7.9347689208984391E-3</v>
      </c>
      <c r="GZ94" s="35">
        <f t="shared" si="725"/>
        <v>-8.103256631584177E-4</v>
      </c>
      <c r="HA94" s="35">
        <f t="shared" si="726"/>
        <v>7.8127109375E-3</v>
      </c>
      <c r="HB94" s="35">
        <f t="shared" si="727"/>
        <v>7.9347689208984391E-3</v>
      </c>
      <c r="HC94" s="35">
        <f t="shared" si="728"/>
        <v>7.8737399291992187E-3</v>
      </c>
      <c r="HD94" s="35">
        <f t="shared" si="729"/>
        <v>3.072981804486119E-5</v>
      </c>
      <c r="HE94" s="35">
        <f t="shared" si="730"/>
        <v>7.8737399291992187E-3</v>
      </c>
      <c r="HF94" s="35">
        <f t="shared" si="731"/>
        <v>7.9347689208984391E-3</v>
      </c>
      <c r="HG94" s="35">
        <f t="shared" si="732"/>
        <v>7.9042544250488289E-3</v>
      </c>
      <c r="HH94" s="35">
        <f t="shared" si="733"/>
        <v>-3.9019810810747568E-4</v>
      </c>
      <c r="HI94" s="35">
        <f t="shared" si="734"/>
        <v>7.8737399291992187E-3</v>
      </c>
      <c r="HJ94" s="35">
        <f t="shared" si="735"/>
        <v>7.9042544250488289E-3</v>
      </c>
      <c r="HK94" s="35">
        <f t="shared" si="736"/>
        <v>7.8889971771240238E-3</v>
      </c>
      <c r="HL94" s="35">
        <f t="shared" si="737"/>
        <v>-1.7983434474344584E-4</v>
      </c>
      <c r="HM94" s="35">
        <f t="shared" si="738"/>
        <v>7.8737399291992187E-3</v>
      </c>
      <c r="HN94" s="35">
        <f t="shared" si="739"/>
        <v>7.8889971771240238E-3</v>
      </c>
      <c r="HO94" s="35">
        <f t="shared" si="740"/>
        <v>7.8813685531616204E-3</v>
      </c>
      <c r="HP94" s="35">
        <f t="shared" si="741"/>
        <v>-7.4577332467518076E-5</v>
      </c>
      <c r="HQ94" s="35">
        <f t="shared" si="742"/>
        <v>7.8737399291992187E-3</v>
      </c>
      <c r="HR94" s="35">
        <f t="shared" si="743"/>
        <v>7.8813685531616204E-3</v>
      </c>
      <c r="HS94" s="35">
        <f t="shared" si="744"/>
        <v>7.8775542411804195E-3</v>
      </c>
      <c r="HT94" s="35">
        <f t="shared" si="745"/>
        <v>-2.1930026890659704E-5</v>
      </c>
      <c r="HU94" s="35">
        <f t="shared" si="746"/>
        <v>7.8737399291992187E-3</v>
      </c>
      <c r="HV94" s="35">
        <f t="shared" si="747"/>
        <v>7.8775542411804195E-3</v>
      </c>
      <c r="HW94" s="35">
        <f t="shared" si="748"/>
        <v>7.87564708518982E-3</v>
      </c>
      <c r="HX94" s="35">
        <f t="shared" si="749"/>
        <v>4.3983278557035987E-6</v>
      </c>
      <c r="HY94" s="35">
        <f t="shared" si="750"/>
        <v>7.87564708518982E-3</v>
      </c>
      <c r="HZ94" s="35">
        <f t="shared" si="751"/>
        <v>7.8775542411804195E-3</v>
      </c>
      <c r="IA94" s="35">
        <f t="shared" si="752"/>
        <v>7.8766006631851189E-3</v>
      </c>
      <c r="IB94" s="35">
        <f t="shared" si="753"/>
        <v>-8.7662414102185338E-6</v>
      </c>
      <c r="IC94" s="35">
        <f t="shared" si="754"/>
        <v>7.87564708518982E-3</v>
      </c>
      <c r="ID94" s="35">
        <f t="shared" si="755"/>
        <v>7.8766006631851189E-3</v>
      </c>
      <c r="IE94" s="35">
        <f t="shared" si="756"/>
        <v>7.8761238741874694E-3</v>
      </c>
      <c r="IF94" s="35">
        <f t="shared" si="757"/>
        <v>-2.1840547548279687E-6</v>
      </c>
      <c r="IG94" s="35">
        <f t="shared" si="758"/>
        <v>7.87564708518982E-3</v>
      </c>
      <c r="IH94" s="35">
        <f t="shared" si="759"/>
        <v>7.8761238741874694E-3</v>
      </c>
      <c r="II94" s="35">
        <f t="shared" si="760"/>
        <v>7.8758854796886456E-3</v>
      </c>
      <c r="IJ94" s="35">
        <f t="shared" si="761"/>
        <v>1.1071120566974457E-6</v>
      </c>
      <c r="IK94" s="35">
        <f t="shared" si="762"/>
        <v>7.8758854796886456E-3</v>
      </c>
      <c r="IL94" s="35">
        <f t="shared" si="763"/>
        <v>7.8761238741874694E-3</v>
      </c>
      <c r="IM94" s="35">
        <f t="shared" si="764"/>
        <v>7.8760046769380566E-3</v>
      </c>
      <c r="IN94" s="35">
        <f t="shared" si="765"/>
        <v>-5.3847747327750994E-7</v>
      </c>
      <c r="IO94" s="35">
        <f t="shared" si="766"/>
        <v>7.8758854796886456E-3</v>
      </c>
      <c r="IP94" s="35">
        <f t="shared" si="767"/>
        <v>7.8760046769380566E-3</v>
      </c>
      <c r="IQ94" s="35">
        <f t="shared" si="768"/>
        <v>7.8759450783133511E-3</v>
      </c>
      <c r="IR94" s="35">
        <f t="shared" si="769"/>
        <v>2.8431576137855075E-7</v>
      </c>
      <c r="IS94" s="35">
        <f t="shared" si="770"/>
        <v>7.8759450783133511E-3</v>
      </c>
      <c r="IT94" s="35">
        <f t="shared" si="771"/>
        <v>7.8760046769380566E-3</v>
      </c>
      <c r="IU94" s="35">
        <f t="shared" si="772"/>
        <v>7.8759748776257039E-3</v>
      </c>
      <c r="IV94" s="35">
        <f t="shared" si="773"/>
        <v>-1.270812390874454E-7</v>
      </c>
      <c r="IW94" s="35">
        <f t="shared" si="774"/>
        <v>7.8759450783133511E-3</v>
      </c>
      <c r="IX94" s="35">
        <f t="shared" si="775"/>
        <v>7.8759748776257039E-3</v>
      </c>
      <c r="IY94" s="35">
        <f t="shared" si="776"/>
        <v>7.8759599779695266E-3</v>
      </c>
      <c r="IZ94" s="35">
        <f t="shared" si="777"/>
        <v>7.8617165666372557E-8</v>
      </c>
      <c r="JA94" s="35">
        <f t="shared" si="778"/>
        <v>7.8759599779695266E-3</v>
      </c>
      <c r="JB94" s="35">
        <f t="shared" si="779"/>
        <v>7.8759748776257039E-3</v>
      </c>
      <c r="JC94" s="35">
        <f t="shared" si="780"/>
        <v>7.8759674277976144E-3</v>
      </c>
      <c r="JD94" s="35">
        <f t="shared" si="781"/>
        <v>-2.4232060691353752E-8</v>
      </c>
      <c r="JE94" s="35">
        <f t="shared" si="782"/>
        <v>7.8759599779695266E-3</v>
      </c>
      <c r="JF94" s="35">
        <f t="shared" si="783"/>
        <v>7.8759674277976144E-3</v>
      </c>
      <c r="JG94" s="35">
        <f t="shared" si="784"/>
        <v>7.8759637028835705E-3</v>
      </c>
      <c r="JH94" s="35">
        <f t="shared" si="785"/>
        <v>2.7192546436793918E-8</v>
      </c>
      <c r="JI94" s="35">
        <f t="shared" si="786"/>
        <v>7.8759637028835705E-3</v>
      </c>
      <c r="JJ94" s="35">
        <f t="shared" si="787"/>
        <v>7.8759674277976144E-3</v>
      </c>
      <c r="JK94" s="35">
        <f t="shared" si="788"/>
        <v>7.8759655653405924E-3</v>
      </c>
      <c r="JL94" s="35">
        <f t="shared" si="789"/>
        <v>1.4802421510751174E-9</v>
      </c>
      <c r="JM94" s="35">
        <f t="shared" si="790"/>
        <v>7.8759655653405924E-3</v>
      </c>
      <c r="JN94" s="35">
        <f t="shared" si="791"/>
        <v>7.8759674277976144E-3</v>
      </c>
      <c r="JO94" s="35">
        <f t="shared" si="792"/>
        <v>7.8759664965691034E-3</v>
      </c>
      <c r="JP94" s="35">
        <f t="shared" si="793"/>
        <v>-1.1375910657918098E-8</v>
      </c>
      <c r="JQ94" s="35">
        <f t="shared" si="794"/>
        <v>7.8759655653405924E-3</v>
      </c>
      <c r="JR94" s="35">
        <f t="shared" si="795"/>
        <v>7.8759664965691034E-3</v>
      </c>
      <c r="JS94" s="35">
        <f t="shared" si="796"/>
        <v>7.8759660309548479E-3</v>
      </c>
      <c r="JT94" s="35">
        <f t="shared" si="797"/>
        <v>-4.9478348085330026E-9</v>
      </c>
      <c r="JU94" s="35">
        <f t="shared" si="798"/>
        <v>7.8759655653405924E-3</v>
      </c>
      <c r="JV94" s="35">
        <f t="shared" si="799"/>
        <v>7.8759660309548479E-3</v>
      </c>
      <c r="JW94" s="35">
        <f t="shared" si="800"/>
        <v>7.8759657981477202E-3</v>
      </c>
      <c r="JX94" s="35">
        <f t="shared" si="801"/>
        <v>-1.7337962177066402E-9</v>
      </c>
      <c r="JY94" s="35">
        <f t="shared" si="802"/>
        <v>7.8759655653405924E-3</v>
      </c>
      <c r="JZ94" s="35">
        <f t="shared" si="803"/>
        <v>7.8759657981477202E-3</v>
      </c>
      <c r="KA94" s="35">
        <f t="shared" si="804"/>
        <v>1.1023874611360953</v>
      </c>
      <c r="KB94" s="35">
        <f t="shared" si="805"/>
        <v>7.8759656817441563E-3</v>
      </c>
    </row>
    <row r="95" spans="1:288" ht="15" customHeight="1" x14ac:dyDescent="0.3">
      <c r="A95" s="30">
        <f>Odds_Input!A95</f>
        <v>87</v>
      </c>
      <c r="B95" s="7" t="str">
        <f>Odds_Input!B95</f>
        <v>DIV_SOUTHWEST</v>
      </c>
      <c r="C95" s="7" t="str">
        <f>Odds_Input!C95</f>
        <v>Memphis Grizzlies</v>
      </c>
      <c r="D95" s="7" t="str">
        <f>Odds_Input!D95</f>
        <v>YES</v>
      </c>
      <c r="E95" s="31" t="str">
        <f>Odds_Input!E95</f>
        <v>-</v>
      </c>
      <c r="F95" s="32">
        <f>Odds_Input!F95</f>
        <v>20000</v>
      </c>
      <c r="G95" s="6" t="str">
        <f t="shared" si="533"/>
        <v>DIV_SOUTHWEST</v>
      </c>
      <c r="H95" s="14">
        <f t="shared" si="534"/>
        <v>201</v>
      </c>
      <c r="I95" s="33">
        <f t="shared" si="535"/>
        <v>4.9751243781094526E-3</v>
      </c>
      <c r="J95" s="17">
        <f t="shared" si="536"/>
        <v>1</v>
      </c>
      <c r="K95" s="17">
        <f t="shared" si="537"/>
        <v>5</v>
      </c>
      <c r="L95" s="18">
        <f t="shared" si="538"/>
        <v>1.1290383371509995</v>
      </c>
      <c r="M95" s="34">
        <f t="shared" si="539"/>
        <v>0.12903833715099955</v>
      </c>
      <c r="N95" s="33">
        <f t="shared" si="540"/>
        <v>4.4065150087494957E-3</v>
      </c>
      <c r="O95" s="33">
        <f t="shared" si="541"/>
        <v>9.4522670783432812E-4</v>
      </c>
      <c r="P95" s="33">
        <f t="shared" si="542"/>
        <v>2.8566858045690513E-4</v>
      </c>
      <c r="Q95" s="33">
        <f t="shared" si="543"/>
        <v>2.8566858045690513E-4</v>
      </c>
      <c r="R95" s="35">
        <f t="shared" si="544"/>
        <v>1.3131596009479836</v>
      </c>
      <c r="S95" s="35">
        <f t="shared" si="545"/>
        <v>7.6478816260245525E-2</v>
      </c>
      <c r="X95" s="6" t="s">
        <v>490</v>
      </c>
      <c r="Y95" s="6">
        <f t="shared" si="546"/>
        <v>1</v>
      </c>
      <c r="Z95" s="18">
        <f t="shared" si="547"/>
        <v>1.1938902107622367</v>
      </c>
      <c r="AA95" s="10">
        <v>0.2</v>
      </c>
      <c r="AB95" s="10">
        <v>10</v>
      </c>
      <c r="AC95" s="35">
        <f t="shared" si="548"/>
        <v>5.0999999999999996</v>
      </c>
      <c r="AD95" s="35">
        <f t="shared" si="549"/>
        <v>-0.54441082497081217</v>
      </c>
      <c r="AE95" s="35">
        <f t="shared" si="550"/>
        <v>0.2</v>
      </c>
      <c r="AF95" s="35">
        <f t="shared" si="551"/>
        <v>5.0999999999999996</v>
      </c>
      <c r="AG95" s="35">
        <f t="shared" si="552"/>
        <v>2.65</v>
      </c>
      <c r="AH95" s="35">
        <f t="shared" si="553"/>
        <v>-0.33393023057238735</v>
      </c>
      <c r="AI95" s="35">
        <f t="shared" si="554"/>
        <v>0.2</v>
      </c>
      <c r="AJ95" s="35">
        <f t="shared" si="555"/>
        <v>2.65</v>
      </c>
      <c r="AK95" s="35">
        <f t="shared" si="556"/>
        <v>1.425</v>
      </c>
      <c r="AL95" s="35">
        <f t="shared" si="557"/>
        <v>-0.13045243517800698</v>
      </c>
      <c r="AM95" s="35">
        <f t="shared" si="558"/>
        <v>0.2</v>
      </c>
      <c r="AN95" s="35">
        <f t="shared" si="559"/>
        <v>1.425</v>
      </c>
      <c r="AO95" s="35">
        <f t="shared" si="560"/>
        <v>0.8125</v>
      </c>
      <c r="AP95" s="35">
        <f t="shared" si="561"/>
        <v>0.61212526167793779</v>
      </c>
      <c r="AQ95" s="35">
        <f t="shared" si="562"/>
        <v>0.8125</v>
      </c>
      <c r="AR95" s="35">
        <f t="shared" si="563"/>
        <v>1.425</v>
      </c>
      <c r="AS95" s="35">
        <f t="shared" si="564"/>
        <v>1.1187499999999999</v>
      </c>
      <c r="AT95" s="35">
        <f t="shared" si="565"/>
        <v>5.1855794476503458E-2</v>
      </c>
      <c r="AU95" s="35">
        <f t="shared" si="566"/>
        <v>1.1187499999999999</v>
      </c>
      <c r="AV95" s="35">
        <f t="shared" si="567"/>
        <v>1.425</v>
      </c>
      <c r="AW95" s="35">
        <f t="shared" si="568"/>
        <v>1.2718750000000001</v>
      </c>
      <c r="AX95" s="35">
        <f t="shared" si="569"/>
        <v>-6.0967945131974566E-2</v>
      </c>
      <c r="AY95" s="35">
        <f t="shared" si="570"/>
        <v>1.1187499999999999</v>
      </c>
      <c r="AZ95" s="35">
        <f t="shared" si="571"/>
        <v>1.2718750000000001</v>
      </c>
      <c r="BA95" s="35">
        <f t="shared" si="572"/>
        <v>1.1953125</v>
      </c>
      <c r="BB95" s="35">
        <f t="shared" si="573"/>
        <v>-1.186370417212057E-2</v>
      </c>
      <c r="BC95" s="35">
        <f t="shared" si="574"/>
        <v>1.1187499999999999</v>
      </c>
      <c r="BD95" s="35">
        <f t="shared" si="575"/>
        <v>1.1953125</v>
      </c>
      <c r="BE95" s="35">
        <f t="shared" si="576"/>
        <v>1.15703125</v>
      </c>
      <c r="BF95" s="35">
        <f t="shared" si="577"/>
        <v>1.7855274986122271E-2</v>
      </c>
      <c r="BG95" s="35">
        <f t="shared" si="578"/>
        <v>1.15703125</v>
      </c>
      <c r="BH95" s="35">
        <f t="shared" si="579"/>
        <v>1.1953125</v>
      </c>
      <c r="BI95" s="35">
        <f t="shared" si="580"/>
        <v>1.1761718750000001</v>
      </c>
      <c r="BJ95" s="35">
        <f t="shared" si="581"/>
        <v>2.5041327949415493E-3</v>
      </c>
      <c r="BK95" s="35">
        <f t="shared" si="582"/>
        <v>1.1761718750000001</v>
      </c>
      <c r="BL95" s="35">
        <f t="shared" si="583"/>
        <v>1.1953125</v>
      </c>
      <c r="BM95" s="35">
        <f t="shared" si="584"/>
        <v>1.1857421875</v>
      </c>
      <c r="BN95" s="35">
        <f t="shared" si="585"/>
        <v>-4.7976638085404089E-3</v>
      </c>
      <c r="BO95" s="35">
        <f t="shared" si="586"/>
        <v>1.1761718750000001</v>
      </c>
      <c r="BP95" s="35">
        <f t="shared" si="587"/>
        <v>1.1857421875</v>
      </c>
      <c r="BQ95" s="35">
        <f t="shared" si="588"/>
        <v>1.1809570312500002</v>
      </c>
      <c r="BR95" s="35">
        <f t="shared" si="589"/>
        <v>-1.1768472848023848E-3</v>
      </c>
      <c r="BS95" s="35">
        <f t="shared" si="590"/>
        <v>1.1761718750000001</v>
      </c>
      <c r="BT95" s="35">
        <f t="shared" si="591"/>
        <v>1.1809570312500002</v>
      </c>
      <c r="BU95" s="35">
        <f t="shared" si="592"/>
        <v>1.1785644531250001</v>
      </c>
      <c r="BV95" s="35">
        <f t="shared" si="593"/>
        <v>6.5604431112453732E-4</v>
      </c>
      <c r="BW95" s="35">
        <f t="shared" si="594"/>
        <v>1.1785644531250001</v>
      </c>
      <c r="BX95" s="35">
        <f t="shared" si="595"/>
        <v>1.1809570312500002</v>
      </c>
      <c r="BY95" s="35">
        <f t="shared" si="596"/>
        <v>1.1797607421875003</v>
      </c>
      <c r="BZ95" s="35">
        <f t="shared" si="597"/>
        <v>-2.6229128137278401E-4</v>
      </c>
      <c r="CA95" s="35">
        <f t="shared" si="598"/>
        <v>1.1785644531250001</v>
      </c>
      <c r="CB95" s="35">
        <f t="shared" si="599"/>
        <v>1.1797607421875003</v>
      </c>
      <c r="CC95" s="35">
        <f t="shared" si="600"/>
        <v>1.1791625976562501</v>
      </c>
      <c r="CD95" s="35">
        <f t="shared" si="601"/>
        <v>1.9640284336963632E-4</v>
      </c>
      <c r="CE95" s="35">
        <f t="shared" si="602"/>
        <v>1.1791625976562501</v>
      </c>
      <c r="CF95" s="35">
        <f t="shared" si="603"/>
        <v>1.1797607421875003</v>
      </c>
      <c r="CG95" s="35">
        <f t="shared" si="604"/>
        <v>1.1794616699218752</v>
      </c>
      <c r="CH95" s="35">
        <f t="shared" si="605"/>
        <v>-3.3062483758783401E-5</v>
      </c>
      <c r="CI95" s="35">
        <f t="shared" si="606"/>
        <v>1.1791625976562501</v>
      </c>
      <c r="CJ95" s="35">
        <f t="shared" si="607"/>
        <v>1.1794616699218752</v>
      </c>
      <c r="CK95" s="35">
        <f t="shared" si="608"/>
        <v>1.1793121337890626</v>
      </c>
      <c r="CL95" s="35">
        <f t="shared" si="609"/>
        <v>8.1640594492338181E-5</v>
      </c>
      <c r="CM95" s="35">
        <f t="shared" si="610"/>
        <v>1.1793121337890626</v>
      </c>
      <c r="CN95" s="35">
        <f t="shared" si="611"/>
        <v>1.1794616699218752</v>
      </c>
      <c r="CO95" s="35">
        <f t="shared" si="612"/>
        <v>1.179386901855469</v>
      </c>
      <c r="CP95" s="35">
        <f t="shared" si="613"/>
        <v>2.4281661429759183E-5</v>
      </c>
      <c r="CQ95" s="35">
        <f t="shared" si="614"/>
        <v>1.179386901855469</v>
      </c>
      <c r="CR95" s="35">
        <f t="shared" si="615"/>
        <v>1.1794616699218752</v>
      </c>
      <c r="CS95" s="35">
        <f t="shared" si="616"/>
        <v>1.1794242858886721</v>
      </c>
      <c r="CT95" s="35">
        <f t="shared" si="617"/>
        <v>-4.3922593498946227E-6</v>
      </c>
      <c r="CU95" s="35">
        <f t="shared" si="618"/>
        <v>1.179386901855469</v>
      </c>
      <c r="CV95" s="35">
        <f t="shared" si="619"/>
        <v>1.1794242858886721</v>
      </c>
      <c r="CW95" s="35">
        <f t="shared" si="620"/>
        <v>1.1794055938720707</v>
      </c>
      <c r="CX95" s="35">
        <f t="shared" si="621"/>
        <v>9.9442389565052025E-6</v>
      </c>
      <c r="CY95" s="35">
        <f t="shared" si="622"/>
        <v>1.1794055938720707</v>
      </c>
      <c r="CZ95" s="35">
        <f t="shared" si="623"/>
        <v>1.1794242858886721</v>
      </c>
      <c r="DA95" s="35">
        <f t="shared" si="624"/>
        <v>1.1794149398803713</v>
      </c>
      <c r="DB95" s="35">
        <f t="shared" si="625"/>
        <v>2.7758742875416687E-6</v>
      </c>
      <c r="DC95" s="35">
        <f t="shared" si="626"/>
        <v>1.1794149398803713</v>
      </c>
      <c r="DD95" s="35">
        <f t="shared" si="627"/>
        <v>1.1794242858886721</v>
      </c>
      <c r="DE95" s="35">
        <f t="shared" si="628"/>
        <v>1.1794196128845216</v>
      </c>
      <c r="DF95" s="35">
        <f t="shared" si="629"/>
        <v>-8.0822140946512633E-7</v>
      </c>
      <c r="DG95" s="35">
        <f t="shared" si="630"/>
        <v>1.1794149398803713</v>
      </c>
      <c r="DH95" s="35">
        <f t="shared" si="631"/>
        <v>1.1794196128845216</v>
      </c>
      <c r="DI95" s="35">
        <f t="shared" si="632"/>
        <v>1.1794172763824464</v>
      </c>
      <c r="DJ95" s="35">
        <f t="shared" si="633"/>
        <v>9.8381921898038627E-7</v>
      </c>
      <c r="DK95" s="35">
        <f t="shared" si="634"/>
        <v>1.1794172763824464</v>
      </c>
      <c r="DL95" s="35">
        <f t="shared" si="635"/>
        <v>1.1794196128845216</v>
      </c>
      <c r="DM95" s="35">
        <f t="shared" si="636"/>
        <v>1.1794184446334839</v>
      </c>
      <c r="DN95" s="35">
        <f t="shared" si="637"/>
        <v>8.7797099812547685E-8</v>
      </c>
      <c r="DO95" s="35">
        <f t="shared" si="638"/>
        <v>1.1794184446334839</v>
      </c>
      <c r="DP95" s="35">
        <f t="shared" si="639"/>
        <v>1.1794196128845216</v>
      </c>
      <c r="DQ95" s="35">
        <f t="shared" si="640"/>
        <v>1.1794190287590027</v>
      </c>
      <c r="DR95" s="35">
        <f t="shared" si="641"/>
        <v>-3.6021260607643768E-7</v>
      </c>
      <c r="DS95" s="35">
        <f t="shared" si="642"/>
        <v>1.1794184446334839</v>
      </c>
      <c r="DT95" s="35">
        <f t="shared" si="643"/>
        <v>1.1794190287590027</v>
      </c>
      <c r="DU95" s="35">
        <f t="shared" si="644"/>
        <v>1.1794187366962432</v>
      </c>
      <c r="DV95" s="35">
        <f t="shared" si="645"/>
        <v>-1.3620786598611545E-7</v>
      </c>
      <c r="DW95" s="35">
        <f t="shared" si="646"/>
        <v>1.1794184446334839</v>
      </c>
      <c r="DX95" s="35">
        <f t="shared" si="647"/>
        <v>1.1794187366962432</v>
      </c>
      <c r="DY95" s="35">
        <f t="shared" si="648"/>
        <v>1.1794185906648635</v>
      </c>
      <c r="DZ95" s="35">
        <f t="shared" si="649"/>
        <v>-2.4205411452982162E-8</v>
      </c>
      <c r="EA95" s="35">
        <f t="shared" si="650"/>
        <v>1.1794184446334839</v>
      </c>
      <c r="EB95" s="35">
        <f t="shared" si="651"/>
        <v>1.1794185906648635</v>
      </c>
      <c r="EC95" s="35">
        <f t="shared" si="652"/>
        <v>1.1794185176491738</v>
      </c>
      <c r="ED95" s="35">
        <f t="shared" si="653"/>
        <v>3.1795837962533824E-8</v>
      </c>
      <c r="EE95" s="35">
        <f t="shared" si="654"/>
        <v>1.1794185176491738</v>
      </c>
      <c r="EF95" s="35">
        <f t="shared" si="655"/>
        <v>1.1794185906648635</v>
      </c>
      <c r="EG95" s="35">
        <f t="shared" si="656"/>
        <v>1.1794185541570186</v>
      </c>
      <c r="EH95" s="35">
        <f t="shared" si="657"/>
        <v>3.7952114784189916E-9</v>
      </c>
      <c r="EI95" s="35">
        <f t="shared" si="658"/>
        <v>1.1794185541570186</v>
      </c>
      <c r="EJ95" s="35">
        <f t="shared" si="659"/>
        <v>1.1794185906648635</v>
      </c>
      <c r="EK95" s="35">
        <f t="shared" si="660"/>
        <v>1.1794185724109409</v>
      </c>
      <c r="EL95" s="35">
        <f t="shared" si="661"/>
        <v>-1.0205100320348492E-8</v>
      </c>
      <c r="EM95" s="35">
        <f t="shared" si="662"/>
        <v>1.1794185541570186</v>
      </c>
      <c r="EN95" s="35">
        <f t="shared" si="663"/>
        <v>1.1794185724109409</v>
      </c>
      <c r="EO95" s="35">
        <f t="shared" si="664"/>
        <v>1.1794185632839798</v>
      </c>
      <c r="EP95" s="35">
        <f t="shared" si="665"/>
        <v>-3.2049445319870529E-9</v>
      </c>
      <c r="EQ95" s="35">
        <f t="shared" si="666"/>
        <v>1.1794185541570186</v>
      </c>
      <c r="ER95" s="35">
        <f t="shared" si="667"/>
        <v>1.1794185632839798</v>
      </c>
      <c r="ES95" s="35">
        <f t="shared" si="668"/>
        <v>1.1794185587204993</v>
      </c>
      <c r="ET95" s="35">
        <f t="shared" si="669"/>
        <v>2.9513347321596939E-10</v>
      </c>
      <c r="EU95" s="35">
        <f t="shared" si="670"/>
        <v>1.1794185587204993</v>
      </c>
      <c r="EV95" s="35">
        <f t="shared" si="671"/>
        <v>1.1794185632839798</v>
      </c>
      <c r="EW95" s="35">
        <f t="shared" si="672"/>
        <v>1.1794185610022394</v>
      </c>
      <c r="EX95" s="35">
        <f t="shared" si="673"/>
        <v>-1.4549055293855417E-9</v>
      </c>
      <c r="EY95" s="35">
        <f t="shared" si="674"/>
        <v>1.1794185587204993</v>
      </c>
      <c r="EZ95" s="35">
        <f t="shared" si="675"/>
        <v>1.1794185610022394</v>
      </c>
      <c r="FA95" s="10">
        <v>9.9999999999999995E-7</v>
      </c>
      <c r="FB95" s="10">
        <v>0.99990000000000001</v>
      </c>
      <c r="FC95" s="35">
        <f t="shared" si="676"/>
        <v>0.49995050000000002</v>
      </c>
      <c r="FD95" s="35">
        <f t="shared" si="677"/>
        <v>-0.26687702529341961</v>
      </c>
      <c r="FE95" s="35">
        <f t="shared" si="678"/>
        <v>9.9999999999999995E-7</v>
      </c>
      <c r="FF95" s="35">
        <f t="shared" si="679"/>
        <v>0.49995050000000002</v>
      </c>
      <c r="FG95" s="35">
        <f t="shared" si="680"/>
        <v>0.24997575</v>
      </c>
      <c r="FH95" s="35">
        <f t="shared" si="681"/>
        <v>-0.21405925503476952</v>
      </c>
      <c r="FI95" s="35">
        <f t="shared" si="682"/>
        <v>9.9999999999999995E-7</v>
      </c>
      <c r="FJ95" s="35">
        <f t="shared" si="683"/>
        <v>0.24997575</v>
      </c>
      <c r="FK95" s="35">
        <f t="shared" si="684"/>
        <v>0.124988375</v>
      </c>
      <c r="FL95" s="35">
        <f t="shared" si="685"/>
        <v>-0.17227618204000705</v>
      </c>
      <c r="FM95" s="35">
        <f t="shared" si="686"/>
        <v>9.9999999999999995E-7</v>
      </c>
      <c r="FN95" s="35">
        <f t="shared" si="687"/>
        <v>0.124988375</v>
      </c>
      <c r="FO95" s="35">
        <f t="shared" si="688"/>
        <v>6.24946875E-2</v>
      </c>
      <c r="FP95" s="35">
        <f t="shared" si="689"/>
        <v>-0.12860786422672843</v>
      </c>
      <c r="FQ95" s="35">
        <f t="shared" si="690"/>
        <v>9.9999999999999995E-7</v>
      </c>
      <c r="FR95" s="35">
        <f t="shared" si="691"/>
        <v>6.24946875E-2</v>
      </c>
      <c r="FS95" s="35">
        <f t="shared" si="692"/>
        <v>3.124784375E-2</v>
      </c>
      <c r="FT95" s="35">
        <f t="shared" si="693"/>
        <v>-8.1561723442944767E-2</v>
      </c>
      <c r="FU95" s="35">
        <f t="shared" si="694"/>
        <v>9.9999999999999995E-7</v>
      </c>
      <c r="FV95" s="35">
        <f t="shared" si="695"/>
        <v>3.124784375E-2</v>
      </c>
      <c r="FW95" s="35">
        <f t="shared" si="696"/>
        <v>1.5624421875000001E-2</v>
      </c>
      <c r="FX95" s="35">
        <f t="shared" si="697"/>
        <v>-3.392881627337041E-2</v>
      </c>
      <c r="FY95" s="35">
        <f t="shared" si="698"/>
        <v>9.9999999999999995E-7</v>
      </c>
      <c r="FZ95" s="35">
        <f t="shared" si="699"/>
        <v>1.5624421875000001E-2</v>
      </c>
      <c r="GA95" s="35">
        <f t="shared" si="700"/>
        <v>7.8127109375E-3</v>
      </c>
      <c r="GB95" s="35">
        <f t="shared" si="701"/>
        <v>9.5372390496031301E-3</v>
      </c>
      <c r="GC95" s="35">
        <f t="shared" si="702"/>
        <v>7.8127109375E-3</v>
      </c>
      <c r="GD95" s="35">
        <f t="shared" si="703"/>
        <v>1.5624421875000001E-2</v>
      </c>
      <c r="GE95" s="35">
        <f t="shared" si="704"/>
        <v>1.171856640625E-2</v>
      </c>
      <c r="GF95" s="35">
        <f t="shared" si="705"/>
        <v>-1.5067637433940129E-2</v>
      </c>
      <c r="GG95" s="35">
        <f t="shared" si="706"/>
        <v>7.8127109375E-3</v>
      </c>
      <c r="GH95" s="35">
        <f t="shared" si="707"/>
        <v>1.171856640625E-2</v>
      </c>
      <c r="GI95" s="35">
        <f t="shared" si="708"/>
        <v>9.7656386718750002E-3</v>
      </c>
      <c r="GJ95" s="35">
        <f t="shared" si="709"/>
        <v>-3.6617170614912098E-3</v>
      </c>
      <c r="GK95" s="35">
        <f t="shared" si="710"/>
        <v>7.8127109375E-3</v>
      </c>
      <c r="GL95" s="35">
        <f t="shared" si="711"/>
        <v>9.7656386718750002E-3</v>
      </c>
      <c r="GM95" s="35">
        <f t="shared" si="712"/>
        <v>8.789174804687501E-3</v>
      </c>
      <c r="GN95" s="35">
        <f t="shared" si="713"/>
        <v>2.6848608870952972E-3</v>
      </c>
      <c r="GO95" s="35">
        <f t="shared" si="714"/>
        <v>8.789174804687501E-3</v>
      </c>
      <c r="GP95" s="35">
        <f t="shared" si="715"/>
        <v>9.7656386718750002E-3</v>
      </c>
      <c r="GQ95" s="35">
        <f t="shared" si="716"/>
        <v>9.2774067382812506E-3</v>
      </c>
      <c r="GR95" s="35">
        <f t="shared" si="717"/>
        <v>-5.4771008894582973E-4</v>
      </c>
      <c r="GS95" s="35">
        <f t="shared" si="718"/>
        <v>8.789174804687501E-3</v>
      </c>
      <c r="GT95" s="35">
        <f t="shared" si="719"/>
        <v>9.2774067382812506E-3</v>
      </c>
      <c r="GU95" s="35">
        <f t="shared" si="720"/>
        <v>9.0332907714843758E-3</v>
      </c>
      <c r="GV95" s="35">
        <f t="shared" si="721"/>
        <v>1.0532852844631346E-3</v>
      </c>
      <c r="GW95" s="35">
        <f t="shared" si="722"/>
        <v>9.0332907714843758E-3</v>
      </c>
      <c r="GX95" s="35">
        <f t="shared" si="723"/>
        <v>9.2774067382812506E-3</v>
      </c>
      <c r="GY95" s="35">
        <f t="shared" si="724"/>
        <v>9.1553487548828132E-3</v>
      </c>
      <c r="GZ95" s="35">
        <f t="shared" si="725"/>
        <v>2.4902517689873171E-4</v>
      </c>
      <c r="HA95" s="35">
        <f t="shared" si="726"/>
        <v>9.1553487548828132E-3</v>
      </c>
      <c r="HB95" s="35">
        <f t="shared" si="727"/>
        <v>9.2774067382812506E-3</v>
      </c>
      <c r="HC95" s="35">
        <f t="shared" si="728"/>
        <v>9.2163777465820319E-3</v>
      </c>
      <c r="HD95" s="35">
        <f t="shared" si="729"/>
        <v>-1.5027567257785979E-4</v>
      </c>
      <c r="HE95" s="35">
        <f t="shared" si="730"/>
        <v>9.1553487548828132E-3</v>
      </c>
      <c r="HF95" s="35">
        <f t="shared" si="731"/>
        <v>9.2163777465820319E-3</v>
      </c>
      <c r="HG95" s="35">
        <f t="shared" si="732"/>
        <v>9.1858632507324234E-3</v>
      </c>
      <c r="HH95" s="35">
        <f t="shared" si="733"/>
        <v>4.9140529954749823E-5</v>
      </c>
      <c r="HI95" s="35">
        <f t="shared" si="734"/>
        <v>9.1858632507324234E-3</v>
      </c>
      <c r="HJ95" s="35">
        <f t="shared" si="735"/>
        <v>9.2163777465820319E-3</v>
      </c>
      <c r="HK95" s="35">
        <f t="shared" si="736"/>
        <v>9.2011204986572268E-3</v>
      </c>
      <c r="HL95" s="35">
        <f t="shared" si="737"/>
        <v>-5.0626011760646072E-5</v>
      </c>
      <c r="HM95" s="35">
        <f t="shared" si="738"/>
        <v>9.1858632507324234E-3</v>
      </c>
      <c r="HN95" s="35">
        <f t="shared" si="739"/>
        <v>9.2011204986572268E-3</v>
      </c>
      <c r="HO95" s="35">
        <f t="shared" si="740"/>
        <v>9.1934918746948251E-3</v>
      </c>
      <c r="HP95" s="35">
        <f t="shared" si="741"/>
        <v>-7.5736538163173606E-7</v>
      </c>
      <c r="HQ95" s="35">
        <f t="shared" si="742"/>
        <v>9.1858632507324234E-3</v>
      </c>
      <c r="HR95" s="35">
        <f t="shared" si="743"/>
        <v>9.1934918746948251E-3</v>
      </c>
      <c r="HS95" s="35">
        <f t="shared" si="744"/>
        <v>9.1896775627136242E-3</v>
      </c>
      <c r="HT95" s="35">
        <f t="shared" si="745"/>
        <v>2.4187924369423186E-5</v>
      </c>
      <c r="HU95" s="35">
        <f t="shared" si="746"/>
        <v>9.1896775627136242E-3</v>
      </c>
      <c r="HV95" s="35">
        <f t="shared" si="747"/>
        <v>9.1934918746948251E-3</v>
      </c>
      <c r="HW95" s="35">
        <f t="shared" si="748"/>
        <v>9.1915847187042238E-3</v>
      </c>
      <c r="HX95" s="35">
        <f t="shared" si="749"/>
        <v>1.1714365239168245E-5</v>
      </c>
      <c r="HY95" s="35">
        <f t="shared" si="750"/>
        <v>9.1915847187042238E-3</v>
      </c>
      <c r="HZ95" s="35">
        <f t="shared" si="751"/>
        <v>9.1934918746948251E-3</v>
      </c>
      <c r="IA95" s="35">
        <f t="shared" si="752"/>
        <v>9.1925382966995244E-3</v>
      </c>
      <c r="IB95" s="35">
        <f t="shared" si="753"/>
        <v>5.4782713923007265E-6</v>
      </c>
      <c r="IC95" s="35">
        <f t="shared" si="754"/>
        <v>9.1925382966995244E-3</v>
      </c>
      <c r="ID95" s="35">
        <f t="shared" si="755"/>
        <v>9.1934918746948251E-3</v>
      </c>
      <c r="IE95" s="35">
        <f t="shared" si="756"/>
        <v>9.1930150856971739E-3</v>
      </c>
      <c r="IF95" s="35">
        <f t="shared" si="757"/>
        <v>2.3603958749784937E-6</v>
      </c>
      <c r="IG95" s="35">
        <f t="shared" si="758"/>
        <v>9.1930150856971739E-3</v>
      </c>
      <c r="IH95" s="35">
        <f t="shared" si="759"/>
        <v>9.1934918746948251E-3</v>
      </c>
      <c r="II95" s="35">
        <f t="shared" si="760"/>
        <v>9.1932534801959995E-3</v>
      </c>
      <c r="IJ95" s="35">
        <f t="shared" si="761"/>
        <v>8.0150096493092349E-7</v>
      </c>
      <c r="IK95" s="35">
        <f t="shared" si="762"/>
        <v>9.1932534801959995E-3</v>
      </c>
      <c r="IL95" s="35">
        <f t="shared" si="763"/>
        <v>9.1934918746948251E-3</v>
      </c>
      <c r="IM95" s="35">
        <f t="shared" si="764"/>
        <v>9.1933726774454123E-3</v>
      </c>
      <c r="IN95" s="35">
        <f t="shared" si="765"/>
        <v>2.2064221338879975E-8</v>
      </c>
      <c r="IO95" s="35">
        <f t="shared" si="766"/>
        <v>9.1933726774454123E-3</v>
      </c>
      <c r="IP95" s="35">
        <f t="shared" si="767"/>
        <v>9.1934918746948251E-3</v>
      </c>
      <c r="IQ95" s="35">
        <f t="shared" si="768"/>
        <v>9.1934322760701195E-3</v>
      </c>
      <c r="IR95" s="35">
        <f t="shared" si="769"/>
        <v>-3.6765147359840711E-7</v>
      </c>
      <c r="IS95" s="35">
        <f t="shared" si="770"/>
        <v>9.1933726774454123E-3</v>
      </c>
      <c r="IT95" s="35">
        <f t="shared" si="771"/>
        <v>9.1934322760701195E-3</v>
      </c>
      <c r="IU95" s="35">
        <f t="shared" si="772"/>
        <v>9.193402476757765E-3</v>
      </c>
      <c r="IV95" s="35">
        <f t="shared" si="773"/>
        <v>-1.7279384934010267E-7</v>
      </c>
      <c r="IW95" s="35">
        <f t="shared" si="774"/>
        <v>9.1933726774454123E-3</v>
      </c>
      <c r="IX95" s="35">
        <f t="shared" si="775"/>
        <v>9.193402476757765E-3</v>
      </c>
      <c r="IY95" s="35">
        <f t="shared" si="776"/>
        <v>9.1933875771015895E-3</v>
      </c>
      <c r="IZ95" s="35">
        <f t="shared" si="777"/>
        <v>-7.5364869678296031E-8</v>
      </c>
      <c r="JA95" s="35">
        <f t="shared" si="778"/>
        <v>9.1933726774454123E-3</v>
      </c>
      <c r="JB95" s="35">
        <f t="shared" si="779"/>
        <v>9.1933875771015895E-3</v>
      </c>
      <c r="JC95" s="35">
        <f t="shared" si="780"/>
        <v>9.1933801272735018E-3</v>
      </c>
      <c r="JD95" s="35">
        <f t="shared" si="781"/>
        <v>-2.6650339157718861E-8</v>
      </c>
      <c r="JE95" s="35">
        <f t="shared" si="782"/>
        <v>9.1933726774454123E-3</v>
      </c>
      <c r="JF95" s="35">
        <f t="shared" si="783"/>
        <v>9.1933801272735018E-3</v>
      </c>
      <c r="JG95" s="35">
        <f t="shared" si="784"/>
        <v>9.1933764023594579E-3</v>
      </c>
      <c r="JH95" s="35">
        <f t="shared" si="785"/>
        <v>-2.293062961733483E-9</v>
      </c>
      <c r="JI95" s="35">
        <f t="shared" si="786"/>
        <v>9.1933726774454123E-3</v>
      </c>
      <c r="JJ95" s="35">
        <f t="shared" si="787"/>
        <v>9.1933764023594579E-3</v>
      </c>
      <c r="JK95" s="35">
        <f t="shared" si="788"/>
        <v>9.1933745399024359E-3</v>
      </c>
      <c r="JL95" s="35">
        <f t="shared" si="789"/>
        <v>9.885579244084397E-9</v>
      </c>
      <c r="JM95" s="35">
        <f t="shared" si="790"/>
        <v>9.1933745399024359E-3</v>
      </c>
      <c r="JN95" s="35">
        <f t="shared" si="791"/>
        <v>9.1933764023594579E-3</v>
      </c>
      <c r="JO95" s="35">
        <f t="shared" si="792"/>
        <v>9.1933754711309469E-3</v>
      </c>
      <c r="JP95" s="35">
        <f t="shared" si="793"/>
        <v>3.7962568644189787E-9</v>
      </c>
      <c r="JQ95" s="35">
        <f t="shared" si="794"/>
        <v>9.1933754711309469E-3</v>
      </c>
      <c r="JR95" s="35">
        <f t="shared" si="795"/>
        <v>9.1933764023594579E-3</v>
      </c>
      <c r="JS95" s="35">
        <f t="shared" si="796"/>
        <v>9.1933759367452024E-3</v>
      </c>
      <c r="JT95" s="35">
        <f t="shared" si="797"/>
        <v>7.5159833912152862E-10</v>
      </c>
      <c r="JU95" s="35">
        <f t="shared" si="798"/>
        <v>9.1933759367452024E-3</v>
      </c>
      <c r="JV95" s="35">
        <f t="shared" si="799"/>
        <v>9.1933764023594579E-3</v>
      </c>
      <c r="JW95" s="35">
        <f t="shared" si="800"/>
        <v>9.1933761695523301E-3</v>
      </c>
      <c r="JX95" s="35">
        <f t="shared" si="801"/>
        <v>-7.7073170068331365E-10</v>
      </c>
      <c r="JY95" s="35">
        <f t="shared" si="802"/>
        <v>9.1933759367452024E-3</v>
      </c>
      <c r="JZ95" s="35">
        <f t="shared" si="803"/>
        <v>9.1933761695523301E-3</v>
      </c>
      <c r="KA95" s="35">
        <f t="shared" si="804"/>
        <v>1.1794185598613693</v>
      </c>
      <c r="KB95" s="35">
        <f t="shared" si="805"/>
        <v>9.1933760531487663E-3</v>
      </c>
    </row>
    <row r="96" spans="1:288" ht="15" customHeight="1" x14ac:dyDescent="0.3">
      <c r="A96" s="30">
        <f>Odds_Input!A96</f>
        <v>88</v>
      </c>
      <c r="B96" s="7" t="str">
        <f>Odds_Input!B96</f>
        <v>DIV_SOUTHWEST</v>
      </c>
      <c r="C96" s="7" t="str">
        <f>Odds_Input!C96</f>
        <v>New Orleans Pelicans</v>
      </c>
      <c r="D96" s="7" t="str">
        <f>Odds_Input!D96</f>
        <v>YES</v>
      </c>
      <c r="E96" s="31" t="str">
        <f>Odds_Input!E96</f>
        <v>-</v>
      </c>
      <c r="F96" s="32">
        <f>Odds_Input!F96</f>
        <v>18500</v>
      </c>
      <c r="G96" s="6" t="str">
        <f t="shared" si="533"/>
        <v>DIV_SOUTHWEST</v>
      </c>
      <c r="H96" s="14">
        <f t="shared" si="534"/>
        <v>186</v>
      </c>
      <c r="I96" s="33">
        <f t="shared" si="535"/>
        <v>5.3763440860215058E-3</v>
      </c>
      <c r="J96" s="17">
        <f t="shared" si="536"/>
        <v>1</v>
      </c>
      <c r="K96" s="17">
        <f t="shared" si="537"/>
        <v>5</v>
      </c>
      <c r="L96" s="18">
        <f t="shared" si="538"/>
        <v>1.1290383371509995</v>
      </c>
      <c r="M96" s="34">
        <f t="shared" si="539"/>
        <v>0.12903833715099955</v>
      </c>
      <c r="N96" s="33">
        <f t="shared" si="540"/>
        <v>4.7618791223583258E-3</v>
      </c>
      <c r="O96" s="33">
        <f t="shared" si="541"/>
        <v>1.046567605424044E-3</v>
      </c>
      <c r="P96" s="33">
        <f t="shared" si="542"/>
        <v>3.3341049103323542E-4</v>
      </c>
      <c r="Q96" s="33">
        <f t="shared" si="543"/>
        <v>3.3341049103323542E-4</v>
      </c>
      <c r="R96" s="35">
        <f t="shared" si="544"/>
        <v>1.3131596009479836</v>
      </c>
      <c r="S96" s="35">
        <f t="shared" si="545"/>
        <v>7.6478816260245525E-2</v>
      </c>
      <c r="X96" s="6" t="s">
        <v>502</v>
      </c>
      <c r="Y96" s="6">
        <f t="shared" si="546"/>
        <v>1</v>
      </c>
      <c r="Z96" s="18">
        <f t="shared" si="547"/>
        <v>1.2219997865534908</v>
      </c>
      <c r="AA96" s="10">
        <v>0.2</v>
      </c>
      <c r="AB96" s="10">
        <v>10</v>
      </c>
      <c r="AC96" s="35">
        <f t="shared" si="548"/>
        <v>5.0999999999999996</v>
      </c>
      <c r="AD96" s="35">
        <f t="shared" si="549"/>
        <v>-0.94962907285933129</v>
      </c>
      <c r="AE96" s="35">
        <f t="shared" si="550"/>
        <v>0.2</v>
      </c>
      <c r="AF96" s="35">
        <f t="shared" si="551"/>
        <v>5.0999999999999996</v>
      </c>
      <c r="AG96" s="35">
        <f t="shared" si="552"/>
        <v>2.65</v>
      </c>
      <c r="AH96" s="35">
        <f t="shared" si="553"/>
        <v>-0.76849927715303767</v>
      </c>
      <c r="AI96" s="35">
        <f t="shared" si="554"/>
        <v>0.2</v>
      </c>
      <c r="AJ96" s="35">
        <f t="shared" si="555"/>
        <v>2.65</v>
      </c>
      <c r="AK96" s="35">
        <f t="shared" si="556"/>
        <v>1.425</v>
      </c>
      <c r="AL96" s="35">
        <f t="shared" si="557"/>
        <v>-0.35404691234432817</v>
      </c>
      <c r="AM96" s="35">
        <f t="shared" si="558"/>
        <v>0.2</v>
      </c>
      <c r="AN96" s="35">
        <f t="shared" si="559"/>
        <v>1.425</v>
      </c>
      <c r="AO96" s="35">
        <f t="shared" si="560"/>
        <v>0.8125</v>
      </c>
      <c r="AP96" s="35">
        <f t="shared" si="561"/>
        <v>0.83642860311707001</v>
      </c>
      <c r="AQ96" s="35">
        <f t="shared" si="562"/>
        <v>0.8125</v>
      </c>
      <c r="AR96" s="35">
        <f t="shared" si="563"/>
        <v>1.425</v>
      </c>
      <c r="AS96" s="35">
        <f t="shared" si="564"/>
        <v>1.1187499999999999</v>
      </c>
      <c r="AT96" s="35">
        <f t="shared" si="565"/>
        <v>-1.131789898920621E-2</v>
      </c>
      <c r="AU96" s="35">
        <f t="shared" si="566"/>
        <v>0.8125</v>
      </c>
      <c r="AV96" s="35">
        <f t="shared" si="567"/>
        <v>1.1187499999999999</v>
      </c>
      <c r="AW96" s="35">
        <f t="shared" si="568"/>
        <v>0.96562499999999996</v>
      </c>
      <c r="AX96" s="35">
        <f t="shared" si="569"/>
        <v>0.30744504260059857</v>
      </c>
      <c r="AY96" s="35">
        <f t="shared" si="570"/>
        <v>0.96562499999999996</v>
      </c>
      <c r="AZ96" s="35">
        <f t="shared" si="571"/>
        <v>1.1187499999999999</v>
      </c>
      <c r="BA96" s="35">
        <f t="shared" si="572"/>
        <v>1.0421874999999998</v>
      </c>
      <c r="BB96" s="35">
        <f t="shared" si="573"/>
        <v>0.12921219375142257</v>
      </c>
      <c r="BC96" s="35">
        <f t="shared" si="574"/>
        <v>1.0421874999999998</v>
      </c>
      <c r="BD96" s="35">
        <f t="shared" si="575"/>
        <v>1.1187499999999999</v>
      </c>
      <c r="BE96" s="35">
        <f t="shared" si="576"/>
        <v>1.0804687499999999</v>
      </c>
      <c r="BF96" s="35">
        <f t="shared" si="577"/>
        <v>5.4913718913481846E-2</v>
      </c>
      <c r="BG96" s="35">
        <f t="shared" si="578"/>
        <v>1.0804687499999999</v>
      </c>
      <c r="BH96" s="35">
        <f t="shared" si="579"/>
        <v>1.1187499999999999</v>
      </c>
      <c r="BI96" s="35">
        <f t="shared" si="580"/>
        <v>1.099609375</v>
      </c>
      <c r="BJ96" s="35">
        <f t="shared" si="581"/>
        <v>2.0862709574650973E-2</v>
      </c>
      <c r="BK96" s="35">
        <f t="shared" si="582"/>
        <v>1.099609375</v>
      </c>
      <c r="BL96" s="35">
        <f t="shared" si="583"/>
        <v>1.1187499999999999</v>
      </c>
      <c r="BM96" s="35">
        <f t="shared" si="584"/>
        <v>1.1091796875</v>
      </c>
      <c r="BN96" s="35">
        <f t="shared" si="585"/>
        <v>4.5471065396480714E-3</v>
      </c>
      <c r="BO96" s="35">
        <f t="shared" si="586"/>
        <v>1.1091796875</v>
      </c>
      <c r="BP96" s="35">
        <f t="shared" si="587"/>
        <v>1.1187499999999999</v>
      </c>
      <c r="BQ96" s="35">
        <f t="shared" si="588"/>
        <v>1.1139648437499998</v>
      </c>
      <c r="BR96" s="35">
        <f t="shared" si="589"/>
        <v>-3.4406958850377034E-3</v>
      </c>
      <c r="BS96" s="35">
        <f t="shared" si="590"/>
        <v>1.1091796875</v>
      </c>
      <c r="BT96" s="35">
        <f t="shared" si="591"/>
        <v>1.1139648437499998</v>
      </c>
      <c r="BU96" s="35">
        <f t="shared" si="592"/>
        <v>1.111572265625</v>
      </c>
      <c r="BV96" s="35">
        <f t="shared" si="593"/>
        <v>5.3925391716114213E-4</v>
      </c>
      <c r="BW96" s="35">
        <f t="shared" si="594"/>
        <v>1.111572265625</v>
      </c>
      <c r="BX96" s="35">
        <f t="shared" si="595"/>
        <v>1.1139648437499998</v>
      </c>
      <c r="BY96" s="35">
        <f t="shared" si="596"/>
        <v>1.1127685546874999</v>
      </c>
      <c r="BZ96" s="35">
        <f t="shared" si="597"/>
        <v>-1.4541929237102957E-3</v>
      </c>
      <c r="CA96" s="35">
        <f t="shared" si="598"/>
        <v>1.111572265625</v>
      </c>
      <c r="CB96" s="35">
        <f t="shared" si="599"/>
        <v>1.1127685546874999</v>
      </c>
      <c r="CC96" s="35">
        <f t="shared" si="600"/>
        <v>1.11217041015625</v>
      </c>
      <c r="CD96" s="35">
        <f t="shared" si="601"/>
        <v>-4.5833947097118077E-4</v>
      </c>
      <c r="CE96" s="35">
        <f t="shared" si="602"/>
        <v>1.111572265625</v>
      </c>
      <c r="CF96" s="35">
        <f t="shared" si="603"/>
        <v>1.11217041015625</v>
      </c>
      <c r="CG96" s="35">
        <f t="shared" si="604"/>
        <v>1.1118713378906251</v>
      </c>
      <c r="CH96" s="35">
        <f t="shared" si="605"/>
        <v>4.0239482773207769E-5</v>
      </c>
      <c r="CI96" s="35">
        <f t="shared" si="606"/>
        <v>1.1118713378906251</v>
      </c>
      <c r="CJ96" s="35">
        <f t="shared" si="607"/>
        <v>1.11217041015625</v>
      </c>
      <c r="CK96" s="35">
        <f t="shared" si="608"/>
        <v>1.1120208740234374</v>
      </c>
      <c r="CL96" s="35">
        <f t="shared" si="609"/>
        <v>-2.0910439810417625E-4</v>
      </c>
      <c r="CM96" s="35">
        <f t="shared" si="610"/>
        <v>1.1118713378906251</v>
      </c>
      <c r="CN96" s="35">
        <f t="shared" si="611"/>
        <v>1.1120208740234374</v>
      </c>
      <c r="CO96" s="35">
        <f t="shared" si="612"/>
        <v>1.1119461059570313</v>
      </c>
      <c r="CP96" s="35">
        <f t="shared" si="613"/>
        <v>-8.4446062550203038E-5</v>
      </c>
      <c r="CQ96" s="35">
        <f t="shared" si="614"/>
        <v>1.1118713378906251</v>
      </c>
      <c r="CR96" s="35">
        <f t="shared" si="615"/>
        <v>1.1119461059570313</v>
      </c>
      <c r="CS96" s="35">
        <f t="shared" si="616"/>
        <v>1.1119087219238282</v>
      </c>
      <c r="CT96" s="35">
        <f t="shared" si="617"/>
        <v>-2.2106691595080719E-5</v>
      </c>
      <c r="CU96" s="35">
        <f t="shared" si="618"/>
        <v>1.1118713378906251</v>
      </c>
      <c r="CV96" s="35">
        <f t="shared" si="619"/>
        <v>1.1119087219238282</v>
      </c>
      <c r="CW96" s="35">
        <f t="shared" si="620"/>
        <v>1.1118900299072267</v>
      </c>
      <c r="CX96" s="35">
        <f t="shared" si="621"/>
        <v>9.0655451014942656E-6</v>
      </c>
      <c r="CY96" s="35">
        <f t="shared" si="622"/>
        <v>1.1118900299072267</v>
      </c>
      <c r="CZ96" s="35">
        <f t="shared" si="623"/>
        <v>1.1119087219238282</v>
      </c>
      <c r="DA96" s="35">
        <f t="shared" si="624"/>
        <v>1.1118993759155273</v>
      </c>
      <c r="DB96" s="35">
        <f t="shared" si="625"/>
        <v>-6.5207858608307134E-6</v>
      </c>
      <c r="DC96" s="35">
        <f t="shared" si="626"/>
        <v>1.1118900299072267</v>
      </c>
      <c r="DD96" s="35">
        <f t="shared" si="627"/>
        <v>1.1118993759155273</v>
      </c>
      <c r="DE96" s="35">
        <f t="shared" si="628"/>
        <v>1.111894702911377</v>
      </c>
      <c r="DF96" s="35">
        <f t="shared" si="629"/>
        <v>1.2723264659619815E-6</v>
      </c>
      <c r="DG96" s="35">
        <f t="shared" si="630"/>
        <v>1.111894702911377</v>
      </c>
      <c r="DH96" s="35">
        <f t="shared" si="631"/>
        <v>1.1118993759155273</v>
      </c>
      <c r="DI96" s="35">
        <f t="shared" si="632"/>
        <v>1.1118970394134522</v>
      </c>
      <c r="DJ96" s="35">
        <f t="shared" si="633"/>
        <v>-2.6242429862488592E-6</v>
      </c>
      <c r="DK96" s="35">
        <f t="shared" si="634"/>
        <v>1.111894702911377</v>
      </c>
      <c r="DL96" s="35">
        <f t="shared" si="635"/>
        <v>1.1118970394134522</v>
      </c>
      <c r="DM96" s="35">
        <f t="shared" si="636"/>
        <v>1.1118958711624147</v>
      </c>
      <c r="DN96" s="35">
        <f t="shared" si="637"/>
        <v>-6.7596158248584004E-7</v>
      </c>
      <c r="DO96" s="35">
        <f t="shared" si="638"/>
        <v>1.111894702911377</v>
      </c>
      <c r="DP96" s="35">
        <f t="shared" si="639"/>
        <v>1.1118958711624147</v>
      </c>
      <c r="DQ96" s="35">
        <f t="shared" si="640"/>
        <v>1.1118952870368959</v>
      </c>
      <c r="DR96" s="35">
        <f t="shared" si="641"/>
        <v>2.9818161140227062E-7</v>
      </c>
      <c r="DS96" s="35">
        <f t="shared" si="642"/>
        <v>1.1118952870368959</v>
      </c>
      <c r="DT96" s="35">
        <f t="shared" si="643"/>
        <v>1.1118958711624147</v>
      </c>
      <c r="DU96" s="35">
        <f t="shared" si="644"/>
        <v>1.1118955790996554</v>
      </c>
      <c r="DV96" s="35">
        <f t="shared" si="645"/>
        <v>-1.8889019304246801E-7</v>
      </c>
      <c r="DW96" s="35">
        <f t="shared" si="646"/>
        <v>1.1118952870368959</v>
      </c>
      <c r="DX96" s="35">
        <f t="shared" si="647"/>
        <v>1.1118955790996554</v>
      </c>
      <c r="DY96" s="35">
        <f t="shared" si="648"/>
        <v>1.1118954330682755</v>
      </c>
      <c r="DZ96" s="35">
        <f t="shared" si="649"/>
        <v>5.4645657554530658E-8</v>
      </c>
      <c r="EA96" s="35">
        <f t="shared" si="650"/>
        <v>1.1118954330682755</v>
      </c>
      <c r="EB96" s="35">
        <f t="shared" si="651"/>
        <v>1.1118955790996554</v>
      </c>
      <c r="EC96" s="35">
        <f t="shared" si="652"/>
        <v>1.1118955060839655</v>
      </c>
      <c r="ED96" s="35">
        <f t="shared" si="653"/>
        <v>-6.7122281066644973E-8</v>
      </c>
      <c r="EE96" s="35">
        <f t="shared" si="654"/>
        <v>1.1118954330682755</v>
      </c>
      <c r="EF96" s="35">
        <f t="shared" si="655"/>
        <v>1.1118955060839655</v>
      </c>
      <c r="EG96" s="35">
        <f t="shared" si="656"/>
        <v>1.1118954695761205</v>
      </c>
      <c r="EH96" s="35">
        <f t="shared" si="657"/>
        <v>-6.2383150867262316E-9</v>
      </c>
      <c r="EI96" s="35">
        <f t="shared" si="658"/>
        <v>1.1118954330682755</v>
      </c>
      <c r="EJ96" s="35">
        <f t="shared" si="659"/>
        <v>1.1118954695761205</v>
      </c>
      <c r="EK96" s="35">
        <f t="shared" si="660"/>
        <v>1.1118954513221979</v>
      </c>
      <c r="EL96" s="35">
        <f t="shared" si="661"/>
        <v>2.4203670401234945E-8</v>
      </c>
      <c r="EM96" s="35">
        <f t="shared" si="662"/>
        <v>1.1118954513221979</v>
      </c>
      <c r="EN96" s="35">
        <f t="shared" si="663"/>
        <v>1.1118954695761205</v>
      </c>
      <c r="EO96" s="35">
        <f t="shared" si="664"/>
        <v>1.1118954604491593</v>
      </c>
      <c r="EP96" s="35">
        <f t="shared" si="665"/>
        <v>8.982677046631693E-9</v>
      </c>
      <c r="EQ96" s="35">
        <f t="shared" si="666"/>
        <v>1.1118954604491593</v>
      </c>
      <c r="ER96" s="35">
        <f t="shared" si="667"/>
        <v>1.1118954695761205</v>
      </c>
      <c r="ES96" s="35">
        <f t="shared" si="668"/>
        <v>1.11189546501264</v>
      </c>
      <c r="ET96" s="35">
        <f t="shared" si="669"/>
        <v>1.372180813419277E-9</v>
      </c>
      <c r="EU96" s="35">
        <f t="shared" si="670"/>
        <v>1.11189546501264</v>
      </c>
      <c r="EV96" s="35">
        <f t="shared" si="671"/>
        <v>1.1118954695761205</v>
      </c>
      <c r="EW96" s="35">
        <f t="shared" si="672"/>
        <v>1.1118954672943802</v>
      </c>
      <c r="EX96" s="35">
        <f t="shared" si="673"/>
        <v>-2.4330666370531162E-9</v>
      </c>
      <c r="EY96" s="35">
        <f t="shared" si="674"/>
        <v>1.11189546501264</v>
      </c>
      <c r="EZ96" s="35">
        <f t="shared" si="675"/>
        <v>1.1118954672943802</v>
      </c>
      <c r="FA96" s="10">
        <v>9.9999999999999995E-7</v>
      </c>
      <c r="FB96" s="10">
        <v>0.99990000000000001</v>
      </c>
      <c r="FC96" s="35">
        <f t="shared" si="676"/>
        <v>0.49995050000000002</v>
      </c>
      <c r="FD96" s="35">
        <f t="shared" si="677"/>
        <v>-0.53122315994684577</v>
      </c>
      <c r="FE96" s="35">
        <f t="shared" si="678"/>
        <v>9.9999999999999995E-7</v>
      </c>
      <c r="FF96" s="35">
        <f t="shared" si="679"/>
        <v>0.49995050000000002</v>
      </c>
      <c r="FG96" s="35">
        <f t="shared" si="680"/>
        <v>0.24997575</v>
      </c>
      <c r="FH96" s="35">
        <f t="shared" si="681"/>
        <v>-0.39603563745455206</v>
      </c>
      <c r="FI96" s="35">
        <f t="shared" si="682"/>
        <v>9.9999999999999995E-7</v>
      </c>
      <c r="FJ96" s="35">
        <f t="shared" si="683"/>
        <v>0.24997575</v>
      </c>
      <c r="FK96" s="35">
        <f t="shared" si="684"/>
        <v>0.124988375</v>
      </c>
      <c r="FL96" s="35">
        <f t="shared" si="685"/>
        <v>-0.28776301591158682</v>
      </c>
      <c r="FM96" s="35">
        <f t="shared" si="686"/>
        <v>9.9999999999999995E-7</v>
      </c>
      <c r="FN96" s="35">
        <f t="shared" si="687"/>
        <v>0.124988375</v>
      </c>
      <c r="FO96" s="35">
        <f t="shared" si="688"/>
        <v>6.24946875E-2</v>
      </c>
      <c r="FP96" s="35">
        <f t="shared" si="689"/>
        <v>-0.19659197099739423</v>
      </c>
      <c r="FQ96" s="35">
        <f t="shared" si="690"/>
        <v>9.9999999999999995E-7</v>
      </c>
      <c r="FR96" s="35">
        <f t="shared" si="691"/>
        <v>6.24946875E-2</v>
      </c>
      <c r="FS96" s="35">
        <f t="shared" si="692"/>
        <v>3.124784375E-2</v>
      </c>
      <c r="FT96" s="35">
        <f t="shared" si="693"/>
        <v>-0.11708641378965701</v>
      </c>
      <c r="FU96" s="35">
        <f t="shared" si="694"/>
        <v>9.9999999999999995E-7</v>
      </c>
      <c r="FV96" s="35">
        <f t="shared" si="695"/>
        <v>3.124784375E-2</v>
      </c>
      <c r="FW96" s="35">
        <f t="shared" si="696"/>
        <v>1.5624421875000001E-2</v>
      </c>
      <c r="FX96" s="35">
        <f t="shared" si="697"/>
        <v>-4.7421754302864438E-2</v>
      </c>
      <c r="FY96" s="35">
        <f t="shared" si="698"/>
        <v>9.9999999999999995E-7</v>
      </c>
      <c r="FZ96" s="35">
        <f t="shared" si="699"/>
        <v>1.5624421875000001E-2</v>
      </c>
      <c r="GA96" s="35">
        <f t="shared" si="700"/>
        <v>7.8127109375E-3</v>
      </c>
      <c r="GB96" s="35">
        <f t="shared" si="701"/>
        <v>9.9541691177478242E-3</v>
      </c>
      <c r="GC96" s="35">
        <f t="shared" si="702"/>
        <v>7.8127109375E-3</v>
      </c>
      <c r="GD96" s="35">
        <f t="shared" si="703"/>
        <v>1.5624421875000001E-2</v>
      </c>
      <c r="GE96" s="35">
        <f t="shared" si="704"/>
        <v>1.171856640625E-2</v>
      </c>
      <c r="GF96" s="35">
        <f t="shared" si="705"/>
        <v>-2.1836405221851818E-2</v>
      </c>
      <c r="GG96" s="35">
        <f t="shared" si="706"/>
        <v>7.8127109375E-3</v>
      </c>
      <c r="GH96" s="35">
        <f t="shared" si="707"/>
        <v>1.171856640625E-2</v>
      </c>
      <c r="GI96" s="35">
        <f t="shared" si="708"/>
        <v>9.7656386718750002E-3</v>
      </c>
      <c r="GJ96" s="35">
        <f t="shared" si="709"/>
        <v>-6.8759189710628776E-3</v>
      </c>
      <c r="GK96" s="35">
        <f t="shared" si="710"/>
        <v>7.8127109375E-3</v>
      </c>
      <c r="GL96" s="35">
        <f t="shared" si="711"/>
        <v>9.7656386718750002E-3</v>
      </c>
      <c r="GM96" s="35">
        <f t="shared" si="712"/>
        <v>8.789174804687501E-3</v>
      </c>
      <c r="GN96" s="35">
        <f t="shared" si="713"/>
        <v>1.281171160355532E-3</v>
      </c>
      <c r="GO96" s="35">
        <f t="shared" si="714"/>
        <v>8.789174804687501E-3</v>
      </c>
      <c r="GP96" s="35">
        <f t="shared" si="715"/>
        <v>9.7656386718750002E-3</v>
      </c>
      <c r="GQ96" s="35">
        <f t="shared" si="716"/>
        <v>9.2774067382812506E-3</v>
      </c>
      <c r="GR96" s="35">
        <f t="shared" si="717"/>
        <v>-2.8586112624703341E-3</v>
      </c>
      <c r="GS96" s="35">
        <f t="shared" si="718"/>
        <v>8.789174804687501E-3</v>
      </c>
      <c r="GT96" s="35">
        <f t="shared" si="719"/>
        <v>9.2774067382812506E-3</v>
      </c>
      <c r="GU96" s="35">
        <f t="shared" si="720"/>
        <v>9.0332907714843758E-3</v>
      </c>
      <c r="GV96" s="35">
        <f t="shared" si="721"/>
        <v>-8.0442153717441567E-4</v>
      </c>
      <c r="GW96" s="35">
        <f t="shared" si="722"/>
        <v>8.789174804687501E-3</v>
      </c>
      <c r="GX96" s="35">
        <f t="shared" si="723"/>
        <v>9.0332907714843758E-3</v>
      </c>
      <c r="GY96" s="35">
        <f t="shared" si="724"/>
        <v>8.9112327880859384E-3</v>
      </c>
      <c r="GZ96" s="35">
        <f t="shared" si="725"/>
        <v>2.3439919009216048E-4</v>
      </c>
      <c r="HA96" s="35">
        <f t="shared" si="726"/>
        <v>8.9112327880859384E-3</v>
      </c>
      <c r="HB96" s="35">
        <f t="shared" si="727"/>
        <v>9.0332907714843758E-3</v>
      </c>
      <c r="HC96" s="35">
        <f t="shared" si="728"/>
        <v>8.9722617797851571E-3</v>
      </c>
      <c r="HD96" s="35">
        <f t="shared" si="729"/>
        <v>-2.8599874213552923E-4</v>
      </c>
      <c r="HE96" s="35">
        <f t="shared" si="730"/>
        <v>8.9112327880859384E-3</v>
      </c>
      <c r="HF96" s="35">
        <f t="shared" si="731"/>
        <v>8.9722617797851571E-3</v>
      </c>
      <c r="HG96" s="35">
        <f t="shared" si="732"/>
        <v>8.9417472839355486E-3</v>
      </c>
      <c r="HH96" s="35">
        <f t="shared" si="733"/>
        <v>-2.6047456784472622E-5</v>
      </c>
      <c r="HI96" s="35">
        <f t="shared" si="734"/>
        <v>8.9112327880859384E-3</v>
      </c>
      <c r="HJ96" s="35">
        <f t="shared" si="735"/>
        <v>8.9417472839355486E-3</v>
      </c>
      <c r="HK96" s="35">
        <f t="shared" si="736"/>
        <v>8.9264900360107435E-3</v>
      </c>
      <c r="HL96" s="35">
        <f t="shared" si="737"/>
        <v>1.0411384758257647E-4</v>
      </c>
      <c r="HM96" s="35">
        <f t="shared" si="738"/>
        <v>8.9264900360107435E-3</v>
      </c>
      <c r="HN96" s="35">
        <f t="shared" si="739"/>
        <v>8.9417472839355486E-3</v>
      </c>
      <c r="HO96" s="35">
        <f t="shared" si="740"/>
        <v>8.9341186599731469E-3</v>
      </c>
      <c r="HP96" s="35">
        <f t="shared" si="741"/>
        <v>3.9017703005850279E-5</v>
      </c>
      <c r="HQ96" s="35">
        <f t="shared" si="742"/>
        <v>8.9341186599731469E-3</v>
      </c>
      <c r="HR96" s="35">
        <f t="shared" si="743"/>
        <v>8.9417472839355486E-3</v>
      </c>
      <c r="HS96" s="35">
        <f t="shared" si="744"/>
        <v>8.9379329719543477E-3</v>
      </c>
      <c r="HT96" s="35">
        <f t="shared" si="745"/>
        <v>6.4812515578882568E-6</v>
      </c>
      <c r="HU96" s="35">
        <f t="shared" si="746"/>
        <v>8.9379329719543477E-3</v>
      </c>
      <c r="HV96" s="35">
        <f t="shared" si="747"/>
        <v>8.9417472839355486E-3</v>
      </c>
      <c r="HW96" s="35">
        <f t="shared" si="748"/>
        <v>8.9398401279449473E-3</v>
      </c>
      <c r="HX96" s="35">
        <f t="shared" si="749"/>
        <v>-9.7840703084939307E-6</v>
      </c>
      <c r="HY96" s="35">
        <f t="shared" si="750"/>
        <v>8.9379329719543477E-3</v>
      </c>
      <c r="HZ96" s="35">
        <f t="shared" si="751"/>
        <v>8.9398401279449473E-3</v>
      </c>
      <c r="IA96" s="35">
        <f t="shared" si="752"/>
        <v>8.9388865499496484E-3</v>
      </c>
      <c r="IB96" s="35">
        <f t="shared" si="753"/>
        <v>-1.6516513239306363E-6</v>
      </c>
      <c r="IC96" s="35">
        <f t="shared" si="754"/>
        <v>8.9379329719543477E-3</v>
      </c>
      <c r="ID96" s="35">
        <f t="shared" si="755"/>
        <v>8.9388865499496484E-3</v>
      </c>
      <c r="IE96" s="35">
        <f t="shared" si="756"/>
        <v>8.9384097609519972E-3</v>
      </c>
      <c r="IF96" s="35">
        <f t="shared" si="757"/>
        <v>2.414739627365492E-6</v>
      </c>
      <c r="IG96" s="35">
        <f t="shared" si="758"/>
        <v>8.9384097609519972E-3</v>
      </c>
      <c r="IH96" s="35">
        <f t="shared" si="759"/>
        <v>8.9388865499496484E-3</v>
      </c>
      <c r="II96" s="35">
        <f t="shared" si="760"/>
        <v>8.9386481554508228E-3</v>
      </c>
      <c r="IJ96" s="35">
        <f t="shared" si="761"/>
        <v>3.8152902925858712E-7</v>
      </c>
      <c r="IK96" s="35">
        <f t="shared" si="762"/>
        <v>8.9386481554508228E-3</v>
      </c>
      <c r="IL96" s="35">
        <f t="shared" si="763"/>
        <v>8.9388865499496484E-3</v>
      </c>
      <c r="IM96" s="35">
        <f t="shared" si="764"/>
        <v>8.9387673527002356E-3</v>
      </c>
      <c r="IN96" s="35">
        <f t="shared" si="765"/>
        <v>-6.3506492808951265E-7</v>
      </c>
      <c r="IO96" s="35">
        <f t="shared" si="766"/>
        <v>8.9386481554508228E-3</v>
      </c>
      <c r="IP96" s="35">
        <f t="shared" si="767"/>
        <v>8.9387673527002356E-3</v>
      </c>
      <c r="IQ96" s="35">
        <f t="shared" si="768"/>
        <v>8.9387077540755283E-3</v>
      </c>
      <c r="IR96" s="35">
        <f t="shared" si="769"/>
        <v>-1.2676889360463406E-7</v>
      </c>
      <c r="IS96" s="35">
        <f t="shared" si="770"/>
        <v>8.9386481554508228E-3</v>
      </c>
      <c r="IT96" s="35">
        <f t="shared" si="771"/>
        <v>8.9387077540755283E-3</v>
      </c>
      <c r="IU96" s="35">
        <f t="shared" si="772"/>
        <v>8.9386779547631755E-3</v>
      </c>
      <c r="IV96" s="35">
        <f t="shared" si="773"/>
        <v>1.2737983134947228E-7</v>
      </c>
      <c r="IW96" s="35">
        <f t="shared" si="774"/>
        <v>8.9386779547631755E-3</v>
      </c>
      <c r="IX96" s="35">
        <f t="shared" si="775"/>
        <v>8.9387077540755283E-3</v>
      </c>
      <c r="IY96" s="35">
        <f t="shared" si="776"/>
        <v>8.9386928544193528E-3</v>
      </c>
      <c r="IZ96" s="35">
        <f t="shared" si="777"/>
        <v>3.0540991957650476E-10</v>
      </c>
      <c r="JA96" s="35">
        <f t="shared" si="778"/>
        <v>8.9386928544193528E-3</v>
      </c>
      <c r="JB96" s="35">
        <f t="shared" si="779"/>
        <v>8.9387077540755283E-3</v>
      </c>
      <c r="JC96" s="35">
        <f t="shared" si="780"/>
        <v>8.9387003042474406E-3</v>
      </c>
      <c r="JD96" s="35">
        <f t="shared" si="781"/>
        <v>-6.3231757052584214E-8</v>
      </c>
      <c r="JE96" s="35">
        <f t="shared" si="782"/>
        <v>8.9386928544193528E-3</v>
      </c>
      <c r="JF96" s="35">
        <f t="shared" si="783"/>
        <v>8.9387003042474406E-3</v>
      </c>
      <c r="JG96" s="35">
        <f t="shared" si="784"/>
        <v>8.9386965793333967E-3</v>
      </c>
      <c r="JH96" s="35">
        <f t="shared" si="785"/>
        <v>-3.1463177285750987E-8</v>
      </c>
      <c r="JI96" s="35">
        <f t="shared" si="786"/>
        <v>8.9386928544193528E-3</v>
      </c>
      <c r="JJ96" s="35">
        <f t="shared" si="787"/>
        <v>8.9386965793333967E-3</v>
      </c>
      <c r="JK96" s="35">
        <f t="shared" si="788"/>
        <v>8.9386947168763747E-3</v>
      </c>
      <c r="JL96" s="35">
        <f t="shared" si="789"/>
        <v>-1.5578884404732207E-8</v>
      </c>
      <c r="JM96" s="35">
        <f t="shared" si="790"/>
        <v>8.9386928544193528E-3</v>
      </c>
      <c r="JN96" s="35">
        <f t="shared" si="791"/>
        <v>8.9386947168763747E-3</v>
      </c>
      <c r="JO96" s="35">
        <f t="shared" si="792"/>
        <v>8.9386937856478638E-3</v>
      </c>
      <c r="JP96" s="35">
        <f t="shared" si="793"/>
        <v>-7.6367381307562709E-9</v>
      </c>
      <c r="JQ96" s="35">
        <f t="shared" si="794"/>
        <v>8.9386928544193528E-3</v>
      </c>
      <c r="JR96" s="35">
        <f t="shared" si="795"/>
        <v>8.9386937856478638E-3</v>
      </c>
      <c r="JS96" s="35">
        <f t="shared" si="796"/>
        <v>8.9386933200336083E-3</v>
      </c>
      <c r="JT96" s="35">
        <f t="shared" si="797"/>
        <v>-3.6656641055898831E-9</v>
      </c>
      <c r="JU96" s="35">
        <f t="shared" si="798"/>
        <v>8.9386928544193528E-3</v>
      </c>
      <c r="JV96" s="35">
        <f t="shared" si="799"/>
        <v>8.9386933200336083E-3</v>
      </c>
      <c r="JW96" s="35">
        <f t="shared" si="800"/>
        <v>8.9386930872264805E-3</v>
      </c>
      <c r="JX96" s="35">
        <f t="shared" si="801"/>
        <v>-1.6801273705624453E-9</v>
      </c>
      <c r="JY96" s="35">
        <f t="shared" si="802"/>
        <v>8.9386928544193528E-3</v>
      </c>
      <c r="JZ96" s="35">
        <f t="shared" si="803"/>
        <v>8.9386930872264805E-3</v>
      </c>
      <c r="KA96" s="35">
        <f t="shared" si="804"/>
        <v>1.1118954661535101</v>
      </c>
      <c r="KB96" s="35">
        <f t="shared" si="805"/>
        <v>8.9386929708229167E-3</v>
      </c>
    </row>
    <row r="97" spans="1:19" ht="15" customHeight="1" x14ac:dyDescent="0.3">
      <c r="A97" s="30">
        <f>Odds_Input!A97</f>
        <v>89</v>
      </c>
      <c r="B97" s="7" t="str">
        <f>Odds_Input!B97</f>
        <v>DIV_SOUTHWEST</v>
      </c>
      <c r="C97" s="7" t="str">
        <f>Odds_Input!C97</f>
        <v>San Antonio Spurs</v>
      </c>
      <c r="D97" s="7" t="str">
        <f>Odds_Input!D97</f>
        <v>YES</v>
      </c>
      <c r="E97" s="31" t="str">
        <f>Odds_Input!E97</f>
        <v>-</v>
      </c>
      <c r="F97" s="32">
        <f>Odds_Input!F97</f>
        <v>-1000</v>
      </c>
      <c r="G97" s="6" t="str">
        <f t="shared" si="533"/>
        <v>DIV_SOUTHWEST</v>
      </c>
      <c r="H97" s="14">
        <f t="shared" si="534"/>
        <v>1.1000000000000001</v>
      </c>
      <c r="I97" s="33">
        <f t="shared" si="535"/>
        <v>0.90909090909090906</v>
      </c>
      <c r="J97" s="17">
        <f t="shared" si="536"/>
        <v>1</v>
      </c>
      <c r="K97" s="17">
        <f t="shared" si="537"/>
        <v>5</v>
      </c>
      <c r="L97" s="18">
        <f t="shared" si="538"/>
        <v>1.1290383371509995</v>
      </c>
      <c r="M97" s="34">
        <f t="shared" si="539"/>
        <v>0.12903833715099955</v>
      </c>
      <c r="N97" s="33">
        <f t="shared" si="540"/>
        <v>0.80519046978058961</v>
      </c>
      <c r="O97" s="33">
        <f t="shared" si="541"/>
        <v>0.88235793996346401</v>
      </c>
      <c r="P97" s="33">
        <f t="shared" si="542"/>
        <v>0.8498422463161982</v>
      </c>
      <c r="Q97" s="33">
        <f t="shared" si="543"/>
        <v>0.8498422463161982</v>
      </c>
      <c r="R97" s="35">
        <f t="shared" si="544"/>
        <v>1.3131596009479836</v>
      </c>
      <c r="S97" s="35">
        <f t="shared" si="545"/>
        <v>7.6478816260245525E-2</v>
      </c>
    </row>
    <row r="98" spans="1:19" ht="15" customHeight="1" x14ac:dyDescent="0.3">
      <c r="A98" s="30">
        <f>Odds_Input!A98</f>
        <v>90</v>
      </c>
      <c r="B98" s="7" t="str">
        <f>Odds_Input!B98</f>
        <v>PLAYIN_EAST</v>
      </c>
      <c r="C98" s="7" t="str">
        <f>Odds_Input!C98</f>
        <v>Atlanta Hawks</v>
      </c>
      <c r="D98" s="7" t="str">
        <f>Odds_Input!D98</f>
        <v>YES</v>
      </c>
      <c r="E98" s="31" t="str">
        <f>Odds_Input!E98</f>
        <v>-</v>
      </c>
      <c r="F98" s="32">
        <f>Odds_Input!F98</f>
        <v>105</v>
      </c>
      <c r="G98" s="6" t="str">
        <f t="shared" si="533"/>
        <v>PLAYIN_EAST</v>
      </c>
      <c r="H98" s="14">
        <f t="shared" si="534"/>
        <v>2.0499999999999998</v>
      </c>
      <c r="I98" s="33">
        <f t="shared" si="535"/>
        <v>0.48780487804878053</v>
      </c>
      <c r="J98" s="17">
        <f t="shared" si="536"/>
        <v>4</v>
      </c>
      <c r="K98" s="17">
        <f t="shared" si="537"/>
        <v>15</v>
      </c>
      <c r="L98" s="18">
        <f t="shared" si="538"/>
        <v>4.3710401539609496</v>
      </c>
      <c r="M98" s="34">
        <f t="shared" si="539"/>
        <v>9.2760038490237395E-2</v>
      </c>
      <c r="N98" s="33">
        <f t="shared" si="540"/>
        <v>0.4463970687679375</v>
      </c>
      <c r="O98" s="33">
        <f t="shared" si="541"/>
        <v>0.46047732472792824</v>
      </c>
      <c r="P98" s="33">
        <f t="shared" si="542"/>
        <v>0.46047732472792824</v>
      </c>
      <c r="Q98" s="33">
        <f t="shared" si="543"/>
        <v>0.46047732472792824</v>
      </c>
      <c r="R98" s="35">
        <f t="shared" si="544"/>
        <v>1.08031300639268</v>
      </c>
      <c r="S98" s="35">
        <f t="shared" si="545"/>
        <v>0.28410927443950029</v>
      </c>
    </row>
    <row r="99" spans="1:19" ht="15" customHeight="1" x14ac:dyDescent="0.3">
      <c r="A99" s="30">
        <f>Odds_Input!A99</f>
        <v>91</v>
      </c>
      <c r="B99" s="7" t="str">
        <f>Odds_Input!B99</f>
        <v>PLAYIN_EAST</v>
      </c>
      <c r="C99" s="7" t="str">
        <f>Odds_Input!C99</f>
        <v>Boston Celtics</v>
      </c>
      <c r="D99" s="7" t="str">
        <f>Odds_Input!D99</f>
        <v>YES</v>
      </c>
      <c r="E99" s="31" t="str">
        <f>Odds_Input!E99</f>
        <v>-</v>
      </c>
      <c r="F99" s="32">
        <f>Odds_Input!F99</f>
        <v>275</v>
      </c>
      <c r="G99" s="6" t="str">
        <f t="shared" si="533"/>
        <v>PLAYIN_EAST</v>
      </c>
      <c r="H99" s="14">
        <f t="shared" si="534"/>
        <v>3.75</v>
      </c>
      <c r="I99" s="33">
        <f t="shared" si="535"/>
        <v>0.26666666666666666</v>
      </c>
      <c r="J99" s="17">
        <f t="shared" si="536"/>
        <v>4</v>
      </c>
      <c r="K99" s="17">
        <f t="shared" si="537"/>
        <v>15</v>
      </c>
      <c r="L99" s="18">
        <f t="shared" si="538"/>
        <v>4.3710401539609496</v>
      </c>
      <c r="M99" s="34">
        <f t="shared" si="539"/>
        <v>9.2760038490237395E-2</v>
      </c>
      <c r="N99" s="33">
        <f t="shared" si="540"/>
        <v>0.24403039759313913</v>
      </c>
      <c r="O99" s="33">
        <f t="shared" si="541"/>
        <v>0.23980959487299572</v>
      </c>
      <c r="P99" s="33">
        <f t="shared" si="542"/>
        <v>0.23980959487299572</v>
      </c>
      <c r="Q99" s="33">
        <f t="shared" si="543"/>
        <v>0.23980959487299572</v>
      </c>
      <c r="R99" s="35">
        <f t="shared" si="544"/>
        <v>1.08031300639268</v>
      </c>
      <c r="S99" s="35">
        <f t="shared" si="545"/>
        <v>0.28410927443950029</v>
      </c>
    </row>
    <row r="100" spans="1:19" ht="15" customHeight="1" x14ac:dyDescent="0.3">
      <c r="A100" s="30">
        <f>Odds_Input!A100</f>
        <v>92</v>
      </c>
      <c r="B100" s="7" t="str">
        <f>Odds_Input!B100</f>
        <v>PLAYIN_EAST</v>
      </c>
      <c r="C100" s="7" t="str">
        <f>Odds_Input!C100</f>
        <v>Brooklyn Nets</v>
      </c>
      <c r="D100" s="7" t="str">
        <f>Odds_Input!D100</f>
        <v>YES</v>
      </c>
      <c r="E100" s="31" t="str">
        <f>Odds_Input!E100</f>
        <v>-</v>
      </c>
      <c r="F100" s="32">
        <f>Odds_Input!F100</f>
        <v>1400</v>
      </c>
      <c r="G100" s="6" t="str">
        <f t="shared" si="533"/>
        <v>PLAYIN_EAST</v>
      </c>
      <c r="H100" s="14">
        <f t="shared" si="534"/>
        <v>15</v>
      </c>
      <c r="I100" s="33">
        <f t="shared" si="535"/>
        <v>6.6666666666666666E-2</v>
      </c>
      <c r="J100" s="17">
        <f t="shared" si="536"/>
        <v>4</v>
      </c>
      <c r="K100" s="17">
        <f t="shared" si="537"/>
        <v>15</v>
      </c>
      <c r="L100" s="18">
        <f t="shared" si="538"/>
        <v>4.3710401539609496</v>
      </c>
      <c r="M100" s="34">
        <f t="shared" si="539"/>
        <v>9.2760038490237395E-2</v>
      </c>
      <c r="N100" s="33">
        <f t="shared" si="540"/>
        <v>6.1007599398284783E-2</v>
      </c>
      <c r="O100" s="33">
        <f t="shared" si="541"/>
        <v>5.3635621349933681E-2</v>
      </c>
      <c r="P100" s="33">
        <f t="shared" si="542"/>
        <v>5.3635621349933681E-2</v>
      </c>
      <c r="Q100" s="33">
        <f t="shared" si="543"/>
        <v>5.3635621349933681E-2</v>
      </c>
      <c r="R100" s="35">
        <f t="shared" si="544"/>
        <v>1.08031300639268</v>
      </c>
      <c r="S100" s="35">
        <f t="shared" si="545"/>
        <v>0.28410927443950029</v>
      </c>
    </row>
    <row r="101" spans="1:19" ht="15" customHeight="1" x14ac:dyDescent="0.3">
      <c r="A101" s="30">
        <f>Odds_Input!A101</f>
        <v>93</v>
      </c>
      <c r="B101" s="7" t="str">
        <f>Odds_Input!B101</f>
        <v>PLAYIN_EAST</v>
      </c>
      <c r="C101" s="7" t="str">
        <f>Odds_Input!C101</f>
        <v>Charlotte Hornets</v>
      </c>
      <c r="D101" s="7" t="str">
        <f>Odds_Input!D101</f>
        <v>YES</v>
      </c>
      <c r="E101" s="31" t="str">
        <f>Odds_Input!E101</f>
        <v>-</v>
      </c>
      <c r="F101" s="32">
        <f>Odds_Input!F101</f>
        <v>135</v>
      </c>
      <c r="G101" s="6" t="str">
        <f t="shared" si="533"/>
        <v>PLAYIN_EAST</v>
      </c>
      <c r="H101" s="14">
        <f t="shared" si="534"/>
        <v>2.35</v>
      </c>
      <c r="I101" s="33">
        <f t="shared" si="535"/>
        <v>0.42553191489361702</v>
      </c>
      <c r="J101" s="17">
        <f t="shared" si="536"/>
        <v>4</v>
      </c>
      <c r="K101" s="17">
        <f t="shared" si="537"/>
        <v>15</v>
      </c>
      <c r="L101" s="18">
        <f t="shared" si="538"/>
        <v>4.3710401539609496</v>
      </c>
      <c r="M101" s="34">
        <f t="shared" si="539"/>
        <v>9.2760038490237395E-2</v>
      </c>
      <c r="N101" s="33">
        <f t="shared" si="540"/>
        <v>0.38941020892522205</v>
      </c>
      <c r="O101" s="33">
        <f t="shared" si="541"/>
        <v>0.39731097528332521</v>
      </c>
      <c r="P101" s="33">
        <f t="shared" si="542"/>
        <v>0.39731097528332521</v>
      </c>
      <c r="Q101" s="33">
        <f t="shared" si="543"/>
        <v>0.39731097528332521</v>
      </c>
      <c r="R101" s="35">
        <f t="shared" si="544"/>
        <v>1.08031300639268</v>
      </c>
      <c r="S101" s="35">
        <f t="shared" si="545"/>
        <v>0.28410927443950029</v>
      </c>
    </row>
    <row r="102" spans="1:19" ht="15" customHeight="1" x14ac:dyDescent="0.3">
      <c r="A102" s="30">
        <f>Odds_Input!A102</f>
        <v>94</v>
      </c>
      <c r="B102" s="7" t="str">
        <f>Odds_Input!B102</f>
        <v>PLAYIN_EAST</v>
      </c>
      <c r="C102" s="7" t="str">
        <f>Odds_Input!C102</f>
        <v>Chicago Bulls</v>
      </c>
      <c r="D102" s="7" t="str">
        <f>Odds_Input!D102</f>
        <v>YES</v>
      </c>
      <c r="E102" s="31" t="str">
        <f>Odds_Input!E102</f>
        <v>-</v>
      </c>
      <c r="F102" s="32">
        <f>Odds_Input!F102</f>
        <v>800</v>
      </c>
      <c r="G102" s="6" t="str">
        <f t="shared" si="533"/>
        <v>PLAYIN_EAST</v>
      </c>
      <c r="H102" s="14">
        <f t="shared" si="534"/>
        <v>9</v>
      </c>
      <c r="I102" s="33">
        <f t="shared" si="535"/>
        <v>0.1111111111111111</v>
      </c>
      <c r="J102" s="17">
        <f t="shared" si="536"/>
        <v>4</v>
      </c>
      <c r="K102" s="17">
        <f t="shared" si="537"/>
        <v>15</v>
      </c>
      <c r="L102" s="18">
        <f t="shared" si="538"/>
        <v>4.3710401539609496</v>
      </c>
      <c r="M102" s="34">
        <f t="shared" si="539"/>
        <v>9.2760038490237395E-2</v>
      </c>
      <c r="N102" s="33">
        <f t="shared" si="540"/>
        <v>0.10167933233047463</v>
      </c>
      <c r="O102" s="33">
        <f t="shared" si="541"/>
        <v>9.3136391133908231E-2</v>
      </c>
      <c r="P102" s="33">
        <f t="shared" si="542"/>
        <v>9.3136391133908231E-2</v>
      </c>
      <c r="Q102" s="33">
        <f t="shared" si="543"/>
        <v>9.3136391133908231E-2</v>
      </c>
      <c r="R102" s="35">
        <f t="shared" si="544"/>
        <v>1.08031300639268</v>
      </c>
      <c r="S102" s="35">
        <f t="shared" si="545"/>
        <v>0.28410927443950029</v>
      </c>
    </row>
    <row r="103" spans="1:19" ht="15" customHeight="1" x14ac:dyDescent="0.3">
      <c r="A103" s="30">
        <f>Odds_Input!A103</f>
        <v>95</v>
      </c>
      <c r="B103" s="7" t="str">
        <f>Odds_Input!B103</f>
        <v>PLAYIN_EAST</v>
      </c>
      <c r="C103" s="7" t="str">
        <f>Odds_Input!C103</f>
        <v>Cleveland Cavaliers</v>
      </c>
      <c r="D103" s="7" t="str">
        <f>Odds_Input!D103</f>
        <v>YES</v>
      </c>
      <c r="E103" s="31" t="str">
        <f>Odds_Input!E103</f>
        <v>-</v>
      </c>
      <c r="F103" s="32">
        <f>Odds_Input!F103</f>
        <v>225</v>
      </c>
      <c r="G103" s="6" t="str">
        <f t="shared" si="533"/>
        <v>PLAYIN_EAST</v>
      </c>
      <c r="H103" s="14">
        <f t="shared" si="534"/>
        <v>3.25</v>
      </c>
      <c r="I103" s="33">
        <f t="shared" si="535"/>
        <v>0.30769230769230771</v>
      </c>
      <c r="J103" s="17">
        <f t="shared" si="536"/>
        <v>4</v>
      </c>
      <c r="K103" s="17">
        <f t="shared" si="537"/>
        <v>15</v>
      </c>
      <c r="L103" s="18">
        <f t="shared" si="538"/>
        <v>4.3710401539609496</v>
      </c>
      <c r="M103" s="34">
        <f t="shared" si="539"/>
        <v>9.2760038490237395E-2</v>
      </c>
      <c r="N103" s="33">
        <f t="shared" si="540"/>
        <v>0.28157353568439136</v>
      </c>
      <c r="O103" s="33">
        <f t="shared" si="541"/>
        <v>0.27990183611171304</v>
      </c>
      <c r="P103" s="33">
        <f t="shared" si="542"/>
        <v>0.27990183611171304</v>
      </c>
      <c r="Q103" s="33">
        <f t="shared" si="543"/>
        <v>0.27990183611171304</v>
      </c>
      <c r="R103" s="35">
        <f t="shared" si="544"/>
        <v>1.08031300639268</v>
      </c>
      <c r="S103" s="35">
        <f t="shared" si="545"/>
        <v>0.28410927443950029</v>
      </c>
    </row>
    <row r="104" spans="1:19" ht="15" customHeight="1" x14ac:dyDescent="0.3">
      <c r="A104" s="30">
        <f>Odds_Input!A104</f>
        <v>96</v>
      </c>
      <c r="B104" s="7" t="str">
        <f>Odds_Input!B104</f>
        <v>PLAYIN_EAST</v>
      </c>
      <c r="C104" s="7" t="str">
        <f>Odds_Input!C104</f>
        <v>Detroit Pistons</v>
      </c>
      <c r="D104" s="7" t="str">
        <f>Odds_Input!D104</f>
        <v>YES</v>
      </c>
      <c r="E104" s="31" t="str">
        <f>Odds_Input!E104</f>
        <v>-</v>
      </c>
      <c r="F104" s="32">
        <f>Odds_Input!F104</f>
        <v>300</v>
      </c>
      <c r="G104" s="6" t="str">
        <f t="shared" si="533"/>
        <v>PLAYIN_EAST</v>
      </c>
      <c r="H104" s="14">
        <f t="shared" si="534"/>
        <v>4</v>
      </c>
      <c r="I104" s="33">
        <f t="shared" si="535"/>
        <v>0.25</v>
      </c>
      <c r="J104" s="17">
        <f t="shared" si="536"/>
        <v>4</v>
      </c>
      <c r="K104" s="17">
        <f t="shared" si="537"/>
        <v>15</v>
      </c>
      <c r="L104" s="18">
        <f t="shared" si="538"/>
        <v>4.3710401539609496</v>
      </c>
      <c r="M104" s="34">
        <f t="shared" si="539"/>
        <v>9.2760038490237395E-2</v>
      </c>
      <c r="N104" s="33">
        <f t="shared" si="540"/>
        <v>0.22877849774356795</v>
      </c>
      <c r="O104" s="33">
        <f t="shared" si="541"/>
        <v>0.22365919669869488</v>
      </c>
      <c r="P104" s="33">
        <f t="shared" si="542"/>
        <v>0.22365919669869488</v>
      </c>
      <c r="Q104" s="33">
        <f t="shared" si="543"/>
        <v>0.22365919669869488</v>
      </c>
      <c r="R104" s="35">
        <f t="shared" si="544"/>
        <v>1.08031300639268</v>
      </c>
      <c r="S104" s="35">
        <f t="shared" si="545"/>
        <v>0.28410927443950029</v>
      </c>
    </row>
    <row r="105" spans="1:19" ht="15" customHeight="1" x14ac:dyDescent="0.3">
      <c r="A105" s="30">
        <f>Odds_Input!A105</f>
        <v>97</v>
      </c>
      <c r="B105" s="7" t="str">
        <f>Odds_Input!B105</f>
        <v>PLAYIN_EAST</v>
      </c>
      <c r="C105" s="7" t="str">
        <f>Odds_Input!C105</f>
        <v>Indiana Pacers</v>
      </c>
      <c r="D105" s="7" t="str">
        <f>Odds_Input!D105</f>
        <v>YES</v>
      </c>
      <c r="E105" s="31" t="str">
        <f>Odds_Input!E105</f>
        <v>-</v>
      </c>
      <c r="F105" s="32">
        <f>Odds_Input!F105</f>
        <v>135</v>
      </c>
      <c r="G105" s="6" t="str">
        <f t="shared" si="533"/>
        <v>PLAYIN_EAST</v>
      </c>
      <c r="H105" s="14">
        <f t="shared" si="534"/>
        <v>2.35</v>
      </c>
      <c r="I105" s="33">
        <f t="shared" si="535"/>
        <v>0.42553191489361702</v>
      </c>
      <c r="J105" s="17">
        <f t="shared" si="536"/>
        <v>4</v>
      </c>
      <c r="K105" s="17">
        <f t="shared" si="537"/>
        <v>15</v>
      </c>
      <c r="L105" s="18">
        <f t="shared" si="538"/>
        <v>4.3710401539609496</v>
      </c>
      <c r="M105" s="34">
        <f t="shared" si="539"/>
        <v>9.2760038490237395E-2</v>
      </c>
      <c r="N105" s="33">
        <f t="shared" si="540"/>
        <v>0.38941020892522205</v>
      </c>
      <c r="O105" s="33">
        <f t="shared" si="541"/>
        <v>0.39731097528332521</v>
      </c>
      <c r="P105" s="33">
        <f t="shared" si="542"/>
        <v>0.39731097528332521</v>
      </c>
      <c r="Q105" s="33">
        <f t="shared" si="543"/>
        <v>0.39731097528332521</v>
      </c>
      <c r="R105" s="35">
        <f t="shared" si="544"/>
        <v>1.08031300639268</v>
      </c>
      <c r="S105" s="35">
        <f t="shared" si="545"/>
        <v>0.28410927443950029</v>
      </c>
    </row>
    <row r="106" spans="1:19" ht="15" customHeight="1" x14ac:dyDescent="0.3">
      <c r="A106" s="30">
        <f>Odds_Input!A106</f>
        <v>98</v>
      </c>
      <c r="B106" s="7" t="str">
        <f>Odds_Input!B106</f>
        <v>PLAYIN_EAST</v>
      </c>
      <c r="C106" s="7" t="str">
        <f>Odds_Input!C106</f>
        <v>Miami Heat</v>
      </c>
      <c r="D106" s="7" t="str">
        <f>Odds_Input!D106</f>
        <v>YES</v>
      </c>
      <c r="E106" s="31" t="str">
        <f>Odds_Input!E106</f>
        <v>-</v>
      </c>
      <c r="F106" s="32">
        <f>Odds_Input!F106</f>
        <v>175</v>
      </c>
      <c r="G106" s="6" t="str">
        <f t="shared" si="533"/>
        <v>PLAYIN_EAST</v>
      </c>
      <c r="H106" s="14">
        <f t="shared" si="534"/>
        <v>2.75</v>
      </c>
      <c r="I106" s="33">
        <f t="shared" si="535"/>
        <v>0.36363636363636365</v>
      </c>
      <c r="J106" s="17">
        <f t="shared" si="536"/>
        <v>4</v>
      </c>
      <c r="K106" s="17">
        <f t="shared" si="537"/>
        <v>15</v>
      </c>
      <c r="L106" s="18">
        <f t="shared" si="538"/>
        <v>4.3710401539609496</v>
      </c>
      <c r="M106" s="34">
        <f t="shared" si="539"/>
        <v>9.2760038490237395E-2</v>
      </c>
      <c r="N106" s="33">
        <f t="shared" si="540"/>
        <v>0.33276872399064428</v>
      </c>
      <c r="O106" s="33">
        <f t="shared" si="541"/>
        <v>0.33526110857725949</v>
      </c>
      <c r="P106" s="33">
        <f t="shared" si="542"/>
        <v>0.33526110857725949</v>
      </c>
      <c r="Q106" s="33">
        <f t="shared" si="543"/>
        <v>0.33526110857725949</v>
      </c>
      <c r="R106" s="35">
        <f t="shared" si="544"/>
        <v>1.08031300639268</v>
      </c>
      <c r="S106" s="35">
        <f t="shared" si="545"/>
        <v>0.28410927443950029</v>
      </c>
    </row>
    <row r="107" spans="1:19" ht="15" customHeight="1" x14ac:dyDescent="0.3">
      <c r="A107" s="30">
        <f>Odds_Input!A107</f>
        <v>99</v>
      </c>
      <c r="B107" s="7" t="str">
        <f>Odds_Input!B107</f>
        <v>PLAYIN_EAST</v>
      </c>
      <c r="C107" s="7" t="str">
        <f>Odds_Input!C107</f>
        <v>Milwaukee Bucks</v>
      </c>
      <c r="D107" s="7" t="str">
        <f>Odds_Input!D107</f>
        <v>YES</v>
      </c>
      <c r="E107" s="31" t="str">
        <f>Odds_Input!E107</f>
        <v>-</v>
      </c>
      <c r="F107" s="32">
        <f>Odds_Input!F107</f>
        <v>1200</v>
      </c>
      <c r="G107" s="6" t="str">
        <f t="shared" si="533"/>
        <v>PLAYIN_EAST</v>
      </c>
      <c r="H107" s="14">
        <f t="shared" si="534"/>
        <v>13</v>
      </c>
      <c r="I107" s="33">
        <f t="shared" si="535"/>
        <v>7.6923076923076927E-2</v>
      </c>
      <c r="J107" s="17">
        <f t="shared" si="536"/>
        <v>4</v>
      </c>
      <c r="K107" s="17">
        <f t="shared" si="537"/>
        <v>15</v>
      </c>
      <c r="L107" s="18">
        <f t="shared" si="538"/>
        <v>4.3710401539609496</v>
      </c>
      <c r="M107" s="34">
        <f t="shared" si="539"/>
        <v>9.2760038490237395E-2</v>
      </c>
      <c r="N107" s="33">
        <f t="shared" si="540"/>
        <v>7.0393383921097841E-2</v>
      </c>
      <c r="O107" s="33">
        <f t="shared" si="541"/>
        <v>6.2602619819235469E-2</v>
      </c>
      <c r="P107" s="33">
        <f t="shared" si="542"/>
        <v>6.2602619819235469E-2</v>
      </c>
      <c r="Q107" s="33">
        <f t="shared" si="543"/>
        <v>6.2602619819235469E-2</v>
      </c>
      <c r="R107" s="35">
        <f t="shared" si="544"/>
        <v>1.08031300639268</v>
      </c>
      <c r="S107" s="35">
        <f t="shared" si="545"/>
        <v>0.28410927443950029</v>
      </c>
    </row>
    <row r="108" spans="1:19" ht="15" customHeight="1" x14ac:dyDescent="0.3">
      <c r="A108" s="30">
        <f>Odds_Input!A108</f>
        <v>100</v>
      </c>
      <c r="B108" s="7" t="str">
        <f>Odds_Input!B108</f>
        <v>PLAYIN_EAST</v>
      </c>
      <c r="C108" s="7" t="str">
        <f>Odds_Input!C108</f>
        <v>New York Knicks</v>
      </c>
      <c r="D108" s="7" t="str">
        <f>Odds_Input!D108</f>
        <v>YES</v>
      </c>
      <c r="E108" s="31" t="str">
        <f>Odds_Input!E108</f>
        <v>-</v>
      </c>
      <c r="F108" s="32">
        <f>Odds_Input!F108</f>
        <v>500</v>
      </c>
      <c r="G108" s="6" t="str">
        <f t="shared" si="533"/>
        <v>PLAYIN_EAST</v>
      </c>
      <c r="H108" s="14">
        <f t="shared" si="534"/>
        <v>6</v>
      </c>
      <c r="I108" s="33">
        <f t="shared" si="535"/>
        <v>0.16666666666666666</v>
      </c>
      <c r="J108" s="17">
        <f t="shared" si="536"/>
        <v>4</v>
      </c>
      <c r="K108" s="17">
        <f t="shared" si="537"/>
        <v>15</v>
      </c>
      <c r="L108" s="18">
        <f t="shared" si="538"/>
        <v>4.3710401539609496</v>
      </c>
      <c r="M108" s="34">
        <f t="shared" si="539"/>
        <v>9.2760038490237395E-2</v>
      </c>
      <c r="N108" s="33">
        <f t="shared" si="540"/>
        <v>0.15251899849571196</v>
      </c>
      <c r="O108" s="33">
        <f t="shared" si="541"/>
        <v>0.14432882741997652</v>
      </c>
      <c r="P108" s="33">
        <f t="shared" si="542"/>
        <v>0.14432882741997652</v>
      </c>
      <c r="Q108" s="33">
        <f t="shared" si="543"/>
        <v>0.14432882741997652</v>
      </c>
      <c r="R108" s="35">
        <f t="shared" si="544"/>
        <v>1.08031300639268</v>
      </c>
      <c r="S108" s="35">
        <f t="shared" si="545"/>
        <v>0.28410927443950029</v>
      </c>
    </row>
    <row r="109" spans="1:19" ht="15" customHeight="1" x14ac:dyDescent="0.3">
      <c r="A109" s="30">
        <f>Odds_Input!A109</f>
        <v>101</v>
      </c>
      <c r="B109" s="7" t="str">
        <f>Odds_Input!B109</f>
        <v>PLAYIN_EAST</v>
      </c>
      <c r="C109" s="7" t="str">
        <f>Odds_Input!C109</f>
        <v>Orlando Magic</v>
      </c>
      <c r="D109" s="7" t="str">
        <f>Odds_Input!D109</f>
        <v>YES</v>
      </c>
      <c r="E109" s="31" t="str">
        <f>Odds_Input!E109</f>
        <v>-</v>
      </c>
      <c r="F109" s="32">
        <f>Odds_Input!F109</f>
        <v>115</v>
      </c>
      <c r="G109" s="6" t="str">
        <f t="shared" si="533"/>
        <v>PLAYIN_EAST</v>
      </c>
      <c r="H109" s="14">
        <f t="shared" si="534"/>
        <v>2.15</v>
      </c>
      <c r="I109" s="33">
        <f t="shared" si="535"/>
        <v>0.46511627906976744</v>
      </c>
      <c r="J109" s="17">
        <f t="shared" si="536"/>
        <v>4</v>
      </c>
      <c r="K109" s="17">
        <f t="shared" si="537"/>
        <v>15</v>
      </c>
      <c r="L109" s="18">
        <f t="shared" si="538"/>
        <v>4.3710401539609496</v>
      </c>
      <c r="M109" s="34">
        <f t="shared" si="539"/>
        <v>9.2760038490237395E-2</v>
      </c>
      <c r="N109" s="33">
        <f t="shared" si="540"/>
        <v>0.42563441440663802</v>
      </c>
      <c r="O109" s="33">
        <f t="shared" si="541"/>
        <v>0.43738351247434021</v>
      </c>
      <c r="P109" s="33">
        <f t="shared" si="542"/>
        <v>0.43738351247434021</v>
      </c>
      <c r="Q109" s="33">
        <f t="shared" si="543"/>
        <v>0.43738351247434021</v>
      </c>
      <c r="R109" s="35">
        <f t="shared" si="544"/>
        <v>1.08031300639268</v>
      </c>
      <c r="S109" s="35">
        <f t="shared" si="545"/>
        <v>0.28410927443950029</v>
      </c>
    </row>
    <row r="110" spans="1:19" ht="15" customHeight="1" x14ac:dyDescent="0.3">
      <c r="A110" s="30">
        <f>Odds_Input!A110</f>
        <v>102</v>
      </c>
      <c r="B110" s="7" t="str">
        <f>Odds_Input!B110</f>
        <v>PLAYIN_EAST</v>
      </c>
      <c r="C110" s="7" t="str">
        <f>Odds_Input!C110</f>
        <v>Philadelphia 76ers</v>
      </c>
      <c r="D110" s="7" t="str">
        <f>Odds_Input!D110</f>
        <v>YES</v>
      </c>
      <c r="E110" s="31" t="str">
        <f>Odds_Input!E110</f>
        <v>-</v>
      </c>
      <c r="F110" s="32">
        <f>Odds_Input!F110</f>
        <v>300</v>
      </c>
      <c r="G110" s="6" t="str">
        <f t="shared" si="533"/>
        <v>PLAYIN_EAST</v>
      </c>
      <c r="H110" s="14">
        <f t="shared" si="534"/>
        <v>4</v>
      </c>
      <c r="I110" s="33">
        <f t="shared" si="535"/>
        <v>0.25</v>
      </c>
      <c r="J110" s="17">
        <f t="shared" si="536"/>
        <v>4</v>
      </c>
      <c r="K110" s="17">
        <f t="shared" si="537"/>
        <v>15</v>
      </c>
      <c r="L110" s="18">
        <f t="shared" si="538"/>
        <v>4.3710401539609496</v>
      </c>
      <c r="M110" s="34">
        <f t="shared" si="539"/>
        <v>9.2760038490237395E-2</v>
      </c>
      <c r="N110" s="33">
        <f t="shared" si="540"/>
        <v>0.22877849774356795</v>
      </c>
      <c r="O110" s="33">
        <f t="shared" si="541"/>
        <v>0.22365919669869488</v>
      </c>
      <c r="P110" s="33">
        <f t="shared" si="542"/>
        <v>0.22365919669869488</v>
      </c>
      <c r="Q110" s="33">
        <f t="shared" si="543"/>
        <v>0.22365919669869488</v>
      </c>
      <c r="R110" s="35">
        <f t="shared" si="544"/>
        <v>1.08031300639268</v>
      </c>
      <c r="S110" s="35">
        <f t="shared" si="545"/>
        <v>0.28410927443950029</v>
      </c>
    </row>
    <row r="111" spans="1:19" ht="15" customHeight="1" x14ac:dyDescent="0.3">
      <c r="A111" s="30">
        <f>Odds_Input!A111</f>
        <v>103</v>
      </c>
      <c r="B111" s="7" t="str">
        <f>Odds_Input!B111</f>
        <v>PLAYIN_EAST</v>
      </c>
      <c r="C111" s="7" t="str">
        <f>Odds_Input!C111</f>
        <v>Toronto Raptors</v>
      </c>
      <c r="D111" s="7" t="str">
        <f>Odds_Input!D111</f>
        <v>YES</v>
      </c>
      <c r="E111" s="31" t="str">
        <f>Odds_Input!E111</f>
        <v>-</v>
      </c>
      <c r="F111" s="32">
        <f>Odds_Input!F111</f>
        <v>150</v>
      </c>
      <c r="G111" s="6" t="str">
        <f t="shared" si="533"/>
        <v>PLAYIN_EAST</v>
      </c>
      <c r="H111" s="14">
        <f t="shared" si="534"/>
        <v>2.5</v>
      </c>
      <c r="I111" s="33">
        <f t="shared" si="535"/>
        <v>0.4</v>
      </c>
      <c r="J111" s="17">
        <f t="shared" si="536"/>
        <v>4</v>
      </c>
      <c r="K111" s="17">
        <f t="shared" si="537"/>
        <v>15</v>
      </c>
      <c r="L111" s="18">
        <f t="shared" si="538"/>
        <v>4.3710401539609496</v>
      </c>
      <c r="M111" s="34">
        <f t="shared" si="539"/>
        <v>9.2760038490237395E-2</v>
      </c>
      <c r="N111" s="33">
        <f t="shared" si="540"/>
        <v>0.36604559638970874</v>
      </c>
      <c r="O111" s="33">
        <f t="shared" si="541"/>
        <v>0.37162098735730453</v>
      </c>
      <c r="P111" s="33">
        <f t="shared" si="542"/>
        <v>0.37162098735730453</v>
      </c>
      <c r="Q111" s="33">
        <f t="shared" si="543"/>
        <v>0.37162098735730453</v>
      </c>
      <c r="R111" s="35">
        <f t="shared" si="544"/>
        <v>1.08031300639268</v>
      </c>
      <c r="S111" s="35">
        <f t="shared" si="545"/>
        <v>0.28410927443950029</v>
      </c>
    </row>
    <row r="112" spans="1:19" ht="15" customHeight="1" x14ac:dyDescent="0.3">
      <c r="A112" s="30">
        <f>Odds_Input!A112</f>
        <v>104</v>
      </c>
      <c r="B112" s="7" t="str">
        <f>Odds_Input!B112</f>
        <v>PLAYIN_EAST</v>
      </c>
      <c r="C112" s="7" t="str">
        <f>Odds_Input!C112</f>
        <v>Washington Wizards</v>
      </c>
      <c r="D112" s="7" t="str">
        <f>Odds_Input!D112</f>
        <v>YES</v>
      </c>
      <c r="E112" s="31" t="str">
        <f>Odds_Input!E112</f>
        <v>-</v>
      </c>
      <c r="F112" s="32">
        <f>Odds_Input!F112</f>
        <v>225</v>
      </c>
      <c r="G112" s="6" t="str">
        <f t="shared" si="533"/>
        <v>PLAYIN_EAST</v>
      </c>
      <c r="H112" s="14">
        <f t="shared" si="534"/>
        <v>3.25</v>
      </c>
      <c r="I112" s="33">
        <f t="shared" si="535"/>
        <v>0.30769230769230771</v>
      </c>
      <c r="J112" s="17">
        <f t="shared" si="536"/>
        <v>4</v>
      </c>
      <c r="K112" s="17">
        <f t="shared" si="537"/>
        <v>15</v>
      </c>
      <c r="L112" s="18">
        <f t="shared" si="538"/>
        <v>4.3710401539609496</v>
      </c>
      <c r="M112" s="34">
        <f t="shared" si="539"/>
        <v>9.2760038490237395E-2</v>
      </c>
      <c r="N112" s="33">
        <f t="shared" si="540"/>
        <v>0.28157353568439136</v>
      </c>
      <c r="O112" s="33">
        <f t="shared" si="541"/>
        <v>0.27990183611171304</v>
      </c>
      <c r="P112" s="33">
        <f t="shared" si="542"/>
        <v>0.27990183611171304</v>
      </c>
      <c r="Q112" s="33">
        <f t="shared" si="543"/>
        <v>0.27990183611171304</v>
      </c>
      <c r="R112" s="35">
        <f t="shared" si="544"/>
        <v>1.08031300639268</v>
      </c>
      <c r="S112" s="35">
        <f t="shared" si="545"/>
        <v>0.28410927443950029</v>
      </c>
    </row>
    <row r="113" spans="1:19" ht="15" customHeight="1" x14ac:dyDescent="0.3">
      <c r="A113" s="30">
        <f>Odds_Input!A113</f>
        <v>105</v>
      </c>
      <c r="B113" s="7" t="str">
        <f>Odds_Input!B113</f>
        <v>PLAYIN_WEST</v>
      </c>
      <c r="C113" s="7" t="str">
        <f>Odds_Input!C113</f>
        <v>Dallas Mavericks</v>
      </c>
      <c r="D113" s="7" t="str">
        <f>Odds_Input!D113</f>
        <v>YES</v>
      </c>
      <c r="E113" s="31" t="str">
        <f>Odds_Input!E113</f>
        <v>-</v>
      </c>
      <c r="F113" s="32">
        <f>Odds_Input!F113</f>
        <v>135</v>
      </c>
      <c r="G113" s="6" t="str">
        <f t="shared" si="533"/>
        <v>PLAYIN_WEST</v>
      </c>
      <c r="H113" s="14">
        <f t="shared" si="534"/>
        <v>2.35</v>
      </c>
      <c r="I113" s="33">
        <f t="shared" si="535"/>
        <v>0.42553191489361702</v>
      </c>
      <c r="J113" s="17">
        <f t="shared" si="536"/>
        <v>4</v>
      </c>
      <c r="K113" s="17">
        <f t="shared" si="537"/>
        <v>15</v>
      </c>
      <c r="L113" s="18">
        <f t="shared" si="538"/>
        <v>4.4014551789036798</v>
      </c>
      <c r="M113" s="34">
        <f t="shared" si="539"/>
        <v>0.10036379472591994</v>
      </c>
      <c r="N113" s="33">
        <f t="shared" si="540"/>
        <v>0.38671929859307036</v>
      </c>
      <c r="O113" s="33">
        <f t="shared" si="541"/>
        <v>0.39300405037309083</v>
      </c>
      <c r="P113" s="33">
        <f t="shared" si="542"/>
        <v>0.39300405037309083</v>
      </c>
      <c r="Q113" s="33">
        <f t="shared" si="543"/>
        <v>0.39300405037309083</v>
      </c>
      <c r="R113" s="35">
        <f t="shared" si="544"/>
        <v>1.0930695296498012</v>
      </c>
      <c r="S113" s="35">
        <f t="shared" si="545"/>
        <v>0.31080562630258568</v>
      </c>
    </row>
    <row r="114" spans="1:19" ht="15" customHeight="1" x14ac:dyDescent="0.3">
      <c r="A114" s="30">
        <f>Odds_Input!A114</f>
        <v>106</v>
      </c>
      <c r="B114" s="7" t="str">
        <f>Odds_Input!B114</f>
        <v>PLAYIN_WEST</v>
      </c>
      <c r="C114" s="7" t="str">
        <f>Odds_Input!C114</f>
        <v>Denver Nuggets</v>
      </c>
      <c r="D114" s="7" t="str">
        <f>Odds_Input!D114</f>
        <v>YES</v>
      </c>
      <c r="E114" s="31" t="str">
        <f>Odds_Input!E114</f>
        <v>-</v>
      </c>
      <c r="F114" s="32">
        <f>Odds_Input!F114</f>
        <v>295</v>
      </c>
      <c r="G114" s="6" t="str">
        <f t="shared" si="533"/>
        <v>PLAYIN_WEST</v>
      </c>
      <c r="H114" s="14">
        <f t="shared" si="534"/>
        <v>3.95</v>
      </c>
      <c r="I114" s="33">
        <f t="shared" si="535"/>
        <v>0.25316455696202528</v>
      </c>
      <c r="J114" s="17">
        <f t="shared" si="536"/>
        <v>4</v>
      </c>
      <c r="K114" s="17">
        <f t="shared" si="537"/>
        <v>15</v>
      </c>
      <c r="L114" s="18">
        <f t="shared" si="538"/>
        <v>4.4014551789036798</v>
      </c>
      <c r="M114" s="34">
        <f t="shared" si="539"/>
        <v>0.10036379472591994</v>
      </c>
      <c r="N114" s="33">
        <f t="shared" si="540"/>
        <v>0.23007350675790258</v>
      </c>
      <c r="O114" s="33">
        <f t="shared" si="541"/>
        <v>0.22278086881028214</v>
      </c>
      <c r="P114" s="33">
        <f t="shared" si="542"/>
        <v>0.22278086881028214</v>
      </c>
      <c r="Q114" s="33">
        <f t="shared" si="543"/>
        <v>0.22278086881028214</v>
      </c>
      <c r="R114" s="35">
        <f t="shared" si="544"/>
        <v>1.0930695296498012</v>
      </c>
      <c r="S114" s="35">
        <f t="shared" si="545"/>
        <v>0.31080562630258568</v>
      </c>
    </row>
    <row r="115" spans="1:19" ht="15" customHeight="1" x14ac:dyDescent="0.3">
      <c r="A115" s="30">
        <f>Odds_Input!A115</f>
        <v>107</v>
      </c>
      <c r="B115" s="7" t="str">
        <f>Odds_Input!B115</f>
        <v>PLAYIN_WEST</v>
      </c>
      <c r="C115" s="7" t="str">
        <f>Odds_Input!C115</f>
        <v>Golden State Warriors</v>
      </c>
      <c r="D115" s="7" t="str">
        <f>Odds_Input!D115</f>
        <v>YES</v>
      </c>
      <c r="E115" s="31" t="str">
        <f>Odds_Input!E115</f>
        <v>-</v>
      </c>
      <c r="F115" s="32">
        <f>Odds_Input!F115</f>
        <v>115</v>
      </c>
      <c r="G115" s="6" t="str">
        <f t="shared" si="533"/>
        <v>PLAYIN_WEST</v>
      </c>
      <c r="H115" s="14">
        <f t="shared" si="534"/>
        <v>2.15</v>
      </c>
      <c r="I115" s="33">
        <f t="shared" si="535"/>
        <v>0.46511627906976744</v>
      </c>
      <c r="J115" s="17">
        <f t="shared" si="536"/>
        <v>4</v>
      </c>
      <c r="K115" s="17">
        <f t="shared" si="537"/>
        <v>15</v>
      </c>
      <c r="L115" s="18">
        <f t="shared" si="538"/>
        <v>4.4014551789036798</v>
      </c>
      <c r="M115" s="34">
        <f t="shared" si="539"/>
        <v>0.10036379472591994</v>
      </c>
      <c r="N115" s="33">
        <f t="shared" si="540"/>
        <v>0.42269318683428619</v>
      </c>
      <c r="O115" s="33">
        <f t="shared" si="541"/>
        <v>0.43313337449584394</v>
      </c>
      <c r="P115" s="33">
        <f t="shared" si="542"/>
        <v>0.43313337449584394</v>
      </c>
      <c r="Q115" s="33">
        <f t="shared" si="543"/>
        <v>0.43313337449584394</v>
      </c>
      <c r="R115" s="35">
        <f t="shared" si="544"/>
        <v>1.0930695296498012</v>
      </c>
      <c r="S115" s="35">
        <f t="shared" si="545"/>
        <v>0.31080562630258568</v>
      </c>
    </row>
    <row r="116" spans="1:19" ht="15" customHeight="1" x14ac:dyDescent="0.3">
      <c r="A116" s="30">
        <f>Odds_Input!A116</f>
        <v>108</v>
      </c>
      <c r="B116" s="7" t="str">
        <f>Odds_Input!B116</f>
        <v>PLAYIN_WEST</v>
      </c>
      <c r="C116" s="7" t="str">
        <f>Odds_Input!C116</f>
        <v>Houston Rockets</v>
      </c>
      <c r="D116" s="7" t="str">
        <f>Odds_Input!D116</f>
        <v>YES</v>
      </c>
      <c r="E116" s="31" t="str">
        <f>Odds_Input!E116</f>
        <v>-</v>
      </c>
      <c r="F116" s="32">
        <f>Odds_Input!F116</f>
        <v>225</v>
      </c>
      <c r="G116" s="6" t="str">
        <f t="shared" si="533"/>
        <v>PLAYIN_WEST</v>
      </c>
      <c r="H116" s="14">
        <f t="shared" si="534"/>
        <v>3.25</v>
      </c>
      <c r="I116" s="33">
        <f t="shared" si="535"/>
        <v>0.30769230769230771</v>
      </c>
      <c r="J116" s="17">
        <f t="shared" si="536"/>
        <v>4</v>
      </c>
      <c r="K116" s="17">
        <f t="shared" si="537"/>
        <v>15</v>
      </c>
      <c r="L116" s="18">
        <f t="shared" si="538"/>
        <v>4.4014551789036798</v>
      </c>
      <c r="M116" s="34">
        <f t="shared" si="539"/>
        <v>0.10036379472591994</v>
      </c>
      <c r="N116" s="33">
        <f t="shared" si="540"/>
        <v>0.27962780052114322</v>
      </c>
      <c r="O116" s="33">
        <f t="shared" si="541"/>
        <v>0.27572484127050539</v>
      </c>
      <c r="P116" s="33">
        <f t="shared" si="542"/>
        <v>0.27572484127050539</v>
      </c>
      <c r="Q116" s="33">
        <f t="shared" si="543"/>
        <v>0.27572484127050539</v>
      </c>
      <c r="R116" s="35">
        <f t="shared" si="544"/>
        <v>1.0930695296498012</v>
      </c>
      <c r="S116" s="35">
        <f t="shared" si="545"/>
        <v>0.31080562630258568</v>
      </c>
    </row>
    <row r="117" spans="1:19" ht="15" customHeight="1" x14ac:dyDescent="0.3">
      <c r="A117" s="30">
        <f>Odds_Input!A117</f>
        <v>109</v>
      </c>
      <c r="B117" s="7" t="str">
        <f>Odds_Input!B117</f>
        <v>PLAYIN_WEST</v>
      </c>
      <c r="C117" s="7" t="str">
        <f>Odds_Input!C117</f>
        <v>Los Angeles Clippers</v>
      </c>
      <c r="D117" s="7" t="str">
        <f>Odds_Input!D117</f>
        <v>YES</v>
      </c>
      <c r="E117" s="31" t="str">
        <f>Odds_Input!E117</f>
        <v>-</v>
      </c>
      <c r="F117" s="32">
        <f>Odds_Input!F117</f>
        <v>350</v>
      </c>
      <c r="G117" s="6" t="str">
        <f t="shared" si="533"/>
        <v>PLAYIN_WEST</v>
      </c>
      <c r="H117" s="14">
        <f t="shared" si="534"/>
        <v>4.5</v>
      </c>
      <c r="I117" s="33">
        <f t="shared" si="535"/>
        <v>0.22222222222222221</v>
      </c>
      <c r="J117" s="17">
        <f t="shared" si="536"/>
        <v>4</v>
      </c>
      <c r="K117" s="17">
        <f t="shared" si="537"/>
        <v>15</v>
      </c>
      <c r="L117" s="18">
        <f t="shared" si="538"/>
        <v>4.4014551789036798</v>
      </c>
      <c r="M117" s="34">
        <f t="shared" si="539"/>
        <v>0.10036379472591994</v>
      </c>
      <c r="N117" s="33">
        <f t="shared" si="540"/>
        <v>0.2019534114874923</v>
      </c>
      <c r="O117" s="33">
        <f t="shared" si="541"/>
        <v>0.19319385335333814</v>
      </c>
      <c r="P117" s="33">
        <f t="shared" si="542"/>
        <v>0.19319385335333814</v>
      </c>
      <c r="Q117" s="33">
        <f t="shared" si="543"/>
        <v>0.19319385335333814</v>
      </c>
      <c r="R117" s="35">
        <f t="shared" si="544"/>
        <v>1.0930695296498012</v>
      </c>
      <c r="S117" s="35">
        <f t="shared" si="545"/>
        <v>0.31080562630258568</v>
      </c>
    </row>
    <row r="118" spans="1:19" ht="15" customHeight="1" x14ac:dyDescent="0.3">
      <c r="A118" s="30">
        <f>Odds_Input!A118</f>
        <v>110</v>
      </c>
      <c r="B118" s="7" t="str">
        <f>Odds_Input!B118</f>
        <v>PLAYIN_WEST</v>
      </c>
      <c r="C118" s="7" t="str">
        <f>Odds_Input!C118</f>
        <v>Los Angeles Lakers</v>
      </c>
      <c r="D118" s="7" t="str">
        <f>Odds_Input!D118</f>
        <v>YES</v>
      </c>
      <c r="E118" s="31" t="str">
        <f>Odds_Input!E118</f>
        <v>-</v>
      </c>
      <c r="F118" s="32">
        <f>Odds_Input!F118</f>
        <v>165</v>
      </c>
      <c r="G118" s="6" t="str">
        <f t="shared" si="533"/>
        <v>PLAYIN_WEST</v>
      </c>
      <c r="H118" s="14">
        <f t="shared" si="534"/>
        <v>2.65</v>
      </c>
      <c r="I118" s="33">
        <f t="shared" si="535"/>
        <v>0.37735849056603776</v>
      </c>
      <c r="J118" s="17">
        <f t="shared" si="536"/>
        <v>4</v>
      </c>
      <c r="K118" s="17">
        <f t="shared" si="537"/>
        <v>15</v>
      </c>
      <c r="L118" s="18">
        <f t="shared" si="538"/>
        <v>4.4014551789036798</v>
      </c>
      <c r="M118" s="34">
        <f t="shared" si="539"/>
        <v>0.10036379472591994</v>
      </c>
      <c r="N118" s="33">
        <f t="shared" si="540"/>
        <v>0.34293975535611904</v>
      </c>
      <c r="O118" s="33">
        <f t="shared" si="541"/>
        <v>0.34463773837830525</v>
      </c>
      <c r="P118" s="33">
        <f t="shared" si="542"/>
        <v>0.34463773837830525</v>
      </c>
      <c r="Q118" s="33">
        <f t="shared" si="543"/>
        <v>0.34463773837830525</v>
      </c>
      <c r="R118" s="35">
        <f t="shared" si="544"/>
        <v>1.0930695296498012</v>
      </c>
      <c r="S118" s="35">
        <f t="shared" si="545"/>
        <v>0.31080562630258568</v>
      </c>
    </row>
    <row r="119" spans="1:19" ht="15" customHeight="1" x14ac:dyDescent="0.3">
      <c r="A119" s="30">
        <f>Odds_Input!A119</f>
        <v>111</v>
      </c>
      <c r="B119" s="7" t="str">
        <f>Odds_Input!B119</f>
        <v>PLAYIN_WEST</v>
      </c>
      <c r="C119" s="7" t="str">
        <f>Odds_Input!C119</f>
        <v>Memphis Grizzlies</v>
      </c>
      <c r="D119" s="7" t="str">
        <f>Odds_Input!D119</f>
        <v>YES</v>
      </c>
      <c r="E119" s="31" t="str">
        <f>Odds_Input!E119</f>
        <v>-</v>
      </c>
      <c r="F119" s="32">
        <f>Odds_Input!F119</f>
        <v>325</v>
      </c>
      <c r="G119" s="6" t="str">
        <f t="shared" si="533"/>
        <v>PLAYIN_WEST</v>
      </c>
      <c r="H119" s="14">
        <f t="shared" si="534"/>
        <v>4.25</v>
      </c>
      <c r="I119" s="33">
        <f t="shared" si="535"/>
        <v>0.23529411764705882</v>
      </c>
      <c r="J119" s="17">
        <f t="shared" si="536"/>
        <v>4</v>
      </c>
      <c r="K119" s="17">
        <f t="shared" si="537"/>
        <v>15</v>
      </c>
      <c r="L119" s="18">
        <f t="shared" si="538"/>
        <v>4.4014551789036798</v>
      </c>
      <c r="M119" s="34">
        <f t="shared" si="539"/>
        <v>0.10036379472591994</v>
      </c>
      <c r="N119" s="33">
        <f t="shared" si="540"/>
        <v>0.21383302392793302</v>
      </c>
      <c r="O119" s="33">
        <f t="shared" si="541"/>
        <v>0.20564928684531336</v>
      </c>
      <c r="P119" s="33">
        <f t="shared" si="542"/>
        <v>0.20564928684531336</v>
      </c>
      <c r="Q119" s="33">
        <f t="shared" si="543"/>
        <v>0.20564928684531336</v>
      </c>
      <c r="R119" s="35">
        <f t="shared" si="544"/>
        <v>1.0930695296498012</v>
      </c>
      <c r="S119" s="35">
        <f t="shared" si="545"/>
        <v>0.31080562630258568</v>
      </c>
    </row>
    <row r="120" spans="1:19" ht="15" customHeight="1" x14ac:dyDescent="0.3">
      <c r="A120" s="30">
        <f>Odds_Input!A120</f>
        <v>112</v>
      </c>
      <c r="B120" s="7" t="str">
        <f>Odds_Input!B120</f>
        <v>PLAYIN_WEST</v>
      </c>
      <c r="C120" s="7" t="str">
        <f>Odds_Input!C120</f>
        <v>Minnesota Timberwolves</v>
      </c>
      <c r="D120" s="7" t="str">
        <f>Odds_Input!D120</f>
        <v>YES</v>
      </c>
      <c r="E120" s="31" t="str">
        <f>Odds_Input!E120</f>
        <v>-</v>
      </c>
      <c r="F120" s="32">
        <f>Odds_Input!F120</f>
        <v>250</v>
      </c>
      <c r="G120" s="6" t="str">
        <f t="shared" si="533"/>
        <v>PLAYIN_WEST</v>
      </c>
      <c r="H120" s="14">
        <f t="shared" si="534"/>
        <v>3.5</v>
      </c>
      <c r="I120" s="33">
        <f t="shared" si="535"/>
        <v>0.2857142857142857</v>
      </c>
      <c r="J120" s="17">
        <f t="shared" si="536"/>
        <v>4</v>
      </c>
      <c r="K120" s="17">
        <f t="shared" si="537"/>
        <v>15</v>
      </c>
      <c r="L120" s="18">
        <f t="shared" si="538"/>
        <v>4.4014551789036798</v>
      </c>
      <c r="M120" s="34">
        <f t="shared" si="539"/>
        <v>0.10036379472591994</v>
      </c>
      <c r="N120" s="33">
        <f t="shared" si="540"/>
        <v>0.25965438619820436</v>
      </c>
      <c r="O120" s="33">
        <f t="shared" si="541"/>
        <v>0.25427039556249365</v>
      </c>
      <c r="P120" s="33">
        <f t="shared" si="542"/>
        <v>0.25427039556249365</v>
      </c>
      <c r="Q120" s="33">
        <f t="shared" si="543"/>
        <v>0.25427039556249365</v>
      </c>
      <c r="R120" s="35">
        <f t="shared" si="544"/>
        <v>1.0930695296498012</v>
      </c>
      <c r="S120" s="35">
        <f t="shared" si="545"/>
        <v>0.31080562630258568</v>
      </c>
    </row>
    <row r="121" spans="1:19" ht="15" customHeight="1" x14ac:dyDescent="0.3">
      <c r="A121" s="30">
        <f>Odds_Input!A121</f>
        <v>113</v>
      </c>
      <c r="B121" s="7" t="str">
        <f>Odds_Input!B121</f>
        <v>PLAYIN_WEST</v>
      </c>
      <c r="C121" s="7" t="str">
        <f>Odds_Input!C121</f>
        <v>New Orleans Pelicans</v>
      </c>
      <c r="D121" s="7" t="str">
        <f>Odds_Input!D121</f>
        <v>YES</v>
      </c>
      <c r="E121" s="31" t="str">
        <f>Odds_Input!E121</f>
        <v>-</v>
      </c>
      <c r="F121" s="32">
        <f>Odds_Input!F121</f>
        <v>375</v>
      </c>
      <c r="G121" s="6" t="str">
        <f t="shared" si="533"/>
        <v>PLAYIN_WEST</v>
      </c>
      <c r="H121" s="14">
        <f t="shared" si="534"/>
        <v>4.75</v>
      </c>
      <c r="I121" s="33">
        <f t="shared" si="535"/>
        <v>0.21052631578947367</v>
      </c>
      <c r="J121" s="17">
        <f t="shared" si="536"/>
        <v>4</v>
      </c>
      <c r="K121" s="17">
        <f t="shared" si="537"/>
        <v>15</v>
      </c>
      <c r="L121" s="18">
        <f t="shared" si="538"/>
        <v>4.4014551789036798</v>
      </c>
      <c r="M121" s="34">
        <f t="shared" si="539"/>
        <v>0.10036379472591994</v>
      </c>
      <c r="N121" s="33">
        <f t="shared" si="540"/>
        <v>0.19132428456709796</v>
      </c>
      <c r="O121" s="33">
        <f t="shared" si="541"/>
        <v>0.18210708154671776</v>
      </c>
      <c r="P121" s="33">
        <f t="shared" si="542"/>
        <v>0.18210708154671776</v>
      </c>
      <c r="Q121" s="33">
        <f t="shared" si="543"/>
        <v>0.18210708154671776</v>
      </c>
      <c r="R121" s="35">
        <f t="shared" si="544"/>
        <v>1.0930695296498012</v>
      </c>
      <c r="S121" s="35">
        <f t="shared" si="545"/>
        <v>0.31080562630258568</v>
      </c>
    </row>
    <row r="122" spans="1:19" ht="15" customHeight="1" x14ac:dyDescent="0.3">
      <c r="A122" s="30">
        <f>Odds_Input!A122</f>
        <v>114</v>
      </c>
      <c r="B122" s="7" t="str">
        <f>Odds_Input!B122</f>
        <v>PLAYIN_WEST</v>
      </c>
      <c r="C122" s="7" t="str">
        <f>Odds_Input!C122</f>
        <v>Oklahoma City Thunder</v>
      </c>
      <c r="D122" s="7" t="str">
        <f>Odds_Input!D122</f>
        <v>YES</v>
      </c>
      <c r="E122" s="31" t="str">
        <f>Odds_Input!E122</f>
        <v>-</v>
      </c>
      <c r="F122" s="32">
        <f>Odds_Input!F122</f>
        <v>4000</v>
      </c>
      <c r="G122" s="6" t="str">
        <f t="shared" si="533"/>
        <v>PLAYIN_WEST</v>
      </c>
      <c r="H122" s="14">
        <f t="shared" si="534"/>
        <v>41</v>
      </c>
      <c r="I122" s="33">
        <f t="shared" si="535"/>
        <v>2.4390243902439025E-2</v>
      </c>
      <c r="J122" s="17">
        <f t="shared" si="536"/>
        <v>4</v>
      </c>
      <c r="K122" s="17">
        <f t="shared" si="537"/>
        <v>15</v>
      </c>
      <c r="L122" s="18">
        <f t="shared" si="538"/>
        <v>4.4014551789036798</v>
      </c>
      <c r="M122" s="34">
        <f t="shared" si="539"/>
        <v>0.10036379472591994</v>
      </c>
      <c r="N122" s="33">
        <f t="shared" si="540"/>
        <v>2.2165618333993057E-2</v>
      </c>
      <c r="O122" s="33">
        <f t="shared" si="541"/>
        <v>1.7262953802109161E-2</v>
      </c>
      <c r="P122" s="33">
        <f t="shared" si="542"/>
        <v>1.7262953802109161E-2</v>
      </c>
      <c r="Q122" s="33">
        <f t="shared" si="543"/>
        <v>1.7262953802109161E-2</v>
      </c>
      <c r="R122" s="35">
        <f t="shared" si="544"/>
        <v>1.0930695296498012</v>
      </c>
      <c r="S122" s="35">
        <f t="shared" si="545"/>
        <v>0.31080562630258568</v>
      </c>
    </row>
    <row r="123" spans="1:19" ht="15" customHeight="1" x14ac:dyDescent="0.3">
      <c r="A123" s="30">
        <f>Odds_Input!A123</f>
        <v>115</v>
      </c>
      <c r="B123" s="7" t="str">
        <f>Odds_Input!B123</f>
        <v>PLAYIN_WEST</v>
      </c>
      <c r="C123" s="7" t="str">
        <f>Odds_Input!C123</f>
        <v>Phoenix Suns</v>
      </c>
      <c r="D123" s="7" t="str">
        <f>Odds_Input!D123</f>
        <v>YES</v>
      </c>
      <c r="E123" s="31" t="str">
        <f>Odds_Input!E123</f>
        <v>-</v>
      </c>
      <c r="F123" s="32">
        <f>Odds_Input!F123</f>
        <v>-115</v>
      </c>
      <c r="G123" s="6" t="str">
        <f t="shared" si="533"/>
        <v>PLAYIN_WEST</v>
      </c>
      <c r="H123" s="14">
        <f t="shared" si="534"/>
        <v>1.8695652173913042</v>
      </c>
      <c r="I123" s="33">
        <f t="shared" si="535"/>
        <v>0.53488372093023262</v>
      </c>
      <c r="J123" s="17">
        <f t="shared" si="536"/>
        <v>4</v>
      </c>
      <c r="K123" s="17">
        <f t="shared" si="537"/>
        <v>15</v>
      </c>
      <c r="L123" s="18">
        <f t="shared" si="538"/>
        <v>4.4014551789036798</v>
      </c>
      <c r="M123" s="34">
        <f t="shared" si="539"/>
        <v>0.10036379472591994</v>
      </c>
      <c r="N123" s="33">
        <f t="shared" si="540"/>
        <v>0.48609716485942922</v>
      </c>
      <c r="O123" s="33">
        <f t="shared" si="541"/>
        <v>0.50462482149117838</v>
      </c>
      <c r="P123" s="33">
        <f t="shared" si="542"/>
        <v>0.50462482149117838</v>
      </c>
      <c r="Q123" s="33">
        <f t="shared" si="543"/>
        <v>0.50462482149117838</v>
      </c>
      <c r="R123" s="35">
        <f t="shared" si="544"/>
        <v>1.0930695296498012</v>
      </c>
      <c r="S123" s="35">
        <f t="shared" si="545"/>
        <v>0.31080562630258568</v>
      </c>
    </row>
    <row r="124" spans="1:19" ht="15" customHeight="1" x14ac:dyDescent="0.3">
      <c r="A124" s="30">
        <f>Odds_Input!A124</f>
        <v>116</v>
      </c>
      <c r="B124" s="7" t="str">
        <f>Odds_Input!B124</f>
        <v>PLAYIN_WEST</v>
      </c>
      <c r="C124" s="7" t="str">
        <f>Odds_Input!C124</f>
        <v>Portland Trail Blazers</v>
      </c>
      <c r="D124" s="7" t="str">
        <f>Odds_Input!D124</f>
        <v>YES</v>
      </c>
      <c r="E124" s="31" t="str">
        <f>Odds_Input!E124</f>
        <v>-</v>
      </c>
      <c r="F124" s="32">
        <f>Odds_Input!F124</f>
        <v>100</v>
      </c>
      <c r="G124" s="6" t="str">
        <f t="shared" si="533"/>
        <v>PLAYIN_WEST</v>
      </c>
      <c r="H124" s="14">
        <f t="shared" si="534"/>
        <v>2</v>
      </c>
      <c r="I124" s="33">
        <f t="shared" si="535"/>
        <v>0.5</v>
      </c>
      <c r="J124" s="17">
        <f t="shared" si="536"/>
        <v>4</v>
      </c>
      <c r="K124" s="17">
        <f t="shared" si="537"/>
        <v>15</v>
      </c>
      <c r="L124" s="18">
        <f t="shared" si="538"/>
        <v>4.4014551789036798</v>
      </c>
      <c r="M124" s="34">
        <f t="shared" si="539"/>
        <v>0.10036379472591994</v>
      </c>
      <c r="N124" s="33">
        <f t="shared" si="540"/>
        <v>0.45439517584685768</v>
      </c>
      <c r="O124" s="33">
        <f t="shared" si="541"/>
        <v>0.46876295599065643</v>
      </c>
      <c r="P124" s="33">
        <f t="shared" si="542"/>
        <v>0.46876295599065643</v>
      </c>
      <c r="Q124" s="33">
        <f t="shared" si="543"/>
        <v>0.46876295599065643</v>
      </c>
      <c r="R124" s="35">
        <f t="shared" si="544"/>
        <v>1.0930695296498012</v>
      </c>
      <c r="S124" s="35">
        <f t="shared" si="545"/>
        <v>0.31080562630258568</v>
      </c>
    </row>
    <row r="125" spans="1:19" ht="15" customHeight="1" x14ac:dyDescent="0.3">
      <c r="A125" s="30">
        <f>Odds_Input!A125</f>
        <v>117</v>
      </c>
      <c r="B125" s="7" t="str">
        <f>Odds_Input!B125</f>
        <v>PLAYIN_WEST</v>
      </c>
      <c r="C125" s="7" t="str">
        <f>Odds_Input!C125</f>
        <v>Sacramento Kings</v>
      </c>
      <c r="D125" s="7" t="str">
        <f>Odds_Input!D125</f>
        <v>YES</v>
      </c>
      <c r="E125" s="31" t="str">
        <f>Odds_Input!E125</f>
        <v>-</v>
      </c>
      <c r="F125" s="32">
        <f>Odds_Input!F125</f>
        <v>1400</v>
      </c>
      <c r="G125" s="6" t="str">
        <f t="shared" si="533"/>
        <v>PLAYIN_WEST</v>
      </c>
      <c r="H125" s="14">
        <f t="shared" si="534"/>
        <v>15</v>
      </c>
      <c r="I125" s="33">
        <f t="shared" si="535"/>
        <v>6.6666666666666666E-2</v>
      </c>
      <c r="J125" s="17">
        <f t="shared" si="536"/>
        <v>4</v>
      </c>
      <c r="K125" s="17">
        <f t="shared" si="537"/>
        <v>15</v>
      </c>
      <c r="L125" s="18">
        <f t="shared" si="538"/>
        <v>4.4014551789036798</v>
      </c>
      <c r="M125" s="34">
        <f t="shared" si="539"/>
        <v>0.10036379472591994</v>
      </c>
      <c r="N125" s="33">
        <f t="shared" si="540"/>
        <v>6.0586023446247687E-2</v>
      </c>
      <c r="O125" s="33">
        <f t="shared" si="541"/>
        <v>5.1814400854137542E-2</v>
      </c>
      <c r="P125" s="33">
        <f t="shared" si="542"/>
        <v>5.1814400854137542E-2</v>
      </c>
      <c r="Q125" s="33">
        <f t="shared" si="543"/>
        <v>5.1814400854137542E-2</v>
      </c>
      <c r="R125" s="35">
        <f t="shared" si="544"/>
        <v>1.0930695296498012</v>
      </c>
      <c r="S125" s="35">
        <f t="shared" si="545"/>
        <v>0.31080562630258568</v>
      </c>
    </row>
    <row r="126" spans="1:19" ht="15" customHeight="1" x14ac:dyDescent="0.3">
      <c r="A126" s="30">
        <f>Odds_Input!A126</f>
        <v>118</v>
      </c>
      <c r="B126" s="7" t="str">
        <f>Odds_Input!B126</f>
        <v>PLAYIN_WEST</v>
      </c>
      <c r="C126" s="7" t="str">
        <f>Odds_Input!C126</f>
        <v>San Antonio Spurs</v>
      </c>
      <c r="D126" s="7" t="str">
        <f>Odds_Input!D126</f>
        <v>YES</v>
      </c>
      <c r="E126" s="31" t="str">
        <f>Odds_Input!E126</f>
        <v>-</v>
      </c>
      <c r="F126" s="32">
        <f>Odds_Input!F126</f>
        <v>3500</v>
      </c>
      <c r="G126" s="6" t="str">
        <f t="shared" si="533"/>
        <v>PLAYIN_WEST</v>
      </c>
      <c r="H126" s="14">
        <f t="shared" si="534"/>
        <v>36</v>
      </c>
      <c r="I126" s="33">
        <f t="shared" si="535"/>
        <v>2.7777777777777776E-2</v>
      </c>
      <c r="J126" s="17">
        <f t="shared" si="536"/>
        <v>4</v>
      </c>
      <c r="K126" s="17">
        <f t="shared" si="537"/>
        <v>15</v>
      </c>
      <c r="L126" s="18">
        <f t="shared" si="538"/>
        <v>4.4014551789036798</v>
      </c>
      <c r="M126" s="34">
        <f t="shared" si="539"/>
        <v>0.10036379472591994</v>
      </c>
      <c r="N126" s="33">
        <f t="shared" si="540"/>
        <v>2.5244176435936537E-2</v>
      </c>
      <c r="O126" s="33">
        <f t="shared" si="541"/>
        <v>1.9900003715376421E-2</v>
      </c>
      <c r="P126" s="33">
        <f t="shared" si="542"/>
        <v>1.9900003715376421E-2</v>
      </c>
      <c r="Q126" s="33">
        <f t="shared" si="543"/>
        <v>1.9900003715376421E-2</v>
      </c>
      <c r="R126" s="35">
        <f t="shared" si="544"/>
        <v>1.0930695296498012</v>
      </c>
      <c r="S126" s="35">
        <f t="shared" si="545"/>
        <v>0.31080562630258568</v>
      </c>
    </row>
    <row r="127" spans="1:19" ht="15" customHeight="1" x14ac:dyDescent="0.3">
      <c r="A127" s="30">
        <f>Odds_Input!A127</f>
        <v>119</v>
      </c>
      <c r="B127" s="7" t="str">
        <f>Odds_Input!B127</f>
        <v>PLAYIN_WEST</v>
      </c>
      <c r="C127" s="7" t="str">
        <f>Odds_Input!C127</f>
        <v>Utah Jazz</v>
      </c>
      <c r="D127" s="7" t="str">
        <f>Odds_Input!D127</f>
        <v>YES</v>
      </c>
      <c r="E127" s="31" t="str">
        <f>Odds_Input!E127</f>
        <v>-</v>
      </c>
      <c r="F127" s="32">
        <f>Odds_Input!F127</f>
        <v>115</v>
      </c>
      <c r="G127" s="6" t="str">
        <f t="shared" si="533"/>
        <v>PLAYIN_WEST</v>
      </c>
      <c r="H127" s="14">
        <f t="shared" si="534"/>
        <v>2.15</v>
      </c>
      <c r="I127" s="33">
        <f t="shared" si="535"/>
        <v>0.46511627906976744</v>
      </c>
      <c r="J127" s="17">
        <f t="shared" si="536"/>
        <v>4</v>
      </c>
      <c r="K127" s="17">
        <f t="shared" si="537"/>
        <v>15</v>
      </c>
      <c r="L127" s="18">
        <f t="shared" si="538"/>
        <v>4.4014551789036798</v>
      </c>
      <c r="M127" s="34">
        <f t="shared" si="539"/>
        <v>0.10036379472591994</v>
      </c>
      <c r="N127" s="33">
        <f t="shared" si="540"/>
        <v>0.42269318683428619</v>
      </c>
      <c r="O127" s="33">
        <f t="shared" si="541"/>
        <v>0.43313337449584394</v>
      </c>
      <c r="P127" s="33">
        <f t="shared" si="542"/>
        <v>0.43313337449584394</v>
      </c>
      <c r="Q127" s="33">
        <f t="shared" si="543"/>
        <v>0.43313337449584394</v>
      </c>
      <c r="R127" s="35">
        <f t="shared" si="544"/>
        <v>1.0930695296498012</v>
      </c>
      <c r="S127" s="35">
        <f t="shared" si="545"/>
        <v>0.31080562630258568</v>
      </c>
    </row>
    <row r="128" spans="1:19" ht="15" customHeight="1" x14ac:dyDescent="0.3">
      <c r="A128" s="30">
        <f>Odds_Input!A128</f>
        <v>120</v>
      </c>
      <c r="B128" s="7" t="str">
        <f>Odds_Input!B128</f>
        <v>WINS</v>
      </c>
      <c r="C128" s="7" t="str">
        <f>Odds_Input!C128</f>
        <v>Boston Celtics</v>
      </c>
      <c r="D128" s="7" t="str">
        <f>Odds_Input!D128</f>
        <v>OVER</v>
      </c>
      <c r="E128" s="31">
        <f>Odds_Input!E128</f>
        <v>51.5</v>
      </c>
      <c r="F128" s="32">
        <f>Odds_Input!F128</f>
        <v>110</v>
      </c>
      <c r="G128" s="6" t="str">
        <f t="shared" si="533"/>
        <v>WINS|Boston Celtics|51.5</v>
      </c>
      <c r="H128" s="14">
        <f t="shared" si="534"/>
        <v>2.1</v>
      </c>
      <c r="I128" s="33">
        <f t="shared" si="535"/>
        <v>0.47619047619047616</v>
      </c>
      <c r="J128" s="17">
        <f t="shared" si="536"/>
        <v>1</v>
      </c>
      <c r="K128" s="17">
        <f t="shared" si="537"/>
        <v>2</v>
      </c>
      <c r="L128" s="18">
        <f t="shared" si="538"/>
        <v>1.0414078674948239</v>
      </c>
      <c r="M128" s="34">
        <f t="shared" si="539"/>
        <v>4.1407867494823947E-2</v>
      </c>
      <c r="N128" s="33">
        <f t="shared" si="540"/>
        <v>0.45725646123260438</v>
      </c>
      <c r="O128" s="33">
        <f t="shared" si="541"/>
        <v>0.45459726476428969</v>
      </c>
      <c r="P128" s="33">
        <f t="shared" si="542"/>
        <v>0.45548654243129111</v>
      </c>
      <c r="Q128" s="33">
        <f t="shared" si="543"/>
        <v>0.45548654243129111</v>
      </c>
      <c r="R128" s="35">
        <f t="shared" si="544"/>
        <v>1.0625471139559521</v>
      </c>
      <c r="S128" s="35">
        <f t="shared" si="545"/>
        <v>4.1421021099933536E-2</v>
      </c>
    </row>
    <row r="129" spans="1:19" ht="15" customHeight="1" x14ac:dyDescent="0.3">
      <c r="A129" s="30">
        <f>Odds_Input!A129</f>
        <v>121</v>
      </c>
      <c r="B129" s="7" t="str">
        <f>Odds_Input!B129</f>
        <v>WINS</v>
      </c>
      <c r="C129" s="7" t="str">
        <f>Odds_Input!C129</f>
        <v>Boston Celtics</v>
      </c>
      <c r="D129" s="7" t="str">
        <f>Odds_Input!D129</f>
        <v>UNDER</v>
      </c>
      <c r="E129" s="31">
        <f>Odds_Input!E129</f>
        <v>51.5</v>
      </c>
      <c r="F129" s="32">
        <f>Odds_Input!F129</f>
        <v>-130</v>
      </c>
      <c r="G129" s="6" t="str">
        <f t="shared" si="533"/>
        <v>WINS|Boston Celtics|51.5</v>
      </c>
      <c r="H129" s="14">
        <f t="shared" si="534"/>
        <v>1.7692307692307692</v>
      </c>
      <c r="I129" s="33">
        <f t="shared" si="535"/>
        <v>0.56521739130434789</v>
      </c>
      <c r="J129" s="17">
        <f t="shared" si="536"/>
        <v>1</v>
      </c>
      <c r="K129" s="17">
        <f t="shared" si="537"/>
        <v>2</v>
      </c>
      <c r="L129" s="18">
        <f t="shared" si="538"/>
        <v>1.0414078674948239</v>
      </c>
      <c r="M129" s="34">
        <f t="shared" si="539"/>
        <v>4.1407867494823947E-2</v>
      </c>
      <c r="N129" s="33">
        <f t="shared" si="540"/>
        <v>0.54274353876739567</v>
      </c>
      <c r="O129" s="33">
        <f t="shared" si="541"/>
        <v>0.5454027356369866</v>
      </c>
      <c r="P129" s="33">
        <f t="shared" si="542"/>
        <v>0.54451345754701419</v>
      </c>
      <c r="Q129" s="33">
        <f t="shared" si="543"/>
        <v>0.54451345754701419</v>
      </c>
      <c r="R129" s="35">
        <f t="shared" si="544"/>
        <v>1.0625471139559521</v>
      </c>
      <c r="S129" s="35">
        <f t="shared" si="545"/>
        <v>4.1421021099933536E-2</v>
      </c>
    </row>
    <row r="130" spans="1:19" ht="15" customHeight="1" x14ac:dyDescent="0.3">
      <c r="A130" s="30">
        <f>Odds_Input!A130</f>
        <v>122</v>
      </c>
      <c r="B130" s="7" t="str">
        <f>Odds_Input!B130</f>
        <v>WINS</v>
      </c>
      <c r="C130" s="7" t="str">
        <f>Odds_Input!C130</f>
        <v>Detroit Pistons</v>
      </c>
      <c r="D130" s="7" t="str">
        <f>Odds_Input!D130</f>
        <v>OVER</v>
      </c>
      <c r="E130" s="31">
        <f>Odds_Input!E130</f>
        <v>49.5</v>
      </c>
      <c r="F130" s="32">
        <f>Odds_Input!F130</f>
        <v>115</v>
      </c>
      <c r="G130" s="6" t="str">
        <f t="shared" si="533"/>
        <v>WINS|Detroit Pistons|49.5</v>
      </c>
      <c r="H130" s="14">
        <f t="shared" si="534"/>
        <v>2.15</v>
      </c>
      <c r="I130" s="33">
        <f t="shared" si="535"/>
        <v>0.46511627906976744</v>
      </c>
      <c r="J130" s="17">
        <f t="shared" si="536"/>
        <v>1</v>
      </c>
      <c r="K130" s="17">
        <f t="shared" si="537"/>
        <v>2</v>
      </c>
      <c r="L130" s="18">
        <f t="shared" si="538"/>
        <v>1.0395843641761504</v>
      </c>
      <c r="M130" s="34">
        <f t="shared" si="539"/>
        <v>3.9584364176150411E-2</v>
      </c>
      <c r="N130" s="33">
        <f t="shared" si="540"/>
        <v>0.44740599714421703</v>
      </c>
      <c r="O130" s="33">
        <f t="shared" si="541"/>
        <v>0.44428274763334102</v>
      </c>
      <c r="P130" s="33">
        <f t="shared" si="542"/>
        <v>0.44532409697922487</v>
      </c>
      <c r="Q130" s="33">
        <f t="shared" si="543"/>
        <v>0.44532409697922487</v>
      </c>
      <c r="R130" s="35">
        <f t="shared" si="544"/>
        <v>1.0598669931991025</v>
      </c>
      <c r="S130" s="35">
        <f t="shared" si="545"/>
        <v>3.9602605831870696E-2</v>
      </c>
    </row>
    <row r="131" spans="1:19" ht="15" customHeight="1" x14ac:dyDescent="0.3">
      <c r="A131" s="30">
        <f>Odds_Input!A131</f>
        <v>123</v>
      </c>
      <c r="B131" s="7" t="str">
        <f>Odds_Input!B131</f>
        <v>WINS</v>
      </c>
      <c r="C131" s="7" t="str">
        <f>Odds_Input!C131</f>
        <v>Detroit Pistons</v>
      </c>
      <c r="D131" s="7" t="str">
        <f>Odds_Input!D131</f>
        <v>UNDER</v>
      </c>
      <c r="E131" s="31">
        <f>Odds_Input!E131</f>
        <v>49.5</v>
      </c>
      <c r="F131" s="32">
        <f>Odds_Input!F131</f>
        <v>-135</v>
      </c>
      <c r="G131" s="6" t="str">
        <f t="shared" si="533"/>
        <v>WINS|Detroit Pistons|49.5</v>
      </c>
      <c r="H131" s="14">
        <f t="shared" si="534"/>
        <v>1.7407407407407407</v>
      </c>
      <c r="I131" s="33">
        <f t="shared" si="535"/>
        <v>0.57446808510638303</v>
      </c>
      <c r="J131" s="17">
        <f t="shared" si="536"/>
        <v>1</v>
      </c>
      <c r="K131" s="17">
        <f t="shared" si="537"/>
        <v>2</v>
      </c>
      <c r="L131" s="18">
        <f t="shared" si="538"/>
        <v>1.0395843641761504</v>
      </c>
      <c r="M131" s="34">
        <f t="shared" si="539"/>
        <v>3.9584364176150411E-2</v>
      </c>
      <c r="N131" s="33">
        <f t="shared" si="540"/>
        <v>0.55259400285578297</v>
      </c>
      <c r="O131" s="33">
        <f t="shared" si="541"/>
        <v>0.55571725249991621</v>
      </c>
      <c r="P131" s="33">
        <f t="shared" si="542"/>
        <v>0.55467590301630942</v>
      </c>
      <c r="Q131" s="33">
        <f t="shared" si="543"/>
        <v>0.55467590301630942</v>
      </c>
      <c r="R131" s="35">
        <f t="shared" si="544"/>
        <v>1.0598669931991025</v>
      </c>
      <c r="S131" s="35">
        <f t="shared" si="545"/>
        <v>3.9602605831870696E-2</v>
      </c>
    </row>
    <row r="132" spans="1:19" ht="15" customHeight="1" x14ac:dyDescent="0.3">
      <c r="A132" s="30">
        <f>Odds_Input!A132</f>
        <v>124</v>
      </c>
      <c r="B132" s="7" t="str">
        <f>Odds_Input!B132</f>
        <v>WINS</v>
      </c>
      <c r="C132" s="7" t="str">
        <f>Odds_Input!C132</f>
        <v>New York Knicks</v>
      </c>
      <c r="D132" s="7" t="str">
        <f>Odds_Input!D132</f>
        <v>OVER</v>
      </c>
      <c r="E132" s="31">
        <f>Odds_Input!E132</f>
        <v>52.5</v>
      </c>
      <c r="F132" s="32">
        <f>Odds_Input!F132</f>
        <v>135</v>
      </c>
      <c r="G132" s="6" t="str">
        <f t="shared" si="533"/>
        <v>WINS|New York Knicks|52.5</v>
      </c>
      <c r="H132" s="14">
        <f t="shared" si="534"/>
        <v>2.35</v>
      </c>
      <c r="I132" s="33">
        <f t="shared" si="535"/>
        <v>0.42553191489361702</v>
      </c>
      <c r="J132" s="17">
        <f t="shared" si="536"/>
        <v>1</v>
      </c>
      <c r="K132" s="17">
        <f t="shared" si="537"/>
        <v>2</v>
      </c>
      <c r="L132" s="18">
        <f t="shared" si="538"/>
        <v>1.033375052148519</v>
      </c>
      <c r="M132" s="34">
        <f t="shared" si="539"/>
        <v>3.3375052148518991E-2</v>
      </c>
      <c r="N132" s="33">
        <f t="shared" si="540"/>
        <v>0.4117884537747275</v>
      </c>
      <c r="O132" s="33">
        <f t="shared" si="541"/>
        <v>0.40739186468298344</v>
      </c>
      <c r="P132" s="33">
        <f t="shared" si="542"/>
        <v>0.40884438880822638</v>
      </c>
      <c r="Q132" s="33">
        <f t="shared" si="543"/>
        <v>0.40884438880822638</v>
      </c>
      <c r="R132" s="35">
        <f t="shared" si="544"/>
        <v>1.050987399998121</v>
      </c>
      <c r="S132" s="35">
        <f t="shared" si="545"/>
        <v>3.3412111117672519E-2</v>
      </c>
    </row>
    <row r="133" spans="1:19" ht="15" customHeight="1" x14ac:dyDescent="0.3">
      <c r="A133" s="30">
        <f>Odds_Input!A133</f>
        <v>125</v>
      </c>
      <c r="B133" s="7" t="str">
        <f>Odds_Input!B133</f>
        <v>WINS</v>
      </c>
      <c r="C133" s="7" t="str">
        <f>Odds_Input!C133</f>
        <v>New York Knicks</v>
      </c>
      <c r="D133" s="7" t="str">
        <f>Odds_Input!D133</f>
        <v>UNDER</v>
      </c>
      <c r="E133" s="31">
        <f>Odds_Input!E133</f>
        <v>52.5</v>
      </c>
      <c r="F133" s="32">
        <f>Odds_Input!F133</f>
        <v>-155</v>
      </c>
      <c r="G133" s="6" t="str">
        <f t="shared" si="533"/>
        <v>WINS|New York Knicks|52.5</v>
      </c>
      <c r="H133" s="14">
        <f t="shared" si="534"/>
        <v>1.6451612903225805</v>
      </c>
      <c r="I133" s="33">
        <f t="shared" si="535"/>
        <v>0.60784313725490202</v>
      </c>
      <c r="J133" s="17">
        <f t="shared" si="536"/>
        <v>1</v>
      </c>
      <c r="K133" s="17">
        <f t="shared" si="537"/>
        <v>2</v>
      </c>
      <c r="L133" s="18">
        <f t="shared" si="538"/>
        <v>1.033375052148519</v>
      </c>
      <c r="M133" s="34">
        <f t="shared" si="539"/>
        <v>3.3375052148518991E-2</v>
      </c>
      <c r="N133" s="33">
        <f t="shared" si="540"/>
        <v>0.58821154622527261</v>
      </c>
      <c r="O133" s="33">
        <f t="shared" si="541"/>
        <v>0.59260813558178993</v>
      </c>
      <c r="P133" s="33">
        <f t="shared" si="542"/>
        <v>0.59115561117284665</v>
      </c>
      <c r="Q133" s="33">
        <f t="shared" si="543"/>
        <v>0.59115561117284665</v>
      </c>
      <c r="R133" s="35">
        <f t="shared" si="544"/>
        <v>1.050987399998121</v>
      </c>
      <c r="S133" s="35">
        <f t="shared" si="545"/>
        <v>3.3412111117672519E-2</v>
      </c>
    </row>
    <row r="134" spans="1:19" ht="15" customHeight="1" x14ac:dyDescent="0.3">
      <c r="A134" s="30">
        <f>Odds_Input!A134</f>
        <v>126</v>
      </c>
      <c r="B134" s="7" t="str">
        <f>Odds_Input!B134</f>
        <v>WINS</v>
      </c>
      <c r="C134" s="7" t="str">
        <f>Odds_Input!C134</f>
        <v>Philadelphia 76ers</v>
      </c>
      <c r="D134" s="7" t="str">
        <f>Odds_Input!D134</f>
        <v>OVER</v>
      </c>
      <c r="E134" s="31">
        <f>Odds_Input!E134</f>
        <v>50.5</v>
      </c>
      <c r="F134" s="32">
        <f>Odds_Input!F134</f>
        <v>100</v>
      </c>
      <c r="G134" s="6" t="str">
        <f t="shared" si="533"/>
        <v>WINS|Philadelphia 76ers|50.5</v>
      </c>
      <c r="H134" s="14">
        <f t="shared" si="534"/>
        <v>2</v>
      </c>
      <c r="I134" s="33">
        <f t="shared" si="535"/>
        <v>0.5</v>
      </c>
      <c r="J134" s="17">
        <f t="shared" si="536"/>
        <v>1</v>
      </c>
      <c r="K134" s="17">
        <f t="shared" si="537"/>
        <v>2</v>
      </c>
      <c r="L134" s="18">
        <f t="shared" si="538"/>
        <v>1.0454545454545454</v>
      </c>
      <c r="M134" s="34">
        <f t="shared" si="539"/>
        <v>4.5454545454545414E-2</v>
      </c>
      <c r="N134" s="33">
        <f t="shared" si="540"/>
        <v>0.47826086956521741</v>
      </c>
      <c r="O134" s="33">
        <f t="shared" si="541"/>
        <v>0.47677095402287412</v>
      </c>
      <c r="P134" s="33">
        <f t="shared" si="542"/>
        <v>0.4772727272430774</v>
      </c>
      <c r="Q134" s="33">
        <f t="shared" si="543"/>
        <v>0.4772727272430774</v>
      </c>
      <c r="R134" s="35">
        <f t="shared" si="544"/>
        <v>1.0686317486921326</v>
      </c>
      <c r="S134" s="35">
        <f t="shared" si="545"/>
        <v>4.5458637254745582E-2</v>
      </c>
    </row>
    <row r="135" spans="1:19" ht="15" customHeight="1" x14ac:dyDescent="0.3">
      <c r="A135" s="30">
        <f>Odds_Input!A135</f>
        <v>127</v>
      </c>
      <c r="B135" s="7" t="str">
        <f>Odds_Input!B135</f>
        <v>WINS</v>
      </c>
      <c r="C135" s="7" t="str">
        <f>Odds_Input!C135</f>
        <v>Philadelphia 76ers</v>
      </c>
      <c r="D135" s="7" t="str">
        <f>Odds_Input!D135</f>
        <v>UNDER</v>
      </c>
      <c r="E135" s="31">
        <f>Odds_Input!E135</f>
        <v>50.5</v>
      </c>
      <c r="F135" s="32">
        <f>Odds_Input!F135</f>
        <v>-120</v>
      </c>
      <c r="G135" s="6" t="str">
        <f t="shared" si="533"/>
        <v>WINS|Philadelphia 76ers|50.5</v>
      </c>
      <c r="H135" s="14">
        <f t="shared" si="534"/>
        <v>1.8333333333333335</v>
      </c>
      <c r="I135" s="33">
        <f t="shared" si="535"/>
        <v>0.54545454545454541</v>
      </c>
      <c r="J135" s="17">
        <f t="shared" si="536"/>
        <v>1</v>
      </c>
      <c r="K135" s="17">
        <f t="shared" si="537"/>
        <v>2</v>
      </c>
      <c r="L135" s="18">
        <f t="shared" si="538"/>
        <v>1.0454545454545454</v>
      </c>
      <c r="M135" s="34">
        <f t="shared" si="539"/>
        <v>4.5454545454545414E-2</v>
      </c>
      <c r="N135" s="33">
        <f t="shared" si="540"/>
        <v>0.52173913043478259</v>
      </c>
      <c r="O135" s="33">
        <f t="shared" si="541"/>
        <v>0.52322904631959044</v>
      </c>
      <c r="P135" s="33">
        <f t="shared" si="542"/>
        <v>0.52272727270008856</v>
      </c>
      <c r="Q135" s="33">
        <f t="shared" si="543"/>
        <v>0.52272727270008856</v>
      </c>
      <c r="R135" s="35">
        <f t="shared" si="544"/>
        <v>1.0686317486921326</v>
      </c>
      <c r="S135" s="35">
        <f t="shared" si="545"/>
        <v>4.5458637254745582E-2</v>
      </c>
    </row>
    <row r="136" spans="1:19" ht="15" customHeight="1" x14ac:dyDescent="0.3">
      <c r="A136" s="30">
        <f>Odds_Input!A136</f>
        <v>128</v>
      </c>
      <c r="B136" s="7" t="str">
        <f>Odds_Input!B136</f>
        <v>WINS</v>
      </c>
      <c r="C136" s="7" t="str">
        <f>Odds_Input!C136</f>
        <v>Oklahoma City Thunder</v>
      </c>
      <c r="D136" s="7" t="str">
        <f>Odds_Input!D136</f>
        <v>OVER</v>
      </c>
      <c r="E136" s="31">
        <f>Odds_Input!E136</f>
        <v>61.5</v>
      </c>
      <c r="F136" s="32">
        <f>Odds_Input!F136</f>
        <v>-125</v>
      </c>
      <c r="G136" s="6" t="str">
        <f t="shared" ref="G136:G199" si="806">IF(OR(B136="WINS",B136="PLAYOFFS"),B136&amp;"|"&amp;C136&amp;IF(B136="WINS","|"&amp;TEXT(E136,"0.0"),""),B136)</f>
        <v>WINS|Oklahoma City Thunder|61.5</v>
      </c>
      <c r="H136" s="14">
        <f t="shared" ref="H136:H199" si="807">IF(F136&gt;0,1+F136/100,1+100/ABS(F136))</f>
        <v>1.8</v>
      </c>
      <c r="I136" s="33">
        <f t="shared" ref="I136:I199" si="808">1/H136</f>
        <v>0.55555555555555558</v>
      </c>
      <c r="J136" s="17">
        <f t="shared" ref="J136:J199" si="809">IF(LEFT(B136,6)="PLAYIN",A_playin_slots,1)</f>
        <v>1</v>
      </c>
      <c r="K136" s="17">
        <f t="shared" ref="K136:K199" si="810">COUNTIF($G$8:$G$694,G136)</f>
        <v>2</v>
      </c>
      <c r="L136" s="18">
        <f t="shared" ref="L136:L199" si="811">SUMIF($G$8:$G$694,G136,$I$8:$I$694)</f>
        <v>1.0433604336043361</v>
      </c>
      <c r="M136" s="34">
        <f t="shared" ref="M136:M199" si="812">L136/J136-1</f>
        <v>4.3360433604336057E-2</v>
      </c>
      <c r="N136" s="33">
        <f t="shared" ref="N136:N199" si="813">I136*J136/L136</f>
        <v>0.53246753246753253</v>
      </c>
      <c r="O136" s="33">
        <f t="shared" ref="O136:O199" si="814">I136^R136</f>
        <v>0.53458622729298633</v>
      </c>
      <c r="P136" s="33">
        <f t="shared" ref="P136:P199" si="815">IF(J136&lt;&gt;1,O136,IF(L136&lt;=1,I136/L136,(SQRT(S136^2+4*(1-S136)*I136^2/L136)-S136)/(2*(1-S136))))</f>
        <v>0.53387533873028026</v>
      </c>
      <c r="Q136" s="33">
        <f t="shared" ref="Q136:Q199" si="816">IF(A_devig="Multiplicative",N136,IF(A_devig="Power",O136,P136))</f>
        <v>0.53387533873028026</v>
      </c>
      <c r="R136" s="35">
        <f t="shared" ref="R136:R199" si="817">INDEX($KA$8:$KA$96,MATCH(G136,$X$8:$X$96,0))</f>
        <v>1.0654583978233858</v>
      </c>
      <c r="S136" s="35">
        <f t="shared" ref="S136:S199" si="818">INDEX($KB$8:$KB$96,MATCH(G136,$X$8:$X$96,0))</f>
        <v>4.3368743266931839E-2</v>
      </c>
    </row>
    <row r="137" spans="1:19" ht="15" customHeight="1" x14ac:dyDescent="0.3">
      <c r="A137" s="30">
        <f>Odds_Input!A137</f>
        <v>129</v>
      </c>
      <c r="B137" s="7" t="str">
        <f>Odds_Input!B137</f>
        <v>WINS</v>
      </c>
      <c r="C137" s="7" t="str">
        <f>Odds_Input!C137</f>
        <v>Oklahoma City Thunder</v>
      </c>
      <c r="D137" s="7" t="str">
        <f>Odds_Input!D137</f>
        <v>UNDER</v>
      </c>
      <c r="E137" s="31">
        <f>Odds_Input!E137</f>
        <v>61.5</v>
      </c>
      <c r="F137" s="32">
        <f>Odds_Input!F137</f>
        <v>105</v>
      </c>
      <c r="G137" s="6" t="str">
        <f t="shared" si="806"/>
        <v>WINS|Oklahoma City Thunder|61.5</v>
      </c>
      <c r="H137" s="14">
        <f t="shared" si="807"/>
        <v>2.0499999999999998</v>
      </c>
      <c r="I137" s="33">
        <f t="shared" si="808"/>
        <v>0.48780487804878053</v>
      </c>
      <c r="J137" s="17">
        <f t="shared" si="809"/>
        <v>1</v>
      </c>
      <c r="K137" s="17">
        <f t="shared" si="810"/>
        <v>2</v>
      </c>
      <c r="L137" s="18">
        <f t="shared" si="811"/>
        <v>1.0433604336043361</v>
      </c>
      <c r="M137" s="34">
        <f t="shared" si="812"/>
        <v>4.3360433604336057E-2</v>
      </c>
      <c r="N137" s="33">
        <f t="shared" si="813"/>
        <v>0.46753246753246758</v>
      </c>
      <c r="O137" s="33">
        <f t="shared" si="814"/>
        <v>0.46541377241837562</v>
      </c>
      <c r="P137" s="33">
        <f t="shared" si="815"/>
        <v>0.46612466122030238</v>
      </c>
      <c r="Q137" s="33">
        <f t="shared" si="816"/>
        <v>0.46612466122030238</v>
      </c>
      <c r="R137" s="35">
        <f t="shared" si="817"/>
        <v>1.0654583978233858</v>
      </c>
      <c r="S137" s="35">
        <f t="shared" si="818"/>
        <v>4.3368743266931839E-2</v>
      </c>
    </row>
    <row r="138" spans="1:19" ht="15" customHeight="1" x14ac:dyDescent="0.3">
      <c r="A138" s="30">
        <f>Odds_Input!A138</f>
        <v>130</v>
      </c>
      <c r="B138" s="7" t="str">
        <f>Odds_Input!B138</f>
        <v>WINS</v>
      </c>
      <c r="C138" s="7" t="str">
        <f>Odds_Input!C138</f>
        <v>San Antonio Spurs</v>
      </c>
      <c r="D138" s="7" t="str">
        <f>Odds_Input!D138</f>
        <v>OVER</v>
      </c>
      <c r="E138" s="31">
        <f>Odds_Input!E138</f>
        <v>59.5</v>
      </c>
      <c r="F138" s="32">
        <f>Odds_Input!F138</f>
        <v>-135</v>
      </c>
      <c r="G138" s="6" t="str">
        <f t="shared" si="806"/>
        <v>WINS|San Antonio Spurs|59.5</v>
      </c>
      <c r="H138" s="14">
        <f t="shared" si="807"/>
        <v>1.7407407407407407</v>
      </c>
      <c r="I138" s="33">
        <f t="shared" si="808"/>
        <v>0.57446808510638303</v>
      </c>
      <c r="J138" s="17">
        <f t="shared" si="809"/>
        <v>1</v>
      </c>
      <c r="K138" s="17">
        <f t="shared" si="810"/>
        <v>2</v>
      </c>
      <c r="L138" s="18">
        <f t="shared" si="811"/>
        <v>1.0395843641761504</v>
      </c>
      <c r="M138" s="34">
        <f t="shared" si="812"/>
        <v>3.9584364176150411E-2</v>
      </c>
      <c r="N138" s="33">
        <f t="shared" si="813"/>
        <v>0.55259400285578297</v>
      </c>
      <c r="O138" s="33">
        <f t="shared" si="814"/>
        <v>0.55571725249991621</v>
      </c>
      <c r="P138" s="33">
        <f t="shared" si="815"/>
        <v>0.55467590301630942</v>
      </c>
      <c r="Q138" s="33">
        <f t="shared" si="816"/>
        <v>0.55467590301630942</v>
      </c>
      <c r="R138" s="35">
        <f t="shared" si="817"/>
        <v>1.0598669931991025</v>
      </c>
      <c r="S138" s="35">
        <f t="shared" si="818"/>
        <v>3.9602605831870696E-2</v>
      </c>
    </row>
    <row r="139" spans="1:19" ht="15" customHeight="1" x14ac:dyDescent="0.3">
      <c r="A139" s="30">
        <f>Odds_Input!A139</f>
        <v>131</v>
      </c>
      <c r="B139" s="7" t="str">
        <f>Odds_Input!B139</f>
        <v>WINS</v>
      </c>
      <c r="C139" s="7" t="str">
        <f>Odds_Input!C139</f>
        <v>San Antonio Spurs</v>
      </c>
      <c r="D139" s="7" t="str">
        <f>Odds_Input!D139</f>
        <v>UNDER</v>
      </c>
      <c r="E139" s="31">
        <f>Odds_Input!E139</f>
        <v>59.5</v>
      </c>
      <c r="F139" s="32">
        <f>Odds_Input!F139</f>
        <v>115</v>
      </c>
      <c r="G139" s="6" t="str">
        <f t="shared" si="806"/>
        <v>WINS|San Antonio Spurs|59.5</v>
      </c>
      <c r="H139" s="14">
        <f t="shared" si="807"/>
        <v>2.15</v>
      </c>
      <c r="I139" s="33">
        <f t="shared" si="808"/>
        <v>0.46511627906976744</v>
      </c>
      <c r="J139" s="17">
        <f t="shared" si="809"/>
        <v>1</v>
      </c>
      <c r="K139" s="17">
        <f t="shared" si="810"/>
        <v>2</v>
      </c>
      <c r="L139" s="18">
        <f t="shared" si="811"/>
        <v>1.0395843641761504</v>
      </c>
      <c r="M139" s="34">
        <f t="shared" si="812"/>
        <v>3.9584364176150411E-2</v>
      </c>
      <c r="N139" s="33">
        <f t="shared" si="813"/>
        <v>0.44740599714421703</v>
      </c>
      <c r="O139" s="33">
        <f t="shared" si="814"/>
        <v>0.44428274763334102</v>
      </c>
      <c r="P139" s="33">
        <f t="shared" si="815"/>
        <v>0.44532409697922487</v>
      </c>
      <c r="Q139" s="33">
        <f t="shared" si="816"/>
        <v>0.44532409697922487</v>
      </c>
      <c r="R139" s="35">
        <f t="shared" si="817"/>
        <v>1.0598669931991025</v>
      </c>
      <c r="S139" s="35">
        <f t="shared" si="818"/>
        <v>3.9602605831870696E-2</v>
      </c>
    </row>
    <row r="140" spans="1:19" ht="15" customHeight="1" x14ac:dyDescent="0.3">
      <c r="A140" s="30">
        <f>Odds_Input!A140</f>
        <v>132</v>
      </c>
      <c r="B140" s="7" t="str">
        <f>Odds_Input!B140</f>
        <v>WINS</v>
      </c>
      <c r="C140" s="7" t="str">
        <f>Odds_Input!C140</f>
        <v>Atlanta Hawks</v>
      </c>
      <c r="D140" s="7" t="str">
        <f>Odds_Input!D140</f>
        <v>OVER</v>
      </c>
      <c r="E140" s="31">
        <f>Odds_Input!E140</f>
        <v>44.5</v>
      </c>
      <c r="F140" s="32">
        <f>Odds_Input!F140</f>
        <v>105</v>
      </c>
      <c r="G140" s="6" t="str">
        <f t="shared" si="806"/>
        <v>WINS|Atlanta Hawks|44.5</v>
      </c>
      <c r="H140" s="14">
        <f t="shared" si="807"/>
        <v>2.0499999999999998</v>
      </c>
      <c r="I140" s="33">
        <f t="shared" si="808"/>
        <v>0.48780487804878053</v>
      </c>
      <c r="J140" s="17">
        <f t="shared" si="809"/>
        <v>1</v>
      </c>
      <c r="K140" s="17">
        <f t="shared" si="810"/>
        <v>2</v>
      </c>
      <c r="L140" s="18">
        <f t="shared" si="811"/>
        <v>1.0433604336043361</v>
      </c>
      <c r="M140" s="34">
        <f t="shared" si="812"/>
        <v>4.3360433604336057E-2</v>
      </c>
      <c r="N140" s="33">
        <f t="shared" si="813"/>
        <v>0.46753246753246758</v>
      </c>
      <c r="O140" s="33">
        <f t="shared" si="814"/>
        <v>0.46541377241837562</v>
      </c>
      <c r="P140" s="33">
        <f t="shared" si="815"/>
        <v>0.46612466122030238</v>
      </c>
      <c r="Q140" s="33">
        <f t="shared" si="816"/>
        <v>0.46612466122030238</v>
      </c>
      <c r="R140" s="35">
        <f t="shared" si="817"/>
        <v>1.0654583978233858</v>
      </c>
      <c r="S140" s="35">
        <f t="shared" si="818"/>
        <v>4.3368743266931839E-2</v>
      </c>
    </row>
    <row r="141" spans="1:19" ht="15" customHeight="1" x14ac:dyDescent="0.3">
      <c r="A141" s="30">
        <f>Odds_Input!A141</f>
        <v>133</v>
      </c>
      <c r="B141" s="7" t="str">
        <f>Odds_Input!B141</f>
        <v>WINS</v>
      </c>
      <c r="C141" s="7" t="str">
        <f>Odds_Input!C141</f>
        <v>Atlanta Hawks</v>
      </c>
      <c r="D141" s="7" t="str">
        <f>Odds_Input!D141</f>
        <v>UNDER</v>
      </c>
      <c r="E141" s="31">
        <f>Odds_Input!E141</f>
        <v>44.5</v>
      </c>
      <c r="F141" s="32">
        <f>Odds_Input!F141</f>
        <v>-125</v>
      </c>
      <c r="G141" s="6" t="str">
        <f t="shared" si="806"/>
        <v>WINS|Atlanta Hawks|44.5</v>
      </c>
      <c r="H141" s="14">
        <f t="shared" si="807"/>
        <v>1.8</v>
      </c>
      <c r="I141" s="33">
        <f t="shared" si="808"/>
        <v>0.55555555555555558</v>
      </c>
      <c r="J141" s="17">
        <f t="shared" si="809"/>
        <v>1</v>
      </c>
      <c r="K141" s="17">
        <f t="shared" si="810"/>
        <v>2</v>
      </c>
      <c r="L141" s="18">
        <f t="shared" si="811"/>
        <v>1.0433604336043361</v>
      </c>
      <c r="M141" s="34">
        <f t="shared" si="812"/>
        <v>4.3360433604336057E-2</v>
      </c>
      <c r="N141" s="33">
        <f t="shared" si="813"/>
        <v>0.53246753246753253</v>
      </c>
      <c r="O141" s="33">
        <f t="shared" si="814"/>
        <v>0.53458622729298633</v>
      </c>
      <c r="P141" s="33">
        <f t="shared" si="815"/>
        <v>0.53387533873028026</v>
      </c>
      <c r="Q141" s="33">
        <f t="shared" si="816"/>
        <v>0.53387533873028026</v>
      </c>
      <c r="R141" s="35">
        <f t="shared" si="817"/>
        <v>1.0654583978233858</v>
      </c>
      <c r="S141" s="35">
        <f t="shared" si="818"/>
        <v>4.3368743266931839E-2</v>
      </c>
    </row>
    <row r="142" spans="1:19" ht="15" customHeight="1" x14ac:dyDescent="0.3">
      <c r="A142" s="30">
        <f>Odds_Input!A142</f>
        <v>134</v>
      </c>
      <c r="B142" s="7" t="str">
        <f>Odds_Input!B142</f>
        <v>WINS</v>
      </c>
      <c r="C142" s="7" t="str">
        <f>Odds_Input!C142</f>
        <v>Milwaukee Bucks</v>
      </c>
      <c r="D142" s="7" t="str">
        <f>Odds_Input!D142</f>
        <v>OVER</v>
      </c>
      <c r="E142" s="31">
        <f>Odds_Input!E142</f>
        <v>25.5</v>
      </c>
      <c r="F142" s="32">
        <f>Odds_Input!F142</f>
        <v>-120</v>
      </c>
      <c r="G142" s="6" t="str">
        <f t="shared" si="806"/>
        <v>WINS|Milwaukee Bucks|25.5</v>
      </c>
      <c r="H142" s="14">
        <f t="shared" si="807"/>
        <v>1.8333333333333335</v>
      </c>
      <c r="I142" s="33">
        <f t="shared" si="808"/>
        <v>0.54545454545454541</v>
      </c>
      <c r="J142" s="17">
        <f t="shared" si="809"/>
        <v>1</v>
      </c>
      <c r="K142" s="17">
        <f t="shared" si="810"/>
        <v>2</v>
      </c>
      <c r="L142" s="18">
        <f t="shared" si="811"/>
        <v>1.0454545454545454</v>
      </c>
      <c r="M142" s="34">
        <f t="shared" si="812"/>
        <v>4.5454545454545414E-2</v>
      </c>
      <c r="N142" s="33">
        <f t="shared" si="813"/>
        <v>0.52173913043478259</v>
      </c>
      <c r="O142" s="33">
        <f t="shared" si="814"/>
        <v>0.52322904631959044</v>
      </c>
      <c r="P142" s="33">
        <f t="shared" si="815"/>
        <v>0.52272727270008856</v>
      </c>
      <c r="Q142" s="33">
        <f t="shared" si="816"/>
        <v>0.52272727270008856</v>
      </c>
      <c r="R142" s="35">
        <f t="shared" si="817"/>
        <v>1.0686317486921326</v>
      </c>
      <c r="S142" s="35">
        <f t="shared" si="818"/>
        <v>4.5458637254745582E-2</v>
      </c>
    </row>
    <row r="143" spans="1:19" ht="15" customHeight="1" x14ac:dyDescent="0.3">
      <c r="A143" s="30">
        <f>Odds_Input!A143</f>
        <v>135</v>
      </c>
      <c r="B143" s="7" t="str">
        <f>Odds_Input!B143</f>
        <v>WINS</v>
      </c>
      <c r="C143" s="7" t="str">
        <f>Odds_Input!C143</f>
        <v>Milwaukee Bucks</v>
      </c>
      <c r="D143" s="7" t="str">
        <f>Odds_Input!D143</f>
        <v>UNDER</v>
      </c>
      <c r="E143" s="31">
        <f>Odds_Input!E143</f>
        <v>25.5</v>
      </c>
      <c r="F143" s="32">
        <f>Odds_Input!F143</f>
        <v>100</v>
      </c>
      <c r="G143" s="6" t="str">
        <f t="shared" si="806"/>
        <v>WINS|Milwaukee Bucks|25.5</v>
      </c>
      <c r="H143" s="14">
        <f t="shared" si="807"/>
        <v>2</v>
      </c>
      <c r="I143" s="33">
        <f t="shared" si="808"/>
        <v>0.5</v>
      </c>
      <c r="J143" s="17">
        <f t="shared" si="809"/>
        <v>1</v>
      </c>
      <c r="K143" s="17">
        <f t="shared" si="810"/>
        <v>2</v>
      </c>
      <c r="L143" s="18">
        <f t="shared" si="811"/>
        <v>1.0454545454545454</v>
      </c>
      <c r="M143" s="34">
        <f t="shared" si="812"/>
        <v>4.5454545454545414E-2</v>
      </c>
      <c r="N143" s="33">
        <f t="shared" si="813"/>
        <v>0.47826086956521741</v>
      </c>
      <c r="O143" s="33">
        <f t="shared" si="814"/>
        <v>0.47677095402287412</v>
      </c>
      <c r="P143" s="33">
        <f t="shared" si="815"/>
        <v>0.4772727272430774</v>
      </c>
      <c r="Q143" s="33">
        <f t="shared" si="816"/>
        <v>0.4772727272430774</v>
      </c>
      <c r="R143" s="35">
        <f t="shared" si="817"/>
        <v>1.0686317486921326</v>
      </c>
      <c r="S143" s="35">
        <f t="shared" si="818"/>
        <v>4.5458637254745582E-2</v>
      </c>
    </row>
    <row r="144" spans="1:19" ht="15" customHeight="1" x14ac:dyDescent="0.3">
      <c r="A144" s="30">
        <f>Odds_Input!A144</f>
        <v>136</v>
      </c>
      <c r="B144" s="7" t="str">
        <f>Odds_Input!B144</f>
        <v>WINS</v>
      </c>
      <c r="C144" s="7" t="str">
        <f>Odds_Input!C144</f>
        <v>Orlando Magic</v>
      </c>
      <c r="D144" s="7" t="str">
        <f>Odds_Input!D144</f>
        <v>OVER</v>
      </c>
      <c r="E144" s="31">
        <f>Odds_Input!E144</f>
        <v>43.5</v>
      </c>
      <c r="F144" s="32">
        <f>Odds_Input!F144</f>
        <v>-130</v>
      </c>
      <c r="G144" s="6" t="str">
        <f t="shared" si="806"/>
        <v>WINS|Orlando Magic|43.5</v>
      </c>
      <c r="H144" s="14">
        <f t="shared" si="807"/>
        <v>1.7692307692307692</v>
      </c>
      <c r="I144" s="33">
        <f t="shared" si="808"/>
        <v>0.56521739130434789</v>
      </c>
      <c r="J144" s="17">
        <f t="shared" si="809"/>
        <v>1</v>
      </c>
      <c r="K144" s="17">
        <f t="shared" si="810"/>
        <v>2</v>
      </c>
      <c r="L144" s="18">
        <f t="shared" si="811"/>
        <v>1.0414078674948239</v>
      </c>
      <c r="M144" s="34">
        <f t="shared" si="812"/>
        <v>4.1407867494823947E-2</v>
      </c>
      <c r="N144" s="33">
        <f t="shared" si="813"/>
        <v>0.54274353876739567</v>
      </c>
      <c r="O144" s="33">
        <f t="shared" si="814"/>
        <v>0.5454027356369866</v>
      </c>
      <c r="P144" s="33">
        <f t="shared" si="815"/>
        <v>0.54451345754701419</v>
      </c>
      <c r="Q144" s="33">
        <f t="shared" si="816"/>
        <v>0.54451345754701419</v>
      </c>
      <c r="R144" s="35">
        <f t="shared" si="817"/>
        <v>1.0625471139559521</v>
      </c>
      <c r="S144" s="35">
        <f t="shared" si="818"/>
        <v>4.1421021099933536E-2</v>
      </c>
    </row>
    <row r="145" spans="1:19" ht="15" customHeight="1" x14ac:dyDescent="0.3">
      <c r="A145" s="30">
        <f>Odds_Input!A145</f>
        <v>137</v>
      </c>
      <c r="B145" s="7" t="str">
        <f>Odds_Input!B145</f>
        <v>WINS</v>
      </c>
      <c r="C145" s="7" t="str">
        <f>Odds_Input!C145</f>
        <v>Orlando Magic</v>
      </c>
      <c r="D145" s="7" t="str">
        <f>Odds_Input!D145</f>
        <v>UNDER</v>
      </c>
      <c r="E145" s="31">
        <f>Odds_Input!E145</f>
        <v>43.5</v>
      </c>
      <c r="F145" s="32">
        <f>Odds_Input!F145</f>
        <v>110</v>
      </c>
      <c r="G145" s="6" t="str">
        <f t="shared" si="806"/>
        <v>WINS|Orlando Magic|43.5</v>
      </c>
      <c r="H145" s="14">
        <f t="shared" si="807"/>
        <v>2.1</v>
      </c>
      <c r="I145" s="33">
        <f t="shared" si="808"/>
        <v>0.47619047619047616</v>
      </c>
      <c r="J145" s="17">
        <f t="shared" si="809"/>
        <v>1</v>
      </c>
      <c r="K145" s="17">
        <f t="shared" si="810"/>
        <v>2</v>
      </c>
      <c r="L145" s="18">
        <f t="shared" si="811"/>
        <v>1.0414078674948239</v>
      </c>
      <c r="M145" s="34">
        <f t="shared" si="812"/>
        <v>4.1407867494823947E-2</v>
      </c>
      <c r="N145" s="33">
        <f t="shared" si="813"/>
        <v>0.45725646123260438</v>
      </c>
      <c r="O145" s="33">
        <f t="shared" si="814"/>
        <v>0.45459726476428969</v>
      </c>
      <c r="P145" s="33">
        <f t="shared" si="815"/>
        <v>0.45548654243129111</v>
      </c>
      <c r="Q145" s="33">
        <f t="shared" si="816"/>
        <v>0.45548654243129111</v>
      </c>
      <c r="R145" s="35">
        <f t="shared" si="817"/>
        <v>1.0625471139559521</v>
      </c>
      <c r="S145" s="35">
        <f t="shared" si="818"/>
        <v>4.1421021099933536E-2</v>
      </c>
    </row>
    <row r="146" spans="1:19" ht="15" customHeight="1" x14ac:dyDescent="0.3">
      <c r="A146" s="30">
        <f>Odds_Input!A146</f>
        <v>138</v>
      </c>
      <c r="B146" s="7" t="str">
        <f>Odds_Input!B146</f>
        <v>WINS</v>
      </c>
      <c r="C146" s="7" t="str">
        <f>Odds_Input!C146</f>
        <v>Washington Wizards</v>
      </c>
      <c r="D146" s="7" t="str">
        <f>Odds_Input!D146</f>
        <v>OVER</v>
      </c>
      <c r="E146" s="31">
        <f>Odds_Input!E146</f>
        <v>35.5</v>
      </c>
      <c r="F146" s="32">
        <f>Odds_Input!F146</f>
        <v>120</v>
      </c>
      <c r="G146" s="6" t="str">
        <f t="shared" si="806"/>
        <v>WINS|Washington Wizards|35.5</v>
      </c>
      <c r="H146" s="14">
        <f t="shared" si="807"/>
        <v>2.2000000000000002</v>
      </c>
      <c r="I146" s="33">
        <f t="shared" si="808"/>
        <v>0.45454545454545453</v>
      </c>
      <c r="J146" s="17">
        <f t="shared" si="809"/>
        <v>1</v>
      </c>
      <c r="K146" s="17">
        <f t="shared" si="810"/>
        <v>2</v>
      </c>
      <c r="L146" s="18">
        <f t="shared" si="811"/>
        <v>1.0378787878787878</v>
      </c>
      <c r="M146" s="34">
        <f t="shared" si="812"/>
        <v>3.7878787878787845E-2</v>
      </c>
      <c r="N146" s="33">
        <f t="shared" si="813"/>
        <v>0.43795620437956206</v>
      </c>
      <c r="O146" s="33">
        <f t="shared" si="814"/>
        <v>0.43443525150940587</v>
      </c>
      <c r="P146" s="33">
        <f t="shared" si="815"/>
        <v>0.4356060606181606</v>
      </c>
      <c r="Q146" s="33">
        <f t="shared" si="816"/>
        <v>0.4356060606181606</v>
      </c>
      <c r="R146" s="35">
        <f t="shared" si="817"/>
        <v>1.0573918206384398</v>
      </c>
      <c r="S146" s="35">
        <f t="shared" si="818"/>
        <v>3.7902104114717922E-2</v>
      </c>
    </row>
    <row r="147" spans="1:19" ht="15" customHeight="1" x14ac:dyDescent="0.3">
      <c r="A147" s="30">
        <f>Odds_Input!A147</f>
        <v>139</v>
      </c>
      <c r="B147" s="7" t="str">
        <f>Odds_Input!B147</f>
        <v>WINS</v>
      </c>
      <c r="C147" s="7" t="str">
        <f>Odds_Input!C147</f>
        <v>Washington Wizards</v>
      </c>
      <c r="D147" s="7" t="str">
        <f>Odds_Input!D147</f>
        <v>UNDER</v>
      </c>
      <c r="E147" s="31">
        <f>Odds_Input!E147</f>
        <v>35.5</v>
      </c>
      <c r="F147" s="32">
        <f>Odds_Input!F147</f>
        <v>-140</v>
      </c>
      <c r="G147" s="6" t="str">
        <f t="shared" si="806"/>
        <v>WINS|Washington Wizards|35.5</v>
      </c>
      <c r="H147" s="14">
        <f t="shared" si="807"/>
        <v>1.7142857142857144</v>
      </c>
      <c r="I147" s="33">
        <f t="shared" si="808"/>
        <v>0.58333333333333326</v>
      </c>
      <c r="J147" s="17">
        <f t="shared" si="809"/>
        <v>1</v>
      </c>
      <c r="K147" s="17">
        <f t="shared" si="810"/>
        <v>2</v>
      </c>
      <c r="L147" s="18">
        <f t="shared" si="811"/>
        <v>1.0378787878787878</v>
      </c>
      <c r="M147" s="34">
        <f t="shared" si="812"/>
        <v>3.7878787878787845E-2</v>
      </c>
      <c r="N147" s="33">
        <f t="shared" si="813"/>
        <v>0.56204379562043794</v>
      </c>
      <c r="O147" s="33">
        <f t="shared" si="814"/>
        <v>0.5655647490447987</v>
      </c>
      <c r="P147" s="33">
        <f t="shared" si="815"/>
        <v>0.56439393940337157</v>
      </c>
      <c r="Q147" s="33">
        <f t="shared" si="816"/>
        <v>0.56439393940337157</v>
      </c>
      <c r="R147" s="35">
        <f t="shared" si="817"/>
        <v>1.0573918206384398</v>
      </c>
      <c r="S147" s="35">
        <f t="shared" si="818"/>
        <v>3.7902104114717922E-2</v>
      </c>
    </row>
    <row r="148" spans="1:19" ht="15" customHeight="1" x14ac:dyDescent="0.3">
      <c r="A148" s="30">
        <f>Odds_Input!A148</f>
        <v>140</v>
      </c>
      <c r="B148" s="7" t="str">
        <f>Odds_Input!B148</f>
        <v>WINS</v>
      </c>
      <c r="C148" s="7" t="str">
        <f>Odds_Input!C148</f>
        <v>Brooklyn Nets</v>
      </c>
      <c r="D148" s="7" t="str">
        <f>Odds_Input!D148</f>
        <v>OVER</v>
      </c>
      <c r="E148" s="31">
        <f>Odds_Input!E148</f>
        <v>24.5</v>
      </c>
      <c r="F148" s="32">
        <f>Odds_Input!F148</f>
        <v>110</v>
      </c>
      <c r="G148" s="6" t="str">
        <f t="shared" si="806"/>
        <v>WINS|Brooklyn Nets|24.5</v>
      </c>
      <c r="H148" s="14">
        <f t="shared" si="807"/>
        <v>2.1</v>
      </c>
      <c r="I148" s="33">
        <f t="shared" si="808"/>
        <v>0.47619047619047616</v>
      </c>
      <c r="J148" s="17">
        <f t="shared" si="809"/>
        <v>1</v>
      </c>
      <c r="K148" s="17">
        <f t="shared" si="810"/>
        <v>2</v>
      </c>
      <c r="L148" s="18">
        <f t="shared" si="811"/>
        <v>1.0414078674948239</v>
      </c>
      <c r="M148" s="34">
        <f t="shared" si="812"/>
        <v>4.1407867494823947E-2</v>
      </c>
      <c r="N148" s="33">
        <f t="shared" si="813"/>
        <v>0.45725646123260438</v>
      </c>
      <c r="O148" s="33">
        <f t="shared" si="814"/>
        <v>0.45459726476428969</v>
      </c>
      <c r="P148" s="33">
        <f t="shared" si="815"/>
        <v>0.45548654243129111</v>
      </c>
      <c r="Q148" s="33">
        <f t="shared" si="816"/>
        <v>0.45548654243129111</v>
      </c>
      <c r="R148" s="35">
        <f t="shared" si="817"/>
        <v>1.0625471139559521</v>
      </c>
      <c r="S148" s="35">
        <f t="shared" si="818"/>
        <v>4.1421021099933536E-2</v>
      </c>
    </row>
    <row r="149" spans="1:19" ht="15" customHeight="1" x14ac:dyDescent="0.3">
      <c r="A149" s="30">
        <f>Odds_Input!A149</f>
        <v>141</v>
      </c>
      <c r="B149" s="7" t="str">
        <f>Odds_Input!B149</f>
        <v>WINS</v>
      </c>
      <c r="C149" s="7" t="str">
        <f>Odds_Input!C149</f>
        <v>Brooklyn Nets</v>
      </c>
      <c r="D149" s="7" t="str">
        <f>Odds_Input!D149</f>
        <v>UNDER</v>
      </c>
      <c r="E149" s="31">
        <f>Odds_Input!E149</f>
        <v>24.5</v>
      </c>
      <c r="F149" s="32">
        <f>Odds_Input!F149</f>
        <v>-130</v>
      </c>
      <c r="G149" s="6" t="str">
        <f t="shared" si="806"/>
        <v>WINS|Brooklyn Nets|24.5</v>
      </c>
      <c r="H149" s="14">
        <f t="shared" si="807"/>
        <v>1.7692307692307692</v>
      </c>
      <c r="I149" s="33">
        <f t="shared" si="808"/>
        <v>0.56521739130434789</v>
      </c>
      <c r="J149" s="17">
        <f t="shared" si="809"/>
        <v>1</v>
      </c>
      <c r="K149" s="17">
        <f t="shared" si="810"/>
        <v>2</v>
      </c>
      <c r="L149" s="18">
        <f t="shared" si="811"/>
        <v>1.0414078674948239</v>
      </c>
      <c r="M149" s="34">
        <f t="shared" si="812"/>
        <v>4.1407867494823947E-2</v>
      </c>
      <c r="N149" s="33">
        <f t="shared" si="813"/>
        <v>0.54274353876739567</v>
      </c>
      <c r="O149" s="33">
        <f t="shared" si="814"/>
        <v>0.5454027356369866</v>
      </c>
      <c r="P149" s="33">
        <f t="shared" si="815"/>
        <v>0.54451345754701419</v>
      </c>
      <c r="Q149" s="33">
        <f t="shared" si="816"/>
        <v>0.54451345754701419</v>
      </c>
      <c r="R149" s="35">
        <f t="shared" si="817"/>
        <v>1.0625471139559521</v>
      </c>
      <c r="S149" s="35">
        <f t="shared" si="818"/>
        <v>4.1421021099933536E-2</v>
      </c>
    </row>
    <row r="150" spans="1:19" ht="15" customHeight="1" x14ac:dyDescent="0.3">
      <c r="A150" s="30">
        <f>Odds_Input!A150</f>
        <v>142</v>
      </c>
      <c r="B150" s="7" t="str">
        <f>Odds_Input!B150</f>
        <v>WINS</v>
      </c>
      <c r="C150" s="7" t="str">
        <f>Odds_Input!C150</f>
        <v>Charlotte Hornets</v>
      </c>
      <c r="D150" s="7" t="str">
        <f>Odds_Input!D150</f>
        <v>OVER</v>
      </c>
      <c r="E150" s="31">
        <f>Odds_Input!E150</f>
        <v>39.5</v>
      </c>
      <c r="F150" s="32">
        <f>Odds_Input!F150</f>
        <v>150</v>
      </c>
      <c r="G150" s="6" t="str">
        <f t="shared" si="806"/>
        <v>WINS|Charlotte Hornets|39.5</v>
      </c>
      <c r="H150" s="14">
        <f t="shared" si="807"/>
        <v>2.5</v>
      </c>
      <c r="I150" s="33">
        <f t="shared" si="808"/>
        <v>0.4</v>
      </c>
      <c r="J150" s="17">
        <f t="shared" si="809"/>
        <v>1</v>
      </c>
      <c r="K150" s="17">
        <f t="shared" si="810"/>
        <v>2</v>
      </c>
      <c r="L150" s="18">
        <f t="shared" si="811"/>
        <v>1.0296296296296297</v>
      </c>
      <c r="M150" s="34">
        <f t="shared" si="812"/>
        <v>2.9629629629629672E-2</v>
      </c>
      <c r="N150" s="33">
        <f t="shared" si="813"/>
        <v>0.38848920863309355</v>
      </c>
      <c r="O150" s="33">
        <f t="shared" si="814"/>
        <v>0.38356632650563277</v>
      </c>
      <c r="P150" s="33">
        <f t="shared" si="815"/>
        <v>0.38518518515043076</v>
      </c>
      <c r="Q150" s="33">
        <f t="shared" si="816"/>
        <v>0.38518518515043076</v>
      </c>
      <c r="R150" s="35">
        <f t="shared" si="817"/>
        <v>1.0457845848752187</v>
      </c>
      <c r="S150" s="35">
        <f t="shared" si="818"/>
        <v>2.967709254576464E-2</v>
      </c>
    </row>
    <row r="151" spans="1:19" ht="15" customHeight="1" x14ac:dyDescent="0.3">
      <c r="A151" s="30">
        <f>Odds_Input!A151</f>
        <v>143</v>
      </c>
      <c r="B151" s="7" t="str">
        <f>Odds_Input!B151</f>
        <v>WINS</v>
      </c>
      <c r="C151" s="7" t="str">
        <f>Odds_Input!C151</f>
        <v>Charlotte Hornets</v>
      </c>
      <c r="D151" s="7" t="str">
        <f>Odds_Input!D151</f>
        <v>UNDER</v>
      </c>
      <c r="E151" s="31">
        <f>Odds_Input!E151</f>
        <v>39.5</v>
      </c>
      <c r="F151" s="32">
        <f>Odds_Input!F151</f>
        <v>-170</v>
      </c>
      <c r="G151" s="6" t="str">
        <f t="shared" si="806"/>
        <v>WINS|Charlotte Hornets|39.5</v>
      </c>
      <c r="H151" s="14">
        <f t="shared" si="807"/>
        <v>1.5882352941176472</v>
      </c>
      <c r="I151" s="33">
        <f t="shared" si="808"/>
        <v>0.62962962962962954</v>
      </c>
      <c r="J151" s="17">
        <f t="shared" si="809"/>
        <v>1</v>
      </c>
      <c r="K151" s="17">
        <f t="shared" si="810"/>
        <v>2</v>
      </c>
      <c r="L151" s="18">
        <f t="shared" si="811"/>
        <v>1.0296296296296297</v>
      </c>
      <c r="M151" s="34">
        <f t="shared" si="812"/>
        <v>2.9629629629629672E-2</v>
      </c>
      <c r="N151" s="33">
        <f t="shared" si="813"/>
        <v>0.61151079136690634</v>
      </c>
      <c r="O151" s="33">
        <f t="shared" si="814"/>
        <v>0.61643367342302391</v>
      </c>
      <c r="P151" s="33">
        <f t="shared" si="815"/>
        <v>0.61481481479272593</v>
      </c>
      <c r="Q151" s="33">
        <f t="shared" si="816"/>
        <v>0.61481481479272593</v>
      </c>
      <c r="R151" s="35">
        <f t="shared" si="817"/>
        <v>1.0457845848752187</v>
      </c>
      <c r="S151" s="35">
        <f t="shared" si="818"/>
        <v>2.967709254576464E-2</v>
      </c>
    </row>
    <row r="152" spans="1:19" ht="15" customHeight="1" x14ac:dyDescent="0.3">
      <c r="A152" s="30">
        <f>Odds_Input!A152</f>
        <v>144</v>
      </c>
      <c r="B152" s="7" t="str">
        <f>Odds_Input!B152</f>
        <v>WINS</v>
      </c>
      <c r="C152" s="7" t="str">
        <f>Odds_Input!C152</f>
        <v>Chicago Bulls</v>
      </c>
      <c r="D152" s="7" t="str">
        <f>Odds_Input!D152</f>
        <v>OVER</v>
      </c>
      <c r="E152" s="31">
        <f>Odds_Input!E152</f>
        <v>28.5</v>
      </c>
      <c r="F152" s="32">
        <f>Odds_Input!F152</f>
        <v>-150</v>
      </c>
      <c r="G152" s="6" t="str">
        <f t="shared" si="806"/>
        <v>WINS|Chicago Bulls|28.5</v>
      </c>
      <c r="H152" s="14">
        <f t="shared" si="807"/>
        <v>1.6666666666666665</v>
      </c>
      <c r="I152" s="33">
        <f t="shared" si="808"/>
        <v>0.60000000000000009</v>
      </c>
      <c r="J152" s="17">
        <f t="shared" si="809"/>
        <v>1</v>
      </c>
      <c r="K152" s="17">
        <f t="shared" si="810"/>
        <v>2</v>
      </c>
      <c r="L152" s="18">
        <f t="shared" si="811"/>
        <v>1.0347826086956524</v>
      </c>
      <c r="M152" s="34">
        <f t="shared" si="812"/>
        <v>3.4782608695652417E-2</v>
      </c>
      <c r="N152" s="33">
        <f t="shared" si="813"/>
        <v>0.57983193277310918</v>
      </c>
      <c r="O152" s="33">
        <f t="shared" si="814"/>
        <v>0.58398263498898639</v>
      </c>
      <c r="P152" s="33">
        <f t="shared" si="815"/>
        <v>0.58260869565205631</v>
      </c>
      <c r="Q152" s="33">
        <f t="shared" si="816"/>
        <v>0.58260869565205631</v>
      </c>
      <c r="R152" s="35">
        <f t="shared" si="817"/>
        <v>1.0529699493898081</v>
      </c>
      <c r="S152" s="35">
        <f t="shared" si="818"/>
        <v>3.4815418705356413E-2</v>
      </c>
    </row>
    <row r="153" spans="1:19" ht="15" customHeight="1" x14ac:dyDescent="0.3">
      <c r="A153" s="30">
        <f>Odds_Input!A153</f>
        <v>145</v>
      </c>
      <c r="B153" s="7" t="str">
        <f>Odds_Input!B153</f>
        <v>WINS</v>
      </c>
      <c r="C153" s="7" t="str">
        <f>Odds_Input!C153</f>
        <v>Chicago Bulls</v>
      </c>
      <c r="D153" s="7" t="str">
        <f>Odds_Input!D153</f>
        <v>UNDER</v>
      </c>
      <c r="E153" s="31">
        <f>Odds_Input!E153</f>
        <v>28.5</v>
      </c>
      <c r="F153" s="32">
        <f>Odds_Input!F153</f>
        <v>130</v>
      </c>
      <c r="G153" s="6" t="str">
        <f t="shared" si="806"/>
        <v>WINS|Chicago Bulls|28.5</v>
      </c>
      <c r="H153" s="14">
        <f t="shared" si="807"/>
        <v>2.2999999999999998</v>
      </c>
      <c r="I153" s="33">
        <f t="shared" si="808"/>
        <v>0.43478260869565222</v>
      </c>
      <c r="J153" s="17">
        <f t="shared" si="809"/>
        <v>1</v>
      </c>
      <c r="K153" s="17">
        <f t="shared" si="810"/>
        <v>2</v>
      </c>
      <c r="L153" s="18">
        <f t="shared" si="811"/>
        <v>1.0347826086956524</v>
      </c>
      <c r="M153" s="34">
        <f t="shared" si="812"/>
        <v>3.4782608695652417E-2</v>
      </c>
      <c r="N153" s="33">
        <f t="shared" si="813"/>
        <v>0.42016806722689071</v>
      </c>
      <c r="O153" s="33">
        <f t="shared" si="814"/>
        <v>0.41601736490861446</v>
      </c>
      <c r="P153" s="33">
        <f t="shared" si="815"/>
        <v>0.41739130434766375</v>
      </c>
      <c r="Q153" s="33">
        <f t="shared" si="816"/>
        <v>0.41739130434766375</v>
      </c>
      <c r="R153" s="35">
        <f t="shared" si="817"/>
        <v>1.0529699493898081</v>
      </c>
      <c r="S153" s="35">
        <f t="shared" si="818"/>
        <v>3.4815418705356413E-2</v>
      </c>
    </row>
    <row r="154" spans="1:19" ht="15" customHeight="1" x14ac:dyDescent="0.3">
      <c r="A154" s="30">
        <f>Odds_Input!A154</f>
        <v>146</v>
      </c>
      <c r="B154" s="7" t="str">
        <f>Odds_Input!B154</f>
        <v>WINS</v>
      </c>
      <c r="C154" s="7" t="str">
        <f>Odds_Input!C154</f>
        <v>Miami Heat</v>
      </c>
      <c r="D154" s="7" t="str">
        <f>Odds_Input!D154</f>
        <v>OVER</v>
      </c>
      <c r="E154" s="31">
        <f>Odds_Input!E154</f>
        <v>46.5</v>
      </c>
      <c r="F154" s="32">
        <f>Odds_Input!F154</f>
        <v>100</v>
      </c>
      <c r="G154" s="6" t="str">
        <f t="shared" si="806"/>
        <v>WINS|Miami Heat|46.5</v>
      </c>
      <c r="H154" s="14">
        <f t="shared" si="807"/>
        <v>2</v>
      </c>
      <c r="I154" s="33">
        <f t="shared" si="808"/>
        <v>0.5</v>
      </c>
      <c r="J154" s="17">
        <f t="shared" si="809"/>
        <v>1</v>
      </c>
      <c r="K154" s="17">
        <f t="shared" si="810"/>
        <v>2</v>
      </c>
      <c r="L154" s="18">
        <f t="shared" si="811"/>
        <v>1.0454545454545454</v>
      </c>
      <c r="M154" s="34">
        <f t="shared" si="812"/>
        <v>4.5454545454545414E-2</v>
      </c>
      <c r="N154" s="33">
        <f t="shared" si="813"/>
        <v>0.47826086956521741</v>
      </c>
      <c r="O154" s="33">
        <f t="shared" si="814"/>
        <v>0.47677095402287412</v>
      </c>
      <c r="P154" s="33">
        <f t="shared" si="815"/>
        <v>0.4772727272430774</v>
      </c>
      <c r="Q154" s="33">
        <f t="shared" si="816"/>
        <v>0.4772727272430774</v>
      </c>
      <c r="R154" s="35">
        <f t="shared" si="817"/>
        <v>1.0686317486921326</v>
      </c>
      <c r="S154" s="35">
        <f t="shared" si="818"/>
        <v>4.5458637254745582E-2</v>
      </c>
    </row>
    <row r="155" spans="1:19" ht="15" customHeight="1" x14ac:dyDescent="0.3">
      <c r="A155" s="30">
        <f>Odds_Input!A155</f>
        <v>147</v>
      </c>
      <c r="B155" s="7" t="str">
        <f>Odds_Input!B155</f>
        <v>WINS</v>
      </c>
      <c r="C155" s="7" t="str">
        <f>Odds_Input!C155</f>
        <v>Miami Heat</v>
      </c>
      <c r="D155" s="7" t="str">
        <f>Odds_Input!D155</f>
        <v>UNDER</v>
      </c>
      <c r="E155" s="31">
        <f>Odds_Input!E155</f>
        <v>46.5</v>
      </c>
      <c r="F155" s="32">
        <f>Odds_Input!F155</f>
        <v>-120</v>
      </c>
      <c r="G155" s="6" t="str">
        <f t="shared" si="806"/>
        <v>WINS|Miami Heat|46.5</v>
      </c>
      <c r="H155" s="14">
        <f t="shared" si="807"/>
        <v>1.8333333333333335</v>
      </c>
      <c r="I155" s="33">
        <f t="shared" si="808"/>
        <v>0.54545454545454541</v>
      </c>
      <c r="J155" s="17">
        <f t="shared" si="809"/>
        <v>1</v>
      </c>
      <c r="K155" s="17">
        <f t="shared" si="810"/>
        <v>2</v>
      </c>
      <c r="L155" s="18">
        <f t="shared" si="811"/>
        <v>1.0454545454545454</v>
      </c>
      <c r="M155" s="34">
        <f t="shared" si="812"/>
        <v>4.5454545454545414E-2</v>
      </c>
      <c r="N155" s="33">
        <f t="shared" si="813"/>
        <v>0.52173913043478259</v>
      </c>
      <c r="O155" s="33">
        <f t="shared" si="814"/>
        <v>0.52322904631959044</v>
      </c>
      <c r="P155" s="33">
        <f t="shared" si="815"/>
        <v>0.52272727270008856</v>
      </c>
      <c r="Q155" s="33">
        <f t="shared" si="816"/>
        <v>0.52272727270008856</v>
      </c>
      <c r="R155" s="35">
        <f t="shared" si="817"/>
        <v>1.0686317486921326</v>
      </c>
      <c r="S155" s="35">
        <f t="shared" si="818"/>
        <v>4.5458637254745582E-2</v>
      </c>
    </row>
    <row r="156" spans="1:19" ht="15" customHeight="1" x14ac:dyDescent="0.3">
      <c r="A156" s="30">
        <f>Odds_Input!A156</f>
        <v>148</v>
      </c>
      <c r="B156" s="7" t="str">
        <f>Odds_Input!B156</f>
        <v>WINS</v>
      </c>
      <c r="C156" s="7" t="str">
        <f>Odds_Input!C156</f>
        <v>Minnesota Timberwolves</v>
      </c>
      <c r="D156" s="7" t="str">
        <f>Odds_Input!D156</f>
        <v>OVER</v>
      </c>
      <c r="E156" s="31">
        <f>Odds_Input!E156</f>
        <v>47.5</v>
      </c>
      <c r="F156" s="32">
        <f>Odds_Input!F156</f>
        <v>-120</v>
      </c>
      <c r="G156" s="6" t="str">
        <f t="shared" si="806"/>
        <v>WINS|Minnesota Timberwolves|47.5</v>
      </c>
      <c r="H156" s="14">
        <f t="shared" si="807"/>
        <v>1.8333333333333335</v>
      </c>
      <c r="I156" s="33">
        <f t="shared" si="808"/>
        <v>0.54545454545454541</v>
      </c>
      <c r="J156" s="17">
        <f t="shared" si="809"/>
        <v>1</v>
      </c>
      <c r="K156" s="17">
        <f t="shared" si="810"/>
        <v>2</v>
      </c>
      <c r="L156" s="18">
        <f t="shared" si="811"/>
        <v>1.0454545454545454</v>
      </c>
      <c r="M156" s="34">
        <f t="shared" si="812"/>
        <v>4.5454545454545414E-2</v>
      </c>
      <c r="N156" s="33">
        <f t="shared" si="813"/>
        <v>0.52173913043478259</v>
      </c>
      <c r="O156" s="33">
        <f t="shared" si="814"/>
        <v>0.52322904631959044</v>
      </c>
      <c r="P156" s="33">
        <f t="shared" si="815"/>
        <v>0.52272727270008856</v>
      </c>
      <c r="Q156" s="33">
        <f t="shared" si="816"/>
        <v>0.52272727270008856</v>
      </c>
      <c r="R156" s="35">
        <f t="shared" si="817"/>
        <v>1.0686317486921326</v>
      </c>
      <c r="S156" s="35">
        <f t="shared" si="818"/>
        <v>4.5458637254745582E-2</v>
      </c>
    </row>
    <row r="157" spans="1:19" ht="15" customHeight="1" x14ac:dyDescent="0.3">
      <c r="A157" s="30">
        <f>Odds_Input!A157</f>
        <v>149</v>
      </c>
      <c r="B157" s="7" t="str">
        <f>Odds_Input!B157</f>
        <v>WINS</v>
      </c>
      <c r="C157" s="7" t="str">
        <f>Odds_Input!C157</f>
        <v>Minnesota Timberwolves</v>
      </c>
      <c r="D157" s="7" t="str">
        <f>Odds_Input!D157</f>
        <v>UNDER</v>
      </c>
      <c r="E157" s="31">
        <f>Odds_Input!E157</f>
        <v>47.5</v>
      </c>
      <c r="F157" s="32">
        <f>Odds_Input!F157</f>
        <v>100</v>
      </c>
      <c r="G157" s="6" t="str">
        <f t="shared" si="806"/>
        <v>WINS|Minnesota Timberwolves|47.5</v>
      </c>
      <c r="H157" s="14">
        <f t="shared" si="807"/>
        <v>2</v>
      </c>
      <c r="I157" s="33">
        <f t="shared" si="808"/>
        <v>0.5</v>
      </c>
      <c r="J157" s="17">
        <f t="shared" si="809"/>
        <v>1</v>
      </c>
      <c r="K157" s="17">
        <f t="shared" si="810"/>
        <v>2</v>
      </c>
      <c r="L157" s="18">
        <f t="shared" si="811"/>
        <v>1.0454545454545454</v>
      </c>
      <c r="M157" s="34">
        <f t="shared" si="812"/>
        <v>4.5454545454545414E-2</v>
      </c>
      <c r="N157" s="33">
        <f t="shared" si="813"/>
        <v>0.47826086956521741</v>
      </c>
      <c r="O157" s="33">
        <f t="shared" si="814"/>
        <v>0.47677095402287412</v>
      </c>
      <c r="P157" s="33">
        <f t="shared" si="815"/>
        <v>0.4772727272430774</v>
      </c>
      <c r="Q157" s="33">
        <f t="shared" si="816"/>
        <v>0.4772727272430774</v>
      </c>
      <c r="R157" s="35">
        <f t="shared" si="817"/>
        <v>1.0686317486921326</v>
      </c>
      <c r="S157" s="35">
        <f t="shared" si="818"/>
        <v>4.5458637254745582E-2</v>
      </c>
    </row>
    <row r="158" spans="1:19" ht="15" customHeight="1" x14ac:dyDescent="0.3">
      <c r="A158" s="30">
        <f>Odds_Input!A158</f>
        <v>150</v>
      </c>
      <c r="B158" s="7" t="str">
        <f>Odds_Input!B158</f>
        <v>WINS</v>
      </c>
      <c r="C158" s="7" t="str">
        <f>Odds_Input!C158</f>
        <v>Toronto Raptors</v>
      </c>
      <c r="D158" s="7" t="str">
        <f>Odds_Input!D158</f>
        <v>OVER</v>
      </c>
      <c r="E158" s="31">
        <f>Odds_Input!E158</f>
        <v>45.5</v>
      </c>
      <c r="F158" s="32">
        <f>Odds_Input!F158</f>
        <v>-145</v>
      </c>
      <c r="G158" s="6" t="str">
        <f t="shared" si="806"/>
        <v>WINS|Toronto Raptors|45.5</v>
      </c>
      <c r="H158" s="14">
        <f t="shared" si="807"/>
        <v>1.6896551724137931</v>
      </c>
      <c r="I158" s="33">
        <f t="shared" si="808"/>
        <v>0.59183673469387754</v>
      </c>
      <c r="J158" s="17">
        <f t="shared" si="809"/>
        <v>1</v>
      </c>
      <c r="K158" s="17">
        <f t="shared" si="810"/>
        <v>2</v>
      </c>
      <c r="L158" s="18">
        <f t="shared" si="811"/>
        <v>1.036281179138322</v>
      </c>
      <c r="M158" s="34">
        <f t="shared" si="812"/>
        <v>3.6281179138321962E-2</v>
      </c>
      <c r="N158" s="33">
        <f t="shared" si="813"/>
        <v>0.57111597374179435</v>
      </c>
      <c r="O158" s="33">
        <f t="shared" si="814"/>
        <v>0.5749769329507961</v>
      </c>
      <c r="P158" s="33">
        <f t="shared" si="815"/>
        <v>0.57369614512677158</v>
      </c>
      <c r="Q158" s="33">
        <f t="shared" si="816"/>
        <v>0.57369614512677158</v>
      </c>
      <c r="R158" s="35">
        <f t="shared" si="817"/>
        <v>1.0550992169650266</v>
      </c>
      <c r="S158" s="35">
        <f t="shared" si="818"/>
        <v>3.6309387208767807E-2</v>
      </c>
    </row>
    <row r="159" spans="1:19" ht="15" customHeight="1" x14ac:dyDescent="0.3">
      <c r="A159" s="30">
        <f>Odds_Input!A159</f>
        <v>151</v>
      </c>
      <c r="B159" s="7" t="str">
        <f>Odds_Input!B159</f>
        <v>WINS</v>
      </c>
      <c r="C159" s="7" t="str">
        <f>Odds_Input!C159</f>
        <v>Toronto Raptors</v>
      </c>
      <c r="D159" s="7" t="str">
        <f>Odds_Input!D159</f>
        <v>UNDER</v>
      </c>
      <c r="E159" s="31">
        <f>Odds_Input!E159</f>
        <v>45.5</v>
      </c>
      <c r="F159" s="32">
        <f>Odds_Input!F159</f>
        <v>125</v>
      </c>
      <c r="G159" s="6" t="str">
        <f t="shared" si="806"/>
        <v>WINS|Toronto Raptors|45.5</v>
      </c>
      <c r="H159" s="14">
        <f t="shared" si="807"/>
        <v>2.25</v>
      </c>
      <c r="I159" s="33">
        <f t="shared" si="808"/>
        <v>0.44444444444444442</v>
      </c>
      <c r="J159" s="17">
        <f t="shared" si="809"/>
        <v>1</v>
      </c>
      <c r="K159" s="17">
        <f t="shared" si="810"/>
        <v>2</v>
      </c>
      <c r="L159" s="18">
        <f t="shared" si="811"/>
        <v>1.036281179138322</v>
      </c>
      <c r="M159" s="34">
        <f t="shared" si="812"/>
        <v>3.6281179138321962E-2</v>
      </c>
      <c r="N159" s="33">
        <f t="shared" si="813"/>
        <v>0.42888402625820565</v>
      </c>
      <c r="O159" s="33">
        <f t="shared" si="814"/>
        <v>0.42502306703966525</v>
      </c>
      <c r="P159" s="33">
        <f t="shared" si="815"/>
        <v>0.42630385487801892</v>
      </c>
      <c r="Q159" s="33">
        <f t="shared" si="816"/>
        <v>0.42630385487801892</v>
      </c>
      <c r="R159" s="35">
        <f t="shared" si="817"/>
        <v>1.0550992169650266</v>
      </c>
      <c r="S159" s="35">
        <f t="shared" si="818"/>
        <v>3.6309387208767807E-2</v>
      </c>
    </row>
    <row r="160" spans="1:19" ht="15" customHeight="1" x14ac:dyDescent="0.3">
      <c r="A160" s="30">
        <f>Odds_Input!A160</f>
        <v>152</v>
      </c>
      <c r="B160" s="7" t="str">
        <f>Odds_Input!B160</f>
        <v>WINS</v>
      </c>
      <c r="C160" s="7" t="str">
        <f>Odds_Input!C160</f>
        <v>Indiana Pacers</v>
      </c>
      <c r="D160" s="7" t="str">
        <f>Odds_Input!D160</f>
        <v>OVER</v>
      </c>
      <c r="E160" s="31">
        <f>Odds_Input!E160</f>
        <v>44.5</v>
      </c>
      <c r="F160" s="32">
        <f>Odds_Input!F160</f>
        <v>-120</v>
      </c>
      <c r="G160" s="6" t="str">
        <f t="shared" si="806"/>
        <v>WINS|Indiana Pacers|44.5</v>
      </c>
      <c r="H160" s="14">
        <f t="shared" si="807"/>
        <v>1.8333333333333335</v>
      </c>
      <c r="I160" s="33">
        <f t="shared" si="808"/>
        <v>0.54545454545454541</v>
      </c>
      <c r="J160" s="17">
        <f t="shared" si="809"/>
        <v>1</v>
      </c>
      <c r="K160" s="17">
        <f t="shared" si="810"/>
        <v>2</v>
      </c>
      <c r="L160" s="18">
        <f t="shared" si="811"/>
        <v>1.0454545454545454</v>
      </c>
      <c r="M160" s="34">
        <f t="shared" si="812"/>
        <v>4.5454545454545414E-2</v>
      </c>
      <c r="N160" s="33">
        <f t="shared" si="813"/>
        <v>0.52173913043478259</v>
      </c>
      <c r="O160" s="33">
        <f t="shared" si="814"/>
        <v>0.52322904631959044</v>
      </c>
      <c r="P160" s="33">
        <f t="shared" si="815"/>
        <v>0.52272727270008856</v>
      </c>
      <c r="Q160" s="33">
        <f t="shared" si="816"/>
        <v>0.52272727270008856</v>
      </c>
      <c r="R160" s="35">
        <f t="shared" si="817"/>
        <v>1.0686317486921326</v>
      </c>
      <c r="S160" s="35">
        <f t="shared" si="818"/>
        <v>4.5458637254745582E-2</v>
      </c>
    </row>
    <row r="161" spans="1:19" ht="15" customHeight="1" x14ac:dyDescent="0.3">
      <c r="A161" s="30">
        <f>Odds_Input!A161</f>
        <v>153</v>
      </c>
      <c r="B161" s="7" t="str">
        <f>Odds_Input!B161</f>
        <v>WINS</v>
      </c>
      <c r="C161" s="7" t="str">
        <f>Odds_Input!C161</f>
        <v>Indiana Pacers</v>
      </c>
      <c r="D161" s="7" t="str">
        <f>Odds_Input!D161</f>
        <v>UNDER</v>
      </c>
      <c r="E161" s="31">
        <f>Odds_Input!E161</f>
        <v>44.5</v>
      </c>
      <c r="F161" s="32">
        <f>Odds_Input!F161</f>
        <v>100</v>
      </c>
      <c r="G161" s="6" t="str">
        <f t="shared" si="806"/>
        <v>WINS|Indiana Pacers|44.5</v>
      </c>
      <c r="H161" s="14">
        <f t="shared" si="807"/>
        <v>2</v>
      </c>
      <c r="I161" s="33">
        <f t="shared" si="808"/>
        <v>0.5</v>
      </c>
      <c r="J161" s="17">
        <f t="shared" si="809"/>
        <v>1</v>
      </c>
      <c r="K161" s="17">
        <f t="shared" si="810"/>
        <v>2</v>
      </c>
      <c r="L161" s="18">
        <f t="shared" si="811"/>
        <v>1.0454545454545454</v>
      </c>
      <c r="M161" s="34">
        <f t="shared" si="812"/>
        <v>4.5454545454545414E-2</v>
      </c>
      <c r="N161" s="33">
        <f t="shared" si="813"/>
        <v>0.47826086956521741</v>
      </c>
      <c r="O161" s="33">
        <f t="shared" si="814"/>
        <v>0.47677095402287412</v>
      </c>
      <c r="P161" s="33">
        <f t="shared" si="815"/>
        <v>0.4772727272430774</v>
      </c>
      <c r="Q161" s="33">
        <f t="shared" si="816"/>
        <v>0.4772727272430774</v>
      </c>
      <c r="R161" s="35">
        <f t="shared" si="817"/>
        <v>1.0686317486921326</v>
      </c>
      <c r="S161" s="35">
        <f t="shared" si="818"/>
        <v>4.5458637254745582E-2</v>
      </c>
    </row>
    <row r="162" spans="1:19" ht="15" customHeight="1" x14ac:dyDescent="0.3">
      <c r="A162" s="30">
        <f>Odds_Input!A162</f>
        <v>154</v>
      </c>
      <c r="B162" s="7" t="str">
        <f>Odds_Input!B162</f>
        <v>WINS</v>
      </c>
      <c r="C162" s="7" t="str">
        <f>Odds_Input!C162</f>
        <v>Memphis Grizzlies</v>
      </c>
      <c r="D162" s="7" t="str">
        <f>Odds_Input!D162</f>
        <v>OVER</v>
      </c>
      <c r="E162" s="31">
        <f>Odds_Input!E162</f>
        <v>28.5</v>
      </c>
      <c r="F162" s="32">
        <f>Odds_Input!F162</f>
        <v>-145</v>
      </c>
      <c r="G162" s="6" t="str">
        <f t="shared" si="806"/>
        <v>WINS|Memphis Grizzlies|28.5</v>
      </c>
      <c r="H162" s="14">
        <f t="shared" si="807"/>
        <v>1.6896551724137931</v>
      </c>
      <c r="I162" s="33">
        <f t="shared" si="808"/>
        <v>0.59183673469387754</v>
      </c>
      <c r="J162" s="17">
        <f t="shared" si="809"/>
        <v>1</v>
      </c>
      <c r="K162" s="17">
        <f t="shared" si="810"/>
        <v>2</v>
      </c>
      <c r="L162" s="18">
        <f t="shared" si="811"/>
        <v>1.036281179138322</v>
      </c>
      <c r="M162" s="34">
        <f t="shared" si="812"/>
        <v>3.6281179138321962E-2</v>
      </c>
      <c r="N162" s="33">
        <f t="shared" si="813"/>
        <v>0.57111597374179435</v>
      </c>
      <c r="O162" s="33">
        <f t="shared" si="814"/>
        <v>0.5749769329507961</v>
      </c>
      <c r="P162" s="33">
        <f t="shared" si="815"/>
        <v>0.57369614512677158</v>
      </c>
      <c r="Q162" s="33">
        <f t="shared" si="816"/>
        <v>0.57369614512677158</v>
      </c>
      <c r="R162" s="35">
        <f t="shared" si="817"/>
        <v>1.0550992169650266</v>
      </c>
      <c r="S162" s="35">
        <f t="shared" si="818"/>
        <v>3.6309387208767807E-2</v>
      </c>
    </row>
    <row r="163" spans="1:19" ht="15" customHeight="1" x14ac:dyDescent="0.3">
      <c r="A163" s="30">
        <f>Odds_Input!A163</f>
        <v>155</v>
      </c>
      <c r="B163" s="7" t="str">
        <f>Odds_Input!B163</f>
        <v>WINS</v>
      </c>
      <c r="C163" s="7" t="str">
        <f>Odds_Input!C163</f>
        <v>Memphis Grizzlies</v>
      </c>
      <c r="D163" s="7" t="str">
        <f>Odds_Input!D163</f>
        <v>UNDER</v>
      </c>
      <c r="E163" s="31">
        <f>Odds_Input!E163</f>
        <v>28.5</v>
      </c>
      <c r="F163" s="32">
        <f>Odds_Input!F163</f>
        <v>125</v>
      </c>
      <c r="G163" s="6" t="str">
        <f t="shared" si="806"/>
        <v>WINS|Memphis Grizzlies|28.5</v>
      </c>
      <c r="H163" s="14">
        <f t="shared" si="807"/>
        <v>2.25</v>
      </c>
      <c r="I163" s="33">
        <f t="shared" si="808"/>
        <v>0.44444444444444442</v>
      </c>
      <c r="J163" s="17">
        <f t="shared" si="809"/>
        <v>1</v>
      </c>
      <c r="K163" s="17">
        <f t="shared" si="810"/>
        <v>2</v>
      </c>
      <c r="L163" s="18">
        <f t="shared" si="811"/>
        <v>1.036281179138322</v>
      </c>
      <c r="M163" s="34">
        <f t="shared" si="812"/>
        <v>3.6281179138321962E-2</v>
      </c>
      <c r="N163" s="33">
        <f t="shared" si="813"/>
        <v>0.42888402625820565</v>
      </c>
      <c r="O163" s="33">
        <f t="shared" si="814"/>
        <v>0.42502306703966525</v>
      </c>
      <c r="P163" s="33">
        <f t="shared" si="815"/>
        <v>0.42630385487801892</v>
      </c>
      <c r="Q163" s="33">
        <f t="shared" si="816"/>
        <v>0.42630385487801892</v>
      </c>
      <c r="R163" s="35">
        <f t="shared" si="817"/>
        <v>1.0550992169650266</v>
      </c>
      <c r="S163" s="35">
        <f t="shared" si="818"/>
        <v>3.6309387208767807E-2</v>
      </c>
    </row>
    <row r="164" spans="1:19" ht="15" customHeight="1" x14ac:dyDescent="0.3">
      <c r="A164" s="30">
        <f>Odds_Input!A164</f>
        <v>156</v>
      </c>
      <c r="B164" s="7" t="str">
        <f>Odds_Input!B164</f>
        <v>WINS</v>
      </c>
      <c r="C164" s="7" t="str">
        <f>Odds_Input!C164</f>
        <v>New Orleans Pelicans</v>
      </c>
      <c r="D164" s="7" t="str">
        <f>Odds_Input!D164</f>
        <v>OVER</v>
      </c>
      <c r="E164" s="31">
        <f>Odds_Input!E164</f>
        <v>28.5</v>
      </c>
      <c r="F164" s="32">
        <f>Odds_Input!F164</f>
        <v>-120</v>
      </c>
      <c r="G164" s="6" t="str">
        <f t="shared" si="806"/>
        <v>WINS|New Orleans Pelicans|28.5</v>
      </c>
      <c r="H164" s="14">
        <f t="shared" si="807"/>
        <v>1.8333333333333335</v>
      </c>
      <c r="I164" s="33">
        <f t="shared" si="808"/>
        <v>0.54545454545454541</v>
      </c>
      <c r="J164" s="17">
        <f t="shared" si="809"/>
        <v>1</v>
      </c>
      <c r="K164" s="17">
        <f t="shared" si="810"/>
        <v>2</v>
      </c>
      <c r="L164" s="18">
        <f t="shared" si="811"/>
        <v>1.0454545454545454</v>
      </c>
      <c r="M164" s="34">
        <f t="shared" si="812"/>
        <v>4.5454545454545414E-2</v>
      </c>
      <c r="N164" s="33">
        <f t="shared" si="813"/>
        <v>0.52173913043478259</v>
      </c>
      <c r="O164" s="33">
        <f t="shared" si="814"/>
        <v>0.52322904631959044</v>
      </c>
      <c r="P164" s="33">
        <f t="shared" si="815"/>
        <v>0.52272727270008856</v>
      </c>
      <c r="Q164" s="33">
        <f t="shared" si="816"/>
        <v>0.52272727270008856</v>
      </c>
      <c r="R164" s="35">
        <f t="shared" si="817"/>
        <v>1.0686317486921326</v>
      </c>
      <c r="S164" s="35">
        <f t="shared" si="818"/>
        <v>4.5458637254745582E-2</v>
      </c>
    </row>
    <row r="165" spans="1:19" ht="15" customHeight="1" x14ac:dyDescent="0.3">
      <c r="A165" s="30">
        <f>Odds_Input!A165</f>
        <v>157</v>
      </c>
      <c r="B165" s="7" t="str">
        <f>Odds_Input!B165</f>
        <v>WINS</v>
      </c>
      <c r="C165" s="7" t="str">
        <f>Odds_Input!C165</f>
        <v>New Orleans Pelicans</v>
      </c>
      <c r="D165" s="7" t="str">
        <f>Odds_Input!D165</f>
        <v>UNDER</v>
      </c>
      <c r="E165" s="31">
        <f>Odds_Input!E165</f>
        <v>28.5</v>
      </c>
      <c r="F165" s="32">
        <f>Odds_Input!F165</f>
        <v>100</v>
      </c>
      <c r="G165" s="6" t="str">
        <f t="shared" si="806"/>
        <v>WINS|New Orleans Pelicans|28.5</v>
      </c>
      <c r="H165" s="14">
        <f t="shared" si="807"/>
        <v>2</v>
      </c>
      <c r="I165" s="33">
        <f t="shared" si="808"/>
        <v>0.5</v>
      </c>
      <c r="J165" s="17">
        <f t="shared" si="809"/>
        <v>1</v>
      </c>
      <c r="K165" s="17">
        <f t="shared" si="810"/>
        <v>2</v>
      </c>
      <c r="L165" s="18">
        <f t="shared" si="811"/>
        <v>1.0454545454545454</v>
      </c>
      <c r="M165" s="34">
        <f t="shared" si="812"/>
        <v>4.5454545454545414E-2</v>
      </c>
      <c r="N165" s="33">
        <f t="shared" si="813"/>
        <v>0.47826086956521741</v>
      </c>
      <c r="O165" s="33">
        <f t="shared" si="814"/>
        <v>0.47677095402287412</v>
      </c>
      <c r="P165" s="33">
        <f t="shared" si="815"/>
        <v>0.4772727272430774</v>
      </c>
      <c r="Q165" s="33">
        <f t="shared" si="816"/>
        <v>0.4772727272430774</v>
      </c>
      <c r="R165" s="35">
        <f t="shared" si="817"/>
        <v>1.0686317486921326</v>
      </c>
      <c r="S165" s="35">
        <f t="shared" si="818"/>
        <v>4.5458637254745582E-2</v>
      </c>
    </row>
    <row r="166" spans="1:19" ht="15" customHeight="1" x14ac:dyDescent="0.3">
      <c r="A166" s="30">
        <f>Odds_Input!A166</f>
        <v>158</v>
      </c>
      <c r="B166" s="7" t="str">
        <f>Odds_Input!B166</f>
        <v>WINS</v>
      </c>
      <c r="C166" s="7" t="str">
        <f>Odds_Input!C166</f>
        <v>Utah Jazz</v>
      </c>
      <c r="D166" s="7" t="str">
        <f>Odds_Input!D166</f>
        <v>OVER</v>
      </c>
      <c r="E166" s="31">
        <f>Odds_Input!E166</f>
        <v>37.5</v>
      </c>
      <c r="F166" s="32">
        <f>Odds_Input!F166</f>
        <v>-135</v>
      </c>
      <c r="G166" s="6" t="str">
        <f t="shared" si="806"/>
        <v>WINS|Utah Jazz|37.5</v>
      </c>
      <c r="H166" s="14">
        <f t="shared" si="807"/>
        <v>1.7407407407407407</v>
      </c>
      <c r="I166" s="33">
        <f t="shared" si="808"/>
        <v>0.57446808510638303</v>
      </c>
      <c r="J166" s="17">
        <f t="shared" si="809"/>
        <v>1</v>
      </c>
      <c r="K166" s="17">
        <f t="shared" si="810"/>
        <v>2</v>
      </c>
      <c r="L166" s="18">
        <f t="shared" si="811"/>
        <v>1.0395843641761504</v>
      </c>
      <c r="M166" s="34">
        <f t="shared" si="812"/>
        <v>3.9584364176150411E-2</v>
      </c>
      <c r="N166" s="33">
        <f t="shared" si="813"/>
        <v>0.55259400285578297</v>
      </c>
      <c r="O166" s="33">
        <f t="shared" si="814"/>
        <v>0.55571725249991621</v>
      </c>
      <c r="P166" s="33">
        <f t="shared" si="815"/>
        <v>0.55467590301630942</v>
      </c>
      <c r="Q166" s="33">
        <f t="shared" si="816"/>
        <v>0.55467590301630942</v>
      </c>
      <c r="R166" s="35">
        <f t="shared" si="817"/>
        <v>1.0598669931991025</v>
      </c>
      <c r="S166" s="35">
        <f t="shared" si="818"/>
        <v>3.9602605831870696E-2</v>
      </c>
    </row>
    <row r="167" spans="1:19" ht="15" customHeight="1" x14ac:dyDescent="0.3">
      <c r="A167" s="30">
        <f>Odds_Input!A167</f>
        <v>159</v>
      </c>
      <c r="B167" s="7" t="str">
        <f>Odds_Input!B167</f>
        <v>WINS</v>
      </c>
      <c r="C167" s="7" t="str">
        <f>Odds_Input!C167</f>
        <v>Utah Jazz</v>
      </c>
      <c r="D167" s="7" t="str">
        <f>Odds_Input!D167</f>
        <v>UNDER</v>
      </c>
      <c r="E167" s="31">
        <f>Odds_Input!E167</f>
        <v>37.5</v>
      </c>
      <c r="F167" s="32">
        <f>Odds_Input!F167</f>
        <v>115</v>
      </c>
      <c r="G167" s="6" t="str">
        <f t="shared" si="806"/>
        <v>WINS|Utah Jazz|37.5</v>
      </c>
      <c r="H167" s="14">
        <f t="shared" si="807"/>
        <v>2.15</v>
      </c>
      <c r="I167" s="33">
        <f t="shared" si="808"/>
        <v>0.46511627906976744</v>
      </c>
      <c r="J167" s="17">
        <f t="shared" si="809"/>
        <v>1</v>
      </c>
      <c r="K167" s="17">
        <f t="shared" si="810"/>
        <v>2</v>
      </c>
      <c r="L167" s="18">
        <f t="shared" si="811"/>
        <v>1.0395843641761504</v>
      </c>
      <c r="M167" s="34">
        <f t="shared" si="812"/>
        <v>3.9584364176150411E-2</v>
      </c>
      <c r="N167" s="33">
        <f t="shared" si="813"/>
        <v>0.44740599714421703</v>
      </c>
      <c r="O167" s="33">
        <f t="shared" si="814"/>
        <v>0.44428274763334102</v>
      </c>
      <c r="P167" s="33">
        <f t="shared" si="815"/>
        <v>0.44532409697922487</v>
      </c>
      <c r="Q167" s="33">
        <f t="shared" si="816"/>
        <v>0.44532409697922487</v>
      </c>
      <c r="R167" s="35">
        <f t="shared" si="817"/>
        <v>1.0598669931991025</v>
      </c>
      <c r="S167" s="35">
        <f t="shared" si="818"/>
        <v>3.9602605831870696E-2</v>
      </c>
    </row>
    <row r="168" spans="1:19" ht="15" customHeight="1" x14ac:dyDescent="0.3">
      <c r="A168" s="30">
        <f>Odds_Input!A168</f>
        <v>160</v>
      </c>
      <c r="B168" s="7" t="str">
        <f>Odds_Input!B168</f>
        <v>WINS</v>
      </c>
      <c r="C168" s="7" t="str">
        <f>Odds_Input!C168</f>
        <v>Dallas Mavericks</v>
      </c>
      <c r="D168" s="7" t="str">
        <f>Odds_Input!D168</f>
        <v>OVER</v>
      </c>
      <c r="E168" s="31">
        <f>Odds_Input!E168</f>
        <v>34.5</v>
      </c>
      <c r="F168" s="32">
        <f>Odds_Input!F168</f>
        <v>-105</v>
      </c>
      <c r="G168" s="6" t="str">
        <f t="shared" si="806"/>
        <v>WINS|Dallas Mavericks|34.5</v>
      </c>
      <c r="H168" s="14">
        <f t="shared" si="807"/>
        <v>1.9523809523809523</v>
      </c>
      <c r="I168" s="33">
        <f t="shared" si="808"/>
        <v>0.51219512195121952</v>
      </c>
      <c r="J168" s="17">
        <f t="shared" si="809"/>
        <v>1</v>
      </c>
      <c r="K168" s="17">
        <f t="shared" si="810"/>
        <v>2</v>
      </c>
      <c r="L168" s="18">
        <f t="shared" si="811"/>
        <v>1.0470788428814521</v>
      </c>
      <c r="M168" s="34">
        <f t="shared" si="812"/>
        <v>4.7078842881452143E-2</v>
      </c>
      <c r="N168" s="33">
        <f t="shared" si="813"/>
        <v>0.48916576381365112</v>
      </c>
      <c r="O168" s="33">
        <f t="shared" si="814"/>
        <v>0.48839554556142117</v>
      </c>
      <c r="P168" s="33">
        <f t="shared" si="815"/>
        <v>0.48865570050943602</v>
      </c>
      <c r="Q168" s="33">
        <f t="shared" si="816"/>
        <v>0.48865570050943602</v>
      </c>
      <c r="R168" s="35">
        <f t="shared" si="817"/>
        <v>1.0711158428573979</v>
      </c>
      <c r="S168" s="35">
        <f t="shared" si="818"/>
        <v>4.7079933098085114E-2</v>
      </c>
    </row>
    <row r="169" spans="1:19" ht="15" customHeight="1" x14ac:dyDescent="0.3">
      <c r="A169" s="30">
        <f>Odds_Input!A169</f>
        <v>161</v>
      </c>
      <c r="B169" s="7" t="str">
        <f>Odds_Input!B169</f>
        <v>WINS</v>
      </c>
      <c r="C169" s="7" t="str">
        <f>Odds_Input!C169</f>
        <v>Dallas Mavericks</v>
      </c>
      <c r="D169" s="7" t="str">
        <f>Odds_Input!D169</f>
        <v>UNDER</v>
      </c>
      <c r="E169" s="31">
        <f>Odds_Input!E169</f>
        <v>34.5</v>
      </c>
      <c r="F169" s="32">
        <f>Odds_Input!F169</f>
        <v>-115</v>
      </c>
      <c r="G169" s="6" t="str">
        <f t="shared" si="806"/>
        <v>WINS|Dallas Mavericks|34.5</v>
      </c>
      <c r="H169" s="14">
        <f t="shared" si="807"/>
        <v>1.8695652173913042</v>
      </c>
      <c r="I169" s="33">
        <f t="shared" si="808"/>
        <v>0.53488372093023262</v>
      </c>
      <c r="J169" s="17">
        <f t="shared" si="809"/>
        <v>1</v>
      </c>
      <c r="K169" s="17">
        <f t="shared" si="810"/>
        <v>2</v>
      </c>
      <c r="L169" s="18">
        <f t="shared" si="811"/>
        <v>1.0470788428814521</v>
      </c>
      <c r="M169" s="34">
        <f t="shared" si="812"/>
        <v>4.7078842881452143E-2</v>
      </c>
      <c r="N169" s="33">
        <f t="shared" si="813"/>
        <v>0.51083423618634893</v>
      </c>
      <c r="O169" s="33">
        <f t="shared" si="814"/>
        <v>0.51160445455663228</v>
      </c>
      <c r="P169" s="33">
        <f t="shared" si="815"/>
        <v>0.51134429948849391</v>
      </c>
      <c r="Q169" s="33">
        <f t="shared" si="816"/>
        <v>0.51134429948849391</v>
      </c>
      <c r="R169" s="35">
        <f t="shared" si="817"/>
        <v>1.0711158428573979</v>
      </c>
      <c r="S169" s="35">
        <f t="shared" si="818"/>
        <v>4.7079933098085114E-2</v>
      </c>
    </row>
    <row r="170" spans="1:19" ht="15" customHeight="1" x14ac:dyDescent="0.3">
      <c r="A170" s="30">
        <f>Odds_Input!A170</f>
        <v>162</v>
      </c>
      <c r="B170" s="7" t="str">
        <f>Odds_Input!B170</f>
        <v>WINS</v>
      </c>
      <c r="C170" s="7" t="str">
        <f>Odds_Input!C170</f>
        <v>Houston Rockets</v>
      </c>
      <c r="D170" s="7" t="str">
        <f>Odds_Input!D170</f>
        <v>OVER</v>
      </c>
      <c r="E170" s="31">
        <f>Odds_Input!E170</f>
        <v>47.5</v>
      </c>
      <c r="F170" s="32">
        <f>Odds_Input!F170</f>
        <v>-160</v>
      </c>
      <c r="G170" s="6" t="str">
        <f t="shared" si="806"/>
        <v>WINS|Houston Rockets|47.5</v>
      </c>
      <c r="H170" s="14">
        <f t="shared" si="807"/>
        <v>1.625</v>
      </c>
      <c r="I170" s="33">
        <f t="shared" si="808"/>
        <v>0.61538461538461542</v>
      </c>
      <c r="J170" s="17">
        <f t="shared" si="809"/>
        <v>1</v>
      </c>
      <c r="K170" s="17">
        <f t="shared" si="810"/>
        <v>2</v>
      </c>
      <c r="L170" s="18">
        <f t="shared" si="811"/>
        <v>1.0320512820512822</v>
      </c>
      <c r="M170" s="34">
        <f t="shared" si="812"/>
        <v>3.2051282051282159E-2</v>
      </c>
      <c r="N170" s="33">
        <f t="shared" si="813"/>
        <v>0.59627329192546585</v>
      </c>
      <c r="O170" s="33">
        <f t="shared" si="814"/>
        <v>0.60087744805450027</v>
      </c>
      <c r="P170" s="33">
        <f t="shared" si="815"/>
        <v>0.59935897438219166</v>
      </c>
      <c r="Q170" s="33">
        <f t="shared" si="816"/>
        <v>0.59935897438219166</v>
      </c>
      <c r="R170" s="35">
        <f t="shared" si="817"/>
        <v>1.0491371345007789</v>
      </c>
      <c r="S170" s="35">
        <f t="shared" si="818"/>
        <v>3.2092204355436957E-2</v>
      </c>
    </row>
    <row r="171" spans="1:19" ht="15" customHeight="1" x14ac:dyDescent="0.3">
      <c r="A171" s="30">
        <f>Odds_Input!A171</f>
        <v>163</v>
      </c>
      <c r="B171" s="7" t="str">
        <f>Odds_Input!B171</f>
        <v>WINS</v>
      </c>
      <c r="C171" s="7" t="str">
        <f>Odds_Input!C171</f>
        <v>Houston Rockets</v>
      </c>
      <c r="D171" s="7" t="str">
        <f>Odds_Input!D171</f>
        <v>UNDER</v>
      </c>
      <c r="E171" s="31">
        <f>Odds_Input!E171</f>
        <v>47.5</v>
      </c>
      <c r="F171" s="32">
        <f>Odds_Input!F171</f>
        <v>140</v>
      </c>
      <c r="G171" s="6" t="str">
        <f t="shared" si="806"/>
        <v>WINS|Houston Rockets|47.5</v>
      </c>
      <c r="H171" s="14">
        <f t="shared" si="807"/>
        <v>2.4</v>
      </c>
      <c r="I171" s="33">
        <f t="shared" si="808"/>
        <v>0.41666666666666669</v>
      </c>
      <c r="J171" s="17">
        <f t="shared" si="809"/>
        <v>1</v>
      </c>
      <c r="K171" s="17">
        <f t="shared" si="810"/>
        <v>2</v>
      </c>
      <c r="L171" s="18">
        <f t="shared" si="811"/>
        <v>1.0320512820512822</v>
      </c>
      <c r="M171" s="34">
        <f t="shared" si="812"/>
        <v>3.2051282051282159E-2</v>
      </c>
      <c r="N171" s="33">
        <f t="shared" si="813"/>
        <v>0.40372670807453415</v>
      </c>
      <c r="O171" s="33">
        <f t="shared" si="814"/>
        <v>0.39912255157308429</v>
      </c>
      <c r="P171" s="33">
        <f t="shared" si="815"/>
        <v>0.40064102567530113</v>
      </c>
      <c r="Q171" s="33">
        <f t="shared" si="816"/>
        <v>0.40064102567530113</v>
      </c>
      <c r="R171" s="35">
        <f t="shared" si="817"/>
        <v>1.0491371345007789</v>
      </c>
      <c r="S171" s="35">
        <f t="shared" si="818"/>
        <v>3.2092204355436957E-2</v>
      </c>
    </row>
    <row r="172" spans="1:19" ht="15" customHeight="1" x14ac:dyDescent="0.3">
      <c r="A172" s="30">
        <f>Odds_Input!A172</f>
        <v>164</v>
      </c>
      <c r="B172" s="7" t="str">
        <f>Odds_Input!B172</f>
        <v>WINS</v>
      </c>
      <c r="C172" s="7" t="str">
        <f>Odds_Input!C172</f>
        <v>Golden State Warriors</v>
      </c>
      <c r="D172" s="7" t="str">
        <f>Odds_Input!D172</f>
        <v>OVER</v>
      </c>
      <c r="E172" s="31">
        <f>Odds_Input!E172</f>
        <v>39.5</v>
      </c>
      <c r="F172" s="32">
        <f>Odds_Input!F172</f>
        <v>120</v>
      </c>
      <c r="G172" s="6" t="str">
        <f t="shared" si="806"/>
        <v>WINS|Golden State Warriors|39.5</v>
      </c>
      <c r="H172" s="14">
        <f t="shared" si="807"/>
        <v>2.2000000000000002</v>
      </c>
      <c r="I172" s="33">
        <f t="shared" si="808"/>
        <v>0.45454545454545453</v>
      </c>
      <c r="J172" s="17">
        <f t="shared" si="809"/>
        <v>1</v>
      </c>
      <c r="K172" s="17">
        <f t="shared" si="810"/>
        <v>2</v>
      </c>
      <c r="L172" s="18">
        <f t="shared" si="811"/>
        <v>1.0378787878787878</v>
      </c>
      <c r="M172" s="34">
        <f t="shared" si="812"/>
        <v>3.7878787878787845E-2</v>
      </c>
      <c r="N172" s="33">
        <f t="shared" si="813"/>
        <v>0.43795620437956206</v>
      </c>
      <c r="O172" s="33">
        <f t="shared" si="814"/>
        <v>0.43443525150940587</v>
      </c>
      <c r="P172" s="33">
        <f t="shared" si="815"/>
        <v>0.4356060606181606</v>
      </c>
      <c r="Q172" s="33">
        <f t="shared" si="816"/>
        <v>0.4356060606181606</v>
      </c>
      <c r="R172" s="35">
        <f t="shared" si="817"/>
        <v>1.0573918206384398</v>
      </c>
      <c r="S172" s="35">
        <f t="shared" si="818"/>
        <v>3.7902104114717922E-2</v>
      </c>
    </row>
    <row r="173" spans="1:19" ht="15" customHeight="1" x14ac:dyDescent="0.3">
      <c r="A173" s="30">
        <f>Odds_Input!A173</f>
        <v>165</v>
      </c>
      <c r="B173" s="7" t="str">
        <f>Odds_Input!B173</f>
        <v>WINS</v>
      </c>
      <c r="C173" s="7" t="str">
        <f>Odds_Input!C173</f>
        <v>Golden State Warriors</v>
      </c>
      <c r="D173" s="7" t="str">
        <f>Odds_Input!D173</f>
        <v>UNDER</v>
      </c>
      <c r="E173" s="31">
        <f>Odds_Input!E173</f>
        <v>39.5</v>
      </c>
      <c r="F173" s="32">
        <f>Odds_Input!F173</f>
        <v>-140</v>
      </c>
      <c r="G173" s="6" t="str">
        <f t="shared" si="806"/>
        <v>WINS|Golden State Warriors|39.5</v>
      </c>
      <c r="H173" s="14">
        <f t="shared" si="807"/>
        <v>1.7142857142857144</v>
      </c>
      <c r="I173" s="33">
        <f t="shared" si="808"/>
        <v>0.58333333333333326</v>
      </c>
      <c r="J173" s="17">
        <f t="shared" si="809"/>
        <v>1</v>
      </c>
      <c r="K173" s="17">
        <f t="shared" si="810"/>
        <v>2</v>
      </c>
      <c r="L173" s="18">
        <f t="shared" si="811"/>
        <v>1.0378787878787878</v>
      </c>
      <c r="M173" s="34">
        <f t="shared" si="812"/>
        <v>3.7878787878787845E-2</v>
      </c>
      <c r="N173" s="33">
        <f t="shared" si="813"/>
        <v>0.56204379562043794</v>
      </c>
      <c r="O173" s="33">
        <f t="shared" si="814"/>
        <v>0.5655647490447987</v>
      </c>
      <c r="P173" s="33">
        <f t="shared" si="815"/>
        <v>0.56439393940337157</v>
      </c>
      <c r="Q173" s="33">
        <f t="shared" si="816"/>
        <v>0.56439393940337157</v>
      </c>
      <c r="R173" s="35">
        <f t="shared" si="817"/>
        <v>1.0573918206384398</v>
      </c>
      <c r="S173" s="35">
        <f t="shared" si="818"/>
        <v>3.7902104114717922E-2</v>
      </c>
    </row>
    <row r="174" spans="1:19" ht="15" customHeight="1" x14ac:dyDescent="0.3">
      <c r="A174" s="30">
        <f>Odds_Input!A174</f>
        <v>166</v>
      </c>
      <c r="B174" s="7" t="str">
        <f>Odds_Input!B174</f>
        <v>WINS</v>
      </c>
      <c r="C174" s="7" t="str">
        <f>Odds_Input!C174</f>
        <v>Los Angeles Lakers</v>
      </c>
      <c r="D174" s="7" t="str">
        <f>Odds_Input!D174</f>
        <v>OVER</v>
      </c>
      <c r="E174" s="31">
        <f>Odds_Input!E174</f>
        <v>45.5</v>
      </c>
      <c r="F174" s="32">
        <f>Odds_Input!F174</f>
        <v>-140</v>
      </c>
      <c r="G174" s="6" t="str">
        <f t="shared" si="806"/>
        <v>WINS|Los Angeles Lakers|45.5</v>
      </c>
      <c r="H174" s="14">
        <f t="shared" si="807"/>
        <v>1.7142857142857144</v>
      </c>
      <c r="I174" s="33">
        <f t="shared" si="808"/>
        <v>0.58333333333333326</v>
      </c>
      <c r="J174" s="17">
        <f t="shared" si="809"/>
        <v>1</v>
      </c>
      <c r="K174" s="17">
        <f t="shared" si="810"/>
        <v>2</v>
      </c>
      <c r="L174" s="18">
        <f t="shared" si="811"/>
        <v>1.0378787878787878</v>
      </c>
      <c r="M174" s="34">
        <f t="shared" si="812"/>
        <v>3.7878787878787845E-2</v>
      </c>
      <c r="N174" s="33">
        <f t="shared" si="813"/>
        <v>0.56204379562043794</v>
      </c>
      <c r="O174" s="33">
        <f t="shared" si="814"/>
        <v>0.5655647490447987</v>
      </c>
      <c r="P174" s="33">
        <f t="shared" si="815"/>
        <v>0.56439393940337157</v>
      </c>
      <c r="Q174" s="33">
        <f t="shared" si="816"/>
        <v>0.56439393940337157</v>
      </c>
      <c r="R174" s="35">
        <f t="shared" si="817"/>
        <v>1.0573918206384398</v>
      </c>
      <c r="S174" s="35">
        <f t="shared" si="818"/>
        <v>3.7902104114717922E-2</v>
      </c>
    </row>
    <row r="175" spans="1:19" ht="15" customHeight="1" x14ac:dyDescent="0.3">
      <c r="A175" s="30">
        <f>Odds_Input!A175</f>
        <v>167</v>
      </c>
      <c r="B175" s="7" t="str">
        <f>Odds_Input!B175</f>
        <v>WINS</v>
      </c>
      <c r="C175" s="7" t="str">
        <f>Odds_Input!C175</f>
        <v>Los Angeles Lakers</v>
      </c>
      <c r="D175" s="7" t="str">
        <f>Odds_Input!D175</f>
        <v>UNDER</v>
      </c>
      <c r="E175" s="31">
        <f>Odds_Input!E175</f>
        <v>45.5</v>
      </c>
      <c r="F175" s="32">
        <f>Odds_Input!F175</f>
        <v>120</v>
      </c>
      <c r="G175" s="6" t="str">
        <f t="shared" si="806"/>
        <v>WINS|Los Angeles Lakers|45.5</v>
      </c>
      <c r="H175" s="14">
        <f t="shared" si="807"/>
        <v>2.2000000000000002</v>
      </c>
      <c r="I175" s="33">
        <f t="shared" si="808"/>
        <v>0.45454545454545453</v>
      </c>
      <c r="J175" s="17">
        <f t="shared" si="809"/>
        <v>1</v>
      </c>
      <c r="K175" s="17">
        <f t="shared" si="810"/>
        <v>2</v>
      </c>
      <c r="L175" s="18">
        <f t="shared" si="811"/>
        <v>1.0378787878787878</v>
      </c>
      <c r="M175" s="34">
        <f t="shared" si="812"/>
        <v>3.7878787878787845E-2</v>
      </c>
      <c r="N175" s="33">
        <f t="shared" si="813"/>
        <v>0.43795620437956206</v>
      </c>
      <c r="O175" s="33">
        <f t="shared" si="814"/>
        <v>0.43443525150940587</v>
      </c>
      <c r="P175" s="33">
        <f t="shared" si="815"/>
        <v>0.4356060606181606</v>
      </c>
      <c r="Q175" s="33">
        <f t="shared" si="816"/>
        <v>0.4356060606181606</v>
      </c>
      <c r="R175" s="35">
        <f t="shared" si="817"/>
        <v>1.0573918206384398</v>
      </c>
      <c r="S175" s="35">
        <f t="shared" si="818"/>
        <v>3.7902104114717922E-2</v>
      </c>
    </row>
    <row r="176" spans="1:19" ht="15" customHeight="1" x14ac:dyDescent="0.3">
      <c r="A176" s="30">
        <f>Odds_Input!A176</f>
        <v>168</v>
      </c>
      <c r="B176" s="7" t="str">
        <f>Odds_Input!B176</f>
        <v>WINS</v>
      </c>
      <c r="C176" s="7" t="str">
        <f>Odds_Input!C176</f>
        <v>Phoenix Suns</v>
      </c>
      <c r="D176" s="7" t="str">
        <f>Odds_Input!D176</f>
        <v>OVER</v>
      </c>
      <c r="E176" s="31">
        <f>Odds_Input!E176</f>
        <v>39.5</v>
      </c>
      <c r="F176" s="32">
        <f>Odds_Input!F176</f>
        <v>-115</v>
      </c>
      <c r="G176" s="6" t="str">
        <f t="shared" si="806"/>
        <v>WINS|Phoenix Suns|39.5</v>
      </c>
      <c r="H176" s="14">
        <f t="shared" si="807"/>
        <v>1.8695652173913042</v>
      </c>
      <c r="I176" s="33">
        <f t="shared" si="808"/>
        <v>0.53488372093023262</v>
      </c>
      <c r="J176" s="17">
        <f t="shared" si="809"/>
        <v>1</v>
      </c>
      <c r="K176" s="17">
        <f t="shared" si="810"/>
        <v>2</v>
      </c>
      <c r="L176" s="18">
        <f t="shared" si="811"/>
        <v>1.0470788428814521</v>
      </c>
      <c r="M176" s="34">
        <f t="shared" si="812"/>
        <v>4.7078842881452143E-2</v>
      </c>
      <c r="N176" s="33">
        <f t="shared" si="813"/>
        <v>0.51083423618634893</v>
      </c>
      <c r="O176" s="33">
        <f t="shared" si="814"/>
        <v>0.51160445455663228</v>
      </c>
      <c r="P176" s="33">
        <f t="shared" si="815"/>
        <v>0.51134429948849391</v>
      </c>
      <c r="Q176" s="33">
        <f t="shared" si="816"/>
        <v>0.51134429948849391</v>
      </c>
      <c r="R176" s="35">
        <f t="shared" si="817"/>
        <v>1.0711158428573979</v>
      </c>
      <c r="S176" s="35">
        <f t="shared" si="818"/>
        <v>4.7079933098085114E-2</v>
      </c>
    </row>
    <row r="177" spans="1:19" ht="15" customHeight="1" x14ac:dyDescent="0.3">
      <c r="A177" s="30">
        <f>Odds_Input!A177</f>
        <v>169</v>
      </c>
      <c r="B177" s="7" t="str">
        <f>Odds_Input!B177</f>
        <v>WINS</v>
      </c>
      <c r="C177" s="7" t="str">
        <f>Odds_Input!C177</f>
        <v>Phoenix Suns</v>
      </c>
      <c r="D177" s="7" t="str">
        <f>Odds_Input!D177</f>
        <v>UNDER</v>
      </c>
      <c r="E177" s="31">
        <f>Odds_Input!E177</f>
        <v>39.5</v>
      </c>
      <c r="F177" s="32">
        <f>Odds_Input!F177</f>
        <v>-105</v>
      </c>
      <c r="G177" s="6" t="str">
        <f t="shared" si="806"/>
        <v>WINS|Phoenix Suns|39.5</v>
      </c>
      <c r="H177" s="14">
        <f t="shared" si="807"/>
        <v>1.9523809523809523</v>
      </c>
      <c r="I177" s="33">
        <f t="shared" si="808"/>
        <v>0.51219512195121952</v>
      </c>
      <c r="J177" s="17">
        <f t="shared" si="809"/>
        <v>1</v>
      </c>
      <c r="K177" s="17">
        <f t="shared" si="810"/>
        <v>2</v>
      </c>
      <c r="L177" s="18">
        <f t="shared" si="811"/>
        <v>1.0470788428814521</v>
      </c>
      <c r="M177" s="34">
        <f t="shared" si="812"/>
        <v>4.7078842881452143E-2</v>
      </c>
      <c r="N177" s="33">
        <f t="shared" si="813"/>
        <v>0.48916576381365112</v>
      </c>
      <c r="O177" s="33">
        <f t="shared" si="814"/>
        <v>0.48839554556142117</v>
      </c>
      <c r="P177" s="33">
        <f t="shared" si="815"/>
        <v>0.48865570050943602</v>
      </c>
      <c r="Q177" s="33">
        <f t="shared" si="816"/>
        <v>0.48865570050943602</v>
      </c>
      <c r="R177" s="35">
        <f t="shared" si="817"/>
        <v>1.0711158428573979</v>
      </c>
      <c r="S177" s="35">
        <f t="shared" si="818"/>
        <v>4.7079933098085114E-2</v>
      </c>
    </row>
    <row r="178" spans="1:19" ht="15" customHeight="1" x14ac:dyDescent="0.3">
      <c r="A178" s="30">
        <f>Odds_Input!A178</f>
        <v>170</v>
      </c>
      <c r="B178" s="7" t="str">
        <f>Odds_Input!B178</f>
        <v>WINS</v>
      </c>
      <c r="C178" s="7" t="str">
        <f>Odds_Input!C178</f>
        <v>Portland Trail Blazers</v>
      </c>
      <c r="D178" s="7" t="str">
        <f>Odds_Input!D178</f>
        <v>OVER</v>
      </c>
      <c r="E178" s="31">
        <f>Odds_Input!E178</f>
        <v>42.5</v>
      </c>
      <c r="F178" s="32">
        <f>Odds_Input!F178</f>
        <v>115</v>
      </c>
      <c r="G178" s="6" t="str">
        <f t="shared" si="806"/>
        <v>WINS|Portland Trail Blazers|42.5</v>
      </c>
      <c r="H178" s="14">
        <f t="shared" si="807"/>
        <v>2.15</v>
      </c>
      <c r="I178" s="33">
        <f t="shared" si="808"/>
        <v>0.46511627906976744</v>
      </c>
      <c r="J178" s="17">
        <f t="shared" si="809"/>
        <v>1</v>
      </c>
      <c r="K178" s="17">
        <f t="shared" si="810"/>
        <v>2</v>
      </c>
      <c r="L178" s="18">
        <f t="shared" si="811"/>
        <v>1.0395843641761504</v>
      </c>
      <c r="M178" s="34">
        <f t="shared" si="812"/>
        <v>3.9584364176150411E-2</v>
      </c>
      <c r="N178" s="33">
        <f t="shared" si="813"/>
        <v>0.44740599714421703</v>
      </c>
      <c r="O178" s="33">
        <f t="shared" si="814"/>
        <v>0.44428274763334102</v>
      </c>
      <c r="P178" s="33">
        <f t="shared" si="815"/>
        <v>0.44532409697922487</v>
      </c>
      <c r="Q178" s="33">
        <f t="shared" si="816"/>
        <v>0.44532409697922487</v>
      </c>
      <c r="R178" s="35">
        <f t="shared" si="817"/>
        <v>1.0598669931991025</v>
      </c>
      <c r="S178" s="35">
        <f t="shared" si="818"/>
        <v>3.9602605831870696E-2</v>
      </c>
    </row>
    <row r="179" spans="1:19" ht="15" customHeight="1" x14ac:dyDescent="0.3">
      <c r="A179" s="30">
        <f>Odds_Input!A179</f>
        <v>171</v>
      </c>
      <c r="B179" s="7" t="str">
        <f>Odds_Input!B179</f>
        <v>WINS</v>
      </c>
      <c r="C179" s="7" t="str">
        <f>Odds_Input!C179</f>
        <v>Portland Trail Blazers</v>
      </c>
      <c r="D179" s="7" t="str">
        <f>Odds_Input!D179</f>
        <v>UNDER</v>
      </c>
      <c r="E179" s="31">
        <f>Odds_Input!E179</f>
        <v>42.5</v>
      </c>
      <c r="F179" s="32">
        <f>Odds_Input!F179</f>
        <v>-135</v>
      </c>
      <c r="G179" s="6" t="str">
        <f t="shared" si="806"/>
        <v>WINS|Portland Trail Blazers|42.5</v>
      </c>
      <c r="H179" s="14">
        <f t="shared" si="807"/>
        <v>1.7407407407407407</v>
      </c>
      <c r="I179" s="33">
        <f t="shared" si="808"/>
        <v>0.57446808510638303</v>
      </c>
      <c r="J179" s="17">
        <f t="shared" si="809"/>
        <v>1</v>
      </c>
      <c r="K179" s="17">
        <f t="shared" si="810"/>
        <v>2</v>
      </c>
      <c r="L179" s="18">
        <f t="shared" si="811"/>
        <v>1.0395843641761504</v>
      </c>
      <c r="M179" s="34">
        <f t="shared" si="812"/>
        <v>3.9584364176150411E-2</v>
      </c>
      <c r="N179" s="33">
        <f t="shared" si="813"/>
        <v>0.55259400285578297</v>
      </c>
      <c r="O179" s="33">
        <f t="shared" si="814"/>
        <v>0.55571725249991621</v>
      </c>
      <c r="P179" s="33">
        <f t="shared" si="815"/>
        <v>0.55467590301630942</v>
      </c>
      <c r="Q179" s="33">
        <f t="shared" si="816"/>
        <v>0.55467590301630942</v>
      </c>
      <c r="R179" s="35">
        <f t="shared" si="817"/>
        <v>1.0598669931991025</v>
      </c>
      <c r="S179" s="35">
        <f t="shared" si="818"/>
        <v>3.9602605831870696E-2</v>
      </c>
    </row>
    <row r="180" spans="1:19" ht="15" customHeight="1" x14ac:dyDescent="0.3">
      <c r="A180" s="30">
        <f>Odds_Input!A180</f>
        <v>172</v>
      </c>
      <c r="B180" s="7" t="str">
        <f>Odds_Input!B180</f>
        <v>WINS</v>
      </c>
      <c r="C180" s="7" t="str">
        <f>Odds_Input!C180</f>
        <v>Los Angeles Clippers</v>
      </c>
      <c r="D180" s="7" t="str">
        <f>Odds_Input!D180</f>
        <v>OVER</v>
      </c>
      <c r="E180" s="31">
        <f>Odds_Input!E180</f>
        <v>29.5</v>
      </c>
      <c r="F180" s="32">
        <f>Odds_Input!F180</f>
        <v>135</v>
      </c>
      <c r="G180" s="6" t="str">
        <f t="shared" si="806"/>
        <v>WINS|Los Angeles Clippers|29.5</v>
      </c>
      <c r="H180" s="14">
        <f t="shared" si="807"/>
        <v>2.35</v>
      </c>
      <c r="I180" s="33">
        <f t="shared" si="808"/>
        <v>0.42553191489361702</v>
      </c>
      <c r="J180" s="17">
        <f t="shared" si="809"/>
        <v>1</v>
      </c>
      <c r="K180" s="17">
        <f t="shared" si="810"/>
        <v>2</v>
      </c>
      <c r="L180" s="18">
        <f t="shared" si="811"/>
        <v>1.033375052148519</v>
      </c>
      <c r="M180" s="34">
        <f t="shared" si="812"/>
        <v>3.3375052148518991E-2</v>
      </c>
      <c r="N180" s="33">
        <f t="shared" si="813"/>
        <v>0.4117884537747275</v>
      </c>
      <c r="O180" s="33">
        <f t="shared" si="814"/>
        <v>0.40739186468298344</v>
      </c>
      <c r="P180" s="33">
        <f t="shared" si="815"/>
        <v>0.40884438880822638</v>
      </c>
      <c r="Q180" s="33">
        <f t="shared" si="816"/>
        <v>0.40884438880822638</v>
      </c>
      <c r="R180" s="35">
        <f t="shared" si="817"/>
        <v>1.050987399998121</v>
      </c>
      <c r="S180" s="35">
        <f t="shared" si="818"/>
        <v>3.3412111117672519E-2</v>
      </c>
    </row>
    <row r="181" spans="1:19" ht="15" customHeight="1" x14ac:dyDescent="0.3">
      <c r="A181" s="30">
        <f>Odds_Input!A181</f>
        <v>173</v>
      </c>
      <c r="B181" s="7" t="str">
        <f>Odds_Input!B181</f>
        <v>WINS</v>
      </c>
      <c r="C181" s="7" t="str">
        <f>Odds_Input!C181</f>
        <v>Los Angeles Clippers</v>
      </c>
      <c r="D181" s="7" t="str">
        <f>Odds_Input!D181</f>
        <v>UNDER</v>
      </c>
      <c r="E181" s="31">
        <f>Odds_Input!E181</f>
        <v>29.5</v>
      </c>
      <c r="F181" s="32">
        <f>Odds_Input!F181</f>
        <v>-155</v>
      </c>
      <c r="G181" s="6" t="str">
        <f t="shared" si="806"/>
        <v>WINS|Los Angeles Clippers|29.5</v>
      </c>
      <c r="H181" s="14">
        <f t="shared" si="807"/>
        <v>1.6451612903225805</v>
      </c>
      <c r="I181" s="33">
        <f t="shared" si="808"/>
        <v>0.60784313725490202</v>
      </c>
      <c r="J181" s="17">
        <f t="shared" si="809"/>
        <v>1</v>
      </c>
      <c r="K181" s="17">
        <f t="shared" si="810"/>
        <v>2</v>
      </c>
      <c r="L181" s="18">
        <f t="shared" si="811"/>
        <v>1.033375052148519</v>
      </c>
      <c r="M181" s="34">
        <f t="shared" si="812"/>
        <v>3.3375052148518991E-2</v>
      </c>
      <c r="N181" s="33">
        <f t="shared" si="813"/>
        <v>0.58821154622527261</v>
      </c>
      <c r="O181" s="33">
        <f t="shared" si="814"/>
        <v>0.59260813558178993</v>
      </c>
      <c r="P181" s="33">
        <f t="shared" si="815"/>
        <v>0.59115561117284665</v>
      </c>
      <c r="Q181" s="33">
        <f t="shared" si="816"/>
        <v>0.59115561117284665</v>
      </c>
      <c r="R181" s="35">
        <f t="shared" si="817"/>
        <v>1.050987399998121</v>
      </c>
      <c r="S181" s="35">
        <f t="shared" si="818"/>
        <v>3.3412111117672519E-2</v>
      </c>
    </row>
    <row r="182" spans="1:19" ht="15" customHeight="1" x14ac:dyDescent="0.3">
      <c r="A182" s="30">
        <f>Odds_Input!A182</f>
        <v>174</v>
      </c>
      <c r="B182" s="7" t="str">
        <f>Odds_Input!B182</f>
        <v>WINS</v>
      </c>
      <c r="C182" s="7" t="str">
        <f>Odds_Input!C182</f>
        <v>Sacramento Kings</v>
      </c>
      <c r="D182" s="7" t="str">
        <f>Odds_Input!D182</f>
        <v>OVER</v>
      </c>
      <c r="E182" s="31">
        <f>Odds_Input!E182</f>
        <v>20.5</v>
      </c>
      <c r="F182" s="32">
        <f>Odds_Input!F182</f>
        <v>-135</v>
      </c>
      <c r="G182" s="6" t="str">
        <f t="shared" si="806"/>
        <v>WINS|Sacramento Kings|20.5</v>
      </c>
      <c r="H182" s="14">
        <f t="shared" si="807"/>
        <v>1.7407407407407407</v>
      </c>
      <c r="I182" s="33">
        <f t="shared" si="808"/>
        <v>0.57446808510638303</v>
      </c>
      <c r="J182" s="17">
        <f t="shared" si="809"/>
        <v>1</v>
      </c>
      <c r="K182" s="17">
        <f t="shared" si="810"/>
        <v>2</v>
      </c>
      <c r="L182" s="18">
        <f t="shared" si="811"/>
        <v>1.0395843641761504</v>
      </c>
      <c r="M182" s="34">
        <f t="shared" si="812"/>
        <v>3.9584364176150411E-2</v>
      </c>
      <c r="N182" s="33">
        <f t="shared" si="813"/>
        <v>0.55259400285578297</v>
      </c>
      <c r="O182" s="33">
        <f t="shared" si="814"/>
        <v>0.55571725249991621</v>
      </c>
      <c r="P182" s="33">
        <f t="shared" si="815"/>
        <v>0.55467590301630942</v>
      </c>
      <c r="Q182" s="33">
        <f t="shared" si="816"/>
        <v>0.55467590301630942</v>
      </c>
      <c r="R182" s="35">
        <f t="shared" si="817"/>
        <v>1.0598669931991025</v>
      </c>
      <c r="S182" s="35">
        <f t="shared" si="818"/>
        <v>3.9602605831870696E-2</v>
      </c>
    </row>
    <row r="183" spans="1:19" ht="15" customHeight="1" x14ac:dyDescent="0.3">
      <c r="A183" s="30">
        <f>Odds_Input!A183</f>
        <v>175</v>
      </c>
      <c r="B183" s="7" t="str">
        <f>Odds_Input!B183</f>
        <v>WINS</v>
      </c>
      <c r="C183" s="7" t="str">
        <f>Odds_Input!C183</f>
        <v>Sacramento Kings</v>
      </c>
      <c r="D183" s="7" t="str">
        <f>Odds_Input!D183</f>
        <v>UNDER</v>
      </c>
      <c r="E183" s="31">
        <f>Odds_Input!E183</f>
        <v>20.5</v>
      </c>
      <c r="F183" s="32">
        <f>Odds_Input!F183</f>
        <v>115</v>
      </c>
      <c r="G183" s="6" t="str">
        <f t="shared" si="806"/>
        <v>WINS|Sacramento Kings|20.5</v>
      </c>
      <c r="H183" s="14">
        <f t="shared" si="807"/>
        <v>2.15</v>
      </c>
      <c r="I183" s="33">
        <f t="shared" si="808"/>
        <v>0.46511627906976744</v>
      </c>
      <c r="J183" s="17">
        <f t="shared" si="809"/>
        <v>1</v>
      </c>
      <c r="K183" s="17">
        <f t="shared" si="810"/>
        <v>2</v>
      </c>
      <c r="L183" s="18">
        <f t="shared" si="811"/>
        <v>1.0395843641761504</v>
      </c>
      <c r="M183" s="34">
        <f t="shared" si="812"/>
        <v>3.9584364176150411E-2</v>
      </c>
      <c r="N183" s="33">
        <f t="shared" si="813"/>
        <v>0.44740599714421703</v>
      </c>
      <c r="O183" s="33">
        <f t="shared" si="814"/>
        <v>0.44428274763334102</v>
      </c>
      <c r="P183" s="33">
        <f t="shared" si="815"/>
        <v>0.44532409697922487</v>
      </c>
      <c r="Q183" s="33">
        <f t="shared" si="816"/>
        <v>0.44532409697922487</v>
      </c>
      <c r="R183" s="35">
        <f t="shared" si="817"/>
        <v>1.0598669931991025</v>
      </c>
      <c r="S183" s="35">
        <f t="shared" si="818"/>
        <v>3.9602605831870696E-2</v>
      </c>
    </row>
    <row r="184" spans="1:19" ht="15" customHeight="1" x14ac:dyDescent="0.3">
      <c r="A184" s="30">
        <f>Odds_Input!A184</f>
        <v>176</v>
      </c>
      <c r="B184" s="7" t="str">
        <f>Odds_Input!B184</f>
        <v>WINS</v>
      </c>
      <c r="C184" s="7" t="str">
        <f>Odds_Input!C184</f>
        <v>Cleveland Cavaliers</v>
      </c>
      <c r="D184" s="7" t="str">
        <f>Odds_Input!D184</f>
        <v>OVER</v>
      </c>
      <c r="E184" s="31">
        <f>Odds_Input!E184</f>
        <v>47.5</v>
      </c>
      <c r="F184" s="32">
        <f>Odds_Input!F184</f>
        <v>-125</v>
      </c>
      <c r="G184" s="6" t="str">
        <f t="shared" si="806"/>
        <v>WINS|Cleveland Cavaliers|47.5</v>
      </c>
      <c r="H184" s="14">
        <f t="shared" si="807"/>
        <v>1.8</v>
      </c>
      <c r="I184" s="33">
        <f t="shared" si="808"/>
        <v>0.55555555555555558</v>
      </c>
      <c r="J184" s="17">
        <f t="shared" si="809"/>
        <v>1</v>
      </c>
      <c r="K184" s="17">
        <f t="shared" si="810"/>
        <v>2</v>
      </c>
      <c r="L184" s="18">
        <f t="shared" si="811"/>
        <v>1.0433604336043361</v>
      </c>
      <c r="M184" s="34">
        <f t="shared" si="812"/>
        <v>4.3360433604336057E-2</v>
      </c>
      <c r="N184" s="33">
        <f t="shared" si="813"/>
        <v>0.53246753246753253</v>
      </c>
      <c r="O184" s="33">
        <f t="shared" si="814"/>
        <v>0.53458622729298633</v>
      </c>
      <c r="P184" s="33">
        <f t="shared" si="815"/>
        <v>0.53387533873028026</v>
      </c>
      <c r="Q184" s="33">
        <f t="shared" si="816"/>
        <v>0.53387533873028026</v>
      </c>
      <c r="R184" s="35">
        <f t="shared" si="817"/>
        <v>1.0654583978233858</v>
      </c>
      <c r="S184" s="35">
        <f t="shared" si="818"/>
        <v>4.3368743266931839E-2</v>
      </c>
    </row>
    <row r="185" spans="1:19" ht="15" customHeight="1" x14ac:dyDescent="0.3">
      <c r="A185" s="30">
        <f>Odds_Input!A185</f>
        <v>177</v>
      </c>
      <c r="B185" s="7" t="str">
        <f>Odds_Input!B185</f>
        <v>WINS</v>
      </c>
      <c r="C185" s="7" t="str">
        <f>Odds_Input!C185</f>
        <v>Cleveland Cavaliers</v>
      </c>
      <c r="D185" s="7" t="str">
        <f>Odds_Input!D185</f>
        <v>UNDER</v>
      </c>
      <c r="E185" s="31">
        <f>Odds_Input!E185</f>
        <v>47.5</v>
      </c>
      <c r="F185" s="32">
        <f>Odds_Input!F185</f>
        <v>105</v>
      </c>
      <c r="G185" s="6" t="str">
        <f t="shared" si="806"/>
        <v>WINS|Cleveland Cavaliers|47.5</v>
      </c>
      <c r="H185" s="14">
        <f t="shared" si="807"/>
        <v>2.0499999999999998</v>
      </c>
      <c r="I185" s="33">
        <f t="shared" si="808"/>
        <v>0.48780487804878053</v>
      </c>
      <c r="J185" s="17">
        <f t="shared" si="809"/>
        <v>1</v>
      </c>
      <c r="K185" s="17">
        <f t="shared" si="810"/>
        <v>2</v>
      </c>
      <c r="L185" s="18">
        <f t="shared" si="811"/>
        <v>1.0433604336043361</v>
      </c>
      <c r="M185" s="34">
        <f t="shared" si="812"/>
        <v>4.3360433604336057E-2</v>
      </c>
      <c r="N185" s="33">
        <f t="shared" si="813"/>
        <v>0.46753246753246758</v>
      </c>
      <c r="O185" s="33">
        <f t="shared" si="814"/>
        <v>0.46541377241837562</v>
      </c>
      <c r="P185" s="33">
        <f t="shared" si="815"/>
        <v>0.46612466122030238</v>
      </c>
      <c r="Q185" s="33">
        <f t="shared" si="816"/>
        <v>0.46612466122030238</v>
      </c>
      <c r="R185" s="35">
        <f t="shared" si="817"/>
        <v>1.0654583978233858</v>
      </c>
      <c r="S185" s="35">
        <f t="shared" si="818"/>
        <v>4.3368743266931839E-2</v>
      </c>
    </row>
    <row r="186" spans="1:19" ht="15" customHeight="1" x14ac:dyDescent="0.3">
      <c r="A186" s="30">
        <f>Odds_Input!A186</f>
        <v>178</v>
      </c>
      <c r="B186" s="7" t="str">
        <f>Odds_Input!B186</f>
        <v>WINS</v>
      </c>
      <c r="C186" s="7" t="str">
        <f>Odds_Input!C186</f>
        <v>Denver Nuggets</v>
      </c>
      <c r="D186" s="7" t="str">
        <f>Odds_Input!D186</f>
        <v>OVER</v>
      </c>
      <c r="E186" s="31">
        <f>Odds_Input!E186</f>
        <v>49.5</v>
      </c>
      <c r="F186" s="32">
        <f>Odds_Input!F186</f>
        <v>120</v>
      </c>
      <c r="G186" s="6" t="str">
        <f t="shared" si="806"/>
        <v>WINS|Denver Nuggets|49.5</v>
      </c>
      <c r="H186" s="14">
        <f t="shared" si="807"/>
        <v>2.2000000000000002</v>
      </c>
      <c r="I186" s="33">
        <f t="shared" si="808"/>
        <v>0.45454545454545453</v>
      </c>
      <c r="J186" s="17">
        <f t="shared" si="809"/>
        <v>1</v>
      </c>
      <c r="K186" s="17">
        <f t="shared" si="810"/>
        <v>2</v>
      </c>
      <c r="L186" s="18">
        <f t="shared" si="811"/>
        <v>1.0378787878787878</v>
      </c>
      <c r="M186" s="34">
        <f t="shared" si="812"/>
        <v>3.7878787878787845E-2</v>
      </c>
      <c r="N186" s="33">
        <f t="shared" si="813"/>
        <v>0.43795620437956206</v>
      </c>
      <c r="O186" s="33">
        <f t="shared" si="814"/>
        <v>0.43443525150940587</v>
      </c>
      <c r="P186" s="33">
        <f t="shared" si="815"/>
        <v>0.4356060606181606</v>
      </c>
      <c r="Q186" s="33">
        <f t="shared" si="816"/>
        <v>0.4356060606181606</v>
      </c>
      <c r="R186" s="35">
        <f t="shared" si="817"/>
        <v>1.0573918206384398</v>
      </c>
      <c r="S186" s="35">
        <f t="shared" si="818"/>
        <v>3.7902104114717922E-2</v>
      </c>
    </row>
    <row r="187" spans="1:19" ht="15" customHeight="1" x14ac:dyDescent="0.3">
      <c r="A187" s="30">
        <f>Odds_Input!A187</f>
        <v>179</v>
      </c>
      <c r="B187" s="7" t="str">
        <f>Odds_Input!B187</f>
        <v>WINS</v>
      </c>
      <c r="C187" s="7" t="str">
        <f>Odds_Input!C187</f>
        <v>Denver Nuggets</v>
      </c>
      <c r="D187" s="7" t="str">
        <f>Odds_Input!D187</f>
        <v>UNDER</v>
      </c>
      <c r="E187" s="31">
        <f>Odds_Input!E187</f>
        <v>49.5</v>
      </c>
      <c r="F187" s="32">
        <f>Odds_Input!F187</f>
        <v>-140</v>
      </c>
      <c r="G187" s="6" t="str">
        <f t="shared" si="806"/>
        <v>WINS|Denver Nuggets|49.5</v>
      </c>
      <c r="H187" s="14">
        <f t="shared" si="807"/>
        <v>1.7142857142857144</v>
      </c>
      <c r="I187" s="33">
        <f t="shared" si="808"/>
        <v>0.58333333333333326</v>
      </c>
      <c r="J187" s="17">
        <f t="shared" si="809"/>
        <v>1</v>
      </c>
      <c r="K187" s="17">
        <f t="shared" si="810"/>
        <v>2</v>
      </c>
      <c r="L187" s="18">
        <f t="shared" si="811"/>
        <v>1.0378787878787878</v>
      </c>
      <c r="M187" s="34">
        <f t="shared" si="812"/>
        <v>3.7878787878787845E-2</v>
      </c>
      <c r="N187" s="33">
        <f t="shared" si="813"/>
        <v>0.56204379562043794</v>
      </c>
      <c r="O187" s="33">
        <f t="shared" si="814"/>
        <v>0.5655647490447987</v>
      </c>
      <c r="P187" s="33">
        <f t="shared" si="815"/>
        <v>0.56439393940337157</v>
      </c>
      <c r="Q187" s="33">
        <f t="shared" si="816"/>
        <v>0.56439393940337157</v>
      </c>
      <c r="R187" s="35">
        <f t="shared" si="817"/>
        <v>1.0573918206384398</v>
      </c>
      <c r="S187" s="35">
        <f t="shared" si="818"/>
        <v>3.7902104114717922E-2</v>
      </c>
    </row>
    <row r="188" spans="1:19" ht="15" customHeight="1" x14ac:dyDescent="0.3">
      <c r="A188" s="30">
        <f>Odds_Input!A188</f>
        <v>180</v>
      </c>
      <c r="B188" s="7" t="str">
        <f>Odds_Input!B188</f>
        <v>PLAYOFFS</v>
      </c>
      <c r="C188" s="7" t="str">
        <f>Odds_Input!C188</f>
        <v>Boston Celtics</v>
      </c>
      <c r="D188" s="7" t="str">
        <f>Odds_Input!D188</f>
        <v>YES</v>
      </c>
      <c r="E188" s="31" t="str">
        <f>Odds_Input!E188</f>
        <v>-</v>
      </c>
      <c r="F188" s="32">
        <f>Odds_Input!F188</f>
        <v>-875</v>
      </c>
      <c r="G188" s="6" t="str">
        <f t="shared" si="806"/>
        <v>PLAYOFFS|Boston Celtics</v>
      </c>
      <c r="H188" s="14">
        <f t="shared" si="807"/>
        <v>1.1142857142857143</v>
      </c>
      <c r="I188" s="33">
        <f t="shared" si="808"/>
        <v>0.89743589743589736</v>
      </c>
      <c r="J188" s="17">
        <f t="shared" si="809"/>
        <v>1</v>
      </c>
      <c r="K188" s="17">
        <f t="shared" si="810"/>
        <v>2</v>
      </c>
      <c r="L188" s="18">
        <f t="shared" si="811"/>
        <v>1.0713489409141581</v>
      </c>
      <c r="M188" s="34">
        <f t="shared" si="812"/>
        <v>7.134894091415811E-2</v>
      </c>
      <c r="N188" s="33">
        <f t="shared" si="813"/>
        <v>0.83766909469302819</v>
      </c>
      <c r="O188" s="33">
        <f t="shared" si="814"/>
        <v>0.8779768930635018</v>
      </c>
      <c r="P188" s="33">
        <f t="shared" si="815"/>
        <v>0.86176142698555536</v>
      </c>
      <c r="Q188" s="33">
        <f t="shared" si="816"/>
        <v>0.86176142698555536</v>
      </c>
      <c r="R188" s="35">
        <f t="shared" si="817"/>
        <v>1.2025754790520291</v>
      </c>
      <c r="S188" s="35">
        <f t="shared" si="818"/>
        <v>7.6568962905027793E-2</v>
      </c>
    </row>
    <row r="189" spans="1:19" ht="15" customHeight="1" x14ac:dyDescent="0.3">
      <c r="A189" s="30">
        <f>Odds_Input!A189</f>
        <v>181</v>
      </c>
      <c r="B189" s="7" t="str">
        <f>Odds_Input!B189</f>
        <v>PLAYOFFS</v>
      </c>
      <c r="C189" s="7" t="str">
        <f>Odds_Input!C189</f>
        <v>Boston Celtics</v>
      </c>
      <c r="D189" s="7" t="str">
        <f>Odds_Input!D189</f>
        <v>NO</v>
      </c>
      <c r="E189" s="31" t="str">
        <f>Odds_Input!E189</f>
        <v>-</v>
      </c>
      <c r="F189" s="32">
        <f>Odds_Input!F189</f>
        <v>475</v>
      </c>
      <c r="G189" s="6" t="str">
        <f t="shared" si="806"/>
        <v>PLAYOFFS|Boston Celtics</v>
      </c>
      <c r="H189" s="14">
        <f t="shared" si="807"/>
        <v>5.75</v>
      </c>
      <c r="I189" s="33">
        <f t="shared" si="808"/>
        <v>0.17391304347826086</v>
      </c>
      <c r="J189" s="17">
        <f t="shared" si="809"/>
        <v>1</v>
      </c>
      <c r="K189" s="17">
        <f t="shared" si="810"/>
        <v>2</v>
      </c>
      <c r="L189" s="18">
        <f t="shared" si="811"/>
        <v>1.0713489409141581</v>
      </c>
      <c r="M189" s="34">
        <f t="shared" si="812"/>
        <v>7.134894091415811E-2</v>
      </c>
      <c r="N189" s="33">
        <f t="shared" si="813"/>
        <v>0.16233090530697192</v>
      </c>
      <c r="O189" s="33">
        <f t="shared" si="814"/>
        <v>0.12202310665696595</v>
      </c>
      <c r="P189" s="33">
        <f t="shared" si="815"/>
        <v>0.13823857305504472</v>
      </c>
      <c r="Q189" s="33">
        <f t="shared" si="816"/>
        <v>0.13823857305504472</v>
      </c>
      <c r="R189" s="35">
        <f t="shared" si="817"/>
        <v>1.2025754790520291</v>
      </c>
      <c r="S189" s="35">
        <f t="shared" si="818"/>
        <v>7.6568962905027793E-2</v>
      </c>
    </row>
    <row r="190" spans="1:19" ht="15" customHeight="1" x14ac:dyDescent="0.3">
      <c r="A190" s="30">
        <f>Odds_Input!A190</f>
        <v>182</v>
      </c>
      <c r="B190" s="7" t="str">
        <f>Odds_Input!B190</f>
        <v>PLAYOFFS</v>
      </c>
      <c r="C190" s="7" t="str">
        <f>Odds_Input!C190</f>
        <v>Detroit Pistons</v>
      </c>
      <c r="D190" s="7" t="str">
        <f>Odds_Input!D190</f>
        <v>YES</v>
      </c>
      <c r="E190" s="31" t="str">
        <f>Odds_Input!E190</f>
        <v>-</v>
      </c>
      <c r="F190" s="32">
        <f>Odds_Input!F190</f>
        <v>-550</v>
      </c>
      <c r="G190" s="6" t="str">
        <f t="shared" si="806"/>
        <v>PLAYOFFS|Detroit Pistons</v>
      </c>
      <c r="H190" s="14">
        <f t="shared" si="807"/>
        <v>1.1818181818181819</v>
      </c>
      <c r="I190" s="33">
        <f t="shared" si="808"/>
        <v>0.84615384615384615</v>
      </c>
      <c r="J190" s="17">
        <f t="shared" si="809"/>
        <v>1</v>
      </c>
      <c r="K190" s="17">
        <f t="shared" si="810"/>
        <v>2</v>
      </c>
      <c r="L190" s="18">
        <f t="shared" si="811"/>
        <v>1.0566801619433197</v>
      </c>
      <c r="M190" s="34">
        <f t="shared" si="812"/>
        <v>5.6680161943319707E-2</v>
      </c>
      <c r="N190" s="33">
        <f t="shared" si="813"/>
        <v>0.80076628352490431</v>
      </c>
      <c r="O190" s="33">
        <f t="shared" si="814"/>
        <v>0.82801008334412096</v>
      </c>
      <c r="P190" s="33">
        <f t="shared" si="815"/>
        <v>0.81781376517646998</v>
      </c>
      <c r="Q190" s="33">
        <f t="shared" si="816"/>
        <v>0.81781376517646998</v>
      </c>
      <c r="R190" s="35">
        <f t="shared" si="817"/>
        <v>1.1297535591525962</v>
      </c>
      <c r="S190" s="35">
        <f t="shared" si="818"/>
        <v>5.8741238169805254E-2</v>
      </c>
    </row>
    <row r="191" spans="1:19" ht="15" customHeight="1" x14ac:dyDescent="0.3">
      <c r="A191" s="30">
        <f>Odds_Input!A191</f>
        <v>183</v>
      </c>
      <c r="B191" s="7" t="str">
        <f>Odds_Input!B191</f>
        <v>PLAYOFFS</v>
      </c>
      <c r="C191" s="7" t="str">
        <f>Odds_Input!C191</f>
        <v>Detroit Pistons</v>
      </c>
      <c r="D191" s="7" t="str">
        <f>Odds_Input!D191</f>
        <v>NO</v>
      </c>
      <c r="E191" s="31" t="str">
        <f>Odds_Input!E191</f>
        <v>-</v>
      </c>
      <c r="F191" s="32">
        <f>Odds_Input!F191</f>
        <v>375</v>
      </c>
      <c r="G191" s="6" t="str">
        <f t="shared" si="806"/>
        <v>PLAYOFFS|Detroit Pistons</v>
      </c>
      <c r="H191" s="14">
        <f t="shared" si="807"/>
        <v>4.75</v>
      </c>
      <c r="I191" s="33">
        <f t="shared" si="808"/>
        <v>0.21052631578947367</v>
      </c>
      <c r="J191" s="17">
        <f t="shared" si="809"/>
        <v>1</v>
      </c>
      <c r="K191" s="17">
        <f t="shared" si="810"/>
        <v>2</v>
      </c>
      <c r="L191" s="18">
        <f t="shared" si="811"/>
        <v>1.0566801619433197</v>
      </c>
      <c r="M191" s="34">
        <f t="shared" si="812"/>
        <v>5.6680161943319707E-2</v>
      </c>
      <c r="N191" s="33">
        <f t="shared" si="813"/>
        <v>0.1992337164750958</v>
      </c>
      <c r="O191" s="33">
        <f t="shared" si="814"/>
        <v>0.17198991666762894</v>
      </c>
      <c r="P191" s="33">
        <f t="shared" si="815"/>
        <v>0.18218623479507012</v>
      </c>
      <c r="Q191" s="33">
        <f t="shared" si="816"/>
        <v>0.18218623479507012</v>
      </c>
      <c r="R191" s="35">
        <f t="shared" si="817"/>
        <v>1.1297535591525962</v>
      </c>
      <c r="S191" s="35">
        <f t="shared" si="818"/>
        <v>5.8741238169805254E-2</v>
      </c>
    </row>
    <row r="192" spans="1:19" ht="15" customHeight="1" x14ac:dyDescent="0.3">
      <c r="A192" s="30">
        <f>Odds_Input!A192</f>
        <v>184</v>
      </c>
      <c r="B192" s="7" t="str">
        <f>Odds_Input!B192</f>
        <v>PLAYOFFS</v>
      </c>
      <c r="C192" s="7" t="str">
        <f>Odds_Input!C192</f>
        <v>New York Knicks</v>
      </c>
      <c r="D192" s="7" t="str">
        <f>Odds_Input!D192</f>
        <v>YES</v>
      </c>
      <c r="E192" s="31" t="str">
        <f>Odds_Input!E192</f>
        <v>-</v>
      </c>
      <c r="F192" s="32">
        <f>Odds_Input!F192</f>
        <v>-1100</v>
      </c>
      <c r="G192" s="6" t="str">
        <f t="shared" si="806"/>
        <v>PLAYOFFS|New York Knicks</v>
      </c>
      <c r="H192" s="14">
        <f t="shared" si="807"/>
        <v>1.0909090909090908</v>
      </c>
      <c r="I192" s="33">
        <f t="shared" si="808"/>
        <v>0.91666666666666674</v>
      </c>
      <c r="J192" s="17">
        <f t="shared" si="809"/>
        <v>1</v>
      </c>
      <c r="K192" s="17">
        <f t="shared" si="810"/>
        <v>2</v>
      </c>
      <c r="L192" s="18">
        <f t="shared" si="811"/>
        <v>1.05</v>
      </c>
      <c r="M192" s="34">
        <f t="shared" si="812"/>
        <v>5.0000000000000044E-2</v>
      </c>
      <c r="N192" s="33">
        <f t="shared" si="813"/>
        <v>0.87301587301587302</v>
      </c>
      <c r="O192" s="33">
        <f t="shared" si="814"/>
        <v>0.90382545353773835</v>
      </c>
      <c r="P192" s="33">
        <f t="shared" si="815"/>
        <v>0.89166666666961003</v>
      </c>
      <c r="Q192" s="33">
        <f t="shared" si="816"/>
        <v>0.89166666666961003</v>
      </c>
      <c r="R192" s="35">
        <f t="shared" si="817"/>
        <v>1.1621356091694905</v>
      </c>
      <c r="S192" s="35">
        <f t="shared" si="818"/>
        <v>5.3781109802821067E-2</v>
      </c>
    </row>
    <row r="193" spans="1:19" ht="15" customHeight="1" x14ac:dyDescent="0.3">
      <c r="A193" s="30">
        <f>Odds_Input!A193</f>
        <v>185</v>
      </c>
      <c r="B193" s="7" t="str">
        <f>Odds_Input!B193</f>
        <v>PLAYOFFS</v>
      </c>
      <c r="C193" s="7" t="str">
        <f>Odds_Input!C193</f>
        <v>New York Knicks</v>
      </c>
      <c r="D193" s="7" t="str">
        <f>Odds_Input!D193</f>
        <v>NO</v>
      </c>
      <c r="E193" s="31" t="str">
        <f>Odds_Input!E193</f>
        <v>-</v>
      </c>
      <c r="F193" s="32">
        <f>Odds_Input!F193</f>
        <v>650</v>
      </c>
      <c r="G193" s="6" t="str">
        <f t="shared" si="806"/>
        <v>PLAYOFFS|New York Knicks</v>
      </c>
      <c r="H193" s="14">
        <f t="shared" si="807"/>
        <v>7.5</v>
      </c>
      <c r="I193" s="33">
        <f t="shared" si="808"/>
        <v>0.13333333333333333</v>
      </c>
      <c r="J193" s="17">
        <f t="shared" si="809"/>
        <v>1</v>
      </c>
      <c r="K193" s="17">
        <f t="shared" si="810"/>
        <v>2</v>
      </c>
      <c r="L193" s="18">
        <f t="shared" si="811"/>
        <v>1.05</v>
      </c>
      <c r="M193" s="34">
        <f t="shared" si="812"/>
        <v>5.0000000000000044E-2</v>
      </c>
      <c r="N193" s="33">
        <f t="shared" si="813"/>
        <v>0.12698412698412698</v>
      </c>
      <c r="O193" s="33">
        <f t="shared" si="814"/>
        <v>9.6174546165522651E-2</v>
      </c>
      <c r="P193" s="33">
        <f t="shared" si="815"/>
        <v>0.10833333335313654</v>
      </c>
      <c r="Q193" s="33">
        <f t="shared" si="816"/>
        <v>0.10833333335313654</v>
      </c>
      <c r="R193" s="35">
        <f t="shared" si="817"/>
        <v>1.1621356091694905</v>
      </c>
      <c r="S193" s="35">
        <f t="shared" si="818"/>
        <v>5.3781109802821067E-2</v>
      </c>
    </row>
    <row r="194" spans="1:19" ht="15" customHeight="1" x14ac:dyDescent="0.3">
      <c r="A194" s="30">
        <f>Odds_Input!A194</f>
        <v>186</v>
      </c>
      <c r="B194" s="7" t="str">
        <f>Odds_Input!B194</f>
        <v>PLAYOFFS</v>
      </c>
      <c r="C194" s="7" t="str">
        <f>Odds_Input!C194</f>
        <v>Philadelphia 76ers</v>
      </c>
      <c r="D194" s="7" t="str">
        <f>Odds_Input!D194</f>
        <v>YES</v>
      </c>
      <c r="E194" s="31" t="str">
        <f>Odds_Input!E194</f>
        <v>-</v>
      </c>
      <c r="F194" s="32">
        <f>Odds_Input!F194</f>
        <v>-900</v>
      </c>
      <c r="G194" s="6" t="str">
        <f t="shared" si="806"/>
        <v>PLAYOFFS|Philadelphia 76ers</v>
      </c>
      <c r="H194" s="14">
        <f t="shared" si="807"/>
        <v>1.1111111111111112</v>
      </c>
      <c r="I194" s="33">
        <f t="shared" si="808"/>
        <v>0.89999999999999991</v>
      </c>
      <c r="J194" s="17">
        <f t="shared" si="809"/>
        <v>1</v>
      </c>
      <c r="K194" s="17">
        <f t="shared" si="810"/>
        <v>2</v>
      </c>
      <c r="L194" s="18">
        <f t="shared" si="811"/>
        <v>1.0666666666666667</v>
      </c>
      <c r="M194" s="34">
        <f t="shared" si="812"/>
        <v>6.6666666666666652E-2</v>
      </c>
      <c r="N194" s="33">
        <f t="shared" si="813"/>
        <v>0.84374999999999989</v>
      </c>
      <c r="O194" s="33">
        <f t="shared" si="814"/>
        <v>0.8819371544512663</v>
      </c>
      <c r="P194" s="33">
        <f t="shared" si="815"/>
        <v>0.86666666666511538</v>
      </c>
      <c r="Q194" s="33">
        <f t="shared" si="816"/>
        <v>0.86666666666511538</v>
      </c>
      <c r="R194" s="35">
        <f t="shared" si="817"/>
        <v>1.1924246781272814</v>
      </c>
      <c r="S194" s="35">
        <f t="shared" si="818"/>
        <v>7.1514423099487912E-2</v>
      </c>
    </row>
    <row r="195" spans="1:19" ht="15" customHeight="1" x14ac:dyDescent="0.3">
      <c r="A195" s="30">
        <f>Odds_Input!A195</f>
        <v>187</v>
      </c>
      <c r="B195" s="7" t="str">
        <f>Odds_Input!B195</f>
        <v>PLAYOFFS</v>
      </c>
      <c r="C195" s="7" t="str">
        <f>Odds_Input!C195</f>
        <v>Philadelphia 76ers</v>
      </c>
      <c r="D195" s="7" t="str">
        <f>Odds_Input!D195</f>
        <v>NO</v>
      </c>
      <c r="E195" s="31" t="str">
        <f>Odds_Input!E195</f>
        <v>-</v>
      </c>
      <c r="F195" s="32">
        <f>Odds_Input!F195</f>
        <v>500</v>
      </c>
      <c r="G195" s="6" t="str">
        <f t="shared" si="806"/>
        <v>PLAYOFFS|Philadelphia 76ers</v>
      </c>
      <c r="H195" s="14">
        <f t="shared" si="807"/>
        <v>6</v>
      </c>
      <c r="I195" s="33">
        <f t="shared" si="808"/>
        <v>0.16666666666666666</v>
      </c>
      <c r="J195" s="17">
        <f t="shared" si="809"/>
        <v>1</v>
      </c>
      <c r="K195" s="17">
        <f t="shared" si="810"/>
        <v>2</v>
      </c>
      <c r="L195" s="18">
        <f t="shared" si="811"/>
        <v>1.0666666666666667</v>
      </c>
      <c r="M195" s="34">
        <f t="shared" si="812"/>
        <v>6.6666666666666652E-2</v>
      </c>
      <c r="N195" s="33">
        <f t="shared" si="813"/>
        <v>0.15625</v>
      </c>
      <c r="O195" s="33">
        <f t="shared" si="814"/>
        <v>0.11806284537400634</v>
      </c>
      <c r="P195" s="33">
        <f t="shared" si="815"/>
        <v>0.1333333333251622</v>
      </c>
      <c r="Q195" s="33">
        <f t="shared" si="816"/>
        <v>0.1333333333251622</v>
      </c>
      <c r="R195" s="35">
        <f t="shared" si="817"/>
        <v>1.1924246781272814</v>
      </c>
      <c r="S195" s="35">
        <f t="shared" si="818"/>
        <v>7.1514423099487912E-2</v>
      </c>
    </row>
    <row r="196" spans="1:19" ht="15" customHeight="1" x14ac:dyDescent="0.3">
      <c r="A196" s="30">
        <f>Odds_Input!A196</f>
        <v>188</v>
      </c>
      <c r="B196" s="7" t="str">
        <f>Odds_Input!B196</f>
        <v>PLAYOFFS</v>
      </c>
      <c r="C196" s="7" t="str">
        <f>Odds_Input!C196</f>
        <v>Oklahoma City Thunder</v>
      </c>
      <c r="D196" s="7" t="str">
        <f>Odds_Input!D196</f>
        <v>YES</v>
      </c>
      <c r="E196" s="31" t="str">
        <f>Odds_Input!E196</f>
        <v>-</v>
      </c>
      <c r="F196" s="32">
        <f>Odds_Input!F196</f>
        <v>-10000</v>
      </c>
      <c r="G196" s="6" t="str">
        <f t="shared" si="806"/>
        <v>PLAYOFFS|Oklahoma City Thunder</v>
      </c>
      <c r="H196" s="14">
        <f t="shared" si="807"/>
        <v>1.01</v>
      </c>
      <c r="I196" s="33">
        <f t="shared" si="808"/>
        <v>0.99009900990099009</v>
      </c>
      <c r="J196" s="17">
        <f t="shared" si="809"/>
        <v>1</v>
      </c>
      <c r="K196" s="17">
        <f t="shared" si="810"/>
        <v>2</v>
      </c>
      <c r="L196" s="18">
        <f t="shared" si="811"/>
        <v>1.0309153364316024</v>
      </c>
      <c r="M196" s="34">
        <f t="shared" si="812"/>
        <v>3.091533643160238E-2</v>
      </c>
      <c r="N196" s="33">
        <f t="shared" si="813"/>
        <v>0.96040768326146608</v>
      </c>
      <c r="O196" s="33">
        <f t="shared" si="814"/>
        <v>0.98666050296410568</v>
      </c>
      <c r="P196" s="33">
        <f t="shared" si="815"/>
        <v>0.97464134168653338</v>
      </c>
      <c r="Q196" s="33">
        <f t="shared" si="816"/>
        <v>0.97464134168653338</v>
      </c>
      <c r="R196" s="35">
        <f t="shared" si="817"/>
        <v>1.3496302329702305</v>
      </c>
      <c r="S196" s="35">
        <f t="shared" si="818"/>
        <v>3.936588638032984E-2</v>
      </c>
    </row>
    <row r="197" spans="1:19" ht="15" customHeight="1" x14ac:dyDescent="0.3">
      <c r="A197" s="30">
        <f>Odds_Input!A197</f>
        <v>189</v>
      </c>
      <c r="B197" s="7" t="str">
        <f>Odds_Input!B197</f>
        <v>PLAYOFFS</v>
      </c>
      <c r="C197" s="7" t="str">
        <f>Odds_Input!C197</f>
        <v>Oklahoma City Thunder</v>
      </c>
      <c r="D197" s="7" t="str">
        <f>Odds_Input!D197</f>
        <v>NO</v>
      </c>
      <c r="E197" s="31" t="str">
        <f>Odds_Input!E197</f>
        <v>-</v>
      </c>
      <c r="F197" s="32">
        <f>Odds_Input!F197</f>
        <v>2350</v>
      </c>
      <c r="G197" s="6" t="str">
        <f t="shared" si="806"/>
        <v>PLAYOFFS|Oklahoma City Thunder</v>
      </c>
      <c r="H197" s="14">
        <f t="shared" si="807"/>
        <v>24.5</v>
      </c>
      <c r="I197" s="33">
        <f t="shared" si="808"/>
        <v>4.0816326530612242E-2</v>
      </c>
      <c r="J197" s="17">
        <f t="shared" si="809"/>
        <v>1</v>
      </c>
      <c r="K197" s="17">
        <f t="shared" si="810"/>
        <v>2</v>
      </c>
      <c r="L197" s="18">
        <f t="shared" si="811"/>
        <v>1.0309153364316024</v>
      </c>
      <c r="M197" s="34">
        <f t="shared" si="812"/>
        <v>3.091533643160238E-2</v>
      </c>
      <c r="N197" s="33">
        <f t="shared" si="813"/>
        <v>3.9592316738533903E-2</v>
      </c>
      <c r="O197" s="33">
        <f t="shared" si="814"/>
        <v>1.3339497006895731E-2</v>
      </c>
      <c r="P197" s="33">
        <f t="shared" si="815"/>
        <v>2.5358658343993833E-2</v>
      </c>
      <c r="Q197" s="33">
        <f t="shared" si="816"/>
        <v>2.5358658343993833E-2</v>
      </c>
      <c r="R197" s="35">
        <f t="shared" si="817"/>
        <v>1.3496302329702305</v>
      </c>
      <c r="S197" s="35">
        <f t="shared" si="818"/>
        <v>3.936588638032984E-2</v>
      </c>
    </row>
    <row r="198" spans="1:19" ht="15" customHeight="1" x14ac:dyDescent="0.3">
      <c r="A198" s="30">
        <f>Odds_Input!A198</f>
        <v>190</v>
      </c>
      <c r="B198" s="7" t="str">
        <f>Odds_Input!B198</f>
        <v>PLAYOFFS</v>
      </c>
      <c r="C198" s="7" t="str">
        <f>Odds_Input!C198</f>
        <v>San Antonio Spurs</v>
      </c>
      <c r="D198" s="7" t="str">
        <f>Odds_Input!D198</f>
        <v>YES</v>
      </c>
      <c r="E198" s="31" t="str">
        <f>Odds_Input!E198</f>
        <v>-</v>
      </c>
      <c r="F198" s="32">
        <f>Odds_Input!F198</f>
        <v>-10000</v>
      </c>
      <c r="G198" s="6" t="str">
        <f t="shared" si="806"/>
        <v>PLAYOFFS|San Antonio Spurs</v>
      </c>
      <c r="H198" s="14">
        <f t="shared" si="807"/>
        <v>1.01</v>
      </c>
      <c r="I198" s="33">
        <f t="shared" si="808"/>
        <v>0.99009900990099009</v>
      </c>
      <c r="J198" s="17">
        <f t="shared" si="809"/>
        <v>1</v>
      </c>
      <c r="K198" s="17">
        <f t="shared" si="810"/>
        <v>2</v>
      </c>
      <c r="L198" s="18">
        <f t="shared" si="811"/>
        <v>1.0309153364316024</v>
      </c>
      <c r="M198" s="34">
        <f t="shared" si="812"/>
        <v>3.091533643160238E-2</v>
      </c>
      <c r="N198" s="33">
        <f t="shared" si="813"/>
        <v>0.96040768326146608</v>
      </c>
      <c r="O198" s="33">
        <f t="shared" si="814"/>
        <v>0.98666050296410568</v>
      </c>
      <c r="P198" s="33">
        <f t="shared" si="815"/>
        <v>0.97464134168653338</v>
      </c>
      <c r="Q198" s="33">
        <f t="shared" si="816"/>
        <v>0.97464134168653338</v>
      </c>
      <c r="R198" s="35">
        <f t="shared" si="817"/>
        <v>1.3496302329702305</v>
      </c>
      <c r="S198" s="35">
        <f t="shared" si="818"/>
        <v>3.936588638032984E-2</v>
      </c>
    </row>
    <row r="199" spans="1:19" ht="15" customHeight="1" x14ac:dyDescent="0.3">
      <c r="A199" s="30">
        <f>Odds_Input!A199</f>
        <v>191</v>
      </c>
      <c r="B199" s="7" t="str">
        <f>Odds_Input!B199</f>
        <v>PLAYOFFS</v>
      </c>
      <c r="C199" s="7" t="str">
        <f>Odds_Input!C199</f>
        <v>San Antonio Spurs</v>
      </c>
      <c r="D199" s="7" t="str">
        <f>Odds_Input!D199</f>
        <v>NO</v>
      </c>
      <c r="E199" s="31" t="str">
        <f>Odds_Input!E199</f>
        <v>-</v>
      </c>
      <c r="F199" s="32">
        <f>Odds_Input!F199</f>
        <v>2350</v>
      </c>
      <c r="G199" s="6" t="str">
        <f t="shared" si="806"/>
        <v>PLAYOFFS|San Antonio Spurs</v>
      </c>
      <c r="H199" s="14">
        <f t="shared" si="807"/>
        <v>24.5</v>
      </c>
      <c r="I199" s="33">
        <f t="shared" si="808"/>
        <v>4.0816326530612242E-2</v>
      </c>
      <c r="J199" s="17">
        <f t="shared" si="809"/>
        <v>1</v>
      </c>
      <c r="K199" s="17">
        <f t="shared" si="810"/>
        <v>2</v>
      </c>
      <c r="L199" s="18">
        <f t="shared" si="811"/>
        <v>1.0309153364316024</v>
      </c>
      <c r="M199" s="34">
        <f t="shared" si="812"/>
        <v>3.091533643160238E-2</v>
      </c>
      <c r="N199" s="33">
        <f t="shared" si="813"/>
        <v>3.9592316738533903E-2</v>
      </c>
      <c r="O199" s="33">
        <f t="shared" si="814"/>
        <v>1.3339497006895731E-2</v>
      </c>
      <c r="P199" s="33">
        <f t="shared" si="815"/>
        <v>2.5358658343993833E-2</v>
      </c>
      <c r="Q199" s="33">
        <f t="shared" si="816"/>
        <v>2.5358658343993833E-2</v>
      </c>
      <c r="R199" s="35">
        <f t="shared" si="817"/>
        <v>1.3496302329702305</v>
      </c>
      <c r="S199" s="35">
        <f t="shared" si="818"/>
        <v>3.936588638032984E-2</v>
      </c>
    </row>
    <row r="200" spans="1:19" ht="15" customHeight="1" x14ac:dyDescent="0.3">
      <c r="A200" s="30">
        <f>Odds_Input!A200</f>
        <v>192</v>
      </c>
      <c r="B200" s="7" t="str">
        <f>Odds_Input!B200</f>
        <v>PLAYOFFS</v>
      </c>
      <c r="C200" s="7" t="str">
        <f>Odds_Input!C200</f>
        <v>Atlanta Hawks</v>
      </c>
      <c r="D200" s="7" t="str">
        <f>Odds_Input!D200</f>
        <v>YES</v>
      </c>
      <c r="E200" s="31" t="str">
        <f>Odds_Input!E200</f>
        <v>-</v>
      </c>
      <c r="F200" s="32">
        <f>Odds_Input!F200</f>
        <v>-145</v>
      </c>
      <c r="G200" s="6" t="str">
        <f t="shared" ref="G200:G263" si="819">IF(OR(B200="WINS",B200="PLAYOFFS"),B200&amp;"|"&amp;C200&amp;IF(B200="WINS","|"&amp;TEXT(E200,"0.0"),""),B200)</f>
        <v>PLAYOFFS|Atlanta Hawks</v>
      </c>
      <c r="H200" s="14">
        <f t="shared" ref="H200:H263" si="820">IF(F200&gt;0,1+F200/100,1+100/ABS(F200))</f>
        <v>1.6896551724137931</v>
      </c>
      <c r="I200" s="33">
        <f t="shared" ref="I200:I263" si="821">1/H200</f>
        <v>0.59183673469387754</v>
      </c>
      <c r="J200" s="17">
        <f t="shared" ref="J200:J263" si="822">IF(LEFT(B200,6)="PLAYIN",A_playin_slots,1)</f>
        <v>1</v>
      </c>
      <c r="K200" s="17">
        <f t="shared" ref="K200:K263" si="823">COUNTIF($G$8:$G$694,G200)</f>
        <v>2</v>
      </c>
      <c r="L200" s="18">
        <f t="shared" ref="L200:L263" si="824">SUMIF($G$8:$G$694,G200,$I$8:$I$694)</f>
        <v>1.0569530137636449</v>
      </c>
      <c r="M200" s="34">
        <f t="shared" ref="M200:M263" si="825">L200/J200-1</f>
        <v>5.6953013763644922E-2</v>
      </c>
      <c r="N200" s="33">
        <f t="shared" ref="N200:N263" si="826">I200*J200/L200</f>
        <v>0.55994611585092058</v>
      </c>
      <c r="O200" s="33">
        <f t="shared" ref="O200:O263" si="827">I200^R200</f>
        <v>0.56515979997496157</v>
      </c>
      <c r="P200" s="33">
        <f t="shared" ref="P200:P263" si="828">IF(J200&lt;&gt;1,O200,IF(L200&lt;=1,I200/L200,(SQRT(S200^2+4*(1-S200)*I200^2/L200)-S200)/(2*(1-S200))))</f>
        <v>0.56336022781608985</v>
      </c>
      <c r="Q200" s="33">
        <f t="shared" ref="Q200:Q263" si="829">IF(A_devig="Multiplicative",N200,IF(A_devig="Power",O200,P200))</f>
        <v>0.56336022781608985</v>
      </c>
      <c r="R200" s="35">
        <f t="shared" ref="R200:R263" si="830">INDEX($KA$8:$KA$96,MATCH(G200,$X$8:$X$96,0))</f>
        <v>1.0879316231934348</v>
      </c>
      <c r="S200" s="35">
        <f t="shared" ref="S200:S263" si="831">INDEX($KB$8:$KB$96,MATCH(G200,$X$8:$X$96,0))</f>
        <v>5.7003098058693455E-2</v>
      </c>
    </row>
    <row r="201" spans="1:19" ht="15" customHeight="1" x14ac:dyDescent="0.3">
      <c r="A201" s="30">
        <f>Odds_Input!A201</f>
        <v>193</v>
      </c>
      <c r="B201" s="7" t="str">
        <f>Odds_Input!B201</f>
        <v>PLAYOFFS</v>
      </c>
      <c r="C201" s="7" t="str">
        <f>Odds_Input!C201</f>
        <v>Atlanta Hawks</v>
      </c>
      <c r="D201" s="7" t="str">
        <f>Odds_Input!D201</f>
        <v>NO</v>
      </c>
      <c r="E201" s="31" t="str">
        <f>Odds_Input!E201</f>
        <v>-</v>
      </c>
      <c r="F201" s="32">
        <f>Odds_Input!F201</f>
        <v>115</v>
      </c>
      <c r="G201" s="6" t="str">
        <f t="shared" si="819"/>
        <v>PLAYOFFS|Atlanta Hawks</v>
      </c>
      <c r="H201" s="14">
        <f t="shared" si="820"/>
        <v>2.15</v>
      </c>
      <c r="I201" s="33">
        <f t="shared" si="821"/>
        <v>0.46511627906976744</v>
      </c>
      <c r="J201" s="17">
        <f t="shared" si="822"/>
        <v>1</v>
      </c>
      <c r="K201" s="17">
        <f t="shared" si="823"/>
        <v>2</v>
      </c>
      <c r="L201" s="18">
        <f t="shared" si="824"/>
        <v>1.0569530137636449</v>
      </c>
      <c r="M201" s="34">
        <f t="shared" si="825"/>
        <v>5.6953013763644922E-2</v>
      </c>
      <c r="N201" s="33">
        <f t="shared" si="826"/>
        <v>0.44005388414907948</v>
      </c>
      <c r="O201" s="33">
        <f t="shared" si="827"/>
        <v>0.43484019987210276</v>
      </c>
      <c r="P201" s="33">
        <f t="shared" si="828"/>
        <v>0.43663977219307487</v>
      </c>
      <c r="Q201" s="33">
        <f t="shared" si="829"/>
        <v>0.43663977219307487</v>
      </c>
      <c r="R201" s="35">
        <f t="shared" si="830"/>
        <v>1.0879316231934348</v>
      </c>
      <c r="S201" s="35">
        <f t="shared" si="831"/>
        <v>5.7003098058693455E-2</v>
      </c>
    </row>
    <row r="202" spans="1:19" ht="15" customHeight="1" x14ac:dyDescent="0.3">
      <c r="A202" s="30">
        <f>Odds_Input!A202</f>
        <v>194</v>
      </c>
      <c r="B202" s="7" t="str">
        <f>Odds_Input!B202</f>
        <v>PLAYOFFS</v>
      </c>
      <c r="C202" s="7" t="str">
        <f>Odds_Input!C202</f>
        <v>Milwaukee Bucks</v>
      </c>
      <c r="D202" s="7" t="str">
        <f>Odds_Input!D202</f>
        <v>YES</v>
      </c>
      <c r="E202" s="31" t="str">
        <f>Odds_Input!E202</f>
        <v>-</v>
      </c>
      <c r="F202" s="32">
        <f>Odds_Input!F202</f>
        <v>1700</v>
      </c>
      <c r="G202" s="6" t="str">
        <f t="shared" si="819"/>
        <v>PLAYOFFS|Milwaukee Bucks</v>
      </c>
      <c r="H202" s="14">
        <f t="shared" si="820"/>
        <v>18</v>
      </c>
      <c r="I202" s="33">
        <f t="shared" si="821"/>
        <v>5.5555555555555552E-2</v>
      </c>
      <c r="J202" s="17">
        <f t="shared" si="822"/>
        <v>1</v>
      </c>
      <c r="K202" s="17">
        <f t="shared" si="823"/>
        <v>2</v>
      </c>
      <c r="L202" s="18">
        <f t="shared" si="824"/>
        <v>1.0383141762452106</v>
      </c>
      <c r="M202" s="34">
        <f t="shared" si="825"/>
        <v>3.8314176245210607E-2</v>
      </c>
      <c r="N202" s="33">
        <f t="shared" si="826"/>
        <v>5.3505535055350557E-2</v>
      </c>
      <c r="O202" s="33">
        <f t="shared" si="827"/>
        <v>2.2556930446385796E-2</v>
      </c>
      <c r="P202" s="33">
        <f t="shared" si="828"/>
        <v>3.6398467445592587E-2</v>
      </c>
      <c r="Q202" s="33">
        <f t="shared" si="829"/>
        <v>3.6398467445592587E-2</v>
      </c>
      <c r="R202" s="35">
        <f t="shared" si="830"/>
        <v>1.3118426420493057</v>
      </c>
      <c r="S202" s="35">
        <f t="shared" si="831"/>
        <v>4.6977795256573349E-2</v>
      </c>
    </row>
    <row r="203" spans="1:19" ht="15" customHeight="1" x14ac:dyDescent="0.3">
      <c r="A203" s="30">
        <f>Odds_Input!A203</f>
        <v>195</v>
      </c>
      <c r="B203" s="7" t="str">
        <f>Odds_Input!B203</f>
        <v>PLAYOFFS</v>
      </c>
      <c r="C203" s="7" t="str">
        <f>Odds_Input!C203</f>
        <v>Milwaukee Bucks</v>
      </c>
      <c r="D203" s="7" t="str">
        <f>Odds_Input!D203</f>
        <v>NO</v>
      </c>
      <c r="E203" s="31" t="str">
        <f>Odds_Input!E203</f>
        <v>-</v>
      </c>
      <c r="F203" s="32">
        <f>Odds_Input!F203</f>
        <v>-5700</v>
      </c>
      <c r="G203" s="6" t="str">
        <f t="shared" si="819"/>
        <v>PLAYOFFS|Milwaukee Bucks</v>
      </c>
      <c r="H203" s="14">
        <f t="shared" si="820"/>
        <v>1.0175438596491229</v>
      </c>
      <c r="I203" s="33">
        <f t="shared" si="821"/>
        <v>0.98275862068965514</v>
      </c>
      <c r="J203" s="17">
        <f t="shared" si="822"/>
        <v>1</v>
      </c>
      <c r="K203" s="17">
        <f t="shared" si="823"/>
        <v>2</v>
      </c>
      <c r="L203" s="18">
        <f t="shared" si="824"/>
        <v>1.0383141762452106</v>
      </c>
      <c r="M203" s="34">
        <f t="shared" si="825"/>
        <v>3.8314176245210607E-2</v>
      </c>
      <c r="N203" s="33">
        <f t="shared" si="826"/>
        <v>0.94649446494464951</v>
      </c>
      <c r="O203" s="33">
        <f t="shared" si="827"/>
        <v>0.97744306952973414</v>
      </c>
      <c r="P203" s="33">
        <f t="shared" si="828"/>
        <v>0.96360153256783077</v>
      </c>
      <c r="Q203" s="33">
        <f t="shared" si="829"/>
        <v>0.96360153256783077</v>
      </c>
      <c r="R203" s="35">
        <f t="shared" si="830"/>
        <v>1.3118426420493057</v>
      </c>
      <c r="S203" s="35">
        <f t="shared" si="831"/>
        <v>4.6977795256573349E-2</v>
      </c>
    </row>
    <row r="204" spans="1:19" ht="15" customHeight="1" x14ac:dyDescent="0.3">
      <c r="A204" s="30">
        <f>Odds_Input!A204</f>
        <v>196</v>
      </c>
      <c r="B204" s="7" t="str">
        <f>Odds_Input!B204</f>
        <v>PLAYOFFS</v>
      </c>
      <c r="C204" s="7" t="str">
        <f>Odds_Input!C204</f>
        <v>Orlando Magic</v>
      </c>
      <c r="D204" s="7" t="str">
        <f>Odds_Input!D204</f>
        <v>YES</v>
      </c>
      <c r="E204" s="31" t="str">
        <f>Odds_Input!E204</f>
        <v>-</v>
      </c>
      <c r="F204" s="32">
        <f>Odds_Input!F204</f>
        <v>-135</v>
      </c>
      <c r="G204" s="6" t="str">
        <f t="shared" si="819"/>
        <v>PLAYOFFS|Orlando Magic</v>
      </c>
      <c r="H204" s="14">
        <f t="shared" si="820"/>
        <v>1.7407407407407407</v>
      </c>
      <c r="I204" s="33">
        <f t="shared" si="821"/>
        <v>0.57446808510638303</v>
      </c>
      <c r="J204" s="17">
        <f t="shared" si="822"/>
        <v>1</v>
      </c>
      <c r="K204" s="17">
        <f t="shared" si="823"/>
        <v>2</v>
      </c>
      <c r="L204" s="18">
        <f t="shared" si="824"/>
        <v>1.0622729631551635</v>
      </c>
      <c r="M204" s="34">
        <f t="shared" si="825"/>
        <v>6.2272963155163508E-2</v>
      </c>
      <c r="N204" s="33">
        <f t="shared" si="826"/>
        <v>0.54079140205178311</v>
      </c>
      <c r="O204" s="33">
        <f t="shared" si="827"/>
        <v>0.54468860596555813</v>
      </c>
      <c r="P204" s="33">
        <f t="shared" si="828"/>
        <v>0.54333160353491683</v>
      </c>
      <c r="Q204" s="33">
        <f t="shared" si="829"/>
        <v>0.54333160353491683</v>
      </c>
      <c r="R204" s="35">
        <f t="shared" si="830"/>
        <v>1.0960296701407057</v>
      </c>
      <c r="S204" s="35">
        <f t="shared" si="831"/>
        <v>6.230058839854867E-2</v>
      </c>
    </row>
    <row r="205" spans="1:19" ht="15" customHeight="1" x14ac:dyDescent="0.3">
      <c r="A205" s="30">
        <f>Odds_Input!A205</f>
        <v>197</v>
      </c>
      <c r="B205" s="7" t="str">
        <f>Odds_Input!B205</f>
        <v>PLAYOFFS</v>
      </c>
      <c r="C205" s="7" t="str">
        <f>Odds_Input!C205</f>
        <v>Orlando Magic</v>
      </c>
      <c r="D205" s="7" t="str">
        <f>Odds_Input!D205</f>
        <v>NO</v>
      </c>
      <c r="E205" s="31" t="str">
        <f>Odds_Input!E205</f>
        <v>-</v>
      </c>
      <c r="F205" s="32">
        <f>Odds_Input!F205</f>
        <v>105</v>
      </c>
      <c r="G205" s="6" t="str">
        <f t="shared" si="819"/>
        <v>PLAYOFFS|Orlando Magic</v>
      </c>
      <c r="H205" s="14">
        <f t="shared" si="820"/>
        <v>2.0499999999999998</v>
      </c>
      <c r="I205" s="33">
        <f t="shared" si="821"/>
        <v>0.48780487804878053</v>
      </c>
      <c r="J205" s="17">
        <f t="shared" si="822"/>
        <v>1</v>
      </c>
      <c r="K205" s="17">
        <f t="shared" si="823"/>
        <v>2</v>
      </c>
      <c r="L205" s="18">
        <f t="shared" si="824"/>
        <v>1.0622729631551635</v>
      </c>
      <c r="M205" s="34">
        <f t="shared" si="825"/>
        <v>6.2272963155163508E-2</v>
      </c>
      <c r="N205" s="33">
        <f t="shared" si="826"/>
        <v>0.45920859794821695</v>
      </c>
      <c r="O205" s="33">
        <f t="shared" si="827"/>
        <v>0.45531139399819764</v>
      </c>
      <c r="P205" s="33">
        <f t="shared" si="828"/>
        <v>0.45666839647839613</v>
      </c>
      <c r="Q205" s="33">
        <f t="shared" si="829"/>
        <v>0.45666839647839613</v>
      </c>
      <c r="R205" s="35">
        <f t="shared" si="830"/>
        <v>1.0960296701407057</v>
      </c>
      <c r="S205" s="35">
        <f t="shared" si="831"/>
        <v>6.230058839854867E-2</v>
      </c>
    </row>
    <row r="206" spans="1:19" ht="15" customHeight="1" x14ac:dyDescent="0.3">
      <c r="A206" s="30">
        <f>Odds_Input!A206</f>
        <v>198</v>
      </c>
      <c r="B206" s="7" t="str">
        <f>Odds_Input!B206</f>
        <v>PLAYOFFS</v>
      </c>
      <c r="C206" s="7" t="str">
        <f>Odds_Input!C206</f>
        <v>Washington Wizards</v>
      </c>
      <c r="D206" s="7" t="str">
        <f>Odds_Input!D206</f>
        <v>YES</v>
      </c>
      <c r="E206" s="31" t="str">
        <f>Odds_Input!E206</f>
        <v>-</v>
      </c>
      <c r="F206" s="32">
        <f>Odds_Input!F206</f>
        <v>260</v>
      </c>
      <c r="G206" s="6" t="str">
        <f t="shared" si="819"/>
        <v>PLAYOFFS|Washington Wizards</v>
      </c>
      <c r="H206" s="14">
        <f t="shared" si="820"/>
        <v>3.6</v>
      </c>
      <c r="I206" s="33">
        <f t="shared" si="821"/>
        <v>0.27777777777777779</v>
      </c>
      <c r="J206" s="17">
        <f t="shared" si="822"/>
        <v>1</v>
      </c>
      <c r="K206" s="17">
        <f t="shared" si="823"/>
        <v>2</v>
      </c>
      <c r="L206" s="18">
        <f t="shared" si="824"/>
        <v>1.0505050505050506</v>
      </c>
      <c r="M206" s="34">
        <f t="shared" si="825"/>
        <v>5.0505050505050608E-2</v>
      </c>
      <c r="N206" s="33">
        <f t="shared" si="826"/>
        <v>0.26442307692307693</v>
      </c>
      <c r="O206" s="33">
        <f t="shared" si="827"/>
        <v>0.24596267007735698</v>
      </c>
      <c r="P206" s="33">
        <f t="shared" si="828"/>
        <v>0.25252525255748343</v>
      </c>
      <c r="Q206" s="33">
        <f t="shared" si="829"/>
        <v>0.25252525255748343</v>
      </c>
      <c r="R206" s="35">
        <f t="shared" si="830"/>
        <v>1.094963262300007</v>
      </c>
      <c r="S206" s="35">
        <f t="shared" si="831"/>
        <v>5.1292879327305002E-2</v>
      </c>
    </row>
    <row r="207" spans="1:19" ht="15" customHeight="1" x14ac:dyDescent="0.3">
      <c r="A207" s="30">
        <f>Odds_Input!A207</f>
        <v>199</v>
      </c>
      <c r="B207" s="7" t="str">
        <f>Odds_Input!B207</f>
        <v>PLAYOFFS</v>
      </c>
      <c r="C207" s="7" t="str">
        <f>Odds_Input!C207</f>
        <v>Washington Wizards</v>
      </c>
      <c r="D207" s="7" t="str">
        <f>Odds_Input!D207</f>
        <v>NO</v>
      </c>
      <c r="E207" s="31" t="str">
        <f>Odds_Input!E207</f>
        <v>-</v>
      </c>
      <c r="F207" s="32">
        <f>Odds_Input!F207</f>
        <v>-340</v>
      </c>
      <c r="G207" s="6" t="str">
        <f t="shared" si="819"/>
        <v>PLAYOFFS|Washington Wizards</v>
      </c>
      <c r="H207" s="14">
        <f t="shared" si="820"/>
        <v>1.2941176470588236</v>
      </c>
      <c r="I207" s="33">
        <f t="shared" si="821"/>
        <v>0.77272727272727271</v>
      </c>
      <c r="J207" s="17">
        <f t="shared" si="822"/>
        <v>1</v>
      </c>
      <c r="K207" s="17">
        <f t="shared" si="823"/>
        <v>2</v>
      </c>
      <c r="L207" s="18">
        <f t="shared" si="824"/>
        <v>1.0505050505050506</v>
      </c>
      <c r="M207" s="34">
        <f t="shared" si="825"/>
        <v>5.0505050505050608E-2</v>
      </c>
      <c r="N207" s="33">
        <f t="shared" si="826"/>
        <v>0.73557692307692302</v>
      </c>
      <c r="O207" s="33">
        <f t="shared" si="827"/>
        <v>0.75403733021005459</v>
      </c>
      <c r="P207" s="33">
        <f t="shared" si="828"/>
        <v>0.74747474748638099</v>
      </c>
      <c r="Q207" s="33">
        <f t="shared" si="829"/>
        <v>0.74747474748638099</v>
      </c>
      <c r="R207" s="35">
        <f t="shared" si="830"/>
        <v>1.094963262300007</v>
      </c>
      <c r="S207" s="35">
        <f t="shared" si="831"/>
        <v>5.1292879327305002E-2</v>
      </c>
    </row>
    <row r="208" spans="1:19" ht="15" customHeight="1" x14ac:dyDescent="0.3">
      <c r="A208" s="30">
        <f>Odds_Input!A208</f>
        <v>200</v>
      </c>
      <c r="B208" s="7" t="str">
        <f>Odds_Input!B208</f>
        <v>PLAYOFFS</v>
      </c>
      <c r="C208" s="7" t="str">
        <f>Odds_Input!C208</f>
        <v>Brooklyn Nets</v>
      </c>
      <c r="D208" s="7" t="str">
        <f>Odds_Input!D208</f>
        <v>YES</v>
      </c>
      <c r="E208" s="31" t="str">
        <f>Odds_Input!E208</f>
        <v>-</v>
      </c>
      <c r="F208" s="32">
        <f>Odds_Input!F208</f>
        <v>1600</v>
      </c>
      <c r="G208" s="6" t="str">
        <f t="shared" si="819"/>
        <v>PLAYOFFS|Brooklyn Nets</v>
      </c>
      <c r="H208" s="14">
        <f t="shared" si="820"/>
        <v>17</v>
      </c>
      <c r="I208" s="33">
        <f t="shared" si="821"/>
        <v>5.8823529411764705E-2</v>
      </c>
      <c r="J208" s="17">
        <f t="shared" si="822"/>
        <v>1</v>
      </c>
      <c r="K208" s="17">
        <f t="shared" si="823"/>
        <v>2</v>
      </c>
      <c r="L208" s="18">
        <f t="shared" si="824"/>
        <v>1.0412796697626419</v>
      </c>
      <c r="M208" s="34">
        <f t="shared" si="825"/>
        <v>4.1279669762641857E-2</v>
      </c>
      <c r="N208" s="33">
        <f t="shared" si="826"/>
        <v>5.6491575817641228E-2</v>
      </c>
      <c r="O208" s="33">
        <f t="shared" si="827"/>
        <v>2.3229799630228923E-2</v>
      </c>
      <c r="P208" s="33">
        <f t="shared" si="828"/>
        <v>3.8183694525261193E-2</v>
      </c>
      <c r="Q208" s="33">
        <f t="shared" si="829"/>
        <v>3.8183694525261193E-2</v>
      </c>
      <c r="R208" s="35">
        <f t="shared" si="830"/>
        <v>1.3279336572391918</v>
      </c>
      <c r="S208" s="35">
        <f t="shared" si="831"/>
        <v>5.0782948838175621E-2</v>
      </c>
    </row>
    <row r="209" spans="1:19" ht="15" customHeight="1" x14ac:dyDescent="0.3">
      <c r="A209" s="30">
        <f>Odds_Input!A209</f>
        <v>201</v>
      </c>
      <c r="B209" s="7" t="str">
        <f>Odds_Input!B209</f>
        <v>PLAYOFFS</v>
      </c>
      <c r="C209" s="7" t="str">
        <f>Odds_Input!C209</f>
        <v>Brooklyn Nets</v>
      </c>
      <c r="D209" s="7" t="str">
        <f>Odds_Input!D209</f>
        <v>NO</v>
      </c>
      <c r="E209" s="31" t="str">
        <f>Odds_Input!E209</f>
        <v>-</v>
      </c>
      <c r="F209" s="32">
        <f>Odds_Input!F209</f>
        <v>-5600</v>
      </c>
      <c r="G209" s="6" t="str">
        <f t="shared" si="819"/>
        <v>PLAYOFFS|Brooklyn Nets</v>
      </c>
      <c r="H209" s="14">
        <f t="shared" si="820"/>
        <v>1.0178571428571428</v>
      </c>
      <c r="I209" s="33">
        <f t="shared" si="821"/>
        <v>0.98245614035087725</v>
      </c>
      <c r="J209" s="17">
        <f t="shared" si="822"/>
        <v>1</v>
      </c>
      <c r="K209" s="17">
        <f t="shared" si="823"/>
        <v>2</v>
      </c>
      <c r="L209" s="18">
        <f t="shared" si="824"/>
        <v>1.0412796697626419</v>
      </c>
      <c r="M209" s="34">
        <f t="shared" si="825"/>
        <v>4.1279669762641857E-2</v>
      </c>
      <c r="N209" s="33">
        <f t="shared" si="826"/>
        <v>0.94350842418235892</v>
      </c>
      <c r="O209" s="33">
        <f t="shared" si="827"/>
        <v>0.97677020027576889</v>
      </c>
      <c r="P209" s="33">
        <f t="shared" si="828"/>
        <v>0.96181630546921582</v>
      </c>
      <c r="Q209" s="33">
        <f t="shared" si="829"/>
        <v>0.96181630546921582</v>
      </c>
      <c r="R209" s="35">
        <f t="shared" si="830"/>
        <v>1.3279336572391918</v>
      </c>
      <c r="S209" s="35">
        <f t="shared" si="831"/>
        <v>5.0782948838175621E-2</v>
      </c>
    </row>
    <row r="210" spans="1:19" ht="15" customHeight="1" x14ac:dyDescent="0.3">
      <c r="A210" s="30">
        <f>Odds_Input!A210</f>
        <v>202</v>
      </c>
      <c r="B210" s="7" t="str">
        <f>Odds_Input!B210</f>
        <v>PLAYOFFS</v>
      </c>
      <c r="C210" s="7" t="str">
        <f>Odds_Input!C210</f>
        <v>Charlotte Hornets</v>
      </c>
      <c r="D210" s="7" t="str">
        <f>Odds_Input!D210</f>
        <v>YES</v>
      </c>
      <c r="E210" s="31" t="str">
        <f>Odds_Input!E210</f>
        <v>-</v>
      </c>
      <c r="F210" s="32">
        <f>Odds_Input!F210</f>
        <v>160</v>
      </c>
      <c r="G210" s="6" t="str">
        <f t="shared" si="819"/>
        <v>PLAYOFFS|Charlotte Hornets</v>
      </c>
      <c r="H210" s="14">
        <f t="shared" si="820"/>
        <v>2.6</v>
      </c>
      <c r="I210" s="33">
        <f t="shared" si="821"/>
        <v>0.38461538461538458</v>
      </c>
      <c r="J210" s="17">
        <f t="shared" si="822"/>
        <v>1</v>
      </c>
      <c r="K210" s="17">
        <f t="shared" si="823"/>
        <v>2</v>
      </c>
      <c r="L210" s="18">
        <f t="shared" si="824"/>
        <v>1.0512820512820511</v>
      </c>
      <c r="M210" s="34">
        <f t="shared" si="825"/>
        <v>5.12820512820511E-2</v>
      </c>
      <c r="N210" s="33">
        <f t="shared" si="826"/>
        <v>0.36585365853658541</v>
      </c>
      <c r="O210" s="33">
        <f t="shared" si="827"/>
        <v>0.35535006214444687</v>
      </c>
      <c r="P210" s="33">
        <f t="shared" si="828"/>
        <v>0.35897435898127938</v>
      </c>
      <c r="Q210" s="33">
        <f t="shared" si="829"/>
        <v>0.35897435898127938</v>
      </c>
      <c r="R210" s="35">
        <f t="shared" si="830"/>
        <v>1.0828252138802781</v>
      </c>
      <c r="S210" s="35">
        <f t="shared" si="831"/>
        <v>5.1498257817692711E-2</v>
      </c>
    </row>
    <row r="211" spans="1:19" ht="15" customHeight="1" x14ac:dyDescent="0.3">
      <c r="A211" s="30">
        <f>Odds_Input!A211</f>
        <v>203</v>
      </c>
      <c r="B211" s="7" t="str">
        <f>Odds_Input!B211</f>
        <v>PLAYOFFS</v>
      </c>
      <c r="C211" s="7" t="str">
        <f>Odds_Input!C211</f>
        <v>Charlotte Hornets</v>
      </c>
      <c r="D211" s="7" t="str">
        <f>Odds_Input!D211</f>
        <v>NO</v>
      </c>
      <c r="E211" s="31" t="str">
        <f>Odds_Input!E211</f>
        <v>-</v>
      </c>
      <c r="F211" s="32">
        <f>Odds_Input!F211</f>
        <v>-200</v>
      </c>
      <c r="G211" s="6" t="str">
        <f t="shared" si="819"/>
        <v>PLAYOFFS|Charlotte Hornets</v>
      </c>
      <c r="H211" s="14">
        <f t="shared" si="820"/>
        <v>1.5</v>
      </c>
      <c r="I211" s="33">
        <f t="shared" si="821"/>
        <v>0.66666666666666663</v>
      </c>
      <c r="J211" s="17">
        <f t="shared" si="822"/>
        <v>1</v>
      </c>
      <c r="K211" s="17">
        <f t="shared" si="823"/>
        <v>2</v>
      </c>
      <c r="L211" s="18">
        <f t="shared" si="824"/>
        <v>1.0512820512820511</v>
      </c>
      <c r="M211" s="34">
        <f t="shared" si="825"/>
        <v>5.12820512820511E-2</v>
      </c>
      <c r="N211" s="33">
        <f t="shared" si="826"/>
        <v>0.63414634146341475</v>
      </c>
      <c r="O211" s="33">
        <f t="shared" si="827"/>
        <v>0.64464993728656694</v>
      </c>
      <c r="P211" s="33">
        <f t="shared" si="828"/>
        <v>0.6410256410296401</v>
      </c>
      <c r="Q211" s="33">
        <f t="shared" si="829"/>
        <v>0.6410256410296401</v>
      </c>
      <c r="R211" s="35">
        <f t="shared" si="830"/>
        <v>1.0828252138802781</v>
      </c>
      <c r="S211" s="35">
        <f t="shared" si="831"/>
        <v>5.1498257817692711E-2</v>
      </c>
    </row>
    <row r="212" spans="1:19" ht="15" customHeight="1" x14ac:dyDescent="0.3">
      <c r="A212" s="30">
        <f>Odds_Input!A212</f>
        <v>204</v>
      </c>
      <c r="B212" s="7" t="str">
        <f>Odds_Input!B212</f>
        <v>PLAYOFFS</v>
      </c>
      <c r="C212" s="7" t="str">
        <f>Odds_Input!C212</f>
        <v>Chicago Bulls</v>
      </c>
      <c r="D212" s="7" t="str">
        <f>Odds_Input!D212</f>
        <v>YES</v>
      </c>
      <c r="E212" s="31" t="str">
        <f>Odds_Input!E212</f>
        <v>-</v>
      </c>
      <c r="F212" s="32">
        <f>Odds_Input!F212</f>
        <v>1150</v>
      </c>
      <c r="G212" s="6" t="str">
        <f t="shared" si="819"/>
        <v>PLAYOFFS|Chicago Bulls</v>
      </c>
      <c r="H212" s="14">
        <f t="shared" si="820"/>
        <v>12.5</v>
      </c>
      <c r="I212" s="33">
        <f t="shared" si="821"/>
        <v>0.08</v>
      </c>
      <c r="J212" s="17">
        <f t="shared" si="822"/>
        <v>1</v>
      </c>
      <c r="K212" s="17">
        <f t="shared" si="823"/>
        <v>2</v>
      </c>
      <c r="L212" s="18">
        <f t="shared" si="824"/>
        <v>1.0355555555555556</v>
      </c>
      <c r="M212" s="34">
        <f t="shared" si="825"/>
        <v>3.5555555555555562E-2</v>
      </c>
      <c r="N212" s="33">
        <f t="shared" si="826"/>
        <v>7.7253218884120178E-2</v>
      </c>
      <c r="O212" s="33">
        <f t="shared" si="827"/>
        <v>5.186838804813057E-2</v>
      </c>
      <c r="P212" s="33">
        <f t="shared" si="828"/>
        <v>6.2222222258168883E-2</v>
      </c>
      <c r="Q212" s="33">
        <f t="shared" si="829"/>
        <v>6.2222222258168883E-2</v>
      </c>
      <c r="R212" s="35">
        <f t="shared" si="830"/>
        <v>1.171561234234832</v>
      </c>
      <c r="S212" s="35">
        <f t="shared" si="831"/>
        <v>3.9565178128362272E-2</v>
      </c>
    </row>
    <row r="213" spans="1:19" ht="15" customHeight="1" x14ac:dyDescent="0.3">
      <c r="A213" s="30">
        <f>Odds_Input!A213</f>
        <v>205</v>
      </c>
      <c r="B213" s="7" t="str">
        <f>Odds_Input!B213</f>
        <v>PLAYOFFS</v>
      </c>
      <c r="C213" s="7" t="str">
        <f>Odds_Input!C213</f>
        <v>Chicago Bulls</v>
      </c>
      <c r="D213" s="7" t="str">
        <f>Odds_Input!D213</f>
        <v>NO</v>
      </c>
      <c r="E213" s="31" t="str">
        <f>Odds_Input!E213</f>
        <v>-</v>
      </c>
      <c r="F213" s="32">
        <f>Odds_Input!F213</f>
        <v>-2150</v>
      </c>
      <c r="G213" s="6" t="str">
        <f t="shared" si="819"/>
        <v>PLAYOFFS|Chicago Bulls</v>
      </c>
      <c r="H213" s="14">
        <f t="shared" si="820"/>
        <v>1.0465116279069768</v>
      </c>
      <c r="I213" s="33">
        <f t="shared" si="821"/>
        <v>0.95555555555555549</v>
      </c>
      <c r="J213" s="17">
        <f t="shared" si="822"/>
        <v>1</v>
      </c>
      <c r="K213" s="17">
        <f t="shared" si="823"/>
        <v>2</v>
      </c>
      <c r="L213" s="18">
        <f t="shared" si="824"/>
        <v>1.0355555555555556</v>
      </c>
      <c r="M213" s="34">
        <f t="shared" si="825"/>
        <v>3.5555555555555562E-2</v>
      </c>
      <c r="N213" s="33">
        <f t="shared" si="826"/>
        <v>0.92274678111587971</v>
      </c>
      <c r="O213" s="33">
        <f t="shared" si="827"/>
        <v>0.94813161205218277</v>
      </c>
      <c r="P213" s="33">
        <f t="shared" si="828"/>
        <v>0.937777777780884</v>
      </c>
      <c r="Q213" s="33">
        <f t="shared" si="829"/>
        <v>0.937777777780884</v>
      </c>
      <c r="R213" s="35">
        <f t="shared" si="830"/>
        <v>1.171561234234832</v>
      </c>
      <c r="S213" s="35">
        <f t="shared" si="831"/>
        <v>3.9565178128362272E-2</v>
      </c>
    </row>
    <row r="214" spans="1:19" ht="15" customHeight="1" x14ac:dyDescent="0.3">
      <c r="A214" s="30">
        <f>Odds_Input!A214</f>
        <v>206</v>
      </c>
      <c r="B214" s="7" t="str">
        <f>Odds_Input!B214</f>
        <v>PLAYOFFS</v>
      </c>
      <c r="C214" s="7" t="str">
        <f>Odds_Input!C214</f>
        <v>Miami Heat</v>
      </c>
      <c r="D214" s="7" t="str">
        <f>Odds_Input!D214</f>
        <v>YES</v>
      </c>
      <c r="E214" s="31" t="str">
        <f>Odds_Input!E214</f>
        <v>-</v>
      </c>
      <c r="F214" s="32">
        <f>Odds_Input!F214</f>
        <v>-300</v>
      </c>
      <c r="G214" s="6" t="str">
        <f t="shared" si="819"/>
        <v>PLAYOFFS|Miami Heat</v>
      </c>
      <c r="H214" s="14">
        <f t="shared" si="820"/>
        <v>1.3333333333333333</v>
      </c>
      <c r="I214" s="33">
        <f t="shared" si="821"/>
        <v>0.75</v>
      </c>
      <c r="J214" s="17">
        <f t="shared" si="822"/>
        <v>1</v>
      </c>
      <c r="K214" s="17">
        <f t="shared" si="823"/>
        <v>2</v>
      </c>
      <c r="L214" s="18">
        <f t="shared" si="824"/>
        <v>1.0485074626865671</v>
      </c>
      <c r="M214" s="34">
        <f t="shared" si="825"/>
        <v>4.8507462686567138E-2</v>
      </c>
      <c r="N214" s="33">
        <f t="shared" si="826"/>
        <v>0.71530249110320288</v>
      </c>
      <c r="O214" s="33">
        <f t="shared" si="827"/>
        <v>0.73139603094120886</v>
      </c>
      <c r="P214" s="33">
        <f t="shared" si="828"/>
        <v>0.72574626867244707</v>
      </c>
      <c r="Q214" s="33">
        <f t="shared" si="829"/>
        <v>0.72574626867244707</v>
      </c>
      <c r="R214" s="35">
        <f t="shared" si="830"/>
        <v>1.0873121056007222</v>
      </c>
      <c r="S214" s="35">
        <f t="shared" si="831"/>
        <v>4.9082041105392035E-2</v>
      </c>
    </row>
    <row r="215" spans="1:19" ht="15" customHeight="1" x14ac:dyDescent="0.3">
      <c r="A215" s="30">
        <f>Odds_Input!A215</f>
        <v>207</v>
      </c>
      <c r="B215" s="7" t="str">
        <f>Odds_Input!B215</f>
        <v>PLAYOFFS</v>
      </c>
      <c r="C215" s="7" t="str">
        <f>Odds_Input!C215</f>
        <v>Miami Heat</v>
      </c>
      <c r="D215" s="7" t="str">
        <f>Odds_Input!D215</f>
        <v>NO</v>
      </c>
      <c r="E215" s="31" t="str">
        <f>Odds_Input!E215</f>
        <v>-</v>
      </c>
      <c r="F215" s="32">
        <f>Odds_Input!F215</f>
        <v>235</v>
      </c>
      <c r="G215" s="6" t="str">
        <f t="shared" si="819"/>
        <v>PLAYOFFS|Miami Heat</v>
      </c>
      <c r="H215" s="14">
        <f t="shared" si="820"/>
        <v>3.35</v>
      </c>
      <c r="I215" s="33">
        <f t="shared" si="821"/>
        <v>0.29850746268656714</v>
      </c>
      <c r="J215" s="17">
        <f t="shared" si="822"/>
        <v>1</v>
      </c>
      <c r="K215" s="17">
        <f t="shared" si="823"/>
        <v>2</v>
      </c>
      <c r="L215" s="18">
        <f t="shared" si="824"/>
        <v>1.0485074626865671</v>
      </c>
      <c r="M215" s="34">
        <f t="shared" si="825"/>
        <v>4.8507462686567138E-2</v>
      </c>
      <c r="N215" s="33">
        <f t="shared" si="826"/>
        <v>0.28469750889679712</v>
      </c>
      <c r="O215" s="33">
        <f t="shared" si="827"/>
        <v>0.26860396877514781</v>
      </c>
      <c r="P215" s="33">
        <f t="shared" si="828"/>
        <v>0.27425373138268377</v>
      </c>
      <c r="Q215" s="33">
        <f t="shared" si="829"/>
        <v>0.27425373138268377</v>
      </c>
      <c r="R215" s="35">
        <f t="shared" si="830"/>
        <v>1.0873121056007222</v>
      </c>
      <c r="S215" s="35">
        <f t="shared" si="831"/>
        <v>4.9082041105392035E-2</v>
      </c>
    </row>
    <row r="216" spans="1:19" ht="15" customHeight="1" x14ac:dyDescent="0.3">
      <c r="A216" s="30">
        <f>Odds_Input!A216</f>
        <v>208</v>
      </c>
      <c r="B216" s="7" t="str">
        <f>Odds_Input!B216</f>
        <v>PLAYOFFS</v>
      </c>
      <c r="C216" s="7" t="str">
        <f>Odds_Input!C216</f>
        <v>Minnesota Timberwolves</v>
      </c>
      <c r="D216" s="7" t="str">
        <f>Odds_Input!D216</f>
        <v>YES</v>
      </c>
      <c r="E216" s="31" t="str">
        <f>Odds_Input!E216</f>
        <v>-</v>
      </c>
      <c r="F216" s="32">
        <f>Odds_Input!F216</f>
        <v>-950</v>
      </c>
      <c r="G216" s="6" t="str">
        <f t="shared" si="819"/>
        <v>PLAYOFFS|Minnesota Timberwolves</v>
      </c>
      <c r="H216" s="14">
        <f t="shared" si="820"/>
        <v>1.1052631578947367</v>
      </c>
      <c r="I216" s="33">
        <f t="shared" si="821"/>
        <v>0.90476190476190488</v>
      </c>
      <c r="J216" s="17">
        <f t="shared" si="822"/>
        <v>1</v>
      </c>
      <c r="K216" s="17">
        <f t="shared" si="823"/>
        <v>2</v>
      </c>
      <c r="L216" s="18">
        <f t="shared" si="824"/>
        <v>1.0586080586080588</v>
      </c>
      <c r="M216" s="34">
        <f t="shared" si="825"/>
        <v>5.8608058608058844E-2</v>
      </c>
      <c r="N216" s="33">
        <f t="shared" si="826"/>
        <v>0.85467128027681649</v>
      </c>
      <c r="O216" s="33">
        <f t="shared" si="827"/>
        <v>0.88907535240285929</v>
      </c>
      <c r="P216" s="33">
        <f t="shared" si="828"/>
        <v>0.87545787545061815</v>
      </c>
      <c r="Q216" s="33">
        <f t="shared" si="829"/>
        <v>0.87545787545061815</v>
      </c>
      <c r="R216" s="35">
        <f t="shared" si="830"/>
        <v>1.1747524305945265</v>
      </c>
      <c r="S216" s="35">
        <f t="shared" si="831"/>
        <v>6.2803236680721769E-2</v>
      </c>
    </row>
    <row r="217" spans="1:19" ht="15" customHeight="1" x14ac:dyDescent="0.3">
      <c r="A217" s="30">
        <f>Odds_Input!A217</f>
        <v>209</v>
      </c>
      <c r="B217" s="7" t="str">
        <f>Odds_Input!B217</f>
        <v>PLAYOFFS</v>
      </c>
      <c r="C217" s="7" t="str">
        <f>Odds_Input!C217</f>
        <v>Minnesota Timberwolves</v>
      </c>
      <c r="D217" s="7" t="str">
        <f>Odds_Input!D217</f>
        <v>NO</v>
      </c>
      <c r="E217" s="31" t="str">
        <f>Odds_Input!E217</f>
        <v>-</v>
      </c>
      <c r="F217" s="32">
        <f>Odds_Input!F217</f>
        <v>550</v>
      </c>
      <c r="G217" s="6" t="str">
        <f t="shared" si="819"/>
        <v>PLAYOFFS|Minnesota Timberwolves</v>
      </c>
      <c r="H217" s="14">
        <f t="shared" si="820"/>
        <v>6.5</v>
      </c>
      <c r="I217" s="33">
        <f t="shared" si="821"/>
        <v>0.15384615384615385</v>
      </c>
      <c r="J217" s="17">
        <f t="shared" si="822"/>
        <v>1</v>
      </c>
      <c r="K217" s="17">
        <f t="shared" si="823"/>
        <v>2</v>
      </c>
      <c r="L217" s="18">
        <f t="shared" si="824"/>
        <v>1.0586080586080588</v>
      </c>
      <c r="M217" s="34">
        <f t="shared" si="825"/>
        <v>5.8608058608058844E-2</v>
      </c>
      <c r="N217" s="33">
        <f t="shared" si="826"/>
        <v>0.14532871972318337</v>
      </c>
      <c r="O217" s="33">
        <f t="shared" si="827"/>
        <v>0.11092464779259659</v>
      </c>
      <c r="P217" s="33">
        <f t="shared" si="828"/>
        <v>0.12454212450038653</v>
      </c>
      <c r="Q217" s="33">
        <f t="shared" si="829"/>
        <v>0.12454212450038653</v>
      </c>
      <c r="R217" s="35">
        <f t="shared" si="830"/>
        <v>1.1747524305945265</v>
      </c>
      <c r="S217" s="35">
        <f t="shared" si="831"/>
        <v>6.2803236680721769E-2</v>
      </c>
    </row>
    <row r="218" spans="1:19" ht="15" customHeight="1" x14ac:dyDescent="0.3">
      <c r="A218" s="30">
        <f>Odds_Input!A218</f>
        <v>210</v>
      </c>
      <c r="B218" s="7" t="str">
        <f>Odds_Input!B218</f>
        <v>PLAYOFFS</v>
      </c>
      <c r="C218" s="7" t="str">
        <f>Odds_Input!C218</f>
        <v>Indiana Pacers</v>
      </c>
      <c r="D218" s="7" t="str">
        <f>Odds_Input!D218</f>
        <v>YES</v>
      </c>
      <c r="E218" s="31" t="str">
        <f>Odds_Input!E218</f>
        <v>-</v>
      </c>
      <c r="F218" s="32">
        <f>Odds_Input!F218</f>
        <v>-220</v>
      </c>
      <c r="G218" s="6" t="str">
        <f t="shared" si="819"/>
        <v>PLAYOFFS|Indiana Pacers</v>
      </c>
      <c r="H218" s="14">
        <f t="shared" si="820"/>
        <v>1.4545454545454546</v>
      </c>
      <c r="I218" s="33">
        <f t="shared" si="821"/>
        <v>0.6875</v>
      </c>
      <c r="J218" s="17">
        <f t="shared" si="822"/>
        <v>1</v>
      </c>
      <c r="K218" s="17">
        <f t="shared" si="823"/>
        <v>2</v>
      </c>
      <c r="L218" s="18">
        <f t="shared" si="824"/>
        <v>1.0446428571428572</v>
      </c>
      <c r="M218" s="34">
        <f t="shared" si="825"/>
        <v>4.4642857142857206E-2</v>
      </c>
      <c r="N218" s="33">
        <f t="shared" si="826"/>
        <v>0.65811965811965811</v>
      </c>
      <c r="O218" s="33">
        <f t="shared" si="827"/>
        <v>0.6688511647094324</v>
      </c>
      <c r="P218" s="33">
        <f t="shared" si="828"/>
        <v>0.66517857144697912</v>
      </c>
      <c r="Q218" s="33">
        <f t="shared" si="829"/>
        <v>0.66517857144697912</v>
      </c>
      <c r="R218" s="35">
        <f t="shared" si="830"/>
        <v>1.0733940464677287</v>
      </c>
      <c r="S218" s="35">
        <f t="shared" si="831"/>
        <v>4.4876574969187025E-2</v>
      </c>
    </row>
    <row r="219" spans="1:19" ht="15" customHeight="1" x14ac:dyDescent="0.3">
      <c r="A219" s="30">
        <f>Odds_Input!A219</f>
        <v>211</v>
      </c>
      <c r="B219" s="7" t="str">
        <f>Odds_Input!B219</f>
        <v>PLAYOFFS</v>
      </c>
      <c r="C219" s="7" t="str">
        <f>Odds_Input!C219</f>
        <v>Indiana Pacers</v>
      </c>
      <c r="D219" s="7" t="str">
        <f>Odds_Input!D219</f>
        <v>NO</v>
      </c>
      <c r="E219" s="31" t="str">
        <f>Odds_Input!E219</f>
        <v>-</v>
      </c>
      <c r="F219" s="32">
        <f>Odds_Input!F219</f>
        <v>180</v>
      </c>
      <c r="G219" s="6" t="str">
        <f t="shared" si="819"/>
        <v>PLAYOFFS|Indiana Pacers</v>
      </c>
      <c r="H219" s="14">
        <f t="shared" si="820"/>
        <v>2.8</v>
      </c>
      <c r="I219" s="33">
        <f t="shared" si="821"/>
        <v>0.35714285714285715</v>
      </c>
      <c r="J219" s="17">
        <f t="shared" si="822"/>
        <v>1</v>
      </c>
      <c r="K219" s="17">
        <f t="shared" si="823"/>
        <v>2</v>
      </c>
      <c r="L219" s="18">
        <f t="shared" si="824"/>
        <v>1.0446428571428572</v>
      </c>
      <c r="M219" s="34">
        <f t="shared" si="825"/>
        <v>4.4642857142857206E-2</v>
      </c>
      <c r="N219" s="33">
        <f t="shared" si="826"/>
        <v>0.34188034188034189</v>
      </c>
      <c r="O219" s="33">
        <f t="shared" si="827"/>
        <v>0.33114883485783508</v>
      </c>
      <c r="P219" s="33">
        <f t="shared" si="828"/>
        <v>0.3348214286068078</v>
      </c>
      <c r="Q219" s="33">
        <f t="shared" si="829"/>
        <v>0.3348214286068078</v>
      </c>
      <c r="R219" s="35">
        <f t="shared" si="830"/>
        <v>1.0733940464677287</v>
      </c>
      <c r="S219" s="35">
        <f t="shared" si="831"/>
        <v>4.4876574969187025E-2</v>
      </c>
    </row>
    <row r="220" spans="1:19" ht="15" customHeight="1" x14ac:dyDescent="0.3">
      <c r="A220" s="30">
        <f>Odds_Input!A220</f>
        <v>212</v>
      </c>
      <c r="B220" s="7" t="str">
        <f>Odds_Input!B220</f>
        <v>PLAYOFFS</v>
      </c>
      <c r="C220" s="7" t="str">
        <f>Odds_Input!C220</f>
        <v>Memphis Grizzlies</v>
      </c>
      <c r="D220" s="7" t="str">
        <f>Odds_Input!D220</f>
        <v>YES</v>
      </c>
      <c r="E220" s="31" t="str">
        <f>Odds_Input!E220</f>
        <v>-</v>
      </c>
      <c r="F220" s="32">
        <f>Odds_Input!F220</f>
        <v>500</v>
      </c>
      <c r="G220" s="6" t="str">
        <f t="shared" si="819"/>
        <v>PLAYOFFS|Memphis Grizzlies</v>
      </c>
      <c r="H220" s="14">
        <f t="shared" si="820"/>
        <v>6</v>
      </c>
      <c r="I220" s="33">
        <f t="shared" si="821"/>
        <v>0.16666666666666666</v>
      </c>
      <c r="J220" s="17">
        <f t="shared" si="822"/>
        <v>1</v>
      </c>
      <c r="K220" s="17">
        <f t="shared" si="823"/>
        <v>2</v>
      </c>
      <c r="L220" s="18">
        <f t="shared" si="824"/>
        <v>1.0666666666666667</v>
      </c>
      <c r="M220" s="34">
        <f t="shared" si="825"/>
        <v>6.6666666666666652E-2</v>
      </c>
      <c r="N220" s="33">
        <f t="shared" si="826"/>
        <v>0.15625</v>
      </c>
      <c r="O220" s="33">
        <f t="shared" si="827"/>
        <v>0.11806284537400634</v>
      </c>
      <c r="P220" s="33">
        <f t="shared" si="828"/>
        <v>0.1333333333251622</v>
      </c>
      <c r="Q220" s="33">
        <f t="shared" si="829"/>
        <v>0.1333333333251622</v>
      </c>
      <c r="R220" s="35">
        <f t="shared" si="830"/>
        <v>1.1924246781272814</v>
      </c>
      <c r="S220" s="35">
        <f t="shared" si="831"/>
        <v>7.1514423099487912E-2</v>
      </c>
    </row>
    <row r="221" spans="1:19" ht="15" customHeight="1" x14ac:dyDescent="0.3">
      <c r="A221" s="30">
        <f>Odds_Input!A221</f>
        <v>213</v>
      </c>
      <c r="B221" s="7" t="str">
        <f>Odds_Input!B221</f>
        <v>PLAYOFFS</v>
      </c>
      <c r="C221" s="7" t="str">
        <f>Odds_Input!C221</f>
        <v>Memphis Grizzlies</v>
      </c>
      <c r="D221" s="7" t="str">
        <f>Odds_Input!D221</f>
        <v>NO</v>
      </c>
      <c r="E221" s="31" t="str">
        <f>Odds_Input!E221</f>
        <v>-</v>
      </c>
      <c r="F221" s="32">
        <f>Odds_Input!F221</f>
        <v>-900</v>
      </c>
      <c r="G221" s="6" t="str">
        <f t="shared" si="819"/>
        <v>PLAYOFFS|Memphis Grizzlies</v>
      </c>
      <c r="H221" s="14">
        <f t="shared" si="820"/>
        <v>1.1111111111111112</v>
      </c>
      <c r="I221" s="33">
        <f t="shared" si="821"/>
        <v>0.89999999999999991</v>
      </c>
      <c r="J221" s="17">
        <f t="shared" si="822"/>
        <v>1</v>
      </c>
      <c r="K221" s="17">
        <f t="shared" si="823"/>
        <v>2</v>
      </c>
      <c r="L221" s="18">
        <f t="shared" si="824"/>
        <v>1.0666666666666667</v>
      </c>
      <c r="M221" s="34">
        <f t="shared" si="825"/>
        <v>6.6666666666666652E-2</v>
      </c>
      <c r="N221" s="33">
        <f t="shared" si="826"/>
        <v>0.84374999999999989</v>
      </c>
      <c r="O221" s="33">
        <f t="shared" si="827"/>
        <v>0.8819371544512663</v>
      </c>
      <c r="P221" s="33">
        <f t="shared" si="828"/>
        <v>0.86666666666511538</v>
      </c>
      <c r="Q221" s="33">
        <f t="shared" si="829"/>
        <v>0.86666666666511538</v>
      </c>
      <c r="R221" s="35">
        <f t="shared" si="830"/>
        <v>1.1924246781272814</v>
      </c>
      <c r="S221" s="35">
        <f t="shared" si="831"/>
        <v>7.1514423099487912E-2</v>
      </c>
    </row>
    <row r="222" spans="1:19" ht="15" customHeight="1" x14ac:dyDescent="0.3">
      <c r="A222" s="30">
        <f>Odds_Input!A222</f>
        <v>214</v>
      </c>
      <c r="B222" s="7" t="str">
        <f>Odds_Input!B222</f>
        <v>PLAYOFFS</v>
      </c>
      <c r="C222" s="7" t="str">
        <f>Odds_Input!C222</f>
        <v>New Orleans Pelicans</v>
      </c>
      <c r="D222" s="7" t="str">
        <f>Odds_Input!D222</f>
        <v>YES</v>
      </c>
      <c r="E222" s="31" t="str">
        <f>Odds_Input!E222</f>
        <v>-</v>
      </c>
      <c r="F222" s="32">
        <f>Odds_Input!F222</f>
        <v>550</v>
      </c>
      <c r="G222" s="6" t="str">
        <f t="shared" si="819"/>
        <v>PLAYOFFS|New Orleans Pelicans</v>
      </c>
      <c r="H222" s="14">
        <f t="shared" si="820"/>
        <v>6.5</v>
      </c>
      <c r="I222" s="33">
        <f t="shared" si="821"/>
        <v>0.15384615384615385</v>
      </c>
      <c r="J222" s="17">
        <f t="shared" si="822"/>
        <v>1</v>
      </c>
      <c r="K222" s="17">
        <f t="shared" si="823"/>
        <v>2</v>
      </c>
      <c r="L222" s="18">
        <f t="shared" si="824"/>
        <v>1.0586080586080588</v>
      </c>
      <c r="M222" s="34">
        <f t="shared" si="825"/>
        <v>5.8608058608058844E-2</v>
      </c>
      <c r="N222" s="33">
        <f t="shared" si="826"/>
        <v>0.14532871972318337</v>
      </c>
      <c r="O222" s="33">
        <f t="shared" si="827"/>
        <v>0.11092464779259659</v>
      </c>
      <c r="P222" s="33">
        <f t="shared" si="828"/>
        <v>0.12454212450038653</v>
      </c>
      <c r="Q222" s="33">
        <f t="shared" si="829"/>
        <v>0.12454212450038653</v>
      </c>
      <c r="R222" s="35">
        <f t="shared" si="830"/>
        <v>1.1747524305945265</v>
      </c>
      <c r="S222" s="35">
        <f t="shared" si="831"/>
        <v>6.2803236680721769E-2</v>
      </c>
    </row>
    <row r="223" spans="1:19" ht="15" customHeight="1" x14ac:dyDescent="0.3">
      <c r="A223" s="30">
        <f>Odds_Input!A223</f>
        <v>215</v>
      </c>
      <c r="B223" s="7" t="str">
        <f>Odds_Input!B223</f>
        <v>PLAYOFFS</v>
      </c>
      <c r="C223" s="7" t="str">
        <f>Odds_Input!C223</f>
        <v>New Orleans Pelicans</v>
      </c>
      <c r="D223" s="7" t="str">
        <f>Odds_Input!D223</f>
        <v>NO</v>
      </c>
      <c r="E223" s="31" t="str">
        <f>Odds_Input!E223</f>
        <v>-</v>
      </c>
      <c r="F223" s="32">
        <f>Odds_Input!F223</f>
        <v>-950</v>
      </c>
      <c r="G223" s="6" t="str">
        <f t="shared" si="819"/>
        <v>PLAYOFFS|New Orleans Pelicans</v>
      </c>
      <c r="H223" s="14">
        <f t="shared" si="820"/>
        <v>1.1052631578947367</v>
      </c>
      <c r="I223" s="33">
        <f t="shared" si="821"/>
        <v>0.90476190476190488</v>
      </c>
      <c r="J223" s="17">
        <f t="shared" si="822"/>
        <v>1</v>
      </c>
      <c r="K223" s="17">
        <f t="shared" si="823"/>
        <v>2</v>
      </c>
      <c r="L223" s="18">
        <f t="shared" si="824"/>
        <v>1.0586080586080588</v>
      </c>
      <c r="M223" s="34">
        <f t="shared" si="825"/>
        <v>5.8608058608058844E-2</v>
      </c>
      <c r="N223" s="33">
        <f t="shared" si="826"/>
        <v>0.85467128027681649</v>
      </c>
      <c r="O223" s="33">
        <f t="shared" si="827"/>
        <v>0.88907535240285929</v>
      </c>
      <c r="P223" s="33">
        <f t="shared" si="828"/>
        <v>0.87545787545061815</v>
      </c>
      <c r="Q223" s="33">
        <f t="shared" si="829"/>
        <v>0.87545787545061815</v>
      </c>
      <c r="R223" s="35">
        <f t="shared" si="830"/>
        <v>1.1747524305945265</v>
      </c>
      <c r="S223" s="35">
        <f t="shared" si="831"/>
        <v>6.2803236680721769E-2</v>
      </c>
    </row>
    <row r="224" spans="1:19" ht="15" customHeight="1" x14ac:dyDescent="0.3">
      <c r="A224" s="30">
        <f>Odds_Input!A224</f>
        <v>216</v>
      </c>
      <c r="B224" s="7" t="str">
        <f>Odds_Input!B224</f>
        <v>PLAYOFFS</v>
      </c>
      <c r="C224" s="7" t="str">
        <f>Odds_Input!C224</f>
        <v>Utah Jazz</v>
      </c>
      <c r="D224" s="7" t="str">
        <f>Odds_Input!D224</f>
        <v>YES</v>
      </c>
      <c r="E224" s="31" t="str">
        <f>Odds_Input!E224</f>
        <v>-</v>
      </c>
      <c r="F224" s="32">
        <f>Odds_Input!F224</f>
        <v>135</v>
      </c>
      <c r="G224" s="6" t="str">
        <f t="shared" si="819"/>
        <v>PLAYOFFS|Utah Jazz</v>
      </c>
      <c r="H224" s="14">
        <f t="shared" si="820"/>
        <v>2.35</v>
      </c>
      <c r="I224" s="33">
        <f t="shared" si="821"/>
        <v>0.42553191489361702</v>
      </c>
      <c r="J224" s="17">
        <f t="shared" si="822"/>
        <v>1</v>
      </c>
      <c r="K224" s="17">
        <f t="shared" si="823"/>
        <v>2</v>
      </c>
      <c r="L224" s="18">
        <f t="shared" si="824"/>
        <v>1.0481734243275793</v>
      </c>
      <c r="M224" s="34">
        <f t="shared" si="825"/>
        <v>4.8173424327579317E-2</v>
      </c>
      <c r="N224" s="33">
        <f t="shared" si="826"/>
        <v>0.40597472232860971</v>
      </c>
      <c r="O224" s="33">
        <f t="shared" si="827"/>
        <v>0.39910569026872722</v>
      </c>
      <c r="P224" s="33">
        <f t="shared" si="828"/>
        <v>0.40144520272197032</v>
      </c>
      <c r="Q224" s="33">
        <f t="shared" si="829"/>
        <v>0.40144520272197032</v>
      </c>
      <c r="R224" s="35">
        <f t="shared" si="830"/>
        <v>1.075038074585609</v>
      </c>
      <c r="S224" s="35">
        <f t="shared" si="831"/>
        <v>4.8262921099536019E-2</v>
      </c>
    </row>
    <row r="225" spans="1:19" ht="15" customHeight="1" x14ac:dyDescent="0.3">
      <c r="A225" s="30">
        <f>Odds_Input!A225</f>
        <v>217</v>
      </c>
      <c r="B225" s="7" t="str">
        <f>Odds_Input!B225</f>
        <v>PLAYOFFS</v>
      </c>
      <c r="C225" s="7" t="str">
        <f>Odds_Input!C225</f>
        <v>Utah Jazz</v>
      </c>
      <c r="D225" s="7" t="str">
        <f>Odds_Input!D225</f>
        <v>NO</v>
      </c>
      <c r="E225" s="31" t="str">
        <f>Odds_Input!E225</f>
        <v>-</v>
      </c>
      <c r="F225" s="32">
        <f>Odds_Input!F225</f>
        <v>-165</v>
      </c>
      <c r="G225" s="6" t="str">
        <f t="shared" si="819"/>
        <v>PLAYOFFS|Utah Jazz</v>
      </c>
      <c r="H225" s="14">
        <f t="shared" si="820"/>
        <v>1.606060606060606</v>
      </c>
      <c r="I225" s="33">
        <f t="shared" si="821"/>
        <v>0.62264150943396235</v>
      </c>
      <c r="J225" s="17">
        <f t="shared" si="822"/>
        <v>1</v>
      </c>
      <c r="K225" s="17">
        <f t="shared" si="823"/>
        <v>2</v>
      </c>
      <c r="L225" s="18">
        <f t="shared" si="824"/>
        <v>1.0481734243275793</v>
      </c>
      <c r="M225" s="34">
        <f t="shared" si="825"/>
        <v>4.8173424327579317E-2</v>
      </c>
      <c r="N225" s="33">
        <f t="shared" si="826"/>
        <v>0.59402527767139035</v>
      </c>
      <c r="O225" s="33">
        <f t="shared" si="827"/>
        <v>0.600894309508341</v>
      </c>
      <c r="P225" s="33">
        <f t="shared" si="828"/>
        <v>0.59855479726479799</v>
      </c>
      <c r="Q225" s="33">
        <f t="shared" si="829"/>
        <v>0.59855479726479799</v>
      </c>
      <c r="R225" s="35">
        <f t="shared" si="830"/>
        <v>1.075038074585609</v>
      </c>
      <c r="S225" s="35">
        <f t="shared" si="831"/>
        <v>4.8262921099536019E-2</v>
      </c>
    </row>
    <row r="226" spans="1:19" ht="15" customHeight="1" x14ac:dyDescent="0.3">
      <c r="A226" s="30">
        <f>Odds_Input!A226</f>
        <v>218</v>
      </c>
      <c r="B226" s="7" t="str">
        <f>Odds_Input!B226</f>
        <v>PLAYOFFS</v>
      </c>
      <c r="C226" s="7" t="str">
        <f>Odds_Input!C226</f>
        <v>Dallas Mavericks</v>
      </c>
      <c r="D226" s="7" t="str">
        <f>Odds_Input!D226</f>
        <v>YES</v>
      </c>
      <c r="E226" s="31" t="str">
        <f>Odds_Input!E226</f>
        <v>-</v>
      </c>
      <c r="F226" s="32">
        <f>Odds_Input!F226</f>
        <v>225</v>
      </c>
      <c r="G226" s="6" t="str">
        <f t="shared" si="819"/>
        <v>PLAYOFFS|Dallas Mavericks</v>
      </c>
      <c r="H226" s="14">
        <f t="shared" si="820"/>
        <v>3.25</v>
      </c>
      <c r="I226" s="33">
        <f t="shared" si="821"/>
        <v>0.30769230769230771</v>
      </c>
      <c r="J226" s="17">
        <f t="shared" si="822"/>
        <v>1</v>
      </c>
      <c r="K226" s="17">
        <f t="shared" si="823"/>
        <v>2</v>
      </c>
      <c r="L226" s="18">
        <f t="shared" si="824"/>
        <v>1.0445344129554655</v>
      </c>
      <c r="M226" s="34">
        <f t="shared" si="825"/>
        <v>4.4534412955465452E-2</v>
      </c>
      <c r="N226" s="33">
        <f t="shared" si="826"/>
        <v>0.29457364341085279</v>
      </c>
      <c r="O226" s="33">
        <f t="shared" si="827"/>
        <v>0.28056739176069562</v>
      </c>
      <c r="P226" s="33">
        <f t="shared" si="828"/>
        <v>0.28542510120615061</v>
      </c>
      <c r="Q226" s="33">
        <f t="shared" si="829"/>
        <v>0.28542510120615061</v>
      </c>
      <c r="R226" s="35">
        <f t="shared" si="830"/>
        <v>1.0782980015268548</v>
      </c>
      <c r="S226" s="35">
        <f t="shared" si="831"/>
        <v>4.4963046986264757E-2</v>
      </c>
    </row>
    <row r="227" spans="1:19" ht="15" customHeight="1" x14ac:dyDescent="0.3">
      <c r="A227" s="30">
        <f>Odds_Input!A227</f>
        <v>219</v>
      </c>
      <c r="B227" s="7" t="str">
        <f>Odds_Input!B227</f>
        <v>PLAYOFFS</v>
      </c>
      <c r="C227" s="7" t="str">
        <f>Odds_Input!C227</f>
        <v>Dallas Mavericks</v>
      </c>
      <c r="D227" s="7" t="str">
        <f>Odds_Input!D227</f>
        <v>NO</v>
      </c>
      <c r="E227" s="31" t="str">
        <f>Odds_Input!E227</f>
        <v>-</v>
      </c>
      <c r="F227" s="32">
        <f>Odds_Input!F227</f>
        <v>-280</v>
      </c>
      <c r="G227" s="6" t="str">
        <f t="shared" si="819"/>
        <v>PLAYOFFS|Dallas Mavericks</v>
      </c>
      <c r="H227" s="14">
        <f t="shared" si="820"/>
        <v>1.3571428571428572</v>
      </c>
      <c r="I227" s="33">
        <f t="shared" si="821"/>
        <v>0.73684210526315785</v>
      </c>
      <c r="J227" s="17">
        <f t="shared" si="822"/>
        <v>1</v>
      </c>
      <c r="K227" s="17">
        <f t="shared" si="823"/>
        <v>2</v>
      </c>
      <c r="L227" s="18">
        <f t="shared" si="824"/>
        <v>1.0445344129554655</v>
      </c>
      <c r="M227" s="34">
        <f t="shared" si="825"/>
        <v>4.4534412955465452E-2</v>
      </c>
      <c r="N227" s="33">
        <f t="shared" si="826"/>
        <v>0.70542635658914732</v>
      </c>
      <c r="O227" s="33">
        <f t="shared" si="827"/>
        <v>0.71943260776454065</v>
      </c>
      <c r="P227" s="33">
        <f t="shared" si="828"/>
        <v>0.71457489878189884</v>
      </c>
      <c r="Q227" s="33">
        <f t="shared" si="829"/>
        <v>0.71457489878189884</v>
      </c>
      <c r="R227" s="35">
        <f t="shared" si="830"/>
        <v>1.0782980015268548</v>
      </c>
      <c r="S227" s="35">
        <f t="shared" si="831"/>
        <v>4.4963046986264757E-2</v>
      </c>
    </row>
    <row r="228" spans="1:19" ht="15" customHeight="1" x14ac:dyDescent="0.3">
      <c r="A228" s="30">
        <f>Odds_Input!A228</f>
        <v>220</v>
      </c>
      <c r="B228" s="7" t="str">
        <f>Odds_Input!B228</f>
        <v>PLAYOFFS</v>
      </c>
      <c r="C228" s="7" t="str">
        <f>Odds_Input!C228</f>
        <v>Houston Rockets</v>
      </c>
      <c r="D228" s="7" t="str">
        <f>Odds_Input!D228</f>
        <v>YES</v>
      </c>
      <c r="E228" s="31" t="str">
        <f>Odds_Input!E228</f>
        <v>-</v>
      </c>
      <c r="F228" s="32">
        <f>Odds_Input!F228</f>
        <v>-550</v>
      </c>
      <c r="G228" s="6" t="str">
        <f t="shared" si="819"/>
        <v>PLAYOFFS|Houston Rockets</v>
      </c>
      <c r="H228" s="14">
        <f t="shared" si="820"/>
        <v>1.1818181818181819</v>
      </c>
      <c r="I228" s="33">
        <f t="shared" si="821"/>
        <v>0.84615384615384615</v>
      </c>
      <c r="J228" s="17">
        <f t="shared" si="822"/>
        <v>1</v>
      </c>
      <c r="K228" s="17">
        <f t="shared" si="823"/>
        <v>2</v>
      </c>
      <c r="L228" s="18">
        <f t="shared" si="824"/>
        <v>1.0566801619433197</v>
      </c>
      <c r="M228" s="34">
        <f t="shared" si="825"/>
        <v>5.6680161943319707E-2</v>
      </c>
      <c r="N228" s="33">
        <f t="shared" si="826"/>
        <v>0.80076628352490431</v>
      </c>
      <c r="O228" s="33">
        <f t="shared" si="827"/>
        <v>0.82801008334412096</v>
      </c>
      <c r="P228" s="33">
        <f t="shared" si="828"/>
        <v>0.81781376517646998</v>
      </c>
      <c r="Q228" s="33">
        <f t="shared" si="829"/>
        <v>0.81781376517646998</v>
      </c>
      <c r="R228" s="35">
        <f t="shared" si="830"/>
        <v>1.1297535591525962</v>
      </c>
      <c r="S228" s="35">
        <f t="shared" si="831"/>
        <v>5.8741238169805254E-2</v>
      </c>
    </row>
    <row r="229" spans="1:19" ht="15" customHeight="1" x14ac:dyDescent="0.3">
      <c r="A229" s="30">
        <f>Odds_Input!A229</f>
        <v>221</v>
      </c>
      <c r="B229" s="7" t="str">
        <f>Odds_Input!B229</f>
        <v>PLAYOFFS</v>
      </c>
      <c r="C229" s="7" t="str">
        <f>Odds_Input!C229</f>
        <v>Houston Rockets</v>
      </c>
      <c r="D229" s="7" t="str">
        <f>Odds_Input!D229</f>
        <v>NO</v>
      </c>
      <c r="E229" s="31" t="str">
        <f>Odds_Input!E229</f>
        <v>-</v>
      </c>
      <c r="F229" s="32">
        <f>Odds_Input!F229</f>
        <v>375</v>
      </c>
      <c r="G229" s="6" t="str">
        <f t="shared" si="819"/>
        <v>PLAYOFFS|Houston Rockets</v>
      </c>
      <c r="H229" s="14">
        <f t="shared" si="820"/>
        <v>4.75</v>
      </c>
      <c r="I229" s="33">
        <f t="shared" si="821"/>
        <v>0.21052631578947367</v>
      </c>
      <c r="J229" s="17">
        <f t="shared" si="822"/>
        <v>1</v>
      </c>
      <c r="K229" s="17">
        <f t="shared" si="823"/>
        <v>2</v>
      </c>
      <c r="L229" s="18">
        <f t="shared" si="824"/>
        <v>1.0566801619433197</v>
      </c>
      <c r="M229" s="34">
        <f t="shared" si="825"/>
        <v>5.6680161943319707E-2</v>
      </c>
      <c r="N229" s="33">
        <f t="shared" si="826"/>
        <v>0.1992337164750958</v>
      </c>
      <c r="O229" s="33">
        <f t="shared" si="827"/>
        <v>0.17198991666762894</v>
      </c>
      <c r="P229" s="33">
        <f t="shared" si="828"/>
        <v>0.18218623479507012</v>
      </c>
      <c r="Q229" s="33">
        <f t="shared" si="829"/>
        <v>0.18218623479507012</v>
      </c>
      <c r="R229" s="35">
        <f t="shared" si="830"/>
        <v>1.1297535591525962</v>
      </c>
      <c r="S229" s="35">
        <f t="shared" si="831"/>
        <v>5.8741238169805254E-2</v>
      </c>
    </row>
    <row r="230" spans="1:19" ht="15" customHeight="1" x14ac:dyDescent="0.3">
      <c r="A230" s="30">
        <f>Odds_Input!A230</f>
        <v>222</v>
      </c>
      <c r="B230" s="7" t="str">
        <f>Odds_Input!B230</f>
        <v>PLAYOFFS</v>
      </c>
      <c r="C230" s="7" t="str">
        <f>Odds_Input!C230</f>
        <v>Los Angeles Lakers</v>
      </c>
      <c r="D230" s="7" t="str">
        <f>Odds_Input!D230</f>
        <v>YES</v>
      </c>
      <c r="E230" s="31" t="str">
        <f>Odds_Input!E230</f>
        <v>-</v>
      </c>
      <c r="F230" s="32">
        <f>Odds_Input!F230</f>
        <v>-400</v>
      </c>
      <c r="G230" s="6" t="str">
        <f t="shared" si="819"/>
        <v>PLAYOFFS|Los Angeles Lakers</v>
      </c>
      <c r="H230" s="14">
        <f t="shared" si="820"/>
        <v>1.25</v>
      </c>
      <c r="I230" s="33">
        <f t="shared" si="821"/>
        <v>0.8</v>
      </c>
      <c r="J230" s="17">
        <f t="shared" si="822"/>
        <v>1</v>
      </c>
      <c r="K230" s="17">
        <f t="shared" si="823"/>
        <v>2</v>
      </c>
      <c r="L230" s="18">
        <f t="shared" si="824"/>
        <v>1.05</v>
      </c>
      <c r="M230" s="34">
        <f t="shared" si="825"/>
        <v>5.0000000000000044E-2</v>
      </c>
      <c r="N230" s="33">
        <f t="shared" si="826"/>
        <v>0.76190476190476186</v>
      </c>
      <c r="O230" s="33">
        <f t="shared" si="827"/>
        <v>0.78235213236945234</v>
      </c>
      <c r="P230" s="33">
        <f t="shared" si="828"/>
        <v>0.77500000001041214</v>
      </c>
      <c r="Q230" s="33">
        <f t="shared" si="829"/>
        <v>0.77500000001041214</v>
      </c>
      <c r="R230" s="35">
        <f t="shared" si="830"/>
        <v>1.0999661034205928</v>
      </c>
      <c r="S230" s="35">
        <f t="shared" si="831"/>
        <v>5.1032599328820705E-2</v>
      </c>
    </row>
    <row r="231" spans="1:19" ht="15" customHeight="1" x14ac:dyDescent="0.3">
      <c r="A231" s="30">
        <f>Odds_Input!A231</f>
        <v>223</v>
      </c>
      <c r="B231" s="7" t="str">
        <f>Odds_Input!B231</f>
        <v>PLAYOFFS</v>
      </c>
      <c r="C231" s="7" t="str">
        <f>Odds_Input!C231</f>
        <v>Los Angeles Lakers</v>
      </c>
      <c r="D231" s="7" t="str">
        <f>Odds_Input!D231</f>
        <v>NO</v>
      </c>
      <c r="E231" s="31" t="str">
        <f>Odds_Input!E231</f>
        <v>-</v>
      </c>
      <c r="F231" s="32">
        <f>Odds_Input!F231</f>
        <v>300</v>
      </c>
      <c r="G231" s="6" t="str">
        <f t="shared" si="819"/>
        <v>PLAYOFFS|Los Angeles Lakers</v>
      </c>
      <c r="H231" s="14">
        <f t="shared" si="820"/>
        <v>4</v>
      </c>
      <c r="I231" s="33">
        <f t="shared" si="821"/>
        <v>0.25</v>
      </c>
      <c r="J231" s="17">
        <f t="shared" si="822"/>
        <v>1</v>
      </c>
      <c r="K231" s="17">
        <f t="shared" si="823"/>
        <v>2</v>
      </c>
      <c r="L231" s="18">
        <f t="shared" si="824"/>
        <v>1.05</v>
      </c>
      <c r="M231" s="34">
        <f t="shared" si="825"/>
        <v>5.0000000000000044E-2</v>
      </c>
      <c r="N231" s="33">
        <f t="shared" si="826"/>
        <v>0.23809523809523808</v>
      </c>
      <c r="O231" s="33">
        <f t="shared" si="827"/>
        <v>0.21764786799567415</v>
      </c>
      <c r="P231" s="33">
        <f t="shared" si="828"/>
        <v>0.2250000000331468</v>
      </c>
      <c r="Q231" s="33">
        <f t="shared" si="829"/>
        <v>0.2250000000331468</v>
      </c>
      <c r="R231" s="35">
        <f t="shared" si="830"/>
        <v>1.0999661034205928</v>
      </c>
      <c r="S231" s="35">
        <f t="shared" si="831"/>
        <v>5.1032599328820705E-2</v>
      </c>
    </row>
    <row r="232" spans="1:19" ht="15" customHeight="1" x14ac:dyDescent="0.3">
      <c r="A232" s="30">
        <f>Odds_Input!A232</f>
        <v>224</v>
      </c>
      <c r="B232" s="7" t="str">
        <f>Odds_Input!B232</f>
        <v>PLAYOFFS</v>
      </c>
      <c r="C232" s="7" t="str">
        <f>Odds_Input!C232</f>
        <v>Phoenix Suns</v>
      </c>
      <c r="D232" s="7" t="str">
        <f>Odds_Input!D232</f>
        <v>YES</v>
      </c>
      <c r="E232" s="31" t="str">
        <f>Odds_Input!E232</f>
        <v>-</v>
      </c>
      <c r="F232" s="32">
        <f>Odds_Input!F232</f>
        <v>-115</v>
      </c>
      <c r="G232" s="6" t="str">
        <f t="shared" si="819"/>
        <v>PLAYOFFS|Phoenix Suns</v>
      </c>
      <c r="H232" s="14">
        <f t="shared" si="820"/>
        <v>1.8695652173913042</v>
      </c>
      <c r="I232" s="33">
        <f t="shared" si="821"/>
        <v>0.53488372093023262</v>
      </c>
      <c r="J232" s="17">
        <f t="shared" si="822"/>
        <v>1</v>
      </c>
      <c r="K232" s="17">
        <f t="shared" si="823"/>
        <v>2</v>
      </c>
      <c r="L232" s="18">
        <f t="shared" si="824"/>
        <v>1.0697674418604652</v>
      </c>
      <c r="M232" s="34">
        <f t="shared" si="825"/>
        <v>6.976744186046524E-2</v>
      </c>
      <c r="N232" s="33">
        <f t="shared" si="826"/>
        <v>0.5</v>
      </c>
      <c r="O232" s="33">
        <f t="shared" si="827"/>
        <v>0.50000000007055545</v>
      </c>
      <c r="P232" s="33">
        <f t="shared" si="828"/>
        <v>0.49999999998889316</v>
      </c>
      <c r="Q232" s="33">
        <f t="shared" si="829"/>
        <v>0.49999999998889316</v>
      </c>
      <c r="R232" s="35">
        <f t="shared" si="830"/>
        <v>1.1077843131730329</v>
      </c>
      <c r="S232" s="35">
        <f t="shared" si="831"/>
        <v>6.9767441904892313E-2</v>
      </c>
    </row>
    <row r="233" spans="1:19" ht="15" customHeight="1" x14ac:dyDescent="0.3">
      <c r="A233" s="30">
        <f>Odds_Input!A233</f>
        <v>225</v>
      </c>
      <c r="B233" s="7" t="str">
        <f>Odds_Input!B233</f>
        <v>PLAYOFFS</v>
      </c>
      <c r="C233" s="7" t="str">
        <f>Odds_Input!C233</f>
        <v>Phoenix Suns</v>
      </c>
      <c r="D233" s="7" t="str">
        <f>Odds_Input!D233</f>
        <v>NO</v>
      </c>
      <c r="E233" s="31" t="str">
        <f>Odds_Input!E233</f>
        <v>-</v>
      </c>
      <c r="F233" s="32">
        <f>Odds_Input!F233</f>
        <v>-115</v>
      </c>
      <c r="G233" s="6" t="str">
        <f t="shared" si="819"/>
        <v>PLAYOFFS|Phoenix Suns</v>
      </c>
      <c r="H233" s="14">
        <f t="shared" si="820"/>
        <v>1.8695652173913042</v>
      </c>
      <c r="I233" s="33">
        <f t="shared" si="821"/>
        <v>0.53488372093023262</v>
      </c>
      <c r="J233" s="17">
        <f t="shared" si="822"/>
        <v>1</v>
      </c>
      <c r="K233" s="17">
        <f t="shared" si="823"/>
        <v>2</v>
      </c>
      <c r="L233" s="18">
        <f t="shared" si="824"/>
        <v>1.0697674418604652</v>
      </c>
      <c r="M233" s="34">
        <f t="shared" si="825"/>
        <v>6.976744186046524E-2</v>
      </c>
      <c r="N233" s="33">
        <f t="shared" si="826"/>
        <v>0.5</v>
      </c>
      <c r="O233" s="33">
        <f t="shared" si="827"/>
        <v>0.50000000007055545</v>
      </c>
      <c r="P233" s="33">
        <f t="shared" si="828"/>
        <v>0.49999999998889316</v>
      </c>
      <c r="Q233" s="33">
        <f t="shared" si="829"/>
        <v>0.49999999998889316</v>
      </c>
      <c r="R233" s="35">
        <f t="shared" si="830"/>
        <v>1.1077843131730329</v>
      </c>
      <c r="S233" s="35">
        <f t="shared" si="831"/>
        <v>6.9767441904892313E-2</v>
      </c>
    </row>
    <row r="234" spans="1:19" ht="15" customHeight="1" x14ac:dyDescent="0.3">
      <c r="A234" s="30">
        <f>Odds_Input!A234</f>
        <v>226</v>
      </c>
      <c r="B234" s="7" t="str">
        <f>Odds_Input!B234</f>
        <v>PLAYOFFS</v>
      </c>
      <c r="C234" s="7" t="str">
        <f>Odds_Input!C234</f>
        <v>Portland Trail Blazers</v>
      </c>
      <c r="D234" s="7" t="str">
        <f>Odds_Input!D234</f>
        <v>YES</v>
      </c>
      <c r="E234" s="31" t="str">
        <f>Odds_Input!E234</f>
        <v>-</v>
      </c>
      <c r="F234" s="32">
        <f>Odds_Input!F234</f>
        <v>-170</v>
      </c>
      <c r="G234" s="6" t="str">
        <f t="shared" si="819"/>
        <v>PLAYOFFS|Portland Trail Blazers</v>
      </c>
      <c r="H234" s="14">
        <f t="shared" si="820"/>
        <v>1.5882352941176472</v>
      </c>
      <c r="I234" s="33">
        <f t="shared" si="821"/>
        <v>0.62962962962962954</v>
      </c>
      <c r="J234" s="17">
        <f t="shared" si="822"/>
        <v>1</v>
      </c>
      <c r="K234" s="17">
        <f t="shared" si="823"/>
        <v>2</v>
      </c>
      <c r="L234" s="18">
        <f t="shared" si="824"/>
        <v>1.0462962962962963</v>
      </c>
      <c r="M234" s="34">
        <f t="shared" si="825"/>
        <v>4.629629629629628E-2</v>
      </c>
      <c r="N234" s="33">
        <f t="shared" si="826"/>
        <v>0.60176991150442471</v>
      </c>
      <c r="O234" s="33">
        <f t="shared" si="827"/>
        <v>0.60890528705146529</v>
      </c>
      <c r="P234" s="33">
        <f t="shared" si="828"/>
        <v>0.60648148148839409</v>
      </c>
      <c r="Q234" s="33">
        <f t="shared" si="829"/>
        <v>0.60648148148839409</v>
      </c>
      <c r="R234" s="35">
        <f t="shared" si="830"/>
        <v>1.0723461344139644</v>
      </c>
      <c r="S234" s="35">
        <f t="shared" si="831"/>
        <v>4.6393616521416325E-2</v>
      </c>
    </row>
    <row r="235" spans="1:19" ht="15" customHeight="1" x14ac:dyDescent="0.3">
      <c r="A235" s="30">
        <f>Odds_Input!A235</f>
        <v>227</v>
      </c>
      <c r="B235" s="7" t="str">
        <f>Odds_Input!B235</f>
        <v>PLAYOFFS</v>
      </c>
      <c r="C235" s="7" t="str">
        <f>Odds_Input!C235</f>
        <v>Portland Trail Blazers</v>
      </c>
      <c r="D235" s="7" t="str">
        <f>Odds_Input!D235</f>
        <v>NO</v>
      </c>
      <c r="E235" s="31" t="str">
        <f>Odds_Input!E235</f>
        <v>-</v>
      </c>
      <c r="F235" s="32">
        <f>Odds_Input!F235</f>
        <v>140</v>
      </c>
      <c r="G235" s="6" t="str">
        <f t="shared" si="819"/>
        <v>PLAYOFFS|Portland Trail Blazers</v>
      </c>
      <c r="H235" s="14">
        <f t="shared" si="820"/>
        <v>2.4</v>
      </c>
      <c r="I235" s="33">
        <f t="shared" si="821"/>
        <v>0.41666666666666669</v>
      </c>
      <c r="J235" s="17">
        <f t="shared" si="822"/>
        <v>1</v>
      </c>
      <c r="K235" s="17">
        <f t="shared" si="823"/>
        <v>2</v>
      </c>
      <c r="L235" s="18">
        <f t="shared" si="824"/>
        <v>1.0462962962962963</v>
      </c>
      <c r="M235" s="34">
        <f t="shared" si="825"/>
        <v>4.629629629629628E-2</v>
      </c>
      <c r="N235" s="33">
        <f t="shared" si="826"/>
        <v>0.39823008849557523</v>
      </c>
      <c r="O235" s="33">
        <f t="shared" si="827"/>
        <v>0.39109471272313701</v>
      </c>
      <c r="P235" s="33">
        <f t="shared" si="828"/>
        <v>0.39351851852895431</v>
      </c>
      <c r="Q235" s="33">
        <f t="shared" si="829"/>
        <v>0.39351851852895431</v>
      </c>
      <c r="R235" s="35">
        <f t="shared" si="830"/>
        <v>1.0723461344139644</v>
      </c>
      <c r="S235" s="35">
        <f t="shared" si="831"/>
        <v>4.6393616521416325E-2</v>
      </c>
    </row>
    <row r="236" spans="1:19" ht="15" customHeight="1" x14ac:dyDescent="0.3">
      <c r="A236" s="30">
        <f>Odds_Input!A236</f>
        <v>228</v>
      </c>
      <c r="B236" s="7" t="str">
        <f>Odds_Input!B236</f>
        <v>PLAYOFFS</v>
      </c>
      <c r="C236" s="7" t="str">
        <f>Odds_Input!C236</f>
        <v>Sacramento Kings</v>
      </c>
      <c r="D236" s="7" t="str">
        <f>Odds_Input!D236</f>
        <v>YES</v>
      </c>
      <c r="E236" s="31" t="str">
        <f>Odds_Input!E236</f>
        <v>-</v>
      </c>
      <c r="F236" s="32">
        <f>Odds_Input!F236</f>
        <v>2350</v>
      </c>
      <c r="G236" s="6" t="str">
        <f t="shared" si="819"/>
        <v>PLAYOFFS|Sacramento Kings</v>
      </c>
      <c r="H236" s="14">
        <f t="shared" si="820"/>
        <v>24.5</v>
      </c>
      <c r="I236" s="33">
        <f t="shared" si="821"/>
        <v>4.0816326530612242E-2</v>
      </c>
      <c r="J236" s="17">
        <f t="shared" si="822"/>
        <v>1</v>
      </c>
      <c r="K236" s="17">
        <f t="shared" si="823"/>
        <v>2</v>
      </c>
      <c r="L236" s="18">
        <f t="shared" si="824"/>
        <v>1.0309153364316024</v>
      </c>
      <c r="M236" s="34">
        <f t="shared" si="825"/>
        <v>3.091533643160238E-2</v>
      </c>
      <c r="N236" s="33">
        <f t="shared" si="826"/>
        <v>3.9592316738533903E-2</v>
      </c>
      <c r="O236" s="33">
        <f t="shared" si="827"/>
        <v>1.3339497006895731E-2</v>
      </c>
      <c r="P236" s="33">
        <f t="shared" si="828"/>
        <v>2.5358658343993833E-2</v>
      </c>
      <c r="Q236" s="33">
        <f t="shared" si="829"/>
        <v>2.5358658343993833E-2</v>
      </c>
      <c r="R236" s="35">
        <f t="shared" si="830"/>
        <v>1.3496302329702305</v>
      </c>
      <c r="S236" s="35">
        <f t="shared" si="831"/>
        <v>3.936588638032984E-2</v>
      </c>
    </row>
    <row r="237" spans="1:19" ht="15" customHeight="1" x14ac:dyDescent="0.3">
      <c r="A237" s="30">
        <f>Odds_Input!A237</f>
        <v>229</v>
      </c>
      <c r="B237" s="7" t="str">
        <f>Odds_Input!B237</f>
        <v>PLAYOFFS</v>
      </c>
      <c r="C237" s="7" t="str">
        <f>Odds_Input!C237</f>
        <v>Sacramento Kings</v>
      </c>
      <c r="D237" s="7" t="str">
        <f>Odds_Input!D237</f>
        <v>NO</v>
      </c>
      <c r="E237" s="31" t="str">
        <f>Odds_Input!E237</f>
        <v>-</v>
      </c>
      <c r="F237" s="32">
        <f>Odds_Input!F237</f>
        <v>-10000</v>
      </c>
      <c r="G237" s="6" t="str">
        <f t="shared" si="819"/>
        <v>PLAYOFFS|Sacramento Kings</v>
      </c>
      <c r="H237" s="14">
        <f t="shared" si="820"/>
        <v>1.01</v>
      </c>
      <c r="I237" s="33">
        <f t="shared" si="821"/>
        <v>0.99009900990099009</v>
      </c>
      <c r="J237" s="17">
        <f t="shared" si="822"/>
        <v>1</v>
      </c>
      <c r="K237" s="17">
        <f t="shared" si="823"/>
        <v>2</v>
      </c>
      <c r="L237" s="18">
        <f t="shared" si="824"/>
        <v>1.0309153364316024</v>
      </c>
      <c r="M237" s="34">
        <f t="shared" si="825"/>
        <v>3.091533643160238E-2</v>
      </c>
      <c r="N237" s="33">
        <f t="shared" si="826"/>
        <v>0.96040768326146608</v>
      </c>
      <c r="O237" s="33">
        <f t="shared" si="827"/>
        <v>0.98666050296410568</v>
      </c>
      <c r="P237" s="33">
        <f t="shared" si="828"/>
        <v>0.97464134168653338</v>
      </c>
      <c r="Q237" s="33">
        <f t="shared" si="829"/>
        <v>0.97464134168653338</v>
      </c>
      <c r="R237" s="35">
        <f t="shared" si="830"/>
        <v>1.3496302329702305</v>
      </c>
      <c r="S237" s="35">
        <f t="shared" si="831"/>
        <v>3.936588638032984E-2</v>
      </c>
    </row>
    <row r="238" spans="1:19" ht="15" customHeight="1" x14ac:dyDescent="0.3">
      <c r="A238" s="30">
        <f>Odds_Input!A238</f>
        <v>230</v>
      </c>
      <c r="B238" s="7" t="str">
        <f>Odds_Input!B238</f>
        <v>PLAYOFFS</v>
      </c>
      <c r="C238" s="7" t="str">
        <f>Odds_Input!C238</f>
        <v>Cleveland Cavaliers</v>
      </c>
      <c r="D238" s="7" t="str">
        <f>Odds_Input!D238</f>
        <v>YES</v>
      </c>
      <c r="E238" s="31" t="str">
        <f>Odds_Input!E238</f>
        <v>-</v>
      </c>
      <c r="F238" s="32">
        <f>Odds_Input!F238</f>
        <v>-550</v>
      </c>
      <c r="G238" s="6" t="str">
        <f t="shared" si="819"/>
        <v>PLAYOFFS|Cleveland Cavaliers</v>
      </c>
      <c r="H238" s="14">
        <f t="shared" si="820"/>
        <v>1.1818181818181819</v>
      </c>
      <c r="I238" s="33">
        <f t="shared" si="821"/>
        <v>0.84615384615384615</v>
      </c>
      <c r="J238" s="17">
        <f t="shared" si="822"/>
        <v>1</v>
      </c>
      <c r="K238" s="17">
        <f t="shared" si="823"/>
        <v>2</v>
      </c>
      <c r="L238" s="18">
        <f t="shared" si="824"/>
        <v>1.0566801619433197</v>
      </c>
      <c r="M238" s="34">
        <f t="shared" si="825"/>
        <v>5.6680161943319707E-2</v>
      </c>
      <c r="N238" s="33">
        <f t="shared" si="826"/>
        <v>0.80076628352490431</v>
      </c>
      <c r="O238" s="33">
        <f t="shared" si="827"/>
        <v>0.82801008334412096</v>
      </c>
      <c r="P238" s="33">
        <f t="shared" si="828"/>
        <v>0.81781376517646998</v>
      </c>
      <c r="Q238" s="33">
        <f t="shared" si="829"/>
        <v>0.81781376517646998</v>
      </c>
      <c r="R238" s="35">
        <f t="shared" si="830"/>
        <v>1.1297535591525962</v>
      </c>
      <c r="S238" s="35">
        <f t="shared" si="831"/>
        <v>5.8741238169805254E-2</v>
      </c>
    </row>
    <row r="239" spans="1:19" ht="15" customHeight="1" x14ac:dyDescent="0.3">
      <c r="A239" s="30">
        <f>Odds_Input!A239</f>
        <v>231</v>
      </c>
      <c r="B239" s="7" t="str">
        <f>Odds_Input!B239</f>
        <v>PLAYOFFS</v>
      </c>
      <c r="C239" s="7" t="str">
        <f>Odds_Input!C239</f>
        <v>Cleveland Cavaliers</v>
      </c>
      <c r="D239" s="7" t="str">
        <f>Odds_Input!D239</f>
        <v>NO</v>
      </c>
      <c r="E239" s="31" t="str">
        <f>Odds_Input!E239</f>
        <v>-</v>
      </c>
      <c r="F239" s="32">
        <f>Odds_Input!F239</f>
        <v>375</v>
      </c>
      <c r="G239" s="6" t="str">
        <f t="shared" si="819"/>
        <v>PLAYOFFS|Cleveland Cavaliers</v>
      </c>
      <c r="H239" s="14">
        <f t="shared" si="820"/>
        <v>4.75</v>
      </c>
      <c r="I239" s="33">
        <f t="shared" si="821"/>
        <v>0.21052631578947367</v>
      </c>
      <c r="J239" s="17">
        <f t="shared" si="822"/>
        <v>1</v>
      </c>
      <c r="K239" s="17">
        <f t="shared" si="823"/>
        <v>2</v>
      </c>
      <c r="L239" s="18">
        <f t="shared" si="824"/>
        <v>1.0566801619433197</v>
      </c>
      <c r="M239" s="34">
        <f t="shared" si="825"/>
        <v>5.6680161943319707E-2</v>
      </c>
      <c r="N239" s="33">
        <f t="shared" si="826"/>
        <v>0.1992337164750958</v>
      </c>
      <c r="O239" s="33">
        <f t="shared" si="827"/>
        <v>0.17198991666762894</v>
      </c>
      <c r="P239" s="33">
        <f t="shared" si="828"/>
        <v>0.18218623479507012</v>
      </c>
      <c r="Q239" s="33">
        <f t="shared" si="829"/>
        <v>0.18218623479507012</v>
      </c>
      <c r="R239" s="35">
        <f t="shared" si="830"/>
        <v>1.1297535591525962</v>
      </c>
      <c r="S239" s="35">
        <f t="shared" si="831"/>
        <v>5.8741238169805254E-2</v>
      </c>
    </row>
    <row r="240" spans="1:19" ht="15" customHeight="1" x14ac:dyDescent="0.3">
      <c r="A240" s="30">
        <f>Odds_Input!A240</f>
        <v>232</v>
      </c>
      <c r="B240" s="7" t="str">
        <f>Odds_Input!B240</f>
        <v>PLAYOFFS</v>
      </c>
      <c r="C240" s="7" t="str">
        <f>Odds_Input!C240</f>
        <v>Denver Nuggets</v>
      </c>
      <c r="D240" s="7" t="str">
        <f>Odds_Input!D240</f>
        <v>YES</v>
      </c>
      <c r="E240" s="31" t="str">
        <f>Odds_Input!E240</f>
        <v>-</v>
      </c>
      <c r="F240" s="32">
        <f>Odds_Input!F240</f>
        <v>-875</v>
      </c>
      <c r="G240" s="6" t="str">
        <f t="shared" si="819"/>
        <v>PLAYOFFS|Denver Nuggets</v>
      </c>
      <c r="H240" s="14">
        <f t="shared" si="820"/>
        <v>1.1142857142857143</v>
      </c>
      <c r="I240" s="33">
        <f t="shared" si="821"/>
        <v>0.89743589743589736</v>
      </c>
      <c r="J240" s="17">
        <f t="shared" si="822"/>
        <v>1</v>
      </c>
      <c r="K240" s="17">
        <f t="shared" si="823"/>
        <v>2</v>
      </c>
      <c r="L240" s="18">
        <f t="shared" si="824"/>
        <v>1.0713489409141581</v>
      </c>
      <c r="M240" s="34">
        <f t="shared" si="825"/>
        <v>7.134894091415811E-2</v>
      </c>
      <c r="N240" s="33">
        <f t="shared" si="826"/>
        <v>0.83766909469302819</v>
      </c>
      <c r="O240" s="33">
        <f t="shared" si="827"/>
        <v>0.8779768930635018</v>
      </c>
      <c r="P240" s="33">
        <f t="shared" si="828"/>
        <v>0.86176142698555536</v>
      </c>
      <c r="Q240" s="33">
        <f t="shared" si="829"/>
        <v>0.86176142698555536</v>
      </c>
      <c r="R240" s="35">
        <f t="shared" si="830"/>
        <v>1.2025754790520291</v>
      </c>
      <c r="S240" s="35">
        <f t="shared" si="831"/>
        <v>7.6568962905027793E-2</v>
      </c>
    </row>
    <row r="241" spans="1:19" ht="15" customHeight="1" x14ac:dyDescent="0.3">
      <c r="A241" s="30">
        <f>Odds_Input!A241</f>
        <v>233</v>
      </c>
      <c r="B241" s="7" t="str">
        <f>Odds_Input!B241</f>
        <v>PLAYOFFS</v>
      </c>
      <c r="C241" s="7" t="str">
        <f>Odds_Input!C241</f>
        <v>Denver Nuggets</v>
      </c>
      <c r="D241" s="7" t="str">
        <f>Odds_Input!D241</f>
        <v>NO</v>
      </c>
      <c r="E241" s="31" t="str">
        <f>Odds_Input!E241</f>
        <v>-</v>
      </c>
      <c r="F241" s="32">
        <f>Odds_Input!F241</f>
        <v>475</v>
      </c>
      <c r="G241" s="6" t="str">
        <f t="shared" si="819"/>
        <v>PLAYOFFS|Denver Nuggets</v>
      </c>
      <c r="H241" s="14">
        <f t="shared" si="820"/>
        <v>5.75</v>
      </c>
      <c r="I241" s="33">
        <f t="shared" si="821"/>
        <v>0.17391304347826086</v>
      </c>
      <c r="J241" s="17">
        <f t="shared" si="822"/>
        <v>1</v>
      </c>
      <c r="K241" s="17">
        <f t="shared" si="823"/>
        <v>2</v>
      </c>
      <c r="L241" s="18">
        <f t="shared" si="824"/>
        <v>1.0713489409141581</v>
      </c>
      <c r="M241" s="34">
        <f t="shared" si="825"/>
        <v>7.134894091415811E-2</v>
      </c>
      <c r="N241" s="33">
        <f t="shared" si="826"/>
        <v>0.16233090530697192</v>
      </c>
      <c r="O241" s="33">
        <f t="shared" si="827"/>
        <v>0.12202310665696595</v>
      </c>
      <c r="P241" s="33">
        <f t="shared" si="828"/>
        <v>0.13823857305504472</v>
      </c>
      <c r="Q241" s="33">
        <f t="shared" si="829"/>
        <v>0.13823857305504472</v>
      </c>
      <c r="R241" s="35">
        <f t="shared" si="830"/>
        <v>1.2025754790520291</v>
      </c>
      <c r="S241" s="35">
        <f t="shared" si="831"/>
        <v>7.6568962905027793E-2</v>
      </c>
    </row>
    <row r="242" spans="1:19" ht="15" customHeight="1" x14ac:dyDescent="0.3">
      <c r="A242" s="30">
        <f>Odds_Input!A242</f>
        <v>234</v>
      </c>
      <c r="B242" s="7" t="str">
        <f>Odds_Input!B242</f>
        <v>CUP</v>
      </c>
      <c r="C242" s="7" t="str">
        <f>Odds_Input!C242</f>
        <v>Oklahoma City Thunder</v>
      </c>
      <c r="D242" s="7" t="str">
        <f>Odds_Input!D242</f>
        <v>YES</v>
      </c>
      <c r="E242" s="31" t="str">
        <f>Odds_Input!E242</f>
        <v>-</v>
      </c>
      <c r="F242" s="32">
        <f>Odds_Input!F242</f>
        <v>275</v>
      </c>
      <c r="G242" s="6" t="str">
        <f t="shared" si="819"/>
        <v>CUP</v>
      </c>
      <c r="H242" s="14">
        <f t="shared" si="820"/>
        <v>3.75</v>
      </c>
      <c r="I242" s="33">
        <f t="shared" si="821"/>
        <v>0.26666666666666666</v>
      </c>
      <c r="J242" s="17">
        <f t="shared" si="822"/>
        <v>1</v>
      </c>
      <c r="K242" s="17">
        <f t="shared" si="823"/>
        <v>30</v>
      </c>
      <c r="L242" s="18">
        <f t="shared" si="824"/>
        <v>1.299364577282498</v>
      </c>
      <c r="M242" s="34">
        <f t="shared" si="825"/>
        <v>0.29936457728249799</v>
      </c>
      <c r="N242" s="33">
        <f t="shared" si="826"/>
        <v>0.20522851809949719</v>
      </c>
      <c r="O242" s="33">
        <f t="shared" si="827"/>
        <v>0.23230818791973101</v>
      </c>
      <c r="P242" s="33">
        <f t="shared" si="828"/>
        <v>0.22913802987677037</v>
      </c>
      <c r="Q242" s="33">
        <f t="shared" si="829"/>
        <v>0.22913802987677037</v>
      </c>
      <c r="R242" s="35">
        <f t="shared" si="830"/>
        <v>1.1043570593697956</v>
      </c>
      <c r="S242" s="35">
        <f t="shared" si="831"/>
        <v>1.2587444628732632E-2</v>
      </c>
    </row>
    <row r="243" spans="1:19" ht="15" customHeight="1" x14ac:dyDescent="0.3">
      <c r="A243" s="30">
        <f>Odds_Input!A243</f>
        <v>235</v>
      </c>
      <c r="B243" s="7" t="str">
        <f>Odds_Input!B243</f>
        <v>CUP</v>
      </c>
      <c r="C243" s="7" t="str">
        <f>Odds_Input!C243</f>
        <v>San Antonio Spurs</v>
      </c>
      <c r="D243" s="7" t="str">
        <f>Odds_Input!D243</f>
        <v>YES</v>
      </c>
      <c r="E243" s="31" t="str">
        <f>Odds_Input!E243</f>
        <v>-</v>
      </c>
      <c r="F243" s="32">
        <f>Odds_Input!F243</f>
        <v>425</v>
      </c>
      <c r="G243" s="6" t="str">
        <f t="shared" si="819"/>
        <v>CUP</v>
      </c>
      <c r="H243" s="14">
        <f t="shared" si="820"/>
        <v>5.25</v>
      </c>
      <c r="I243" s="33">
        <f t="shared" si="821"/>
        <v>0.19047619047619047</v>
      </c>
      <c r="J243" s="17">
        <f t="shared" si="822"/>
        <v>1</v>
      </c>
      <c r="K243" s="17">
        <f t="shared" si="823"/>
        <v>30</v>
      </c>
      <c r="L243" s="18">
        <f t="shared" si="824"/>
        <v>1.299364577282498</v>
      </c>
      <c r="M243" s="34">
        <f t="shared" si="825"/>
        <v>0.29936457728249799</v>
      </c>
      <c r="N243" s="33">
        <f t="shared" si="826"/>
        <v>0.14659179864249799</v>
      </c>
      <c r="O243" s="33">
        <f t="shared" si="827"/>
        <v>0.16020902943172774</v>
      </c>
      <c r="P243" s="33">
        <f t="shared" si="828"/>
        <v>0.16190802620413672</v>
      </c>
      <c r="Q243" s="33">
        <f t="shared" si="829"/>
        <v>0.16190802620413672</v>
      </c>
      <c r="R243" s="35">
        <f t="shared" si="830"/>
        <v>1.1043570593697956</v>
      </c>
      <c r="S243" s="35">
        <f t="shared" si="831"/>
        <v>1.2587444628732632E-2</v>
      </c>
    </row>
    <row r="244" spans="1:19" ht="15" customHeight="1" x14ac:dyDescent="0.3">
      <c r="A244" s="30">
        <f>Odds_Input!A244</f>
        <v>236</v>
      </c>
      <c r="B244" s="7" t="str">
        <f>Odds_Input!B244</f>
        <v>CUP</v>
      </c>
      <c r="C244" s="7" t="str">
        <f>Odds_Input!C244</f>
        <v>Boston Celtics</v>
      </c>
      <c r="D244" s="7" t="str">
        <f>Odds_Input!D244</f>
        <v>YES</v>
      </c>
      <c r="E244" s="31" t="str">
        <f>Odds_Input!E244</f>
        <v>-</v>
      </c>
      <c r="F244" s="32">
        <f>Odds_Input!F244</f>
        <v>1000</v>
      </c>
      <c r="G244" s="6" t="str">
        <f t="shared" si="819"/>
        <v>CUP</v>
      </c>
      <c r="H244" s="14">
        <f t="shared" si="820"/>
        <v>11</v>
      </c>
      <c r="I244" s="33">
        <f t="shared" si="821"/>
        <v>9.0909090909090912E-2</v>
      </c>
      <c r="J244" s="17">
        <f t="shared" si="822"/>
        <v>1</v>
      </c>
      <c r="K244" s="17">
        <f t="shared" si="823"/>
        <v>30</v>
      </c>
      <c r="L244" s="18">
        <f t="shared" si="824"/>
        <v>1.299364577282498</v>
      </c>
      <c r="M244" s="34">
        <f t="shared" si="825"/>
        <v>0.29936457728249799</v>
      </c>
      <c r="N244" s="33">
        <f t="shared" si="826"/>
        <v>6.9964267533919502E-2</v>
      </c>
      <c r="O244" s="33">
        <f t="shared" si="827"/>
        <v>7.0783272370974787E-2</v>
      </c>
      <c r="P244" s="33">
        <f t="shared" si="828"/>
        <v>7.4137516443696344E-2</v>
      </c>
      <c r="Q244" s="33">
        <f t="shared" si="829"/>
        <v>7.4137516443696344E-2</v>
      </c>
      <c r="R244" s="35">
        <f t="shared" si="830"/>
        <v>1.1043570593697956</v>
      </c>
      <c r="S244" s="35">
        <f t="shared" si="831"/>
        <v>1.2587444628732632E-2</v>
      </c>
    </row>
    <row r="245" spans="1:19" ht="15" customHeight="1" x14ac:dyDescent="0.3">
      <c r="A245" s="30">
        <f>Odds_Input!A245</f>
        <v>237</v>
      </c>
      <c r="B245" s="7" t="str">
        <f>Odds_Input!B245</f>
        <v>CUP</v>
      </c>
      <c r="C245" s="7" t="str">
        <f>Odds_Input!C245</f>
        <v>Philadelphia 76ers</v>
      </c>
      <c r="D245" s="7" t="str">
        <f>Odds_Input!D245</f>
        <v>YES</v>
      </c>
      <c r="E245" s="31" t="str">
        <f>Odds_Input!E245</f>
        <v>-</v>
      </c>
      <c r="F245" s="32">
        <f>Odds_Input!F245</f>
        <v>1200</v>
      </c>
      <c r="G245" s="6" t="str">
        <f t="shared" si="819"/>
        <v>CUP</v>
      </c>
      <c r="H245" s="14">
        <f t="shared" si="820"/>
        <v>13</v>
      </c>
      <c r="I245" s="33">
        <f t="shared" si="821"/>
        <v>7.6923076923076927E-2</v>
      </c>
      <c r="J245" s="17">
        <f t="shared" si="822"/>
        <v>1</v>
      </c>
      <c r="K245" s="17">
        <f t="shared" si="823"/>
        <v>30</v>
      </c>
      <c r="L245" s="18">
        <f t="shared" si="824"/>
        <v>1.299364577282498</v>
      </c>
      <c r="M245" s="34">
        <f t="shared" si="825"/>
        <v>0.29936457728249799</v>
      </c>
      <c r="N245" s="33">
        <f t="shared" si="826"/>
        <v>5.9200534067162656E-2</v>
      </c>
      <c r="O245" s="33">
        <f t="shared" si="827"/>
        <v>5.8858446489564481E-2</v>
      </c>
      <c r="P245" s="33">
        <f t="shared" si="828"/>
        <v>6.1835774401408604E-2</v>
      </c>
      <c r="Q245" s="33">
        <f t="shared" si="829"/>
        <v>6.1835774401408604E-2</v>
      </c>
      <c r="R245" s="35">
        <f t="shared" si="830"/>
        <v>1.1043570593697956</v>
      </c>
      <c r="S245" s="35">
        <f t="shared" si="831"/>
        <v>1.2587444628732632E-2</v>
      </c>
    </row>
    <row r="246" spans="1:19" ht="15" customHeight="1" x14ac:dyDescent="0.3">
      <c r="A246" s="30">
        <f>Odds_Input!A246</f>
        <v>238</v>
      </c>
      <c r="B246" s="7" t="str">
        <f>Odds_Input!B246</f>
        <v>CUP</v>
      </c>
      <c r="C246" s="7" t="str">
        <f>Odds_Input!C246</f>
        <v>Detroit Pistons</v>
      </c>
      <c r="D246" s="7" t="str">
        <f>Odds_Input!D246</f>
        <v>YES</v>
      </c>
      <c r="E246" s="31" t="str">
        <f>Odds_Input!E246</f>
        <v>-</v>
      </c>
      <c r="F246" s="32">
        <f>Odds_Input!F246</f>
        <v>1300</v>
      </c>
      <c r="G246" s="6" t="str">
        <f t="shared" si="819"/>
        <v>CUP</v>
      </c>
      <c r="H246" s="14">
        <f t="shared" si="820"/>
        <v>14</v>
      </c>
      <c r="I246" s="33">
        <f t="shared" si="821"/>
        <v>7.1428571428571425E-2</v>
      </c>
      <c r="J246" s="17">
        <f t="shared" si="822"/>
        <v>1</v>
      </c>
      <c r="K246" s="17">
        <f t="shared" si="823"/>
        <v>30</v>
      </c>
      <c r="L246" s="18">
        <f t="shared" si="824"/>
        <v>1.299364577282498</v>
      </c>
      <c r="M246" s="34">
        <f t="shared" si="825"/>
        <v>0.29936457728249799</v>
      </c>
      <c r="N246" s="33">
        <f t="shared" si="826"/>
        <v>5.4971924490936748E-2</v>
      </c>
      <c r="O246" s="33">
        <f t="shared" si="827"/>
        <v>5.4233222772453023E-2</v>
      </c>
      <c r="P246" s="33">
        <f t="shared" si="828"/>
        <v>5.7007816373538682E-2</v>
      </c>
      <c r="Q246" s="33">
        <f t="shared" si="829"/>
        <v>5.7007816373538682E-2</v>
      </c>
      <c r="R246" s="35">
        <f t="shared" si="830"/>
        <v>1.1043570593697956</v>
      </c>
      <c r="S246" s="35">
        <f t="shared" si="831"/>
        <v>1.2587444628732632E-2</v>
      </c>
    </row>
    <row r="247" spans="1:19" ht="15" customHeight="1" x14ac:dyDescent="0.3">
      <c r="A247" s="30">
        <f>Odds_Input!A247</f>
        <v>239</v>
      </c>
      <c r="B247" s="7" t="str">
        <f>Odds_Input!B247</f>
        <v>CUP</v>
      </c>
      <c r="C247" s="7" t="str">
        <f>Odds_Input!C247</f>
        <v>New York Knicks</v>
      </c>
      <c r="D247" s="7" t="str">
        <f>Odds_Input!D247</f>
        <v>YES</v>
      </c>
      <c r="E247" s="31" t="str">
        <f>Odds_Input!E247</f>
        <v>-</v>
      </c>
      <c r="F247" s="32">
        <f>Odds_Input!F247</f>
        <v>1200</v>
      </c>
      <c r="G247" s="6" t="str">
        <f t="shared" si="819"/>
        <v>CUP</v>
      </c>
      <c r="H247" s="14">
        <f t="shared" si="820"/>
        <v>13</v>
      </c>
      <c r="I247" s="33">
        <f t="shared" si="821"/>
        <v>7.6923076923076927E-2</v>
      </c>
      <c r="J247" s="17">
        <f t="shared" si="822"/>
        <v>1</v>
      </c>
      <c r="K247" s="17">
        <f t="shared" si="823"/>
        <v>30</v>
      </c>
      <c r="L247" s="18">
        <f t="shared" si="824"/>
        <v>1.299364577282498</v>
      </c>
      <c r="M247" s="34">
        <f t="shared" si="825"/>
        <v>0.29936457728249799</v>
      </c>
      <c r="N247" s="33">
        <f t="shared" si="826"/>
        <v>5.9200534067162656E-2</v>
      </c>
      <c r="O247" s="33">
        <f t="shared" si="827"/>
        <v>5.8858446489564481E-2</v>
      </c>
      <c r="P247" s="33">
        <f t="shared" si="828"/>
        <v>6.1835774401408604E-2</v>
      </c>
      <c r="Q247" s="33">
        <f t="shared" si="829"/>
        <v>6.1835774401408604E-2</v>
      </c>
      <c r="R247" s="35">
        <f t="shared" si="830"/>
        <v>1.1043570593697956</v>
      </c>
      <c r="S247" s="35">
        <f t="shared" si="831"/>
        <v>1.2587444628732632E-2</v>
      </c>
    </row>
    <row r="248" spans="1:19" ht="15" customHeight="1" x14ac:dyDescent="0.3">
      <c r="A248" s="30">
        <f>Odds_Input!A248</f>
        <v>240</v>
      </c>
      <c r="B248" s="7" t="str">
        <f>Odds_Input!B248</f>
        <v>CUP</v>
      </c>
      <c r="C248" s="7" t="str">
        <f>Odds_Input!C248</f>
        <v>Denver Nuggets</v>
      </c>
      <c r="D248" s="7" t="str">
        <f>Odds_Input!D248</f>
        <v>YES</v>
      </c>
      <c r="E248" s="31" t="str">
        <f>Odds_Input!E248</f>
        <v>-</v>
      </c>
      <c r="F248" s="32">
        <f>Odds_Input!F248</f>
        <v>1600</v>
      </c>
      <c r="G248" s="6" t="str">
        <f t="shared" si="819"/>
        <v>CUP</v>
      </c>
      <c r="H248" s="14">
        <f t="shared" si="820"/>
        <v>17</v>
      </c>
      <c r="I248" s="33">
        <f t="shared" si="821"/>
        <v>5.8823529411764705E-2</v>
      </c>
      <c r="J248" s="17">
        <f t="shared" si="822"/>
        <v>1</v>
      </c>
      <c r="K248" s="17">
        <f t="shared" si="823"/>
        <v>30</v>
      </c>
      <c r="L248" s="18">
        <f t="shared" si="824"/>
        <v>1.299364577282498</v>
      </c>
      <c r="M248" s="34">
        <f t="shared" si="825"/>
        <v>0.29936457728249799</v>
      </c>
      <c r="N248" s="33">
        <f t="shared" si="826"/>
        <v>4.5270996639594968E-2</v>
      </c>
      <c r="O248" s="33">
        <f t="shared" si="827"/>
        <v>4.3766825501978912E-2</v>
      </c>
      <c r="P248" s="33">
        <f t="shared" si="828"/>
        <v>4.594788426081204E-2</v>
      </c>
      <c r="Q248" s="33">
        <f t="shared" si="829"/>
        <v>4.594788426081204E-2</v>
      </c>
      <c r="R248" s="35">
        <f t="shared" si="830"/>
        <v>1.1043570593697956</v>
      </c>
      <c r="S248" s="35">
        <f t="shared" si="831"/>
        <v>1.2587444628732632E-2</v>
      </c>
    </row>
    <row r="249" spans="1:19" ht="15" customHeight="1" x14ac:dyDescent="0.3">
      <c r="A249" s="30">
        <f>Odds_Input!A249</f>
        <v>241</v>
      </c>
      <c r="B249" s="7" t="str">
        <f>Odds_Input!B249</f>
        <v>CUP</v>
      </c>
      <c r="C249" s="7" t="str">
        <f>Odds_Input!C249</f>
        <v>Toronto Raptors</v>
      </c>
      <c r="D249" s="7" t="str">
        <f>Odds_Input!D249</f>
        <v>YES</v>
      </c>
      <c r="E249" s="31" t="str">
        <f>Odds_Input!E249</f>
        <v>-</v>
      </c>
      <c r="F249" s="32">
        <f>Odds_Input!F249</f>
        <v>1800</v>
      </c>
      <c r="G249" s="6" t="str">
        <f t="shared" si="819"/>
        <v>CUP</v>
      </c>
      <c r="H249" s="14">
        <f t="shared" si="820"/>
        <v>19</v>
      </c>
      <c r="I249" s="33">
        <f t="shared" si="821"/>
        <v>5.2631578947368418E-2</v>
      </c>
      <c r="J249" s="17">
        <f t="shared" si="822"/>
        <v>1</v>
      </c>
      <c r="K249" s="17">
        <f t="shared" si="823"/>
        <v>30</v>
      </c>
      <c r="L249" s="18">
        <f t="shared" si="824"/>
        <v>1.299364577282498</v>
      </c>
      <c r="M249" s="34">
        <f t="shared" si="825"/>
        <v>0.29936457728249799</v>
      </c>
      <c r="N249" s="33">
        <f t="shared" si="826"/>
        <v>4.0505628572269185E-2</v>
      </c>
      <c r="O249" s="33">
        <f t="shared" si="827"/>
        <v>3.8707884241475497E-2</v>
      </c>
      <c r="P249" s="33">
        <f t="shared" si="828"/>
        <v>4.0526786058336317E-2</v>
      </c>
      <c r="Q249" s="33">
        <f t="shared" si="829"/>
        <v>4.0526786058336317E-2</v>
      </c>
      <c r="R249" s="35">
        <f t="shared" si="830"/>
        <v>1.1043570593697956</v>
      </c>
      <c r="S249" s="35">
        <f t="shared" si="831"/>
        <v>1.2587444628732632E-2</v>
      </c>
    </row>
    <row r="250" spans="1:19" ht="15" customHeight="1" x14ac:dyDescent="0.3">
      <c r="A250" s="30">
        <f>Odds_Input!A250</f>
        <v>242</v>
      </c>
      <c r="B250" s="7" t="str">
        <f>Odds_Input!B250</f>
        <v>CUP</v>
      </c>
      <c r="C250" s="7" t="str">
        <f>Odds_Input!C250</f>
        <v>Minnesota Timberwolves</v>
      </c>
      <c r="D250" s="7" t="str">
        <f>Odds_Input!D250</f>
        <v>YES</v>
      </c>
      <c r="E250" s="31" t="str">
        <f>Odds_Input!E250</f>
        <v>-</v>
      </c>
      <c r="F250" s="32">
        <f>Odds_Input!F250</f>
        <v>2000</v>
      </c>
      <c r="G250" s="6" t="str">
        <f t="shared" si="819"/>
        <v>CUP</v>
      </c>
      <c r="H250" s="14">
        <f t="shared" si="820"/>
        <v>21</v>
      </c>
      <c r="I250" s="33">
        <f t="shared" si="821"/>
        <v>4.7619047619047616E-2</v>
      </c>
      <c r="J250" s="17">
        <f t="shared" si="822"/>
        <v>1</v>
      </c>
      <c r="K250" s="17">
        <f t="shared" si="823"/>
        <v>30</v>
      </c>
      <c r="L250" s="18">
        <f t="shared" si="824"/>
        <v>1.299364577282498</v>
      </c>
      <c r="M250" s="34">
        <f t="shared" si="825"/>
        <v>0.29936457728249799</v>
      </c>
      <c r="N250" s="33">
        <f t="shared" si="826"/>
        <v>3.6647949660624499E-2</v>
      </c>
      <c r="O250" s="33">
        <f t="shared" si="827"/>
        <v>3.4657544363088932E-2</v>
      </c>
      <c r="P250" s="33">
        <f t="shared" si="828"/>
        <v>3.6146801310450422E-2</v>
      </c>
      <c r="Q250" s="33">
        <f t="shared" si="829"/>
        <v>3.6146801310450422E-2</v>
      </c>
      <c r="R250" s="35">
        <f t="shared" si="830"/>
        <v>1.1043570593697956</v>
      </c>
      <c r="S250" s="35">
        <f t="shared" si="831"/>
        <v>1.2587444628732632E-2</v>
      </c>
    </row>
    <row r="251" spans="1:19" ht="15" customHeight="1" x14ac:dyDescent="0.3">
      <c r="A251" s="30">
        <f>Odds_Input!A251</f>
        <v>243</v>
      </c>
      <c r="B251" s="7" t="str">
        <f>Odds_Input!B251</f>
        <v>CUP</v>
      </c>
      <c r="C251" s="7" t="str">
        <f>Odds_Input!C251</f>
        <v>Orlando Magic</v>
      </c>
      <c r="D251" s="7" t="str">
        <f>Odds_Input!D251</f>
        <v>YES</v>
      </c>
      <c r="E251" s="31" t="str">
        <f>Odds_Input!E251</f>
        <v>-</v>
      </c>
      <c r="F251" s="32">
        <f>Odds_Input!F251</f>
        <v>2500</v>
      </c>
      <c r="G251" s="6" t="str">
        <f t="shared" si="819"/>
        <v>CUP</v>
      </c>
      <c r="H251" s="14">
        <f t="shared" si="820"/>
        <v>26</v>
      </c>
      <c r="I251" s="33">
        <f t="shared" si="821"/>
        <v>3.8461538461538464E-2</v>
      </c>
      <c r="J251" s="17">
        <f t="shared" si="822"/>
        <v>1</v>
      </c>
      <c r="K251" s="17">
        <f t="shared" si="823"/>
        <v>30</v>
      </c>
      <c r="L251" s="18">
        <f t="shared" si="824"/>
        <v>1.299364577282498</v>
      </c>
      <c r="M251" s="34">
        <f t="shared" si="825"/>
        <v>0.29936457728249799</v>
      </c>
      <c r="N251" s="33">
        <f t="shared" si="826"/>
        <v>2.9600267033581328E-2</v>
      </c>
      <c r="O251" s="33">
        <f t="shared" si="827"/>
        <v>2.7375634531744041E-2</v>
      </c>
      <c r="P251" s="33">
        <f t="shared" si="828"/>
        <v>2.8174739558189811E-2</v>
      </c>
      <c r="Q251" s="33">
        <f t="shared" si="829"/>
        <v>2.8174739558189811E-2</v>
      </c>
      <c r="R251" s="35">
        <f t="shared" si="830"/>
        <v>1.1043570593697956</v>
      </c>
      <c r="S251" s="35">
        <f t="shared" si="831"/>
        <v>1.2587444628732632E-2</v>
      </c>
    </row>
    <row r="252" spans="1:19" ht="15" customHeight="1" x14ac:dyDescent="0.3">
      <c r="A252" s="30">
        <f>Odds_Input!A252</f>
        <v>244</v>
      </c>
      <c r="B252" s="7" t="str">
        <f>Odds_Input!B252</f>
        <v>CUP</v>
      </c>
      <c r="C252" s="7" t="str">
        <f>Odds_Input!C252</f>
        <v>Los Angeles Lakers</v>
      </c>
      <c r="D252" s="7" t="str">
        <f>Odds_Input!D252</f>
        <v>YES</v>
      </c>
      <c r="E252" s="31" t="str">
        <f>Odds_Input!E252</f>
        <v>-</v>
      </c>
      <c r="F252" s="32">
        <f>Odds_Input!F252</f>
        <v>2800</v>
      </c>
      <c r="G252" s="6" t="str">
        <f t="shared" si="819"/>
        <v>CUP</v>
      </c>
      <c r="H252" s="14">
        <f t="shared" si="820"/>
        <v>29</v>
      </c>
      <c r="I252" s="33">
        <f t="shared" si="821"/>
        <v>3.4482758620689655E-2</v>
      </c>
      <c r="J252" s="17">
        <f t="shared" si="822"/>
        <v>1</v>
      </c>
      <c r="K252" s="17">
        <f t="shared" si="823"/>
        <v>30</v>
      </c>
      <c r="L252" s="18">
        <f t="shared" si="824"/>
        <v>1.299364577282498</v>
      </c>
      <c r="M252" s="34">
        <f t="shared" si="825"/>
        <v>0.29936457728249799</v>
      </c>
      <c r="N252" s="33">
        <f t="shared" si="826"/>
        <v>2.65381704439005E-2</v>
      </c>
      <c r="O252" s="33">
        <f t="shared" si="827"/>
        <v>2.4265567208112002E-2</v>
      </c>
      <c r="P252" s="33">
        <f t="shared" si="828"/>
        <v>2.4729138122140983E-2</v>
      </c>
      <c r="Q252" s="33">
        <f t="shared" si="829"/>
        <v>2.4729138122140983E-2</v>
      </c>
      <c r="R252" s="35">
        <f t="shared" si="830"/>
        <v>1.1043570593697956</v>
      </c>
      <c r="S252" s="35">
        <f t="shared" si="831"/>
        <v>1.2587444628732632E-2</v>
      </c>
    </row>
    <row r="253" spans="1:19" ht="15" customHeight="1" x14ac:dyDescent="0.3">
      <c r="A253" s="30">
        <f>Odds_Input!A253</f>
        <v>245</v>
      </c>
      <c r="B253" s="7" t="str">
        <f>Odds_Input!B253</f>
        <v>CUP</v>
      </c>
      <c r="C253" s="7" t="str">
        <f>Odds_Input!C253</f>
        <v>Houston Rockets</v>
      </c>
      <c r="D253" s="7" t="str">
        <f>Odds_Input!D253</f>
        <v>YES</v>
      </c>
      <c r="E253" s="31" t="str">
        <f>Odds_Input!E253</f>
        <v>-</v>
      </c>
      <c r="F253" s="32">
        <f>Odds_Input!F253</f>
        <v>2800</v>
      </c>
      <c r="G253" s="6" t="str">
        <f t="shared" si="819"/>
        <v>CUP</v>
      </c>
      <c r="H253" s="14">
        <f t="shared" si="820"/>
        <v>29</v>
      </c>
      <c r="I253" s="33">
        <f t="shared" si="821"/>
        <v>3.4482758620689655E-2</v>
      </c>
      <c r="J253" s="17">
        <f t="shared" si="822"/>
        <v>1</v>
      </c>
      <c r="K253" s="17">
        <f t="shared" si="823"/>
        <v>30</v>
      </c>
      <c r="L253" s="18">
        <f t="shared" si="824"/>
        <v>1.299364577282498</v>
      </c>
      <c r="M253" s="34">
        <f t="shared" si="825"/>
        <v>0.29936457728249799</v>
      </c>
      <c r="N253" s="33">
        <f t="shared" si="826"/>
        <v>2.65381704439005E-2</v>
      </c>
      <c r="O253" s="33">
        <f t="shared" si="827"/>
        <v>2.4265567208112002E-2</v>
      </c>
      <c r="P253" s="33">
        <f t="shared" si="828"/>
        <v>2.4729138122140983E-2</v>
      </c>
      <c r="Q253" s="33">
        <f t="shared" si="829"/>
        <v>2.4729138122140983E-2</v>
      </c>
      <c r="R253" s="35">
        <f t="shared" si="830"/>
        <v>1.1043570593697956</v>
      </c>
      <c r="S253" s="35">
        <f t="shared" si="831"/>
        <v>1.2587444628732632E-2</v>
      </c>
    </row>
    <row r="254" spans="1:19" ht="15" customHeight="1" x14ac:dyDescent="0.3">
      <c r="A254" s="30">
        <f>Odds_Input!A254</f>
        <v>246</v>
      </c>
      <c r="B254" s="7" t="str">
        <f>Odds_Input!B254</f>
        <v>CUP</v>
      </c>
      <c r="C254" s="7" t="str">
        <f>Odds_Input!C254</f>
        <v>Atlanta Hawks</v>
      </c>
      <c r="D254" s="7" t="str">
        <f>Odds_Input!D254</f>
        <v>YES</v>
      </c>
      <c r="E254" s="31" t="str">
        <f>Odds_Input!E254</f>
        <v>-</v>
      </c>
      <c r="F254" s="32">
        <f>Odds_Input!F254</f>
        <v>2800</v>
      </c>
      <c r="G254" s="6" t="str">
        <f t="shared" si="819"/>
        <v>CUP</v>
      </c>
      <c r="H254" s="14">
        <f t="shared" si="820"/>
        <v>29</v>
      </c>
      <c r="I254" s="33">
        <f t="shared" si="821"/>
        <v>3.4482758620689655E-2</v>
      </c>
      <c r="J254" s="17">
        <f t="shared" si="822"/>
        <v>1</v>
      </c>
      <c r="K254" s="17">
        <f t="shared" si="823"/>
        <v>30</v>
      </c>
      <c r="L254" s="18">
        <f t="shared" si="824"/>
        <v>1.299364577282498</v>
      </c>
      <c r="M254" s="34">
        <f t="shared" si="825"/>
        <v>0.29936457728249799</v>
      </c>
      <c r="N254" s="33">
        <f t="shared" si="826"/>
        <v>2.65381704439005E-2</v>
      </c>
      <c r="O254" s="33">
        <f t="shared" si="827"/>
        <v>2.4265567208112002E-2</v>
      </c>
      <c r="P254" s="33">
        <f t="shared" si="828"/>
        <v>2.4729138122140983E-2</v>
      </c>
      <c r="Q254" s="33">
        <f t="shared" si="829"/>
        <v>2.4729138122140983E-2</v>
      </c>
      <c r="R254" s="35">
        <f t="shared" si="830"/>
        <v>1.1043570593697956</v>
      </c>
      <c r="S254" s="35">
        <f t="shared" si="831"/>
        <v>1.2587444628732632E-2</v>
      </c>
    </row>
    <row r="255" spans="1:19" ht="15" customHeight="1" x14ac:dyDescent="0.3">
      <c r="A255" s="30">
        <f>Odds_Input!A255</f>
        <v>247</v>
      </c>
      <c r="B255" s="7" t="str">
        <f>Odds_Input!B255</f>
        <v>CUP</v>
      </c>
      <c r="C255" s="7" t="str">
        <f>Odds_Input!C255</f>
        <v>Cleveland Cavaliers</v>
      </c>
      <c r="D255" s="7" t="str">
        <f>Odds_Input!D255</f>
        <v>YES</v>
      </c>
      <c r="E255" s="31" t="str">
        <f>Odds_Input!E255</f>
        <v>-</v>
      </c>
      <c r="F255" s="32">
        <f>Odds_Input!F255</f>
        <v>3000</v>
      </c>
      <c r="G255" s="6" t="str">
        <f t="shared" si="819"/>
        <v>CUP</v>
      </c>
      <c r="H255" s="14">
        <f t="shared" si="820"/>
        <v>31</v>
      </c>
      <c r="I255" s="33">
        <f t="shared" si="821"/>
        <v>3.2258064516129031E-2</v>
      </c>
      <c r="J255" s="17">
        <f t="shared" si="822"/>
        <v>1</v>
      </c>
      <c r="K255" s="17">
        <f t="shared" si="823"/>
        <v>30</v>
      </c>
      <c r="L255" s="18">
        <f t="shared" si="824"/>
        <v>1.299364577282498</v>
      </c>
      <c r="M255" s="34">
        <f t="shared" si="825"/>
        <v>0.29936457728249799</v>
      </c>
      <c r="N255" s="33">
        <f t="shared" si="826"/>
        <v>2.4826030415261758E-2</v>
      </c>
      <c r="O255" s="33">
        <f t="shared" si="827"/>
        <v>2.2542609365913936E-2</v>
      </c>
      <c r="P255" s="33">
        <f t="shared" si="828"/>
        <v>2.280953459067752E-2</v>
      </c>
      <c r="Q255" s="33">
        <f t="shared" si="829"/>
        <v>2.280953459067752E-2</v>
      </c>
      <c r="R255" s="35">
        <f t="shared" si="830"/>
        <v>1.1043570593697956</v>
      </c>
      <c r="S255" s="35">
        <f t="shared" si="831"/>
        <v>1.2587444628732632E-2</v>
      </c>
    </row>
    <row r="256" spans="1:19" ht="15" customHeight="1" x14ac:dyDescent="0.3">
      <c r="A256" s="30">
        <f>Odds_Input!A256</f>
        <v>248</v>
      </c>
      <c r="B256" s="7" t="str">
        <f>Odds_Input!B256</f>
        <v>CUP</v>
      </c>
      <c r="C256" s="7" t="str">
        <f>Odds_Input!C256</f>
        <v>Miami Heat</v>
      </c>
      <c r="D256" s="7" t="str">
        <f>Odds_Input!D256</f>
        <v>YES</v>
      </c>
      <c r="E256" s="31" t="str">
        <f>Odds_Input!E256</f>
        <v>-</v>
      </c>
      <c r="F256" s="32">
        <f>Odds_Input!F256</f>
        <v>3500</v>
      </c>
      <c r="G256" s="6" t="str">
        <f t="shared" si="819"/>
        <v>CUP</v>
      </c>
      <c r="H256" s="14">
        <f t="shared" si="820"/>
        <v>36</v>
      </c>
      <c r="I256" s="33">
        <f t="shared" si="821"/>
        <v>2.7777777777777776E-2</v>
      </c>
      <c r="J256" s="17">
        <f t="shared" si="822"/>
        <v>1</v>
      </c>
      <c r="K256" s="17">
        <f t="shared" si="823"/>
        <v>30</v>
      </c>
      <c r="L256" s="18">
        <f t="shared" si="824"/>
        <v>1.299364577282498</v>
      </c>
      <c r="M256" s="34">
        <f t="shared" si="825"/>
        <v>0.29936457728249799</v>
      </c>
      <c r="N256" s="33">
        <f t="shared" si="826"/>
        <v>2.1377970635364292E-2</v>
      </c>
      <c r="O256" s="33">
        <f t="shared" si="827"/>
        <v>1.9111129122109962E-2</v>
      </c>
      <c r="P256" s="33">
        <f t="shared" si="828"/>
        <v>1.8964355445362673E-2</v>
      </c>
      <c r="Q256" s="33">
        <f t="shared" si="829"/>
        <v>1.8964355445362673E-2</v>
      </c>
      <c r="R256" s="35">
        <f t="shared" si="830"/>
        <v>1.1043570593697956</v>
      </c>
      <c r="S256" s="35">
        <f t="shared" si="831"/>
        <v>1.2587444628732632E-2</v>
      </c>
    </row>
    <row r="257" spans="1:19" ht="15" customHeight="1" x14ac:dyDescent="0.3">
      <c r="A257" s="30">
        <f>Odds_Input!A257</f>
        <v>249</v>
      </c>
      <c r="B257" s="7" t="str">
        <f>Odds_Input!B257</f>
        <v>CUP</v>
      </c>
      <c r="C257" s="7" t="str">
        <f>Odds_Input!C257</f>
        <v>Indiana Pacers</v>
      </c>
      <c r="D257" s="7" t="str">
        <f>Odds_Input!D257</f>
        <v>YES</v>
      </c>
      <c r="E257" s="31" t="str">
        <f>Odds_Input!E257</f>
        <v>-</v>
      </c>
      <c r="F257" s="32">
        <f>Odds_Input!F257</f>
        <v>4000</v>
      </c>
      <c r="G257" s="6" t="str">
        <f t="shared" si="819"/>
        <v>CUP</v>
      </c>
      <c r="H257" s="14">
        <f t="shared" si="820"/>
        <v>41</v>
      </c>
      <c r="I257" s="33">
        <f t="shared" si="821"/>
        <v>2.4390243902439025E-2</v>
      </c>
      <c r="J257" s="17">
        <f t="shared" si="822"/>
        <v>1</v>
      </c>
      <c r="K257" s="17">
        <f t="shared" si="823"/>
        <v>30</v>
      </c>
      <c r="L257" s="18">
        <f t="shared" si="824"/>
        <v>1.299364577282498</v>
      </c>
      <c r="M257" s="34">
        <f t="shared" si="825"/>
        <v>0.29936457728249799</v>
      </c>
      <c r="N257" s="33">
        <f t="shared" si="826"/>
        <v>1.8770901045685719E-2</v>
      </c>
      <c r="O257" s="33">
        <f t="shared" si="827"/>
        <v>1.655429776238198E-2</v>
      </c>
      <c r="P257" s="33">
        <f t="shared" si="828"/>
        <v>1.6082458794396223E-2</v>
      </c>
      <c r="Q257" s="33">
        <f t="shared" si="829"/>
        <v>1.6082458794396223E-2</v>
      </c>
      <c r="R257" s="35">
        <f t="shared" si="830"/>
        <v>1.1043570593697956</v>
      </c>
      <c r="S257" s="35">
        <f t="shared" si="831"/>
        <v>1.2587444628732632E-2</v>
      </c>
    </row>
    <row r="258" spans="1:19" ht="15" customHeight="1" x14ac:dyDescent="0.3">
      <c r="A258" s="30">
        <f>Odds_Input!A258</f>
        <v>250</v>
      </c>
      <c r="B258" s="7" t="str">
        <f>Odds_Input!B258</f>
        <v>CUP</v>
      </c>
      <c r="C258" s="7" t="str">
        <f>Odds_Input!C258</f>
        <v>Portland Trail Blazers</v>
      </c>
      <c r="D258" s="7" t="str">
        <f>Odds_Input!D258</f>
        <v>YES</v>
      </c>
      <c r="E258" s="31" t="str">
        <f>Odds_Input!E258</f>
        <v>-</v>
      </c>
      <c r="F258" s="32">
        <f>Odds_Input!F258</f>
        <v>5000</v>
      </c>
      <c r="G258" s="6" t="str">
        <f t="shared" si="819"/>
        <v>CUP</v>
      </c>
      <c r="H258" s="14">
        <f t="shared" si="820"/>
        <v>51</v>
      </c>
      <c r="I258" s="33">
        <f t="shared" si="821"/>
        <v>1.9607843137254902E-2</v>
      </c>
      <c r="J258" s="17">
        <f t="shared" si="822"/>
        <v>1</v>
      </c>
      <c r="K258" s="17">
        <f t="shared" si="823"/>
        <v>30</v>
      </c>
      <c r="L258" s="18">
        <f t="shared" si="824"/>
        <v>1.299364577282498</v>
      </c>
      <c r="M258" s="34">
        <f t="shared" si="825"/>
        <v>0.29936457728249799</v>
      </c>
      <c r="N258" s="33">
        <f t="shared" si="826"/>
        <v>1.5090332213198323E-2</v>
      </c>
      <c r="O258" s="33">
        <f t="shared" si="827"/>
        <v>1.300866774986219E-2</v>
      </c>
      <c r="P258" s="33">
        <f t="shared" si="828"/>
        <v>1.2072945956665516E-2</v>
      </c>
      <c r="Q258" s="33">
        <f t="shared" si="829"/>
        <v>1.2072945956665516E-2</v>
      </c>
      <c r="R258" s="35">
        <f t="shared" si="830"/>
        <v>1.1043570593697956</v>
      </c>
      <c r="S258" s="35">
        <f t="shared" si="831"/>
        <v>1.2587444628732632E-2</v>
      </c>
    </row>
    <row r="259" spans="1:19" ht="15" customHeight="1" x14ac:dyDescent="0.3">
      <c r="A259" s="30">
        <f>Odds_Input!A259</f>
        <v>251</v>
      </c>
      <c r="B259" s="7" t="str">
        <f>Odds_Input!B259</f>
        <v>CUP</v>
      </c>
      <c r="C259" s="7" t="str">
        <f>Odds_Input!C259</f>
        <v>Phoenix Suns</v>
      </c>
      <c r="D259" s="7" t="str">
        <f>Odds_Input!D259</f>
        <v>YES</v>
      </c>
      <c r="E259" s="31" t="str">
        <f>Odds_Input!E259</f>
        <v>-</v>
      </c>
      <c r="F259" s="32">
        <f>Odds_Input!F259</f>
        <v>5000</v>
      </c>
      <c r="G259" s="6" t="str">
        <f t="shared" si="819"/>
        <v>CUP</v>
      </c>
      <c r="H259" s="14">
        <f t="shared" si="820"/>
        <v>51</v>
      </c>
      <c r="I259" s="33">
        <f t="shared" si="821"/>
        <v>1.9607843137254902E-2</v>
      </c>
      <c r="J259" s="17">
        <f t="shared" si="822"/>
        <v>1</v>
      </c>
      <c r="K259" s="17">
        <f t="shared" si="823"/>
        <v>30</v>
      </c>
      <c r="L259" s="18">
        <f t="shared" si="824"/>
        <v>1.299364577282498</v>
      </c>
      <c r="M259" s="34">
        <f t="shared" si="825"/>
        <v>0.29936457728249799</v>
      </c>
      <c r="N259" s="33">
        <f t="shared" si="826"/>
        <v>1.5090332213198323E-2</v>
      </c>
      <c r="O259" s="33">
        <f t="shared" si="827"/>
        <v>1.300866774986219E-2</v>
      </c>
      <c r="P259" s="33">
        <f t="shared" si="828"/>
        <v>1.2072945956665516E-2</v>
      </c>
      <c r="Q259" s="33">
        <f t="shared" si="829"/>
        <v>1.2072945956665516E-2</v>
      </c>
      <c r="R259" s="35">
        <f t="shared" si="830"/>
        <v>1.1043570593697956</v>
      </c>
      <c r="S259" s="35">
        <f t="shared" si="831"/>
        <v>1.2587444628732632E-2</v>
      </c>
    </row>
    <row r="260" spans="1:19" ht="15" customHeight="1" x14ac:dyDescent="0.3">
      <c r="A260" s="30">
        <f>Odds_Input!A260</f>
        <v>252</v>
      </c>
      <c r="B260" s="7" t="str">
        <f>Odds_Input!B260</f>
        <v>CUP</v>
      </c>
      <c r="C260" s="7" t="str">
        <f>Odds_Input!C260</f>
        <v>Charlotte Hornets</v>
      </c>
      <c r="D260" s="7" t="str">
        <f>Odds_Input!D260</f>
        <v>YES</v>
      </c>
      <c r="E260" s="31" t="str">
        <f>Odds_Input!E260</f>
        <v>-</v>
      </c>
      <c r="F260" s="32">
        <f>Odds_Input!F260</f>
        <v>5000</v>
      </c>
      <c r="G260" s="6" t="str">
        <f t="shared" si="819"/>
        <v>CUP</v>
      </c>
      <c r="H260" s="14">
        <f t="shared" si="820"/>
        <v>51</v>
      </c>
      <c r="I260" s="33">
        <f t="shared" si="821"/>
        <v>1.9607843137254902E-2</v>
      </c>
      <c r="J260" s="17">
        <f t="shared" si="822"/>
        <v>1</v>
      </c>
      <c r="K260" s="17">
        <f t="shared" si="823"/>
        <v>30</v>
      </c>
      <c r="L260" s="18">
        <f t="shared" si="824"/>
        <v>1.299364577282498</v>
      </c>
      <c r="M260" s="34">
        <f t="shared" si="825"/>
        <v>0.29936457728249799</v>
      </c>
      <c r="N260" s="33">
        <f t="shared" si="826"/>
        <v>1.5090332213198323E-2</v>
      </c>
      <c r="O260" s="33">
        <f t="shared" si="827"/>
        <v>1.300866774986219E-2</v>
      </c>
      <c r="P260" s="33">
        <f t="shared" si="828"/>
        <v>1.2072945956665516E-2</v>
      </c>
      <c r="Q260" s="33">
        <f t="shared" si="829"/>
        <v>1.2072945956665516E-2</v>
      </c>
      <c r="R260" s="35">
        <f t="shared" si="830"/>
        <v>1.1043570593697956</v>
      </c>
      <c r="S260" s="35">
        <f t="shared" si="831"/>
        <v>1.2587444628732632E-2</v>
      </c>
    </row>
    <row r="261" spans="1:19" ht="15" customHeight="1" x14ac:dyDescent="0.3">
      <c r="A261" s="30">
        <f>Odds_Input!A261</f>
        <v>253</v>
      </c>
      <c r="B261" s="7" t="str">
        <f>Odds_Input!B261</f>
        <v>CUP</v>
      </c>
      <c r="C261" s="7" t="str">
        <f>Odds_Input!C261</f>
        <v>Washington Wizards</v>
      </c>
      <c r="D261" s="7" t="str">
        <f>Odds_Input!D261</f>
        <v>YES</v>
      </c>
      <c r="E261" s="31" t="str">
        <f>Odds_Input!E261</f>
        <v>-</v>
      </c>
      <c r="F261" s="32">
        <f>Odds_Input!F261</f>
        <v>6500</v>
      </c>
      <c r="G261" s="6" t="str">
        <f t="shared" si="819"/>
        <v>CUP</v>
      </c>
      <c r="H261" s="14">
        <f t="shared" si="820"/>
        <v>66</v>
      </c>
      <c r="I261" s="33">
        <f t="shared" si="821"/>
        <v>1.5151515151515152E-2</v>
      </c>
      <c r="J261" s="17">
        <f t="shared" si="822"/>
        <v>1</v>
      </c>
      <c r="K261" s="17">
        <f t="shared" si="823"/>
        <v>30</v>
      </c>
      <c r="L261" s="18">
        <f t="shared" si="824"/>
        <v>1.299364577282498</v>
      </c>
      <c r="M261" s="34">
        <f t="shared" si="825"/>
        <v>0.29936457728249799</v>
      </c>
      <c r="N261" s="33">
        <f t="shared" si="826"/>
        <v>1.1660711255653251E-2</v>
      </c>
      <c r="O261" s="33">
        <f t="shared" si="827"/>
        <v>9.7852924531182262E-3</v>
      </c>
      <c r="P261" s="33">
        <f t="shared" si="828"/>
        <v>8.443501883368237E-3</v>
      </c>
      <c r="Q261" s="33">
        <f t="shared" si="829"/>
        <v>8.443501883368237E-3</v>
      </c>
      <c r="R261" s="35">
        <f t="shared" si="830"/>
        <v>1.1043570593697956</v>
      </c>
      <c r="S261" s="35">
        <f t="shared" si="831"/>
        <v>1.2587444628732632E-2</v>
      </c>
    </row>
    <row r="262" spans="1:19" ht="15" customHeight="1" x14ac:dyDescent="0.3">
      <c r="A262" s="30">
        <f>Odds_Input!A262</f>
        <v>254</v>
      </c>
      <c r="B262" s="7" t="str">
        <f>Odds_Input!B262</f>
        <v>CUP</v>
      </c>
      <c r="C262" s="7" t="str">
        <f>Odds_Input!C262</f>
        <v>Golden State Warriors</v>
      </c>
      <c r="D262" s="7" t="str">
        <f>Odds_Input!D262</f>
        <v>YES</v>
      </c>
      <c r="E262" s="31" t="str">
        <f>Odds_Input!E262</f>
        <v>-</v>
      </c>
      <c r="F262" s="32">
        <f>Odds_Input!F262</f>
        <v>5000</v>
      </c>
      <c r="G262" s="6" t="str">
        <f t="shared" si="819"/>
        <v>CUP</v>
      </c>
      <c r="H262" s="14">
        <f t="shared" si="820"/>
        <v>51</v>
      </c>
      <c r="I262" s="33">
        <f t="shared" si="821"/>
        <v>1.9607843137254902E-2</v>
      </c>
      <c r="J262" s="17">
        <f t="shared" si="822"/>
        <v>1</v>
      </c>
      <c r="K262" s="17">
        <f t="shared" si="823"/>
        <v>30</v>
      </c>
      <c r="L262" s="18">
        <f t="shared" si="824"/>
        <v>1.299364577282498</v>
      </c>
      <c r="M262" s="34">
        <f t="shared" si="825"/>
        <v>0.29936457728249799</v>
      </c>
      <c r="N262" s="33">
        <f t="shared" si="826"/>
        <v>1.5090332213198323E-2</v>
      </c>
      <c r="O262" s="33">
        <f t="shared" si="827"/>
        <v>1.300866774986219E-2</v>
      </c>
      <c r="P262" s="33">
        <f t="shared" si="828"/>
        <v>1.2072945956665516E-2</v>
      </c>
      <c r="Q262" s="33">
        <f t="shared" si="829"/>
        <v>1.2072945956665516E-2</v>
      </c>
      <c r="R262" s="35">
        <f t="shared" si="830"/>
        <v>1.1043570593697956</v>
      </c>
      <c r="S262" s="35">
        <f t="shared" si="831"/>
        <v>1.2587444628732632E-2</v>
      </c>
    </row>
    <row r="263" spans="1:19" ht="15" customHeight="1" x14ac:dyDescent="0.3">
      <c r="A263" s="30">
        <f>Odds_Input!A263</f>
        <v>255</v>
      </c>
      <c r="B263" s="7" t="str">
        <f>Odds_Input!B263</f>
        <v>CUP</v>
      </c>
      <c r="C263" s="7" t="str">
        <f>Odds_Input!C263</f>
        <v>Utah Jazz</v>
      </c>
      <c r="D263" s="7" t="str">
        <f>Odds_Input!D263</f>
        <v>YES</v>
      </c>
      <c r="E263" s="31" t="str">
        <f>Odds_Input!E263</f>
        <v>-</v>
      </c>
      <c r="F263" s="32">
        <f>Odds_Input!F263</f>
        <v>10000</v>
      </c>
      <c r="G263" s="6" t="str">
        <f t="shared" si="819"/>
        <v>CUP</v>
      </c>
      <c r="H263" s="14">
        <f t="shared" si="820"/>
        <v>101</v>
      </c>
      <c r="I263" s="33">
        <f t="shared" si="821"/>
        <v>9.9009900990099011E-3</v>
      </c>
      <c r="J263" s="17">
        <f t="shared" si="822"/>
        <v>1</v>
      </c>
      <c r="K263" s="17">
        <f t="shared" si="823"/>
        <v>30</v>
      </c>
      <c r="L263" s="18">
        <f t="shared" si="824"/>
        <v>1.299364577282498</v>
      </c>
      <c r="M263" s="34">
        <f t="shared" si="825"/>
        <v>0.29936457728249799</v>
      </c>
      <c r="N263" s="33">
        <f t="shared" si="826"/>
        <v>7.6198707215159849E-3</v>
      </c>
      <c r="O263" s="33">
        <f t="shared" si="827"/>
        <v>6.1166487481236929E-3</v>
      </c>
      <c r="P263" s="33">
        <f t="shared" si="828"/>
        <v>4.444239460878522E-3</v>
      </c>
      <c r="Q263" s="33">
        <f t="shared" si="829"/>
        <v>4.444239460878522E-3</v>
      </c>
      <c r="R263" s="35">
        <f t="shared" si="830"/>
        <v>1.1043570593697956</v>
      </c>
      <c r="S263" s="35">
        <f t="shared" si="831"/>
        <v>1.2587444628732632E-2</v>
      </c>
    </row>
    <row r="264" spans="1:19" ht="15" customHeight="1" x14ac:dyDescent="0.3">
      <c r="A264" s="30">
        <f>Odds_Input!A264</f>
        <v>256</v>
      </c>
      <c r="B264" s="7" t="str">
        <f>Odds_Input!B264</f>
        <v>CUP</v>
      </c>
      <c r="C264" s="7" t="str">
        <f>Odds_Input!C264</f>
        <v>Dallas Mavericks</v>
      </c>
      <c r="D264" s="7" t="str">
        <f>Odds_Input!D264</f>
        <v>YES</v>
      </c>
      <c r="E264" s="31" t="str">
        <f>Odds_Input!E264</f>
        <v>-</v>
      </c>
      <c r="F264" s="32">
        <f>Odds_Input!F264</f>
        <v>12000</v>
      </c>
      <c r="G264" s="6" t="str">
        <f t="shared" ref="G264:G327" si="832">IF(OR(B264="WINS",B264="PLAYOFFS"),B264&amp;"|"&amp;C264&amp;IF(B264="WINS","|"&amp;TEXT(E264,"0.0"),""),B264)</f>
        <v>CUP</v>
      </c>
      <c r="H264" s="14">
        <f t="shared" ref="H264:H327" si="833">IF(F264&gt;0,1+F264/100,1+100/ABS(F264))</f>
        <v>121</v>
      </c>
      <c r="I264" s="33">
        <f t="shared" ref="I264:I327" si="834">1/H264</f>
        <v>8.2644628099173556E-3</v>
      </c>
      <c r="J264" s="17">
        <f t="shared" ref="J264:J327" si="835">IF(LEFT(B264,6)="PLAYIN",A_playin_slots,1)</f>
        <v>1</v>
      </c>
      <c r="K264" s="17">
        <f t="shared" ref="K264:K327" si="836">COUNTIF($G$8:$G$694,G264)</f>
        <v>30</v>
      </c>
      <c r="L264" s="18">
        <f t="shared" ref="L264:L327" si="837">SUMIF($G$8:$G$694,G264,$I$8:$I$694)</f>
        <v>1.299364577282498</v>
      </c>
      <c r="M264" s="34">
        <f t="shared" ref="M264:M327" si="838">L264/J264-1</f>
        <v>0.29936457728249799</v>
      </c>
      <c r="N264" s="33">
        <f t="shared" ref="N264:N327" si="839">I264*J264/L264</f>
        <v>6.3603879576290458E-3</v>
      </c>
      <c r="O264" s="33">
        <f t="shared" ref="O264:O327" si="840">I264^R264</f>
        <v>5.0102716475436031E-3</v>
      </c>
      <c r="P264" s="33">
        <f t="shared" ref="P264:P327" si="841">IF(J264&lt;&gt;1,O264,IF(L264&lt;=1,I264/L264,(SQRT(S264^2+4*(1-S264)*I264^2/L264)-S264)/(2*(1-S264))))</f>
        <v>3.3143159600958201E-3</v>
      </c>
      <c r="Q264" s="33">
        <f t="shared" ref="Q264:Q327" si="842">IF(A_devig="Multiplicative",N264,IF(A_devig="Power",O264,P264))</f>
        <v>3.3143159600958201E-3</v>
      </c>
      <c r="R264" s="35">
        <f t="shared" ref="R264:R327" si="843">INDEX($KA$8:$KA$96,MATCH(G264,$X$8:$X$96,0))</f>
        <v>1.1043570593697956</v>
      </c>
      <c r="S264" s="35">
        <f t="shared" ref="S264:S327" si="844">INDEX($KB$8:$KB$96,MATCH(G264,$X$8:$X$96,0))</f>
        <v>1.2587444628732632E-2</v>
      </c>
    </row>
    <row r="265" spans="1:19" ht="15" customHeight="1" x14ac:dyDescent="0.3">
      <c r="A265" s="30">
        <f>Odds_Input!A265</f>
        <v>257</v>
      </c>
      <c r="B265" s="7" t="str">
        <f>Odds_Input!B265</f>
        <v>CUP</v>
      </c>
      <c r="C265" s="7" t="str">
        <f>Odds_Input!C265</f>
        <v>Los Angeles Clippers</v>
      </c>
      <c r="D265" s="7" t="str">
        <f>Odds_Input!D265</f>
        <v>YES</v>
      </c>
      <c r="E265" s="31" t="str">
        <f>Odds_Input!E265</f>
        <v>-</v>
      </c>
      <c r="F265" s="32">
        <f>Odds_Input!F265</f>
        <v>20000</v>
      </c>
      <c r="G265" s="6" t="str">
        <f t="shared" si="832"/>
        <v>CUP</v>
      </c>
      <c r="H265" s="14">
        <f t="shared" si="833"/>
        <v>201</v>
      </c>
      <c r="I265" s="33">
        <f t="shared" si="834"/>
        <v>4.9751243781094526E-3</v>
      </c>
      <c r="J265" s="17">
        <f t="shared" si="835"/>
        <v>1</v>
      </c>
      <c r="K265" s="17">
        <f t="shared" si="836"/>
        <v>30</v>
      </c>
      <c r="L265" s="18">
        <f t="shared" si="837"/>
        <v>1.299364577282498</v>
      </c>
      <c r="M265" s="34">
        <f t="shared" si="838"/>
        <v>0.29936457728249799</v>
      </c>
      <c r="N265" s="33">
        <f t="shared" si="839"/>
        <v>3.8288902630503208E-3</v>
      </c>
      <c r="O265" s="33">
        <f t="shared" si="840"/>
        <v>2.8605475735145967E-3</v>
      </c>
      <c r="P265" s="33">
        <f t="shared" si="841"/>
        <v>1.3668038508961252E-3</v>
      </c>
      <c r="Q265" s="33">
        <f t="shared" si="842"/>
        <v>1.3668038508961252E-3</v>
      </c>
      <c r="R265" s="35">
        <f t="shared" si="843"/>
        <v>1.1043570593697956</v>
      </c>
      <c r="S265" s="35">
        <f t="shared" si="844"/>
        <v>1.2587444628732632E-2</v>
      </c>
    </row>
    <row r="266" spans="1:19" ht="15" customHeight="1" x14ac:dyDescent="0.3">
      <c r="A266" s="30">
        <f>Odds_Input!A266</f>
        <v>258</v>
      </c>
      <c r="B266" s="7" t="str">
        <f>Odds_Input!B266</f>
        <v>CUP</v>
      </c>
      <c r="C266" s="7" t="str">
        <f>Odds_Input!C266</f>
        <v>Chicago Bulls</v>
      </c>
      <c r="D266" s="7" t="str">
        <f>Odds_Input!D266</f>
        <v>YES</v>
      </c>
      <c r="E266" s="31" t="str">
        <f>Odds_Input!E266</f>
        <v>-</v>
      </c>
      <c r="F266" s="32">
        <f>Odds_Input!F266</f>
        <v>25000</v>
      </c>
      <c r="G266" s="6" t="str">
        <f t="shared" si="832"/>
        <v>CUP</v>
      </c>
      <c r="H266" s="14">
        <f t="shared" si="833"/>
        <v>251</v>
      </c>
      <c r="I266" s="33">
        <f t="shared" si="834"/>
        <v>3.9840637450199202E-3</v>
      </c>
      <c r="J266" s="17">
        <f t="shared" si="835"/>
        <v>1</v>
      </c>
      <c r="K266" s="17">
        <f t="shared" si="836"/>
        <v>30</v>
      </c>
      <c r="L266" s="18">
        <f t="shared" si="837"/>
        <v>1.299364577282498</v>
      </c>
      <c r="M266" s="34">
        <f t="shared" si="838"/>
        <v>0.29936457728249799</v>
      </c>
      <c r="N266" s="33">
        <f t="shared" si="839"/>
        <v>3.0661631190163924E-3</v>
      </c>
      <c r="O266" s="33">
        <f t="shared" si="840"/>
        <v>2.2382231610908253E-3</v>
      </c>
      <c r="P266" s="33">
        <f t="shared" si="841"/>
        <v>9.0607377994892161E-4</v>
      </c>
      <c r="Q266" s="33">
        <f t="shared" si="842"/>
        <v>9.0607377994892161E-4</v>
      </c>
      <c r="R266" s="35">
        <f t="shared" si="843"/>
        <v>1.1043570593697956</v>
      </c>
      <c r="S266" s="35">
        <f t="shared" si="844"/>
        <v>1.2587444628732632E-2</v>
      </c>
    </row>
    <row r="267" spans="1:19" ht="15" customHeight="1" x14ac:dyDescent="0.3">
      <c r="A267" s="30">
        <f>Odds_Input!A267</f>
        <v>259</v>
      </c>
      <c r="B267" s="7" t="str">
        <f>Odds_Input!B267</f>
        <v>CUP</v>
      </c>
      <c r="C267" s="7" t="str">
        <f>Odds_Input!C267</f>
        <v>New Orleans Pelicans</v>
      </c>
      <c r="D267" s="7" t="str">
        <f>Odds_Input!D267</f>
        <v>YES</v>
      </c>
      <c r="E267" s="31" t="str">
        <f>Odds_Input!E267</f>
        <v>-</v>
      </c>
      <c r="F267" s="32">
        <f>Odds_Input!F267</f>
        <v>25000</v>
      </c>
      <c r="G267" s="6" t="str">
        <f t="shared" si="832"/>
        <v>CUP</v>
      </c>
      <c r="H267" s="14">
        <f t="shared" si="833"/>
        <v>251</v>
      </c>
      <c r="I267" s="33">
        <f t="shared" si="834"/>
        <v>3.9840637450199202E-3</v>
      </c>
      <c r="J267" s="17">
        <f t="shared" si="835"/>
        <v>1</v>
      </c>
      <c r="K267" s="17">
        <f t="shared" si="836"/>
        <v>30</v>
      </c>
      <c r="L267" s="18">
        <f t="shared" si="837"/>
        <v>1.299364577282498</v>
      </c>
      <c r="M267" s="34">
        <f t="shared" si="838"/>
        <v>0.29936457728249799</v>
      </c>
      <c r="N267" s="33">
        <f t="shared" si="839"/>
        <v>3.0661631190163924E-3</v>
      </c>
      <c r="O267" s="33">
        <f t="shared" si="840"/>
        <v>2.2382231610908253E-3</v>
      </c>
      <c r="P267" s="33">
        <f t="shared" si="841"/>
        <v>9.0607377994892161E-4</v>
      </c>
      <c r="Q267" s="33">
        <f t="shared" si="842"/>
        <v>9.0607377994892161E-4</v>
      </c>
      <c r="R267" s="35">
        <f t="shared" si="843"/>
        <v>1.1043570593697956</v>
      </c>
      <c r="S267" s="35">
        <f t="shared" si="844"/>
        <v>1.2587444628732632E-2</v>
      </c>
    </row>
    <row r="268" spans="1:19" ht="15" customHeight="1" x14ac:dyDescent="0.3">
      <c r="A268" s="30">
        <f>Odds_Input!A268</f>
        <v>260</v>
      </c>
      <c r="B268" s="7" t="str">
        <f>Odds_Input!B268</f>
        <v>CUP</v>
      </c>
      <c r="C268" s="7" t="str">
        <f>Odds_Input!C268</f>
        <v>Memphis Grizzlies</v>
      </c>
      <c r="D268" s="7" t="str">
        <f>Odds_Input!D268</f>
        <v>YES</v>
      </c>
      <c r="E268" s="31" t="str">
        <f>Odds_Input!E268</f>
        <v>-</v>
      </c>
      <c r="F268" s="32">
        <f>Odds_Input!F268</f>
        <v>25000</v>
      </c>
      <c r="G268" s="6" t="str">
        <f t="shared" si="832"/>
        <v>CUP</v>
      </c>
      <c r="H268" s="14">
        <f t="shared" si="833"/>
        <v>251</v>
      </c>
      <c r="I268" s="33">
        <f t="shared" si="834"/>
        <v>3.9840637450199202E-3</v>
      </c>
      <c r="J268" s="17">
        <f t="shared" si="835"/>
        <v>1</v>
      </c>
      <c r="K268" s="17">
        <f t="shared" si="836"/>
        <v>30</v>
      </c>
      <c r="L268" s="18">
        <f t="shared" si="837"/>
        <v>1.299364577282498</v>
      </c>
      <c r="M268" s="34">
        <f t="shared" si="838"/>
        <v>0.29936457728249799</v>
      </c>
      <c r="N268" s="33">
        <f t="shared" si="839"/>
        <v>3.0661631190163924E-3</v>
      </c>
      <c r="O268" s="33">
        <f t="shared" si="840"/>
        <v>2.2382231610908253E-3</v>
      </c>
      <c r="P268" s="33">
        <f t="shared" si="841"/>
        <v>9.0607377994892161E-4</v>
      </c>
      <c r="Q268" s="33">
        <f t="shared" si="842"/>
        <v>9.0607377994892161E-4</v>
      </c>
      <c r="R268" s="35">
        <f t="shared" si="843"/>
        <v>1.1043570593697956</v>
      </c>
      <c r="S268" s="35">
        <f t="shared" si="844"/>
        <v>1.2587444628732632E-2</v>
      </c>
    </row>
    <row r="269" spans="1:19" ht="15" customHeight="1" x14ac:dyDescent="0.3">
      <c r="A269" s="30">
        <f>Odds_Input!A269</f>
        <v>261</v>
      </c>
      <c r="B269" s="7" t="str">
        <f>Odds_Input!B269</f>
        <v>CUP</v>
      </c>
      <c r="C269" s="7" t="str">
        <f>Odds_Input!C269</f>
        <v>Sacramento Kings</v>
      </c>
      <c r="D269" s="7" t="str">
        <f>Odds_Input!D269</f>
        <v>YES</v>
      </c>
      <c r="E269" s="31" t="str">
        <f>Odds_Input!E269</f>
        <v>-</v>
      </c>
      <c r="F269" s="32">
        <f>Odds_Input!F269</f>
        <v>25000</v>
      </c>
      <c r="G269" s="6" t="str">
        <f t="shared" si="832"/>
        <v>CUP</v>
      </c>
      <c r="H269" s="14">
        <f t="shared" si="833"/>
        <v>251</v>
      </c>
      <c r="I269" s="33">
        <f t="shared" si="834"/>
        <v>3.9840637450199202E-3</v>
      </c>
      <c r="J269" s="17">
        <f t="shared" si="835"/>
        <v>1</v>
      </c>
      <c r="K269" s="17">
        <f t="shared" si="836"/>
        <v>30</v>
      </c>
      <c r="L269" s="18">
        <f t="shared" si="837"/>
        <v>1.299364577282498</v>
      </c>
      <c r="M269" s="34">
        <f t="shared" si="838"/>
        <v>0.29936457728249799</v>
      </c>
      <c r="N269" s="33">
        <f t="shared" si="839"/>
        <v>3.0661631190163924E-3</v>
      </c>
      <c r="O269" s="33">
        <f t="shared" si="840"/>
        <v>2.2382231610908253E-3</v>
      </c>
      <c r="P269" s="33">
        <f t="shared" si="841"/>
        <v>9.0607377994892161E-4</v>
      </c>
      <c r="Q269" s="33">
        <f t="shared" si="842"/>
        <v>9.0607377994892161E-4</v>
      </c>
      <c r="R269" s="35">
        <f t="shared" si="843"/>
        <v>1.1043570593697956</v>
      </c>
      <c r="S269" s="35">
        <f t="shared" si="844"/>
        <v>1.2587444628732632E-2</v>
      </c>
    </row>
    <row r="270" spans="1:19" ht="15" customHeight="1" x14ac:dyDescent="0.3">
      <c r="A270" s="30">
        <f>Odds_Input!A270</f>
        <v>262</v>
      </c>
      <c r="B270" s="7" t="str">
        <f>Odds_Input!B270</f>
        <v>CUP</v>
      </c>
      <c r="C270" s="7" t="str">
        <f>Odds_Input!C270</f>
        <v>Milwaukee Bucks</v>
      </c>
      <c r="D270" s="7" t="str">
        <f>Odds_Input!D270</f>
        <v>YES</v>
      </c>
      <c r="E270" s="31" t="str">
        <f>Odds_Input!E270</f>
        <v>-</v>
      </c>
      <c r="F270" s="32">
        <f>Odds_Input!F270</f>
        <v>25000</v>
      </c>
      <c r="G270" s="6" t="str">
        <f t="shared" si="832"/>
        <v>CUP</v>
      </c>
      <c r="H270" s="14">
        <f t="shared" si="833"/>
        <v>251</v>
      </c>
      <c r="I270" s="33">
        <f t="shared" si="834"/>
        <v>3.9840637450199202E-3</v>
      </c>
      <c r="J270" s="17">
        <f t="shared" si="835"/>
        <v>1</v>
      </c>
      <c r="K270" s="17">
        <f t="shared" si="836"/>
        <v>30</v>
      </c>
      <c r="L270" s="18">
        <f t="shared" si="837"/>
        <v>1.299364577282498</v>
      </c>
      <c r="M270" s="34">
        <f t="shared" si="838"/>
        <v>0.29936457728249799</v>
      </c>
      <c r="N270" s="33">
        <f t="shared" si="839"/>
        <v>3.0661631190163924E-3</v>
      </c>
      <c r="O270" s="33">
        <f t="shared" si="840"/>
        <v>2.2382231610908253E-3</v>
      </c>
      <c r="P270" s="33">
        <f t="shared" si="841"/>
        <v>9.0607377994892161E-4</v>
      </c>
      <c r="Q270" s="33">
        <f t="shared" si="842"/>
        <v>9.0607377994892161E-4</v>
      </c>
      <c r="R270" s="35">
        <f t="shared" si="843"/>
        <v>1.1043570593697956</v>
      </c>
      <c r="S270" s="35">
        <f t="shared" si="844"/>
        <v>1.2587444628732632E-2</v>
      </c>
    </row>
    <row r="271" spans="1:19" ht="15" customHeight="1" x14ac:dyDescent="0.3">
      <c r="A271" s="30">
        <f>Odds_Input!A271</f>
        <v>263</v>
      </c>
      <c r="B271" s="7" t="str">
        <f>Odds_Input!B271</f>
        <v>CUP</v>
      </c>
      <c r="C271" s="7" t="str">
        <f>Odds_Input!C271</f>
        <v>Brooklyn Nets</v>
      </c>
      <c r="D271" s="7" t="str">
        <f>Odds_Input!D271</f>
        <v>YES</v>
      </c>
      <c r="E271" s="31" t="str">
        <f>Odds_Input!E271</f>
        <v>-</v>
      </c>
      <c r="F271" s="32">
        <f>Odds_Input!F271</f>
        <v>25000</v>
      </c>
      <c r="G271" s="6" t="str">
        <f t="shared" si="832"/>
        <v>CUP</v>
      </c>
      <c r="H271" s="14">
        <f t="shared" si="833"/>
        <v>251</v>
      </c>
      <c r="I271" s="33">
        <f t="shared" si="834"/>
        <v>3.9840637450199202E-3</v>
      </c>
      <c r="J271" s="17">
        <f t="shared" si="835"/>
        <v>1</v>
      </c>
      <c r="K271" s="17">
        <f t="shared" si="836"/>
        <v>30</v>
      </c>
      <c r="L271" s="18">
        <f t="shared" si="837"/>
        <v>1.299364577282498</v>
      </c>
      <c r="M271" s="34">
        <f t="shared" si="838"/>
        <v>0.29936457728249799</v>
      </c>
      <c r="N271" s="33">
        <f t="shared" si="839"/>
        <v>3.0661631190163924E-3</v>
      </c>
      <c r="O271" s="33">
        <f t="shared" si="840"/>
        <v>2.2382231610908253E-3</v>
      </c>
      <c r="P271" s="33">
        <f t="shared" si="841"/>
        <v>9.0607377994892161E-4</v>
      </c>
      <c r="Q271" s="33">
        <f t="shared" si="842"/>
        <v>9.0607377994892161E-4</v>
      </c>
      <c r="R271" s="35">
        <f t="shared" si="843"/>
        <v>1.1043570593697956</v>
      </c>
      <c r="S271" s="35">
        <f t="shared" si="844"/>
        <v>1.2587444628732632E-2</v>
      </c>
    </row>
    <row r="272" spans="1:19" ht="15" customHeight="1" x14ac:dyDescent="0.3">
      <c r="A272" s="30">
        <f>Odds_Input!A272</f>
        <v>264</v>
      </c>
      <c r="B272" s="7" t="str">
        <f>Odds_Input!B272</f>
        <v>CUP_EAST_A</v>
      </c>
      <c r="C272" s="7" t="str">
        <f>Odds_Input!C272</f>
        <v>Detroit Pistons</v>
      </c>
      <c r="D272" s="7" t="str">
        <f>Odds_Input!D272</f>
        <v>YES</v>
      </c>
      <c r="E272" s="31" t="str">
        <f>Odds_Input!E272</f>
        <v>-</v>
      </c>
      <c r="F272" s="32">
        <f>Odds_Input!F272</f>
        <v>145</v>
      </c>
      <c r="G272" s="6" t="str">
        <f t="shared" si="832"/>
        <v>CUP_EAST_A</v>
      </c>
      <c r="H272" s="14">
        <f t="shared" si="833"/>
        <v>2.4500000000000002</v>
      </c>
      <c r="I272" s="33">
        <f t="shared" si="834"/>
        <v>0.4081632653061224</v>
      </c>
      <c r="J272" s="17">
        <f t="shared" si="835"/>
        <v>1</v>
      </c>
      <c r="K272" s="17">
        <f t="shared" si="836"/>
        <v>5</v>
      </c>
      <c r="L272" s="18">
        <f t="shared" si="837"/>
        <v>1.1760204081632653</v>
      </c>
      <c r="M272" s="34">
        <f t="shared" si="838"/>
        <v>0.17602040816326525</v>
      </c>
      <c r="N272" s="33">
        <f t="shared" si="839"/>
        <v>0.34707158351409978</v>
      </c>
      <c r="O272" s="33">
        <f t="shared" si="840"/>
        <v>0.36174345391923962</v>
      </c>
      <c r="P272" s="33">
        <f t="shared" si="841"/>
        <v>0.36162667566263418</v>
      </c>
      <c r="Q272" s="33">
        <f t="shared" si="842"/>
        <v>0.36162667566263418</v>
      </c>
      <c r="R272" s="35">
        <f t="shared" si="843"/>
        <v>1.1347322822781281</v>
      </c>
      <c r="S272" s="35">
        <f t="shared" si="844"/>
        <v>4.7164328009968975E-2</v>
      </c>
    </row>
    <row r="273" spans="1:19" ht="15" customHeight="1" x14ac:dyDescent="0.3">
      <c r="A273" s="30">
        <f>Odds_Input!A273</f>
        <v>265</v>
      </c>
      <c r="B273" s="7" t="str">
        <f>Odds_Input!B273</f>
        <v>CUP_EAST_A</v>
      </c>
      <c r="C273" s="7" t="str">
        <f>Odds_Input!C273</f>
        <v>Toronto Raptors</v>
      </c>
      <c r="D273" s="7" t="str">
        <f>Odds_Input!D273</f>
        <v>YES</v>
      </c>
      <c r="E273" s="31" t="str">
        <f>Odds_Input!E273</f>
        <v>-</v>
      </c>
      <c r="F273" s="32">
        <f>Odds_Input!F273</f>
        <v>180</v>
      </c>
      <c r="G273" s="6" t="str">
        <f t="shared" si="832"/>
        <v>CUP_EAST_A</v>
      </c>
      <c r="H273" s="14">
        <f t="shared" si="833"/>
        <v>2.8</v>
      </c>
      <c r="I273" s="33">
        <f t="shared" si="834"/>
        <v>0.35714285714285715</v>
      </c>
      <c r="J273" s="17">
        <f t="shared" si="835"/>
        <v>1</v>
      </c>
      <c r="K273" s="17">
        <f t="shared" si="836"/>
        <v>5</v>
      </c>
      <c r="L273" s="18">
        <f t="shared" si="837"/>
        <v>1.1760204081632653</v>
      </c>
      <c r="M273" s="34">
        <f t="shared" si="838"/>
        <v>0.17602040816326525</v>
      </c>
      <c r="N273" s="33">
        <f t="shared" si="839"/>
        <v>0.30368763557483736</v>
      </c>
      <c r="O273" s="33">
        <f t="shared" si="840"/>
        <v>0.31088183488668419</v>
      </c>
      <c r="P273" s="33">
        <f t="shared" si="841"/>
        <v>0.31354191427647776</v>
      </c>
      <c r="Q273" s="33">
        <f t="shared" si="842"/>
        <v>0.31354191427647776</v>
      </c>
      <c r="R273" s="35">
        <f t="shared" si="843"/>
        <v>1.1347322822781281</v>
      </c>
      <c r="S273" s="35">
        <f t="shared" si="844"/>
        <v>4.7164328009968975E-2</v>
      </c>
    </row>
    <row r="274" spans="1:19" ht="15" customHeight="1" x14ac:dyDescent="0.3">
      <c r="A274" s="30">
        <f>Odds_Input!A274</f>
        <v>266</v>
      </c>
      <c r="B274" s="7" t="str">
        <f>Odds_Input!B274</f>
        <v>CUP_EAST_A</v>
      </c>
      <c r="C274" s="7" t="str">
        <f>Odds_Input!C274</f>
        <v>Orlando Magic</v>
      </c>
      <c r="D274" s="7" t="str">
        <f>Odds_Input!D274</f>
        <v>YES</v>
      </c>
      <c r="E274" s="31" t="str">
        <f>Odds_Input!E274</f>
        <v>-</v>
      </c>
      <c r="F274" s="32">
        <f>Odds_Input!F274</f>
        <v>250</v>
      </c>
      <c r="G274" s="6" t="str">
        <f t="shared" si="832"/>
        <v>CUP_EAST_A</v>
      </c>
      <c r="H274" s="14">
        <f t="shared" si="833"/>
        <v>3.5</v>
      </c>
      <c r="I274" s="33">
        <f t="shared" si="834"/>
        <v>0.2857142857142857</v>
      </c>
      <c r="J274" s="17">
        <f t="shared" si="835"/>
        <v>1</v>
      </c>
      <c r="K274" s="17">
        <f t="shared" si="836"/>
        <v>5</v>
      </c>
      <c r="L274" s="18">
        <f t="shared" si="837"/>
        <v>1.1760204081632653</v>
      </c>
      <c r="M274" s="34">
        <f t="shared" si="838"/>
        <v>0.17602040816326525</v>
      </c>
      <c r="N274" s="33">
        <f t="shared" si="839"/>
        <v>0.24295010845986983</v>
      </c>
      <c r="O274" s="33">
        <f t="shared" si="840"/>
        <v>0.2413395098250592</v>
      </c>
      <c r="P274" s="33">
        <f t="shared" si="841"/>
        <v>0.24629073590416034</v>
      </c>
      <c r="Q274" s="33">
        <f t="shared" si="842"/>
        <v>0.24629073590416034</v>
      </c>
      <c r="R274" s="35">
        <f t="shared" si="843"/>
        <v>1.1347322822781281</v>
      </c>
      <c r="S274" s="35">
        <f t="shared" si="844"/>
        <v>4.7164328009968975E-2</v>
      </c>
    </row>
    <row r="275" spans="1:19" ht="15" customHeight="1" x14ac:dyDescent="0.3">
      <c r="A275" s="30">
        <f>Odds_Input!A275</f>
        <v>267</v>
      </c>
      <c r="B275" s="7" t="str">
        <f>Odds_Input!B275</f>
        <v>CUP_EAST_A</v>
      </c>
      <c r="C275" s="7" t="str">
        <f>Odds_Input!C275</f>
        <v>Milwaukee Bucks</v>
      </c>
      <c r="D275" s="7" t="str">
        <f>Odds_Input!D275</f>
        <v>YES</v>
      </c>
      <c r="E275" s="31" t="str">
        <f>Odds_Input!E275</f>
        <v>-</v>
      </c>
      <c r="F275" s="32">
        <f>Odds_Input!F275</f>
        <v>1500</v>
      </c>
      <c r="G275" s="6" t="str">
        <f t="shared" si="832"/>
        <v>CUP_EAST_A</v>
      </c>
      <c r="H275" s="14">
        <f t="shared" si="833"/>
        <v>16</v>
      </c>
      <c r="I275" s="33">
        <f t="shared" si="834"/>
        <v>6.25E-2</v>
      </c>
      <c r="J275" s="17">
        <f t="shared" si="835"/>
        <v>1</v>
      </c>
      <c r="K275" s="17">
        <f t="shared" si="836"/>
        <v>5</v>
      </c>
      <c r="L275" s="18">
        <f t="shared" si="837"/>
        <v>1.1760204081632653</v>
      </c>
      <c r="M275" s="34">
        <f t="shared" si="838"/>
        <v>0.17602040816326525</v>
      </c>
      <c r="N275" s="33">
        <f t="shared" si="839"/>
        <v>5.3145336225596529E-2</v>
      </c>
      <c r="O275" s="33">
        <f t="shared" si="840"/>
        <v>4.301760069252291E-2</v>
      </c>
      <c r="P275" s="33">
        <f t="shared" si="841"/>
        <v>3.9270337007840973E-2</v>
      </c>
      <c r="Q275" s="33">
        <f t="shared" si="842"/>
        <v>3.9270337007840973E-2</v>
      </c>
      <c r="R275" s="35">
        <f t="shared" si="843"/>
        <v>1.1347322822781281</v>
      </c>
      <c r="S275" s="35">
        <f t="shared" si="844"/>
        <v>4.7164328009968975E-2</v>
      </c>
    </row>
    <row r="276" spans="1:19" ht="15" customHeight="1" x14ac:dyDescent="0.3">
      <c r="A276" s="30">
        <f>Odds_Input!A276</f>
        <v>268</v>
      </c>
      <c r="B276" s="7" t="str">
        <f>Odds_Input!B276</f>
        <v>CUP_EAST_A</v>
      </c>
      <c r="C276" s="7" t="str">
        <f>Odds_Input!C276</f>
        <v>Brooklyn Nets</v>
      </c>
      <c r="D276" s="7" t="str">
        <f>Odds_Input!D276</f>
        <v>YES</v>
      </c>
      <c r="E276" s="31" t="str">
        <f>Odds_Input!E276</f>
        <v>-</v>
      </c>
      <c r="F276" s="32">
        <f>Odds_Input!F276</f>
        <v>1500</v>
      </c>
      <c r="G276" s="6" t="str">
        <f t="shared" si="832"/>
        <v>CUP_EAST_A</v>
      </c>
      <c r="H276" s="14">
        <f t="shared" si="833"/>
        <v>16</v>
      </c>
      <c r="I276" s="33">
        <f t="shared" si="834"/>
        <v>6.25E-2</v>
      </c>
      <c r="J276" s="17">
        <f t="shared" si="835"/>
        <v>1</v>
      </c>
      <c r="K276" s="17">
        <f t="shared" si="836"/>
        <v>5</v>
      </c>
      <c r="L276" s="18">
        <f t="shared" si="837"/>
        <v>1.1760204081632653</v>
      </c>
      <c r="M276" s="34">
        <f t="shared" si="838"/>
        <v>0.17602040816326525</v>
      </c>
      <c r="N276" s="33">
        <f t="shared" si="839"/>
        <v>5.3145336225596529E-2</v>
      </c>
      <c r="O276" s="33">
        <f t="shared" si="840"/>
        <v>4.301760069252291E-2</v>
      </c>
      <c r="P276" s="33">
        <f t="shared" si="841"/>
        <v>3.9270337007840973E-2</v>
      </c>
      <c r="Q276" s="33">
        <f t="shared" si="842"/>
        <v>3.9270337007840973E-2</v>
      </c>
      <c r="R276" s="35">
        <f t="shared" si="843"/>
        <v>1.1347322822781281</v>
      </c>
      <c r="S276" s="35">
        <f t="shared" si="844"/>
        <v>4.7164328009968975E-2</v>
      </c>
    </row>
    <row r="277" spans="1:19" ht="15" customHeight="1" x14ac:dyDescent="0.3">
      <c r="A277" s="30">
        <f>Odds_Input!A277</f>
        <v>269</v>
      </c>
      <c r="B277" s="7" t="str">
        <f>Odds_Input!B277</f>
        <v>CUP_EAST_B</v>
      </c>
      <c r="C277" s="7" t="str">
        <f>Odds_Input!C277</f>
        <v>New York Knicks</v>
      </c>
      <c r="D277" s="7" t="str">
        <f>Odds_Input!D277</f>
        <v>YES</v>
      </c>
      <c r="E277" s="31" t="str">
        <f>Odds_Input!E277</f>
        <v>-</v>
      </c>
      <c r="F277" s="32">
        <f>Odds_Input!F277</f>
        <v>225</v>
      </c>
      <c r="G277" s="6" t="str">
        <f t="shared" si="832"/>
        <v>CUP_EAST_B</v>
      </c>
      <c r="H277" s="14">
        <f t="shared" si="833"/>
        <v>3.25</v>
      </c>
      <c r="I277" s="33">
        <f t="shared" si="834"/>
        <v>0.30769230769230771</v>
      </c>
      <c r="J277" s="17">
        <f t="shared" si="835"/>
        <v>1</v>
      </c>
      <c r="K277" s="17">
        <f t="shared" si="836"/>
        <v>5</v>
      </c>
      <c r="L277" s="18">
        <f t="shared" si="837"/>
        <v>1.1456876456876459</v>
      </c>
      <c r="M277" s="34">
        <f t="shared" si="838"/>
        <v>0.14568764568764592</v>
      </c>
      <c r="N277" s="33">
        <f t="shared" si="839"/>
        <v>0.26856561546286872</v>
      </c>
      <c r="O277" s="33">
        <f t="shared" si="840"/>
        <v>0.2750883890043529</v>
      </c>
      <c r="P277" s="33">
        <f t="shared" si="841"/>
        <v>0.27449806303144797</v>
      </c>
      <c r="Q277" s="33">
        <f t="shared" si="842"/>
        <v>0.27449806303144797</v>
      </c>
      <c r="R277" s="35">
        <f t="shared" si="843"/>
        <v>1.0950302017154172</v>
      </c>
      <c r="S277" s="35">
        <f t="shared" si="844"/>
        <v>3.6587639917515111E-2</v>
      </c>
    </row>
    <row r="278" spans="1:19" ht="15" customHeight="1" x14ac:dyDescent="0.3">
      <c r="A278" s="30">
        <f>Odds_Input!A278</f>
        <v>270</v>
      </c>
      <c r="B278" s="7" t="str">
        <f>Odds_Input!B278</f>
        <v>CUP_EAST_B</v>
      </c>
      <c r="C278" s="7" t="str">
        <f>Odds_Input!C278</f>
        <v>Philadelphia 76ers</v>
      </c>
      <c r="D278" s="7" t="str">
        <f>Odds_Input!D278</f>
        <v>YES</v>
      </c>
      <c r="E278" s="31" t="str">
        <f>Odds_Input!E278</f>
        <v>-</v>
      </c>
      <c r="F278" s="32">
        <f>Odds_Input!F278</f>
        <v>225</v>
      </c>
      <c r="G278" s="6" t="str">
        <f t="shared" si="832"/>
        <v>CUP_EAST_B</v>
      </c>
      <c r="H278" s="14">
        <f t="shared" si="833"/>
        <v>3.25</v>
      </c>
      <c r="I278" s="33">
        <f t="shared" si="834"/>
        <v>0.30769230769230771</v>
      </c>
      <c r="J278" s="17">
        <f t="shared" si="835"/>
        <v>1</v>
      </c>
      <c r="K278" s="17">
        <f t="shared" si="836"/>
        <v>5</v>
      </c>
      <c r="L278" s="18">
        <f t="shared" si="837"/>
        <v>1.1456876456876459</v>
      </c>
      <c r="M278" s="34">
        <f t="shared" si="838"/>
        <v>0.14568764568764592</v>
      </c>
      <c r="N278" s="33">
        <f t="shared" si="839"/>
        <v>0.26856561546286872</v>
      </c>
      <c r="O278" s="33">
        <f t="shared" si="840"/>
        <v>0.2750883890043529</v>
      </c>
      <c r="P278" s="33">
        <f t="shared" si="841"/>
        <v>0.27449806303144797</v>
      </c>
      <c r="Q278" s="33">
        <f t="shared" si="842"/>
        <v>0.27449806303144797</v>
      </c>
      <c r="R278" s="35">
        <f t="shared" si="843"/>
        <v>1.0950302017154172</v>
      </c>
      <c r="S278" s="35">
        <f t="shared" si="844"/>
        <v>3.6587639917515111E-2</v>
      </c>
    </row>
    <row r="279" spans="1:19" ht="15" customHeight="1" x14ac:dyDescent="0.3">
      <c r="A279" s="30">
        <f>Odds_Input!A279</f>
        <v>271</v>
      </c>
      <c r="B279" s="7" t="str">
        <f>Odds_Input!B279</f>
        <v>CUP_EAST_B</v>
      </c>
      <c r="C279" s="7" t="str">
        <f>Odds_Input!C279</f>
        <v>Miami Heat</v>
      </c>
      <c r="D279" s="7" t="str">
        <f>Odds_Input!D279</f>
        <v>YES</v>
      </c>
      <c r="E279" s="31" t="str">
        <f>Odds_Input!E279</f>
        <v>-</v>
      </c>
      <c r="F279" s="32">
        <f>Odds_Input!F279</f>
        <v>450</v>
      </c>
      <c r="G279" s="6" t="str">
        <f t="shared" si="832"/>
        <v>CUP_EAST_B</v>
      </c>
      <c r="H279" s="14">
        <f t="shared" si="833"/>
        <v>5.5</v>
      </c>
      <c r="I279" s="33">
        <f t="shared" si="834"/>
        <v>0.18181818181818182</v>
      </c>
      <c r="J279" s="17">
        <f t="shared" si="835"/>
        <v>1</v>
      </c>
      <c r="K279" s="17">
        <f t="shared" si="836"/>
        <v>5</v>
      </c>
      <c r="L279" s="18">
        <f t="shared" si="837"/>
        <v>1.1456876456876459</v>
      </c>
      <c r="M279" s="34">
        <f t="shared" si="838"/>
        <v>0.14568764568764592</v>
      </c>
      <c r="N279" s="33">
        <f t="shared" si="839"/>
        <v>0.15869786368260425</v>
      </c>
      <c r="O279" s="33">
        <f t="shared" si="840"/>
        <v>0.15462527847240268</v>
      </c>
      <c r="P279" s="33">
        <f t="shared" si="841"/>
        <v>0.15511060286486858</v>
      </c>
      <c r="Q279" s="33">
        <f t="shared" si="842"/>
        <v>0.15511060286486858</v>
      </c>
      <c r="R279" s="35">
        <f t="shared" si="843"/>
        <v>1.0950302017154172</v>
      </c>
      <c r="S279" s="35">
        <f t="shared" si="844"/>
        <v>3.6587639917515111E-2</v>
      </c>
    </row>
    <row r="280" spans="1:19" ht="15" customHeight="1" x14ac:dyDescent="0.3">
      <c r="A280" s="30">
        <f>Odds_Input!A280</f>
        <v>272</v>
      </c>
      <c r="B280" s="7" t="str">
        <f>Odds_Input!B280</f>
        <v>CUP_EAST_B</v>
      </c>
      <c r="C280" s="7" t="str">
        <f>Odds_Input!C280</f>
        <v>Cleveland Cavaliers</v>
      </c>
      <c r="D280" s="7" t="str">
        <f>Odds_Input!D280</f>
        <v>YES</v>
      </c>
      <c r="E280" s="31" t="str">
        <f>Odds_Input!E280</f>
        <v>-</v>
      </c>
      <c r="F280" s="32">
        <f>Odds_Input!F280</f>
        <v>450</v>
      </c>
      <c r="G280" s="6" t="str">
        <f t="shared" si="832"/>
        <v>CUP_EAST_B</v>
      </c>
      <c r="H280" s="14">
        <f t="shared" si="833"/>
        <v>5.5</v>
      </c>
      <c r="I280" s="33">
        <f t="shared" si="834"/>
        <v>0.18181818181818182</v>
      </c>
      <c r="J280" s="17">
        <f t="shared" si="835"/>
        <v>1</v>
      </c>
      <c r="K280" s="17">
        <f t="shared" si="836"/>
        <v>5</v>
      </c>
      <c r="L280" s="18">
        <f t="shared" si="837"/>
        <v>1.1456876456876459</v>
      </c>
      <c r="M280" s="34">
        <f t="shared" si="838"/>
        <v>0.14568764568764592</v>
      </c>
      <c r="N280" s="33">
        <f t="shared" si="839"/>
        <v>0.15869786368260425</v>
      </c>
      <c r="O280" s="33">
        <f t="shared" si="840"/>
        <v>0.15462527847240268</v>
      </c>
      <c r="P280" s="33">
        <f t="shared" si="841"/>
        <v>0.15511060286486858</v>
      </c>
      <c r="Q280" s="33">
        <f t="shared" si="842"/>
        <v>0.15511060286486858</v>
      </c>
      <c r="R280" s="35">
        <f t="shared" si="843"/>
        <v>1.0950302017154172</v>
      </c>
      <c r="S280" s="35">
        <f t="shared" si="844"/>
        <v>3.6587639917515111E-2</v>
      </c>
    </row>
    <row r="281" spans="1:19" ht="15" customHeight="1" x14ac:dyDescent="0.3">
      <c r="A281" s="30">
        <f>Odds_Input!A281</f>
        <v>273</v>
      </c>
      <c r="B281" s="7" t="str">
        <f>Odds_Input!B281</f>
        <v>CUP_EAST_B</v>
      </c>
      <c r="C281" s="7" t="str">
        <f>Odds_Input!C281</f>
        <v>Indiana Pacers</v>
      </c>
      <c r="D281" s="7" t="str">
        <f>Odds_Input!D281</f>
        <v>YES</v>
      </c>
      <c r="E281" s="31" t="str">
        <f>Odds_Input!E281</f>
        <v>-</v>
      </c>
      <c r="F281" s="32">
        <f>Odds_Input!F281</f>
        <v>500</v>
      </c>
      <c r="G281" s="6" t="str">
        <f t="shared" si="832"/>
        <v>CUP_EAST_B</v>
      </c>
      <c r="H281" s="14">
        <f t="shared" si="833"/>
        <v>6</v>
      </c>
      <c r="I281" s="33">
        <f t="shared" si="834"/>
        <v>0.16666666666666666</v>
      </c>
      <c r="J281" s="17">
        <f t="shared" si="835"/>
        <v>1</v>
      </c>
      <c r="K281" s="17">
        <f t="shared" si="836"/>
        <v>5</v>
      </c>
      <c r="L281" s="18">
        <f t="shared" si="837"/>
        <v>1.1456876456876459</v>
      </c>
      <c r="M281" s="34">
        <f t="shared" si="838"/>
        <v>0.14568764568764592</v>
      </c>
      <c r="N281" s="33">
        <f t="shared" si="839"/>
        <v>0.14547304170905387</v>
      </c>
      <c r="O281" s="33">
        <f t="shared" si="840"/>
        <v>0.14057266532020568</v>
      </c>
      <c r="P281" s="33">
        <f t="shared" si="841"/>
        <v>0.14078266802187006</v>
      </c>
      <c r="Q281" s="33">
        <f t="shared" si="842"/>
        <v>0.14078266802187006</v>
      </c>
      <c r="R281" s="35">
        <f t="shared" si="843"/>
        <v>1.0950302017154172</v>
      </c>
      <c r="S281" s="35">
        <f t="shared" si="844"/>
        <v>3.6587639917515111E-2</v>
      </c>
    </row>
    <row r="282" spans="1:19" ht="15" customHeight="1" x14ac:dyDescent="0.3">
      <c r="A282" s="30">
        <f>Odds_Input!A282</f>
        <v>274</v>
      </c>
      <c r="B282" s="7" t="str">
        <f>Odds_Input!B282</f>
        <v>CUP_EAST_C</v>
      </c>
      <c r="C282" s="7" t="str">
        <f>Odds_Input!C282</f>
        <v>Boston Celtics</v>
      </c>
      <c r="D282" s="7" t="str">
        <f>Odds_Input!D282</f>
        <v>YES</v>
      </c>
      <c r="E282" s="31" t="str">
        <f>Odds_Input!E282</f>
        <v>-</v>
      </c>
      <c r="F282" s="32">
        <f>Odds_Input!F282</f>
        <v>115</v>
      </c>
      <c r="G282" s="6" t="str">
        <f t="shared" si="832"/>
        <v>CUP_EAST_C</v>
      </c>
      <c r="H282" s="14">
        <f t="shared" si="833"/>
        <v>2.15</v>
      </c>
      <c r="I282" s="33">
        <f t="shared" si="834"/>
        <v>0.46511627906976744</v>
      </c>
      <c r="J282" s="17">
        <f t="shared" si="835"/>
        <v>1</v>
      </c>
      <c r="K282" s="17">
        <f t="shared" si="836"/>
        <v>5</v>
      </c>
      <c r="L282" s="18">
        <f t="shared" si="837"/>
        <v>1.1640752148708085</v>
      </c>
      <c r="M282" s="34">
        <f t="shared" si="838"/>
        <v>0.16407521487080845</v>
      </c>
      <c r="N282" s="33">
        <f t="shared" si="839"/>
        <v>0.39955861367719869</v>
      </c>
      <c r="O282" s="33">
        <f t="shared" si="840"/>
        <v>0.42479465922544379</v>
      </c>
      <c r="P282" s="33">
        <f t="shared" si="841"/>
        <v>0.4189798101687891</v>
      </c>
      <c r="Q282" s="33">
        <f t="shared" si="842"/>
        <v>0.4189798101687891</v>
      </c>
      <c r="R282" s="35">
        <f t="shared" si="843"/>
        <v>1.1184655114775524</v>
      </c>
      <c r="S282" s="35">
        <f t="shared" si="844"/>
        <v>4.2299190771288589E-2</v>
      </c>
    </row>
    <row r="283" spans="1:19" ht="15" customHeight="1" x14ac:dyDescent="0.3">
      <c r="A283" s="30">
        <f>Odds_Input!A283</f>
        <v>275</v>
      </c>
      <c r="B283" s="7" t="str">
        <f>Odds_Input!B283</f>
        <v>CUP_EAST_C</v>
      </c>
      <c r="C283" s="7" t="str">
        <f>Odds_Input!C283</f>
        <v>Atlanta Hawks</v>
      </c>
      <c r="D283" s="7" t="str">
        <f>Odds_Input!D283</f>
        <v>YES</v>
      </c>
      <c r="E283" s="31" t="str">
        <f>Odds_Input!E283</f>
        <v>-</v>
      </c>
      <c r="F283" s="32">
        <f>Odds_Input!F283</f>
        <v>280</v>
      </c>
      <c r="G283" s="6" t="str">
        <f t="shared" si="832"/>
        <v>CUP_EAST_C</v>
      </c>
      <c r="H283" s="14">
        <f t="shared" si="833"/>
        <v>3.8</v>
      </c>
      <c r="I283" s="33">
        <f t="shared" si="834"/>
        <v>0.26315789473684209</v>
      </c>
      <c r="J283" s="17">
        <f t="shared" si="835"/>
        <v>1</v>
      </c>
      <c r="K283" s="17">
        <f t="shared" si="836"/>
        <v>5</v>
      </c>
      <c r="L283" s="18">
        <f t="shared" si="837"/>
        <v>1.1640752148708085</v>
      </c>
      <c r="M283" s="34">
        <f t="shared" si="838"/>
        <v>0.16407521487080845</v>
      </c>
      <c r="N283" s="33">
        <f t="shared" si="839"/>
        <v>0.22606605773841504</v>
      </c>
      <c r="O283" s="33">
        <f t="shared" si="840"/>
        <v>0.22466325306504634</v>
      </c>
      <c r="P283" s="33">
        <f t="shared" si="841"/>
        <v>0.22812884379591267</v>
      </c>
      <c r="Q283" s="33">
        <f t="shared" si="842"/>
        <v>0.22812884379591267</v>
      </c>
      <c r="R283" s="35">
        <f t="shared" si="843"/>
        <v>1.1184655114775524</v>
      </c>
      <c r="S283" s="35">
        <f t="shared" si="844"/>
        <v>4.2299190771288589E-2</v>
      </c>
    </row>
    <row r="284" spans="1:19" ht="15" customHeight="1" x14ac:dyDescent="0.3">
      <c r="A284" s="30">
        <f>Odds_Input!A284</f>
        <v>276</v>
      </c>
      <c r="B284" s="7" t="str">
        <f>Odds_Input!B284</f>
        <v>CUP_EAST_C</v>
      </c>
      <c r="C284" s="7" t="str">
        <f>Odds_Input!C284</f>
        <v>Charlotte Hornets</v>
      </c>
      <c r="D284" s="7" t="str">
        <f>Odds_Input!D284</f>
        <v>YES</v>
      </c>
      <c r="E284" s="31" t="str">
        <f>Odds_Input!E284</f>
        <v>-</v>
      </c>
      <c r="F284" s="32">
        <f>Odds_Input!F284</f>
        <v>375</v>
      </c>
      <c r="G284" s="6" t="str">
        <f t="shared" si="832"/>
        <v>CUP_EAST_C</v>
      </c>
      <c r="H284" s="14">
        <f t="shared" si="833"/>
        <v>4.75</v>
      </c>
      <c r="I284" s="33">
        <f t="shared" si="834"/>
        <v>0.21052631578947367</v>
      </c>
      <c r="J284" s="17">
        <f t="shared" si="835"/>
        <v>1</v>
      </c>
      <c r="K284" s="17">
        <f t="shared" si="836"/>
        <v>5</v>
      </c>
      <c r="L284" s="18">
        <f t="shared" si="837"/>
        <v>1.1640752148708085</v>
      </c>
      <c r="M284" s="34">
        <f t="shared" si="838"/>
        <v>0.16407521487080845</v>
      </c>
      <c r="N284" s="33">
        <f t="shared" si="839"/>
        <v>0.18085284619073205</v>
      </c>
      <c r="O284" s="33">
        <f t="shared" si="840"/>
        <v>0.17504170534760086</v>
      </c>
      <c r="P284" s="33">
        <f t="shared" si="841"/>
        <v>0.17852440061526362</v>
      </c>
      <c r="Q284" s="33">
        <f t="shared" si="842"/>
        <v>0.17852440061526362</v>
      </c>
      <c r="R284" s="35">
        <f t="shared" si="843"/>
        <v>1.1184655114775524</v>
      </c>
      <c r="S284" s="35">
        <f t="shared" si="844"/>
        <v>4.2299190771288589E-2</v>
      </c>
    </row>
    <row r="285" spans="1:19" ht="15" customHeight="1" x14ac:dyDescent="0.3">
      <c r="A285" s="30">
        <f>Odds_Input!A285</f>
        <v>277</v>
      </c>
      <c r="B285" s="7" t="str">
        <f>Odds_Input!B285</f>
        <v>CUP_EAST_C</v>
      </c>
      <c r="C285" s="7" t="str">
        <f>Odds_Input!C285</f>
        <v>Washington Wizards</v>
      </c>
      <c r="D285" s="7" t="str">
        <f>Odds_Input!D285</f>
        <v>YES</v>
      </c>
      <c r="E285" s="31" t="str">
        <f>Odds_Input!E285</f>
        <v>-</v>
      </c>
      <c r="F285" s="32">
        <f>Odds_Input!F285</f>
        <v>550</v>
      </c>
      <c r="G285" s="6" t="str">
        <f t="shared" si="832"/>
        <v>CUP_EAST_C</v>
      </c>
      <c r="H285" s="14">
        <f t="shared" si="833"/>
        <v>6.5</v>
      </c>
      <c r="I285" s="33">
        <f t="shared" si="834"/>
        <v>0.15384615384615385</v>
      </c>
      <c r="J285" s="17">
        <f t="shared" si="835"/>
        <v>1</v>
      </c>
      <c r="K285" s="17">
        <f t="shared" si="836"/>
        <v>5</v>
      </c>
      <c r="L285" s="18">
        <f t="shared" si="837"/>
        <v>1.1640752148708085</v>
      </c>
      <c r="M285" s="34">
        <f t="shared" si="838"/>
        <v>0.16407521487080845</v>
      </c>
      <c r="N285" s="33">
        <f t="shared" si="839"/>
        <v>0.13216169529322727</v>
      </c>
      <c r="O285" s="33">
        <f t="shared" si="840"/>
        <v>0.12324929586074831</v>
      </c>
      <c r="P285" s="33">
        <f t="shared" si="841"/>
        <v>0.12528756941126049</v>
      </c>
      <c r="Q285" s="33">
        <f t="shared" si="842"/>
        <v>0.12528756941126049</v>
      </c>
      <c r="R285" s="35">
        <f t="shared" si="843"/>
        <v>1.1184655114775524</v>
      </c>
      <c r="S285" s="35">
        <f t="shared" si="844"/>
        <v>4.2299190771288589E-2</v>
      </c>
    </row>
    <row r="286" spans="1:19" ht="15" customHeight="1" x14ac:dyDescent="0.3">
      <c r="A286" s="30">
        <f>Odds_Input!A286</f>
        <v>278</v>
      </c>
      <c r="B286" s="7" t="str">
        <f>Odds_Input!B286</f>
        <v>CUP_EAST_C</v>
      </c>
      <c r="C286" s="7" t="str">
        <f>Odds_Input!C286</f>
        <v>Chicago Bulls</v>
      </c>
      <c r="D286" s="7" t="str">
        <f>Odds_Input!D286</f>
        <v>YES</v>
      </c>
      <c r="E286" s="31" t="str">
        <f>Odds_Input!E286</f>
        <v>-</v>
      </c>
      <c r="F286" s="32">
        <f>Odds_Input!F286</f>
        <v>1300</v>
      </c>
      <c r="G286" s="6" t="str">
        <f t="shared" si="832"/>
        <v>CUP_EAST_C</v>
      </c>
      <c r="H286" s="14">
        <f t="shared" si="833"/>
        <v>14</v>
      </c>
      <c r="I286" s="33">
        <f t="shared" si="834"/>
        <v>7.1428571428571425E-2</v>
      </c>
      <c r="J286" s="17">
        <f t="shared" si="835"/>
        <v>1</v>
      </c>
      <c r="K286" s="17">
        <f t="shared" si="836"/>
        <v>5</v>
      </c>
      <c r="L286" s="18">
        <f t="shared" si="837"/>
        <v>1.1640752148708085</v>
      </c>
      <c r="M286" s="34">
        <f t="shared" si="838"/>
        <v>0.16407521487080845</v>
      </c>
      <c r="N286" s="33">
        <f t="shared" si="839"/>
        <v>6.1360787100426945E-2</v>
      </c>
      <c r="O286" s="33">
        <f t="shared" si="840"/>
        <v>5.2251085878647172E-2</v>
      </c>
      <c r="P286" s="33">
        <f t="shared" si="841"/>
        <v>4.9079375926140908E-2</v>
      </c>
      <c r="Q286" s="33">
        <f t="shared" si="842"/>
        <v>4.9079375926140908E-2</v>
      </c>
      <c r="R286" s="35">
        <f t="shared" si="843"/>
        <v>1.1184655114775524</v>
      </c>
      <c r="S286" s="35">
        <f t="shared" si="844"/>
        <v>4.2299190771288589E-2</v>
      </c>
    </row>
    <row r="287" spans="1:19" ht="15" customHeight="1" x14ac:dyDescent="0.3">
      <c r="A287" s="30">
        <f>Odds_Input!A287</f>
        <v>279</v>
      </c>
      <c r="B287" s="7" t="str">
        <f>Odds_Input!B287</f>
        <v>CUP_WEST_A</v>
      </c>
      <c r="C287" s="7" t="str">
        <f>Odds_Input!C287</f>
        <v>Denver Nuggets</v>
      </c>
      <c r="D287" s="7" t="str">
        <f>Odds_Input!D287</f>
        <v>YES</v>
      </c>
      <c r="E287" s="31" t="str">
        <f>Odds_Input!E287</f>
        <v>-</v>
      </c>
      <c r="F287" s="32">
        <f>Odds_Input!F287</f>
        <v>170</v>
      </c>
      <c r="G287" s="6" t="str">
        <f t="shared" si="832"/>
        <v>CUP_WEST_A</v>
      </c>
      <c r="H287" s="14">
        <f t="shared" si="833"/>
        <v>2.7</v>
      </c>
      <c r="I287" s="33">
        <f t="shared" si="834"/>
        <v>0.37037037037037035</v>
      </c>
      <c r="J287" s="17">
        <f t="shared" si="835"/>
        <v>1</v>
      </c>
      <c r="K287" s="17">
        <f t="shared" si="836"/>
        <v>5</v>
      </c>
      <c r="L287" s="18">
        <f t="shared" si="837"/>
        <v>1.1576719576719576</v>
      </c>
      <c r="M287" s="34">
        <f t="shared" si="838"/>
        <v>0.15767195767195763</v>
      </c>
      <c r="N287" s="33">
        <f t="shared" si="839"/>
        <v>0.31992687385740404</v>
      </c>
      <c r="O287" s="33">
        <f t="shared" si="840"/>
        <v>0.33263678825476489</v>
      </c>
      <c r="P287" s="33">
        <f t="shared" si="841"/>
        <v>0.3310995324529567</v>
      </c>
      <c r="Q287" s="33">
        <f t="shared" si="842"/>
        <v>0.3310995324529567</v>
      </c>
      <c r="R287" s="35">
        <f t="shared" si="843"/>
        <v>1.1081823764601721</v>
      </c>
      <c r="S287" s="35">
        <f t="shared" si="844"/>
        <v>4.0025416634492939E-2</v>
      </c>
    </row>
    <row r="288" spans="1:19" ht="15" customHeight="1" x14ac:dyDescent="0.3">
      <c r="A288" s="30">
        <f>Odds_Input!A288</f>
        <v>280</v>
      </c>
      <c r="B288" s="7" t="str">
        <f>Odds_Input!B288</f>
        <v>CUP_WEST_A</v>
      </c>
      <c r="C288" s="7" t="str">
        <f>Odds_Input!C288</f>
        <v>Houston Rockets</v>
      </c>
      <c r="D288" s="7" t="str">
        <f>Odds_Input!D288</f>
        <v>YES</v>
      </c>
      <c r="E288" s="31" t="str">
        <f>Odds_Input!E288</f>
        <v>-</v>
      </c>
      <c r="F288" s="32">
        <f>Odds_Input!F288</f>
        <v>200</v>
      </c>
      <c r="G288" s="6" t="str">
        <f t="shared" si="832"/>
        <v>CUP_WEST_A</v>
      </c>
      <c r="H288" s="14">
        <f t="shared" si="833"/>
        <v>3</v>
      </c>
      <c r="I288" s="33">
        <f t="shared" si="834"/>
        <v>0.33333333333333331</v>
      </c>
      <c r="J288" s="17">
        <f t="shared" si="835"/>
        <v>1</v>
      </c>
      <c r="K288" s="17">
        <f t="shared" si="836"/>
        <v>5</v>
      </c>
      <c r="L288" s="18">
        <f t="shared" si="837"/>
        <v>1.1576719576719576</v>
      </c>
      <c r="M288" s="34">
        <f t="shared" si="838"/>
        <v>0.15767195767195763</v>
      </c>
      <c r="N288" s="33">
        <f t="shared" si="839"/>
        <v>0.28793418647166363</v>
      </c>
      <c r="O288" s="33">
        <f t="shared" si="840"/>
        <v>0.29598018281028632</v>
      </c>
      <c r="P288" s="33">
        <f t="shared" si="841"/>
        <v>0.29603518573103083</v>
      </c>
      <c r="Q288" s="33">
        <f t="shared" si="842"/>
        <v>0.29603518573103083</v>
      </c>
      <c r="R288" s="35">
        <f t="shared" si="843"/>
        <v>1.1081823764601721</v>
      </c>
      <c r="S288" s="35">
        <f t="shared" si="844"/>
        <v>4.0025416634492939E-2</v>
      </c>
    </row>
    <row r="289" spans="1:19" ht="15" customHeight="1" x14ac:dyDescent="0.3">
      <c r="A289" s="30">
        <f>Odds_Input!A289</f>
        <v>281</v>
      </c>
      <c r="B289" s="7" t="str">
        <f>Odds_Input!B289</f>
        <v>CUP_WEST_A</v>
      </c>
      <c r="C289" s="7" t="str">
        <f>Odds_Input!C289</f>
        <v>Phoenix Suns</v>
      </c>
      <c r="D289" s="7" t="str">
        <f>Odds_Input!D289</f>
        <v>YES</v>
      </c>
      <c r="E289" s="31" t="str">
        <f>Odds_Input!E289</f>
        <v>-</v>
      </c>
      <c r="F289" s="32">
        <f>Odds_Input!F289</f>
        <v>400</v>
      </c>
      <c r="G289" s="6" t="str">
        <f t="shared" si="832"/>
        <v>CUP_WEST_A</v>
      </c>
      <c r="H289" s="14">
        <f t="shared" si="833"/>
        <v>5</v>
      </c>
      <c r="I289" s="33">
        <f t="shared" si="834"/>
        <v>0.2</v>
      </c>
      <c r="J289" s="17">
        <f t="shared" si="835"/>
        <v>1</v>
      </c>
      <c r="K289" s="17">
        <f t="shared" si="836"/>
        <v>5</v>
      </c>
      <c r="L289" s="18">
        <f t="shared" si="837"/>
        <v>1.1576719576719576</v>
      </c>
      <c r="M289" s="34">
        <f t="shared" si="838"/>
        <v>0.15767195767195763</v>
      </c>
      <c r="N289" s="33">
        <f t="shared" si="839"/>
        <v>0.17276051188299818</v>
      </c>
      <c r="O289" s="33">
        <f t="shared" si="840"/>
        <v>0.16804042045586948</v>
      </c>
      <c r="P289" s="33">
        <f t="shared" si="841"/>
        <v>0.17001232460947416</v>
      </c>
      <c r="Q289" s="33">
        <f t="shared" si="842"/>
        <v>0.17001232460947416</v>
      </c>
      <c r="R289" s="35">
        <f t="shared" si="843"/>
        <v>1.1081823764601721</v>
      </c>
      <c r="S289" s="35">
        <f t="shared" si="844"/>
        <v>4.0025416634492939E-2</v>
      </c>
    </row>
    <row r="290" spans="1:19" ht="15" customHeight="1" x14ac:dyDescent="0.3">
      <c r="A290" s="30">
        <f>Odds_Input!A290</f>
        <v>282</v>
      </c>
      <c r="B290" s="7" t="str">
        <f>Odds_Input!B290</f>
        <v>CUP_WEST_A</v>
      </c>
      <c r="C290" s="7" t="str">
        <f>Odds_Input!C290</f>
        <v>Utah Jazz</v>
      </c>
      <c r="D290" s="7" t="str">
        <f>Odds_Input!D290</f>
        <v>YES</v>
      </c>
      <c r="E290" s="31" t="str">
        <f>Odds_Input!E290</f>
        <v>-</v>
      </c>
      <c r="F290" s="32">
        <f>Odds_Input!F290</f>
        <v>600</v>
      </c>
      <c r="G290" s="6" t="str">
        <f t="shared" si="832"/>
        <v>CUP_WEST_A</v>
      </c>
      <c r="H290" s="14">
        <f t="shared" si="833"/>
        <v>7</v>
      </c>
      <c r="I290" s="33">
        <f t="shared" si="834"/>
        <v>0.14285714285714285</v>
      </c>
      <c r="J290" s="17">
        <f t="shared" si="835"/>
        <v>1</v>
      </c>
      <c r="K290" s="17">
        <f t="shared" si="836"/>
        <v>5</v>
      </c>
      <c r="L290" s="18">
        <f t="shared" si="837"/>
        <v>1.1576719576719576</v>
      </c>
      <c r="M290" s="34">
        <f t="shared" si="838"/>
        <v>0.15767195767195763</v>
      </c>
      <c r="N290" s="33">
        <f t="shared" si="839"/>
        <v>0.12340036563071298</v>
      </c>
      <c r="O290" s="33">
        <f t="shared" si="840"/>
        <v>0.11573833908254287</v>
      </c>
      <c r="P290" s="33">
        <f t="shared" si="841"/>
        <v>0.11625954478004837</v>
      </c>
      <c r="Q290" s="33">
        <f t="shared" si="842"/>
        <v>0.11625954478004837</v>
      </c>
      <c r="R290" s="35">
        <f t="shared" si="843"/>
        <v>1.1081823764601721</v>
      </c>
      <c r="S290" s="35">
        <f t="shared" si="844"/>
        <v>4.0025416634492939E-2</v>
      </c>
    </row>
    <row r="291" spans="1:19" ht="15" customHeight="1" x14ac:dyDescent="0.3">
      <c r="A291" s="30">
        <f>Odds_Input!A291</f>
        <v>283</v>
      </c>
      <c r="B291" s="7" t="str">
        <f>Odds_Input!B291</f>
        <v>CUP_WEST_A</v>
      </c>
      <c r="C291" s="7" t="str">
        <f>Odds_Input!C291</f>
        <v>Dallas Mavericks</v>
      </c>
      <c r="D291" s="7" t="str">
        <f>Odds_Input!D291</f>
        <v>YES</v>
      </c>
      <c r="E291" s="31" t="str">
        <f>Odds_Input!E291</f>
        <v>-</v>
      </c>
      <c r="F291" s="32">
        <f>Odds_Input!F291</f>
        <v>800</v>
      </c>
      <c r="G291" s="6" t="str">
        <f t="shared" si="832"/>
        <v>CUP_WEST_A</v>
      </c>
      <c r="H291" s="14">
        <f t="shared" si="833"/>
        <v>9</v>
      </c>
      <c r="I291" s="33">
        <f t="shared" si="834"/>
        <v>0.1111111111111111</v>
      </c>
      <c r="J291" s="17">
        <f t="shared" si="835"/>
        <v>1</v>
      </c>
      <c r="K291" s="17">
        <f t="shared" si="836"/>
        <v>5</v>
      </c>
      <c r="L291" s="18">
        <f t="shared" si="837"/>
        <v>1.1576719576719576</v>
      </c>
      <c r="M291" s="34">
        <f t="shared" si="838"/>
        <v>0.15767195767195763</v>
      </c>
      <c r="N291" s="33">
        <f t="shared" si="839"/>
        <v>9.5978062157221211E-2</v>
      </c>
      <c r="O291" s="33">
        <f t="shared" si="840"/>
        <v>8.7604268616410519E-2</v>
      </c>
      <c r="P291" s="33">
        <f t="shared" si="841"/>
        <v>8.6593412379692952E-2</v>
      </c>
      <c r="Q291" s="33">
        <f t="shared" si="842"/>
        <v>8.6593412379692952E-2</v>
      </c>
      <c r="R291" s="35">
        <f t="shared" si="843"/>
        <v>1.1081823764601721</v>
      </c>
      <c r="S291" s="35">
        <f t="shared" si="844"/>
        <v>4.0025416634492939E-2</v>
      </c>
    </row>
    <row r="292" spans="1:19" ht="15" customHeight="1" x14ac:dyDescent="0.3">
      <c r="A292" s="30">
        <f>Odds_Input!A292</f>
        <v>284</v>
      </c>
      <c r="B292" s="7" t="str">
        <f>Odds_Input!B292</f>
        <v>CUP_WEST_B</v>
      </c>
      <c r="C292" s="7" t="str">
        <f>Odds_Input!C292</f>
        <v>Oklahoma City Thunder</v>
      </c>
      <c r="D292" s="7" t="str">
        <f>Odds_Input!D292</f>
        <v>YES</v>
      </c>
      <c r="E292" s="31" t="str">
        <f>Odds_Input!E292</f>
        <v>-</v>
      </c>
      <c r="F292" s="32">
        <f>Odds_Input!F292</f>
        <v>-200</v>
      </c>
      <c r="G292" s="6" t="str">
        <f t="shared" si="832"/>
        <v>CUP_WEST_B</v>
      </c>
      <c r="H292" s="14">
        <f t="shared" si="833"/>
        <v>1.5</v>
      </c>
      <c r="I292" s="33">
        <f t="shared" si="834"/>
        <v>0.66666666666666663</v>
      </c>
      <c r="J292" s="17">
        <f t="shared" si="835"/>
        <v>1</v>
      </c>
      <c r="K292" s="17">
        <f t="shared" si="836"/>
        <v>5</v>
      </c>
      <c r="L292" s="18">
        <f t="shared" si="837"/>
        <v>1.1333333333333333</v>
      </c>
      <c r="M292" s="34">
        <f t="shared" si="838"/>
        <v>0.1333333333333333</v>
      </c>
      <c r="N292" s="33">
        <f t="shared" si="839"/>
        <v>0.58823529411764708</v>
      </c>
      <c r="O292" s="33">
        <f t="shared" si="840"/>
        <v>0.63370065179490154</v>
      </c>
      <c r="P292" s="33">
        <f t="shared" si="841"/>
        <v>0.61947747975840939</v>
      </c>
      <c r="Q292" s="33">
        <f t="shared" si="842"/>
        <v>0.61947747975840939</v>
      </c>
      <c r="R292" s="35">
        <f t="shared" si="843"/>
        <v>1.1250748460879549</v>
      </c>
      <c r="S292" s="35">
        <f t="shared" si="844"/>
        <v>3.5653876835279749E-2</v>
      </c>
    </row>
    <row r="293" spans="1:19" ht="15" customHeight="1" x14ac:dyDescent="0.3">
      <c r="A293" s="30">
        <f>Odds_Input!A293</f>
        <v>285</v>
      </c>
      <c r="B293" s="7" t="str">
        <f>Odds_Input!B293</f>
        <v>CUP_WEST_B</v>
      </c>
      <c r="C293" s="7" t="str">
        <f>Odds_Input!C293</f>
        <v>Minnesota Timberwolves</v>
      </c>
      <c r="D293" s="7" t="str">
        <f>Odds_Input!D293</f>
        <v>YES</v>
      </c>
      <c r="E293" s="31" t="str">
        <f>Odds_Input!E293</f>
        <v>-</v>
      </c>
      <c r="F293" s="32">
        <f>Odds_Input!F293</f>
        <v>300</v>
      </c>
      <c r="G293" s="6" t="str">
        <f t="shared" si="832"/>
        <v>CUP_WEST_B</v>
      </c>
      <c r="H293" s="14">
        <f t="shared" si="833"/>
        <v>4</v>
      </c>
      <c r="I293" s="33">
        <f t="shared" si="834"/>
        <v>0.25</v>
      </c>
      <c r="J293" s="17">
        <f t="shared" si="835"/>
        <v>1</v>
      </c>
      <c r="K293" s="17">
        <f t="shared" si="836"/>
        <v>5</v>
      </c>
      <c r="L293" s="18">
        <f t="shared" si="837"/>
        <v>1.1333333333333333</v>
      </c>
      <c r="M293" s="34">
        <f t="shared" si="838"/>
        <v>0.1333333333333333</v>
      </c>
      <c r="N293" s="33">
        <f t="shared" si="839"/>
        <v>0.22058823529411764</v>
      </c>
      <c r="O293" s="33">
        <f t="shared" si="840"/>
        <v>0.21020229236325608</v>
      </c>
      <c r="P293" s="33">
        <f t="shared" si="841"/>
        <v>0.22136327699193384</v>
      </c>
      <c r="Q293" s="33">
        <f t="shared" si="842"/>
        <v>0.22136327699193384</v>
      </c>
      <c r="R293" s="35">
        <f t="shared" si="843"/>
        <v>1.1250748460879549</v>
      </c>
      <c r="S293" s="35">
        <f t="shared" si="844"/>
        <v>3.5653876835279749E-2</v>
      </c>
    </row>
    <row r="294" spans="1:19" ht="15" customHeight="1" x14ac:dyDescent="0.3">
      <c r="A294" s="30">
        <f>Odds_Input!A294</f>
        <v>286</v>
      </c>
      <c r="B294" s="7" t="str">
        <f>Odds_Input!B294</f>
        <v>CUP_WEST_B</v>
      </c>
      <c r="C294" s="7" t="str">
        <f>Odds_Input!C294</f>
        <v>Los Angeles Clippers</v>
      </c>
      <c r="D294" s="7" t="str">
        <f>Odds_Input!D294</f>
        <v>YES</v>
      </c>
      <c r="E294" s="31" t="str">
        <f>Odds_Input!E294</f>
        <v>-</v>
      </c>
      <c r="F294" s="32">
        <f>Odds_Input!F294</f>
        <v>1100</v>
      </c>
      <c r="G294" s="6" t="str">
        <f t="shared" si="832"/>
        <v>CUP_WEST_B</v>
      </c>
      <c r="H294" s="14">
        <f t="shared" si="833"/>
        <v>12</v>
      </c>
      <c r="I294" s="33">
        <f t="shared" si="834"/>
        <v>8.3333333333333329E-2</v>
      </c>
      <c r="J294" s="17">
        <f t="shared" si="835"/>
        <v>1</v>
      </c>
      <c r="K294" s="17">
        <f t="shared" si="836"/>
        <v>5</v>
      </c>
      <c r="L294" s="18">
        <f t="shared" si="837"/>
        <v>1.1333333333333333</v>
      </c>
      <c r="M294" s="34">
        <f t="shared" si="838"/>
        <v>0.1333333333333333</v>
      </c>
      <c r="N294" s="33">
        <f t="shared" si="839"/>
        <v>7.3529411764705885E-2</v>
      </c>
      <c r="O294" s="33">
        <f t="shared" si="840"/>
        <v>6.107174450130879E-2</v>
      </c>
      <c r="P294" s="33">
        <f t="shared" si="841"/>
        <v>6.3341397759758555E-2</v>
      </c>
      <c r="Q294" s="33">
        <f t="shared" si="842"/>
        <v>6.3341397759758555E-2</v>
      </c>
      <c r="R294" s="35">
        <f t="shared" si="843"/>
        <v>1.1250748460879549</v>
      </c>
      <c r="S294" s="35">
        <f t="shared" si="844"/>
        <v>3.5653876835279749E-2</v>
      </c>
    </row>
    <row r="295" spans="1:19" ht="15" customHeight="1" x14ac:dyDescent="0.3">
      <c r="A295" s="30">
        <f>Odds_Input!A295</f>
        <v>287</v>
      </c>
      <c r="B295" s="7" t="str">
        <f>Odds_Input!B295</f>
        <v>CUP_WEST_B</v>
      </c>
      <c r="C295" s="7" t="str">
        <f>Odds_Input!C295</f>
        <v>Memphis Grizzlies</v>
      </c>
      <c r="D295" s="7" t="str">
        <f>Odds_Input!D295</f>
        <v>YES</v>
      </c>
      <c r="E295" s="31" t="str">
        <f>Odds_Input!E295</f>
        <v>-</v>
      </c>
      <c r="F295" s="32">
        <f>Odds_Input!F295</f>
        <v>1400</v>
      </c>
      <c r="G295" s="6" t="str">
        <f t="shared" si="832"/>
        <v>CUP_WEST_B</v>
      </c>
      <c r="H295" s="14">
        <f t="shared" si="833"/>
        <v>15</v>
      </c>
      <c r="I295" s="33">
        <f t="shared" si="834"/>
        <v>6.6666666666666666E-2</v>
      </c>
      <c r="J295" s="17">
        <f t="shared" si="835"/>
        <v>1</v>
      </c>
      <c r="K295" s="17">
        <f t="shared" si="836"/>
        <v>5</v>
      </c>
      <c r="L295" s="18">
        <f t="shared" si="837"/>
        <v>1.1333333333333333</v>
      </c>
      <c r="M295" s="34">
        <f t="shared" si="838"/>
        <v>0.1333333333333333</v>
      </c>
      <c r="N295" s="33">
        <f t="shared" si="839"/>
        <v>5.8823529411764705E-2</v>
      </c>
      <c r="O295" s="33">
        <f t="shared" si="840"/>
        <v>4.7512655910778266E-2</v>
      </c>
      <c r="P295" s="33">
        <f t="shared" si="841"/>
        <v>4.7908922817538127E-2</v>
      </c>
      <c r="Q295" s="33">
        <f t="shared" si="842"/>
        <v>4.7908922817538127E-2</v>
      </c>
      <c r="R295" s="35">
        <f t="shared" si="843"/>
        <v>1.1250748460879549</v>
      </c>
      <c r="S295" s="35">
        <f t="shared" si="844"/>
        <v>3.5653876835279749E-2</v>
      </c>
    </row>
    <row r="296" spans="1:19" ht="15" customHeight="1" x14ac:dyDescent="0.3">
      <c r="A296" s="30">
        <f>Odds_Input!A296</f>
        <v>288</v>
      </c>
      <c r="B296" s="7" t="str">
        <f>Odds_Input!B296</f>
        <v>CUP_WEST_B</v>
      </c>
      <c r="C296" s="7" t="str">
        <f>Odds_Input!C296</f>
        <v>New Orleans Pelicans</v>
      </c>
      <c r="D296" s="7" t="str">
        <f>Odds_Input!D296</f>
        <v>YES</v>
      </c>
      <c r="E296" s="31" t="str">
        <f>Odds_Input!E296</f>
        <v>-</v>
      </c>
      <c r="F296" s="32">
        <f>Odds_Input!F296</f>
        <v>1400</v>
      </c>
      <c r="G296" s="6" t="str">
        <f t="shared" si="832"/>
        <v>CUP_WEST_B</v>
      </c>
      <c r="H296" s="14">
        <f t="shared" si="833"/>
        <v>15</v>
      </c>
      <c r="I296" s="33">
        <f t="shared" si="834"/>
        <v>6.6666666666666666E-2</v>
      </c>
      <c r="J296" s="17">
        <f t="shared" si="835"/>
        <v>1</v>
      </c>
      <c r="K296" s="17">
        <f t="shared" si="836"/>
        <v>5</v>
      </c>
      <c r="L296" s="18">
        <f t="shared" si="837"/>
        <v>1.1333333333333333</v>
      </c>
      <c r="M296" s="34">
        <f t="shared" si="838"/>
        <v>0.1333333333333333</v>
      </c>
      <c r="N296" s="33">
        <f t="shared" si="839"/>
        <v>5.8823529411764705E-2</v>
      </c>
      <c r="O296" s="33">
        <f t="shared" si="840"/>
        <v>4.7512655910778266E-2</v>
      </c>
      <c r="P296" s="33">
        <f t="shared" si="841"/>
        <v>4.7908922817538127E-2</v>
      </c>
      <c r="Q296" s="33">
        <f t="shared" si="842"/>
        <v>4.7908922817538127E-2</v>
      </c>
      <c r="R296" s="35">
        <f t="shared" si="843"/>
        <v>1.1250748460879549</v>
      </c>
      <c r="S296" s="35">
        <f t="shared" si="844"/>
        <v>3.5653876835279749E-2</v>
      </c>
    </row>
    <row r="297" spans="1:19" ht="15" customHeight="1" x14ac:dyDescent="0.3">
      <c r="A297" s="30">
        <f>Odds_Input!A297</f>
        <v>289</v>
      </c>
      <c r="B297" s="7" t="str">
        <f>Odds_Input!B297</f>
        <v>CUP_WEST_C</v>
      </c>
      <c r="C297" s="7" t="str">
        <f>Odds_Input!C297</f>
        <v>San Antonio Spurs</v>
      </c>
      <c r="D297" s="7" t="str">
        <f>Odds_Input!D297</f>
        <v>YES</v>
      </c>
      <c r="E297" s="31" t="str">
        <f>Odds_Input!E297</f>
        <v>-</v>
      </c>
      <c r="F297" s="32">
        <f>Odds_Input!F297</f>
        <v>-150</v>
      </c>
      <c r="G297" s="6" t="str">
        <f t="shared" si="832"/>
        <v>CUP_WEST_C</v>
      </c>
      <c r="H297" s="14">
        <f t="shared" si="833"/>
        <v>1.6666666666666665</v>
      </c>
      <c r="I297" s="33">
        <f t="shared" si="834"/>
        <v>0.60000000000000009</v>
      </c>
      <c r="J297" s="17">
        <f t="shared" si="835"/>
        <v>1</v>
      </c>
      <c r="K297" s="17">
        <f t="shared" si="836"/>
        <v>5</v>
      </c>
      <c r="L297" s="18">
        <f t="shared" si="837"/>
        <v>1.1639301874595991</v>
      </c>
      <c r="M297" s="34">
        <f t="shared" si="838"/>
        <v>0.16393018745959909</v>
      </c>
      <c r="N297" s="33">
        <f t="shared" si="839"/>
        <v>0.51549483505498184</v>
      </c>
      <c r="O297" s="33">
        <f t="shared" si="840"/>
        <v>0.55887376037507774</v>
      </c>
      <c r="P297" s="33">
        <f t="shared" si="841"/>
        <v>0.5455691863093235</v>
      </c>
      <c r="Q297" s="33">
        <f t="shared" si="842"/>
        <v>0.5455691863093235</v>
      </c>
      <c r="R297" s="35">
        <f t="shared" si="843"/>
        <v>1.1390024999389423</v>
      </c>
      <c r="S297" s="35">
        <f t="shared" si="844"/>
        <v>4.6995005989107191E-2</v>
      </c>
    </row>
    <row r="298" spans="1:19" ht="15" customHeight="1" x14ac:dyDescent="0.3">
      <c r="A298" s="30">
        <f>Odds_Input!A298</f>
        <v>290</v>
      </c>
      <c r="B298" s="7" t="str">
        <f>Odds_Input!B298</f>
        <v>CUP_WEST_C</v>
      </c>
      <c r="C298" s="7" t="str">
        <f>Odds_Input!C298</f>
        <v>Los Angeles Lakers</v>
      </c>
      <c r="D298" s="7" t="str">
        <f>Odds_Input!D298</f>
        <v>YES</v>
      </c>
      <c r="E298" s="31" t="str">
        <f>Odds_Input!E298</f>
        <v>-</v>
      </c>
      <c r="F298" s="32">
        <f>Odds_Input!F298</f>
        <v>400</v>
      </c>
      <c r="G298" s="6" t="str">
        <f t="shared" si="832"/>
        <v>CUP_WEST_C</v>
      </c>
      <c r="H298" s="14">
        <f t="shared" si="833"/>
        <v>5</v>
      </c>
      <c r="I298" s="33">
        <f t="shared" si="834"/>
        <v>0.2</v>
      </c>
      <c r="J298" s="17">
        <f t="shared" si="835"/>
        <v>1</v>
      </c>
      <c r="K298" s="17">
        <f t="shared" si="836"/>
        <v>5</v>
      </c>
      <c r="L298" s="18">
        <f t="shared" si="837"/>
        <v>1.1639301874595991</v>
      </c>
      <c r="M298" s="34">
        <f t="shared" si="838"/>
        <v>0.16393018745959909</v>
      </c>
      <c r="N298" s="33">
        <f t="shared" si="839"/>
        <v>0.17183161168499392</v>
      </c>
      <c r="O298" s="33">
        <f t="shared" si="840"/>
        <v>0.15990845147932847</v>
      </c>
      <c r="P298" s="33">
        <f t="shared" si="841"/>
        <v>0.1668351325933585</v>
      </c>
      <c r="Q298" s="33">
        <f t="shared" si="842"/>
        <v>0.1668351325933585</v>
      </c>
      <c r="R298" s="35">
        <f t="shared" si="843"/>
        <v>1.1390024999389423</v>
      </c>
      <c r="S298" s="35">
        <f t="shared" si="844"/>
        <v>4.6995005989107191E-2</v>
      </c>
    </row>
    <row r="299" spans="1:19" ht="15" customHeight="1" x14ac:dyDescent="0.3">
      <c r="A299" s="30">
        <f>Odds_Input!A299</f>
        <v>291</v>
      </c>
      <c r="B299" s="7" t="str">
        <f>Odds_Input!B299</f>
        <v>CUP_WEST_C</v>
      </c>
      <c r="C299" s="7" t="str">
        <f>Odds_Input!C299</f>
        <v>Portland Trail Blazers</v>
      </c>
      <c r="D299" s="7" t="str">
        <f>Odds_Input!D299</f>
        <v>YES</v>
      </c>
      <c r="E299" s="31" t="str">
        <f>Odds_Input!E299</f>
        <v>-</v>
      </c>
      <c r="F299" s="32">
        <f>Odds_Input!F299</f>
        <v>425</v>
      </c>
      <c r="G299" s="6" t="str">
        <f t="shared" si="832"/>
        <v>CUP_WEST_C</v>
      </c>
      <c r="H299" s="14">
        <f t="shared" si="833"/>
        <v>5.25</v>
      </c>
      <c r="I299" s="33">
        <f t="shared" si="834"/>
        <v>0.19047619047619047</v>
      </c>
      <c r="J299" s="17">
        <f t="shared" si="835"/>
        <v>1</v>
      </c>
      <c r="K299" s="17">
        <f t="shared" si="836"/>
        <v>5</v>
      </c>
      <c r="L299" s="18">
        <f t="shared" si="837"/>
        <v>1.1639301874595991</v>
      </c>
      <c r="M299" s="34">
        <f t="shared" si="838"/>
        <v>0.16393018745959909</v>
      </c>
      <c r="N299" s="33">
        <f t="shared" si="839"/>
        <v>0.16364915398570848</v>
      </c>
      <c r="O299" s="33">
        <f t="shared" si="840"/>
        <v>0.15126440836055158</v>
      </c>
      <c r="P299" s="33">
        <f t="shared" si="841"/>
        <v>0.15787138689805008</v>
      </c>
      <c r="Q299" s="33">
        <f t="shared" si="842"/>
        <v>0.15787138689805008</v>
      </c>
      <c r="R299" s="35">
        <f t="shared" si="843"/>
        <v>1.1390024999389423</v>
      </c>
      <c r="S299" s="35">
        <f t="shared" si="844"/>
        <v>4.6995005989107191E-2</v>
      </c>
    </row>
    <row r="300" spans="1:19" ht="15" customHeight="1" x14ac:dyDescent="0.3">
      <c r="A300" s="30">
        <f>Odds_Input!A300</f>
        <v>292</v>
      </c>
      <c r="B300" s="7" t="str">
        <f>Odds_Input!B300</f>
        <v>CUP_WEST_C</v>
      </c>
      <c r="C300" s="7" t="str">
        <f>Odds_Input!C300</f>
        <v>Golden State Warriors</v>
      </c>
      <c r="D300" s="7" t="str">
        <f>Odds_Input!D300</f>
        <v>YES</v>
      </c>
      <c r="E300" s="31" t="str">
        <f>Odds_Input!E300</f>
        <v>-</v>
      </c>
      <c r="F300" s="32">
        <f>Odds_Input!F300</f>
        <v>550</v>
      </c>
      <c r="G300" s="6" t="str">
        <f t="shared" si="832"/>
        <v>CUP_WEST_C</v>
      </c>
      <c r="H300" s="14">
        <f t="shared" si="833"/>
        <v>6.5</v>
      </c>
      <c r="I300" s="33">
        <f t="shared" si="834"/>
        <v>0.15384615384615385</v>
      </c>
      <c r="J300" s="17">
        <f t="shared" si="835"/>
        <v>1</v>
      </c>
      <c r="K300" s="17">
        <f t="shared" si="836"/>
        <v>5</v>
      </c>
      <c r="L300" s="18">
        <f t="shared" si="837"/>
        <v>1.1639301874595991</v>
      </c>
      <c r="M300" s="34">
        <f t="shared" si="838"/>
        <v>0.16393018745959909</v>
      </c>
      <c r="N300" s="33">
        <f t="shared" si="839"/>
        <v>0.1321781628346107</v>
      </c>
      <c r="O300" s="33">
        <f t="shared" si="840"/>
        <v>0.11860135602517446</v>
      </c>
      <c r="P300" s="33">
        <f t="shared" si="841"/>
        <v>0.1234849430127659</v>
      </c>
      <c r="Q300" s="33">
        <f t="shared" si="842"/>
        <v>0.1234849430127659</v>
      </c>
      <c r="R300" s="35">
        <f t="shared" si="843"/>
        <v>1.1390024999389423</v>
      </c>
      <c r="S300" s="35">
        <f t="shared" si="844"/>
        <v>4.6995005989107191E-2</v>
      </c>
    </row>
    <row r="301" spans="1:19" ht="15" customHeight="1" x14ac:dyDescent="0.3">
      <c r="A301" s="30">
        <f>Odds_Input!A301</f>
        <v>293</v>
      </c>
      <c r="B301" s="7" t="str">
        <f>Odds_Input!B301</f>
        <v>CUP_WEST_C</v>
      </c>
      <c r="C301" s="7" t="str">
        <f>Odds_Input!C301</f>
        <v>Sacramento Kings</v>
      </c>
      <c r="D301" s="7" t="str">
        <f>Odds_Input!D301</f>
        <v>YES</v>
      </c>
      <c r="E301" s="31" t="str">
        <f>Odds_Input!E301</f>
        <v>-</v>
      </c>
      <c r="F301" s="32">
        <f>Odds_Input!F301</f>
        <v>5000</v>
      </c>
      <c r="G301" s="6" t="str">
        <f t="shared" si="832"/>
        <v>CUP_WEST_C</v>
      </c>
      <c r="H301" s="14">
        <f t="shared" si="833"/>
        <v>51</v>
      </c>
      <c r="I301" s="33">
        <f t="shared" si="834"/>
        <v>1.9607843137254902E-2</v>
      </c>
      <c r="J301" s="17">
        <f t="shared" si="835"/>
        <v>1</v>
      </c>
      <c r="K301" s="17">
        <f t="shared" si="836"/>
        <v>5</v>
      </c>
      <c r="L301" s="18">
        <f t="shared" si="837"/>
        <v>1.1639301874595991</v>
      </c>
      <c r="M301" s="34">
        <f t="shared" si="838"/>
        <v>0.16393018745959909</v>
      </c>
      <c r="N301" s="33">
        <f t="shared" si="839"/>
        <v>1.6846236439705287E-2</v>
      </c>
      <c r="O301" s="33">
        <f t="shared" si="840"/>
        <v>1.1352023999599331E-2</v>
      </c>
      <c r="P301" s="33">
        <f t="shared" si="841"/>
        <v>6.2393512577214117E-3</v>
      </c>
      <c r="Q301" s="33">
        <f t="shared" si="842"/>
        <v>6.2393512577214117E-3</v>
      </c>
      <c r="R301" s="35">
        <f t="shared" si="843"/>
        <v>1.1390024999389423</v>
      </c>
      <c r="S301" s="35">
        <f t="shared" si="844"/>
        <v>4.6995005989107191E-2</v>
      </c>
    </row>
    <row r="302" spans="1:19" ht="15" customHeight="1" x14ac:dyDescent="0.3">
      <c r="A302" s="30">
        <f>Odds_Input!A302</f>
        <v>294</v>
      </c>
      <c r="B302" s="7" t="str">
        <f>Odds_Input!B302</f>
        <v>MVP</v>
      </c>
      <c r="C302" s="7" t="str">
        <f>Odds_Input!C302</f>
        <v>Victor Wembanyama</v>
      </c>
      <c r="D302" s="7" t="str">
        <f>Odds_Input!D302</f>
        <v>YES</v>
      </c>
      <c r="E302" s="31" t="str">
        <f>Odds_Input!E302</f>
        <v>-</v>
      </c>
      <c r="F302" s="32">
        <f>Odds_Input!F302</f>
        <v>200</v>
      </c>
      <c r="G302" s="6" t="str">
        <f t="shared" si="832"/>
        <v>MVP</v>
      </c>
      <c r="H302" s="14">
        <f t="shared" si="833"/>
        <v>3</v>
      </c>
      <c r="I302" s="33">
        <f t="shared" si="834"/>
        <v>0.33333333333333331</v>
      </c>
      <c r="J302" s="17">
        <f t="shared" si="835"/>
        <v>1</v>
      </c>
      <c r="K302" s="17">
        <f t="shared" si="836"/>
        <v>28</v>
      </c>
      <c r="L302" s="18">
        <f t="shared" si="837"/>
        <v>1.2752336644537776</v>
      </c>
      <c r="M302" s="34">
        <f t="shared" si="838"/>
        <v>0.27523366445377762</v>
      </c>
      <c r="N302" s="33">
        <f t="shared" si="839"/>
        <v>0.26139000453388311</v>
      </c>
      <c r="O302" s="33">
        <f t="shared" si="840"/>
        <v>0.29231363240485464</v>
      </c>
      <c r="P302" s="33">
        <f t="shared" si="841"/>
        <v>0.28970243585089955</v>
      </c>
      <c r="Q302" s="33">
        <f t="shared" si="842"/>
        <v>0.28970243585089955</v>
      </c>
      <c r="R302" s="35">
        <f t="shared" si="843"/>
        <v>1.1195286838104948</v>
      </c>
      <c r="S302" s="35">
        <f t="shared" si="844"/>
        <v>1.5563120848171994E-2</v>
      </c>
    </row>
    <row r="303" spans="1:19" ht="15" customHeight="1" x14ac:dyDescent="0.3">
      <c r="A303" s="30">
        <f>Odds_Input!A303</f>
        <v>295</v>
      </c>
      <c r="B303" s="7" t="str">
        <f>Odds_Input!B303</f>
        <v>MVP</v>
      </c>
      <c r="C303" s="7" t="str">
        <f>Odds_Input!C303</f>
        <v>Shai Gilgeous Alexander</v>
      </c>
      <c r="D303" s="7" t="str">
        <f>Odds_Input!D303</f>
        <v>YES</v>
      </c>
      <c r="E303" s="31" t="str">
        <f>Odds_Input!E303</f>
        <v>-</v>
      </c>
      <c r="F303" s="32">
        <f>Odds_Input!F303</f>
        <v>350</v>
      </c>
      <c r="G303" s="6" t="str">
        <f t="shared" si="832"/>
        <v>MVP</v>
      </c>
      <c r="H303" s="14">
        <f t="shared" si="833"/>
        <v>4.5</v>
      </c>
      <c r="I303" s="33">
        <f t="shared" si="834"/>
        <v>0.22222222222222221</v>
      </c>
      <c r="J303" s="17">
        <f t="shared" si="835"/>
        <v>1</v>
      </c>
      <c r="K303" s="17">
        <f t="shared" si="836"/>
        <v>28</v>
      </c>
      <c r="L303" s="18">
        <f t="shared" si="837"/>
        <v>1.2752336644537776</v>
      </c>
      <c r="M303" s="34">
        <f t="shared" si="838"/>
        <v>0.27523366445377762</v>
      </c>
      <c r="N303" s="33">
        <f t="shared" si="839"/>
        <v>0.17426000302258873</v>
      </c>
      <c r="O303" s="33">
        <f t="shared" si="840"/>
        <v>0.18565636976021388</v>
      </c>
      <c r="P303" s="33">
        <f t="shared" si="841"/>
        <v>0.19058755671942623</v>
      </c>
      <c r="Q303" s="33">
        <f t="shared" si="842"/>
        <v>0.19058755671942623</v>
      </c>
      <c r="R303" s="35">
        <f t="shared" si="843"/>
        <v>1.1195286838104948</v>
      </c>
      <c r="S303" s="35">
        <f t="shared" si="844"/>
        <v>1.5563120848171994E-2</v>
      </c>
    </row>
    <row r="304" spans="1:19" ht="15" customHeight="1" x14ac:dyDescent="0.3">
      <c r="A304" s="30">
        <f>Odds_Input!A304</f>
        <v>296</v>
      </c>
      <c r="B304" s="7" t="str">
        <f>Odds_Input!B304</f>
        <v>MVP</v>
      </c>
      <c r="C304" s="7" t="str">
        <f>Odds_Input!C304</f>
        <v>Nikola Jokic</v>
      </c>
      <c r="D304" s="7" t="str">
        <f>Odds_Input!D304</f>
        <v>YES</v>
      </c>
      <c r="E304" s="31" t="str">
        <f>Odds_Input!E304</f>
        <v>-</v>
      </c>
      <c r="F304" s="32">
        <f>Odds_Input!F304</f>
        <v>500</v>
      </c>
      <c r="G304" s="6" t="str">
        <f t="shared" si="832"/>
        <v>MVP</v>
      </c>
      <c r="H304" s="14">
        <f t="shared" si="833"/>
        <v>6</v>
      </c>
      <c r="I304" s="33">
        <f t="shared" si="834"/>
        <v>0.16666666666666666</v>
      </c>
      <c r="J304" s="17">
        <f t="shared" si="835"/>
        <v>1</v>
      </c>
      <c r="K304" s="17">
        <f t="shared" si="836"/>
        <v>28</v>
      </c>
      <c r="L304" s="18">
        <f t="shared" si="837"/>
        <v>1.2752336644537776</v>
      </c>
      <c r="M304" s="34">
        <f t="shared" si="838"/>
        <v>0.27523366445377762</v>
      </c>
      <c r="N304" s="33">
        <f t="shared" si="839"/>
        <v>0.13069500226694156</v>
      </c>
      <c r="O304" s="33">
        <f t="shared" si="840"/>
        <v>0.13453564179458471</v>
      </c>
      <c r="P304" s="33">
        <f t="shared" si="841"/>
        <v>0.14105630650968745</v>
      </c>
      <c r="Q304" s="33">
        <f t="shared" si="842"/>
        <v>0.14105630650968745</v>
      </c>
      <c r="R304" s="35">
        <f t="shared" si="843"/>
        <v>1.1195286838104948</v>
      </c>
      <c r="S304" s="35">
        <f t="shared" si="844"/>
        <v>1.5563120848171994E-2</v>
      </c>
    </row>
    <row r="305" spans="1:19" ht="15" customHeight="1" x14ac:dyDescent="0.3">
      <c r="A305" s="30">
        <f>Odds_Input!A305</f>
        <v>297</v>
      </c>
      <c r="B305" s="7" t="str">
        <f>Odds_Input!B305</f>
        <v>MVP</v>
      </c>
      <c r="C305" s="7" t="str">
        <f>Odds_Input!C305</f>
        <v>Luka Doncic</v>
      </c>
      <c r="D305" s="7" t="str">
        <f>Odds_Input!D305</f>
        <v>YES</v>
      </c>
      <c r="E305" s="31" t="str">
        <f>Odds_Input!E305</f>
        <v>-</v>
      </c>
      <c r="F305" s="32">
        <f>Odds_Input!F305</f>
        <v>550</v>
      </c>
      <c r="G305" s="6" t="str">
        <f t="shared" si="832"/>
        <v>MVP</v>
      </c>
      <c r="H305" s="14">
        <f t="shared" si="833"/>
        <v>6.5</v>
      </c>
      <c r="I305" s="33">
        <f t="shared" si="834"/>
        <v>0.15384615384615385</v>
      </c>
      <c r="J305" s="17">
        <f t="shared" si="835"/>
        <v>1</v>
      </c>
      <c r="K305" s="17">
        <f t="shared" si="836"/>
        <v>28</v>
      </c>
      <c r="L305" s="18">
        <f t="shared" si="837"/>
        <v>1.2752336644537776</v>
      </c>
      <c r="M305" s="34">
        <f t="shared" si="838"/>
        <v>0.27523366445377762</v>
      </c>
      <c r="N305" s="33">
        <f t="shared" si="839"/>
        <v>0.12064154055409991</v>
      </c>
      <c r="O305" s="33">
        <f t="shared" si="840"/>
        <v>0.12300426770041981</v>
      </c>
      <c r="P305" s="33">
        <f t="shared" si="841"/>
        <v>0.12963138282080128</v>
      </c>
      <c r="Q305" s="33">
        <f t="shared" si="842"/>
        <v>0.12963138282080128</v>
      </c>
      <c r="R305" s="35">
        <f t="shared" si="843"/>
        <v>1.1195286838104948</v>
      </c>
      <c r="S305" s="35">
        <f t="shared" si="844"/>
        <v>1.5563120848171994E-2</v>
      </c>
    </row>
    <row r="306" spans="1:19" ht="15" customHeight="1" x14ac:dyDescent="0.3">
      <c r="A306" s="30">
        <f>Odds_Input!A306</f>
        <v>298</v>
      </c>
      <c r="B306" s="7" t="str">
        <f>Odds_Input!B306</f>
        <v>MVP</v>
      </c>
      <c r="C306" s="7" t="str">
        <f>Odds_Input!C306</f>
        <v>Giannis Antetokounmpo</v>
      </c>
      <c r="D306" s="7" t="str">
        <f>Odds_Input!D306</f>
        <v>YES</v>
      </c>
      <c r="E306" s="31" t="str">
        <f>Odds_Input!E306</f>
        <v>-</v>
      </c>
      <c r="F306" s="32">
        <f>Odds_Input!F306</f>
        <v>1100</v>
      </c>
      <c r="G306" s="6" t="str">
        <f t="shared" si="832"/>
        <v>MVP</v>
      </c>
      <c r="H306" s="14">
        <f t="shared" si="833"/>
        <v>12</v>
      </c>
      <c r="I306" s="33">
        <f t="shared" si="834"/>
        <v>8.3333333333333329E-2</v>
      </c>
      <c r="J306" s="17">
        <f t="shared" si="835"/>
        <v>1</v>
      </c>
      <c r="K306" s="17">
        <f t="shared" si="836"/>
        <v>28</v>
      </c>
      <c r="L306" s="18">
        <f t="shared" si="837"/>
        <v>1.2752336644537776</v>
      </c>
      <c r="M306" s="34">
        <f t="shared" si="838"/>
        <v>0.27523366445377762</v>
      </c>
      <c r="N306" s="33">
        <f t="shared" si="839"/>
        <v>6.5347501133470778E-2</v>
      </c>
      <c r="O306" s="33">
        <f t="shared" si="840"/>
        <v>6.1919243259967158E-2</v>
      </c>
      <c r="P306" s="33">
        <f t="shared" si="841"/>
        <v>6.6889792737365811E-2</v>
      </c>
      <c r="Q306" s="33">
        <f t="shared" si="842"/>
        <v>6.6889792737365811E-2</v>
      </c>
      <c r="R306" s="35">
        <f t="shared" si="843"/>
        <v>1.1195286838104948</v>
      </c>
      <c r="S306" s="35">
        <f t="shared" si="844"/>
        <v>1.5563120848171994E-2</v>
      </c>
    </row>
    <row r="307" spans="1:19" ht="15" customHeight="1" x14ac:dyDescent="0.3">
      <c r="A307" s="30">
        <f>Odds_Input!A307</f>
        <v>299</v>
      </c>
      <c r="B307" s="7" t="str">
        <f>Odds_Input!B307</f>
        <v>MVP</v>
      </c>
      <c r="C307" s="7" t="str">
        <f>Odds_Input!C307</f>
        <v>Cade Cunningham</v>
      </c>
      <c r="D307" s="7" t="str">
        <f>Odds_Input!D307</f>
        <v>YES</v>
      </c>
      <c r="E307" s="31" t="str">
        <f>Odds_Input!E307</f>
        <v>-</v>
      </c>
      <c r="F307" s="32">
        <f>Odds_Input!F307</f>
        <v>2200</v>
      </c>
      <c r="G307" s="6" t="str">
        <f t="shared" si="832"/>
        <v>MVP</v>
      </c>
      <c r="H307" s="14">
        <f t="shared" si="833"/>
        <v>23</v>
      </c>
      <c r="I307" s="33">
        <f t="shared" si="834"/>
        <v>4.3478260869565216E-2</v>
      </c>
      <c r="J307" s="17">
        <f t="shared" si="835"/>
        <v>1</v>
      </c>
      <c r="K307" s="17">
        <f t="shared" si="836"/>
        <v>28</v>
      </c>
      <c r="L307" s="18">
        <f t="shared" si="837"/>
        <v>1.2752336644537776</v>
      </c>
      <c r="M307" s="34">
        <f t="shared" si="838"/>
        <v>0.27523366445377762</v>
      </c>
      <c r="N307" s="33">
        <f t="shared" si="839"/>
        <v>3.4094348417463019E-2</v>
      </c>
      <c r="O307" s="33">
        <f t="shared" si="840"/>
        <v>2.9888672615522589E-2</v>
      </c>
      <c r="P307" s="33">
        <f t="shared" si="841"/>
        <v>3.1696938293180293E-2</v>
      </c>
      <c r="Q307" s="33">
        <f t="shared" si="842"/>
        <v>3.1696938293180293E-2</v>
      </c>
      <c r="R307" s="35">
        <f t="shared" si="843"/>
        <v>1.1195286838104948</v>
      </c>
      <c r="S307" s="35">
        <f t="shared" si="844"/>
        <v>1.5563120848171994E-2</v>
      </c>
    </row>
    <row r="308" spans="1:19" ht="15" customHeight="1" x14ac:dyDescent="0.3">
      <c r="A308" s="30">
        <f>Odds_Input!A308</f>
        <v>300</v>
      </c>
      <c r="B308" s="7" t="str">
        <f>Odds_Input!B308</f>
        <v>MVP</v>
      </c>
      <c r="C308" s="7" t="str">
        <f>Odds_Input!C308</f>
        <v>Anthony Edwards</v>
      </c>
      <c r="D308" s="7" t="str">
        <f>Odds_Input!D308</f>
        <v>YES</v>
      </c>
      <c r="E308" s="31" t="str">
        <f>Odds_Input!E308</f>
        <v>-</v>
      </c>
      <c r="F308" s="32">
        <f>Odds_Input!F308</f>
        <v>1700</v>
      </c>
      <c r="G308" s="6" t="str">
        <f t="shared" si="832"/>
        <v>MVP</v>
      </c>
      <c r="H308" s="14">
        <f t="shared" si="833"/>
        <v>18</v>
      </c>
      <c r="I308" s="33">
        <f t="shared" si="834"/>
        <v>5.5555555555555552E-2</v>
      </c>
      <c r="J308" s="17">
        <f t="shared" si="835"/>
        <v>1</v>
      </c>
      <c r="K308" s="17">
        <f t="shared" si="836"/>
        <v>28</v>
      </c>
      <c r="L308" s="18">
        <f t="shared" si="837"/>
        <v>1.2752336644537776</v>
      </c>
      <c r="M308" s="34">
        <f t="shared" si="838"/>
        <v>0.27523366445377762</v>
      </c>
      <c r="N308" s="33">
        <f t="shared" si="839"/>
        <v>4.3565000755647183E-2</v>
      </c>
      <c r="O308" s="33">
        <f t="shared" si="840"/>
        <v>3.9326602140893417E-2</v>
      </c>
      <c r="P308" s="33">
        <f t="shared" si="841"/>
        <v>4.2305207243447114E-2</v>
      </c>
      <c r="Q308" s="33">
        <f t="shared" si="842"/>
        <v>4.2305207243447114E-2</v>
      </c>
      <c r="R308" s="35">
        <f t="shared" si="843"/>
        <v>1.1195286838104948</v>
      </c>
      <c r="S308" s="35">
        <f t="shared" si="844"/>
        <v>1.5563120848171994E-2</v>
      </c>
    </row>
    <row r="309" spans="1:19" ht="15" customHeight="1" x14ac:dyDescent="0.3">
      <c r="A309" s="30">
        <f>Odds_Input!A309</f>
        <v>301</v>
      </c>
      <c r="B309" s="7" t="str">
        <f>Odds_Input!B309</f>
        <v>MVP</v>
      </c>
      <c r="C309" s="7" t="str">
        <f>Odds_Input!C309</f>
        <v>Jayson Tatum</v>
      </c>
      <c r="D309" s="7" t="str">
        <f>Odds_Input!D309</f>
        <v>YES</v>
      </c>
      <c r="E309" s="31" t="str">
        <f>Odds_Input!E309</f>
        <v>-</v>
      </c>
      <c r="F309" s="32">
        <f>Odds_Input!F309</f>
        <v>1500</v>
      </c>
      <c r="G309" s="6" t="str">
        <f t="shared" si="832"/>
        <v>MVP</v>
      </c>
      <c r="H309" s="14">
        <f t="shared" si="833"/>
        <v>16</v>
      </c>
      <c r="I309" s="33">
        <f t="shared" si="834"/>
        <v>6.25E-2</v>
      </c>
      <c r="J309" s="17">
        <f t="shared" si="835"/>
        <v>1</v>
      </c>
      <c r="K309" s="17">
        <f t="shared" si="836"/>
        <v>28</v>
      </c>
      <c r="L309" s="18">
        <f t="shared" si="837"/>
        <v>1.2752336644537776</v>
      </c>
      <c r="M309" s="34">
        <f t="shared" si="838"/>
        <v>0.27523366445377762</v>
      </c>
      <c r="N309" s="33">
        <f t="shared" si="839"/>
        <v>4.9010625850103087E-2</v>
      </c>
      <c r="O309" s="33">
        <f t="shared" si="840"/>
        <v>4.4869697399414973E-2</v>
      </c>
      <c r="P309" s="33">
        <f t="shared" si="841"/>
        <v>4.8434327685806716E-2</v>
      </c>
      <c r="Q309" s="33">
        <f t="shared" si="842"/>
        <v>4.8434327685806716E-2</v>
      </c>
      <c r="R309" s="35">
        <f t="shared" si="843"/>
        <v>1.1195286838104948</v>
      </c>
      <c r="S309" s="35">
        <f t="shared" si="844"/>
        <v>1.5563120848171994E-2</v>
      </c>
    </row>
    <row r="310" spans="1:19" ht="15" customHeight="1" x14ac:dyDescent="0.3">
      <c r="A310" s="30">
        <f>Odds_Input!A310</f>
        <v>302</v>
      </c>
      <c r="B310" s="7" t="str">
        <f>Odds_Input!B310</f>
        <v>MVP</v>
      </c>
      <c r="C310" s="7" t="str">
        <f>Odds_Input!C310</f>
        <v>Jalen Brunson</v>
      </c>
      <c r="D310" s="7" t="str">
        <f>Odds_Input!D310</f>
        <v>YES</v>
      </c>
      <c r="E310" s="31" t="str">
        <f>Odds_Input!E310</f>
        <v>-</v>
      </c>
      <c r="F310" s="32">
        <f>Odds_Input!F310</f>
        <v>3500</v>
      </c>
      <c r="G310" s="6" t="str">
        <f t="shared" si="832"/>
        <v>MVP</v>
      </c>
      <c r="H310" s="14">
        <f t="shared" si="833"/>
        <v>36</v>
      </c>
      <c r="I310" s="33">
        <f t="shared" si="834"/>
        <v>2.7777777777777776E-2</v>
      </c>
      <c r="J310" s="17">
        <f t="shared" si="835"/>
        <v>1</v>
      </c>
      <c r="K310" s="17">
        <f t="shared" si="836"/>
        <v>28</v>
      </c>
      <c r="L310" s="18">
        <f t="shared" si="837"/>
        <v>1.2752336644537776</v>
      </c>
      <c r="M310" s="34">
        <f t="shared" si="838"/>
        <v>0.27523366445377762</v>
      </c>
      <c r="N310" s="33">
        <f t="shared" si="839"/>
        <v>2.1782500377823592E-2</v>
      </c>
      <c r="O310" s="33">
        <f t="shared" si="840"/>
        <v>1.8099838913080812E-2</v>
      </c>
      <c r="P310" s="33">
        <f t="shared" si="841"/>
        <v>1.8116900876532952E-2</v>
      </c>
      <c r="Q310" s="33">
        <f t="shared" si="842"/>
        <v>1.8116900876532952E-2</v>
      </c>
      <c r="R310" s="35">
        <f t="shared" si="843"/>
        <v>1.1195286838104948</v>
      </c>
      <c r="S310" s="35">
        <f t="shared" si="844"/>
        <v>1.5563120848171994E-2</v>
      </c>
    </row>
    <row r="311" spans="1:19" ht="15" customHeight="1" x14ac:dyDescent="0.3">
      <c r="A311" s="30">
        <f>Odds_Input!A311</f>
        <v>303</v>
      </c>
      <c r="B311" s="7" t="str">
        <f>Odds_Input!B311</f>
        <v>MVP</v>
      </c>
      <c r="C311" s="7" t="str">
        <f>Odds_Input!C311</f>
        <v>Donovan Mitchell</v>
      </c>
      <c r="D311" s="7" t="str">
        <f>Odds_Input!D311</f>
        <v>YES</v>
      </c>
      <c r="E311" s="31" t="str">
        <f>Odds_Input!E311</f>
        <v>-</v>
      </c>
      <c r="F311" s="32">
        <f>Odds_Input!F311</f>
        <v>8000</v>
      </c>
      <c r="G311" s="6" t="str">
        <f t="shared" si="832"/>
        <v>MVP</v>
      </c>
      <c r="H311" s="14">
        <f t="shared" si="833"/>
        <v>81</v>
      </c>
      <c r="I311" s="33">
        <f t="shared" si="834"/>
        <v>1.2345679012345678E-2</v>
      </c>
      <c r="J311" s="17">
        <f t="shared" si="835"/>
        <v>1</v>
      </c>
      <c r="K311" s="17">
        <f t="shared" si="836"/>
        <v>28</v>
      </c>
      <c r="L311" s="18">
        <f t="shared" si="837"/>
        <v>1.2752336644537776</v>
      </c>
      <c r="M311" s="34">
        <f t="shared" si="838"/>
        <v>0.27523366445377762</v>
      </c>
      <c r="N311" s="33">
        <f t="shared" si="839"/>
        <v>9.6811112790327076E-3</v>
      </c>
      <c r="O311" s="33">
        <f t="shared" si="840"/>
        <v>7.3012341884825301E-3</v>
      </c>
      <c r="P311" s="33">
        <f t="shared" si="841"/>
        <v>5.6560904253778813E-3</v>
      </c>
      <c r="Q311" s="33">
        <f t="shared" si="842"/>
        <v>5.6560904253778813E-3</v>
      </c>
      <c r="R311" s="35">
        <f t="shared" si="843"/>
        <v>1.1195286838104948</v>
      </c>
      <c r="S311" s="35">
        <f t="shared" si="844"/>
        <v>1.5563120848171994E-2</v>
      </c>
    </row>
    <row r="312" spans="1:19" ht="15" customHeight="1" x14ac:dyDescent="0.3">
      <c r="A312" s="30">
        <f>Odds_Input!A312</f>
        <v>304</v>
      </c>
      <c r="B312" s="7" t="str">
        <f>Odds_Input!B312</f>
        <v>MVP</v>
      </c>
      <c r="C312" s="7" t="str">
        <f>Odds_Input!C312</f>
        <v>Tyrese Haliburton</v>
      </c>
      <c r="D312" s="7" t="str">
        <f>Odds_Input!D312</f>
        <v>YES</v>
      </c>
      <c r="E312" s="31" t="str">
        <f>Odds_Input!E312</f>
        <v>-</v>
      </c>
      <c r="F312" s="32">
        <f>Odds_Input!F312</f>
        <v>10000</v>
      </c>
      <c r="G312" s="6" t="str">
        <f t="shared" si="832"/>
        <v>MVP</v>
      </c>
      <c r="H312" s="14">
        <f t="shared" si="833"/>
        <v>101</v>
      </c>
      <c r="I312" s="33">
        <f t="shared" si="834"/>
        <v>9.9009900990099011E-3</v>
      </c>
      <c r="J312" s="17">
        <f t="shared" si="835"/>
        <v>1</v>
      </c>
      <c r="K312" s="17">
        <f t="shared" si="836"/>
        <v>28</v>
      </c>
      <c r="L312" s="18">
        <f t="shared" si="837"/>
        <v>1.2752336644537776</v>
      </c>
      <c r="M312" s="34">
        <f t="shared" si="838"/>
        <v>0.27523366445377762</v>
      </c>
      <c r="N312" s="33">
        <f t="shared" si="839"/>
        <v>7.76405954061039E-3</v>
      </c>
      <c r="O312" s="33">
        <f t="shared" si="840"/>
        <v>5.7030178444960914E-3</v>
      </c>
      <c r="P312" s="33">
        <f t="shared" si="841"/>
        <v>3.9516225369073113E-3</v>
      </c>
      <c r="Q312" s="33">
        <f t="shared" si="842"/>
        <v>3.9516225369073113E-3</v>
      </c>
      <c r="R312" s="35">
        <f t="shared" si="843"/>
        <v>1.1195286838104948</v>
      </c>
      <c r="S312" s="35">
        <f t="shared" si="844"/>
        <v>1.5563120848171994E-2</v>
      </c>
    </row>
    <row r="313" spans="1:19" ht="15" customHeight="1" x14ac:dyDescent="0.3">
      <c r="A313" s="30">
        <f>Odds_Input!A313</f>
        <v>305</v>
      </c>
      <c r="B313" s="7" t="str">
        <f>Odds_Input!B313</f>
        <v>MVP</v>
      </c>
      <c r="C313" s="7" t="str">
        <f>Odds_Input!C313</f>
        <v>Cooper Flagg</v>
      </c>
      <c r="D313" s="7" t="str">
        <f>Odds_Input!D313</f>
        <v>YES</v>
      </c>
      <c r="E313" s="31" t="str">
        <f>Odds_Input!E313</f>
        <v>-</v>
      </c>
      <c r="F313" s="32">
        <f>Odds_Input!F313</f>
        <v>15000</v>
      </c>
      <c r="G313" s="6" t="str">
        <f t="shared" si="832"/>
        <v>MVP</v>
      </c>
      <c r="H313" s="14">
        <f t="shared" si="833"/>
        <v>151</v>
      </c>
      <c r="I313" s="33">
        <f t="shared" si="834"/>
        <v>6.6225165562913907E-3</v>
      </c>
      <c r="J313" s="17">
        <f t="shared" si="835"/>
        <v>1</v>
      </c>
      <c r="K313" s="17">
        <f t="shared" si="836"/>
        <v>28</v>
      </c>
      <c r="L313" s="18">
        <f t="shared" si="837"/>
        <v>1.2752336644537776</v>
      </c>
      <c r="M313" s="34">
        <f t="shared" si="838"/>
        <v>0.27523366445377762</v>
      </c>
      <c r="N313" s="33">
        <f t="shared" si="839"/>
        <v>5.1931788980241686E-3</v>
      </c>
      <c r="O313" s="33">
        <f t="shared" si="840"/>
        <v>3.6355724702551253E-3</v>
      </c>
      <c r="P313" s="33">
        <f t="shared" si="841"/>
        <v>1.9654759300995845E-3</v>
      </c>
      <c r="Q313" s="33">
        <f t="shared" si="842"/>
        <v>1.9654759300995845E-3</v>
      </c>
      <c r="R313" s="35">
        <f t="shared" si="843"/>
        <v>1.1195286838104948</v>
      </c>
      <c r="S313" s="35">
        <f t="shared" si="844"/>
        <v>1.5563120848171994E-2</v>
      </c>
    </row>
    <row r="314" spans="1:19" ht="15" customHeight="1" x14ac:dyDescent="0.3">
      <c r="A314" s="30">
        <f>Odds_Input!A314</f>
        <v>306</v>
      </c>
      <c r="B314" s="7" t="str">
        <f>Odds_Input!B314</f>
        <v>MVP</v>
      </c>
      <c r="C314" s="7" t="str">
        <f>Odds_Input!C314</f>
        <v>Tyrese Maxey</v>
      </c>
      <c r="D314" s="7" t="str">
        <f>Odds_Input!D314</f>
        <v>YES</v>
      </c>
      <c r="E314" s="31" t="str">
        <f>Odds_Input!E314</f>
        <v>-</v>
      </c>
      <c r="F314" s="32">
        <f>Odds_Input!F314</f>
        <v>10000</v>
      </c>
      <c r="G314" s="6" t="str">
        <f t="shared" si="832"/>
        <v>MVP</v>
      </c>
      <c r="H314" s="14">
        <f t="shared" si="833"/>
        <v>101</v>
      </c>
      <c r="I314" s="33">
        <f t="shared" si="834"/>
        <v>9.9009900990099011E-3</v>
      </c>
      <c r="J314" s="17">
        <f t="shared" si="835"/>
        <v>1</v>
      </c>
      <c r="K314" s="17">
        <f t="shared" si="836"/>
        <v>28</v>
      </c>
      <c r="L314" s="18">
        <f t="shared" si="837"/>
        <v>1.2752336644537776</v>
      </c>
      <c r="M314" s="34">
        <f t="shared" si="838"/>
        <v>0.27523366445377762</v>
      </c>
      <c r="N314" s="33">
        <f t="shared" si="839"/>
        <v>7.76405954061039E-3</v>
      </c>
      <c r="O314" s="33">
        <f t="shared" si="840"/>
        <v>5.7030178444960914E-3</v>
      </c>
      <c r="P314" s="33">
        <f t="shared" si="841"/>
        <v>3.9516225369073113E-3</v>
      </c>
      <c r="Q314" s="33">
        <f t="shared" si="842"/>
        <v>3.9516225369073113E-3</v>
      </c>
      <c r="R314" s="35">
        <f t="shared" si="843"/>
        <v>1.1195286838104948</v>
      </c>
      <c r="S314" s="35">
        <f t="shared" si="844"/>
        <v>1.5563120848171994E-2</v>
      </c>
    </row>
    <row r="315" spans="1:19" ht="15" customHeight="1" x14ac:dyDescent="0.3">
      <c r="A315" s="30">
        <f>Odds_Input!A315</f>
        <v>307</v>
      </c>
      <c r="B315" s="7" t="str">
        <f>Odds_Input!B315</f>
        <v>MVP</v>
      </c>
      <c r="C315" s="7" t="str">
        <f>Odds_Input!C315</f>
        <v>Jaylen Brown</v>
      </c>
      <c r="D315" s="7" t="str">
        <f>Odds_Input!D315</f>
        <v>YES</v>
      </c>
      <c r="E315" s="31" t="str">
        <f>Odds_Input!E315</f>
        <v>-</v>
      </c>
      <c r="F315" s="32">
        <f>Odds_Input!F315</f>
        <v>6500</v>
      </c>
      <c r="G315" s="6" t="str">
        <f t="shared" si="832"/>
        <v>MVP</v>
      </c>
      <c r="H315" s="14">
        <f t="shared" si="833"/>
        <v>66</v>
      </c>
      <c r="I315" s="33">
        <f t="shared" si="834"/>
        <v>1.5151515151515152E-2</v>
      </c>
      <c r="J315" s="17">
        <f t="shared" si="835"/>
        <v>1</v>
      </c>
      <c r="K315" s="17">
        <f t="shared" si="836"/>
        <v>28</v>
      </c>
      <c r="L315" s="18">
        <f t="shared" si="837"/>
        <v>1.2752336644537776</v>
      </c>
      <c r="M315" s="34">
        <f t="shared" si="838"/>
        <v>0.27523366445377762</v>
      </c>
      <c r="N315" s="33">
        <f t="shared" si="839"/>
        <v>1.1881363842449234E-2</v>
      </c>
      <c r="O315" s="33">
        <f t="shared" si="840"/>
        <v>9.182657217767707E-3</v>
      </c>
      <c r="P315" s="33">
        <f t="shared" si="841"/>
        <v>7.759040885041691E-3</v>
      </c>
      <c r="Q315" s="33">
        <f t="shared" si="842"/>
        <v>7.759040885041691E-3</v>
      </c>
      <c r="R315" s="35">
        <f t="shared" si="843"/>
        <v>1.1195286838104948</v>
      </c>
      <c r="S315" s="35">
        <f t="shared" si="844"/>
        <v>1.5563120848171994E-2</v>
      </c>
    </row>
    <row r="316" spans="1:19" ht="15" customHeight="1" x14ac:dyDescent="0.3">
      <c r="A316" s="30">
        <f>Odds_Input!A316</f>
        <v>308</v>
      </c>
      <c r="B316" s="7" t="str">
        <f>Odds_Input!B316</f>
        <v>MVP</v>
      </c>
      <c r="C316" s="7" t="str">
        <f>Odds_Input!C316</f>
        <v>Kawhi Leonard</v>
      </c>
      <c r="D316" s="7" t="str">
        <f>Odds_Input!D316</f>
        <v>YES</v>
      </c>
      <c r="E316" s="31" t="str">
        <f>Odds_Input!E316</f>
        <v>-</v>
      </c>
      <c r="F316" s="32">
        <f>Odds_Input!F316</f>
        <v>15000</v>
      </c>
      <c r="G316" s="6" t="str">
        <f t="shared" si="832"/>
        <v>MVP</v>
      </c>
      <c r="H316" s="14">
        <f t="shared" si="833"/>
        <v>151</v>
      </c>
      <c r="I316" s="33">
        <f t="shared" si="834"/>
        <v>6.6225165562913907E-3</v>
      </c>
      <c r="J316" s="17">
        <f t="shared" si="835"/>
        <v>1</v>
      </c>
      <c r="K316" s="17">
        <f t="shared" si="836"/>
        <v>28</v>
      </c>
      <c r="L316" s="18">
        <f t="shared" si="837"/>
        <v>1.2752336644537776</v>
      </c>
      <c r="M316" s="34">
        <f t="shared" si="838"/>
        <v>0.27523366445377762</v>
      </c>
      <c r="N316" s="33">
        <f t="shared" si="839"/>
        <v>5.1931788980241686E-3</v>
      </c>
      <c r="O316" s="33">
        <f t="shared" si="840"/>
        <v>3.6355724702551253E-3</v>
      </c>
      <c r="P316" s="33">
        <f t="shared" si="841"/>
        <v>1.9654759300995845E-3</v>
      </c>
      <c r="Q316" s="33">
        <f t="shared" si="842"/>
        <v>1.9654759300995845E-3</v>
      </c>
      <c r="R316" s="35">
        <f t="shared" si="843"/>
        <v>1.1195286838104948</v>
      </c>
      <c r="S316" s="35">
        <f t="shared" si="844"/>
        <v>1.5563120848171994E-2</v>
      </c>
    </row>
    <row r="317" spans="1:19" ht="15" customHeight="1" x14ac:dyDescent="0.3">
      <c r="A317" s="30">
        <f>Odds_Input!A317</f>
        <v>309</v>
      </c>
      <c r="B317" s="7" t="str">
        <f>Odds_Input!B317</f>
        <v>MVP</v>
      </c>
      <c r="C317" s="7" t="str">
        <f>Odds_Input!C317</f>
        <v>Joel Embiid</v>
      </c>
      <c r="D317" s="7" t="str">
        <f>Odds_Input!D317</f>
        <v>YES</v>
      </c>
      <c r="E317" s="31" t="str">
        <f>Odds_Input!E317</f>
        <v>-</v>
      </c>
      <c r="F317" s="32">
        <f>Odds_Input!F317</f>
        <v>15000</v>
      </c>
      <c r="G317" s="6" t="str">
        <f t="shared" si="832"/>
        <v>MVP</v>
      </c>
      <c r="H317" s="14">
        <f t="shared" si="833"/>
        <v>151</v>
      </c>
      <c r="I317" s="33">
        <f t="shared" si="834"/>
        <v>6.6225165562913907E-3</v>
      </c>
      <c r="J317" s="17">
        <f t="shared" si="835"/>
        <v>1</v>
      </c>
      <c r="K317" s="17">
        <f t="shared" si="836"/>
        <v>28</v>
      </c>
      <c r="L317" s="18">
        <f t="shared" si="837"/>
        <v>1.2752336644537776</v>
      </c>
      <c r="M317" s="34">
        <f t="shared" si="838"/>
        <v>0.27523366445377762</v>
      </c>
      <c r="N317" s="33">
        <f t="shared" si="839"/>
        <v>5.1931788980241686E-3</v>
      </c>
      <c r="O317" s="33">
        <f t="shared" si="840"/>
        <v>3.6355724702551253E-3</v>
      </c>
      <c r="P317" s="33">
        <f t="shared" si="841"/>
        <v>1.9654759300995845E-3</v>
      </c>
      <c r="Q317" s="33">
        <f t="shared" si="842"/>
        <v>1.9654759300995845E-3</v>
      </c>
      <c r="R317" s="35">
        <f t="shared" si="843"/>
        <v>1.1195286838104948</v>
      </c>
      <c r="S317" s="35">
        <f t="shared" si="844"/>
        <v>1.5563120848171994E-2</v>
      </c>
    </row>
    <row r="318" spans="1:19" ht="15" customHeight="1" x14ac:dyDescent="0.3">
      <c r="A318" s="30">
        <f>Odds_Input!A318</f>
        <v>310</v>
      </c>
      <c r="B318" s="7" t="str">
        <f>Odds_Input!B318</f>
        <v>MVP</v>
      </c>
      <c r="C318" s="7" t="str">
        <f>Odds_Input!C318</f>
        <v>Stephen Curry</v>
      </c>
      <c r="D318" s="7" t="str">
        <f>Odds_Input!D318</f>
        <v>YES</v>
      </c>
      <c r="E318" s="31" t="str">
        <f>Odds_Input!E318</f>
        <v>-</v>
      </c>
      <c r="F318" s="32">
        <f>Odds_Input!F318</f>
        <v>15000</v>
      </c>
      <c r="G318" s="6" t="str">
        <f t="shared" si="832"/>
        <v>MVP</v>
      </c>
      <c r="H318" s="14">
        <f t="shared" si="833"/>
        <v>151</v>
      </c>
      <c r="I318" s="33">
        <f t="shared" si="834"/>
        <v>6.6225165562913907E-3</v>
      </c>
      <c r="J318" s="17">
        <f t="shared" si="835"/>
        <v>1</v>
      </c>
      <c r="K318" s="17">
        <f t="shared" si="836"/>
        <v>28</v>
      </c>
      <c r="L318" s="18">
        <f t="shared" si="837"/>
        <v>1.2752336644537776</v>
      </c>
      <c r="M318" s="34">
        <f t="shared" si="838"/>
        <v>0.27523366445377762</v>
      </c>
      <c r="N318" s="33">
        <f t="shared" si="839"/>
        <v>5.1931788980241686E-3</v>
      </c>
      <c r="O318" s="33">
        <f t="shared" si="840"/>
        <v>3.6355724702551253E-3</v>
      </c>
      <c r="P318" s="33">
        <f t="shared" si="841"/>
        <v>1.9654759300995845E-3</v>
      </c>
      <c r="Q318" s="33">
        <f t="shared" si="842"/>
        <v>1.9654759300995845E-3</v>
      </c>
      <c r="R318" s="35">
        <f t="shared" si="843"/>
        <v>1.1195286838104948</v>
      </c>
      <c r="S318" s="35">
        <f t="shared" si="844"/>
        <v>1.5563120848171994E-2</v>
      </c>
    </row>
    <row r="319" spans="1:19" ht="15" customHeight="1" x14ac:dyDescent="0.3">
      <c r="A319" s="30">
        <f>Odds_Input!A319</f>
        <v>311</v>
      </c>
      <c r="B319" s="7" t="str">
        <f>Odds_Input!B319</f>
        <v>MVP</v>
      </c>
      <c r="C319" s="7" t="str">
        <f>Odds_Input!C319</f>
        <v>Devin Booker</v>
      </c>
      <c r="D319" s="7" t="str">
        <f>Odds_Input!D319</f>
        <v>YES</v>
      </c>
      <c r="E319" s="31" t="str">
        <f>Odds_Input!E319</f>
        <v>-</v>
      </c>
      <c r="F319" s="32">
        <f>Odds_Input!F319</f>
        <v>15000</v>
      </c>
      <c r="G319" s="6" t="str">
        <f t="shared" si="832"/>
        <v>MVP</v>
      </c>
      <c r="H319" s="14">
        <f t="shared" si="833"/>
        <v>151</v>
      </c>
      <c r="I319" s="33">
        <f t="shared" si="834"/>
        <v>6.6225165562913907E-3</v>
      </c>
      <c r="J319" s="17">
        <f t="shared" si="835"/>
        <v>1</v>
      </c>
      <c r="K319" s="17">
        <f t="shared" si="836"/>
        <v>28</v>
      </c>
      <c r="L319" s="18">
        <f t="shared" si="837"/>
        <v>1.2752336644537776</v>
      </c>
      <c r="M319" s="34">
        <f t="shared" si="838"/>
        <v>0.27523366445377762</v>
      </c>
      <c r="N319" s="33">
        <f t="shared" si="839"/>
        <v>5.1931788980241686E-3</v>
      </c>
      <c r="O319" s="33">
        <f t="shared" si="840"/>
        <v>3.6355724702551253E-3</v>
      </c>
      <c r="P319" s="33">
        <f t="shared" si="841"/>
        <v>1.9654759300995845E-3</v>
      </c>
      <c r="Q319" s="33">
        <f t="shared" si="842"/>
        <v>1.9654759300995845E-3</v>
      </c>
      <c r="R319" s="35">
        <f t="shared" si="843"/>
        <v>1.1195286838104948</v>
      </c>
      <c r="S319" s="35">
        <f t="shared" si="844"/>
        <v>1.5563120848171994E-2</v>
      </c>
    </row>
    <row r="320" spans="1:19" ht="15" customHeight="1" x14ac:dyDescent="0.3">
      <c r="A320" s="30">
        <f>Odds_Input!A320</f>
        <v>312</v>
      </c>
      <c r="B320" s="7" t="str">
        <f>Odds_Input!B320</f>
        <v>MVP</v>
      </c>
      <c r="C320" s="7" t="str">
        <f>Odds_Input!C320</f>
        <v>Kevin Durant</v>
      </c>
      <c r="D320" s="7" t="str">
        <f>Odds_Input!D320</f>
        <v>YES</v>
      </c>
      <c r="E320" s="31" t="str">
        <f>Odds_Input!E320</f>
        <v>-</v>
      </c>
      <c r="F320" s="32">
        <f>Odds_Input!F320</f>
        <v>15000</v>
      </c>
      <c r="G320" s="6" t="str">
        <f t="shared" si="832"/>
        <v>MVP</v>
      </c>
      <c r="H320" s="14">
        <f t="shared" si="833"/>
        <v>151</v>
      </c>
      <c r="I320" s="33">
        <f t="shared" si="834"/>
        <v>6.6225165562913907E-3</v>
      </c>
      <c r="J320" s="17">
        <f t="shared" si="835"/>
        <v>1</v>
      </c>
      <c r="K320" s="17">
        <f t="shared" si="836"/>
        <v>28</v>
      </c>
      <c r="L320" s="18">
        <f t="shared" si="837"/>
        <v>1.2752336644537776</v>
      </c>
      <c r="M320" s="34">
        <f t="shared" si="838"/>
        <v>0.27523366445377762</v>
      </c>
      <c r="N320" s="33">
        <f t="shared" si="839"/>
        <v>5.1931788980241686E-3</v>
      </c>
      <c r="O320" s="33">
        <f t="shared" si="840"/>
        <v>3.6355724702551253E-3</v>
      </c>
      <c r="P320" s="33">
        <f t="shared" si="841"/>
        <v>1.9654759300995845E-3</v>
      </c>
      <c r="Q320" s="33">
        <f t="shared" si="842"/>
        <v>1.9654759300995845E-3</v>
      </c>
      <c r="R320" s="35">
        <f t="shared" si="843"/>
        <v>1.1195286838104948</v>
      </c>
      <c r="S320" s="35">
        <f t="shared" si="844"/>
        <v>1.5563120848171994E-2</v>
      </c>
    </row>
    <row r="321" spans="1:19" ht="15" customHeight="1" x14ac:dyDescent="0.3">
      <c r="A321" s="30">
        <f>Odds_Input!A321</f>
        <v>313</v>
      </c>
      <c r="B321" s="7" t="str">
        <f>Odds_Input!B321</f>
        <v>MVP</v>
      </c>
      <c r="C321" s="7" t="str">
        <f>Odds_Input!C321</f>
        <v>Scottie Barnes</v>
      </c>
      <c r="D321" s="7" t="str">
        <f>Odds_Input!D321</f>
        <v>YES</v>
      </c>
      <c r="E321" s="31" t="str">
        <f>Odds_Input!E321</f>
        <v>-</v>
      </c>
      <c r="F321" s="32">
        <f>Odds_Input!F321</f>
        <v>25000</v>
      </c>
      <c r="G321" s="6" t="str">
        <f t="shared" si="832"/>
        <v>MVP</v>
      </c>
      <c r="H321" s="14">
        <f t="shared" si="833"/>
        <v>251</v>
      </c>
      <c r="I321" s="33">
        <f t="shared" si="834"/>
        <v>3.9840637450199202E-3</v>
      </c>
      <c r="J321" s="17">
        <f t="shared" si="835"/>
        <v>1</v>
      </c>
      <c r="K321" s="17">
        <f t="shared" si="836"/>
        <v>28</v>
      </c>
      <c r="L321" s="18">
        <f t="shared" si="837"/>
        <v>1.2752336644537776</v>
      </c>
      <c r="M321" s="34">
        <f t="shared" si="838"/>
        <v>0.27523366445377762</v>
      </c>
      <c r="N321" s="33">
        <f t="shared" si="839"/>
        <v>3.1241833211221089E-3</v>
      </c>
      <c r="O321" s="33">
        <f t="shared" si="840"/>
        <v>2.0582420045019783E-3</v>
      </c>
      <c r="P321" s="33">
        <f t="shared" si="841"/>
        <v>7.629516951347089E-4</v>
      </c>
      <c r="Q321" s="33">
        <f t="shared" si="842"/>
        <v>7.629516951347089E-4</v>
      </c>
      <c r="R321" s="35">
        <f t="shared" si="843"/>
        <v>1.1195286838104948</v>
      </c>
      <c r="S321" s="35">
        <f t="shared" si="844"/>
        <v>1.5563120848171994E-2</v>
      </c>
    </row>
    <row r="322" spans="1:19" ht="15" customHeight="1" x14ac:dyDescent="0.3">
      <c r="A322" s="30">
        <f>Odds_Input!A322</f>
        <v>314</v>
      </c>
      <c r="B322" s="7" t="str">
        <f>Odds_Input!B322</f>
        <v>MVP</v>
      </c>
      <c r="C322" s="7" t="str">
        <f>Odds_Input!C322</f>
        <v>Deni Avdija</v>
      </c>
      <c r="D322" s="7" t="str">
        <f>Odds_Input!D322</f>
        <v>YES</v>
      </c>
      <c r="E322" s="31" t="str">
        <f>Odds_Input!E322</f>
        <v>-</v>
      </c>
      <c r="F322" s="32">
        <f>Odds_Input!F322</f>
        <v>25000</v>
      </c>
      <c r="G322" s="6" t="str">
        <f t="shared" si="832"/>
        <v>MVP</v>
      </c>
      <c r="H322" s="14">
        <f t="shared" si="833"/>
        <v>251</v>
      </c>
      <c r="I322" s="33">
        <f t="shared" si="834"/>
        <v>3.9840637450199202E-3</v>
      </c>
      <c r="J322" s="17">
        <f t="shared" si="835"/>
        <v>1</v>
      </c>
      <c r="K322" s="17">
        <f t="shared" si="836"/>
        <v>28</v>
      </c>
      <c r="L322" s="18">
        <f t="shared" si="837"/>
        <v>1.2752336644537776</v>
      </c>
      <c r="M322" s="34">
        <f t="shared" si="838"/>
        <v>0.27523366445377762</v>
      </c>
      <c r="N322" s="33">
        <f t="shared" si="839"/>
        <v>3.1241833211221089E-3</v>
      </c>
      <c r="O322" s="33">
        <f t="shared" si="840"/>
        <v>2.0582420045019783E-3</v>
      </c>
      <c r="P322" s="33">
        <f t="shared" si="841"/>
        <v>7.629516951347089E-4</v>
      </c>
      <c r="Q322" s="33">
        <f t="shared" si="842"/>
        <v>7.629516951347089E-4</v>
      </c>
      <c r="R322" s="35">
        <f t="shared" si="843"/>
        <v>1.1195286838104948</v>
      </c>
      <c r="S322" s="35">
        <f t="shared" si="844"/>
        <v>1.5563120848171994E-2</v>
      </c>
    </row>
    <row r="323" spans="1:19" ht="15" customHeight="1" x14ac:dyDescent="0.3">
      <c r="A323" s="30">
        <f>Odds_Input!A323</f>
        <v>315</v>
      </c>
      <c r="B323" s="7" t="str">
        <f>Odds_Input!B323</f>
        <v>MVP</v>
      </c>
      <c r="C323" s="7" t="str">
        <f>Odds_Input!C323</f>
        <v>LaMelo Ball</v>
      </c>
      <c r="D323" s="7" t="str">
        <f>Odds_Input!D323</f>
        <v>YES</v>
      </c>
      <c r="E323" s="31" t="str">
        <f>Odds_Input!E323</f>
        <v>-</v>
      </c>
      <c r="F323" s="32">
        <f>Odds_Input!F323</f>
        <v>15000</v>
      </c>
      <c r="G323" s="6" t="str">
        <f t="shared" si="832"/>
        <v>MVP</v>
      </c>
      <c r="H323" s="14">
        <f t="shared" si="833"/>
        <v>151</v>
      </c>
      <c r="I323" s="33">
        <f t="shared" si="834"/>
        <v>6.6225165562913907E-3</v>
      </c>
      <c r="J323" s="17">
        <f t="shared" si="835"/>
        <v>1</v>
      </c>
      <c r="K323" s="17">
        <f t="shared" si="836"/>
        <v>28</v>
      </c>
      <c r="L323" s="18">
        <f t="shared" si="837"/>
        <v>1.2752336644537776</v>
      </c>
      <c r="M323" s="34">
        <f t="shared" si="838"/>
        <v>0.27523366445377762</v>
      </c>
      <c r="N323" s="33">
        <f t="shared" si="839"/>
        <v>5.1931788980241686E-3</v>
      </c>
      <c r="O323" s="33">
        <f t="shared" si="840"/>
        <v>3.6355724702551253E-3</v>
      </c>
      <c r="P323" s="33">
        <f t="shared" si="841"/>
        <v>1.9654759300995845E-3</v>
      </c>
      <c r="Q323" s="33">
        <f t="shared" si="842"/>
        <v>1.9654759300995845E-3</v>
      </c>
      <c r="R323" s="35">
        <f t="shared" si="843"/>
        <v>1.1195286838104948</v>
      </c>
      <c r="S323" s="35">
        <f t="shared" si="844"/>
        <v>1.5563120848171994E-2</v>
      </c>
    </row>
    <row r="324" spans="1:19" ht="15" customHeight="1" x14ac:dyDescent="0.3">
      <c r="A324" s="30">
        <f>Odds_Input!A324</f>
        <v>316</v>
      </c>
      <c r="B324" s="7" t="str">
        <f>Odds_Input!B324</f>
        <v>MVP</v>
      </c>
      <c r="C324" s="7" t="str">
        <f>Odds_Input!C324</f>
        <v>Jalen Johnson</v>
      </c>
      <c r="D324" s="7" t="str">
        <f>Odds_Input!D324</f>
        <v>YES</v>
      </c>
      <c r="E324" s="31" t="str">
        <f>Odds_Input!E324</f>
        <v>-</v>
      </c>
      <c r="F324" s="32">
        <f>Odds_Input!F324</f>
        <v>25000</v>
      </c>
      <c r="G324" s="6" t="str">
        <f t="shared" si="832"/>
        <v>MVP</v>
      </c>
      <c r="H324" s="14">
        <f t="shared" si="833"/>
        <v>251</v>
      </c>
      <c r="I324" s="33">
        <f t="shared" si="834"/>
        <v>3.9840637450199202E-3</v>
      </c>
      <c r="J324" s="17">
        <f t="shared" si="835"/>
        <v>1</v>
      </c>
      <c r="K324" s="17">
        <f t="shared" si="836"/>
        <v>28</v>
      </c>
      <c r="L324" s="18">
        <f t="shared" si="837"/>
        <v>1.2752336644537776</v>
      </c>
      <c r="M324" s="34">
        <f t="shared" si="838"/>
        <v>0.27523366445377762</v>
      </c>
      <c r="N324" s="33">
        <f t="shared" si="839"/>
        <v>3.1241833211221089E-3</v>
      </c>
      <c r="O324" s="33">
        <f t="shared" si="840"/>
        <v>2.0582420045019783E-3</v>
      </c>
      <c r="P324" s="33">
        <f t="shared" si="841"/>
        <v>7.629516951347089E-4</v>
      </c>
      <c r="Q324" s="33">
        <f t="shared" si="842"/>
        <v>7.629516951347089E-4</v>
      </c>
      <c r="R324" s="35">
        <f t="shared" si="843"/>
        <v>1.1195286838104948</v>
      </c>
      <c r="S324" s="35">
        <f t="shared" si="844"/>
        <v>1.5563120848171994E-2</v>
      </c>
    </row>
    <row r="325" spans="1:19" ht="15" customHeight="1" x14ac:dyDescent="0.3">
      <c r="A325" s="30">
        <f>Odds_Input!A325</f>
        <v>317</v>
      </c>
      <c r="B325" s="7" t="str">
        <f>Odds_Input!B325</f>
        <v>MVP</v>
      </c>
      <c r="C325" s="7" t="str">
        <f>Odds_Input!C325</f>
        <v>LeBron James</v>
      </c>
      <c r="D325" s="7" t="str">
        <f>Odds_Input!D325</f>
        <v>YES</v>
      </c>
      <c r="E325" s="31" t="str">
        <f>Odds_Input!E325</f>
        <v>-</v>
      </c>
      <c r="F325" s="32">
        <f>Odds_Input!F325</f>
        <v>20000</v>
      </c>
      <c r="G325" s="6" t="str">
        <f t="shared" si="832"/>
        <v>MVP</v>
      </c>
      <c r="H325" s="14">
        <f t="shared" si="833"/>
        <v>201</v>
      </c>
      <c r="I325" s="33">
        <f t="shared" si="834"/>
        <v>4.9751243781094526E-3</v>
      </c>
      <c r="J325" s="17">
        <f t="shared" si="835"/>
        <v>1</v>
      </c>
      <c r="K325" s="17">
        <f t="shared" si="836"/>
        <v>28</v>
      </c>
      <c r="L325" s="18">
        <f t="shared" si="837"/>
        <v>1.2752336644537776</v>
      </c>
      <c r="M325" s="34">
        <f t="shared" si="838"/>
        <v>0.27523366445377762</v>
      </c>
      <c r="N325" s="33">
        <f t="shared" si="839"/>
        <v>3.901343351251987E-3</v>
      </c>
      <c r="O325" s="33">
        <f t="shared" si="840"/>
        <v>2.6394044785810881E-3</v>
      </c>
      <c r="P325" s="33">
        <f t="shared" si="841"/>
        <v>1.1617810734133806E-3</v>
      </c>
      <c r="Q325" s="33">
        <f t="shared" si="842"/>
        <v>1.1617810734133806E-3</v>
      </c>
      <c r="R325" s="35">
        <f t="shared" si="843"/>
        <v>1.1195286838104948</v>
      </c>
      <c r="S325" s="35">
        <f t="shared" si="844"/>
        <v>1.5563120848171994E-2</v>
      </c>
    </row>
    <row r="326" spans="1:19" ht="15" customHeight="1" x14ac:dyDescent="0.3">
      <c r="A326" s="30">
        <f>Odds_Input!A326</f>
        <v>318</v>
      </c>
      <c r="B326" s="7" t="str">
        <f>Odds_Input!B326</f>
        <v>MVP</v>
      </c>
      <c r="C326" s="7" t="str">
        <f>Odds_Input!C326</f>
        <v>Paolo Banchero</v>
      </c>
      <c r="D326" s="7" t="str">
        <f>Odds_Input!D326</f>
        <v>YES</v>
      </c>
      <c r="E326" s="31" t="str">
        <f>Odds_Input!E326</f>
        <v>-</v>
      </c>
      <c r="F326" s="32">
        <f>Odds_Input!F326</f>
        <v>25000</v>
      </c>
      <c r="G326" s="6" t="str">
        <f t="shared" si="832"/>
        <v>MVP</v>
      </c>
      <c r="H326" s="14">
        <f t="shared" si="833"/>
        <v>251</v>
      </c>
      <c r="I326" s="33">
        <f t="shared" si="834"/>
        <v>3.9840637450199202E-3</v>
      </c>
      <c r="J326" s="17">
        <f t="shared" si="835"/>
        <v>1</v>
      </c>
      <c r="K326" s="17">
        <f t="shared" si="836"/>
        <v>28</v>
      </c>
      <c r="L326" s="18">
        <f t="shared" si="837"/>
        <v>1.2752336644537776</v>
      </c>
      <c r="M326" s="34">
        <f t="shared" si="838"/>
        <v>0.27523366445377762</v>
      </c>
      <c r="N326" s="33">
        <f t="shared" si="839"/>
        <v>3.1241833211221089E-3</v>
      </c>
      <c r="O326" s="33">
        <f t="shared" si="840"/>
        <v>2.0582420045019783E-3</v>
      </c>
      <c r="P326" s="33">
        <f t="shared" si="841"/>
        <v>7.629516951347089E-4</v>
      </c>
      <c r="Q326" s="33">
        <f t="shared" si="842"/>
        <v>7.629516951347089E-4</v>
      </c>
      <c r="R326" s="35">
        <f t="shared" si="843"/>
        <v>1.1195286838104948</v>
      </c>
      <c r="S326" s="35">
        <f t="shared" si="844"/>
        <v>1.5563120848171994E-2</v>
      </c>
    </row>
    <row r="327" spans="1:19" ht="15" customHeight="1" x14ac:dyDescent="0.3">
      <c r="A327" s="30">
        <f>Odds_Input!A327</f>
        <v>319</v>
      </c>
      <c r="B327" s="7" t="str">
        <f>Odds_Input!B327</f>
        <v>MVP</v>
      </c>
      <c r="C327" s="7" t="str">
        <f>Odds_Input!C327</f>
        <v>Zion Williamson</v>
      </c>
      <c r="D327" s="7" t="str">
        <f>Odds_Input!D327</f>
        <v>YES</v>
      </c>
      <c r="E327" s="31" t="str">
        <f>Odds_Input!E327</f>
        <v>-</v>
      </c>
      <c r="F327" s="32">
        <f>Odds_Input!F327</f>
        <v>25000</v>
      </c>
      <c r="G327" s="6" t="str">
        <f t="shared" si="832"/>
        <v>MVP</v>
      </c>
      <c r="H327" s="14">
        <f t="shared" si="833"/>
        <v>251</v>
      </c>
      <c r="I327" s="33">
        <f t="shared" si="834"/>
        <v>3.9840637450199202E-3</v>
      </c>
      <c r="J327" s="17">
        <f t="shared" si="835"/>
        <v>1</v>
      </c>
      <c r="K327" s="17">
        <f t="shared" si="836"/>
        <v>28</v>
      </c>
      <c r="L327" s="18">
        <f t="shared" si="837"/>
        <v>1.2752336644537776</v>
      </c>
      <c r="M327" s="34">
        <f t="shared" si="838"/>
        <v>0.27523366445377762</v>
      </c>
      <c r="N327" s="33">
        <f t="shared" si="839"/>
        <v>3.1241833211221089E-3</v>
      </c>
      <c r="O327" s="33">
        <f t="shared" si="840"/>
        <v>2.0582420045019783E-3</v>
      </c>
      <c r="P327" s="33">
        <f t="shared" si="841"/>
        <v>7.629516951347089E-4</v>
      </c>
      <c r="Q327" s="33">
        <f t="shared" si="842"/>
        <v>7.629516951347089E-4</v>
      </c>
      <c r="R327" s="35">
        <f t="shared" si="843"/>
        <v>1.1195286838104948</v>
      </c>
      <c r="S327" s="35">
        <f t="shared" si="844"/>
        <v>1.5563120848171994E-2</v>
      </c>
    </row>
    <row r="328" spans="1:19" ht="15" customHeight="1" x14ac:dyDescent="0.3">
      <c r="A328" s="30">
        <f>Odds_Input!A328</f>
        <v>320</v>
      </c>
      <c r="B328" s="7" t="str">
        <f>Odds_Input!B328</f>
        <v>MVP</v>
      </c>
      <c r="C328" s="7" t="str">
        <f>Odds_Input!C328</f>
        <v>Jamal Murray</v>
      </c>
      <c r="D328" s="7" t="str">
        <f>Odds_Input!D328</f>
        <v>YES</v>
      </c>
      <c r="E328" s="31" t="str">
        <f>Odds_Input!E328</f>
        <v>-</v>
      </c>
      <c r="F328" s="32">
        <f>Odds_Input!F328</f>
        <v>25000</v>
      </c>
      <c r="G328" s="6" t="str">
        <f t="shared" ref="G328:G391" si="845">IF(OR(B328="WINS",B328="PLAYOFFS"),B328&amp;"|"&amp;C328&amp;IF(B328="WINS","|"&amp;TEXT(E328,"0.0"),""),B328)</f>
        <v>MVP</v>
      </c>
      <c r="H328" s="14">
        <f t="shared" ref="H328:H391" si="846">IF(F328&gt;0,1+F328/100,1+100/ABS(F328))</f>
        <v>251</v>
      </c>
      <c r="I328" s="33">
        <f t="shared" ref="I328:I391" si="847">1/H328</f>
        <v>3.9840637450199202E-3</v>
      </c>
      <c r="J328" s="17">
        <f t="shared" ref="J328:J391" si="848">IF(LEFT(B328,6)="PLAYIN",A_playin_slots,1)</f>
        <v>1</v>
      </c>
      <c r="K328" s="17">
        <f t="shared" ref="K328:K391" si="849">COUNTIF($G$8:$G$694,G328)</f>
        <v>28</v>
      </c>
      <c r="L328" s="18">
        <f t="shared" ref="L328:L391" si="850">SUMIF($G$8:$G$694,G328,$I$8:$I$694)</f>
        <v>1.2752336644537776</v>
      </c>
      <c r="M328" s="34">
        <f t="shared" ref="M328:M391" si="851">L328/J328-1</f>
        <v>0.27523366445377762</v>
      </c>
      <c r="N328" s="33">
        <f t="shared" ref="N328:N391" si="852">I328*J328/L328</f>
        <v>3.1241833211221089E-3</v>
      </c>
      <c r="O328" s="33">
        <f t="shared" ref="O328:O391" si="853">I328^R328</f>
        <v>2.0582420045019783E-3</v>
      </c>
      <c r="P328" s="33">
        <f t="shared" ref="P328:P391" si="854">IF(J328&lt;&gt;1,O328,IF(L328&lt;=1,I328/L328,(SQRT(S328^2+4*(1-S328)*I328^2/L328)-S328)/(2*(1-S328))))</f>
        <v>7.629516951347089E-4</v>
      </c>
      <c r="Q328" s="33">
        <f t="shared" ref="Q328:Q391" si="855">IF(A_devig="Multiplicative",N328,IF(A_devig="Power",O328,P328))</f>
        <v>7.629516951347089E-4</v>
      </c>
      <c r="R328" s="35">
        <f t="shared" ref="R328:R391" si="856">INDEX($KA$8:$KA$96,MATCH(G328,$X$8:$X$96,0))</f>
        <v>1.1195286838104948</v>
      </c>
      <c r="S328" s="35">
        <f t="shared" ref="S328:S391" si="857">INDEX($KB$8:$KB$96,MATCH(G328,$X$8:$X$96,0))</f>
        <v>1.5563120848171994E-2</v>
      </c>
    </row>
    <row r="329" spans="1:19" ht="15" customHeight="1" x14ac:dyDescent="0.3">
      <c r="A329" s="30">
        <f>Odds_Input!A329</f>
        <v>321</v>
      </c>
      <c r="B329" s="7" t="str">
        <f>Odds_Input!B329</f>
        <v>MVP</v>
      </c>
      <c r="C329" s="7" t="str">
        <f>Odds_Input!C329</f>
        <v>Anthony Davis</v>
      </c>
      <c r="D329" s="7" t="str">
        <f>Odds_Input!D329</f>
        <v>YES</v>
      </c>
      <c r="E329" s="31" t="str">
        <f>Odds_Input!E329</f>
        <v>-</v>
      </c>
      <c r="F329" s="32">
        <f>Odds_Input!F329</f>
        <v>25000</v>
      </c>
      <c r="G329" s="6" t="str">
        <f t="shared" si="845"/>
        <v>MVP</v>
      </c>
      <c r="H329" s="14">
        <f t="shared" si="846"/>
        <v>251</v>
      </c>
      <c r="I329" s="33">
        <f t="shared" si="847"/>
        <v>3.9840637450199202E-3</v>
      </c>
      <c r="J329" s="17">
        <f t="shared" si="848"/>
        <v>1</v>
      </c>
      <c r="K329" s="17">
        <f t="shared" si="849"/>
        <v>28</v>
      </c>
      <c r="L329" s="18">
        <f t="shared" si="850"/>
        <v>1.2752336644537776</v>
      </c>
      <c r="M329" s="34">
        <f t="shared" si="851"/>
        <v>0.27523366445377762</v>
      </c>
      <c r="N329" s="33">
        <f t="shared" si="852"/>
        <v>3.1241833211221089E-3</v>
      </c>
      <c r="O329" s="33">
        <f t="shared" si="853"/>
        <v>2.0582420045019783E-3</v>
      </c>
      <c r="P329" s="33">
        <f t="shared" si="854"/>
        <v>7.629516951347089E-4</v>
      </c>
      <c r="Q329" s="33">
        <f t="shared" si="855"/>
        <v>7.629516951347089E-4</v>
      </c>
      <c r="R329" s="35">
        <f t="shared" si="856"/>
        <v>1.1195286838104948</v>
      </c>
      <c r="S329" s="35">
        <f t="shared" si="857"/>
        <v>1.5563120848171994E-2</v>
      </c>
    </row>
    <row r="330" spans="1:19" ht="15" customHeight="1" x14ac:dyDescent="0.3">
      <c r="A330" s="30">
        <f>Odds_Input!A330</f>
        <v>322</v>
      </c>
      <c r="B330" s="7" t="str">
        <f>Odds_Input!B330</f>
        <v>DPOY</v>
      </c>
      <c r="C330" s="7" t="str">
        <f>Odds_Input!C330</f>
        <v>Victor Wembanyama</v>
      </c>
      <c r="D330" s="7" t="str">
        <f>Odds_Input!D330</f>
        <v>YES</v>
      </c>
      <c r="E330" s="31" t="str">
        <f>Odds_Input!E330</f>
        <v>-</v>
      </c>
      <c r="F330" s="32">
        <f>Odds_Input!F330</f>
        <v>-360</v>
      </c>
      <c r="G330" s="6" t="str">
        <f t="shared" si="845"/>
        <v>DPOY</v>
      </c>
      <c r="H330" s="14">
        <f t="shared" si="846"/>
        <v>1.2777777777777777</v>
      </c>
      <c r="I330" s="33">
        <f t="shared" si="847"/>
        <v>0.78260869565217395</v>
      </c>
      <c r="J330" s="17">
        <f t="shared" si="848"/>
        <v>1</v>
      </c>
      <c r="K330" s="17">
        <f t="shared" si="849"/>
        <v>17</v>
      </c>
      <c r="L330" s="18">
        <f t="shared" si="850"/>
        <v>1.114947275784421</v>
      </c>
      <c r="M330" s="34">
        <f t="shared" si="851"/>
        <v>0.11494727578442099</v>
      </c>
      <c r="N330" s="33">
        <f t="shared" si="852"/>
        <v>0.70192439826499398</v>
      </c>
      <c r="O330" s="33">
        <f t="shared" si="853"/>
        <v>0.76430278744711533</v>
      </c>
      <c r="P330" s="33">
        <f t="shared" si="854"/>
        <v>0.74009713785409281</v>
      </c>
      <c r="Q330" s="33">
        <f t="shared" si="855"/>
        <v>0.74009713785409281</v>
      </c>
      <c r="R330" s="35">
        <f t="shared" si="856"/>
        <v>1.0965590498642999</v>
      </c>
      <c r="S330" s="35">
        <f t="shared" si="857"/>
        <v>8.2575333048411428E-3</v>
      </c>
    </row>
    <row r="331" spans="1:19" ht="15" customHeight="1" x14ac:dyDescent="0.3">
      <c r="A331" s="30">
        <f>Odds_Input!A331</f>
        <v>323</v>
      </c>
      <c r="B331" s="7" t="str">
        <f>Odds_Input!B331</f>
        <v>DPOY</v>
      </c>
      <c r="C331" s="7" t="str">
        <f>Odds_Input!C331</f>
        <v>Chet Holmgren</v>
      </c>
      <c r="D331" s="7" t="str">
        <f>Odds_Input!D331</f>
        <v>YES</v>
      </c>
      <c r="E331" s="31" t="str">
        <f>Odds_Input!E331</f>
        <v>-</v>
      </c>
      <c r="F331" s="32">
        <f>Odds_Input!F331</f>
        <v>1100</v>
      </c>
      <c r="G331" s="6" t="str">
        <f t="shared" si="845"/>
        <v>DPOY</v>
      </c>
      <c r="H331" s="14">
        <f t="shared" si="846"/>
        <v>12</v>
      </c>
      <c r="I331" s="33">
        <f t="shared" si="847"/>
        <v>8.3333333333333329E-2</v>
      </c>
      <c r="J331" s="17">
        <f t="shared" si="848"/>
        <v>1</v>
      </c>
      <c r="K331" s="17">
        <f t="shared" si="849"/>
        <v>17</v>
      </c>
      <c r="L331" s="18">
        <f t="shared" si="850"/>
        <v>1.114947275784421</v>
      </c>
      <c r="M331" s="34">
        <f t="shared" si="851"/>
        <v>0.11494727578442099</v>
      </c>
      <c r="N331" s="33">
        <f t="shared" si="852"/>
        <v>7.4741949815253977E-2</v>
      </c>
      <c r="O331" s="33">
        <f t="shared" si="853"/>
        <v>6.555624025580821E-2</v>
      </c>
      <c r="P331" s="33">
        <f t="shared" si="854"/>
        <v>7.5194828771956129E-2</v>
      </c>
      <c r="Q331" s="33">
        <f t="shared" si="855"/>
        <v>7.5194828771956129E-2</v>
      </c>
      <c r="R331" s="35">
        <f t="shared" si="856"/>
        <v>1.0965590498642999</v>
      </c>
      <c r="S331" s="35">
        <f t="shared" si="857"/>
        <v>8.2575333048411428E-3</v>
      </c>
    </row>
    <row r="332" spans="1:19" ht="15" customHeight="1" x14ac:dyDescent="0.3">
      <c r="A332" s="30">
        <f>Odds_Input!A332</f>
        <v>324</v>
      </c>
      <c r="B332" s="7" t="str">
        <f>Odds_Input!B332</f>
        <v>DPOY</v>
      </c>
      <c r="C332" s="7" t="str">
        <f>Odds_Input!C332</f>
        <v>Ausar Thompson</v>
      </c>
      <c r="D332" s="7" t="str">
        <f>Odds_Input!D332</f>
        <v>YES</v>
      </c>
      <c r="E332" s="31" t="str">
        <f>Odds_Input!E332</f>
        <v>-</v>
      </c>
      <c r="F332" s="32">
        <f>Odds_Input!F332</f>
        <v>2500</v>
      </c>
      <c r="G332" s="6" t="str">
        <f t="shared" si="845"/>
        <v>DPOY</v>
      </c>
      <c r="H332" s="14">
        <f t="shared" si="846"/>
        <v>26</v>
      </c>
      <c r="I332" s="33">
        <f t="shared" si="847"/>
        <v>3.8461538461538464E-2</v>
      </c>
      <c r="J332" s="17">
        <f t="shared" si="848"/>
        <v>1</v>
      </c>
      <c r="K332" s="17">
        <f t="shared" si="849"/>
        <v>17</v>
      </c>
      <c r="L332" s="18">
        <f t="shared" si="850"/>
        <v>1.114947275784421</v>
      </c>
      <c r="M332" s="34">
        <f t="shared" si="851"/>
        <v>0.11494727578442099</v>
      </c>
      <c r="N332" s="33">
        <f t="shared" si="852"/>
        <v>3.4496284530117223E-2</v>
      </c>
      <c r="O332" s="33">
        <f t="shared" si="853"/>
        <v>2.8080068956857433E-2</v>
      </c>
      <c r="P332" s="33">
        <f t="shared" si="854"/>
        <v>3.2649341640528483E-2</v>
      </c>
      <c r="Q332" s="33">
        <f t="shared" si="855"/>
        <v>3.2649341640528483E-2</v>
      </c>
      <c r="R332" s="35">
        <f t="shared" si="856"/>
        <v>1.0965590498642999</v>
      </c>
      <c r="S332" s="35">
        <f t="shared" si="857"/>
        <v>8.2575333048411428E-3</v>
      </c>
    </row>
    <row r="333" spans="1:19" ht="15" customHeight="1" x14ac:dyDescent="0.3">
      <c r="A333" s="30">
        <f>Odds_Input!A333</f>
        <v>325</v>
      </c>
      <c r="B333" s="7" t="str">
        <f>Odds_Input!B333</f>
        <v>DPOY</v>
      </c>
      <c r="C333" s="7" t="str">
        <f>Odds_Input!C333</f>
        <v>Rudy Gobert</v>
      </c>
      <c r="D333" s="7" t="str">
        <f>Odds_Input!D333</f>
        <v>YES</v>
      </c>
      <c r="E333" s="31" t="str">
        <f>Odds_Input!E333</f>
        <v>-</v>
      </c>
      <c r="F333" s="32">
        <f>Odds_Input!F333</f>
        <v>3000</v>
      </c>
      <c r="G333" s="6" t="str">
        <f t="shared" si="845"/>
        <v>DPOY</v>
      </c>
      <c r="H333" s="14">
        <f t="shared" si="846"/>
        <v>31</v>
      </c>
      <c r="I333" s="33">
        <f t="shared" si="847"/>
        <v>3.2258064516129031E-2</v>
      </c>
      <c r="J333" s="17">
        <f t="shared" si="848"/>
        <v>1</v>
      </c>
      <c r="K333" s="17">
        <f t="shared" si="849"/>
        <v>17</v>
      </c>
      <c r="L333" s="18">
        <f t="shared" si="850"/>
        <v>1.114947275784421</v>
      </c>
      <c r="M333" s="34">
        <f t="shared" si="851"/>
        <v>0.11494727578442099</v>
      </c>
      <c r="N333" s="33">
        <f t="shared" si="852"/>
        <v>2.8932367670420896E-2</v>
      </c>
      <c r="O333" s="33">
        <f t="shared" si="853"/>
        <v>2.3154416335868119E-2</v>
      </c>
      <c r="P333" s="33">
        <f t="shared" si="854"/>
        <v>2.6794971189992536E-2</v>
      </c>
      <c r="Q333" s="33">
        <f t="shared" si="855"/>
        <v>2.6794971189992536E-2</v>
      </c>
      <c r="R333" s="35">
        <f t="shared" si="856"/>
        <v>1.0965590498642999</v>
      </c>
      <c r="S333" s="35">
        <f t="shared" si="857"/>
        <v>8.2575333048411428E-3</v>
      </c>
    </row>
    <row r="334" spans="1:19" ht="15" customHeight="1" x14ac:dyDescent="0.3">
      <c r="A334" s="30">
        <f>Odds_Input!A334</f>
        <v>326</v>
      </c>
      <c r="B334" s="7" t="str">
        <f>Odds_Input!B334</f>
        <v>DPOY</v>
      </c>
      <c r="C334" s="7" t="str">
        <f>Odds_Input!C334</f>
        <v>Evan Mobley</v>
      </c>
      <c r="D334" s="7" t="str">
        <f>Odds_Input!D334</f>
        <v>YES</v>
      </c>
      <c r="E334" s="31" t="str">
        <f>Odds_Input!E334</f>
        <v>-</v>
      </c>
      <c r="F334" s="32">
        <f>Odds_Input!F334</f>
        <v>4000</v>
      </c>
      <c r="G334" s="6" t="str">
        <f t="shared" si="845"/>
        <v>DPOY</v>
      </c>
      <c r="H334" s="14">
        <f t="shared" si="846"/>
        <v>41</v>
      </c>
      <c r="I334" s="33">
        <f t="shared" si="847"/>
        <v>2.4390243902439025E-2</v>
      </c>
      <c r="J334" s="17">
        <f t="shared" si="848"/>
        <v>1</v>
      </c>
      <c r="K334" s="17">
        <f t="shared" si="849"/>
        <v>17</v>
      </c>
      <c r="L334" s="18">
        <f t="shared" si="850"/>
        <v>1.114947275784421</v>
      </c>
      <c r="M334" s="34">
        <f t="shared" si="851"/>
        <v>0.11494727578442099</v>
      </c>
      <c r="N334" s="33">
        <f t="shared" si="852"/>
        <v>2.1875692628854825E-2</v>
      </c>
      <c r="O334" s="33">
        <f t="shared" si="853"/>
        <v>1.7040693550856849E-2</v>
      </c>
      <c r="P334" s="33">
        <f t="shared" si="854"/>
        <v>1.9402249449853571E-2</v>
      </c>
      <c r="Q334" s="33">
        <f t="shared" si="855"/>
        <v>1.9402249449853571E-2</v>
      </c>
      <c r="R334" s="35">
        <f t="shared" si="856"/>
        <v>1.0965590498642999</v>
      </c>
      <c r="S334" s="35">
        <f t="shared" si="857"/>
        <v>8.2575333048411428E-3</v>
      </c>
    </row>
    <row r="335" spans="1:19" ht="15" customHeight="1" x14ac:dyDescent="0.3">
      <c r="A335" s="30">
        <f>Odds_Input!A335</f>
        <v>327</v>
      </c>
      <c r="B335" s="7" t="str">
        <f>Odds_Input!B335</f>
        <v>DPOY</v>
      </c>
      <c r="C335" s="7" t="str">
        <f>Odds_Input!C335</f>
        <v>Scottie Barnes</v>
      </c>
      <c r="D335" s="7" t="str">
        <f>Odds_Input!D335</f>
        <v>YES</v>
      </c>
      <c r="E335" s="31" t="str">
        <f>Odds_Input!E335</f>
        <v>-</v>
      </c>
      <c r="F335" s="32">
        <f>Odds_Input!F335</f>
        <v>5000</v>
      </c>
      <c r="G335" s="6" t="str">
        <f t="shared" si="845"/>
        <v>DPOY</v>
      </c>
      <c r="H335" s="14">
        <f t="shared" si="846"/>
        <v>51</v>
      </c>
      <c r="I335" s="33">
        <f t="shared" si="847"/>
        <v>1.9607843137254902E-2</v>
      </c>
      <c r="J335" s="17">
        <f t="shared" si="848"/>
        <v>1</v>
      </c>
      <c r="K335" s="17">
        <f t="shared" si="849"/>
        <v>17</v>
      </c>
      <c r="L335" s="18">
        <f t="shared" si="850"/>
        <v>1.114947275784421</v>
      </c>
      <c r="M335" s="34">
        <f t="shared" si="851"/>
        <v>0.11494727578442099</v>
      </c>
      <c r="N335" s="33">
        <f t="shared" si="852"/>
        <v>1.7586341133000935E-2</v>
      </c>
      <c r="O335" s="33">
        <f t="shared" si="853"/>
        <v>1.3413696327275817E-2</v>
      </c>
      <c r="P335" s="33">
        <f t="shared" si="854"/>
        <v>1.4942696556262356E-2</v>
      </c>
      <c r="Q335" s="33">
        <f t="shared" si="855"/>
        <v>1.4942696556262356E-2</v>
      </c>
      <c r="R335" s="35">
        <f t="shared" si="856"/>
        <v>1.0965590498642999</v>
      </c>
      <c r="S335" s="35">
        <f t="shared" si="857"/>
        <v>8.2575333048411428E-3</v>
      </c>
    </row>
    <row r="336" spans="1:19" ht="15" customHeight="1" x14ac:dyDescent="0.3">
      <c r="A336" s="30">
        <f>Odds_Input!A336</f>
        <v>328</v>
      </c>
      <c r="B336" s="7" t="str">
        <f>Odds_Input!B336</f>
        <v>DPOY</v>
      </c>
      <c r="C336" s="7" t="str">
        <f>Odds_Input!C336</f>
        <v>Bam Adebayo</v>
      </c>
      <c r="D336" s="7" t="str">
        <f>Odds_Input!D336</f>
        <v>YES</v>
      </c>
      <c r="E336" s="31" t="str">
        <f>Odds_Input!E336</f>
        <v>-</v>
      </c>
      <c r="F336" s="32">
        <f>Odds_Input!F336</f>
        <v>4000</v>
      </c>
      <c r="G336" s="6" t="str">
        <f t="shared" si="845"/>
        <v>DPOY</v>
      </c>
      <c r="H336" s="14">
        <f t="shared" si="846"/>
        <v>41</v>
      </c>
      <c r="I336" s="33">
        <f t="shared" si="847"/>
        <v>2.4390243902439025E-2</v>
      </c>
      <c r="J336" s="17">
        <f t="shared" si="848"/>
        <v>1</v>
      </c>
      <c r="K336" s="17">
        <f t="shared" si="849"/>
        <v>17</v>
      </c>
      <c r="L336" s="18">
        <f t="shared" si="850"/>
        <v>1.114947275784421</v>
      </c>
      <c r="M336" s="34">
        <f t="shared" si="851"/>
        <v>0.11494727578442099</v>
      </c>
      <c r="N336" s="33">
        <f t="shared" si="852"/>
        <v>2.1875692628854825E-2</v>
      </c>
      <c r="O336" s="33">
        <f t="shared" si="853"/>
        <v>1.7040693550856849E-2</v>
      </c>
      <c r="P336" s="33">
        <f t="shared" si="854"/>
        <v>1.9402249449853571E-2</v>
      </c>
      <c r="Q336" s="33">
        <f t="shared" si="855"/>
        <v>1.9402249449853571E-2</v>
      </c>
      <c r="R336" s="35">
        <f t="shared" si="856"/>
        <v>1.0965590498642999</v>
      </c>
      <c r="S336" s="35">
        <f t="shared" si="857"/>
        <v>8.2575333048411428E-3</v>
      </c>
    </row>
    <row r="337" spans="1:19" ht="15" customHeight="1" x14ac:dyDescent="0.3">
      <c r="A337" s="30">
        <f>Odds_Input!A337</f>
        <v>329</v>
      </c>
      <c r="B337" s="7" t="str">
        <f>Odds_Input!B337</f>
        <v>DPOY</v>
      </c>
      <c r="C337" s="7" t="str">
        <f>Odds_Input!C337</f>
        <v>Giannis Antetokounmpo</v>
      </c>
      <c r="D337" s="7" t="str">
        <f>Odds_Input!D337</f>
        <v>YES</v>
      </c>
      <c r="E337" s="31" t="str">
        <f>Odds_Input!E337</f>
        <v>-</v>
      </c>
      <c r="F337" s="32">
        <f>Odds_Input!F337</f>
        <v>7500</v>
      </c>
      <c r="G337" s="6" t="str">
        <f t="shared" si="845"/>
        <v>DPOY</v>
      </c>
      <c r="H337" s="14">
        <f t="shared" si="846"/>
        <v>76</v>
      </c>
      <c r="I337" s="33">
        <f t="shared" si="847"/>
        <v>1.3157894736842105E-2</v>
      </c>
      <c r="J337" s="17">
        <f t="shared" si="848"/>
        <v>1</v>
      </c>
      <c r="K337" s="17">
        <f t="shared" si="849"/>
        <v>17</v>
      </c>
      <c r="L337" s="18">
        <f t="shared" si="850"/>
        <v>1.114947275784421</v>
      </c>
      <c r="M337" s="34">
        <f t="shared" si="851"/>
        <v>0.11494727578442099</v>
      </c>
      <c r="N337" s="33">
        <f t="shared" si="852"/>
        <v>1.1801360497145365E-2</v>
      </c>
      <c r="O337" s="33">
        <f t="shared" si="853"/>
        <v>8.6611754112182245E-3</v>
      </c>
      <c r="P337" s="33">
        <f t="shared" si="854"/>
        <v>9.0241886644980771E-3</v>
      </c>
      <c r="Q337" s="33">
        <f t="shared" si="855"/>
        <v>9.0241886644980771E-3</v>
      </c>
      <c r="R337" s="35">
        <f t="shared" si="856"/>
        <v>1.0965590498642999</v>
      </c>
      <c r="S337" s="35">
        <f t="shared" si="857"/>
        <v>8.2575333048411428E-3</v>
      </c>
    </row>
    <row r="338" spans="1:19" ht="15" customHeight="1" x14ac:dyDescent="0.3">
      <c r="A338" s="30">
        <f>Odds_Input!A338</f>
        <v>330</v>
      </c>
      <c r="B338" s="7" t="str">
        <f>Odds_Input!B338</f>
        <v>DPOY</v>
      </c>
      <c r="C338" s="7" t="str">
        <f>Odds_Input!C338</f>
        <v>Amen Thompson</v>
      </c>
      <c r="D338" s="7" t="str">
        <f>Odds_Input!D338</f>
        <v>YES</v>
      </c>
      <c r="E338" s="31" t="str">
        <f>Odds_Input!E338</f>
        <v>-</v>
      </c>
      <c r="F338" s="32">
        <f>Odds_Input!F338</f>
        <v>7500</v>
      </c>
      <c r="G338" s="6" t="str">
        <f t="shared" si="845"/>
        <v>DPOY</v>
      </c>
      <c r="H338" s="14">
        <f t="shared" si="846"/>
        <v>76</v>
      </c>
      <c r="I338" s="33">
        <f t="shared" si="847"/>
        <v>1.3157894736842105E-2</v>
      </c>
      <c r="J338" s="17">
        <f t="shared" si="848"/>
        <v>1</v>
      </c>
      <c r="K338" s="17">
        <f t="shared" si="849"/>
        <v>17</v>
      </c>
      <c r="L338" s="18">
        <f t="shared" si="850"/>
        <v>1.114947275784421</v>
      </c>
      <c r="M338" s="34">
        <f t="shared" si="851"/>
        <v>0.11494727578442099</v>
      </c>
      <c r="N338" s="33">
        <f t="shared" si="852"/>
        <v>1.1801360497145365E-2</v>
      </c>
      <c r="O338" s="33">
        <f t="shared" si="853"/>
        <v>8.6611754112182245E-3</v>
      </c>
      <c r="P338" s="33">
        <f t="shared" si="854"/>
        <v>9.0241886644980771E-3</v>
      </c>
      <c r="Q338" s="33">
        <f t="shared" si="855"/>
        <v>9.0241886644980771E-3</v>
      </c>
      <c r="R338" s="35">
        <f t="shared" si="856"/>
        <v>1.0965590498642999</v>
      </c>
      <c r="S338" s="35">
        <f t="shared" si="857"/>
        <v>8.2575333048411428E-3</v>
      </c>
    </row>
    <row r="339" spans="1:19" ht="15" customHeight="1" x14ac:dyDescent="0.3">
      <c r="A339" s="30">
        <f>Odds_Input!A339</f>
        <v>331</v>
      </c>
      <c r="B339" s="7" t="str">
        <f>Odds_Input!B339</f>
        <v>DPOY</v>
      </c>
      <c r="C339" s="7" t="str">
        <f>Odds_Input!C339</f>
        <v>Jaren Jackson Jr</v>
      </c>
      <c r="D339" s="7" t="str">
        <f>Odds_Input!D339</f>
        <v>YES</v>
      </c>
      <c r="E339" s="31" t="str">
        <f>Odds_Input!E339</f>
        <v>-</v>
      </c>
      <c r="F339" s="32">
        <f>Odds_Input!F339</f>
        <v>7500</v>
      </c>
      <c r="G339" s="6" t="str">
        <f t="shared" si="845"/>
        <v>DPOY</v>
      </c>
      <c r="H339" s="14">
        <f t="shared" si="846"/>
        <v>76</v>
      </c>
      <c r="I339" s="33">
        <f t="shared" si="847"/>
        <v>1.3157894736842105E-2</v>
      </c>
      <c r="J339" s="17">
        <f t="shared" si="848"/>
        <v>1</v>
      </c>
      <c r="K339" s="17">
        <f t="shared" si="849"/>
        <v>17</v>
      </c>
      <c r="L339" s="18">
        <f t="shared" si="850"/>
        <v>1.114947275784421</v>
      </c>
      <c r="M339" s="34">
        <f t="shared" si="851"/>
        <v>0.11494727578442099</v>
      </c>
      <c r="N339" s="33">
        <f t="shared" si="852"/>
        <v>1.1801360497145365E-2</v>
      </c>
      <c r="O339" s="33">
        <f t="shared" si="853"/>
        <v>8.6611754112182245E-3</v>
      </c>
      <c r="P339" s="33">
        <f t="shared" si="854"/>
        <v>9.0241886644980771E-3</v>
      </c>
      <c r="Q339" s="33">
        <f t="shared" si="855"/>
        <v>9.0241886644980771E-3</v>
      </c>
      <c r="R339" s="35">
        <f t="shared" si="856"/>
        <v>1.0965590498642999</v>
      </c>
      <c r="S339" s="35">
        <f t="shared" si="857"/>
        <v>8.2575333048411428E-3</v>
      </c>
    </row>
    <row r="340" spans="1:19" ht="15" customHeight="1" x14ac:dyDescent="0.3">
      <c r="A340" s="30">
        <f>Odds_Input!A340</f>
        <v>332</v>
      </c>
      <c r="B340" s="7" t="str">
        <f>Odds_Input!B340</f>
        <v>DPOY</v>
      </c>
      <c r="C340" s="7" t="str">
        <f>Odds_Input!C340</f>
        <v>OG Anunoby</v>
      </c>
      <c r="D340" s="7" t="str">
        <f>Odds_Input!D340</f>
        <v>YES</v>
      </c>
      <c r="E340" s="31" t="str">
        <f>Odds_Input!E340</f>
        <v>-</v>
      </c>
      <c r="F340" s="32">
        <f>Odds_Input!F340</f>
        <v>6500</v>
      </c>
      <c r="G340" s="6" t="str">
        <f t="shared" si="845"/>
        <v>DPOY</v>
      </c>
      <c r="H340" s="14">
        <f t="shared" si="846"/>
        <v>66</v>
      </c>
      <c r="I340" s="33">
        <f t="shared" si="847"/>
        <v>1.5151515151515152E-2</v>
      </c>
      <c r="J340" s="17">
        <f t="shared" si="848"/>
        <v>1</v>
      </c>
      <c r="K340" s="17">
        <f t="shared" si="849"/>
        <v>17</v>
      </c>
      <c r="L340" s="18">
        <f t="shared" si="850"/>
        <v>1.114947275784421</v>
      </c>
      <c r="M340" s="34">
        <f t="shared" si="851"/>
        <v>0.11494727578442099</v>
      </c>
      <c r="N340" s="33">
        <f t="shared" si="852"/>
        <v>1.3589445420955269E-2</v>
      </c>
      <c r="O340" s="33">
        <f t="shared" si="853"/>
        <v>1.0110267137772381E-2</v>
      </c>
      <c r="P340" s="33">
        <f t="shared" si="854"/>
        <v>1.0835084082184906E-2</v>
      </c>
      <c r="Q340" s="33">
        <f t="shared" si="855"/>
        <v>1.0835084082184906E-2</v>
      </c>
      <c r="R340" s="35">
        <f t="shared" si="856"/>
        <v>1.0965590498642999</v>
      </c>
      <c r="S340" s="35">
        <f t="shared" si="857"/>
        <v>8.2575333048411428E-3</v>
      </c>
    </row>
    <row r="341" spans="1:19" ht="15" customHeight="1" x14ac:dyDescent="0.3">
      <c r="A341" s="30">
        <f>Odds_Input!A341</f>
        <v>333</v>
      </c>
      <c r="B341" s="7" t="str">
        <f>Odds_Input!B341</f>
        <v>DPOY</v>
      </c>
      <c r="C341" s="7" t="str">
        <f>Odds_Input!C341</f>
        <v>Jaden McDaniels</v>
      </c>
      <c r="D341" s="7" t="str">
        <f>Odds_Input!D341</f>
        <v>YES</v>
      </c>
      <c r="E341" s="31" t="str">
        <f>Odds_Input!E341</f>
        <v>-</v>
      </c>
      <c r="F341" s="32">
        <f>Odds_Input!F341</f>
        <v>10000</v>
      </c>
      <c r="G341" s="6" t="str">
        <f t="shared" si="845"/>
        <v>DPOY</v>
      </c>
      <c r="H341" s="14">
        <f t="shared" si="846"/>
        <v>101</v>
      </c>
      <c r="I341" s="33">
        <f t="shared" si="847"/>
        <v>9.9009900990099011E-3</v>
      </c>
      <c r="J341" s="17">
        <f t="shared" si="848"/>
        <v>1</v>
      </c>
      <c r="K341" s="17">
        <f t="shared" si="849"/>
        <v>17</v>
      </c>
      <c r="L341" s="18">
        <f t="shared" si="850"/>
        <v>1.114947275784421</v>
      </c>
      <c r="M341" s="34">
        <f t="shared" si="851"/>
        <v>0.11494727578442099</v>
      </c>
      <c r="N341" s="33">
        <f t="shared" si="852"/>
        <v>8.8802316612182942E-3</v>
      </c>
      <c r="O341" s="33">
        <f t="shared" si="853"/>
        <v>6.3407883746066851E-3</v>
      </c>
      <c r="P341" s="33">
        <f t="shared" si="854"/>
        <v>6.1318512515918296E-3</v>
      </c>
      <c r="Q341" s="33">
        <f t="shared" si="855"/>
        <v>6.1318512515918296E-3</v>
      </c>
      <c r="R341" s="35">
        <f t="shared" si="856"/>
        <v>1.0965590498642999</v>
      </c>
      <c r="S341" s="35">
        <f t="shared" si="857"/>
        <v>8.2575333048411428E-3</v>
      </c>
    </row>
    <row r="342" spans="1:19" ht="15" customHeight="1" x14ac:dyDescent="0.3">
      <c r="A342" s="30">
        <f>Odds_Input!A342</f>
        <v>334</v>
      </c>
      <c r="B342" s="7" t="str">
        <f>Odds_Input!B342</f>
        <v>DPOY</v>
      </c>
      <c r="C342" s="7" t="str">
        <f>Odds_Input!C342</f>
        <v>Dyson Daniels</v>
      </c>
      <c r="D342" s="7" t="str">
        <f>Odds_Input!D342</f>
        <v>YES</v>
      </c>
      <c r="E342" s="31" t="str">
        <f>Odds_Input!E342</f>
        <v>-</v>
      </c>
      <c r="F342" s="32">
        <f>Odds_Input!F342</f>
        <v>7500</v>
      </c>
      <c r="G342" s="6" t="str">
        <f t="shared" si="845"/>
        <v>DPOY</v>
      </c>
      <c r="H342" s="14">
        <f t="shared" si="846"/>
        <v>76</v>
      </c>
      <c r="I342" s="33">
        <f t="shared" si="847"/>
        <v>1.3157894736842105E-2</v>
      </c>
      <c r="J342" s="17">
        <f t="shared" si="848"/>
        <v>1</v>
      </c>
      <c r="K342" s="17">
        <f t="shared" si="849"/>
        <v>17</v>
      </c>
      <c r="L342" s="18">
        <f t="shared" si="850"/>
        <v>1.114947275784421</v>
      </c>
      <c r="M342" s="34">
        <f t="shared" si="851"/>
        <v>0.11494727578442099</v>
      </c>
      <c r="N342" s="33">
        <f t="shared" si="852"/>
        <v>1.1801360497145365E-2</v>
      </c>
      <c r="O342" s="33">
        <f t="shared" si="853"/>
        <v>8.6611754112182245E-3</v>
      </c>
      <c r="P342" s="33">
        <f t="shared" si="854"/>
        <v>9.0241886644980771E-3</v>
      </c>
      <c r="Q342" s="33">
        <f t="shared" si="855"/>
        <v>9.0241886644980771E-3</v>
      </c>
      <c r="R342" s="35">
        <f t="shared" si="856"/>
        <v>1.0965590498642999</v>
      </c>
      <c r="S342" s="35">
        <f t="shared" si="857"/>
        <v>8.2575333048411428E-3</v>
      </c>
    </row>
    <row r="343" spans="1:19" ht="15" customHeight="1" x14ac:dyDescent="0.3">
      <c r="A343" s="30">
        <f>Odds_Input!A343</f>
        <v>335</v>
      </c>
      <c r="B343" s="7" t="str">
        <f>Odds_Input!B343</f>
        <v>DPOY</v>
      </c>
      <c r="C343" s="7" t="str">
        <f>Odds_Input!C343</f>
        <v>Walker Kessler</v>
      </c>
      <c r="D343" s="7" t="str">
        <f>Odds_Input!D343</f>
        <v>YES</v>
      </c>
      <c r="E343" s="31" t="str">
        <f>Odds_Input!E343</f>
        <v>-</v>
      </c>
      <c r="F343" s="32">
        <f>Odds_Input!F343</f>
        <v>8000</v>
      </c>
      <c r="G343" s="6" t="str">
        <f t="shared" si="845"/>
        <v>DPOY</v>
      </c>
      <c r="H343" s="14">
        <f t="shared" si="846"/>
        <v>81</v>
      </c>
      <c r="I343" s="33">
        <f t="shared" si="847"/>
        <v>1.2345679012345678E-2</v>
      </c>
      <c r="J343" s="17">
        <f t="shared" si="848"/>
        <v>1</v>
      </c>
      <c r="K343" s="17">
        <f t="shared" si="849"/>
        <v>17</v>
      </c>
      <c r="L343" s="18">
        <f t="shared" si="850"/>
        <v>1.114947275784421</v>
      </c>
      <c r="M343" s="34">
        <f t="shared" si="851"/>
        <v>0.11494727578442099</v>
      </c>
      <c r="N343" s="33">
        <f t="shared" si="852"/>
        <v>1.1072881454111701E-2</v>
      </c>
      <c r="O343" s="33">
        <f t="shared" si="853"/>
        <v>8.0766912447859957E-3</v>
      </c>
      <c r="P343" s="33">
        <f t="shared" si="854"/>
        <v>8.293670646599291E-3</v>
      </c>
      <c r="Q343" s="33">
        <f t="shared" si="855"/>
        <v>8.293670646599291E-3</v>
      </c>
      <c r="R343" s="35">
        <f t="shared" si="856"/>
        <v>1.0965590498642999</v>
      </c>
      <c r="S343" s="35">
        <f t="shared" si="857"/>
        <v>8.2575333048411428E-3</v>
      </c>
    </row>
    <row r="344" spans="1:19" ht="15" customHeight="1" x14ac:dyDescent="0.3">
      <c r="A344" s="30">
        <f>Odds_Input!A344</f>
        <v>336</v>
      </c>
      <c r="B344" s="7" t="str">
        <f>Odds_Input!B344</f>
        <v>DPOY</v>
      </c>
      <c r="C344" s="7" t="str">
        <f>Odds_Input!C344</f>
        <v>Ivica Zubac</v>
      </c>
      <c r="D344" s="7" t="str">
        <f>Odds_Input!D344</f>
        <v>YES</v>
      </c>
      <c r="E344" s="31" t="str">
        <f>Odds_Input!E344</f>
        <v>-</v>
      </c>
      <c r="F344" s="32">
        <f>Odds_Input!F344</f>
        <v>15000</v>
      </c>
      <c r="G344" s="6" t="str">
        <f t="shared" si="845"/>
        <v>DPOY</v>
      </c>
      <c r="H344" s="14">
        <f t="shared" si="846"/>
        <v>151</v>
      </c>
      <c r="I344" s="33">
        <f t="shared" si="847"/>
        <v>6.6225165562913907E-3</v>
      </c>
      <c r="J344" s="17">
        <f t="shared" si="848"/>
        <v>1</v>
      </c>
      <c r="K344" s="17">
        <f t="shared" si="849"/>
        <v>17</v>
      </c>
      <c r="L344" s="18">
        <f t="shared" si="850"/>
        <v>1.114947275784421</v>
      </c>
      <c r="M344" s="34">
        <f t="shared" si="851"/>
        <v>0.11494727578442099</v>
      </c>
      <c r="N344" s="33">
        <f t="shared" si="852"/>
        <v>5.9397576012122366E-3</v>
      </c>
      <c r="O344" s="33">
        <f t="shared" si="853"/>
        <v>4.0796519084541644E-3</v>
      </c>
      <c r="P344" s="33">
        <f t="shared" si="854"/>
        <v>3.3863881308398695E-3</v>
      </c>
      <c r="Q344" s="33">
        <f t="shared" si="855"/>
        <v>3.3863881308398695E-3</v>
      </c>
      <c r="R344" s="35">
        <f t="shared" si="856"/>
        <v>1.0965590498642999</v>
      </c>
      <c r="S344" s="35">
        <f t="shared" si="857"/>
        <v>8.2575333048411428E-3</v>
      </c>
    </row>
    <row r="345" spans="1:19" ht="15" customHeight="1" x14ac:dyDescent="0.3">
      <c r="A345" s="30">
        <f>Odds_Input!A345</f>
        <v>337</v>
      </c>
      <c r="B345" s="7" t="str">
        <f>Odds_Input!B345</f>
        <v>DPOY</v>
      </c>
      <c r="C345" s="7" t="str">
        <f>Odds_Input!C345</f>
        <v>Donovan Clingan</v>
      </c>
      <c r="D345" s="7" t="str">
        <f>Odds_Input!D345</f>
        <v>YES</v>
      </c>
      <c r="E345" s="31" t="str">
        <f>Odds_Input!E345</f>
        <v>-</v>
      </c>
      <c r="F345" s="32">
        <f>Odds_Input!F345</f>
        <v>15000</v>
      </c>
      <c r="G345" s="6" t="str">
        <f t="shared" si="845"/>
        <v>DPOY</v>
      </c>
      <c r="H345" s="14">
        <f t="shared" si="846"/>
        <v>151</v>
      </c>
      <c r="I345" s="33">
        <f t="shared" si="847"/>
        <v>6.6225165562913907E-3</v>
      </c>
      <c r="J345" s="17">
        <f t="shared" si="848"/>
        <v>1</v>
      </c>
      <c r="K345" s="17">
        <f t="shared" si="849"/>
        <v>17</v>
      </c>
      <c r="L345" s="18">
        <f t="shared" si="850"/>
        <v>1.114947275784421</v>
      </c>
      <c r="M345" s="34">
        <f t="shared" si="851"/>
        <v>0.11494727578442099</v>
      </c>
      <c r="N345" s="33">
        <f t="shared" si="852"/>
        <v>5.9397576012122366E-3</v>
      </c>
      <c r="O345" s="33">
        <f t="shared" si="853"/>
        <v>4.0796519084541644E-3</v>
      </c>
      <c r="P345" s="33">
        <f t="shared" si="854"/>
        <v>3.3863881308398695E-3</v>
      </c>
      <c r="Q345" s="33">
        <f t="shared" si="855"/>
        <v>3.3863881308398695E-3</v>
      </c>
      <c r="R345" s="35">
        <f t="shared" si="856"/>
        <v>1.0965590498642999</v>
      </c>
      <c r="S345" s="35">
        <f t="shared" si="857"/>
        <v>8.2575333048411428E-3</v>
      </c>
    </row>
    <row r="346" spans="1:19" ht="15" customHeight="1" x14ac:dyDescent="0.3">
      <c r="A346" s="30">
        <f>Odds_Input!A346</f>
        <v>338</v>
      </c>
      <c r="B346" s="7" t="str">
        <f>Odds_Input!B346</f>
        <v>DPOY</v>
      </c>
      <c r="C346" s="7" t="str">
        <f>Odds_Input!C346</f>
        <v>Cason Wallace</v>
      </c>
      <c r="D346" s="7" t="str">
        <f>Odds_Input!D346</f>
        <v>YES</v>
      </c>
      <c r="E346" s="31" t="str">
        <f>Odds_Input!E346</f>
        <v>-</v>
      </c>
      <c r="F346" s="32">
        <f>Odds_Input!F346</f>
        <v>15000</v>
      </c>
      <c r="G346" s="6" t="str">
        <f t="shared" si="845"/>
        <v>DPOY</v>
      </c>
      <c r="H346" s="14">
        <f t="shared" si="846"/>
        <v>151</v>
      </c>
      <c r="I346" s="33">
        <f t="shared" si="847"/>
        <v>6.6225165562913907E-3</v>
      </c>
      <c r="J346" s="17">
        <f t="shared" si="848"/>
        <v>1</v>
      </c>
      <c r="K346" s="17">
        <f t="shared" si="849"/>
        <v>17</v>
      </c>
      <c r="L346" s="18">
        <f t="shared" si="850"/>
        <v>1.114947275784421</v>
      </c>
      <c r="M346" s="34">
        <f t="shared" si="851"/>
        <v>0.11494727578442099</v>
      </c>
      <c r="N346" s="33">
        <f t="shared" si="852"/>
        <v>5.9397576012122366E-3</v>
      </c>
      <c r="O346" s="33">
        <f t="shared" si="853"/>
        <v>4.0796519084541644E-3</v>
      </c>
      <c r="P346" s="33">
        <f t="shared" si="854"/>
        <v>3.3863881308398695E-3</v>
      </c>
      <c r="Q346" s="33">
        <f t="shared" si="855"/>
        <v>3.3863881308398695E-3</v>
      </c>
      <c r="R346" s="35">
        <f t="shared" si="856"/>
        <v>1.0965590498642999</v>
      </c>
      <c r="S346" s="35">
        <f t="shared" si="857"/>
        <v>8.2575333048411428E-3</v>
      </c>
    </row>
    <row r="347" spans="1:19" ht="15" customHeight="1" x14ac:dyDescent="0.3">
      <c r="A347" s="30">
        <f>Odds_Input!A347</f>
        <v>339</v>
      </c>
      <c r="B347" s="7" t="str">
        <f>Odds_Input!B347</f>
        <v>ROY</v>
      </c>
      <c r="C347" s="7" t="str">
        <f>Odds_Input!C347</f>
        <v>Cameron Boozer</v>
      </c>
      <c r="D347" s="7" t="str">
        <f>Odds_Input!D347</f>
        <v>YES</v>
      </c>
      <c r="E347" s="31" t="str">
        <f>Odds_Input!E347</f>
        <v>-</v>
      </c>
      <c r="F347" s="32">
        <f>Odds_Input!F347</f>
        <v>300</v>
      </c>
      <c r="G347" s="6" t="str">
        <f t="shared" si="845"/>
        <v>ROY</v>
      </c>
      <c r="H347" s="14">
        <f t="shared" si="846"/>
        <v>4</v>
      </c>
      <c r="I347" s="33">
        <f t="shared" si="847"/>
        <v>0.25</v>
      </c>
      <c r="J347" s="17">
        <f t="shared" si="848"/>
        <v>1</v>
      </c>
      <c r="K347" s="17">
        <f t="shared" si="849"/>
        <v>16</v>
      </c>
      <c r="L347" s="18">
        <f t="shared" si="850"/>
        <v>1.1888421350034255</v>
      </c>
      <c r="M347" s="34">
        <f t="shared" si="851"/>
        <v>0.1888421350034255</v>
      </c>
      <c r="N347" s="33">
        <f t="shared" si="852"/>
        <v>0.21028864357947716</v>
      </c>
      <c r="O347" s="33">
        <f t="shared" si="853"/>
        <v>0.22020342055289888</v>
      </c>
      <c r="P347" s="33">
        <f t="shared" si="854"/>
        <v>0.22316364545179956</v>
      </c>
      <c r="Q347" s="33">
        <f t="shared" si="855"/>
        <v>0.22316364545179956</v>
      </c>
      <c r="R347" s="35">
        <f t="shared" si="856"/>
        <v>1.0915456077782433</v>
      </c>
      <c r="S347" s="35">
        <f t="shared" si="857"/>
        <v>1.5979015649449899E-2</v>
      </c>
    </row>
    <row r="348" spans="1:19" ht="15" customHeight="1" x14ac:dyDescent="0.3">
      <c r="A348" s="30">
        <f>Odds_Input!A348</f>
        <v>340</v>
      </c>
      <c r="B348" s="7" t="str">
        <f>Odds_Input!B348</f>
        <v>ROY</v>
      </c>
      <c r="C348" s="7" t="str">
        <f>Odds_Input!C348</f>
        <v>Darryn Peterson</v>
      </c>
      <c r="D348" s="7" t="str">
        <f>Odds_Input!D348</f>
        <v>YES</v>
      </c>
      <c r="E348" s="31" t="str">
        <f>Odds_Input!E348</f>
        <v>-</v>
      </c>
      <c r="F348" s="32">
        <f>Odds_Input!F348</f>
        <v>330</v>
      </c>
      <c r="G348" s="6" t="str">
        <f t="shared" si="845"/>
        <v>ROY</v>
      </c>
      <c r="H348" s="14">
        <f t="shared" si="846"/>
        <v>4.3</v>
      </c>
      <c r="I348" s="33">
        <f t="shared" si="847"/>
        <v>0.23255813953488372</v>
      </c>
      <c r="J348" s="17">
        <f t="shared" si="848"/>
        <v>1</v>
      </c>
      <c r="K348" s="17">
        <f t="shared" si="849"/>
        <v>16</v>
      </c>
      <c r="L348" s="18">
        <f t="shared" si="850"/>
        <v>1.1888421350034255</v>
      </c>
      <c r="M348" s="34">
        <f t="shared" si="851"/>
        <v>0.1888421350034255</v>
      </c>
      <c r="N348" s="33">
        <f t="shared" si="852"/>
        <v>0.1956173428646299</v>
      </c>
      <c r="O348" s="33">
        <f t="shared" si="853"/>
        <v>0.20348869642465195</v>
      </c>
      <c r="P348" s="33">
        <f t="shared" si="854"/>
        <v>0.20704826022518347</v>
      </c>
      <c r="Q348" s="33">
        <f t="shared" si="855"/>
        <v>0.20704826022518347</v>
      </c>
      <c r="R348" s="35">
        <f t="shared" si="856"/>
        <v>1.0915456077782433</v>
      </c>
      <c r="S348" s="35">
        <f t="shared" si="857"/>
        <v>1.5979015649449899E-2</v>
      </c>
    </row>
    <row r="349" spans="1:19" ht="15" customHeight="1" x14ac:dyDescent="0.3">
      <c r="A349" s="30">
        <f>Odds_Input!A349</f>
        <v>341</v>
      </c>
      <c r="B349" s="7" t="str">
        <f>Odds_Input!B349</f>
        <v>ROY</v>
      </c>
      <c r="C349" s="7" t="str">
        <f>Odds_Input!C349</f>
        <v>Caleb Wilson</v>
      </c>
      <c r="D349" s="7" t="str">
        <f>Odds_Input!D349</f>
        <v>YES</v>
      </c>
      <c r="E349" s="31" t="str">
        <f>Odds_Input!E349</f>
        <v>-</v>
      </c>
      <c r="F349" s="32">
        <f>Odds_Input!F349</f>
        <v>350</v>
      </c>
      <c r="G349" s="6" t="str">
        <f t="shared" si="845"/>
        <v>ROY</v>
      </c>
      <c r="H349" s="14">
        <f t="shared" si="846"/>
        <v>4.5</v>
      </c>
      <c r="I349" s="33">
        <f t="shared" si="847"/>
        <v>0.22222222222222221</v>
      </c>
      <c r="J349" s="17">
        <f t="shared" si="848"/>
        <v>1</v>
      </c>
      <c r="K349" s="17">
        <f t="shared" si="849"/>
        <v>16</v>
      </c>
      <c r="L349" s="18">
        <f t="shared" si="850"/>
        <v>1.1888421350034255</v>
      </c>
      <c r="M349" s="34">
        <f t="shared" si="851"/>
        <v>0.1888421350034255</v>
      </c>
      <c r="N349" s="33">
        <f t="shared" si="852"/>
        <v>0.18692323873731301</v>
      </c>
      <c r="O349" s="33">
        <f t="shared" si="853"/>
        <v>0.19363718017694692</v>
      </c>
      <c r="P349" s="33">
        <f t="shared" si="854"/>
        <v>0.19749919288006035</v>
      </c>
      <c r="Q349" s="33">
        <f t="shared" si="855"/>
        <v>0.19749919288006035</v>
      </c>
      <c r="R349" s="35">
        <f t="shared" si="856"/>
        <v>1.0915456077782433</v>
      </c>
      <c r="S349" s="35">
        <f t="shared" si="857"/>
        <v>1.5979015649449899E-2</v>
      </c>
    </row>
    <row r="350" spans="1:19" ht="15" customHeight="1" x14ac:dyDescent="0.3">
      <c r="A350" s="30">
        <f>Odds_Input!A350</f>
        <v>342</v>
      </c>
      <c r="B350" s="7" t="str">
        <f>Odds_Input!B350</f>
        <v>ROY</v>
      </c>
      <c r="C350" s="7" t="str">
        <f>Odds_Input!C350</f>
        <v>AJ Dybantsa</v>
      </c>
      <c r="D350" s="7" t="str">
        <f>Odds_Input!D350</f>
        <v>YES</v>
      </c>
      <c r="E350" s="31" t="str">
        <f>Odds_Input!E350</f>
        <v>-</v>
      </c>
      <c r="F350" s="32">
        <f>Odds_Input!F350</f>
        <v>400</v>
      </c>
      <c r="G350" s="6" t="str">
        <f t="shared" si="845"/>
        <v>ROY</v>
      </c>
      <c r="H350" s="14">
        <f t="shared" si="846"/>
        <v>5</v>
      </c>
      <c r="I350" s="33">
        <f t="shared" si="847"/>
        <v>0.2</v>
      </c>
      <c r="J350" s="17">
        <f t="shared" si="848"/>
        <v>1</v>
      </c>
      <c r="K350" s="17">
        <f t="shared" si="849"/>
        <v>16</v>
      </c>
      <c r="L350" s="18">
        <f t="shared" si="850"/>
        <v>1.1888421350034255</v>
      </c>
      <c r="M350" s="34">
        <f t="shared" si="851"/>
        <v>0.1888421350034255</v>
      </c>
      <c r="N350" s="33">
        <f t="shared" si="852"/>
        <v>0.16823091486358172</v>
      </c>
      <c r="O350" s="33">
        <f t="shared" si="853"/>
        <v>0.17260062412679877</v>
      </c>
      <c r="P350" s="33">
        <f t="shared" si="854"/>
        <v>0.17697118752078489</v>
      </c>
      <c r="Q350" s="33">
        <f t="shared" si="855"/>
        <v>0.17697118752078489</v>
      </c>
      <c r="R350" s="35">
        <f t="shared" si="856"/>
        <v>1.0915456077782433</v>
      </c>
      <c r="S350" s="35">
        <f t="shared" si="857"/>
        <v>1.5979015649449899E-2</v>
      </c>
    </row>
    <row r="351" spans="1:19" ht="15" customHeight="1" x14ac:dyDescent="0.3">
      <c r="A351" s="30">
        <f>Odds_Input!A351</f>
        <v>343</v>
      </c>
      <c r="B351" s="7" t="str">
        <f>Odds_Input!B351</f>
        <v>ROY</v>
      </c>
      <c r="C351" s="7" t="str">
        <f>Odds_Input!C351</f>
        <v>Darius Acuff Jr</v>
      </c>
      <c r="D351" s="7" t="str">
        <f>Odds_Input!D351</f>
        <v>YES</v>
      </c>
      <c r="E351" s="31" t="str">
        <f>Odds_Input!E351</f>
        <v>-</v>
      </c>
      <c r="F351" s="32">
        <f>Odds_Input!F351</f>
        <v>1200</v>
      </c>
      <c r="G351" s="6" t="str">
        <f t="shared" si="845"/>
        <v>ROY</v>
      </c>
      <c r="H351" s="14">
        <f t="shared" si="846"/>
        <v>13</v>
      </c>
      <c r="I351" s="33">
        <f t="shared" si="847"/>
        <v>7.6923076923076927E-2</v>
      </c>
      <c r="J351" s="17">
        <f t="shared" si="848"/>
        <v>1</v>
      </c>
      <c r="K351" s="17">
        <f t="shared" si="849"/>
        <v>16</v>
      </c>
      <c r="L351" s="18">
        <f t="shared" si="850"/>
        <v>1.1888421350034255</v>
      </c>
      <c r="M351" s="34">
        <f t="shared" si="851"/>
        <v>0.1888421350034255</v>
      </c>
      <c r="N351" s="33">
        <f t="shared" si="852"/>
        <v>6.4704198024454512E-2</v>
      </c>
      <c r="O351" s="33">
        <f t="shared" si="853"/>
        <v>6.0824707128438536E-2</v>
      </c>
      <c r="P351" s="33">
        <f t="shared" si="854"/>
        <v>6.3462813205799412E-2</v>
      </c>
      <c r="Q351" s="33">
        <f t="shared" si="855"/>
        <v>6.3462813205799412E-2</v>
      </c>
      <c r="R351" s="35">
        <f t="shared" si="856"/>
        <v>1.0915456077782433</v>
      </c>
      <c r="S351" s="35">
        <f t="shared" si="857"/>
        <v>1.5979015649449899E-2</v>
      </c>
    </row>
    <row r="352" spans="1:19" ht="15" customHeight="1" x14ac:dyDescent="0.3">
      <c r="A352" s="30">
        <f>Odds_Input!A352</f>
        <v>344</v>
      </c>
      <c r="B352" s="7" t="str">
        <f>Odds_Input!B352</f>
        <v>ROY</v>
      </c>
      <c r="C352" s="7" t="str">
        <f>Odds_Input!C352</f>
        <v>Yaxel Lendeborg</v>
      </c>
      <c r="D352" s="7" t="str">
        <f>Odds_Input!D352</f>
        <v>YES</v>
      </c>
      <c r="E352" s="31" t="str">
        <f>Odds_Input!E352</f>
        <v>-</v>
      </c>
      <c r="F352" s="32">
        <f>Odds_Input!F352</f>
        <v>1500</v>
      </c>
      <c r="G352" s="6" t="str">
        <f t="shared" si="845"/>
        <v>ROY</v>
      </c>
      <c r="H352" s="14">
        <f t="shared" si="846"/>
        <v>16</v>
      </c>
      <c r="I352" s="33">
        <f t="shared" si="847"/>
        <v>6.25E-2</v>
      </c>
      <c r="J352" s="17">
        <f t="shared" si="848"/>
        <v>1</v>
      </c>
      <c r="K352" s="17">
        <f t="shared" si="849"/>
        <v>16</v>
      </c>
      <c r="L352" s="18">
        <f t="shared" si="850"/>
        <v>1.1888421350034255</v>
      </c>
      <c r="M352" s="34">
        <f t="shared" si="851"/>
        <v>0.1888421350034255</v>
      </c>
      <c r="N352" s="33">
        <f t="shared" si="852"/>
        <v>5.257216089486929E-2</v>
      </c>
      <c r="O352" s="33">
        <f t="shared" si="853"/>
        <v>4.8489546423196847E-2</v>
      </c>
      <c r="P352" s="33">
        <f t="shared" si="854"/>
        <v>5.023345795392968E-2</v>
      </c>
      <c r="Q352" s="33">
        <f t="shared" si="855"/>
        <v>5.023345795392968E-2</v>
      </c>
      <c r="R352" s="35">
        <f t="shared" si="856"/>
        <v>1.0915456077782433</v>
      </c>
      <c r="S352" s="35">
        <f t="shared" si="857"/>
        <v>1.5979015649449899E-2</v>
      </c>
    </row>
    <row r="353" spans="1:19" ht="15" customHeight="1" x14ac:dyDescent="0.3">
      <c r="A353" s="30">
        <f>Odds_Input!A353</f>
        <v>345</v>
      </c>
      <c r="B353" s="7" t="str">
        <f>Odds_Input!B353</f>
        <v>ROY</v>
      </c>
      <c r="C353" s="7" t="str">
        <f>Odds_Input!C353</f>
        <v>Mikel Brown Jr</v>
      </c>
      <c r="D353" s="7" t="str">
        <f>Odds_Input!D353</f>
        <v>YES</v>
      </c>
      <c r="E353" s="31" t="str">
        <f>Odds_Input!E353</f>
        <v>-</v>
      </c>
      <c r="F353" s="32">
        <f>Odds_Input!F353</f>
        <v>2000</v>
      </c>
      <c r="G353" s="6" t="str">
        <f t="shared" si="845"/>
        <v>ROY</v>
      </c>
      <c r="H353" s="14">
        <f t="shared" si="846"/>
        <v>21</v>
      </c>
      <c r="I353" s="33">
        <f t="shared" si="847"/>
        <v>4.7619047619047616E-2</v>
      </c>
      <c r="J353" s="17">
        <f t="shared" si="848"/>
        <v>1</v>
      </c>
      <c r="K353" s="17">
        <f t="shared" si="849"/>
        <v>16</v>
      </c>
      <c r="L353" s="18">
        <f t="shared" si="850"/>
        <v>1.1888421350034255</v>
      </c>
      <c r="M353" s="34">
        <f t="shared" si="851"/>
        <v>0.1888421350034255</v>
      </c>
      <c r="N353" s="33">
        <f t="shared" si="852"/>
        <v>4.005497972942422E-2</v>
      </c>
      <c r="O353" s="33">
        <f t="shared" si="853"/>
        <v>3.6036062901384093E-2</v>
      </c>
      <c r="P353" s="33">
        <f t="shared" si="854"/>
        <v>3.6649885786425043E-2</v>
      </c>
      <c r="Q353" s="33">
        <f t="shared" si="855"/>
        <v>3.6649885786425043E-2</v>
      </c>
      <c r="R353" s="35">
        <f t="shared" si="856"/>
        <v>1.0915456077782433</v>
      </c>
      <c r="S353" s="35">
        <f t="shared" si="857"/>
        <v>1.5979015649449899E-2</v>
      </c>
    </row>
    <row r="354" spans="1:19" ht="15" customHeight="1" x14ac:dyDescent="0.3">
      <c r="A354" s="30">
        <f>Odds_Input!A354</f>
        <v>346</v>
      </c>
      <c r="B354" s="7" t="str">
        <f>Odds_Input!B354</f>
        <v>ROY</v>
      </c>
      <c r="C354" s="7" t="str">
        <f>Odds_Input!C354</f>
        <v>Keaton Wagler</v>
      </c>
      <c r="D354" s="7" t="str">
        <f>Odds_Input!D354</f>
        <v>YES</v>
      </c>
      <c r="E354" s="31" t="str">
        <f>Odds_Input!E354</f>
        <v>-</v>
      </c>
      <c r="F354" s="32">
        <f>Odds_Input!F354</f>
        <v>4000</v>
      </c>
      <c r="G354" s="6" t="str">
        <f t="shared" si="845"/>
        <v>ROY</v>
      </c>
      <c r="H354" s="14">
        <f t="shared" si="846"/>
        <v>41</v>
      </c>
      <c r="I354" s="33">
        <f t="shared" si="847"/>
        <v>2.4390243902439025E-2</v>
      </c>
      <c r="J354" s="17">
        <f t="shared" si="848"/>
        <v>1</v>
      </c>
      <c r="K354" s="17">
        <f t="shared" si="849"/>
        <v>16</v>
      </c>
      <c r="L354" s="18">
        <f t="shared" si="850"/>
        <v>1.1888421350034255</v>
      </c>
      <c r="M354" s="34">
        <f t="shared" si="851"/>
        <v>0.1888421350034255</v>
      </c>
      <c r="N354" s="33">
        <f t="shared" si="852"/>
        <v>2.0515965227266064E-2</v>
      </c>
      <c r="O354" s="33">
        <f t="shared" si="853"/>
        <v>1.7360925159377531E-2</v>
      </c>
      <c r="P354" s="33">
        <f t="shared" si="854"/>
        <v>1.5848172296996671E-2</v>
      </c>
      <c r="Q354" s="33">
        <f t="shared" si="855"/>
        <v>1.5848172296996671E-2</v>
      </c>
      <c r="R354" s="35">
        <f t="shared" si="856"/>
        <v>1.0915456077782433</v>
      </c>
      <c r="S354" s="35">
        <f t="shared" si="857"/>
        <v>1.5979015649449899E-2</v>
      </c>
    </row>
    <row r="355" spans="1:19" ht="15" customHeight="1" x14ac:dyDescent="0.3">
      <c r="A355" s="30">
        <f>Odds_Input!A355</f>
        <v>347</v>
      </c>
      <c r="B355" s="7" t="str">
        <f>Odds_Input!B355</f>
        <v>ROY</v>
      </c>
      <c r="C355" s="7" t="str">
        <f>Odds_Input!C355</f>
        <v>Nate Ament</v>
      </c>
      <c r="D355" s="7" t="str">
        <f>Odds_Input!D355</f>
        <v>YES</v>
      </c>
      <c r="E355" s="31" t="str">
        <f>Odds_Input!E355</f>
        <v>-</v>
      </c>
      <c r="F355" s="32">
        <f>Odds_Input!F355</f>
        <v>10000</v>
      </c>
      <c r="G355" s="6" t="str">
        <f t="shared" si="845"/>
        <v>ROY</v>
      </c>
      <c r="H355" s="14">
        <f t="shared" si="846"/>
        <v>101</v>
      </c>
      <c r="I355" s="33">
        <f t="shared" si="847"/>
        <v>9.9009900990099011E-3</v>
      </c>
      <c r="J355" s="17">
        <f t="shared" si="848"/>
        <v>1</v>
      </c>
      <c r="K355" s="17">
        <f t="shared" si="849"/>
        <v>16</v>
      </c>
      <c r="L355" s="18">
        <f t="shared" si="850"/>
        <v>1.1888421350034255</v>
      </c>
      <c r="M355" s="34">
        <f t="shared" si="851"/>
        <v>0.1888421350034255</v>
      </c>
      <c r="N355" s="33">
        <f t="shared" si="852"/>
        <v>8.3282631120585003E-3</v>
      </c>
      <c r="O355" s="33">
        <f t="shared" si="853"/>
        <v>6.4892096877514115E-3</v>
      </c>
      <c r="P355" s="33">
        <f t="shared" si="854"/>
        <v>4.116733963707115E-3</v>
      </c>
      <c r="Q355" s="33">
        <f t="shared" si="855"/>
        <v>4.116733963707115E-3</v>
      </c>
      <c r="R355" s="35">
        <f t="shared" si="856"/>
        <v>1.0915456077782433</v>
      </c>
      <c r="S355" s="35">
        <f t="shared" si="857"/>
        <v>1.5979015649449899E-2</v>
      </c>
    </row>
    <row r="356" spans="1:19" ht="15" customHeight="1" x14ac:dyDescent="0.3">
      <c r="A356" s="30">
        <f>Odds_Input!A356</f>
        <v>348</v>
      </c>
      <c r="B356" s="7" t="str">
        <f>Odds_Input!B356</f>
        <v>ROY</v>
      </c>
      <c r="C356" s="7" t="str">
        <f>Odds_Input!C356</f>
        <v>Kingston Flemings</v>
      </c>
      <c r="D356" s="7" t="str">
        <f>Odds_Input!D356</f>
        <v>YES</v>
      </c>
      <c r="E356" s="31" t="str">
        <f>Odds_Input!E356</f>
        <v>-</v>
      </c>
      <c r="F356" s="32">
        <f>Odds_Input!F356</f>
        <v>10000</v>
      </c>
      <c r="G356" s="6" t="str">
        <f t="shared" si="845"/>
        <v>ROY</v>
      </c>
      <c r="H356" s="14">
        <f t="shared" si="846"/>
        <v>101</v>
      </c>
      <c r="I356" s="33">
        <f t="shared" si="847"/>
        <v>9.9009900990099011E-3</v>
      </c>
      <c r="J356" s="17">
        <f t="shared" si="848"/>
        <v>1</v>
      </c>
      <c r="K356" s="17">
        <f t="shared" si="849"/>
        <v>16</v>
      </c>
      <c r="L356" s="18">
        <f t="shared" si="850"/>
        <v>1.1888421350034255</v>
      </c>
      <c r="M356" s="34">
        <f t="shared" si="851"/>
        <v>0.1888421350034255</v>
      </c>
      <c r="N356" s="33">
        <f t="shared" si="852"/>
        <v>8.3282631120585003E-3</v>
      </c>
      <c r="O356" s="33">
        <f t="shared" si="853"/>
        <v>6.4892096877514115E-3</v>
      </c>
      <c r="P356" s="33">
        <f t="shared" si="854"/>
        <v>4.116733963707115E-3</v>
      </c>
      <c r="Q356" s="33">
        <f t="shared" si="855"/>
        <v>4.116733963707115E-3</v>
      </c>
      <c r="R356" s="35">
        <f t="shared" si="856"/>
        <v>1.0915456077782433</v>
      </c>
      <c r="S356" s="35">
        <f t="shared" si="857"/>
        <v>1.5979015649449899E-2</v>
      </c>
    </row>
    <row r="357" spans="1:19" ht="15" customHeight="1" x14ac:dyDescent="0.3">
      <c r="A357" s="30">
        <f>Odds_Input!A357</f>
        <v>349</v>
      </c>
      <c r="B357" s="7" t="str">
        <f>Odds_Input!B357</f>
        <v>ROY</v>
      </c>
      <c r="C357" s="7" t="str">
        <f>Odds_Input!C357</f>
        <v>Brayden Burries</v>
      </c>
      <c r="D357" s="7" t="str">
        <f>Odds_Input!D357</f>
        <v>YES</v>
      </c>
      <c r="E357" s="31" t="str">
        <f>Odds_Input!E357</f>
        <v>-</v>
      </c>
      <c r="F357" s="32">
        <f>Odds_Input!F357</f>
        <v>7500</v>
      </c>
      <c r="G357" s="6" t="str">
        <f t="shared" si="845"/>
        <v>ROY</v>
      </c>
      <c r="H357" s="14">
        <f t="shared" si="846"/>
        <v>76</v>
      </c>
      <c r="I357" s="33">
        <f t="shared" si="847"/>
        <v>1.3157894736842105E-2</v>
      </c>
      <c r="J357" s="17">
        <f t="shared" si="848"/>
        <v>1</v>
      </c>
      <c r="K357" s="17">
        <f t="shared" si="849"/>
        <v>16</v>
      </c>
      <c r="L357" s="18">
        <f t="shared" si="850"/>
        <v>1.1888421350034255</v>
      </c>
      <c r="M357" s="34">
        <f t="shared" si="851"/>
        <v>0.1888421350034255</v>
      </c>
      <c r="N357" s="33">
        <f t="shared" si="852"/>
        <v>1.106782334628827E-2</v>
      </c>
      <c r="O357" s="33">
        <f t="shared" si="853"/>
        <v>8.8512821385040505E-3</v>
      </c>
      <c r="P357" s="33">
        <f t="shared" si="854"/>
        <v>6.5066289351597322E-3</v>
      </c>
      <c r="Q357" s="33">
        <f t="shared" si="855"/>
        <v>6.5066289351597322E-3</v>
      </c>
      <c r="R357" s="35">
        <f t="shared" si="856"/>
        <v>1.0915456077782433</v>
      </c>
      <c r="S357" s="35">
        <f t="shared" si="857"/>
        <v>1.5979015649449899E-2</v>
      </c>
    </row>
    <row r="358" spans="1:19" ht="15" customHeight="1" x14ac:dyDescent="0.3">
      <c r="A358" s="30">
        <f>Odds_Input!A358</f>
        <v>350</v>
      </c>
      <c r="B358" s="7" t="str">
        <f>Odds_Input!B358</f>
        <v>ROY</v>
      </c>
      <c r="C358" s="7" t="str">
        <f>Odds_Input!C358</f>
        <v>Morez Johnson Jr</v>
      </c>
      <c r="D358" s="7" t="str">
        <f>Odds_Input!D358</f>
        <v>YES</v>
      </c>
      <c r="E358" s="31" t="str">
        <f>Odds_Input!E358</f>
        <v>-</v>
      </c>
      <c r="F358" s="32">
        <f>Odds_Input!F358</f>
        <v>10000</v>
      </c>
      <c r="G358" s="6" t="str">
        <f t="shared" si="845"/>
        <v>ROY</v>
      </c>
      <c r="H358" s="14">
        <f t="shared" si="846"/>
        <v>101</v>
      </c>
      <c r="I358" s="33">
        <f t="shared" si="847"/>
        <v>9.9009900990099011E-3</v>
      </c>
      <c r="J358" s="17">
        <f t="shared" si="848"/>
        <v>1</v>
      </c>
      <c r="K358" s="17">
        <f t="shared" si="849"/>
        <v>16</v>
      </c>
      <c r="L358" s="18">
        <f t="shared" si="850"/>
        <v>1.1888421350034255</v>
      </c>
      <c r="M358" s="34">
        <f t="shared" si="851"/>
        <v>0.1888421350034255</v>
      </c>
      <c r="N358" s="33">
        <f t="shared" si="852"/>
        <v>8.3282631120585003E-3</v>
      </c>
      <c r="O358" s="33">
        <f t="shared" si="853"/>
        <v>6.4892096877514115E-3</v>
      </c>
      <c r="P358" s="33">
        <f t="shared" si="854"/>
        <v>4.116733963707115E-3</v>
      </c>
      <c r="Q358" s="33">
        <f t="shared" si="855"/>
        <v>4.116733963707115E-3</v>
      </c>
      <c r="R358" s="35">
        <f t="shared" si="856"/>
        <v>1.0915456077782433</v>
      </c>
      <c r="S358" s="35">
        <f t="shared" si="857"/>
        <v>1.5979015649449899E-2</v>
      </c>
    </row>
    <row r="359" spans="1:19" ht="15" customHeight="1" x14ac:dyDescent="0.3">
      <c r="A359" s="30">
        <f>Odds_Input!A359</f>
        <v>351</v>
      </c>
      <c r="B359" s="7" t="str">
        <f>Odds_Input!B359</f>
        <v>ROY</v>
      </c>
      <c r="C359" s="7" t="str">
        <f>Odds_Input!C359</f>
        <v>Cameron Carr</v>
      </c>
      <c r="D359" s="7" t="str">
        <f>Odds_Input!D359</f>
        <v>YES</v>
      </c>
      <c r="E359" s="31" t="str">
        <f>Odds_Input!E359</f>
        <v>-</v>
      </c>
      <c r="F359" s="32">
        <f>Odds_Input!F359</f>
        <v>10000</v>
      </c>
      <c r="G359" s="6" t="str">
        <f t="shared" si="845"/>
        <v>ROY</v>
      </c>
      <c r="H359" s="14">
        <f t="shared" si="846"/>
        <v>101</v>
      </c>
      <c r="I359" s="33">
        <f t="shared" si="847"/>
        <v>9.9009900990099011E-3</v>
      </c>
      <c r="J359" s="17">
        <f t="shared" si="848"/>
        <v>1</v>
      </c>
      <c r="K359" s="17">
        <f t="shared" si="849"/>
        <v>16</v>
      </c>
      <c r="L359" s="18">
        <f t="shared" si="850"/>
        <v>1.1888421350034255</v>
      </c>
      <c r="M359" s="34">
        <f t="shared" si="851"/>
        <v>0.1888421350034255</v>
      </c>
      <c r="N359" s="33">
        <f t="shared" si="852"/>
        <v>8.3282631120585003E-3</v>
      </c>
      <c r="O359" s="33">
        <f t="shared" si="853"/>
        <v>6.4892096877514115E-3</v>
      </c>
      <c r="P359" s="33">
        <f t="shared" si="854"/>
        <v>4.116733963707115E-3</v>
      </c>
      <c r="Q359" s="33">
        <f t="shared" si="855"/>
        <v>4.116733963707115E-3</v>
      </c>
      <c r="R359" s="35">
        <f t="shared" si="856"/>
        <v>1.0915456077782433</v>
      </c>
      <c r="S359" s="35">
        <f t="shared" si="857"/>
        <v>1.5979015649449899E-2</v>
      </c>
    </row>
    <row r="360" spans="1:19" ht="15" customHeight="1" x14ac:dyDescent="0.3">
      <c r="A360" s="30">
        <f>Odds_Input!A360</f>
        <v>352</v>
      </c>
      <c r="B360" s="7" t="str">
        <f>Odds_Input!B360</f>
        <v>ROY</v>
      </c>
      <c r="C360" s="7" t="str">
        <f>Odds_Input!C360</f>
        <v>Dailyn Swain</v>
      </c>
      <c r="D360" s="7" t="str">
        <f>Odds_Input!D360</f>
        <v>YES</v>
      </c>
      <c r="E360" s="31" t="str">
        <f>Odds_Input!E360</f>
        <v>-</v>
      </c>
      <c r="F360" s="32">
        <f>Odds_Input!F360</f>
        <v>15000</v>
      </c>
      <c r="G360" s="6" t="str">
        <f t="shared" si="845"/>
        <v>ROY</v>
      </c>
      <c r="H360" s="14">
        <f t="shared" si="846"/>
        <v>151</v>
      </c>
      <c r="I360" s="33">
        <f t="shared" si="847"/>
        <v>6.6225165562913907E-3</v>
      </c>
      <c r="J360" s="17">
        <f t="shared" si="848"/>
        <v>1</v>
      </c>
      <c r="K360" s="17">
        <f t="shared" si="849"/>
        <v>16</v>
      </c>
      <c r="L360" s="18">
        <f t="shared" si="850"/>
        <v>1.1888421350034255</v>
      </c>
      <c r="M360" s="34">
        <f t="shared" si="851"/>
        <v>0.1888421350034255</v>
      </c>
      <c r="N360" s="33">
        <f t="shared" si="852"/>
        <v>5.5705600948205867E-3</v>
      </c>
      <c r="O360" s="33">
        <f t="shared" si="853"/>
        <v>4.1835723473927265E-3</v>
      </c>
      <c r="P360" s="33">
        <f t="shared" si="854"/>
        <v>2.0499398498114345E-3</v>
      </c>
      <c r="Q360" s="33">
        <f t="shared" si="855"/>
        <v>2.0499398498114345E-3</v>
      </c>
      <c r="R360" s="35">
        <f t="shared" si="856"/>
        <v>1.0915456077782433</v>
      </c>
      <c r="S360" s="35">
        <f t="shared" si="857"/>
        <v>1.5979015649449899E-2</v>
      </c>
    </row>
    <row r="361" spans="1:19" ht="15" customHeight="1" x14ac:dyDescent="0.3">
      <c r="A361" s="30">
        <f>Odds_Input!A361</f>
        <v>353</v>
      </c>
      <c r="B361" s="7" t="str">
        <f>Odds_Input!B361</f>
        <v>ROY</v>
      </c>
      <c r="C361" s="7" t="str">
        <f>Odds_Input!C361</f>
        <v>Labaron Philon</v>
      </c>
      <c r="D361" s="7" t="str">
        <f>Odds_Input!D361</f>
        <v>YES</v>
      </c>
      <c r="E361" s="31" t="str">
        <f>Odds_Input!E361</f>
        <v>-</v>
      </c>
      <c r="F361" s="32">
        <f>Odds_Input!F361</f>
        <v>15000</v>
      </c>
      <c r="G361" s="6" t="str">
        <f t="shared" si="845"/>
        <v>ROY</v>
      </c>
      <c r="H361" s="14">
        <f t="shared" si="846"/>
        <v>151</v>
      </c>
      <c r="I361" s="33">
        <f t="shared" si="847"/>
        <v>6.6225165562913907E-3</v>
      </c>
      <c r="J361" s="17">
        <f t="shared" si="848"/>
        <v>1</v>
      </c>
      <c r="K361" s="17">
        <f t="shared" si="849"/>
        <v>16</v>
      </c>
      <c r="L361" s="18">
        <f t="shared" si="850"/>
        <v>1.1888421350034255</v>
      </c>
      <c r="M361" s="34">
        <f t="shared" si="851"/>
        <v>0.1888421350034255</v>
      </c>
      <c r="N361" s="33">
        <f t="shared" si="852"/>
        <v>5.5705600948205867E-3</v>
      </c>
      <c r="O361" s="33">
        <f t="shared" si="853"/>
        <v>4.1835723473927265E-3</v>
      </c>
      <c r="P361" s="33">
        <f t="shared" si="854"/>
        <v>2.0499398498114345E-3</v>
      </c>
      <c r="Q361" s="33">
        <f t="shared" si="855"/>
        <v>2.0499398498114345E-3</v>
      </c>
      <c r="R361" s="35">
        <f t="shared" si="856"/>
        <v>1.0915456077782433</v>
      </c>
      <c r="S361" s="35">
        <f t="shared" si="857"/>
        <v>1.5979015649449899E-2</v>
      </c>
    </row>
    <row r="362" spans="1:19" ht="15" customHeight="1" x14ac:dyDescent="0.3">
      <c r="A362" s="30">
        <f>Odds_Input!A362</f>
        <v>354</v>
      </c>
      <c r="B362" s="7" t="str">
        <f>Odds_Input!B362</f>
        <v>ROY</v>
      </c>
      <c r="C362" s="7" t="str">
        <f>Odds_Input!C362</f>
        <v>Ebuka Okorie</v>
      </c>
      <c r="D362" s="7" t="str">
        <f>Odds_Input!D362</f>
        <v>YES</v>
      </c>
      <c r="E362" s="31" t="str">
        <f>Odds_Input!E362</f>
        <v>-</v>
      </c>
      <c r="F362" s="32">
        <f>Odds_Input!F362</f>
        <v>15000</v>
      </c>
      <c r="G362" s="6" t="str">
        <f t="shared" si="845"/>
        <v>ROY</v>
      </c>
      <c r="H362" s="14">
        <f t="shared" si="846"/>
        <v>151</v>
      </c>
      <c r="I362" s="33">
        <f t="shared" si="847"/>
        <v>6.6225165562913907E-3</v>
      </c>
      <c r="J362" s="17">
        <f t="shared" si="848"/>
        <v>1</v>
      </c>
      <c r="K362" s="17">
        <f t="shared" si="849"/>
        <v>16</v>
      </c>
      <c r="L362" s="18">
        <f t="shared" si="850"/>
        <v>1.1888421350034255</v>
      </c>
      <c r="M362" s="34">
        <f t="shared" si="851"/>
        <v>0.1888421350034255</v>
      </c>
      <c r="N362" s="33">
        <f t="shared" si="852"/>
        <v>5.5705600948205867E-3</v>
      </c>
      <c r="O362" s="33">
        <f t="shared" si="853"/>
        <v>4.1835723473927265E-3</v>
      </c>
      <c r="P362" s="33">
        <f t="shared" si="854"/>
        <v>2.0499398498114345E-3</v>
      </c>
      <c r="Q362" s="33">
        <f t="shared" si="855"/>
        <v>2.0499398498114345E-3</v>
      </c>
      <c r="R362" s="35">
        <f t="shared" si="856"/>
        <v>1.0915456077782433</v>
      </c>
      <c r="S362" s="35">
        <f t="shared" si="857"/>
        <v>1.5979015649449899E-2</v>
      </c>
    </row>
    <row r="363" spans="1:19" ht="15" customHeight="1" x14ac:dyDescent="0.3">
      <c r="A363" s="30">
        <f>Odds_Input!A363</f>
        <v>355</v>
      </c>
      <c r="B363" s="7" t="str">
        <f>Odds_Input!B363</f>
        <v>SMOY</v>
      </c>
      <c r="C363" s="7" t="str">
        <f>Odds_Input!C363</f>
        <v>Dylan Harper</v>
      </c>
      <c r="D363" s="7" t="str">
        <f>Odds_Input!D363</f>
        <v>YES</v>
      </c>
      <c r="E363" s="31" t="str">
        <f>Odds_Input!E363</f>
        <v>-</v>
      </c>
      <c r="F363" s="32">
        <f>Odds_Input!F363</f>
        <v>750</v>
      </c>
      <c r="G363" s="6" t="str">
        <f t="shared" si="845"/>
        <v>SMOY</v>
      </c>
      <c r="H363" s="14">
        <f t="shared" si="846"/>
        <v>8.5</v>
      </c>
      <c r="I363" s="33">
        <f t="shared" si="847"/>
        <v>0.11764705882352941</v>
      </c>
      <c r="J363" s="17">
        <f t="shared" si="848"/>
        <v>1</v>
      </c>
      <c r="K363" s="17">
        <f t="shared" si="849"/>
        <v>27</v>
      </c>
      <c r="L363" s="18">
        <f t="shared" si="850"/>
        <v>1.0216061091972586</v>
      </c>
      <c r="M363" s="34">
        <f t="shared" si="851"/>
        <v>2.1606109197258583E-2</v>
      </c>
      <c r="N363" s="33">
        <f t="shared" si="852"/>
        <v>0.11515892256749742</v>
      </c>
      <c r="O363" s="33">
        <f t="shared" si="853"/>
        <v>0.11590523706863476</v>
      </c>
      <c r="P363" s="33">
        <f t="shared" si="854"/>
        <v>0.11602895802324611</v>
      </c>
      <c r="Q363" s="33">
        <f t="shared" si="855"/>
        <v>0.11602895802324611</v>
      </c>
      <c r="R363" s="35">
        <f t="shared" si="856"/>
        <v>1.0069699621060861</v>
      </c>
      <c r="S363" s="35">
        <f t="shared" si="857"/>
        <v>8.3252967339765734E-4</v>
      </c>
    </row>
    <row r="364" spans="1:19" ht="15" customHeight="1" x14ac:dyDescent="0.3">
      <c r="A364" s="30">
        <f>Odds_Input!A364</f>
        <v>356</v>
      </c>
      <c r="B364" s="7" t="str">
        <f>Odds_Input!B364</f>
        <v>SMOY</v>
      </c>
      <c r="C364" s="7" t="str">
        <f>Odds_Input!C364</f>
        <v>Reed Sheppard</v>
      </c>
      <c r="D364" s="7" t="str">
        <f>Odds_Input!D364</f>
        <v>YES</v>
      </c>
      <c r="E364" s="31" t="str">
        <f>Odds_Input!E364</f>
        <v>-</v>
      </c>
      <c r="F364" s="32">
        <f>Odds_Input!F364</f>
        <v>2000</v>
      </c>
      <c r="G364" s="6" t="str">
        <f t="shared" si="845"/>
        <v>SMOY</v>
      </c>
      <c r="H364" s="14">
        <f t="shared" si="846"/>
        <v>21</v>
      </c>
      <c r="I364" s="33">
        <f t="shared" si="847"/>
        <v>4.7619047619047616E-2</v>
      </c>
      <c r="J364" s="17">
        <f t="shared" si="848"/>
        <v>1</v>
      </c>
      <c r="K364" s="17">
        <f t="shared" si="849"/>
        <v>27</v>
      </c>
      <c r="L364" s="18">
        <f t="shared" si="850"/>
        <v>1.0216061091972586</v>
      </c>
      <c r="M364" s="34">
        <f t="shared" si="851"/>
        <v>2.1606109197258583E-2</v>
      </c>
      <c r="N364" s="33">
        <f t="shared" si="852"/>
        <v>4.6611944848748949E-2</v>
      </c>
      <c r="O364" s="33">
        <f t="shared" si="853"/>
        <v>4.6619207542681187E-2</v>
      </c>
      <c r="P364" s="33">
        <f t="shared" si="854"/>
        <v>4.6717658475230101E-2</v>
      </c>
      <c r="Q364" s="33">
        <f t="shared" si="855"/>
        <v>4.6717658475230101E-2</v>
      </c>
      <c r="R364" s="35">
        <f t="shared" si="856"/>
        <v>1.0069699621060861</v>
      </c>
      <c r="S364" s="35">
        <f t="shared" si="857"/>
        <v>8.3252967339765734E-4</v>
      </c>
    </row>
    <row r="365" spans="1:19" ht="15" customHeight="1" x14ac:dyDescent="0.3">
      <c r="A365" s="30">
        <f>Odds_Input!A365</f>
        <v>357</v>
      </c>
      <c r="B365" s="7" t="str">
        <f>Odds_Input!B365</f>
        <v>SMOY</v>
      </c>
      <c r="C365" s="7" t="str">
        <f>Odds_Input!C365</f>
        <v>Anfernee Simons</v>
      </c>
      <c r="D365" s="7" t="str">
        <f>Odds_Input!D365</f>
        <v>YES</v>
      </c>
      <c r="E365" s="31" t="str">
        <f>Odds_Input!E365</f>
        <v>-</v>
      </c>
      <c r="F365" s="32">
        <f>Odds_Input!F365</f>
        <v>1200</v>
      </c>
      <c r="G365" s="6" t="str">
        <f t="shared" si="845"/>
        <v>SMOY</v>
      </c>
      <c r="H365" s="14">
        <f t="shared" si="846"/>
        <v>13</v>
      </c>
      <c r="I365" s="33">
        <f t="shared" si="847"/>
        <v>7.6923076923076927E-2</v>
      </c>
      <c r="J365" s="17">
        <f t="shared" si="848"/>
        <v>1</v>
      </c>
      <c r="K365" s="17">
        <f t="shared" si="849"/>
        <v>27</v>
      </c>
      <c r="L365" s="18">
        <f t="shared" si="850"/>
        <v>1.0216061091972586</v>
      </c>
      <c r="M365" s="34">
        <f t="shared" si="851"/>
        <v>2.1606109197258583E-2</v>
      </c>
      <c r="N365" s="33">
        <f t="shared" si="852"/>
        <v>7.5296218601825241E-2</v>
      </c>
      <c r="O365" s="33">
        <f t="shared" si="853"/>
        <v>7.5560096645967995E-2</v>
      </c>
      <c r="P365" s="33">
        <f t="shared" si="854"/>
        <v>7.572152872787466E-2</v>
      </c>
      <c r="Q365" s="33">
        <f t="shared" si="855"/>
        <v>7.572152872787466E-2</v>
      </c>
      <c r="R365" s="35">
        <f t="shared" si="856"/>
        <v>1.0069699621060861</v>
      </c>
      <c r="S365" s="35">
        <f t="shared" si="857"/>
        <v>8.3252967339765734E-4</v>
      </c>
    </row>
    <row r="366" spans="1:19" ht="15" customHeight="1" x14ac:dyDescent="0.3">
      <c r="A366" s="30">
        <f>Odds_Input!A366</f>
        <v>358</v>
      </c>
      <c r="B366" s="7" t="str">
        <f>Odds_Input!B366</f>
        <v>SMOY</v>
      </c>
      <c r="C366" s="7" t="str">
        <f>Odds_Input!C366</f>
        <v>Ajay Mitchell</v>
      </c>
      <c r="D366" s="7" t="str">
        <f>Odds_Input!D366</f>
        <v>YES</v>
      </c>
      <c r="E366" s="31" t="str">
        <f>Odds_Input!E366</f>
        <v>-</v>
      </c>
      <c r="F366" s="32">
        <f>Odds_Input!F366</f>
        <v>600</v>
      </c>
      <c r="G366" s="6" t="str">
        <f t="shared" si="845"/>
        <v>SMOY</v>
      </c>
      <c r="H366" s="14">
        <f t="shared" si="846"/>
        <v>7</v>
      </c>
      <c r="I366" s="33">
        <f t="shared" si="847"/>
        <v>0.14285714285714285</v>
      </c>
      <c r="J366" s="17">
        <f t="shared" si="848"/>
        <v>1</v>
      </c>
      <c r="K366" s="17">
        <f t="shared" si="849"/>
        <v>27</v>
      </c>
      <c r="L366" s="18">
        <f t="shared" si="850"/>
        <v>1.0216061091972586</v>
      </c>
      <c r="M366" s="34">
        <f t="shared" si="851"/>
        <v>2.1606109197258583E-2</v>
      </c>
      <c r="N366" s="33">
        <f t="shared" si="852"/>
        <v>0.13983583454624685</v>
      </c>
      <c r="O366" s="33">
        <f t="shared" si="853"/>
        <v>0.14093266314028388</v>
      </c>
      <c r="P366" s="33">
        <f t="shared" si="854"/>
        <v>0.14098128888539407</v>
      </c>
      <c r="Q366" s="33">
        <f t="shared" si="855"/>
        <v>0.14098128888539407</v>
      </c>
      <c r="R366" s="35">
        <f t="shared" si="856"/>
        <v>1.0069699621060861</v>
      </c>
      <c r="S366" s="35">
        <f t="shared" si="857"/>
        <v>8.3252967339765734E-4</v>
      </c>
    </row>
    <row r="367" spans="1:19" ht="15" customHeight="1" x14ac:dyDescent="0.3">
      <c r="A367" s="30">
        <f>Odds_Input!A367</f>
        <v>359</v>
      </c>
      <c r="B367" s="7" t="str">
        <f>Odds_Input!B367</f>
        <v>SMOY</v>
      </c>
      <c r="C367" s="7" t="str">
        <f>Odds_Input!C367</f>
        <v>Aaron Wiggins</v>
      </c>
      <c r="D367" s="7" t="str">
        <f>Odds_Input!D367</f>
        <v>YES</v>
      </c>
      <c r="E367" s="31" t="str">
        <f>Odds_Input!E367</f>
        <v>-</v>
      </c>
      <c r="F367" s="32">
        <f>Odds_Input!F367</f>
        <v>3000</v>
      </c>
      <c r="G367" s="6" t="str">
        <f t="shared" si="845"/>
        <v>SMOY</v>
      </c>
      <c r="H367" s="14">
        <f t="shared" si="846"/>
        <v>31</v>
      </c>
      <c r="I367" s="33">
        <f t="shared" si="847"/>
        <v>3.2258064516129031E-2</v>
      </c>
      <c r="J367" s="17">
        <f t="shared" si="848"/>
        <v>1</v>
      </c>
      <c r="K367" s="17">
        <f t="shared" si="849"/>
        <v>27</v>
      </c>
      <c r="L367" s="18">
        <f t="shared" si="850"/>
        <v>1.0216061091972586</v>
      </c>
      <c r="M367" s="34">
        <f t="shared" si="851"/>
        <v>2.1606109197258583E-2</v>
      </c>
      <c r="N367" s="33">
        <f t="shared" si="852"/>
        <v>3.1575833607217031E-2</v>
      </c>
      <c r="O367" s="33">
        <f t="shared" si="853"/>
        <v>3.1495142065920891E-2</v>
      </c>
      <c r="P367" s="33">
        <f t="shared" si="854"/>
        <v>3.1514525846935031E-2</v>
      </c>
      <c r="Q367" s="33">
        <f t="shared" si="855"/>
        <v>3.1514525846935031E-2</v>
      </c>
      <c r="R367" s="35">
        <f t="shared" si="856"/>
        <v>1.0069699621060861</v>
      </c>
      <c r="S367" s="35">
        <f t="shared" si="857"/>
        <v>8.3252967339765734E-4</v>
      </c>
    </row>
    <row r="368" spans="1:19" ht="15" customHeight="1" x14ac:dyDescent="0.3">
      <c r="A368" s="30">
        <f>Odds_Input!A368</f>
        <v>360</v>
      </c>
      <c r="B368" s="7" t="str">
        <f>Odds_Input!B368</f>
        <v>SMOY</v>
      </c>
      <c r="C368" s="7" t="str">
        <f>Odds_Input!C368</f>
        <v>Keldon Johnson</v>
      </c>
      <c r="D368" s="7" t="str">
        <f>Odds_Input!D368</f>
        <v>YES</v>
      </c>
      <c r="E368" s="31" t="str">
        <f>Odds_Input!E368</f>
        <v>-</v>
      </c>
      <c r="F368" s="32">
        <f>Odds_Input!F368</f>
        <v>3000</v>
      </c>
      <c r="G368" s="6" t="str">
        <f t="shared" si="845"/>
        <v>SMOY</v>
      </c>
      <c r="H368" s="14">
        <f t="shared" si="846"/>
        <v>31</v>
      </c>
      <c r="I368" s="33">
        <f t="shared" si="847"/>
        <v>3.2258064516129031E-2</v>
      </c>
      <c r="J368" s="17">
        <f t="shared" si="848"/>
        <v>1</v>
      </c>
      <c r="K368" s="17">
        <f t="shared" si="849"/>
        <v>27</v>
      </c>
      <c r="L368" s="18">
        <f t="shared" si="850"/>
        <v>1.0216061091972586</v>
      </c>
      <c r="M368" s="34">
        <f t="shared" si="851"/>
        <v>2.1606109197258583E-2</v>
      </c>
      <c r="N368" s="33">
        <f t="shared" si="852"/>
        <v>3.1575833607217031E-2</v>
      </c>
      <c r="O368" s="33">
        <f t="shared" si="853"/>
        <v>3.1495142065920891E-2</v>
      </c>
      <c r="P368" s="33">
        <f t="shared" si="854"/>
        <v>3.1514525846935031E-2</v>
      </c>
      <c r="Q368" s="33">
        <f t="shared" si="855"/>
        <v>3.1514525846935031E-2</v>
      </c>
      <c r="R368" s="35">
        <f t="shared" si="856"/>
        <v>1.0069699621060861</v>
      </c>
      <c r="S368" s="35">
        <f t="shared" si="857"/>
        <v>8.3252967339765734E-4</v>
      </c>
    </row>
    <row r="369" spans="1:19" ht="15" customHeight="1" x14ac:dyDescent="0.3">
      <c r="A369" s="30">
        <f>Odds_Input!A369</f>
        <v>361</v>
      </c>
      <c r="B369" s="7" t="str">
        <f>Odds_Input!B369</f>
        <v>SMOY</v>
      </c>
      <c r="C369" s="7" t="str">
        <f>Odds_Input!C369</f>
        <v>Daniss Jenkins</v>
      </c>
      <c r="D369" s="7" t="str">
        <f>Odds_Input!D369</f>
        <v>YES</v>
      </c>
      <c r="E369" s="31" t="str">
        <f>Odds_Input!E369</f>
        <v>-</v>
      </c>
      <c r="F369" s="32">
        <f>Odds_Input!F369</f>
        <v>3500</v>
      </c>
      <c r="G369" s="6" t="str">
        <f t="shared" si="845"/>
        <v>SMOY</v>
      </c>
      <c r="H369" s="14">
        <f t="shared" si="846"/>
        <v>36</v>
      </c>
      <c r="I369" s="33">
        <f t="shared" si="847"/>
        <v>2.7777777777777776E-2</v>
      </c>
      <c r="J369" s="17">
        <f t="shared" si="848"/>
        <v>1</v>
      </c>
      <c r="K369" s="17">
        <f t="shared" si="849"/>
        <v>27</v>
      </c>
      <c r="L369" s="18">
        <f t="shared" si="850"/>
        <v>1.0216061091972586</v>
      </c>
      <c r="M369" s="34">
        <f t="shared" si="851"/>
        <v>2.1606109197258583E-2</v>
      </c>
      <c r="N369" s="33">
        <f t="shared" si="852"/>
        <v>2.7190301161770222E-2</v>
      </c>
      <c r="O369" s="33">
        <f t="shared" si="853"/>
        <v>2.7092565360830805E-2</v>
      </c>
      <c r="P369" s="33">
        <f t="shared" si="854"/>
        <v>2.7080461451934514E-2</v>
      </c>
      <c r="Q369" s="33">
        <f t="shared" si="855"/>
        <v>2.7080461451934514E-2</v>
      </c>
      <c r="R369" s="35">
        <f t="shared" si="856"/>
        <v>1.0069699621060861</v>
      </c>
      <c r="S369" s="35">
        <f t="shared" si="857"/>
        <v>8.3252967339765734E-4</v>
      </c>
    </row>
    <row r="370" spans="1:19" ht="15" customHeight="1" x14ac:dyDescent="0.3">
      <c r="A370" s="30">
        <f>Odds_Input!A370</f>
        <v>362</v>
      </c>
      <c r="B370" s="7" t="str">
        <f>Odds_Input!B370</f>
        <v>SMOY</v>
      </c>
      <c r="C370" s="7" t="str">
        <f>Odds_Input!C370</f>
        <v>Ace Bailey</v>
      </c>
      <c r="D370" s="7" t="str">
        <f>Odds_Input!D370</f>
        <v>YES</v>
      </c>
      <c r="E370" s="31" t="str">
        <f>Odds_Input!E370</f>
        <v>-</v>
      </c>
      <c r="F370" s="32">
        <f>Odds_Input!F370</f>
        <v>2500</v>
      </c>
      <c r="G370" s="6" t="str">
        <f t="shared" si="845"/>
        <v>SMOY</v>
      </c>
      <c r="H370" s="14">
        <f t="shared" si="846"/>
        <v>26</v>
      </c>
      <c r="I370" s="33">
        <f t="shared" si="847"/>
        <v>3.8461538461538464E-2</v>
      </c>
      <c r="J370" s="17">
        <f t="shared" si="848"/>
        <v>1</v>
      </c>
      <c r="K370" s="17">
        <f t="shared" si="849"/>
        <v>27</v>
      </c>
      <c r="L370" s="18">
        <f t="shared" si="850"/>
        <v>1.0216061091972586</v>
      </c>
      <c r="M370" s="34">
        <f t="shared" si="851"/>
        <v>2.1606109197258583E-2</v>
      </c>
      <c r="N370" s="33">
        <f t="shared" si="852"/>
        <v>3.764810930091262E-2</v>
      </c>
      <c r="O370" s="33">
        <f t="shared" si="853"/>
        <v>3.7597965186558016E-2</v>
      </c>
      <c r="P370" s="33">
        <f t="shared" si="854"/>
        <v>3.7654168194144036E-2</v>
      </c>
      <c r="Q370" s="33">
        <f t="shared" si="855"/>
        <v>3.7654168194144036E-2</v>
      </c>
      <c r="R370" s="35">
        <f t="shared" si="856"/>
        <v>1.0069699621060861</v>
      </c>
      <c r="S370" s="35">
        <f t="shared" si="857"/>
        <v>8.3252967339765734E-4</v>
      </c>
    </row>
    <row r="371" spans="1:19" ht="15" customHeight="1" x14ac:dyDescent="0.3">
      <c r="A371" s="30">
        <f>Odds_Input!A371</f>
        <v>363</v>
      </c>
      <c r="B371" s="7" t="str">
        <f>Odds_Input!B371</f>
        <v>SMOY</v>
      </c>
      <c r="C371" s="7" t="str">
        <f>Odds_Input!C371</f>
        <v>Jared McCain</v>
      </c>
      <c r="D371" s="7" t="str">
        <f>Odds_Input!D371</f>
        <v>YES</v>
      </c>
      <c r="E371" s="31" t="str">
        <f>Odds_Input!E371</f>
        <v>-</v>
      </c>
      <c r="F371" s="32">
        <f>Odds_Input!F371</f>
        <v>3000</v>
      </c>
      <c r="G371" s="6" t="str">
        <f t="shared" si="845"/>
        <v>SMOY</v>
      </c>
      <c r="H371" s="14">
        <f t="shared" si="846"/>
        <v>31</v>
      </c>
      <c r="I371" s="33">
        <f t="shared" si="847"/>
        <v>3.2258064516129031E-2</v>
      </c>
      <c r="J371" s="17">
        <f t="shared" si="848"/>
        <v>1</v>
      </c>
      <c r="K371" s="17">
        <f t="shared" si="849"/>
        <v>27</v>
      </c>
      <c r="L371" s="18">
        <f t="shared" si="850"/>
        <v>1.0216061091972586</v>
      </c>
      <c r="M371" s="34">
        <f t="shared" si="851"/>
        <v>2.1606109197258583E-2</v>
      </c>
      <c r="N371" s="33">
        <f t="shared" si="852"/>
        <v>3.1575833607217031E-2</v>
      </c>
      <c r="O371" s="33">
        <f t="shared" si="853"/>
        <v>3.1495142065920891E-2</v>
      </c>
      <c r="P371" s="33">
        <f t="shared" si="854"/>
        <v>3.1514525846935031E-2</v>
      </c>
      <c r="Q371" s="33">
        <f t="shared" si="855"/>
        <v>3.1514525846935031E-2</v>
      </c>
      <c r="R371" s="35">
        <f t="shared" si="856"/>
        <v>1.0069699621060861</v>
      </c>
      <c r="S371" s="35">
        <f t="shared" si="857"/>
        <v>8.3252967339765734E-4</v>
      </c>
    </row>
    <row r="372" spans="1:19" ht="15" customHeight="1" x14ac:dyDescent="0.3">
      <c r="A372" s="30">
        <f>Odds_Input!A372</f>
        <v>364</v>
      </c>
      <c r="B372" s="7" t="str">
        <f>Odds_Input!B372</f>
        <v>SMOY</v>
      </c>
      <c r="C372" s="7" t="str">
        <f>Odds_Input!C372</f>
        <v>Scoot Henderson</v>
      </c>
      <c r="D372" s="7" t="str">
        <f>Odds_Input!D372</f>
        <v>YES</v>
      </c>
      <c r="E372" s="31" t="str">
        <f>Odds_Input!E372</f>
        <v>-</v>
      </c>
      <c r="F372" s="32">
        <f>Odds_Input!F372</f>
        <v>3000</v>
      </c>
      <c r="G372" s="6" t="str">
        <f t="shared" si="845"/>
        <v>SMOY</v>
      </c>
      <c r="H372" s="14">
        <f t="shared" si="846"/>
        <v>31</v>
      </c>
      <c r="I372" s="33">
        <f t="shared" si="847"/>
        <v>3.2258064516129031E-2</v>
      </c>
      <c r="J372" s="17">
        <f t="shared" si="848"/>
        <v>1</v>
      </c>
      <c r="K372" s="17">
        <f t="shared" si="849"/>
        <v>27</v>
      </c>
      <c r="L372" s="18">
        <f t="shared" si="850"/>
        <v>1.0216061091972586</v>
      </c>
      <c r="M372" s="34">
        <f t="shared" si="851"/>
        <v>2.1606109197258583E-2</v>
      </c>
      <c r="N372" s="33">
        <f t="shared" si="852"/>
        <v>3.1575833607217031E-2</v>
      </c>
      <c r="O372" s="33">
        <f t="shared" si="853"/>
        <v>3.1495142065920891E-2</v>
      </c>
      <c r="P372" s="33">
        <f t="shared" si="854"/>
        <v>3.1514525846935031E-2</v>
      </c>
      <c r="Q372" s="33">
        <f t="shared" si="855"/>
        <v>3.1514525846935031E-2</v>
      </c>
      <c r="R372" s="35">
        <f t="shared" si="856"/>
        <v>1.0069699621060861</v>
      </c>
      <c r="S372" s="35">
        <f t="shared" si="857"/>
        <v>8.3252967339765734E-4</v>
      </c>
    </row>
    <row r="373" spans="1:19" ht="15" customHeight="1" x14ac:dyDescent="0.3">
      <c r="A373" s="30">
        <f>Odds_Input!A373</f>
        <v>365</v>
      </c>
      <c r="B373" s="7" t="str">
        <f>Odds_Input!B373</f>
        <v>SMOY</v>
      </c>
      <c r="C373" s="7" t="str">
        <f>Odds_Input!C373</f>
        <v>Jaime Jaquez Jr</v>
      </c>
      <c r="D373" s="7" t="str">
        <f>Odds_Input!D373</f>
        <v>YES</v>
      </c>
      <c r="E373" s="31" t="str">
        <f>Odds_Input!E373</f>
        <v>-</v>
      </c>
      <c r="F373" s="32">
        <f>Odds_Input!F373</f>
        <v>3000</v>
      </c>
      <c r="G373" s="6" t="str">
        <f t="shared" si="845"/>
        <v>SMOY</v>
      </c>
      <c r="H373" s="14">
        <f t="shared" si="846"/>
        <v>31</v>
      </c>
      <c r="I373" s="33">
        <f t="shared" si="847"/>
        <v>3.2258064516129031E-2</v>
      </c>
      <c r="J373" s="17">
        <f t="shared" si="848"/>
        <v>1</v>
      </c>
      <c r="K373" s="17">
        <f t="shared" si="849"/>
        <v>27</v>
      </c>
      <c r="L373" s="18">
        <f t="shared" si="850"/>
        <v>1.0216061091972586</v>
      </c>
      <c r="M373" s="34">
        <f t="shared" si="851"/>
        <v>2.1606109197258583E-2</v>
      </c>
      <c r="N373" s="33">
        <f t="shared" si="852"/>
        <v>3.1575833607217031E-2</v>
      </c>
      <c r="O373" s="33">
        <f t="shared" si="853"/>
        <v>3.1495142065920891E-2</v>
      </c>
      <c r="P373" s="33">
        <f t="shared" si="854"/>
        <v>3.1514525846935031E-2</v>
      </c>
      <c r="Q373" s="33">
        <f t="shared" si="855"/>
        <v>3.1514525846935031E-2</v>
      </c>
      <c r="R373" s="35">
        <f t="shared" si="856"/>
        <v>1.0069699621060861</v>
      </c>
      <c r="S373" s="35">
        <f t="shared" si="857"/>
        <v>8.3252967339765734E-4</v>
      </c>
    </row>
    <row r="374" spans="1:19" ht="15" customHeight="1" x14ac:dyDescent="0.3">
      <c r="A374" s="30">
        <f>Odds_Input!A374</f>
        <v>366</v>
      </c>
      <c r="B374" s="7" t="str">
        <f>Odds_Input!B374</f>
        <v>SMOY</v>
      </c>
      <c r="C374" s="7" t="str">
        <f>Odds_Input!C374</f>
        <v>Bennedict Mathurin</v>
      </c>
      <c r="D374" s="7" t="str">
        <f>Odds_Input!D374</f>
        <v>YES</v>
      </c>
      <c r="E374" s="31" t="str">
        <f>Odds_Input!E374</f>
        <v>-</v>
      </c>
      <c r="F374" s="32">
        <f>Odds_Input!F374</f>
        <v>3000</v>
      </c>
      <c r="G374" s="6" t="str">
        <f t="shared" si="845"/>
        <v>SMOY</v>
      </c>
      <c r="H374" s="14">
        <f t="shared" si="846"/>
        <v>31</v>
      </c>
      <c r="I374" s="33">
        <f t="shared" si="847"/>
        <v>3.2258064516129031E-2</v>
      </c>
      <c r="J374" s="17">
        <f t="shared" si="848"/>
        <v>1</v>
      </c>
      <c r="K374" s="17">
        <f t="shared" si="849"/>
        <v>27</v>
      </c>
      <c r="L374" s="18">
        <f t="shared" si="850"/>
        <v>1.0216061091972586</v>
      </c>
      <c r="M374" s="34">
        <f t="shared" si="851"/>
        <v>2.1606109197258583E-2</v>
      </c>
      <c r="N374" s="33">
        <f t="shared" si="852"/>
        <v>3.1575833607217031E-2</v>
      </c>
      <c r="O374" s="33">
        <f t="shared" si="853"/>
        <v>3.1495142065920891E-2</v>
      </c>
      <c r="P374" s="33">
        <f t="shared" si="854"/>
        <v>3.1514525846935031E-2</v>
      </c>
      <c r="Q374" s="33">
        <f t="shared" si="855"/>
        <v>3.1514525846935031E-2</v>
      </c>
      <c r="R374" s="35">
        <f t="shared" si="856"/>
        <v>1.0069699621060861</v>
      </c>
      <c r="S374" s="35">
        <f t="shared" si="857"/>
        <v>8.3252967339765734E-4</v>
      </c>
    </row>
    <row r="375" spans="1:19" ht="15" customHeight="1" x14ac:dyDescent="0.3">
      <c r="A375" s="30">
        <f>Odds_Input!A375</f>
        <v>367</v>
      </c>
      <c r="B375" s="7" t="str">
        <f>Odds_Input!B375</f>
        <v>SMOY</v>
      </c>
      <c r="C375" s="7" t="str">
        <f>Odds_Input!C375</f>
        <v>Bobby Portis</v>
      </c>
      <c r="D375" s="7" t="str">
        <f>Odds_Input!D375</f>
        <v>YES</v>
      </c>
      <c r="E375" s="31" t="str">
        <f>Odds_Input!E375</f>
        <v>-</v>
      </c>
      <c r="F375" s="32">
        <f>Odds_Input!F375</f>
        <v>3000</v>
      </c>
      <c r="G375" s="6" t="str">
        <f t="shared" si="845"/>
        <v>SMOY</v>
      </c>
      <c r="H375" s="14">
        <f t="shared" si="846"/>
        <v>31</v>
      </c>
      <c r="I375" s="33">
        <f t="shared" si="847"/>
        <v>3.2258064516129031E-2</v>
      </c>
      <c r="J375" s="17">
        <f t="shared" si="848"/>
        <v>1</v>
      </c>
      <c r="K375" s="17">
        <f t="shared" si="849"/>
        <v>27</v>
      </c>
      <c r="L375" s="18">
        <f t="shared" si="850"/>
        <v>1.0216061091972586</v>
      </c>
      <c r="M375" s="34">
        <f t="shared" si="851"/>
        <v>2.1606109197258583E-2</v>
      </c>
      <c r="N375" s="33">
        <f t="shared" si="852"/>
        <v>3.1575833607217031E-2</v>
      </c>
      <c r="O375" s="33">
        <f t="shared" si="853"/>
        <v>3.1495142065920891E-2</v>
      </c>
      <c r="P375" s="33">
        <f t="shared" si="854"/>
        <v>3.1514525846935031E-2</v>
      </c>
      <c r="Q375" s="33">
        <f t="shared" si="855"/>
        <v>3.1514525846935031E-2</v>
      </c>
      <c r="R375" s="35">
        <f t="shared" si="856"/>
        <v>1.0069699621060861</v>
      </c>
      <c r="S375" s="35">
        <f t="shared" si="857"/>
        <v>8.3252967339765734E-4</v>
      </c>
    </row>
    <row r="376" spans="1:19" ht="15" customHeight="1" x14ac:dyDescent="0.3">
      <c r="A376" s="30">
        <f>Odds_Input!A376</f>
        <v>368</v>
      </c>
      <c r="B376" s="7" t="str">
        <f>Odds_Input!B376</f>
        <v>SMOY</v>
      </c>
      <c r="C376" s="7" t="str">
        <f>Odds_Input!C376</f>
        <v>Anthony Black</v>
      </c>
      <c r="D376" s="7" t="str">
        <f>Odds_Input!D376</f>
        <v>YES</v>
      </c>
      <c r="E376" s="31" t="str">
        <f>Odds_Input!E376</f>
        <v>-</v>
      </c>
      <c r="F376" s="32">
        <f>Odds_Input!F376</f>
        <v>2000</v>
      </c>
      <c r="G376" s="6" t="str">
        <f t="shared" si="845"/>
        <v>SMOY</v>
      </c>
      <c r="H376" s="14">
        <f t="shared" si="846"/>
        <v>21</v>
      </c>
      <c r="I376" s="33">
        <f t="shared" si="847"/>
        <v>4.7619047619047616E-2</v>
      </c>
      <c r="J376" s="17">
        <f t="shared" si="848"/>
        <v>1</v>
      </c>
      <c r="K376" s="17">
        <f t="shared" si="849"/>
        <v>27</v>
      </c>
      <c r="L376" s="18">
        <f t="shared" si="850"/>
        <v>1.0216061091972586</v>
      </c>
      <c r="M376" s="34">
        <f t="shared" si="851"/>
        <v>2.1606109197258583E-2</v>
      </c>
      <c r="N376" s="33">
        <f t="shared" si="852"/>
        <v>4.6611944848748949E-2</v>
      </c>
      <c r="O376" s="33">
        <f t="shared" si="853"/>
        <v>4.6619207542681187E-2</v>
      </c>
      <c r="P376" s="33">
        <f t="shared" si="854"/>
        <v>4.6717658475230101E-2</v>
      </c>
      <c r="Q376" s="33">
        <f t="shared" si="855"/>
        <v>4.6717658475230101E-2</v>
      </c>
      <c r="R376" s="35">
        <f t="shared" si="856"/>
        <v>1.0069699621060861</v>
      </c>
      <c r="S376" s="35">
        <f t="shared" si="857"/>
        <v>8.3252967339765734E-4</v>
      </c>
    </row>
    <row r="377" spans="1:19" ht="15" customHeight="1" x14ac:dyDescent="0.3">
      <c r="A377" s="30">
        <f>Odds_Input!A377</f>
        <v>369</v>
      </c>
      <c r="B377" s="7" t="str">
        <f>Odds_Input!B377</f>
        <v>SMOY</v>
      </c>
      <c r="C377" s="7" t="str">
        <f>Odds_Input!C377</f>
        <v>Jerami Grant</v>
      </c>
      <c r="D377" s="7" t="str">
        <f>Odds_Input!D377</f>
        <v>YES</v>
      </c>
      <c r="E377" s="31" t="str">
        <f>Odds_Input!E377</f>
        <v>-</v>
      </c>
      <c r="F377" s="32">
        <f>Odds_Input!F377</f>
        <v>3500</v>
      </c>
      <c r="G377" s="6" t="str">
        <f t="shared" si="845"/>
        <v>SMOY</v>
      </c>
      <c r="H377" s="14">
        <f t="shared" si="846"/>
        <v>36</v>
      </c>
      <c r="I377" s="33">
        <f t="shared" si="847"/>
        <v>2.7777777777777776E-2</v>
      </c>
      <c r="J377" s="17">
        <f t="shared" si="848"/>
        <v>1</v>
      </c>
      <c r="K377" s="17">
        <f t="shared" si="849"/>
        <v>27</v>
      </c>
      <c r="L377" s="18">
        <f t="shared" si="850"/>
        <v>1.0216061091972586</v>
      </c>
      <c r="M377" s="34">
        <f t="shared" si="851"/>
        <v>2.1606109197258583E-2</v>
      </c>
      <c r="N377" s="33">
        <f t="shared" si="852"/>
        <v>2.7190301161770222E-2</v>
      </c>
      <c r="O377" s="33">
        <f t="shared" si="853"/>
        <v>2.7092565360830805E-2</v>
      </c>
      <c r="P377" s="33">
        <f t="shared" si="854"/>
        <v>2.7080461451934514E-2</v>
      </c>
      <c r="Q377" s="33">
        <f t="shared" si="855"/>
        <v>2.7080461451934514E-2</v>
      </c>
      <c r="R377" s="35">
        <f t="shared" si="856"/>
        <v>1.0069699621060861</v>
      </c>
      <c r="S377" s="35">
        <f t="shared" si="857"/>
        <v>8.3252967339765734E-4</v>
      </c>
    </row>
    <row r="378" spans="1:19" ht="15" customHeight="1" x14ac:dyDescent="0.3">
      <c r="A378" s="30">
        <f>Odds_Input!A378</f>
        <v>370</v>
      </c>
      <c r="B378" s="7" t="str">
        <f>Odds_Input!B378</f>
        <v>SMOY</v>
      </c>
      <c r="C378" s="7" t="str">
        <f>Odds_Input!C378</f>
        <v>Grayson Allen</v>
      </c>
      <c r="D378" s="7" t="str">
        <f>Odds_Input!D378</f>
        <v>YES</v>
      </c>
      <c r="E378" s="31" t="str">
        <f>Odds_Input!E378</f>
        <v>-</v>
      </c>
      <c r="F378" s="32">
        <f>Odds_Input!F378</f>
        <v>3500</v>
      </c>
      <c r="G378" s="6" t="str">
        <f t="shared" si="845"/>
        <v>SMOY</v>
      </c>
      <c r="H378" s="14">
        <f t="shared" si="846"/>
        <v>36</v>
      </c>
      <c r="I378" s="33">
        <f t="shared" si="847"/>
        <v>2.7777777777777776E-2</v>
      </c>
      <c r="J378" s="17">
        <f t="shared" si="848"/>
        <v>1</v>
      </c>
      <c r="K378" s="17">
        <f t="shared" si="849"/>
        <v>27</v>
      </c>
      <c r="L378" s="18">
        <f t="shared" si="850"/>
        <v>1.0216061091972586</v>
      </c>
      <c r="M378" s="34">
        <f t="shared" si="851"/>
        <v>2.1606109197258583E-2</v>
      </c>
      <c r="N378" s="33">
        <f t="shared" si="852"/>
        <v>2.7190301161770222E-2</v>
      </c>
      <c r="O378" s="33">
        <f t="shared" si="853"/>
        <v>2.7092565360830805E-2</v>
      </c>
      <c r="P378" s="33">
        <f t="shared" si="854"/>
        <v>2.7080461451934514E-2</v>
      </c>
      <c r="Q378" s="33">
        <f t="shared" si="855"/>
        <v>2.7080461451934514E-2</v>
      </c>
      <c r="R378" s="35">
        <f t="shared" si="856"/>
        <v>1.0069699621060861</v>
      </c>
      <c r="S378" s="35">
        <f t="shared" si="857"/>
        <v>8.3252967339765734E-4</v>
      </c>
    </row>
    <row r="379" spans="1:19" ht="15" customHeight="1" x14ac:dyDescent="0.3">
      <c r="A379" s="30">
        <f>Odds_Input!A379</f>
        <v>371</v>
      </c>
      <c r="B379" s="7" t="str">
        <f>Odds_Input!B379</f>
        <v>SMOY</v>
      </c>
      <c r="C379" s="7" t="str">
        <f>Odds_Input!C379</f>
        <v>Kelel Ware</v>
      </c>
      <c r="D379" s="7" t="str">
        <f>Odds_Input!D379</f>
        <v>YES</v>
      </c>
      <c r="E379" s="31" t="str">
        <f>Odds_Input!E379</f>
        <v>-</v>
      </c>
      <c r="F379" s="32">
        <f>Odds_Input!F379</f>
        <v>4000</v>
      </c>
      <c r="G379" s="6" t="str">
        <f t="shared" si="845"/>
        <v>SMOY</v>
      </c>
      <c r="H379" s="14">
        <f t="shared" si="846"/>
        <v>41</v>
      </c>
      <c r="I379" s="33">
        <f t="shared" si="847"/>
        <v>2.4390243902439025E-2</v>
      </c>
      <c r="J379" s="17">
        <f t="shared" si="848"/>
        <v>1</v>
      </c>
      <c r="K379" s="17">
        <f t="shared" si="849"/>
        <v>27</v>
      </c>
      <c r="L379" s="18">
        <f t="shared" si="850"/>
        <v>1.0216061091972586</v>
      </c>
      <c r="M379" s="34">
        <f t="shared" si="851"/>
        <v>2.1606109197258583E-2</v>
      </c>
      <c r="N379" s="33">
        <f t="shared" si="852"/>
        <v>2.3874410776188491E-2</v>
      </c>
      <c r="O379" s="33">
        <f t="shared" si="853"/>
        <v>2.3767040208936489E-2</v>
      </c>
      <c r="P379" s="33">
        <f t="shared" si="854"/>
        <v>2.3727983065893268E-2</v>
      </c>
      <c r="Q379" s="33">
        <f t="shared" si="855"/>
        <v>2.3727983065893268E-2</v>
      </c>
      <c r="R379" s="35">
        <f t="shared" si="856"/>
        <v>1.0069699621060861</v>
      </c>
      <c r="S379" s="35">
        <f t="shared" si="857"/>
        <v>8.3252967339765734E-4</v>
      </c>
    </row>
    <row r="380" spans="1:19" ht="15" customHeight="1" x14ac:dyDescent="0.3">
      <c r="A380" s="30">
        <f>Odds_Input!A380</f>
        <v>372</v>
      </c>
      <c r="B380" s="7" t="str">
        <f>Odds_Input!B380</f>
        <v>SMOY</v>
      </c>
      <c r="C380" s="7" t="str">
        <f>Odds_Input!C380</f>
        <v>Jeremiah Fears</v>
      </c>
      <c r="D380" s="7" t="str">
        <f>Odds_Input!D380</f>
        <v>YES</v>
      </c>
      <c r="E380" s="31" t="str">
        <f>Odds_Input!E380</f>
        <v>-</v>
      </c>
      <c r="F380" s="32">
        <f>Odds_Input!F380</f>
        <v>4000</v>
      </c>
      <c r="G380" s="6" t="str">
        <f t="shared" si="845"/>
        <v>SMOY</v>
      </c>
      <c r="H380" s="14">
        <f t="shared" si="846"/>
        <v>41</v>
      </c>
      <c r="I380" s="33">
        <f t="shared" si="847"/>
        <v>2.4390243902439025E-2</v>
      </c>
      <c r="J380" s="17">
        <f t="shared" si="848"/>
        <v>1</v>
      </c>
      <c r="K380" s="17">
        <f t="shared" si="849"/>
        <v>27</v>
      </c>
      <c r="L380" s="18">
        <f t="shared" si="850"/>
        <v>1.0216061091972586</v>
      </c>
      <c r="M380" s="34">
        <f t="shared" si="851"/>
        <v>2.1606109197258583E-2</v>
      </c>
      <c r="N380" s="33">
        <f t="shared" si="852"/>
        <v>2.3874410776188491E-2</v>
      </c>
      <c r="O380" s="33">
        <f t="shared" si="853"/>
        <v>2.3767040208936489E-2</v>
      </c>
      <c r="P380" s="33">
        <f t="shared" si="854"/>
        <v>2.3727983065893268E-2</v>
      </c>
      <c r="Q380" s="33">
        <f t="shared" si="855"/>
        <v>2.3727983065893268E-2</v>
      </c>
      <c r="R380" s="35">
        <f t="shared" si="856"/>
        <v>1.0069699621060861</v>
      </c>
      <c r="S380" s="35">
        <f t="shared" si="857"/>
        <v>8.3252967339765734E-4</v>
      </c>
    </row>
    <row r="381" spans="1:19" ht="15" customHeight="1" x14ac:dyDescent="0.3">
      <c r="A381" s="30">
        <f>Odds_Input!A381</f>
        <v>373</v>
      </c>
      <c r="B381" s="7" t="str">
        <f>Odds_Input!B381</f>
        <v>SMOY</v>
      </c>
      <c r="C381" s="7" t="str">
        <f>Odds_Input!C381</f>
        <v>Shaedon Sharpe</v>
      </c>
      <c r="D381" s="7" t="str">
        <f>Odds_Input!D381</f>
        <v>YES</v>
      </c>
      <c r="E381" s="31" t="str">
        <f>Odds_Input!E381</f>
        <v>-</v>
      </c>
      <c r="F381" s="32">
        <f>Odds_Input!F381</f>
        <v>6000</v>
      </c>
      <c r="G381" s="6" t="str">
        <f t="shared" si="845"/>
        <v>SMOY</v>
      </c>
      <c r="H381" s="14">
        <f t="shared" si="846"/>
        <v>61</v>
      </c>
      <c r="I381" s="33">
        <f t="shared" si="847"/>
        <v>1.6393442622950821E-2</v>
      </c>
      <c r="J381" s="17">
        <f t="shared" si="848"/>
        <v>1</v>
      </c>
      <c r="K381" s="17">
        <f t="shared" si="849"/>
        <v>27</v>
      </c>
      <c r="L381" s="18">
        <f t="shared" si="850"/>
        <v>1.0216061091972586</v>
      </c>
      <c r="M381" s="34">
        <f t="shared" si="851"/>
        <v>2.1606109197258583E-2</v>
      </c>
      <c r="N381" s="33">
        <f t="shared" si="852"/>
        <v>1.6046735111864396E-2</v>
      </c>
      <c r="O381" s="33">
        <f t="shared" si="853"/>
        <v>1.5930392772224782E-2</v>
      </c>
      <c r="P381" s="33">
        <f t="shared" si="854"/>
        <v>1.5814653996169915E-2</v>
      </c>
      <c r="Q381" s="33">
        <f t="shared" si="855"/>
        <v>1.5814653996169915E-2</v>
      </c>
      <c r="R381" s="35">
        <f t="shared" si="856"/>
        <v>1.0069699621060861</v>
      </c>
      <c r="S381" s="35">
        <f t="shared" si="857"/>
        <v>8.3252967339765734E-4</v>
      </c>
    </row>
    <row r="382" spans="1:19" ht="15" customHeight="1" x14ac:dyDescent="0.3">
      <c r="A382" s="30">
        <f>Odds_Input!A382</f>
        <v>374</v>
      </c>
      <c r="B382" s="7" t="str">
        <f>Odds_Input!B382</f>
        <v>SMOY</v>
      </c>
      <c r="C382" s="7" t="str">
        <f>Odds_Input!C382</f>
        <v>Nikola Vucevic</v>
      </c>
      <c r="D382" s="7" t="str">
        <f>Odds_Input!D382</f>
        <v>YES</v>
      </c>
      <c r="E382" s="31" t="str">
        <f>Odds_Input!E382</f>
        <v>-</v>
      </c>
      <c r="F382" s="32">
        <f>Odds_Input!F382</f>
        <v>4000</v>
      </c>
      <c r="G382" s="6" t="str">
        <f t="shared" si="845"/>
        <v>SMOY</v>
      </c>
      <c r="H382" s="14">
        <f t="shared" si="846"/>
        <v>41</v>
      </c>
      <c r="I382" s="33">
        <f t="shared" si="847"/>
        <v>2.4390243902439025E-2</v>
      </c>
      <c r="J382" s="17">
        <f t="shared" si="848"/>
        <v>1</v>
      </c>
      <c r="K382" s="17">
        <f t="shared" si="849"/>
        <v>27</v>
      </c>
      <c r="L382" s="18">
        <f t="shared" si="850"/>
        <v>1.0216061091972586</v>
      </c>
      <c r="M382" s="34">
        <f t="shared" si="851"/>
        <v>2.1606109197258583E-2</v>
      </c>
      <c r="N382" s="33">
        <f t="shared" si="852"/>
        <v>2.3874410776188491E-2</v>
      </c>
      <c r="O382" s="33">
        <f t="shared" si="853"/>
        <v>2.3767040208936489E-2</v>
      </c>
      <c r="P382" s="33">
        <f t="shared" si="854"/>
        <v>2.3727983065893268E-2</v>
      </c>
      <c r="Q382" s="33">
        <f t="shared" si="855"/>
        <v>2.3727983065893268E-2</v>
      </c>
      <c r="R382" s="35">
        <f t="shared" si="856"/>
        <v>1.0069699621060861</v>
      </c>
      <c r="S382" s="35">
        <f t="shared" si="857"/>
        <v>8.3252967339765734E-4</v>
      </c>
    </row>
    <row r="383" spans="1:19" ht="15" customHeight="1" x14ac:dyDescent="0.3">
      <c r="A383" s="30">
        <f>Odds_Input!A383</f>
        <v>375</v>
      </c>
      <c r="B383" s="7" t="str">
        <f>Odds_Input!B383</f>
        <v>SMOY</v>
      </c>
      <c r="C383" s="7" t="str">
        <f>Odds_Input!C383</f>
        <v>Tim Hardaway Jr</v>
      </c>
      <c r="D383" s="7" t="str">
        <f>Odds_Input!D383</f>
        <v>YES</v>
      </c>
      <c r="E383" s="31" t="str">
        <f>Odds_Input!E383</f>
        <v>-</v>
      </c>
      <c r="F383" s="32">
        <f>Odds_Input!F383</f>
        <v>4000</v>
      </c>
      <c r="G383" s="6" t="str">
        <f t="shared" si="845"/>
        <v>SMOY</v>
      </c>
      <c r="H383" s="14">
        <f t="shared" si="846"/>
        <v>41</v>
      </c>
      <c r="I383" s="33">
        <f t="shared" si="847"/>
        <v>2.4390243902439025E-2</v>
      </c>
      <c r="J383" s="17">
        <f t="shared" si="848"/>
        <v>1</v>
      </c>
      <c r="K383" s="17">
        <f t="shared" si="849"/>
        <v>27</v>
      </c>
      <c r="L383" s="18">
        <f t="shared" si="850"/>
        <v>1.0216061091972586</v>
      </c>
      <c r="M383" s="34">
        <f t="shared" si="851"/>
        <v>2.1606109197258583E-2</v>
      </c>
      <c r="N383" s="33">
        <f t="shared" si="852"/>
        <v>2.3874410776188491E-2</v>
      </c>
      <c r="O383" s="33">
        <f t="shared" si="853"/>
        <v>2.3767040208936489E-2</v>
      </c>
      <c r="P383" s="33">
        <f t="shared" si="854"/>
        <v>2.3727983065893268E-2</v>
      </c>
      <c r="Q383" s="33">
        <f t="shared" si="855"/>
        <v>2.3727983065893268E-2</v>
      </c>
      <c r="R383" s="35">
        <f t="shared" si="856"/>
        <v>1.0069699621060861</v>
      </c>
      <c r="S383" s="35">
        <f t="shared" si="857"/>
        <v>8.3252967339765734E-4</v>
      </c>
    </row>
    <row r="384" spans="1:19" ht="15" customHeight="1" x14ac:dyDescent="0.3">
      <c r="A384" s="30">
        <f>Odds_Input!A384</f>
        <v>376</v>
      </c>
      <c r="B384" s="7" t="str">
        <f>Odds_Input!B384</f>
        <v>SMOY</v>
      </c>
      <c r="C384" s="7" t="str">
        <f>Odds_Input!C384</f>
        <v>Luke Kennard</v>
      </c>
      <c r="D384" s="7" t="str">
        <f>Odds_Input!D384</f>
        <v>YES</v>
      </c>
      <c r="E384" s="31" t="str">
        <f>Odds_Input!E384</f>
        <v>-</v>
      </c>
      <c r="F384" s="32">
        <f>Odds_Input!F384</f>
        <v>5000</v>
      </c>
      <c r="G384" s="6" t="str">
        <f t="shared" si="845"/>
        <v>SMOY</v>
      </c>
      <c r="H384" s="14">
        <f t="shared" si="846"/>
        <v>51</v>
      </c>
      <c r="I384" s="33">
        <f t="shared" si="847"/>
        <v>1.9607843137254902E-2</v>
      </c>
      <c r="J384" s="17">
        <f t="shared" si="848"/>
        <v>1</v>
      </c>
      <c r="K384" s="17">
        <f t="shared" si="849"/>
        <v>27</v>
      </c>
      <c r="L384" s="18">
        <f t="shared" si="850"/>
        <v>1.0216061091972586</v>
      </c>
      <c r="M384" s="34">
        <f t="shared" si="851"/>
        <v>2.1606109197258583E-2</v>
      </c>
      <c r="N384" s="33">
        <f t="shared" si="852"/>
        <v>1.9193153761249568E-2</v>
      </c>
      <c r="O384" s="33">
        <f t="shared" si="853"/>
        <v>1.9077792658884728E-2</v>
      </c>
      <c r="P384" s="33">
        <f t="shared" si="854"/>
        <v>1.8995330156205418E-2</v>
      </c>
      <c r="Q384" s="33">
        <f t="shared" si="855"/>
        <v>1.8995330156205418E-2</v>
      </c>
      <c r="R384" s="35">
        <f t="shared" si="856"/>
        <v>1.0069699621060861</v>
      </c>
      <c r="S384" s="35">
        <f t="shared" si="857"/>
        <v>8.3252967339765734E-4</v>
      </c>
    </row>
    <row r="385" spans="1:19" ht="15" customHeight="1" x14ac:dyDescent="0.3">
      <c r="A385" s="30">
        <f>Odds_Input!A385</f>
        <v>377</v>
      </c>
      <c r="B385" s="7" t="str">
        <f>Odds_Input!B385</f>
        <v>SMOY</v>
      </c>
      <c r="C385" s="7" t="str">
        <f>Odds_Input!C385</f>
        <v>Jrue Holiday</v>
      </c>
      <c r="D385" s="7" t="str">
        <f>Odds_Input!D385</f>
        <v>YES</v>
      </c>
      <c r="E385" s="31" t="str">
        <f>Odds_Input!E385</f>
        <v>-</v>
      </c>
      <c r="F385" s="32">
        <f>Odds_Input!F385</f>
        <v>4000</v>
      </c>
      <c r="G385" s="6" t="str">
        <f t="shared" si="845"/>
        <v>SMOY</v>
      </c>
      <c r="H385" s="14">
        <f t="shared" si="846"/>
        <v>41</v>
      </c>
      <c r="I385" s="33">
        <f t="shared" si="847"/>
        <v>2.4390243902439025E-2</v>
      </c>
      <c r="J385" s="17">
        <f t="shared" si="848"/>
        <v>1</v>
      </c>
      <c r="K385" s="17">
        <f t="shared" si="849"/>
        <v>27</v>
      </c>
      <c r="L385" s="18">
        <f t="shared" si="850"/>
        <v>1.0216061091972586</v>
      </c>
      <c r="M385" s="34">
        <f t="shared" si="851"/>
        <v>2.1606109197258583E-2</v>
      </c>
      <c r="N385" s="33">
        <f t="shared" si="852"/>
        <v>2.3874410776188491E-2</v>
      </c>
      <c r="O385" s="33">
        <f t="shared" si="853"/>
        <v>2.3767040208936489E-2</v>
      </c>
      <c r="P385" s="33">
        <f t="shared" si="854"/>
        <v>2.3727983065893268E-2</v>
      </c>
      <c r="Q385" s="33">
        <f t="shared" si="855"/>
        <v>2.3727983065893268E-2</v>
      </c>
      <c r="R385" s="35">
        <f t="shared" si="856"/>
        <v>1.0069699621060861</v>
      </c>
      <c r="S385" s="35">
        <f t="shared" si="857"/>
        <v>8.3252967339765734E-4</v>
      </c>
    </row>
    <row r="386" spans="1:19" ht="15" customHeight="1" x14ac:dyDescent="0.3">
      <c r="A386" s="30">
        <f>Odds_Input!A386</f>
        <v>378</v>
      </c>
      <c r="B386" s="7" t="str">
        <f>Odds_Input!B386</f>
        <v>SMOY</v>
      </c>
      <c r="C386" s="7" t="str">
        <f>Odds_Input!C386</f>
        <v>Kevin Porter Jr</v>
      </c>
      <c r="D386" s="7" t="str">
        <f>Odds_Input!D386</f>
        <v>YES</v>
      </c>
      <c r="E386" s="31" t="str">
        <f>Odds_Input!E386</f>
        <v>-</v>
      </c>
      <c r="F386" s="32">
        <f>Odds_Input!F386</f>
        <v>6000</v>
      </c>
      <c r="G386" s="6" t="str">
        <f t="shared" si="845"/>
        <v>SMOY</v>
      </c>
      <c r="H386" s="14">
        <f t="shared" si="846"/>
        <v>61</v>
      </c>
      <c r="I386" s="33">
        <f t="shared" si="847"/>
        <v>1.6393442622950821E-2</v>
      </c>
      <c r="J386" s="17">
        <f t="shared" si="848"/>
        <v>1</v>
      </c>
      <c r="K386" s="17">
        <f t="shared" si="849"/>
        <v>27</v>
      </c>
      <c r="L386" s="18">
        <f t="shared" si="850"/>
        <v>1.0216061091972586</v>
      </c>
      <c r="M386" s="34">
        <f t="shared" si="851"/>
        <v>2.1606109197258583E-2</v>
      </c>
      <c r="N386" s="33">
        <f t="shared" si="852"/>
        <v>1.6046735111864396E-2</v>
      </c>
      <c r="O386" s="33">
        <f t="shared" si="853"/>
        <v>1.5930392772224782E-2</v>
      </c>
      <c r="P386" s="33">
        <f t="shared" si="854"/>
        <v>1.5814653996169915E-2</v>
      </c>
      <c r="Q386" s="33">
        <f t="shared" si="855"/>
        <v>1.5814653996169915E-2</v>
      </c>
      <c r="R386" s="35">
        <f t="shared" si="856"/>
        <v>1.0069699621060861</v>
      </c>
      <c r="S386" s="35">
        <f t="shared" si="857"/>
        <v>8.3252967339765734E-4</v>
      </c>
    </row>
    <row r="387" spans="1:19" ht="15" customHeight="1" x14ac:dyDescent="0.3">
      <c r="A387" s="30">
        <f>Odds_Input!A387</f>
        <v>379</v>
      </c>
      <c r="B387" s="7" t="str">
        <f>Odds_Input!B387</f>
        <v>SMOY</v>
      </c>
      <c r="C387" s="7" t="str">
        <f>Odds_Input!C387</f>
        <v>Jaylon Tyson</v>
      </c>
      <c r="D387" s="7" t="str">
        <f>Odds_Input!D387</f>
        <v>YES</v>
      </c>
      <c r="E387" s="31" t="str">
        <f>Odds_Input!E387</f>
        <v>-</v>
      </c>
      <c r="F387" s="32">
        <f>Odds_Input!F387</f>
        <v>3500</v>
      </c>
      <c r="G387" s="6" t="str">
        <f t="shared" si="845"/>
        <v>SMOY</v>
      </c>
      <c r="H387" s="14">
        <f t="shared" si="846"/>
        <v>36</v>
      </c>
      <c r="I387" s="33">
        <f t="shared" si="847"/>
        <v>2.7777777777777776E-2</v>
      </c>
      <c r="J387" s="17">
        <f t="shared" si="848"/>
        <v>1</v>
      </c>
      <c r="K387" s="17">
        <f t="shared" si="849"/>
        <v>27</v>
      </c>
      <c r="L387" s="18">
        <f t="shared" si="850"/>
        <v>1.0216061091972586</v>
      </c>
      <c r="M387" s="34">
        <f t="shared" si="851"/>
        <v>2.1606109197258583E-2</v>
      </c>
      <c r="N387" s="33">
        <f t="shared" si="852"/>
        <v>2.7190301161770222E-2</v>
      </c>
      <c r="O387" s="33">
        <f t="shared" si="853"/>
        <v>2.7092565360830805E-2</v>
      </c>
      <c r="P387" s="33">
        <f t="shared" si="854"/>
        <v>2.7080461451934514E-2</v>
      </c>
      <c r="Q387" s="33">
        <f t="shared" si="855"/>
        <v>2.7080461451934514E-2</v>
      </c>
      <c r="R387" s="35">
        <f t="shared" si="856"/>
        <v>1.0069699621060861</v>
      </c>
      <c r="S387" s="35">
        <f t="shared" si="857"/>
        <v>8.3252967339765734E-4</v>
      </c>
    </row>
    <row r="388" spans="1:19" ht="15" customHeight="1" x14ac:dyDescent="0.3">
      <c r="A388" s="30">
        <f>Odds_Input!A388</f>
        <v>380</v>
      </c>
      <c r="B388" s="7" t="str">
        <f>Odds_Input!B388</f>
        <v>SMOY</v>
      </c>
      <c r="C388" s="7" t="str">
        <f>Odds_Input!C388</f>
        <v>Sandro Mamukelashvili</v>
      </c>
      <c r="D388" s="7" t="str">
        <f>Odds_Input!D388</f>
        <v>YES</v>
      </c>
      <c r="E388" s="31" t="str">
        <f>Odds_Input!E388</f>
        <v>-</v>
      </c>
      <c r="F388" s="32">
        <f>Odds_Input!F388</f>
        <v>5000</v>
      </c>
      <c r="G388" s="6" t="str">
        <f t="shared" si="845"/>
        <v>SMOY</v>
      </c>
      <c r="H388" s="14">
        <f t="shared" si="846"/>
        <v>51</v>
      </c>
      <c r="I388" s="33">
        <f t="shared" si="847"/>
        <v>1.9607843137254902E-2</v>
      </c>
      <c r="J388" s="17">
        <f t="shared" si="848"/>
        <v>1</v>
      </c>
      <c r="K388" s="17">
        <f t="shared" si="849"/>
        <v>27</v>
      </c>
      <c r="L388" s="18">
        <f t="shared" si="850"/>
        <v>1.0216061091972586</v>
      </c>
      <c r="M388" s="34">
        <f t="shared" si="851"/>
        <v>2.1606109197258583E-2</v>
      </c>
      <c r="N388" s="33">
        <f t="shared" si="852"/>
        <v>1.9193153761249568E-2</v>
      </c>
      <c r="O388" s="33">
        <f t="shared" si="853"/>
        <v>1.9077792658884728E-2</v>
      </c>
      <c r="P388" s="33">
        <f t="shared" si="854"/>
        <v>1.8995330156205418E-2</v>
      </c>
      <c r="Q388" s="33">
        <f t="shared" si="855"/>
        <v>1.8995330156205418E-2</v>
      </c>
      <c r="R388" s="35">
        <f t="shared" si="856"/>
        <v>1.0069699621060861</v>
      </c>
      <c r="S388" s="35">
        <f t="shared" si="857"/>
        <v>8.3252967339765734E-4</v>
      </c>
    </row>
    <row r="389" spans="1:19" ht="15" customHeight="1" x14ac:dyDescent="0.3">
      <c r="A389" s="30">
        <f>Odds_Input!A389</f>
        <v>381</v>
      </c>
      <c r="B389" s="7" t="str">
        <f>Odds_Input!B389</f>
        <v>SMOY</v>
      </c>
      <c r="C389" s="7" t="str">
        <f>Odds_Input!C389</f>
        <v>DeAndre Ayton</v>
      </c>
      <c r="D389" s="7" t="str">
        <f>Odds_Input!D389</f>
        <v>YES</v>
      </c>
      <c r="E389" s="31" t="str">
        <f>Odds_Input!E389</f>
        <v>-</v>
      </c>
      <c r="F389" s="32">
        <f>Odds_Input!F389</f>
        <v>5000</v>
      </c>
      <c r="G389" s="6" t="str">
        <f t="shared" si="845"/>
        <v>SMOY</v>
      </c>
      <c r="H389" s="14">
        <f t="shared" si="846"/>
        <v>51</v>
      </c>
      <c r="I389" s="33">
        <f t="shared" si="847"/>
        <v>1.9607843137254902E-2</v>
      </c>
      <c r="J389" s="17">
        <f t="shared" si="848"/>
        <v>1</v>
      </c>
      <c r="K389" s="17">
        <f t="shared" si="849"/>
        <v>27</v>
      </c>
      <c r="L389" s="18">
        <f t="shared" si="850"/>
        <v>1.0216061091972586</v>
      </c>
      <c r="M389" s="34">
        <f t="shared" si="851"/>
        <v>2.1606109197258583E-2</v>
      </c>
      <c r="N389" s="33">
        <f t="shared" si="852"/>
        <v>1.9193153761249568E-2</v>
      </c>
      <c r="O389" s="33">
        <f t="shared" si="853"/>
        <v>1.9077792658884728E-2</v>
      </c>
      <c r="P389" s="33">
        <f t="shared" si="854"/>
        <v>1.8995330156205418E-2</v>
      </c>
      <c r="Q389" s="33">
        <f t="shared" si="855"/>
        <v>1.8995330156205418E-2</v>
      </c>
      <c r="R389" s="35">
        <f t="shared" si="856"/>
        <v>1.0069699621060861</v>
      </c>
      <c r="S389" s="35">
        <f t="shared" si="857"/>
        <v>8.3252967339765734E-4</v>
      </c>
    </row>
    <row r="390" spans="1:19" ht="15" customHeight="1" x14ac:dyDescent="0.3">
      <c r="A390" s="30">
        <f>Odds_Input!A390</f>
        <v>382</v>
      </c>
      <c r="B390" s="7" t="str">
        <f>Odds_Input!B390</f>
        <v>MIP</v>
      </c>
      <c r="C390" s="7" t="str">
        <f>Odds_Input!C390</f>
        <v>Dylan Harper</v>
      </c>
      <c r="D390" s="7" t="str">
        <f>Odds_Input!D390</f>
        <v>YES</v>
      </c>
      <c r="E390" s="31" t="str">
        <f>Odds_Input!E390</f>
        <v>-</v>
      </c>
      <c r="F390" s="32">
        <f>Odds_Input!F390</f>
        <v>900</v>
      </c>
      <c r="G390" s="6" t="str">
        <f t="shared" si="845"/>
        <v>MIP</v>
      </c>
      <c r="H390" s="14">
        <f t="shared" si="846"/>
        <v>10</v>
      </c>
      <c r="I390" s="33">
        <f t="shared" si="847"/>
        <v>0.1</v>
      </c>
      <c r="J390" s="17">
        <f t="shared" si="848"/>
        <v>1</v>
      </c>
      <c r="K390" s="17">
        <f t="shared" si="849"/>
        <v>40</v>
      </c>
      <c r="L390" s="18">
        <f t="shared" si="850"/>
        <v>1.271969535715286</v>
      </c>
      <c r="M390" s="34">
        <f t="shared" si="851"/>
        <v>0.27196953571528604</v>
      </c>
      <c r="N390" s="33">
        <f t="shared" si="852"/>
        <v>7.8618235100863076E-2</v>
      </c>
      <c r="O390" s="33">
        <f t="shared" si="853"/>
        <v>8.4451977951402912E-2</v>
      </c>
      <c r="P390" s="33">
        <f t="shared" si="854"/>
        <v>8.5471605783800406E-2</v>
      </c>
      <c r="Q390" s="33">
        <f t="shared" si="855"/>
        <v>8.5471605783800406E-2</v>
      </c>
      <c r="R390" s="35">
        <f t="shared" si="856"/>
        <v>1.0733901743544267</v>
      </c>
      <c r="S390" s="35">
        <f t="shared" si="857"/>
        <v>7.1185248978951725E-3</v>
      </c>
    </row>
    <row r="391" spans="1:19" ht="15" customHeight="1" x14ac:dyDescent="0.3">
      <c r="A391" s="30">
        <f>Odds_Input!A391</f>
        <v>383</v>
      </c>
      <c r="B391" s="7" t="str">
        <f>Odds_Input!B391</f>
        <v>MIP</v>
      </c>
      <c r="C391" s="7" t="str">
        <f>Odds_Input!C391</f>
        <v>Brandon Miller</v>
      </c>
      <c r="D391" s="7" t="str">
        <f>Odds_Input!D391</f>
        <v>YES</v>
      </c>
      <c r="E391" s="31" t="str">
        <f>Odds_Input!E391</f>
        <v>-</v>
      </c>
      <c r="F391" s="32">
        <f>Odds_Input!F391</f>
        <v>900</v>
      </c>
      <c r="G391" s="6" t="str">
        <f t="shared" si="845"/>
        <v>MIP</v>
      </c>
      <c r="H391" s="14">
        <f t="shared" si="846"/>
        <v>10</v>
      </c>
      <c r="I391" s="33">
        <f t="shared" si="847"/>
        <v>0.1</v>
      </c>
      <c r="J391" s="17">
        <f t="shared" si="848"/>
        <v>1</v>
      </c>
      <c r="K391" s="17">
        <f t="shared" si="849"/>
        <v>40</v>
      </c>
      <c r="L391" s="18">
        <f t="shared" si="850"/>
        <v>1.271969535715286</v>
      </c>
      <c r="M391" s="34">
        <f t="shared" si="851"/>
        <v>0.27196953571528604</v>
      </c>
      <c r="N391" s="33">
        <f t="shared" si="852"/>
        <v>7.8618235100863076E-2</v>
      </c>
      <c r="O391" s="33">
        <f t="shared" si="853"/>
        <v>8.4451977951402912E-2</v>
      </c>
      <c r="P391" s="33">
        <f t="shared" si="854"/>
        <v>8.5471605783800406E-2</v>
      </c>
      <c r="Q391" s="33">
        <f t="shared" si="855"/>
        <v>8.5471605783800406E-2</v>
      </c>
      <c r="R391" s="35">
        <f t="shared" si="856"/>
        <v>1.0733901743544267</v>
      </c>
      <c r="S391" s="35">
        <f t="shared" si="857"/>
        <v>7.1185248978951725E-3</v>
      </c>
    </row>
    <row r="392" spans="1:19" ht="15" customHeight="1" x14ac:dyDescent="0.3">
      <c r="A392" s="30">
        <f>Odds_Input!A392</f>
        <v>384</v>
      </c>
      <c r="B392" s="7" t="str">
        <f>Odds_Input!B392</f>
        <v>MIP</v>
      </c>
      <c r="C392" s="7" t="str">
        <f>Odds_Input!C392</f>
        <v>Payton Pritchard</v>
      </c>
      <c r="D392" s="7" t="str">
        <f>Odds_Input!D392</f>
        <v>YES</v>
      </c>
      <c r="E392" s="31" t="str">
        <f>Odds_Input!E392</f>
        <v>-</v>
      </c>
      <c r="F392" s="32">
        <f>Odds_Input!F392</f>
        <v>1400</v>
      </c>
      <c r="G392" s="6" t="str">
        <f t="shared" ref="G392:G455" si="858">IF(OR(B392="WINS",B392="PLAYOFFS"),B392&amp;"|"&amp;C392&amp;IF(B392="WINS","|"&amp;TEXT(E392,"0.0"),""),B392)</f>
        <v>MIP</v>
      </c>
      <c r="H392" s="14">
        <f t="shared" ref="H392:H455" si="859">IF(F392&gt;0,1+F392/100,1+100/ABS(F392))</f>
        <v>15</v>
      </c>
      <c r="I392" s="33">
        <f t="shared" ref="I392:I455" si="860">1/H392</f>
        <v>6.6666666666666666E-2</v>
      </c>
      <c r="J392" s="17">
        <f t="shared" ref="J392:J455" si="861">IF(LEFT(B392,6)="PLAYIN",A_playin_slots,1)</f>
        <v>1</v>
      </c>
      <c r="K392" s="17">
        <f t="shared" ref="K392:K455" si="862">COUNTIF($G$8:$G$694,G392)</f>
        <v>40</v>
      </c>
      <c r="L392" s="18">
        <f t="shared" ref="L392:L455" si="863">SUMIF($G$8:$G$694,G392,$I$8:$I$694)</f>
        <v>1.271969535715286</v>
      </c>
      <c r="M392" s="34">
        <f t="shared" ref="M392:M455" si="864">L392/J392-1</f>
        <v>0.27196953571528604</v>
      </c>
      <c r="N392" s="33">
        <f t="shared" ref="N392:N455" si="865">I392*J392/L392</f>
        <v>5.2412156733908713E-2</v>
      </c>
      <c r="O392" s="33">
        <f t="shared" ref="O392:O455" si="866">I392^R392</f>
        <v>5.4650633224362387E-2</v>
      </c>
      <c r="P392" s="33">
        <f t="shared" ref="P392:P455" si="867">IF(J392&lt;&gt;1,O392,IF(L392&lt;=1,I392/L392,(SQRT(S392^2+4*(1-S392)*I392^2/L392)-S392)/(2*(1-S392))))</f>
        <v>5.5846237319298928E-2</v>
      </c>
      <c r="Q392" s="33">
        <f t="shared" ref="Q392:Q455" si="868">IF(A_devig="Multiplicative",N392,IF(A_devig="Power",O392,P392))</f>
        <v>5.5846237319298928E-2</v>
      </c>
      <c r="R392" s="35">
        <f t="shared" ref="R392:R455" si="869">INDEX($KA$8:$KA$96,MATCH(G392,$X$8:$X$96,0))</f>
        <v>1.0733901743544267</v>
      </c>
      <c r="S392" s="35">
        <f t="shared" ref="S392:S455" si="870">INDEX($KB$8:$KB$96,MATCH(G392,$X$8:$X$96,0))</f>
        <v>7.1185248978951725E-3</v>
      </c>
    </row>
    <row r="393" spans="1:19" ht="15" customHeight="1" x14ac:dyDescent="0.3">
      <c r="A393" s="30">
        <f>Odds_Input!A393</f>
        <v>385</v>
      </c>
      <c r="B393" s="7" t="str">
        <f>Odds_Input!B393</f>
        <v>MIP</v>
      </c>
      <c r="C393" s="7" t="str">
        <f>Odds_Input!C393</f>
        <v>Kelel Ware</v>
      </c>
      <c r="D393" s="7" t="str">
        <f>Odds_Input!D393</f>
        <v>YES</v>
      </c>
      <c r="E393" s="31" t="str">
        <f>Odds_Input!E393</f>
        <v>-</v>
      </c>
      <c r="F393" s="32">
        <f>Odds_Input!F393</f>
        <v>1600</v>
      </c>
      <c r="G393" s="6" t="str">
        <f t="shared" si="858"/>
        <v>MIP</v>
      </c>
      <c r="H393" s="14">
        <f t="shared" si="859"/>
        <v>17</v>
      </c>
      <c r="I393" s="33">
        <f t="shared" si="860"/>
        <v>5.8823529411764705E-2</v>
      </c>
      <c r="J393" s="17">
        <f t="shared" si="861"/>
        <v>1</v>
      </c>
      <c r="K393" s="17">
        <f t="shared" si="862"/>
        <v>40</v>
      </c>
      <c r="L393" s="18">
        <f t="shared" si="863"/>
        <v>1.271969535715286</v>
      </c>
      <c r="M393" s="34">
        <f t="shared" si="864"/>
        <v>0.27196953571528604</v>
      </c>
      <c r="N393" s="33">
        <f t="shared" si="865"/>
        <v>4.6246020647566513E-2</v>
      </c>
      <c r="O393" s="33">
        <f t="shared" si="866"/>
        <v>4.7780227993549328E-2</v>
      </c>
      <c r="P393" s="33">
        <f t="shared" si="867"/>
        <v>4.888148031880226E-2</v>
      </c>
      <c r="Q393" s="33">
        <f t="shared" si="868"/>
        <v>4.888148031880226E-2</v>
      </c>
      <c r="R393" s="35">
        <f t="shared" si="869"/>
        <v>1.0733901743544267</v>
      </c>
      <c r="S393" s="35">
        <f t="shared" si="870"/>
        <v>7.1185248978951725E-3</v>
      </c>
    </row>
    <row r="394" spans="1:19" ht="15" customHeight="1" x14ac:dyDescent="0.3">
      <c r="A394" s="30">
        <f>Odds_Input!A394</f>
        <v>386</v>
      </c>
      <c r="B394" s="7" t="str">
        <f>Odds_Input!B394</f>
        <v>MIP</v>
      </c>
      <c r="C394" s="7" t="str">
        <f>Odds_Input!C394</f>
        <v>Collin Murray Boyles</v>
      </c>
      <c r="D394" s="7" t="str">
        <f>Odds_Input!D394</f>
        <v>YES</v>
      </c>
      <c r="E394" s="31" t="str">
        <f>Odds_Input!E394</f>
        <v>-</v>
      </c>
      <c r="F394" s="32">
        <f>Odds_Input!F394</f>
        <v>2200</v>
      </c>
      <c r="G394" s="6" t="str">
        <f t="shared" si="858"/>
        <v>MIP</v>
      </c>
      <c r="H394" s="14">
        <f t="shared" si="859"/>
        <v>23</v>
      </c>
      <c r="I394" s="33">
        <f t="shared" si="860"/>
        <v>4.3478260869565216E-2</v>
      </c>
      <c r="J394" s="17">
        <f t="shared" si="861"/>
        <v>1</v>
      </c>
      <c r="K394" s="17">
        <f t="shared" si="862"/>
        <v>40</v>
      </c>
      <c r="L394" s="18">
        <f t="shared" si="863"/>
        <v>1.271969535715286</v>
      </c>
      <c r="M394" s="34">
        <f t="shared" si="864"/>
        <v>0.27196953571528604</v>
      </c>
      <c r="N394" s="33">
        <f t="shared" si="865"/>
        <v>3.4181841348201333E-2</v>
      </c>
      <c r="O394" s="33">
        <f t="shared" si="866"/>
        <v>3.454098520331015E-2</v>
      </c>
      <c r="P394" s="33">
        <f t="shared" si="867"/>
        <v>3.5269727747451587E-2</v>
      </c>
      <c r="Q394" s="33">
        <f t="shared" si="868"/>
        <v>3.5269727747451587E-2</v>
      </c>
      <c r="R394" s="35">
        <f t="shared" si="869"/>
        <v>1.0733901743544267</v>
      </c>
      <c r="S394" s="35">
        <f t="shared" si="870"/>
        <v>7.1185248978951725E-3</v>
      </c>
    </row>
    <row r="395" spans="1:19" ht="15" customHeight="1" x14ac:dyDescent="0.3">
      <c r="A395" s="30">
        <f>Odds_Input!A395</f>
        <v>387</v>
      </c>
      <c r="B395" s="7" t="str">
        <f>Odds_Input!B395</f>
        <v>MIP</v>
      </c>
      <c r="C395" s="7" t="str">
        <f>Odds_Input!C395</f>
        <v>Stephon Castle</v>
      </c>
      <c r="D395" s="7" t="str">
        <f>Odds_Input!D395</f>
        <v>YES</v>
      </c>
      <c r="E395" s="31" t="str">
        <f>Odds_Input!E395</f>
        <v>-</v>
      </c>
      <c r="F395" s="32">
        <f>Odds_Input!F395</f>
        <v>2800</v>
      </c>
      <c r="G395" s="6" t="str">
        <f t="shared" si="858"/>
        <v>MIP</v>
      </c>
      <c r="H395" s="14">
        <f t="shared" si="859"/>
        <v>29</v>
      </c>
      <c r="I395" s="33">
        <f t="shared" si="860"/>
        <v>3.4482758620689655E-2</v>
      </c>
      <c r="J395" s="17">
        <f t="shared" si="861"/>
        <v>1</v>
      </c>
      <c r="K395" s="17">
        <f t="shared" si="862"/>
        <v>40</v>
      </c>
      <c r="L395" s="18">
        <f t="shared" si="863"/>
        <v>1.271969535715286</v>
      </c>
      <c r="M395" s="34">
        <f t="shared" si="864"/>
        <v>0.27196953571528604</v>
      </c>
      <c r="N395" s="33">
        <f t="shared" si="865"/>
        <v>2.710973624167692E-2</v>
      </c>
      <c r="O395" s="33">
        <f t="shared" si="866"/>
        <v>2.6932480747142572E-2</v>
      </c>
      <c r="P395" s="33">
        <f t="shared" si="867"/>
        <v>2.7308121025755201E-2</v>
      </c>
      <c r="Q395" s="33">
        <f t="shared" si="868"/>
        <v>2.7308121025755201E-2</v>
      </c>
      <c r="R395" s="35">
        <f t="shared" si="869"/>
        <v>1.0733901743544267</v>
      </c>
      <c r="S395" s="35">
        <f t="shared" si="870"/>
        <v>7.1185248978951725E-3</v>
      </c>
    </row>
    <row r="396" spans="1:19" ht="15" customHeight="1" x14ac:dyDescent="0.3">
      <c r="A396" s="30">
        <f>Odds_Input!A396</f>
        <v>388</v>
      </c>
      <c r="B396" s="7" t="str">
        <f>Odds_Input!B396</f>
        <v>MIP</v>
      </c>
      <c r="C396" s="7" t="str">
        <f>Odds_Input!C396</f>
        <v>Peyton Watson</v>
      </c>
      <c r="D396" s="7" t="str">
        <f>Odds_Input!D396</f>
        <v>YES</v>
      </c>
      <c r="E396" s="31" t="str">
        <f>Odds_Input!E396</f>
        <v>-</v>
      </c>
      <c r="F396" s="32">
        <f>Odds_Input!F396</f>
        <v>1800</v>
      </c>
      <c r="G396" s="6" t="str">
        <f t="shared" si="858"/>
        <v>MIP</v>
      </c>
      <c r="H396" s="14">
        <f t="shared" si="859"/>
        <v>19</v>
      </c>
      <c r="I396" s="33">
        <f t="shared" si="860"/>
        <v>5.2631578947368418E-2</v>
      </c>
      <c r="J396" s="17">
        <f t="shared" si="861"/>
        <v>1</v>
      </c>
      <c r="K396" s="17">
        <f t="shared" si="862"/>
        <v>40</v>
      </c>
      <c r="L396" s="18">
        <f t="shared" si="863"/>
        <v>1.271969535715286</v>
      </c>
      <c r="M396" s="34">
        <f t="shared" si="864"/>
        <v>0.27196953571528604</v>
      </c>
      <c r="N396" s="33">
        <f t="shared" si="865"/>
        <v>4.1378018474138453E-2</v>
      </c>
      <c r="O396" s="33">
        <f t="shared" si="866"/>
        <v>4.2403182134285601E-2</v>
      </c>
      <c r="P396" s="33">
        <f t="shared" si="867"/>
        <v>4.3386006952802543E-2</v>
      </c>
      <c r="Q396" s="33">
        <f t="shared" si="868"/>
        <v>4.3386006952802543E-2</v>
      </c>
      <c r="R396" s="35">
        <f t="shared" si="869"/>
        <v>1.0733901743544267</v>
      </c>
      <c r="S396" s="35">
        <f t="shared" si="870"/>
        <v>7.1185248978951725E-3</v>
      </c>
    </row>
    <row r="397" spans="1:19" ht="15" customHeight="1" x14ac:dyDescent="0.3">
      <c r="A397" s="30">
        <f>Odds_Input!A397</f>
        <v>389</v>
      </c>
      <c r="B397" s="7" t="str">
        <f>Odds_Input!B397</f>
        <v>MIP</v>
      </c>
      <c r="C397" s="7" t="str">
        <f>Odds_Input!C397</f>
        <v>Egor Demin</v>
      </c>
      <c r="D397" s="7" t="str">
        <f>Odds_Input!D397</f>
        <v>YES</v>
      </c>
      <c r="E397" s="31" t="str">
        <f>Odds_Input!E397</f>
        <v>-</v>
      </c>
      <c r="F397" s="32">
        <f>Odds_Input!F397</f>
        <v>3500</v>
      </c>
      <c r="G397" s="6" t="str">
        <f t="shared" si="858"/>
        <v>MIP</v>
      </c>
      <c r="H397" s="14">
        <f t="shared" si="859"/>
        <v>36</v>
      </c>
      <c r="I397" s="33">
        <f t="shared" si="860"/>
        <v>2.7777777777777776E-2</v>
      </c>
      <c r="J397" s="17">
        <f t="shared" si="861"/>
        <v>1</v>
      </c>
      <c r="K397" s="17">
        <f t="shared" si="862"/>
        <v>40</v>
      </c>
      <c r="L397" s="18">
        <f t="shared" si="863"/>
        <v>1.271969535715286</v>
      </c>
      <c r="M397" s="34">
        <f t="shared" si="864"/>
        <v>0.27196953571528604</v>
      </c>
      <c r="N397" s="33">
        <f t="shared" si="865"/>
        <v>2.1838398639128627E-2</v>
      </c>
      <c r="O397" s="33">
        <f t="shared" si="866"/>
        <v>2.1354046660126139E-2</v>
      </c>
      <c r="P397" s="33">
        <f t="shared" si="867"/>
        <v>2.1391649147247702E-2</v>
      </c>
      <c r="Q397" s="33">
        <f t="shared" si="868"/>
        <v>2.1391649147247702E-2</v>
      </c>
      <c r="R397" s="35">
        <f t="shared" si="869"/>
        <v>1.0733901743544267</v>
      </c>
      <c r="S397" s="35">
        <f t="shared" si="870"/>
        <v>7.1185248978951725E-3</v>
      </c>
    </row>
    <row r="398" spans="1:19" ht="15" customHeight="1" x14ac:dyDescent="0.3">
      <c r="A398" s="30">
        <f>Odds_Input!A398</f>
        <v>390</v>
      </c>
      <c r="B398" s="7" t="str">
        <f>Odds_Input!B398</f>
        <v>MIP</v>
      </c>
      <c r="C398" s="7" t="str">
        <f>Odds_Input!C398</f>
        <v>Donovan Clingan</v>
      </c>
      <c r="D398" s="7" t="str">
        <f>Odds_Input!D398</f>
        <v>YES</v>
      </c>
      <c r="E398" s="31" t="str">
        <f>Odds_Input!E398</f>
        <v>-</v>
      </c>
      <c r="F398" s="32">
        <f>Odds_Input!F398</f>
        <v>3000</v>
      </c>
      <c r="G398" s="6" t="str">
        <f t="shared" si="858"/>
        <v>MIP</v>
      </c>
      <c r="H398" s="14">
        <f t="shared" si="859"/>
        <v>31</v>
      </c>
      <c r="I398" s="33">
        <f t="shared" si="860"/>
        <v>3.2258064516129031E-2</v>
      </c>
      <c r="J398" s="17">
        <f t="shared" si="861"/>
        <v>1</v>
      </c>
      <c r="K398" s="17">
        <f t="shared" si="862"/>
        <v>40</v>
      </c>
      <c r="L398" s="18">
        <f t="shared" si="863"/>
        <v>1.271969535715286</v>
      </c>
      <c r="M398" s="34">
        <f t="shared" si="864"/>
        <v>0.27196953571528604</v>
      </c>
      <c r="N398" s="33">
        <f t="shared" si="865"/>
        <v>2.5360721000278409E-2</v>
      </c>
      <c r="O398" s="33">
        <f t="shared" si="866"/>
        <v>2.5071886404423097E-2</v>
      </c>
      <c r="P398" s="33">
        <f t="shared" si="867"/>
        <v>2.5342779730778101E-2</v>
      </c>
      <c r="Q398" s="33">
        <f t="shared" si="868"/>
        <v>2.5342779730778101E-2</v>
      </c>
      <c r="R398" s="35">
        <f t="shared" si="869"/>
        <v>1.0733901743544267</v>
      </c>
      <c r="S398" s="35">
        <f t="shared" si="870"/>
        <v>7.1185248978951725E-3</v>
      </c>
    </row>
    <row r="399" spans="1:19" ht="15" customHeight="1" x14ac:dyDescent="0.3">
      <c r="A399" s="30">
        <f>Odds_Input!A399</f>
        <v>391</v>
      </c>
      <c r="B399" s="7" t="str">
        <f>Odds_Input!B399</f>
        <v>MIP</v>
      </c>
      <c r="C399" s="7" t="str">
        <f>Odds_Input!C399</f>
        <v>Naz Reid</v>
      </c>
      <c r="D399" s="7" t="str">
        <f>Odds_Input!D399</f>
        <v>YES</v>
      </c>
      <c r="E399" s="31" t="str">
        <f>Odds_Input!E399</f>
        <v>-</v>
      </c>
      <c r="F399" s="32">
        <f>Odds_Input!F399</f>
        <v>2800</v>
      </c>
      <c r="G399" s="6" t="str">
        <f t="shared" si="858"/>
        <v>MIP</v>
      </c>
      <c r="H399" s="14">
        <f t="shared" si="859"/>
        <v>29</v>
      </c>
      <c r="I399" s="33">
        <f t="shared" si="860"/>
        <v>3.4482758620689655E-2</v>
      </c>
      <c r="J399" s="17">
        <f t="shared" si="861"/>
        <v>1</v>
      </c>
      <c r="K399" s="17">
        <f t="shared" si="862"/>
        <v>40</v>
      </c>
      <c r="L399" s="18">
        <f t="shared" si="863"/>
        <v>1.271969535715286</v>
      </c>
      <c r="M399" s="34">
        <f t="shared" si="864"/>
        <v>0.27196953571528604</v>
      </c>
      <c r="N399" s="33">
        <f t="shared" si="865"/>
        <v>2.710973624167692E-2</v>
      </c>
      <c r="O399" s="33">
        <f t="shared" si="866"/>
        <v>2.6932480747142572E-2</v>
      </c>
      <c r="P399" s="33">
        <f t="shared" si="867"/>
        <v>2.7308121025755201E-2</v>
      </c>
      <c r="Q399" s="33">
        <f t="shared" si="868"/>
        <v>2.7308121025755201E-2</v>
      </c>
      <c r="R399" s="35">
        <f t="shared" si="869"/>
        <v>1.0733901743544267</v>
      </c>
      <c r="S399" s="35">
        <f t="shared" si="870"/>
        <v>7.1185248978951725E-3</v>
      </c>
    </row>
    <row r="400" spans="1:19" ht="15" customHeight="1" x14ac:dyDescent="0.3">
      <c r="A400" s="30">
        <f>Odds_Input!A400</f>
        <v>392</v>
      </c>
      <c r="B400" s="7" t="str">
        <f>Odds_Input!B400</f>
        <v>MIP</v>
      </c>
      <c r="C400" s="7" t="str">
        <f>Odds_Input!C400</f>
        <v>Reed Sheppard</v>
      </c>
      <c r="D400" s="7" t="str">
        <f>Odds_Input!D400</f>
        <v>YES</v>
      </c>
      <c r="E400" s="31" t="str">
        <f>Odds_Input!E400</f>
        <v>-</v>
      </c>
      <c r="F400" s="32">
        <f>Odds_Input!F400</f>
        <v>4000</v>
      </c>
      <c r="G400" s="6" t="str">
        <f t="shared" si="858"/>
        <v>MIP</v>
      </c>
      <c r="H400" s="14">
        <f t="shared" si="859"/>
        <v>41</v>
      </c>
      <c r="I400" s="33">
        <f t="shared" si="860"/>
        <v>2.4390243902439025E-2</v>
      </c>
      <c r="J400" s="17">
        <f t="shared" si="861"/>
        <v>1</v>
      </c>
      <c r="K400" s="17">
        <f t="shared" si="862"/>
        <v>40</v>
      </c>
      <c r="L400" s="18">
        <f t="shared" si="863"/>
        <v>1.271969535715286</v>
      </c>
      <c r="M400" s="34">
        <f t="shared" si="864"/>
        <v>0.27196953571528604</v>
      </c>
      <c r="N400" s="33">
        <f t="shared" si="865"/>
        <v>1.9175179292893432E-2</v>
      </c>
      <c r="O400" s="33">
        <f t="shared" si="866"/>
        <v>1.8571785321308223E-2</v>
      </c>
      <c r="P400" s="33">
        <f t="shared" si="867"/>
        <v>1.8412743290328503E-2</v>
      </c>
      <c r="Q400" s="33">
        <f t="shared" si="868"/>
        <v>1.8412743290328503E-2</v>
      </c>
      <c r="R400" s="35">
        <f t="shared" si="869"/>
        <v>1.0733901743544267</v>
      </c>
      <c r="S400" s="35">
        <f t="shared" si="870"/>
        <v>7.1185248978951725E-3</v>
      </c>
    </row>
    <row r="401" spans="1:19" ht="15" customHeight="1" x14ac:dyDescent="0.3">
      <c r="A401" s="30">
        <f>Odds_Input!A401</f>
        <v>393</v>
      </c>
      <c r="B401" s="7" t="str">
        <f>Odds_Input!B401</f>
        <v>MIP</v>
      </c>
      <c r="C401" s="7" t="str">
        <f>Odds_Input!C401</f>
        <v>Khaman Maluach</v>
      </c>
      <c r="D401" s="7" t="str">
        <f>Odds_Input!D401</f>
        <v>YES</v>
      </c>
      <c r="E401" s="31" t="str">
        <f>Odds_Input!E401</f>
        <v>-</v>
      </c>
      <c r="F401" s="32">
        <f>Odds_Input!F401</f>
        <v>3500</v>
      </c>
      <c r="G401" s="6" t="str">
        <f t="shared" si="858"/>
        <v>MIP</v>
      </c>
      <c r="H401" s="14">
        <f t="shared" si="859"/>
        <v>36</v>
      </c>
      <c r="I401" s="33">
        <f t="shared" si="860"/>
        <v>2.7777777777777776E-2</v>
      </c>
      <c r="J401" s="17">
        <f t="shared" si="861"/>
        <v>1</v>
      </c>
      <c r="K401" s="17">
        <f t="shared" si="862"/>
        <v>40</v>
      </c>
      <c r="L401" s="18">
        <f t="shared" si="863"/>
        <v>1.271969535715286</v>
      </c>
      <c r="M401" s="34">
        <f t="shared" si="864"/>
        <v>0.27196953571528604</v>
      </c>
      <c r="N401" s="33">
        <f t="shared" si="865"/>
        <v>2.1838398639128627E-2</v>
      </c>
      <c r="O401" s="33">
        <f t="shared" si="866"/>
        <v>2.1354046660126139E-2</v>
      </c>
      <c r="P401" s="33">
        <f t="shared" si="867"/>
        <v>2.1391649147247702E-2</v>
      </c>
      <c r="Q401" s="33">
        <f t="shared" si="868"/>
        <v>2.1391649147247702E-2</v>
      </c>
      <c r="R401" s="35">
        <f t="shared" si="869"/>
        <v>1.0733901743544267</v>
      </c>
      <c r="S401" s="35">
        <f t="shared" si="870"/>
        <v>7.1185248978951725E-3</v>
      </c>
    </row>
    <row r="402" spans="1:19" ht="15" customHeight="1" x14ac:dyDescent="0.3">
      <c r="A402" s="30">
        <f>Odds_Input!A402</f>
        <v>394</v>
      </c>
      <c r="B402" s="7" t="str">
        <f>Odds_Input!B402</f>
        <v>MIP</v>
      </c>
      <c r="C402" s="7" t="str">
        <f>Odds_Input!C402</f>
        <v>Dylan Cardwell</v>
      </c>
      <c r="D402" s="7" t="str">
        <f>Odds_Input!D402</f>
        <v>YES</v>
      </c>
      <c r="E402" s="31" t="str">
        <f>Odds_Input!E402</f>
        <v>-</v>
      </c>
      <c r="F402" s="32">
        <f>Odds_Input!F402</f>
        <v>6000</v>
      </c>
      <c r="G402" s="6" t="str">
        <f t="shared" si="858"/>
        <v>MIP</v>
      </c>
      <c r="H402" s="14">
        <f t="shared" si="859"/>
        <v>61</v>
      </c>
      <c r="I402" s="33">
        <f t="shared" si="860"/>
        <v>1.6393442622950821E-2</v>
      </c>
      <c r="J402" s="17">
        <f t="shared" si="861"/>
        <v>1</v>
      </c>
      <c r="K402" s="17">
        <f t="shared" si="862"/>
        <v>40</v>
      </c>
      <c r="L402" s="18">
        <f t="shared" si="863"/>
        <v>1.271969535715286</v>
      </c>
      <c r="M402" s="34">
        <f t="shared" si="864"/>
        <v>0.27196953571528604</v>
      </c>
      <c r="N402" s="33">
        <f t="shared" si="865"/>
        <v>1.2888235262436569E-2</v>
      </c>
      <c r="O402" s="33">
        <f t="shared" si="866"/>
        <v>1.2123960063276776E-2</v>
      </c>
      <c r="P402" s="33">
        <f t="shared" si="867"/>
        <v>1.1436803733129549E-2</v>
      </c>
      <c r="Q402" s="33">
        <f t="shared" si="868"/>
        <v>1.1436803733129549E-2</v>
      </c>
      <c r="R402" s="35">
        <f t="shared" si="869"/>
        <v>1.0733901743544267</v>
      </c>
      <c r="S402" s="35">
        <f t="shared" si="870"/>
        <v>7.1185248978951725E-3</v>
      </c>
    </row>
    <row r="403" spans="1:19" ht="15" customHeight="1" x14ac:dyDescent="0.3">
      <c r="A403" s="30">
        <f>Odds_Input!A403</f>
        <v>395</v>
      </c>
      <c r="B403" s="7" t="str">
        <f>Odds_Input!B403</f>
        <v>MIP</v>
      </c>
      <c r="C403" s="7" t="str">
        <f>Odds_Input!C403</f>
        <v>Terrence Shannon Jr</v>
      </c>
      <c r="D403" s="7" t="str">
        <f>Odds_Input!D403</f>
        <v>YES</v>
      </c>
      <c r="E403" s="31" t="str">
        <f>Odds_Input!E403</f>
        <v>-</v>
      </c>
      <c r="F403" s="32">
        <f>Odds_Input!F403</f>
        <v>3500</v>
      </c>
      <c r="G403" s="6" t="str">
        <f t="shared" si="858"/>
        <v>MIP</v>
      </c>
      <c r="H403" s="14">
        <f t="shared" si="859"/>
        <v>36</v>
      </c>
      <c r="I403" s="33">
        <f t="shared" si="860"/>
        <v>2.7777777777777776E-2</v>
      </c>
      <c r="J403" s="17">
        <f t="shared" si="861"/>
        <v>1</v>
      </c>
      <c r="K403" s="17">
        <f t="shared" si="862"/>
        <v>40</v>
      </c>
      <c r="L403" s="18">
        <f t="shared" si="863"/>
        <v>1.271969535715286</v>
      </c>
      <c r="M403" s="34">
        <f t="shared" si="864"/>
        <v>0.27196953571528604</v>
      </c>
      <c r="N403" s="33">
        <f t="shared" si="865"/>
        <v>2.1838398639128627E-2</v>
      </c>
      <c r="O403" s="33">
        <f t="shared" si="866"/>
        <v>2.1354046660126139E-2</v>
      </c>
      <c r="P403" s="33">
        <f t="shared" si="867"/>
        <v>2.1391649147247702E-2</v>
      </c>
      <c r="Q403" s="33">
        <f t="shared" si="868"/>
        <v>2.1391649147247702E-2</v>
      </c>
      <c r="R403" s="35">
        <f t="shared" si="869"/>
        <v>1.0733901743544267</v>
      </c>
      <c r="S403" s="35">
        <f t="shared" si="870"/>
        <v>7.1185248978951725E-3</v>
      </c>
    </row>
    <row r="404" spans="1:19" ht="15" customHeight="1" x14ac:dyDescent="0.3">
      <c r="A404" s="30">
        <f>Odds_Input!A404</f>
        <v>396</v>
      </c>
      <c r="B404" s="7" t="str">
        <f>Odds_Input!B404</f>
        <v>MIP</v>
      </c>
      <c r="C404" s="7" t="str">
        <f>Odds_Input!C404</f>
        <v>Matas Buzelis</v>
      </c>
      <c r="D404" s="7" t="str">
        <f>Odds_Input!D404</f>
        <v>YES</v>
      </c>
      <c r="E404" s="31" t="str">
        <f>Odds_Input!E404</f>
        <v>-</v>
      </c>
      <c r="F404" s="32">
        <f>Odds_Input!F404</f>
        <v>3500</v>
      </c>
      <c r="G404" s="6" t="str">
        <f t="shared" si="858"/>
        <v>MIP</v>
      </c>
      <c r="H404" s="14">
        <f t="shared" si="859"/>
        <v>36</v>
      </c>
      <c r="I404" s="33">
        <f t="shared" si="860"/>
        <v>2.7777777777777776E-2</v>
      </c>
      <c r="J404" s="17">
        <f t="shared" si="861"/>
        <v>1</v>
      </c>
      <c r="K404" s="17">
        <f t="shared" si="862"/>
        <v>40</v>
      </c>
      <c r="L404" s="18">
        <f t="shared" si="863"/>
        <v>1.271969535715286</v>
      </c>
      <c r="M404" s="34">
        <f t="shared" si="864"/>
        <v>0.27196953571528604</v>
      </c>
      <c r="N404" s="33">
        <f t="shared" si="865"/>
        <v>2.1838398639128627E-2</v>
      </c>
      <c r="O404" s="33">
        <f t="shared" si="866"/>
        <v>2.1354046660126139E-2</v>
      </c>
      <c r="P404" s="33">
        <f t="shared" si="867"/>
        <v>2.1391649147247702E-2</v>
      </c>
      <c r="Q404" s="33">
        <f t="shared" si="868"/>
        <v>2.1391649147247702E-2</v>
      </c>
      <c r="R404" s="35">
        <f t="shared" si="869"/>
        <v>1.0733901743544267</v>
      </c>
      <c r="S404" s="35">
        <f t="shared" si="870"/>
        <v>7.1185248978951725E-3</v>
      </c>
    </row>
    <row r="405" spans="1:19" ht="15" customHeight="1" x14ac:dyDescent="0.3">
      <c r="A405" s="30">
        <f>Odds_Input!A405</f>
        <v>397</v>
      </c>
      <c r="B405" s="7" t="str">
        <f>Odds_Input!B405</f>
        <v>MIP</v>
      </c>
      <c r="C405" s="7" t="str">
        <f>Odds_Input!C405</f>
        <v>Zach Edey</v>
      </c>
      <c r="D405" s="7" t="str">
        <f>Odds_Input!D405</f>
        <v>YES</v>
      </c>
      <c r="E405" s="31" t="str">
        <f>Odds_Input!E405</f>
        <v>-</v>
      </c>
      <c r="F405" s="32">
        <f>Odds_Input!F405</f>
        <v>2500</v>
      </c>
      <c r="G405" s="6" t="str">
        <f t="shared" si="858"/>
        <v>MIP</v>
      </c>
      <c r="H405" s="14">
        <f t="shared" si="859"/>
        <v>26</v>
      </c>
      <c r="I405" s="33">
        <f t="shared" si="860"/>
        <v>3.8461538461538464E-2</v>
      </c>
      <c r="J405" s="17">
        <f t="shared" si="861"/>
        <v>1</v>
      </c>
      <c r="K405" s="17">
        <f t="shared" si="862"/>
        <v>40</v>
      </c>
      <c r="L405" s="18">
        <f t="shared" si="863"/>
        <v>1.271969535715286</v>
      </c>
      <c r="M405" s="34">
        <f t="shared" si="864"/>
        <v>0.27196953571528604</v>
      </c>
      <c r="N405" s="33">
        <f t="shared" si="865"/>
        <v>3.0237782731101181E-2</v>
      </c>
      <c r="O405" s="33">
        <f t="shared" si="866"/>
        <v>3.0281787765880173E-2</v>
      </c>
      <c r="P405" s="33">
        <f t="shared" si="867"/>
        <v>3.0827142091591715E-2</v>
      </c>
      <c r="Q405" s="33">
        <f t="shared" si="868"/>
        <v>3.0827142091591715E-2</v>
      </c>
      <c r="R405" s="35">
        <f t="shared" si="869"/>
        <v>1.0733901743544267</v>
      </c>
      <c r="S405" s="35">
        <f t="shared" si="870"/>
        <v>7.1185248978951725E-3</v>
      </c>
    </row>
    <row r="406" spans="1:19" ht="15" customHeight="1" x14ac:dyDescent="0.3">
      <c r="A406" s="30">
        <f>Odds_Input!A406</f>
        <v>398</v>
      </c>
      <c r="B406" s="7" t="str">
        <f>Odds_Input!B406</f>
        <v>MIP</v>
      </c>
      <c r="C406" s="7" t="str">
        <f>Odds_Input!C406</f>
        <v>Derik Queen</v>
      </c>
      <c r="D406" s="7" t="str">
        <f>Odds_Input!D406</f>
        <v>YES</v>
      </c>
      <c r="E406" s="31" t="str">
        <f>Odds_Input!E406</f>
        <v>-</v>
      </c>
      <c r="F406" s="32">
        <f>Odds_Input!F406</f>
        <v>5000</v>
      </c>
      <c r="G406" s="6" t="str">
        <f t="shared" si="858"/>
        <v>MIP</v>
      </c>
      <c r="H406" s="14">
        <f t="shared" si="859"/>
        <v>51</v>
      </c>
      <c r="I406" s="33">
        <f t="shared" si="860"/>
        <v>1.9607843137254902E-2</v>
      </c>
      <c r="J406" s="17">
        <f t="shared" si="861"/>
        <v>1</v>
      </c>
      <c r="K406" s="17">
        <f t="shared" si="862"/>
        <v>40</v>
      </c>
      <c r="L406" s="18">
        <f t="shared" si="863"/>
        <v>1.271969535715286</v>
      </c>
      <c r="M406" s="34">
        <f t="shared" si="864"/>
        <v>0.27196953571528604</v>
      </c>
      <c r="N406" s="33">
        <f t="shared" si="865"/>
        <v>1.5415340215855503E-2</v>
      </c>
      <c r="O406" s="33">
        <f t="shared" si="866"/>
        <v>1.4693015980808409E-2</v>
      </c>
      <c r="P406" s="33">
        <f t="shared" si="867"/>
        <v>1.4227555071545637E-2</v>
      </c>
      <c r="Q406" s="33">
        <f t="shared" si="868"/>
        <v>1.4227555071545637E-2</v>
      </c>
      <c r="R406" s="35">
        <f t="shared" si="869"/>
        <v>1.0733901743544267</v>
      </c>
      <c r="S406" s="35">
        <f t="shared" si="870"/>
        <v>7.1185248978951725E-3</v>
      </c>
    </row>
    <row r="407" spans="1:19" ht="15" customHeight="1" x14ac:dyDescent="0.3">
      <c r="A407" s="30">
        <f>Odds_Input!A407</f>
        <v>399</v>
      </c>
      <c r="B407" s="7" t="str">
        <f>Odds_Input!B407</f>
        <v>MIP</v>
      </c>
      <c r="C407" s="7" t="str">
        <f>Odds_Input!C407</f>
        <v>VJ Edgecombe</v>
      </c>
      <c r="D407" s="7" t="str">
        <f>Odds_Input!D407</f>
        <v>YES</v>
      </c>
      <c r="E407" s="31" t="str">
        <f>Odds_Input!E407</f>
        <v>-</v>
      </c>
      <c r="F407" s="32">
        <f>Odds_Input!F407</f>
        <v>4000</v>
      </c>
      <c r="G407" s="6" t="str">
        <f t="shared" si="858"/>
        <v>MIP</v>
      </c>
      <c r="H407" s="14">
        <f t="shared" si="859"/>
        <v>41</v>
      </c>
      <c r="I407" s="33">
        <f t="shared" si="860"/>
        <v>2.4390243902439025E-2</v>
      </c>
      <c r="J407" s="17">
        <f t="shared" si="861"/>
        <v>1</v>
      </c>
      <c r="K407" s="17">
        <f t="shared" si="862"/>
        <v>40</v>
      </c>
      <c r="L407" s="18">
        <f t="shared" si="863"/>
        <v>1.271969535715286</v>
      </c>
      <c r="M407" s="34">
        <f t="shared" si="864"/>
        <v>0.27196953571528604</v>
      </c>
      <c r="N407" s="33">
        <f t="shared" si="865"/>
        <v>1.9175179292893432E-2</v>
      </c>
      <c r="O407" s="33">
        <f t="shared" si="866"/>
        <v>1.8571785321308223E-2</v>
      </c>
      <c r="P407" s="33">
        <f t="shared" si="867"/>
        <v>1.8412743290328503E-2</v>
      </c>
      <c r="Q407" s="33">
        <f t="shared" si="868"/>
        <v>1.8412743290328503E-2</v>
      </c>
      <c r="R407" s="35">
        <f t="shared" si="869"/>
        <v>1.0733901743544267</v>
      </c>
      <c r="S407" s="35">
        <f t="shared" si="870"/>
        <v>7.1185248978951725E-3</v>
      </c>
    </row>
    <row r="408" spans="1:19" ht="15" customHeight="1" x14ac:dyDescent="0.3">
      <c r="A408" s="30">
        <f>Odds_Input!A408</f>
        <v>400</v>
      </c>
      <c r="B408" s="7" t="str">
        <f>Odds_Input!B408</f>
        <v>MIP</v>
      </c>
      <c r="C408" s="7" t="str">
        <f>Odds_Input!C408</f>
        <v>Walker Kessler</v>
      </c>
      <c r="D408" s="7" t="str">
        <f>Odds_Input!D408</f>
        <v>YES</v>
      </c>
      <c r="E408" s="31" t="str">
        <f>Odds_Input!E408</f>
        <v>-</v>
      </c>
      <c r="F408" s="32">
        <f>Odds_Input!F408</f>
        <v>2200</v>
      </c>
      <c r="G408" s="6" t="str">
        <f t="shared" si="858"/>
        <v>MIP</v>
      </c>
      <c r="H408" s="14">
        <f t="shared" si="859"/>
        <v>23</v>
      </c>
      <c r="I408" s="33">
        <f t="shared" si="860"/>
        <v>4.3478260869565216E-2</v>
      </c>
      <c r="J408" s="17">
        <f t="shared" si="861"/>
        <v>1</v>
      </c>
      <c r="K408" s="17">
        <f t="shared" si="862"/>
        <v>40</v>
      </c>
      <c r="L408" s="18">
        <f t="shared" si="863"/>
        <v>1.271969535715286</v>
      </c>
      <c r="M408" s="34">
        <f t="shared" si="864"/>
        <v>0.27196953571528604</v>
      </c>
      <c r="N408" s="33">
        <f t="shared" si="865"/>
        <v>3.4181841348201333E-2</v>
      </c>
      <c r="O408" s="33">
        <f t="shared" si="866"/>
        <v>3.454098520331015E-2</v>
      </c>
      <c r="P408" s="33">
        <f t="shared" si="867"/>
        <v>3.5269727747451587E-2</v>
      </c>
      <c r="Q408" s="33">
        <f t="shared" si="868"/>
        <v>3.5269727747451587E-2</v>
      </c>
      <c r="R408" s="35">
        <f t="shared" si="869"/>
        <v>1.0733901743544267</v>
      </c>
      <c r="S408" s="35">
        <f t="shared" si="870"/>
        <v>7.1185248978951725E-3</v>
      </c>
    </row>
    <row r="409" spans="1:19" ht="15" customHeight="1" x14ac:dyDescent="0.3">
      <c r="A409" s="30">
        <f>Odds_Input!A409</f>
        <v>401</v>
      </c>
      <c r="B409" s="7" t="str">
        <f>Odds_Input!B409</f>
        <v>MIP</v>
      </c>
      <c r="C409" s="7" t="str">
        <f>Odds_Input!C409</f>
        <v>Jaden McDaniels</v>
      </c>
      <c r="D409" s="7" t="str">
        <f>Odds_Input!D409</f>
        <v>YES</v>
      </c>
      <c r="E409" s="31" t="str">
        <f>Odds_Input!E409</f>
        <v>-</v>
      </c>
      <c r="F409" s="32">
        <f>Odds_Input!F409</f>
        <v>3000</v>
      </c>
      <c r="G409" s="6" t="str">
        <f t="shared" si="858"/>
        <v>MIP</v>
      </c>
      <c r="H409" s="14">
        <f t="shared" si="859"/>
        <v>31</v>
      </c>
      <c r="I409" s="33">
        <f t="shared" si="860"/>
        <v>3.2258064516129031E-2</v>
      </c>
      <c r="J409" s="17">
        <f t="shared" si="861"/>
        <v>1</v>
      </c>
      <c r="K409" s="17">
        <f t="shared" si="862"/>
        <v>40</v>
      </c>
      <c r="L409" s="18">
        <f t="shared" si="863"/>
        <v>1.271969535715286</v>
      </c>
      <c r="M409" s="34">
        <f t="shared" si="864"/>
        <v>0.27196953571528604</v>
      </c>
      <c r="N409" s="33">
        <f t="shared" si="865"/>
        <v>2.5360721000278409E-2</v>
      </c>
      <c r="O409" s="33">
        <f t="shared" si="866"/>
        <v>2.5071886404423097E-2</v>
      </c>
      <c r="P409" s="33">
        <f t="shared" si="867"/>
        <v>2.5342779730778101E-2</v>
      </c>
      <c r="Q409" s="33">
        <f t="shared" si="868"/>
        <v>2.5342779730778101E-2</v>
      </c>
      <c r="R409" s="35">
        <f t="shared" si="869"/>
        <v>1.0733901743544267</v>
      </c>
      <c r="S409" s="35">
        <f t="shared" si="870"/>
        <v>7.1185248978951725E-3</v>
      </c>
    </row>
    <row r="410" spans="1:19" ht="15" customHeight="1" x14ac:dyDescent="0.3">
      <c r="A410" s="30">
        <f>Odds_Input!A410</f>
        <v>402</v>
      </c>
      <c r="B410" s="7" t="str">
        <f>Odds_Input!B410</f>
        <v>MIP</v>
      </c>
      <c r="C410" s="7" t="str">
        <f>Odds_Input!C410</f>
        <v>Joan Beringer</v>
      </c>
      <c r="D410" s="7" t="str">
        <f>Odds_Input!D410</f>
        <v>YES</v>
      </c>
      <c r="E410" s="31" t="str">
        <f>Odds_Input!E410</f>
        <v>-</v>
      </c>
      <c r="F410" s="32">
        <f>Odds_Input!F410</f>
        <v>6000</v>
      </c>
      <c r="G410" s="6" t="str">
        <f t="shared" si="858"/>
        <v>MIP</v>
      </c>
      <c r="H410" s="14">
        <f t="shared" si="859"/>
        <v>61</v>
      </c>
      <c r="I410" s="33">
        <f t="shared" si="860"/>
        <v>1.6393442622950821E-2</v>
      </c>
      <c r="J410" s="17">
        <f t="shared" si="861"/>
        <v>1</v>
      </c>
      <c r="K410" s="17">
        <f t="shared" si="862"/>
        <v>40</v>
      </c>
      <c r="L410" s="18">
        <f t="shared" si="863"/>
        <v>1.271969535715286</v>
      </c>
      <c r="M410" s="34">
        <f t="shared" si="864"/>
        <v>0.27196953571528604</v>
      </c>
      <c r="N410" s="33">
        <f t="shared" si="865"/>
        <v>1.2888235262436569E-2</v>
      </c>
      <c r="O410" s="33">
        <f t="shared" si="866"/>
        <v>1.2123960063276776E-2</v>
      </c>
      <c r="P410" s="33">
        <f t="shared" si="867"/>
        <v>1.1436803733129549E-2</v>
      </c>
      <c r="Q410" s="33">
        <f t="shared" si="868"/>
        <v>1.1436803733129549E-2</v>
      </c>
      <c r="R410" s="35">
        <f t="shared" si="869"/>
        <v>1.0733901743544267</v>
      </c>
      <c r="S410" s="35">
        <f t="shared" si="870"/>
        <v>7.1185248978951725E-3</v>
      </c>
    </row>
    <row r="411" spans="1:19" ht="15" customHeight="1" x14ac:dyDescent="0.3">
      <c r="A411" s="30">
        <f>Odds_Input!A411</f>
        <v>403</v>
      </c>
      <c r="B411" s="7" t="str">
        <f>Odds_Input!B411</f>
        <v>MIP</v>
      </c>
      <c r="C411" s="7" t="str">
        <f>Odds_Input!C411</f>
        <v>Alex Sarr</v>
      </c>
      <c r="D411" s="7" t="str">
        <f>Odds_Input!D411</f>
        <v>YES</v>
      </c>
      <c r="E411" s="31" t="str">
        <f>Odds_Input!E411</f>
        <v>-</v>
      </c>
      <c r="F411" s="32">
        <f>Odds_Input!F411</f>
        <v>4500</v>
      </c>
      <c r="G411" s="6" t="str">
        <f t="shared" si="858"/>
        <v>MIP</v>
      </c>
      <c r="H411" s="14">
        <f t="shared" si="859"/>
        <v>46</v>
      </c>
      <c r="I411" s="33">
        <f t="shared" si="860"/>
        <v>2.1739130434782608E-2</v>
      </c>
      <c r="J411" s="17">
        <f t="shared" si="861"/>
        <v>1</v>
      </c>
      <c r="K411" s="17">
        <f t="shared" si="862"/>
        <v>40</v>
      </c>
      <c r="L411" s="18">
        <f t="shared" si="863"/>
        <v>1.271969535715286</v>
      </c>
      <c r="M411" s="34">
        <f t="shared" si="864"/>
        <v>0.27196953571528604</v>
      </c>
      <c r="N411" s="33">
        <f t="shared" si="865"/>
        <v>1.7090920674100667E-2</v>
      </c>
      <c r="O411" s="33">
        <f t="shared" si="866"/>
        <v>1.6413911260519498E-2</v>
      </c>
      <c r="P411" s="33">
        <f t="shared" si="867"/>
        <v>1.6088963089998683E-2</v>
      </c>
      <c r="Q411" s="33">
        <f t="shared" si="868"/>
        <v>1.6088963089998683E-2</v>
      </c>
      <c r="R411" s="35">
        <f t="shared" si="869"/>
        <v>1.0733901743544267</v>
      </c>
      <c r="S411" s="35">
        <f t="shared" si="870"/>
        <v>7.1185248978951725E-3</v>
      </c>
    </row>
    <row r="412" spans="1:19" ht="15" customHeight="1" x14ac:dyDescent="0.3">
      <c r="A412" s="30">
        <f>Odds_Input!A412</f>
        <v>404</v>
      </c>
      <c r="B412" s="7" t="str">
        <f>Odds_Input!B412</f>
        <v>MIP</v>
      </c>
      <c r="C412" s="7" t="str">
        <f>Odds_Input!C412</f>
        <v>Ousmane Dieng</v>
      </c>
      <c r="D412" s="7" t="str">
        <f>Odds_Input!D412</f>
        <v>YES</v>
      </c>
      <c r="E412" s="31" t="str">
        <f>Odds_Input!E412</f>
        <v>-</v>
      </c>
      <c r="F412" s="32">
        <f>Odds_Input!F412</f>
        <v>5500</v>
      </c>
      <c r="G412" s="6" t="str">
        <f t="shared" si="858"/>
        <v>MIP</v>
      </c>
      <c r="H412" s="14">
        <f t="shared" si="859"/>
        <v>56</v>
      </c>
      <c r="I412" s="33">
        <f t="shared" si="860"/>
        <v>1.7857142857142856E-2</v>
      </c>
      <c r="J412" s="17">
        <f t="shared" si="861"/>
        <v>1</v>
      </c>
      <c r="K412" s="17">
        <f t="shared" si="862"/>
        <v>40</v>
      </c>
      <c r="L412" s="18">
        <f t="shared" si="863"/>
        <v>1.271969535715286</v>
      </c>
      <c r="M412" s="34">
        <f t="shared" si="864"/>
        <v>0.27196953571528604</v>
      </c>
      <c r="N412" s="33">
        <f t="shared" si="865"/>
        <v>1.4038970553725548E-2</v>
      </c>
      <c r="O412" s="33">
        <f t="shared" si="866"/>
        <v>1.3289607327512038E-2</v>
      </c>
      <c r="P412" s="33">
        <f t="shared" si="867"/>
        <v>1.2704600275982325E-2</v>
      </c>
      <c r="Q412" s="33">
        <f t="shared" si="868"/>
        <v>1.2704600275982325E-2</v>
      </c>
      <c r="R412" s="35">
        <f t="shared" si="869"/>
        <v>1.0733901743544267</v>
      </c>
      <c r="S412" s="35">
        <f t="shared" si="870"/>
        <v>7.1185248978951725E-3</v>
      </c>
    </row>
    <row r="413" spans="1:19" ht="15" customHeight="1" x14ac:dyDescent="0.3">
      <c r="A413" s="30">
        <f>Odds_Input!A413</f>
        <v>405</v>
      </c>
      <c r="B413" s="7" t="str">
        <f>Odds_Input!B413</f>
        <v>MIP</v>
      </c>
      <c r="C413" s="7" t="str">
        <f>Odds_Input!C413</f>
        <v>Jared McCain</v>
      </c>
      <c r="D413" s="7" t="str">
        <f>Odds_Input!D413</f>
        <v>YES</v>
      </c>
      <c r="E413" s="31" t="str">
        <f>Odds_Input!E413</f>
        <v>-</v>
      </c>
      <c r="F413" s="32">
        <f>Odds_Input!F413</f>
        <v>5000</v>
      </c>
      <c r="G413" s="6" t="str">
        <f t="shared" si="858"/>
        <v>MIP</v>
      </c>
      <c r="H413" s="14">
        <f t="shared" si="859"/>
        <v>51</v>
      </c>
      <c r="I413" s="33">
        <f t="shared" si="860"/>
        <v>1.9607843137254902E-2</v>
      </c>
      <c r="J413" s="17">
        <f t="shared" si="861"/>
        <v>1</v>
      </c>
      <c r="K413" s="17">
        <f t="shared" si="862"/>
        <v>40</v>
      </c>
      <c r="L413" s="18">
        <f t="shared" si="863"/>
        <v>1.271969535715286</v>
      </c>
      <c r="M413" s="34">
        <f t="shared" si="864"/>
        <v>0.27196953571528604</v>
      </c>
      <c r="N413" s="33">
        <f t="shared" si="865"/>
        <v>1.5415340215855503E-2</v>
      </c>
      <c r="O413" s="33">
        <f t="shared" si="866"/>
        <v>1.4693015980808409E-2</v>
      </c>
      <c r="P413" s="33">
        <f t="shared" si="867"/>
        <v>1.4227555071545637E-2</v>
      </c>
      <c r="Q413" s="33">
        <f t="shared" si="868"/>
        <v>1.4227555071545637E-2</v>
      </c>
      <c r="R413" s="35">
        <f t="shared" si="869"/>
        <v>1.0733901743544267</v>
      </c>
      <c r="S413" s="35">
        <f t="shared" si="870"/>
        <v>7.1185248978951725E-3</v>
      </c>
    </row>
    <row r="414" spans="1:19" ht="15" customHeight="1" x14ac:dyDescent="0.3">
      <c r="A414" s="30">
        <f>Odds_Input!A414</f>
        <v>406</v>
      </c>
      <c r="B414" s="7" t="str">
        <f>Odds_Input!B414</f>
        <v>MIP</v>
      </c>
      <c r="C414" s="7" t="str">
        <f>Odds_Input!C414</f>
        <v>Ausar Thompson</v>
      </c>
      <c r="D414" s="7" t="str">
        <f>Odds_Input!D414</f>
        <v>YES</v>
      </c>
      <c r="E414" s="31" t="str">
        <f>Odds_Input!E414</f>
        <v>-</v>
      </c>
      <c r="F414" s="32">
        <f>Odds_Input!F414</f>
        <v>1800</v>
      </c>
      <c r="G414" s="6" t="str">
        <f t="shared" si="858"/>
        <v>MIP</v>
      </c>
      <c r="H414" s="14">
        <f t="shared" si="859"/>
        <v>19</v>
      </c>
      <c r="I414" s="33">
        <f t="shared" si="860"/>
        <v>5.2631578947368418E-2</v>
      </c>
      <c r="J414" s="17">
        <f t="shared" si="861"/>
        <v>1</v>
      </c>
      <c r="K414" s="17">
        <f t="shared" si="862"/>
        <v>40</v>
      </c>
      <c r="L414" s="18">
        <f t="shared" si="863"/>
        <v>1.271969535715286</v>
      </c>
      <c r="M414" s="34">
        <f t="shared" si="864"/>
        <v>0.27196953571528604</v>
      </c>
      <c r="N414" s="33">
        <f t="shared" si="865"/>
        <v>4.1378018474138453E-2</v>
      </c>
      <c r="O414" s="33">
        <f t="shared" si="866"/>
        <v>4.2403182134285601E-2</v>
      </c>
      <c r="P414" s="33">
        <f t="shared" si="867"/>
        <v>4.3386006952802543E-2</v>
      </c>
      <c r="Q414" s="33">
        <f t="shared" si="868"/>
        <v>4.3386006952802543E-2</v>
      </c>
      <c r="R414" s="35">
        <f t="shared" si="869"/>
        <v>1.0733901743544267</v>
      </c>
      <c r="S414" s="35">
        <f t="shared" si="870"/>
        <v>7.1185248978951725E-3</v>
      </c>
    </row>
    <row r="415" spans="1:19" ht="15" customHeight="1" x14ac:dyDescent="0.3">
      <c r="A415" s="30">
        <f>Odds_Input!A415</f>
        <v>407</v>
      </c>
      <c r="B415" s="7" t="str">
        <f>Odds_Input!B415</f>
        <v>MIP</v>
      </c>
      <c r="C415" s="7" t="str">
        <f>Odds_Input!C415</f>
        <v>Ajay Mitchell</v>
      </c>
      <c r="D415" s="7" t="str">
        <f>Odds_Input!D415</f>
        <v>YES</v>
      </c>
      <c r="E415" s="31" t="str">
        <f>Odds_Input!E415</f>
        <v>-</v>
      </c>
      <c r="F415" s="32">
        <f>Odds_Input!F415</f>
        <v>3000</v>
      </c>
      <c r="G415" s="6" t="str">
        <f t="shared" si="858"/>
        <v>MIP</v>
      </c>
      <c r="H415" s="14">
        <f t="shared" si="859"/>
        <v>31</v>
      </c>
      <c r="I415" s="33">
        <f t="shared" si="860"/>
        <v>3.2258064516129031E-2</v>
      </c>
      <c r="J415" s="17">
        <f t="shared" si="861"/>
        <v>1</v>
      </c>
      <c r="K415" s="17">
        <f t="shared" si="862"/>
        <v>40</v>
      </c>
      <c r="L415" s="18">
        <f t="shared" si="863"/>
        <v>1.271969535715286</v>
      </c>
      <c r="M415" s="34">
        <f t="shared" si="864"/>
        <v>0.27196953571528604</v>
      </c>
      <c r="N415" s="33">
        <f t="shared" si="865"/>
        <v>2.5360721000278409E-2</v>
      </c>
      <c r="O415" s="33">
        <f t="shared" si="866"/>
        <v>2.5071886404423097E-2</v>
      </c>
      <c r="P415" s="33">
        <f t="shared" si="867"/>
        <v>2.5342779730778101E-2</v>
      </c>
      <c r="Q415" s="33">
        <f t="shared" si="868"/>
        <v>2.5342779730778101E-2</v>
      </c>
      <c r="R415" s="35">
        <f t="shared" si="869"/>
        <v>1.0733901743544267</v>
      </c>
      <c r="S415" s="35">
        <f t="shared" si="870"/>
        <v>7.1185248978951725E-3</v>
      </c>
    </row>
    <row r="416" spans="1:19" ht="15" customHeight="1" x14ac:dyDescent="0.3">
      <c r="A416" s="30">
        <f>Odds_Input!A416</f>
        <v>408</v>
      </c>
      <c r="B416" s="7" t="str">
        <f>Odds_Input!B416</f>
        <v>MIP</v>
      </c>
      <c r="C416" s="7" t="str">
        <f>Odds_Input!C416</f>
        <v>Jase Richardson</v>
      </c>
      <c r="D416" s="7" t="str">
        <f>Odds_Input!D416</f>
        <v>YES</v>
      </c>
      <c r="E416" s="31" t="str">
        <f>Odds_Input!E416</f>
        <v>-</v>
      </c>
      <c r="F416" s="32">
        <f>Odds_Input!F416</f>
        <v>6000</v>
      </c>
      <c r="G416" s="6" t="str">
        <f t="shared" si="858"/>
        <v>MIP</v>
      </c>
      <c r="H416" s="14">
        <f t="shared" si="859"/>
        <v>61</v>
      </c>
      <c r="I416" s="33">
        <f t="shared" si="860"/>
        <v>1.6393442622950821E-2</v>
      </c>
      <c r="J416" s="17">
        <f t="shared" si="861"/>
        <v>1</v>
      </c>
      <c r="K416" s="17">
        <f t="shared" si="862"/>
        <v>40</v>
      </c>
      <c r="L416" s="18">
        <f t="shared" si="863"/>
        <v>1.271969535715286</v>
      </c>
      <c r="M416" s="34">
        <f t="shared" si="864"/>
        <v>0.27196953571528604</v>
      </c>
      <c r="N416" s="33">
        <f t="shared" si="865"/>
        <v>1.2888235262436569E-2</v>
      </c>
      <c r="O416" s="33">
        <f t="shared" si="866"/>
        <v>1.2123960063276776E-2</v>
      </c>
      <c r="P416" s="33">
        <f t="shared" si="867"/>
        <v>1.1436803733129549E-2</v>
      </c>
      <c r="Q416" s="33">
        <f t="shared" si="868"/>
        <v>1.1436803733129549E-2</v>
      </c>
      <c r="R416" s="35">
        <f t="shared" si="869"/>
        <v>1.0733901743544267</v>
      </c>
      <c r="S416" s="35">
        <f t="shared" si="870"/>
        <v>7.1185248978951725E-3</v>
      </c>
    </row>
    <row r="417" spans="1:19" ht="15" customHeight="1" x14ac:dyDescent="0.3">
      <c r="A417" s="30">
        <f>Odds_Input!A417</f>
        <v>409</v>
      </c>
      <c r="B417" s="7" t="str">
        <f>Odds_Input!B417</f>
        <v>MIP</v>
      </c>
      <c r="C417" s="7" t="str">
        <f>Odds_Input!C417</f>
        <v>Nique Clifford</v>
      </c>
      <c r="D417" s="7" t="str">
        <f>Odds_Input!D417</f>
        <v>YES</v>
      </c>
      <c r="E417" s="31" t="str">
        <f>Odds_Input!E417</f>
        <v>-</v>
      </c>
      <c r="F417" s="32">
        <f>Odds_Input!F417</f>
        <v>8000</v>
      </c>
      <c r="G417" s="6" t="str">
        <f t="shared" si="858"/>
        <v>MIP</v>
      </c>
      <c r="H417" s="14">
        <f t="shared" si="859"/>
        <v>81</v>
      </c>
      <c r="I417" s="33">
        <f t="shared" si="860"/>
        <v>1.2345679012345678E-2</v>
      </c>
      <c r="J417" s="17">
        <f t="shared" si="861"/>
        <v>1</v>
      </c>
      <c r="K417" s="17">
        <f t="shared" si="862"/>
        <v>40</v>
      </c>
      <c r="L417" s="18">
        <f t="shared" si="863"/>
        <v>1.271969535715286</v>
      </c>
      <c r="M417" s="34">
        <f t="shared" si="864"/>
        <v>0.27196953571528604</v>
      </c>
      <c r="N417" s="33">
        <f t="shared" si="865"/>
        <v>9.7059549507238357E-3</v>
      </c>
      <c r="O417" s="33">
        <f t="shared" si="866"/>
        <v>8.9423349453794793E-3</v>
      </c>
      <c r="P417" s="33">
        <f t="shared" si="867"/>
        <v>7.9710126357568408E-3</v>
      </c>
      <c r="Q417" s="33">
        <f t="shared" si="868"/>
        <v>7.9710126357568408E-3</v>
      </c>
      <c r="R417" s="35">
        <f t="shared" si="869"/>
        <v>1.0733901743544267</v>
      </c>
      <c r="S417" s="35">
        <f t="shared" si="870"/>
        <v>7.1185248978951725E-3</v>
      </c>
    </row>
    <row r="418" spans="1:19" ht="15" customHeight="1" x14ac:dyDescent="0.3">
      <c r="A418" s="30">
        <f>Odds_Input!A418</f>
        <v>410</v>
      </c>
      <c r="B418" s="7" t="str">
        <f>Odds_Input!B418</f>
        <v>MIP</v>
      </c>
      <c r="C418" s="7" t="str">
        <f>Odds_Input!C418</f>
        <v>Hugo Gonzalez</v>
      </c>
      <c r="D418" s="7" t="str">
        <f>Odds_Input!D418</f>
        <v>YES</v>
      </c>
      <c r="E418" s="31" t="str">
        <f>Odds_Input!E418</f>
        <v>-</v>
      </c>
      <c r="F418" s="32">
        <f>Odds_Input!F418</f>
        <v>6500</v>
      </c>
      <c r="G418" s="6" t="str">
        <f t="shared" si="858"/>
        <v>MIP</v>
      </c>
      <c r="H418" s="14">
        <f t="shared" si="859"/>
        <v>66</v>
      </c>
      <c r="I418" s="33">
        <f t="shared" si="860"/>
        <v>1.5151515151515152E-2</v>
      </c>
      <c r="J418" s="17">
        <f t="shared" si="861"/>
        <v>1</v>
      </c>
      <c r="K418" s="17">
        <f t="shared" si="862"/>
        <v>40</v>
      </c>
      <c r="L418" s="18">
        <f t="shared" si="863"/>
        <v>1.271969535715286</v>
      </c>
      <c r="M418" s="34">
        <f t="shared" si="864"/>
        <v>0.27196953571528604</v>
      </c>
      <c r="N418" s="33">
        <f t="shared" si="865"/>
        <v>1.1911853803161071E-2</v>
      </c>
      <c r="O418" s="33">
        <f t="shared" si="866"/>
        <v>1.1140877983058723E-2</v>
      </c>
      <c r="P418" s="33">
        <f t="shared" si="867"/>
        <v>1.0366106917860383E-2</v>
      </c>
      <c r="Q418" s="33">
        <f t="shared" si="868"/>
        <v>1.0366106917860383E-2</v>
      </c>
      <c r="R418" s="35">
        <f t="shared" si="869"/>
        <v>1.0733901743544267</v>
      </c>
      <c r="S418" s="35">
        <f t="shared" si="870"/>
        <v>7.1185248978951725E-3</v>
      </c>
    </row>
    <row r="419" spans="1:19" ht="15" customHeight="1" x14ac:dyDescent="0.3">
      <c r="A419" s="30">
        <f>Odds_Input!A419</f>
        <v>411</v>
      </c>
      <c r="B419" s="7" t="str">
        <f>Odds_Input!B419</f>
        <v>MIP</v>
      </c>
      <c r="C419" s="7" t="str">
        <f>Odds_Input!C419</f>
        <v>Carter Bryant</v>
      </c>
      <c r="D419" s="7" t="str">
        <f>Odds_Input!D419</f>
        <v>YES</v>
      </c>
      <c r="E419" s="31" t="str">
        <f>Odds_Input!E419</f>
        <v>-</v>
      </c>
      <c r="F419" s="32">
        <f>Odds_Input!F419</f>
        <v>5500</v>
      </c>
      <c r="G419" s="6" t="str">
        <f t="shared" si="858"/>
        <v>MIP</v>
      </c>
      <c r="H419" s="14">
        <f t="shared" si="859"/>
        <v>56</v>
      </c>
      <c r="I419" s="33">
        <f t="shared" si="860"/>
        <v>1.7857142857142856E-2</v>
      </c>
      <c r="J419" s="17">
        <f t="shared" si="861"/>
        <v>1</v>
      </c>
      <c r="K419" s="17">
        <f t="shared" si="862"/>
        <v>40</v>
      </c>
      <c r="L419" s="18">
        <f t="shared" si="863"/>
        <v>1.271969535715286</v>
      </c>
      <c r="M419" s="34">
        <f t="shared" si="864"/>
        <v>0.27196953571528604</v>
      </c>
      <c r="N419" s="33">
        <f t="shared" si="865"/>
        <v>1.4038970553725548E-2</v>
      </c>
      <c r="O419" s="33">
        <f t="shared" si="866"/>
        <v>1.3289607327512038E-2</v>
      </c>
      <c r="P419" s="33">
        <f t="shared" si="867"/>
        <v>1.2704600275982325E-2</v>
      </c>
      <c r="Q419" s="33">
        <f t="shared" si="868"/>
        <v>1.2704600275982325E-2</v>
      </c>
      <c r="R419" s="35">
        <f t="shared" si="869"/>
        <v>1.0733901743544267</v>
      </c>
      <c r="S419" s="35">
        <f t="shared" si="870"/>
        <v>7.1185248978951725E-3</v>
      </c>
    </row>
    <row r="420" spans="1:19" ht="15" customHeight="1" x14ac:dyDescent="0.3">
      <c r="A420" s="30">
        <f>Odds_Input!A420</f>
        <v>412</v>
      </c>
      <c r="B420" s="7" t="str">
        <f>Odds_Input!B420</f>
        <v>MIP</v>
      </c>
      <c r="C420" s="7" t="str">
        <f>Odds_Input!C420</f>
        <v>Daniss Jenkins</v>
      </c>
      <c r="D420" s="7" t="str">
        <f>Odds_Input!D420</f>
        <v>YES</v>
      </c>
      <c r="E420" s="31" t="str">
        <f>Odds_Input!E420</f>
        <v>-</v>
      </c>
      <c r="F420" s="32">
        <f>Odds_Input!F420</f>
        <v>6000</v>
      </c>
      <c r="G420" s="6" t="str">
        <f t="shared" si="858"/>
        <v>MIP</v>
      </c>
      <c r="H420" s="14">
        <f t="shared" si="859"/>
        <v>61</v>
      </c>
      <c r="I420" s="33">
        <f t="shared" si="860"/>
        <v>1.6393442622950821E-2</v>
      </c>
      <c r="J420" s="17">
        <f t="shared" si="861"/>
        <v>1</v>
      </c>
      <c r="K420" s="17">
        <f t="shared" si="862"/>
        <v>40</v>
      </c>
      <c r="L420" s="18">
        <f t="shared" si="863"/>
        <v>1.271969535715286</v>
      </c>
      <c r="M420" s="34">
        <f t="shared" si="864"/>
        <v>0.27196953571528604</v>
      </c>
      <c r="N420" s="33">
        <f t="shared" si="865"/>
        <v>1.2888235262436569E-2</v>
      </c>
      <c r="O420" s="33">
        <f t="shared" si="866"/>
        <v>1.2123960063276776E-2</v>
      </c>
      <c r="P420" s="33">
        <f t="shared" si="867"/>
        <v>1.1436803733129549E-2</v>
      </c>
      <c r="Q420" s="33">
        <f t="shared" si="868"/>
        <v>1.1436803733129549E-2</v>
      </c>
      <c r="R420" s="35">
        <f t="shared" si="869"/>
        <v>1.0733901743544267</v>
      </c>
      <c r="S420" s="35">
        <f t="shared" si="870"/>
        <v>7.1185248978951725E-3</v>
      </c>
    </row>
    <row r="421" spans="1:19" ht="15" customHeight="1" x14ac:dyDescent="0.3">
      <c r="A421" s="30">
        <f>Odds_Input!A421</f>
        <v>413</v>
      </c>
      <c r="B421" s="7" t="str">
        <f>Odds_Input!B421</f>
        <v>MIP</v>
      </c>
      <c r="C421" s="7" t="str">
        <f>Odds_Input!C421</f>
        <v>Scoot Henderson</v>
      </c>
      <c r="D421" s="7" t="str">
        <f>Odds_Input!D421</f>
        <v>YES</v>
      </c>
      <c r="E421" s="31" t="str">
        <f>Odds_Input!E421</f>
        <v>-</v>
      </c>
      <c r="F421" s="32">
        <f>Odds_Input!F421</f>
        <v>5000</v>
      </c>
      <c r="G421" s="6" t="str">
        <f t="shared" si="858"/>
        <v>MIP</v>
      </c>
      <c r="H421" s="14">
        <f t="shared" si="859"/>
        <v>51</v>
      </c>
      <c r="I421" s="33">
        <f t="shared" si="860"/>
        <v>1.9607843137254902E-2</v>
      </c>
      <c r="J421" s="17">
        <f t="shared" si="861"/>
        <v>1</v>
      </c>
      <c r="K421" s="17">
        <f t="shared" si="862"/>
        <v>40</v>
      </c>
      <c r="L421" s="18">
        <f t="shared" si="863"/>
        <v>1.271969535715286</v>
      </c>
      <c r="M421" s="34">
        <f t="shared" si="864"/>
        <v>0.27196953571528604</v>
      </c>
      <c r="N421" s="33">
        <f t="shared" si="865"/>
        <v>1.5415340215855503E-2</v>
      </c>
      <c r="O421" s="33">
        <f t="shared" si="866"/>
        <v>1.4693015980808409E-2</v>
      </c>
      <c r="P421" s="33">
        <f t="shared" si="867"/>
        <v>1.4227555071545637E-2</v>
      </c>
      <c r="Q421" s="33">
        <f t="shared" si="868"/>
        <v>1.4227555071545637E-2</v>
      </c>
      <c r="R421" s="35">
        <f t="shared" si="869"/>
        <v>1.0733901743544267</v>
      </c>
      <c r="S421" s="35">
        <f t="shared" si="870"/>
        <v>7.1185248978951725E-3</v>
      </c>
    </row>
    <row r="422" spans="1:19" ht="15" customHeight="1" x14ac:dyDescent="0.3">
      <c r="A422" s="30">
        <f>Odds_Input!A422</f>
        <v>414</v>
      </c>
      <c r="B422" s="7" t="str">
        <f>Odds_Input!B422</f>
        <v>MIP</v>
      </c>
      <c r="C422" s="7" t="str">
        <f>Odds_Input!C422</f>
        <v>Ryan Rollins</v>
      </c>
      <c r="D422" s="7" t="str">
        <f>Odds_Input!D422</f>
        <v>YES</v>
      </c>
      <c r="E422" s="31" t="str">
        <f>Odds_Input!E422</f>
        <v>-</v>
      </c>
      <c r="F422" s="32">
        <f>Odds_Input!F422</f>
        <v>4000</v>
      </c>
      <c r="G422" s="6" t="str">
        <f t="shared" si="858"/>
        <v>MIP</v>
      </c>
      <c r="H422" s="14">
        <f t="shared" si="859"/>
        <v>41</v>
      </c>
      <c r="I422" s="33">
        <f t="shared" si="860"/>
        <v>2.4390243902439025E-2</v>
      </c>
      <c r="J422" s="17">
        <f t="shared" si="861"/>
        <v>1</v>
      </c>
      <c r="K422" s="17">
        <f t="shared" si="862"/>
        <v>40</v>
      </c>
      <c r="L422" s="18">
        <f t="shared" si="863"/>
        <v>1.271969535715286</v>
      </c>
      <c r="M422" s="34">
        <f t="shared" si="864"/>
        <v>0.27196953571528604</v>
      </c>
      <c r="N422" s="33">
        <f t="shared" si="865"/>
        <v>1.9175179292893432E-2</v>
      </c>
      <c r="O422" s="33">
        <f t="shared" si="866"/>
        <v>1.8571785321308223E-2</v>
      </c>
      <c r="P422" s="33">
        <f t="shared" si="867"/>
        <v>1.8412743290328503E-2</v>
      </c>
      <c r="Q422" s="33">
        <f t="shared" si="868"/>
        <v>1.8412743290328503E-2</v>
      </c>
      <c r="R422" s="35">
        <f t="shared" si="869"/>
        <v>1.0733901743544267</v>
      </c>
      <c r="S422" s="35">
        <f t="shared" si="870"/>
        <v>7.1185248978951725E-3</v>
      </c>
    </row>
    <row r="423" spans="1:19" ht="15" customHeight="1" x14ac:dyDescent="0.3">
      <c r="A423" s="30">
        <f>Odds_Input!A423</f>
        <v>415</v>
      </c>
      <c r="B423" s="7" t="str">
        <f>Odds_Input!B423</f>
        <v>MIP</v>
      </c>
      <c r="C423" s="7" t="str">
        <f>Odds_Input!C423</f>
        <v>Kon Knueppel</v>
      </c>
      <c r="D423" s="7" t="str">
        <f>Odds_Input!D423</f>
        <v>YES</v>
      </c>
      <c r="E423" s="31" t="str">
        <f>Odds_Input!E423</f>
        <v>-</v>
      </c>
      <c r="F423" s="32">
        <f>Odds_Input!F423</f>
        <v>5000</v>
      </c>
      <c r="G423" s="6" t="str">
        <f t="shared" si="858"/>
        <v>MIP</v>
      </c>
      <c r="H423" s="14">
        <f t="shared" si="859"/>
        <v>51</v>
      </c>
      <c r="I423" s="33">
        <f t="shared" si="860"/>
        <v>1.9607843137254902E-2</v>
      </c>
      <c r="J423" s="17">
        <f t="shared" si="861"/>
        <v>1</v>
      </c>
      <c r="K423" s="17">
        <f t="shared" si="862"/>
        <v>40</v>
      </c>
      <c r="L423" s="18">
        <f t="shared" si="863"/>
        <v>1.271969535715286</v>
      </c>
      <c r="M423" s="34">
        <f t="shared" si="864"/>
        <v>0.27196953571528604</v>
      </c>
      <c r="N423" s="33">
        <f t="shared" si="865"/>
        <v>1.5415340215855503E-2</v>
      </c>
      <c r="O423" s="33">
        <f t="shared" si="866"/>
        <v>1.4693015980808409E-2</v>
      </c>
      <c r="P423" s="33">
        <f t="shared" si="867"/>
        <v>1.4227555071545637E-2</v>
      </c>
      <c r="Q423" s="33">
        <f t="shared" si="868"/>
        <v>1.4227555071545637E-2</v>
      </c>
      <c r="R423" s="35">
        <f t="shared" si="869"/>
        <v>1.0733901743544267</v>
      </c>
      <c r="S423" s="35">
        <f t="shared" si="870"/>
        <v>7.1185248978951725E-3</v>
      </c>
    </row>
    <row r="424" spans="1:19" ht="15" customHeight="1" x14ac:dyDescent="0.3">
      <c r="A424" s="30">
        <f>Odds_Input!A424</f>
        <v>416</v>
      </c>
      <c r="B424" s="7" t="str">
        <f>Odds_Input!B424</f>
        <v>MIP</v>
      </c>
      <c r="C424" s="7" t="str">
        <f>Odds_Input!C424</f>
        <v>Jaylen Wells</v>
      </c>
      <c r="D424" s="7" t="str">
        <f>Odds_Input!D424</f>
        <v>YES</v>
      </c>
      <c r="E424" s="31" t="str">
        <f>Odds_Input!E424</f>
        <v>-</v>
      </c>
      <c r="F424" s="32">
        <f>Odds_Input!F424</f>
        <v>6000</v>
      </c>
      <c r="G424" s="6" t="str">
        <f t="shared" si="858"/>
        <v>MIP</v>
      </c>
      <c r="H424" s="14">
        <f t="shared" si="859"/>
        <v>61</v>
      </c>
      <c r="I424" s="33">
        <f t="shared" si="860"/>
        <v>1.6393442622950821E-2</v>
      </c>
      <c r="J424" s="17">
        <f t="shared" si="861"/>
        <v>1</v>
      </c>
      <c r="K424" s="17">
        <f t="shared" si="862"/>
        <v>40</v>
      </c>
      <c r="L424" s="18">
        <f t="shared" si="863"/>
        <v>1.271969535715286</v>
      </c>
      <c r="M424" s="34">
        <f t="shared" si="864"/>
        <v>0.27196953571528604</v>
      </c>
      <c r="N424" s="33">
        <f t="shared" si="865"/>
        <v>1.2888235262436569E-2</v>
      </c>
      <c r="O424" s="33">
        <f t="shared" si="866"/>
        <v>1.2123960063276776E-2</v>
      </c>
      <c r="P424" s="33">
        <f t="shared" si="867"/>
        <v>1.1436803733129549E-2</v>
      </c>
      <c r="Q424" s="33">
        <f t="shared" si="868"/>
        <v>1.1436803733129549E-2</v>
      </c>
      <c r="R424" s="35">
        <f t="shared" si="869"/>
        <v>1.0733901743544267</v>
      </c>
      <c r="S424" s="35">
        <f t="shared" si="870"/>
        <v>7.1185248978951725E-3</v>
      </c>
    </row>
    <row r="425" spans="1:19" ht="15" customHeight="1" x14ac:dyDescent="0.3">
      <c r="A425" s="30">
        <f>Odds_Input!A425</f>
        <v>417</v>
      </c>
      <c r="B425" s="7" t="str">
        <f>Odds_Input!B425</f>
        <v>MIP</v>
      </c>
      <c r="C425" s="7" t="str">
        <f>Odds_Input!C425</f>
        <v>Jabari Smith Jr</v>
      </c>
      <c r="D425" s="7" t="str">
        <f>Odds_Input!D425</f>
        <v>YES</v>
      </c>
      <c r="E425" s="31" t="str">
        <f>Odds_Input!E425</f>
        <v>-</v>
      </c>
      <c r="F425" s="32">
        <f>Odds_Input!F425</f>
        <v>5000</v>
      </c>
      <c r="G425" s="6" t="str">
        <f t="shared" si="858"/>
        <v>MIP</v>
      </c>
      <c r="H425" s="14">
        <f t="shared" si="859"/>
        <v>51</v>
      </c>
      <c r="I425" s="33">
        <f t="shared" si="860"/>
        <v>1.9607843137254902E-2</v>
      </c>
      <c r="J425" s="17">
        <f t="shared" si="861"/>
        <v>1</v>
      </c>
      <c r="K425" s="17">
        <f t="shared" si="862"/>
        <v>40</v>
      </c>
      <c r="L425" s="18">
        <f t="shared" si="863"/>
        <v>1.271969535715286</v>
      </c>
      <c r="M425" s="34">
        <f t="shared" si="864"/>
        <v>0.27196953571528604</v>
      </c>
      <c r="N425" s="33">
        <f t="shared" si="865"/>
        <v>1.5415340215855503E-2</v>
      </c>
      <c r="O425" s="33">
        <f t="shared" si="866"/>
        <v>1.4693015980808409E-2</v>
      </c>
      <c r="P425" s="33">
        <f t="shared" si="867"/>
        <v>1.4227555071545637E-2</v>
      </c>
      <c r="Q425" s="33">
        <f t="shared" si="868"/>
        <v>1.4227555071545637E-2</v>
      </c>
      <c r="R425" s="35">
        <f t="shared" si="869"/>
        <v>1.0733901743544267</v>
      </c>
      <c r="S425" s="35">
        <f t="shared" si="870"/>
        <v>7.1185248978951725E-3</v>
      </c>
    </row>
    <row r="426" spans="1:19" ht="15" customHeight="1" x14ac:dyDescent="0.3">
      <c r="A426" s="30">
        <f>Odds_Input!A426</f>
        <v>418</v>
      </c>
      <c r="B426" s="7" t="str">
        <f>Odds_Input!B426</f>
        <v>MIP</v>
      </c>
      <c r="C426" s="7" t="str">
        <f>Odds_Input!C426</f>
        <v>Coby White</v>
      </c>
      <c r="D426" s="7" t="str">
        <f>Odds_Input!D426</f>
        <v>YES</v>
      </c>
      <c r="E426" s="31" t="str">
        <f>Odds_Input!E426</f>
        <v>-</v>
      </c>
      <c r="F426" s="32">
        <f>Odds_Input!F426</f>
        <v>3500</v>
      </c>
      <c r="G426" s="6" t="str">
        <f t="shared" si="858"/>
        <v>MIP</v>
      </c>
      <c r="H426" s="14">
        <f t="shared" si="859"/>
        <v>36</v>
      </c>
      <c r="I426" s="33">
        <f t="shared" si="860"/>
        <v>2.7777777777777776E-2</v>
      </c>
      <c r="J426" s="17">
        <f t="shared" si="861"/>
        <v>1</v>
      </c>
      <c r="K426" s="17">
        <f t="shared" si="862"/>
        <v>40</v>
      </c>
      <c r="L426" s="18">
        <f t="shared" si="863"/>
        <v>1.271969535715286</v>
      </c>
      <c r="M426" s="34">
        <f t="shared" si="864"/>
        <v>0.27196953571528604</v>
      </c>
      <c r="N426" s="33">
        <f t="shared" si="865"/>
        <v>2.1838398639128627E-2</v>
      </c>
      <c r="O426" s="33">
        <f t="shared" si="866"/>
        <v>2.1354046660126139E-2</v>
      </c>
      <c r="P426" s="33">
        <f t="shared" si="867"/>
        <v>2.1391649147247702E-2</v>
      </c>
      <c r="Q426" s="33">
        <f t="shared" si="868"/>
        <v>2.1391649147247702E-2</v>
      </c>
      <c r="R426" s="35">
        <f t="shared" si="869"/>
        <v>1.0733901743544267</v>
      </c>
      <c r="S426" s="35">
        <f t="shared" si="870"/>
        <v>7.1185248978951725E-3</v>
      </c>
    </row>
    <row r="427" spans="1:19" ht="15" customHeight="1" x14ac:dyDescent="0.3">
      <c r="A427" s="30">
        <f>Odds_Input!A427</f>
        <v>419</v>
      </c>
      <c r="B427" s="7" t="str">
        <f>Odds_Input!B427</f>
        <v>MIP</v>
      </c>
      <c r="C427" s="7" t="str">
        <f>Odds_Input!C427</f>
        <v>Cedric Coward</v>
      </c>
      <c r="D427" s="7" t="str">
        <f>Odds_Input!D427</f>
        <v>YES</v>
      </c>
      <c r="E427" s="31" t="str">
        <f>Odds_Input!E427</f>
        <v>-</v>
      </c>
      <c r="F427" s="32">
        <f>Odds_Input!F427</f>
        <v>4000</v>
      </c>
      <c r="G427" s="6" t="str">
        <f t="shared" si="858"/>
        <v>MIP</v>
      </c>
      <c r="H427" s="14">
        <f t="shared" si="859"/>
        <v>41</v>
      </c>
      <c r="I427" s="33">
        <f t="shared" si="860"/>
        <v>2.4390243902439025E-2</v>
      </c>
      <c r="J427" s="17">
        <f t="shared" si="861"/>
        <v>1</v>
      </c>
      <c r="K427" s="17">
        <f t="shared" si="862"/>
        <v>40</v>
      </c>
      <c r="L427" s="18">
        <f t="shared" si="863"/>
        <v>1.271969535715286</v>
      </c>
      <c r="M427" s="34">
        <f t="shared" si="864"/>
        <v>0.27196953571528604</v>
      </c>
      <c r="N427" s="33">
        <f t="shared" si="865"/>
        <v>1.9175179292893432E-2</v>
      </c>
      <c r="O427" s="33">
        <f t="shared" si="866"/>
        <v>1.8571785321308223E-2</v>
      </c>
      <c r="P427" s="33">
        <f t="shared" si="867"/>
        <v>1.8412743290328503E-2</v>
      </c>
      <c r="Q427" s="33">
        <f t="shared" si="868"/>
        <v>1.8412743290328503E-2</v>
      </c>
      <c r="R427" s="35">
        <f t="shared" si="869"/>
        <v>1.0733901743544267</v>
      </c>
      <c r="S427" s="35">
        <f t="shared" si="870"/>
        <v>7.1185248978951725E-3</v>
      </c>
    </row>
    <row r="428" spans="1:19" ht="15" customHeight="1" x14ac:dyDescent="0.3">
      <c r="A428" s="30">
        <f>Odds_Input!A428</f>
        <v>420</v>
      </c>
      <c r="B428" s="7" t="str">
        <f>Odds_Input!B428</f>
        <v>MIP</v>
      </c>
      <c r="C428" s="7" t="str">
        <f>Odds_Input!C428</f>
        <v>Nikola Jovic</v>
      </c>
      <c r="D428" s="7" t="str">
        <f>Odds_Input!D428</f>
        <v>YES</v>
      </c>
      <c r="E428" s="31" t="str">
        <f>Odds_Input!E428</f>
        <v>-</v>
      </c>
      <c r="F428" s="32">
        <f>Odds_Input!F428</f>
        <v>6000</v>
      </c>
      <c r="G428" s="6" t="str">
        <f t="shared" si="858"/>
        <v>MIP</v>
      </c>
      <c r="H428" s="14">
        <f t="shared" si="859"/>
        <v>61</v>
      </c>
      <c r="I428" s="33">
        <f t="shared" si="860"/>
        <v>1.6393442622950821E-2</v>
      </c>
      <c r="J428" s="17">
        <f t="shared" si="861"/>
        <v>1</v>
      </c>
      <c r="K428" s="17">
        <f t="shared" si="862"/>
        <v>40</v>
      </c>
      <c r="L428" s="18">
        <f t="shared" si="863"/>
        <v>1.271969535715286</v>
      </c>
      <c r="M428" s="34">
        <f t="shared" si="864"/>
        <v>0.27196953571528604</v>
      </c>
      <c r="N428" s="33">
        <f t="shared" si="865"/>
        <v>1.2888235262436569E-2</v>
      </c>
      <c r="O428" s="33">
        <f t="shared" si="866"/>
        <v>1.2123960063276776E-2</v>
      </c>
      <c r="P428" s="33">
        <f t="shared" si="867"/>
        <v>1.1436803733129549E-2</v>
      </c>
      <c r="Q428" s="33">
        <f t="shared" si="868"/>
        <v>1.1436803733129549E-2</v>
      </c>
      <c r="R428" s="35">
        <f t="shared" si="869"/>
        <v>1.0733901743544267</v>
      </c>
      <c r="S428" s="35">
        <f t="shared" si="870"/>
        <v>7.1185248978951725E-3</v>
      </c>
    </row>
    <row r="429" spans="1:19" ht="15" customHeight="1" x14ac:dyDescent="0.3">
      <c r="A429" s="30">
        <f>Odds_Input!A429</f>
        <v>421</v>
      </c>
      <c r="B429" s="7" t="str">
        <f>Odds_Input!B429</f>
        <v>MIP</v>
      </c>
      <c r="C429" s="7" t="str">
        <f>Odds_Input!C429</f>
        <v>Cason Wallace</v>
      </c>
      <c r="D429" s="7" t="str">
        <f>Odds_Input!D429</f>
        <v>YES</v>
      </c>
      <c r="E429" s="31" t="str">
        <f>Odds_Input!E429</f>
        <v>-</v>
      </c>
      <c r="F429" s="32">
        <f>Odds_Input!F429</f>
        <v>3000</v>
      </c>
      <c r="G429" s="6" t="str">
        <f t="shared" si="858"/>
        <v>MIP</v>
      </c>
      <c r="H429" s="14">
        <f t="shared" si="859"/>
        <v>31</v>
      </c>
      <c r="I429" s="33">
        <f t="shared" si="860"/>
        <v>3.2258064516129031E-2</v>
      </c>
      <c r="J429" s="17">
        <f t="shared" si="861"/>
        <v>1</v>
      </c>
      <c r="K429" s="17">
        <f t="shared" si="862"/>
        <v>40</v>
      </c>
      <c r="L429" s="18">
        <f t="shared" si="863"/>
        <v>1.271969535715286</v>
      </c>
      <c r="M429" s="34">
        <f t="shared" si="864"/>
        <v>0.27196953571528604</v>
      </c>
      <c r="N429" s="33">
        <f t="shared" si="865"/>
        <v>2.5360721000278409E-2</v>
      </c>
      <c r="O429" s="33">
        <f t="shared" si="866"/>
        <v>2.5071886404423097E-2</v>
      </c>
      <c r="P429" s="33">
        <f t="shared" si="867"/>
        <v>2.5342779730778101E-2</v>
      </c>
      <c r="Q429" s="33">
        <f t="shared" si="868"/>
        <v>2.5342779730778101E-2</v>
      </c>
      <c r="R429" s="35">
        <f t="shared" si="869"/>
        <v>1.0733901743544267</v>
      </c>
      <c r="S429" s="35">
        <f t="shared" si="870"/>
        <v>7.1185248978951725E-3</v>
      </c>
    </row>
    <row r="430" spans="1:19" ht="15" customHeight="1" x14ac:dyDescent="0.3">
      <c r="A430" s="30">
        <f>Odds_Input!A430</f>
        <v>422</v>
      </c>
      <c r="B430" s="7" t="str">
        <f>Odds_Input!B430</f>
        <v>COY</v>
      </c>
      <c r="C430" s="7" t="str">
        <f>Odds_Input!C430</f>
        <v>Darko Rajakovic</v>
      </c>
      <c r="D430" s="7" t="str">
        <f>Odds_Input!D430</f>
        <v>YES</v>
      </c>
      <c r="E430" s="31" t="str">
        <f>Odds_Input!E430</f>
        <v>-</v>
      </c>
      <c r="F430" s="32">
        <f>Odds_Input!F430</f>
        <v>800</v>
      </c>
      <c r="G430" s="6" t="str">
        <f t="shared" si="858"/>
        <v>COY</v>
      </c>
      <c r="H430" s="14">
        <f t="shared" si="859"/>
        <v>9</v>
      </c>
      <c r="I430" s="33">
        <f t="shared" si="860"/>
        <v>0.1111111111111111</v>
      </c>
      <c r="J430" s="17">
        <f t="shared" si="861"/>
        <v>1</v>
      </c>
      <c r="K430" s="17">
        <f t="shared" si="862"/>
        <v>30</v>
      </c>
      <c r="L430" s="18">
        <f t="shared" si="863"/>
        <v>1.4242866879447975</v>
      </c>
      <c r="M430" s="34">
        <f t="shared" si="864"/>
        <v>0.42428668794479751</v>
      </c>
      <c r="N430" s="33">
        <f t="shared" si="865"/>
        <v>7.801175988763967E-2</v>
      </c>
      <c r="O430" s="33">
        <f t="shared" si="866"/>
        <v>8.4986800777610449E-2</v>
      </c>
      <c r="P430" s="33">
        <f t="shared" si="867"/>
        <v>8.6416693640357853E-2</v>
      </c>
      <c r="Q430" s="33">
        <f t="shared" si="868"/>
        <v>8.6416693640357853E-2</v>
      </c>
      <c r="R430" s="35">
        <f t="shared" si="869"/>
        <v>1.1219878682168201</v>
      </c>
      <c r="S430" s="35">
        <f t="shared" si="870"/>
        <v>1.5201341132513129E-2</v>
      </c>
    </row>
    <row r="431" spans="1:19" ht="15" customHeight="1" x14ac:dyDescent="0.3">
      <c r="A431" s="30">
        <f>Odds_Input!A431</f>
        <v>423</v>
      </c>
      <c r="B431" s="7" t="str">
        <f>Odds_Input!B431</f>
        <v>COY</v>
      </c>
      <c r="C431" s="7" t="str">
        <f>Odds_Input!C431</f>
        <v>Will Hardy</v>
      </c>
      <c r="D431" s="7" t="str">
        <f>Odds_Input!D431</f>
        <v>YES</v>
      </c>
      <c r="E431" s="31" t="str">
        <f>Odds_Input!E431</f>
        <v>-</v>
      </c>
      <c r="F431" s="32">
        <f>Odds_Input!F431</f>
        <v>1000</v>
      </c>
      <c r="G431" s="6" t="str">
        <f t="shared" si="858"/>
        <v>COY</v>
      </c>
      <c r="H431" s="14">
        <f t="shared" si="859"/>
        <v>11</v>
      </c>
      <c r="I431" s="33">
        <f t="shared" si="860"/>
        <v>9.0909090909090912E-2</v>
      </c>
      <c r="J431" s="17">
        <f t="shared" si="861"/>
        <v>1</v>
      </c>
      <c r="K431" s="17">
        <f t="shared" si="862"/>
        <v>30</v>
      </c>
      <c r="L431" s="18">
        <f t="shared" si="863"/>
        <v>1.4242866879447975</v>
      </c>
      <c r="M431" s="34">
        <f t="shared" si="864"/>
        <v>0.42428668794479751</v>
      </c>
      <c r="N431" s="33">
        <f t="shared" si="865"/>
        <v>6.382780354443246E-2</v>
      </c>
      <c r="O431" s="33">
        <f t="shared" si="866"/>
        <v>6.7853154241168251E-2</v>
      </c>
      <c r="P431" s="33">
        <f t="shared" si="867"/>
        <v>6.9429026147397141E-2</v>
      </c>
      <c r="Q431" s="33">
        <f t="shared" si="868"/>
        <v>6.9429026147397141E-2</v>
      </c>
      <c r="R431" s="35">
        <f t="shared" si="869"/>
        <v>1.1219878682168201</v>
      </c>
      <c r="S431" s="35">
        <f t="shared" si="870"/>
        <v>1.5201341132513129E-2</v>
      </c>
    </row>
    <row r="432" spans="1:19" ht="15" customHeight="1" x14ac:dyDescent="0.3">
      <c r="A432" s="30">
        <f>Odds_Input!A432</f>
        <v>424</v>
      </c>
      <c r="B432" s="7" t="str">
        <f>Odds_Input!B432</f>
        <v>COY</v>
      </c>
      <c r="C432" s="7" t="str">
        <f>Odds_Input!C432</f>
        <v>Nick Nurse</v>
      </c>
      <c r="D432" s="7" t="str">
        <f>Odds_Input!D432</f>
        <v>YES</v>
      </c>
      <c r="E432" s="31" t="str">
        <f>Odds_Input!E432</f>
        <v>-</v>
      </c>
      <c r="F432" s="32">
        <f>Odds_Input!F432</f>
        <v>1000</v>
      </c>
      <c r="G432" s="6" t="str">
        <f t="shared" si="858"/>
        <v>COY</v>
      </c>
      <c r="H432" s="14">
        <f t="shared" si="859"/>
        <v>11</v>
      </c>
      <c r="I432" s="33">
        <f t="shared" si="860"/>
        <v>9.0909090909090912E-2</v>
      </c>
      <c r="J432" s="17">
        <f t="shared" si="861"/>
        <v>1</v>
      </c>
      <c r="K432" s="17">
        <f t="shared" si="862"/>
        <v>30</v>
      </c>
      <c r="L432" s="18">
        <f t="shared" si="863"/>
        <v>1.4242866879447975</v>
      </c>
      <c r="M432" s="34">
        <f t="shared" si="864"/>
        <v>0.42428668794479751</v>
      </c>
      <c r="N432" s="33">
        <f t="shared" si="865"/>
        <v>6.382780354443246E-2</v>
      </c>
      <c r="O432" s="33">
        <f t="shared" si="866"/>
        <v>6.7853154241168251E-2</v>
      </c>
      <c r="P432" s="33">
        <f t="shared" si="867"/>
        <v>6.9429026147397141E-2</v>
      </c>
      <c r="Q432" s="33">
        <f t="shared" si="868"/>
        <v>6.9429026147397141E-2</v>
      </c>
      <c r="R432" s="35">
        <f t="shared" si="869"/>
        <v>1.1219878682168201</v>
      </c>
      <c r="S432" s="35">
        <f t="shared" si="870"/>
        <v>1.5201341132513129E-2</v>
      </c>
    </row>
    <row r="433" spans="1:19" ht="15" customHeight="1" x14ac:dyDescent="0.3">
      <c r="A433" s="30">
        <f>Odds_Input!A433</f>
        <v>425</v>
      </c>
      <c r="B433" s="7" t="str">
        <f>Odds_Input!B433</f>
        <v>COY</v>
      </c>
      <c r="C433" s="7" t="str">
        <f>Odds_Input!C433</f>
        <v>Erik Spoelstra</v>
      </c>
      <c r="D433" s="7" t="str">
        <f>Odds_Input!D433</f>
        <v>YES</v>
      </c>
      <c r="E433" s="31" t="str">
        <f>Odds_Input!E433</f>
        <v>-</v>
      </c>
      <c r="F433" s="32">
        <f>Odds_Input!F433</f>
        <v>1200</v>
      </c>
      <c r="G433" s="6" t="str">
        <f t="shared" si="858"/>
        <v>COY</v>
      </c>
      <c r="H433" s="14">
        <f t="shared" si="859"/>
        <v>13</v>
      </c>
      <c r="I433" s="33">
        <f t="shared" si="860"/>
        <v>7.6923076923076927E-2</v>
      </c>
      <c r="J433" s="17">
        <f t="shared" si="861"/>
        <v>1</v>
      </c>
      <c r="K433" s="17">
        <f t="shared" si="862"/>
        <v>30</v>
      </c>
      <c r="L433" s="18">
        <f t="shared" si="863"/>
        <v>1.4242866879447975</v>
      </c>
      <c r="M433" s="34">
        <f t="shared" si="864"/>
        <v>0.42428668794479751</v>
      </c>
      <c r="N433" s="33">
        <f t="shared" si="865"/>
        <v>5.400814146067362E-2</v>
      </c>
      <c r="O433" s="33">
        <f t="shared" si="866"/>
        <v>5.6256028986308264E-2</v>
      </c>
      <c r="P433" s="33">
        <f t="shared" si="867"/>
        <v>5.7689713432319295E-2</v>
      </c>
      <c r="Q433" s="33">
        <f t="shared" si="868"/>
        <v>5.7689713432319295E-2</v>
      </c>
      <c r="R433" s="35">
        <f t="shared" si="869"/>
        <v>1.1219878682168201</v>
      </c>
      <c r="S433" s="35">
        <f t="shared" si="870"/>
        <v>1.5201341132513129E-2</v>
      </c>
    </row>
    <row r="434" spans="1:19" ht="15" customHeight="1" x14ac:dyDescent="0.3">
      <c r="A434" s="30">
        <f>Odds_Input!A434</f>
        <v>426</v>
      </c>
      <c r="B434" s="7" t="str">
        <f>Odds_Input!B434</f>
        <v>COY</v>
      </c>
      <c r="C434" s="7" t="str">
        <f>Odds_Input!C434</f>
        <v>Chris Finch</v>
      </c>
      <c r="D434" s="7" t="str">
        <f>Odds_Input!D434</f>
        <v>YES</v>
      </c>
      <c r="E434" s="31" t="str">
        <f>Odds_Input!E434</f>
        <v>-</v>
      </c>
      <c r="F434" s="32">
        <f>Odds_Input!F434</f>
        <v>1200</v>
      </c>
      <c r="G434" s="6" t="str">
        <f t="shared" si="858"/>
        <v>COY</v>
      </c>
      <c r="H434" s="14">
        <f t="shared" si="859"/>
        <v>13</v>
      </c>
      <c r="I434" s="33">
        <f t="shared" si="860"/>
        <v>7.6923076923076927E-2</v>
      </c>
      <c r="J434" s="17">
        <f t="shared" si="861"/>
        <v>1</v>
      </c>
      <c r="K434" s="17">
        <f t="shared" si="862"/>
        <v>30</v>
      </c>
      <c r="L434" s="18">
        <f t="shared" si="863"/>
        <v>1.4242866879447975</v>
      </c>
      <c r="M434" s="34">
        <f t="shared" si="864"/>
        <v>0.42428668794479751</v>
      </c>
      <c r="N434" s="33">
        <f t="shared" si="865"/>
        <v>5.400814146067362E-2</v>
      </c>
      <c r="O434" s="33">
        <f t="shared" si="866"/>
        <v>5.6256028986308264E-2</v>
      </c>
      <c r="P434" s="33">
        <f t="shared" si="867"/>
        <v>5.7689713432319295E-2</v>
      </c>
      <c r="Q434" s="33">
        <f t="shared" si="868"/>
        <v>5.7689713432319295E-2</v>
      </c>
      <c r="R434" s="35">
        <f t="shared" si="869"/>
        <v>1.1219878682168201</v>
      </c>
      <c r="S434" s="35">
        <f t="shared" si="870"/>
        <v>1.5201341132513129E-2</v>
      </c>
    </row>
    <row r="435" spans="1:19" ht="15" customHeight="1" x14ac:dyDescent="0.3">
      <c r="A435" s="30">
        <f>Odds_Input!A435</f>
        <v>427</v>
      </c>
      <c r="B435" s="7" t="str">
        <f>Odds_Input!B435</f>
        <v>COY</v>
      </c>
      <c r="C435" s="7" t="str">
        <f>Odds_Input!C435</f>
        <v>Micah Nori</v>
      </c>
      <c r="D435" s="7" t="str">
        <f>Odds_Input!D435</f>
        <v>YES</v>
      </c>
      <c r="E435" s="31" t="str">
        <f>Odds_Input!E435</f>
        <v>-</v>
      </c>
      <c r="F435" s="32">
        <f>Odds_Input!F435</f>
        <v>1400</v>
      </c>
      <c r="G435" s="6" t="str">
        <f t="shared" si="858"/>
        <v>COY</v>
      </c>
      <c r="H435" s="14">
        <f t="shared" si="859"/>
        <v>15</v>
      </c>
      <c r="I435" s="33">
        <f t="shared" si="860"/>
        <v>6.6666666666666666E-2</v>
      </c>
      <c r="J435" s="17">
        <f t="shared" si="861"/>
        <v>1</v>
      </c>
      <c r="K435" s="17">
        <f t="shared" si="862"/>
        <v>30</v>
      </c>
      <c r="L435" s="18">
        <f t="shared" si="863"/>
        <v>1.4242866879447975</v>
      </c>
      <c r="M435" s="34">
        <f t="shared" si="864"/>
        <v>0.42428668794479751</v>
      </c>
      <c r="N435" s="33">
        <f t="shared" si="865"/>
        <v>4.6807055932583802E-2</v>
      </c>
      <c r="O435" s="33">
        <f t="shared" si="866"/>
        <v>4.7911511868379247E-2</v>
      </c>
      <c r="P435" s="33">
        <f t="shared" si="867"/>
        <v>4.9099303812363632E-2</v>
      </c>
      <c r="Q435" s="33">
        <f t="shared" si="868"/>
        <v>4.9099303812363632E-2</v>
      </c>
      <c r="R435" s="35">
        <f t="shared" si="869"/>
        <v>1.1219878682168201</v>
      </c>
      <c r="S435" s="35">
        <f t="shared" si="870"/>
        <v>1.5201341132513129E-2</v>
      </c>
    </row>
    <row r="436" spans="1:19" ht="15" customHeight="1" x14ac:dyDescent="0.3">
      <c r="A436" s="30">
        <f>Odds_Input!A436</f>
        <v>428</v>
      </c>
      <c r="B436" s="7" t="str">
        <f>Odds_Input!B436</f>
        <v>COY</v>
      </c>
      <c r="C436" s="7" t="str">
        <f>Odds_Input!C436</f>
        <v>Dusty May</v>
      </c>
      <c r="D436" s="7" t="str">
        <f>Odds_Input!D436</f>
        <v>YES</v>
      </c>
      <c r="E436" s="31" t="str">
        <f>Odds_Input!E436</f>
        <v>-</v>
      </c>
      <c r="F436" s="32">
        <f>Odds_Input!F436</f>
        <v>1500</v>
      </c>
      <c r="G436" s="6" t="str">
        <f t="shared" si="858"/>
        <v>COY</v>
      </c>
      <c r="H436" s="14">
        <f t="shared" si="859"/>
        <v>16</v>
      </c>
      <c r="I436" s="33">
        <f t="shared" si="860"/>
        <v>6.25E-2</v>
      </c>
      <c r="J436" s="17">
        <f t="shared" si="861"/>
        <v>1</v>
      </c>
      <c r="K436" s="17">
        <f t="shared" si="862"/>
        <v>30</v>
      </c>
      <c r="L436" s="18">
        <f t="shared" si="863"/>
        <v>1.4242866879447975</v>
      </c>
      <c r="M436" s="34">
        <f t="shared" si="864"/>
        <v>0.42428668794479751</v>
      </c>
      <c r="N436" s="33">
        <f t="shared" si="865"/>
        <v>4.3881614936797313E-2</v>
      </c>
      <c r="O436" s="33">
        <f t="shared" si="866"/>
        <v>4.4564802643962266E-2</v>
      </c>
      <c r="P436" s="33">
        <f t="shared" si="867"/>
        <v>4.5615889066479842E-2</v>
      </c>
      <c r="Q436" s="33">
        <f t="shared" si="868"/>
        <v>4.5615889066479842E-2</v>
      </c>
      <c r="R436" s="35">
        <f t="shared" si="869"/>
        <v>1.1219878682168201</v>
      </c>
      <c r="S436" s="35">
        <f t="shared" si="870"/>
        <v>1.5201341132513129E-2</v>
      </c>
    </row>
    <row r="437" spans="1:19" ht="15" customHeight="1" x14ac:dyDescent="0.3">
      <c r="A437" s="30">
        <f>Odds_Input!A437</f>
        <v>429</v>
      </c>
      <c r="B437" s="7" t="str">
        <f>Odds_Input!B437</f>
        <v>COY</v>
      </c>
      <c r="C437" s="7" t="str">
        <f>Odds_Input!C437</f>
        <v>Sean Sweeney</v>
      </c>
      <c r="D437" s="7" t="str">
        <f>Odds_Input!D437</f>
        <v>YES</v>
      </c>
      <c r="E437" s="31" t="str">
        <f>Odds_Input!E437</f>
        <v>-</v>
      </c>
      <c r="F437" s="32">
        <f>Odds_Input!F437</f>
        <v>1200</v>
      </c>
      <c r="G437" s="6" t="str">
        <f t="shared" si="858"/>
        <v>COY</v>
      </c>
      <c r="H437" s="14">
        <f t="shared" si="859"/>
        <v>13</v>
      </c>
      <c r="I437" s="33">
        <f t="shared" si="860"/>
        <v>7.6923076923076927E-2</v>
      </c>
      <c r="J437" s="17">
        <f t="shared" si="861"/>
        <v>1</v>
      </c>
      <c r="K437" s="17">
        <f t="shared" si="862"/>
        <v>30</v>
      </c>
      <c r="L437" s="18">
        <f t="shared" si="863"/>
        <v>1.4242866879447975</v>
      </c>
      <c r="M437" s="34">
        <f t="shared" si="864"/>
        <v>0.42428668794479751</v>
      </c>
      <c r="N437" s="33">
        <f t="shared" si="865"/>
        <v>5.400814146067362E-2</v>
      </c>
      <c r="O437" s="33">
        <f t="shared" si="866"/>
        <v>5.6256028986308264E-2</v>
      </c>
      <c r="P437" s="33">
        <f t="shared" si="867"/>
        <v>5.7689713432319295E-2</v>
      </c>
      <c r="Q437" s="33">
        <f t="shared" si="868"/>
        <v>5.7689713432319295E-2</v>
      </c>
      <c r="R437" s="35">
        <f t="shared" si="869"/>
        <v>1.1219878682168201</v>
      </c>
      <c r="S437" s="35">
        <f t="shared" si="870"/>
        <v>1.5201341132513129E-2</v>
      </c>
    </row>
    <row r="438" spans="1:19" ht="15" customHeight="1" x14ac:dyDescent="0.3">
      <c r="A438" s="30">
        <f>Odds_Input!A438</f>
        <v>430</v>
      </c>
      <c r="B438" s="7" t="str">
        <f>Odds_Input!B438</f>
        <v>COY</v>
      </c>
      <c r="C438" s="7" t="str">
        <f>Odds_Input!C438</f>
        <v>Brian Keefe</v>
      </c>
      <c r="D438" s="7" t="str">
        <f>Odds_Input!D438</f>
        <v>YES</v>
      </c>
      <c r="E438" s="31" t="str">
        <f>Odds_Input!E438</f>
        <v>-</v>
      </c>
      <c r="F438" s="32">
        <f>Odds_Input!F438</f>
        <v>1800</v>
      </c>
      <c r="G438" s="6" t="str">
        <f t="shared" si="858"/>
        <v>COY</v>
      </c>
      <c r="H438" s="14">
        <f t="shared" si="859"/>
        <v>19</v>
      </c>
      <c r="I438" s="33">
        <f t="shared" si="860"/>
        <v>5.2631578947368418E-2</v>
      </c>
      <c r="J438" s="17">
        <f t="shared" si="861"/>
        <v>1</v>
      </c>
      <c r="K438" s="17">
        <f t="shared" si="862"/>
        <v>30</v>
      </c>
      <c r="L438" s="18">
        <f t="shared" si="863"/>
        <v>1.4242866879447975</v>
      </c>
      <c r="M438" s="34">
        <f t="shared" si="864"/>
        <v>0.42428668794479751</v>
      </c>
      <c r="N438" s="33">
        <f t="shared" si="865"/>
        <v>3.6952938894145103E-2</v>
      </c>
      <c r="O438" s="33">
        <f t="shared" si="866"/>
        <v>3.6749714820879624E-2</v>
      </c>
      <c r="P438" s="33">
        <f t="shared" si="867"/>
        <v>3.7387219042924191E-2</v>
      </c>
      <c r="Q438" s="33">
        <f t="shared" si="868"/>
        <v>3.7387219042924191E-2</v>
      </c>
      <c r="R438" s="35">
        <f t="shared" si="869"/>
        <v>1.1219878682168201</v>
      </c>
      <c r="S438" s="35">
        <f t="shared" si="870"/>
        <v>1.5201341132513129E-2</v>
      </c>
    </row>
    <row r="439" spans="1:19" ht="15" customHeight="1" x14ac:dyDescent="0.3">
      <c r="A439" s="30">
        <f>Odds_Input!A439</f>
        <v>431</v>
      </c>
      <c r="B439" s="7" t="str">
        <f>Odds_Input!B439</f>
        <v>COY</v>
      </c>
      <c r="C439" s="7" t="str">
        <f>Odds_Input!C439</f>
        <v>Mitch Johnson</v>
      </c>
      <c r="D439" s="7" t="str">
        <f>Odds_Input!D439</f>
        <v>YES</v>
      </c>
      <c r="E439" s="31" t="str">
        <f>Odds_Input!E439</f>
        <v>-</v>
      </c>
      <c r="F439" s="32">
        <f>Odds_Input!F439</f>
        <v>2200</v>
      </c>
      <c r="G439" s="6" t="str">
        <f t="shared" si="858"/>
        <v>COY</v>
      </c>
      <c r="H439" s="14">
        <f t="shared" si="859"/>
        <v>23</v>
      </c>
      <c r="I439" s="33">
        <f t="shared" si="860"/>
        <v>4.3478260869565216E-2</v>
      </c>
      <c r="J439" s="17">
        <f t="shared" si="861"/>
        <v>1</v>
      </c>
      <c r="K439" s="17">
        <f t="shared" si="862"/>
        <v>30</v>
      </c>
      <c r="L439" s="18">
        <f t="shared" si="863"/>
        <v>1.4242866879447975</v>
      </c>
      <c r="M439" s="34">
        <f t="shared" si="864"/>
        <v>0.42428668794479751</v>
      </c>
      <c r="N439" s="33">
        <f t="shared" si="865"/>
        <v>3.0526340825598131E-2</v>
      </c>
      <c r="O439" s="33">
        <f t="shared" si="866"/>
        <v>2.9659094527710442E-2</v>
      </c>
      <c r="P439" s="33">
        <f t="shared" si="867"/>
        <v>2.9795826880204535E-2</v>
      </c>
      <c r="Q439" s="33">
        <f t="shared" si="868"/>
        <v>2.9795826880204535E-2</v>
      </c>
      <c r="R439" s="35">
        <f t="shared" si="869"/>
        <v>1.1219878682168201</v>
      </c>
      <c r="S439" s="35">
        <f t="shared" si="870"/>
        <v>1.5201341132513129E-2</v>
      </c>
    </row>
    <row r="440" spans="1:19" ht="15" customHeight="1" x14ac:dyDescent="0.3">
      <c r="A440" s="30">
        <f>Odds_Input!A440</f>
        <v>432</v>
      </c>
      <c r="B440" s="7" t="str">
        <f>Odds_Input!B440</f>
        <v>COY</v>
      </c>
      <c r="C440" s="7" t="str">
        <f>Odds_Input!C440</f>
        <v>Rick Carlisle</v>
      </c>
      <c r="D440" s="7" t="str">
        <f>Odds_Input!D440</f>
        <v>YES</v>
      </c>
      <c r="E440" s="31" t="str">
        <f>Odds_Input!E440</f>
        <v>-</v>
      </c>
      <c r="F440" s="32">
        <f>Odds_Input!F440</f>
        <v>1200</v>
      </c>
      <c r="G440" s="6" t="str">
        <f t="shared" si="858"/>
        <v>COY</v>
      </c>
      <c r="H440" s="14">
        <f t="shared" si="859"/>
        <v>13</v>
      </c>
      <c r="I440" s="33">
        <f t="shared" si="860"/>
        <v>7.6923076923076927E-2</v>
      </c>
      <c r="J440" s="17">
        <f t="shared" si="861"/>
        <v>1</v>
      </c>
      <c r="K440" s="17">
        <f t="shared" si="862"/>
        <v>30</v>
      </c>
      <c r="L440" s="18">
        <f t="shared" si="863"/>
        <v>1.4242866879447975</v>
      </c>
      <c r="M440" s="34">
        <f t="shared" si="864"/>
        <v>0.42428668794479751</v>
      </c>
      <c r="N440" s="33">
        <f t="shared" si="865"/>
        <v>5.400814146067362E-2</v>
      </c>
      <c r="O440" s="33">
        <f t="shared" si="866"/>
        <v>5.6256028986308264E-2</v>
      </c>
      <c r="P440" s="33">
        <f t="shared" si="867"/>
        <v>5.7689713432319295E-2</v>
      </c>
      <c r="Q440" s="33">
        <f t="shared" si="868"/>
        <v>5.7689713432319295E-2</v>
      </c>
      <c r="R440" s="35">
        <f t="shared" si="869"/>
        <v>1.1219878682168201</v>
      </c>
      <c r="S440" s="35">
        <f t="shared" si="870"/>
        <v>1.5201341132513129E-2</v>
      </c>
    </row>
    <row r="441" spans="1:19" ht="15" customHeight="1" x14ac:dyDescent="0.3">
      <c r="A441" s="30">
        <f>Odds_Input!A441</f>
        <v>433</v>
      </c>
      <c r="B441" s="7" t="str">
        <f>Odds_Input!B441</f>
        <v>COY</v>
      </c>
      <c r="C441" s="7" t="str">
        <f>Odds_Input!C441</f>
        <v>Quin Snyder</v>
      </c>
      <c r="D441" s="7" t="str">
        <f>Odds_Input!D441</f>
        <v>YES</v>
      </c>
      <c r="E441" s="31" t="str">
        <f>Odds_Input!E441</f>
        <v>-</v>
      </c>
      <c r="F441" s="32">
        <f>Odds_Input!F441</f>
        <v>2200</v>
      </c>
      <c r="G441" s="6" t="str">
        <f t="shared" si="858"/>
        <v>COY</v>
      </c>
      <c r="H441" s="14">
        <f t="shared" si="859"/>
        <v>23</v>
      </c>
      <c r="I441" s="33">
        <f t="shared" si="860"/>
        <v>4.3478260869565216E-2</v>
      </c>
      <c r="J441" s="17">
        <f t="shared" si="861"/>
        <v>1</v>
      </c>
      <c r="K441" s="17">
        <f t="shared" si="862"/>
        <v>30</v>
      </c>
      <c r="L441" s="18">
        <f t="shared" si="863"/>
        <v>1.4242866879447975</v>
      </c>
      <c r="M441" s="34">
        <f t="shared" si="864"/>
        <v>0.42428668794479751</v>
      </c>
      <c r="N441" s="33">
        <f t="shared" si="865"/>
        <v>3.0526340825598131E-2</v>
      </c>
      <c r="O441" s="33">
        <f t="shared" si="866"/>
        <v>2.9659094527710442E-2</v>
      </c>
      <c r="P441" s="33">
        <f t="shared" si="867"/>
        <v>2.9795826880204535E-2</v>
      </c>
      <c r="Q441" s="33">
        <f t="shared" si="868"/>
        <v>2.9795826880204535E-2</v>
      </c>
      <c r="R441" s="35">
        <f t="shared" si="869"/>
        <v>1.1219878682168201</v>
      </c>
      <c r="S441" s="35">
        <f t="shared" si="870"/>
        <v>1.5201341132513129E-2</v>
      </c>
    </row>
    <row r="442" spans="1:19" ht="15" customHeight="1" x14ac:dyDescent="0.3">
      <c r="A442" s="30">
        <f>Odds_Input!A442</f>
        <v>434</v>
      </c>
      <c r="B442" s="7" t="str">
        <f>Odds_Input!B442</f>
        <v>COY</v>
      </c>
      <c r="C442" s="7" t="str">
        <f>Odds_Input!C442</f>
        <v>Mike Brown</v>
      </c>
      <c r="D442" s="7" t="str">
        <f>Odds_Input!D442</f>
        <v>YES</v>
      </c>
      <c r="E442" s="31" t="str">
        <f>Odds_Input!E442</f>
        <v>-</v>
      </c>
      <c r="F442" s="32">
        <f>Odds_Input!F442</f>
        <v>2500</v>
      </c>
      <c r="G442" s="6" t="str">
        <f t="shared" si="858"/>
        <v>COY</v>
      </c>
      <c r="H442" s="14">
        <f t="shared" si="859"/>
        <v>26</v>
      </c>
      <c r="I442" s="33">
        <f t="shared" si="860"/>
        <v>3.8461538461538464E-2</v>
      </c>
      <c r="J442" s="17">
        <f t="shared" si="861"/>
        <v>1</v>
      </c>
      <c r="K442" s="17">
        <f t="shared" si="862"/>
        <v>30</v>
      </c>
      <c r="L442" s="18">
        <f t="shared" si="863"/>
        <v>1.4242866879447975</v>
      </c>
      <c r="M442" s="34">
        <f t="shared" si="864"/>
        <v>0.42428668794479751</v>
      </c>
      <c r="N442" s="33">
        <f t="shared" si="865"/>
        <v>2.700407073033681E-2</v>
      </c>
      <c r="O442" s="33">
        <f t="shared" si="866"/>
        <v>2.5847412257297541E-2</v>
      </c>
      <c r="P442" s="33">
        <f t="shared" si="867"/>
        <v>2.5661904317763325E-2</v>
      </c>
      <c r="Q442" s="33">
        <f t="shared" si="868"/>
        <v>2.5661904317763325E-2</v>
      </c>
      <c r="R442" s="35">
        <f t="shared" si="869"/>
        <v>1.1219878682168201</v>
      </c>
      <c r="S442" s="35">
        <f t="shared" si="870"/>
        <v>1.5201341132513129E-2</v>
      </c>
    </row>
    <row r="443" spans="1:19" ht="15" customHeight="1" x14ac:dyDescent="0.3">
      <c r="A443" s="30">
        <f>Odds_Input!A443</f>
        <v>435</v>
      </c>
      <c r="B443" s="7" t="str">
        <f>Odds_Input!B443</f>
        <v>COY</v>
      </c>
      <c r="C443" s="7" t="str">
        <f>Odds_Input!C443</f>
        <v>JJ Redick</v>
      </c>
      <c r="D443" s="7" t="str">
        <f>Odds_Input!D443</f>
        <v>YES</v>
      </c>
      <c r="E443" s="31" t="str">
        <f>Odds_Input!E443</f>
        <v>-</v>
      </c>
      <c r="F443" s="32">
        <f>Odds_Input!F443</f>
        <v>2000</v>
      </c>
      <c r="G443" s="6" t="str">
        <f t="shared" si="858"/>
        <v>COY</v>
      </c>
      <c r="H443" s="14">
        <f t="shared" si="859"/>
        <v>21</v>
      </c>
      <c r="I443" s="33">
        <f t="shared" si="860"/>
        <v>4.7619047619047616E-2</v>
      </c>
      <c r="J443" s="17">
        <f t="shared" si="861"/>
        <v>1</v>
      </c>
      <c r="K443" s="17">
        <f t="shared" si="862"/>
        <v>30</v>
      </c>
      <c r="L443" s="18">
        <f t="shared" si="863"/>
        <v>1.4242866879447975</v>
      </c>
      <c r="M443" s="34">
        <f t="shared" si="864"/>
        <v>0.42428668794479751</v>
      </c>
      <c r="N443" s="33">
        <f t="shared" si="865"/>
        <v>3.3433611380416998E-2</v>
      </c>
      <c r="O443" s="33">
        <f t="shared" si="866"/>
        <v>3.2846264983782292E-2</v>
      </c>
      <c r="P443" s="33">
        <f t="shared" si="867"/>
        <v>3.322366465913322E-2</v>
      </c>
      <c r="Q443" s="33">
        <f t="shared" si="868"/>
        <v>3.322366465913322E-2</v>
      </c>
      <c r="R443" s="35">
        <f t="shared" si="869"/>
        <v>1.1219878682168201</v>
      </c>
      <c r="S443" s="35">
        <f t="shared" si="870"/>
        <v>1.5201341132513129E-2</v>
      </c>
    </row>
    <row r="444" spans="1:19" ht="15" customHeight="1" x14ac:dyDescent="0.3">
      <c r="A444" s="30">
        <f>Odds_Input!A444</f>
        <v>436</v>
      </c>
      <c r="B444" s="7" t="str">
        <f>Odds_Input!B444</f>
        <v>COY</v>
      </c>
      <c r="C444" s="7" t="str">
        <f>Odds_Input!C444</f>
        <v>Ime Udoka</v>
      </c>
      <c r="D444" s="7" t="str">
        <f>Odds_Input!D444</f>
        <v>YES</v>
      </c>
      <c r="E444" s="31" t="str">
        <f>Odds_Input!E444</f>
        <v>-</v>
      </c>
      <c r="F444" s="32">
        <f>Odds_Input!F444</f>
        <v>2000</v>
      </c>
      <c r="G444" s="6" t="str">
        <f t="shared" si="858"/>
        <v>COY</v>
      </c>
      <c r="H444" s="14">
        <f t="shared" si="859"/>
        <v>21</v>
      </c>
      <c r="I444" s="33">
        <f t="shared" si="860"/>
        <v>4.7619047619047616E-2</v>
      </c>
      <c r="J444" s="17">
        <f t="shared" si="861"/>
        <v>1</v>
      </c>
      <c r="K444" s="17">
        <f t="shared" si="862"/>
        <v>30</v>
      </c>
      <c r="L444" s="18">
        <f t="shared" si="863"/>
        <v>1.4242866879447975</v>
      </c>
      <c r="M444" s="34">
        <f t="shared" si="864"/>
        <v>0.42428668794479751</v>
      </c>
      <c r="N444" s="33">
        <f t="shared" si="865"/>
        <v>3.3433611380416998E-2</v>
      </c>
      <c r="O444" s="33">
        <f t="shared" si="866"/>
        <v>3.2846264983782292E-2</v>
      </c>
      <c r="P444" s="33">
        <f t="shared" si="867"/>
        <v>3.322366465913322E-2</v>
      </c>
      <c r="Q444" s="33">
        <f t="shared" si="868"/>
        <v>3.322366465913322E-2</v>
      </c>
      <c r="R444" s="35">
        <f t="shared" si="869"/>
        <v>1.1219878682168201</v>
      </c>
      <c r="S444" s="35">
        <f t="shared" si="870"/>
        <v>1.5201341132513129E-2</v>
      </c>
    </row>
    <row r="445" spans="1:19" ht="15" customHeight="1" x14ac:dyDescent="0.3">
      <c r="A445" s="30">
        <f>Odds_Input!A445</f>
        <v>437</v>
      </c>
      <c r="B445" s="7" t="str">
        <f>Odds_Input!B445</f>
        <v>COY</v>
      </c>
      <c r="C445" s="7" t="str">
        <f>Odds_Input!C445</f>
        <v>Tiago Splitter</v>
      </c>
      <c r="D445" s="7" t="str">
        <f>Odds_Input!D445</f>
        <v>YES</v>
      </c>
      <c r="E445" s="31" t="str">
        <f>Odds_Input!E445</f>
        <v>-</v>
      </c>
      <c r="F445" s="32">
        <f>Odds_Input!F445</f>
        <v>3000</v>
      </c>
      <c r="G445" s="6" t="str">
        <f t="shared" si="858"/>
        <v>COY</v>
      </c>
      <c r="H445" s="14">
        <f t="shared" si="859"/>
        <v>31</v>
      </c>
      <c r="I445" s="33">
        <f t="shared" si="860"/>
        <v>3.2258064516129031E-2</v>
      </c>
      <c r="J445" s="17">
        <f t="shared" si="861"/>
        <v>1</v>
      </c>
      <c r="K445" s="17">
        <f t="shared" si="862"/>
        <v>30</v>
      </c>
      <c r="L445" s="18">
        <f t="shared" si="863"/>
        <v>1.4242866879447975</v>
      </c>
      <c r="M445" s="34">
        <f t="shared" si="864"/>
        <v>0.42428668794479751</v>
      </c>
      <c r="N445" s="33">
        <f t="shared" si="865"/>
        <v>2.2648575451250225E-2</v>
      </c>
      <c r="O445" s="33">
        <f t="shared" si="866"/>
        <v>2.1218284702932001E-2</v>
      </c>
      <c r="P445" s="33">
        <f t="shared" si="867"/>
        <v>2.0591794817981592E-2</v>
      </c>
      <c r="Q445" s="33">
        <f t="shared" si="868"/>
        <v>2.0591794817981592E-2</v>
      </c>
      <c r="R445" s="35">
        <f t="shared" si="869"/>
        <v>1.1219878682168201</v>
      </c>
      <c r="S445" s="35">
        <f t="shared" si="870"/>
        <v>1.5201341132513129E-2</v>
      </c>
    </row>
    <row r="446" spans="1:19" ht="15" customHeight="1" x14ac:dyDescent="0.3">
      <c r="A446" s="30">
        <f>Odds_Input!A446</f>
        <v>438</v>
      </c>
      <c r="B446" s="7" t="str">
        <f>Odds_Input!B446</f>
        <v>COY</v>
      </c>
      <c r="C446" s="7" t="str">
        <f>Odds_Input!C446</f>
        <v>Steve Kerr</v>
      </c>
      <c r="D446" s="7" t="str">
        <f>Odds_Input!D446</f>
        <v>YES</v>
      </c>
      <c r="E446" s="31" t="str">
        <f>Odds_Input!E446</f>
        <v>-</v>
      </c>
      <c r="F446" s="32">
        <f>Odds_Input!F446</f>
        <v>2800</v>
      </c>
      <c r="G446" s="6" t="str">
        <f t="shared" si="858"/>
        <v>COY</v>
      </c>
      <c r="H446" s="14">
        <f t="shared" si="859"/>
        <v>29</v>
      </c>
      <c r="I446" s="33">
        <f t="shared" si="860"/>
        <v>3.4482758620689655E-2</v>
      </c>
      <c r="J446" s="17">
        <f t="shared" si="861"/>
        <v>1</v>
      </c>
      <c r="K446" s="17">
        <f t="shared" si="862"/>
        <v>30</v>
      </c>
      <c r="L446" s="18">
        <f t="shared" si="863"/>
        <v>1.4242866879447975</v>
      </c>
      <c r="M446" s="34">
        <f t="shared" si="864"/>
        <v>0.42428668794479751</v>
      </c>
      <c r="N446" s="33">
        <f t="shared" si="865"/>
        <v>2.4210546172026105E-2</v>
      </c>
      <c r="O446" s="33">
        <f t="shared" si="866"/>
        <v>2.2866894487864074E-2</v>
      </c>
      <c r="P446" s="33">
        <f t="shared" si="867"/>
        <v>2.2403435444328691E-2</v>
      </c>
      <c r="Q446" s="33">
        <f t="shared" si="868"/>
        <v>2.2403435444328691E-2</v>
      </c>
      <c r="R446" s="35">
        <f t="shared" si="869"/>
        <v>1.1219878682168201</v>
      </c>
      <c r="S446" s="35">
        <f t="shared" si="870"/>
        <v>1.5201341132513129E-2</v>
      </c>
    </row>
    <row r="447" spans="1:19" ht="15" customHeight="1" x14ac:dyDescent="0.3">
      <c r="A447" s="30">
        <f>Odds_Input!A447</f>
        <v>439</v>
      </c>
      <c r="B447" s="7" t="str">
        <f>Odds_Input!B447</f>
        <v>COY</v>
      </c>
      <c r="C447" s="7" t="str">
        <f>Odds_Input!C447</f>
        <v>Mark Daigneault</v>
      </c>
      <c r="D447" s="7" t="str">
        <f>Odds_Input!D447</f>
        <v>YES</v>
      </c>
      <c r="E447" s="31" t="str">
        <f>Odds_Input!E447</f>
        <v>-</v>
      </c>
      <c r="F447" s="32">
        <f>Odds_Input!F447</f>
        <v>2800</v>
      </c>
      <c r="G447" s="6" t="str">
        <f t="shared" si="858"/>
        <v>COY</v>
      </c>
      <c r="H447" s="14">
        <f t="shared" si="859"/>
        <v>29</v>
      </c>
      <c r="I447" s="33">
        <f t="shared" si="860"/>
        <v>3.4482758620689655E-2</v>
      </c>
      <c r="J447" s="17">
        <f t="shared" si="861"/>
        <v>1</v>
      </c>
      <c r="K447" s="17">
        <f t="shared" si="862"/>
        <v>30</v>
      </c>
      <c r="L447" s="18">
        <f t="shared" si="863"/>
        <v>1.4242866879447975</v>
      </c>
      <c r="M447" s="34">
        <f t="shared" si="864"/>
        <v>0.42428668794479751</v>
      </c>
      <c r="N447" s="33">
        <f t="shared" si="865"/>
        <v>2.4210546172026105E-2</v>
      </c>
      <c r="O447" s="33">
        <f t="shared" si="866"/>
        <v>2.2866894487864074E-2</v>
      </c>
      <c r="P447" s="33">
        <f t="shared" si="867"/>
        <v>2.2403435444328691E-2</v>
      </c>
      <c r="Q447" s="33">
        <f t="shared" si="868"/>
        <v>2.2403435444328691E-2</v>
      </c>
      <c r="R447" s="35">
        <f t="shared" si="869"/>
        <v>1.1219878682168201</v>
      </c>
      <c r="S447" s="35">
        <f t="shared" si="870"/>
        <v>1.5201341132513129E-2</v>
      </c>
    </row>
    <row r="448" spans="1:19" ht="15" customHeight="1" x14ac:dyDescent="0.3">
      <c r="A448" s="30">
        <f>Odds_Input!A448</f>
        <v>440</v>
      </c>
      <c r="B448" s="7" t="str">
        <f>Odds_Input!B448</f>
        <v>COY</v>
      </c>
      <c r="C448" s="7" t="str">
        <f>Odds_Input!C448</f>
        <v>Kenny Atkinson</v>
      </c>
      <c r="D448" s="7" t="str">
        <f>Odds_Input!D448</f>
        <v>YES</v>
      </c>
      <c r="E448" s="31" t="str">
        <f>Odds_Input!E448</f>
        <v>-</v>
      </c>
      <c r="F448" s="32">
        <f>Odds_Input!F448</f>
        <v>2500</v>
      </c>
      <c r="G448" s="6" t="str">
        <f t="shared" si="858"/>
        <v>COY</v>
      </c>
      <c r="H448" s="14">
        <f t="shared" si="859"/>
        <v>26</v>
      </c>
      <c r="I448" s="33">
        <f t="shared" si="860"/>
        <v>3.8461538461538464E-2</v>
      </c>
      <c r="J448" s="17">
        <f t="shared" si="861"/>
        <v>1</v>
      </c>
      <c r="K448" s="17">
        <f t="shared" si="862"/>
        <v>30</v>
      </c>
      <c r="L448" s="18">
        <f t="shared" si="863"/>
        <v>1.4242866879447975</v>
      </c>
      <c r="M448" s="34">
        <f t="shared" si="864"/>
        <v>0.42428668794479751</v>
      </c>
      <c r="N448" s="33">
        <f t="shared" si="865"/>
        <v>2.700407073033681E-2</v>
      </c>
      <c r="O448" s="33">
        <f t="shared" si="866"/>
        <v>2.5847412257297541E-2</v>
      </c>
      <c r="P448" s="33">
        <f t="shared" si="867"/>
        <v>2.5661904317763325E-2</v>
      </c>
      <c r="Q448" s="33">
        <f t="shared" si="868"/>
        <v>2.5661904317763325E-2</v>
      </c>
      <c r="R448" s="35">
        <f t="shared" si="869"/>
        <v>1.1219878682168201</v>
      </c>
      <c r="S448" s="35">
        <f t="shared" si="870"/>
        <v>1.5201341132513129E-2</v>
      </c>
    </row>
    <row r="449" spans="1:19" ht="15" customHeight="1" x14ac:dyDescent="0.3">
      <c r="A449" s="30">
        <f>Odds_Input!A449</f>
        <v>441</v>
      </c>
      <c r="B449" s="7" t="str">
        <f>Odds_Input!B449</f>
        <v>COY</v>
      </c>
      <c r="C449" s="7" t="str">
        <f>Odds_Input!C449</f>
        <v>JB Bickerstaff</v>
      </c>
      <c r="D449" s="7" t="str">
        <f>Odds_Input!D449</f>
        <v>YES</v>
      </c>
      <c r="E449" s="31" t="str">
        <f>Odds_Input!E449</f>
        <v>-</v>
      </c>
      <c r="F449" s="32">
        <f>Odds_Input!F449</f>
        <v>3000</v>
      </c>
      <c r="G449" s="6" t="str">
        <f t="shared" si="858"/>
        <v>COY</v>
      </c>
      <c r="H449" s="14">
        <f t="shared" si="859"/>
        <v>31</v>
      </c>
      <c r="I449" s="33">
        <f t="shared" si="860"/>
        <v>3.2258064516129031E-2</v>
      </c>
      <c r="J449" s="17">
        <f t="shared" si="861"/>
        <v>1</v>
      </c>
      <c r="K449" s="17">
        <f t="shared" si="862"/>
        <v>30</v>
      </c>
      <c r="L449" s="18">
        <f t="shared" si="863"/>
        <v>1.4242866879447975</v>
      </c>
      <c r="M449" s="34">
        <f t="shared" si="864"/>
        <v>0.42428668794479751</v>
      </c>
      <c r="N449" s="33">
        <f t="shared" si="865"/>
        <v>2.2648575451250225E-2</v>
      </c>
      <c r="O449" s="33">
        <f t="shared" si="866"/>
        <v>2.1218284702932001E-2</v>
      </c>
      <c r="P449" s="33">
        <f t="shared" si="867"/>
        <v>2.0591794817981592E-2</v>
      </c>
      <c r="Q449" s="33">
        <f t="shared" si="868"/>
        <v>2.0591794817981592E-2</v>
      </c>
      <c r="R449" s="35">
        <f t="shared" si="869"/>
        <v>1.1219878682168201</v>
      </c>
      <c r="S449" s="35">
        <f t="shared" si="870"/>
        <v>1.5201341132513129E-2</v>
      </c>
    </row>
    <row r="450" spans="1:19" ht="15" customHeight="1" x14ac:dyDescent="0.3">
      <c r="A450" s="30">
        <f>Odds_Input!A450</f>
        <v>442</v>
      </c>
      <c r="B450" s="7" t="str">
        <f>Odds_Input!B450</f>
        <v>COY</v>
      </c>
      <c r="C450" s="7" t="str">
        <f>Odds_Input!C450</f>
        <v>David Adelman</v>
      </c>
      <c r="D450" s="7" t="str">
        <f>Odds_Input!D450</f>
        <v>YES</v>
      </c>
      <c r="E450" s="31" t="str">
        <f>Odds_Input!E450</f>
        <v>-</v>
      </c>
      <c r="F450" s="32">
        <f>Odds_Input!F450</f>
        <v>2500</v>
      </c>
      <c r="G450" s="6" t="str">
        <f t="shared" si="858"/>
        <v>COY</v>
      </c>
      <c r="H450" s="14">
        <f t="shared" si="859"/>
        <v>26</v>
      </c>
      <c r="I450" s="33">
        <f t="shared" si="860"/>
        <v>3.8461538461538464E-2</v>
      </c>
      <c r="J450" s="17">
        <f t="shared" si="861"/>
        <v>1</v>
      </c>
      <c r="K450" s="17">
        <f t="shared" si="862"/>
        <v>30</v>
      </c>
      <c r="L450" s="18">
        <f t="shared" si="863"/>
        <v>1.4242866879447975</v>
      </c>
      <c r="M450" s="34">
        <f t="shared" si="864"/>
        <v>0.42428668794479751</v>
      </c>
      <c r="N450" s="33">
        <f t="shared" si="865"/>
        <v>2.700407073033681E-2</v>
      </c>
      <c r="O450" s="33">
        <f t="shared" si="866"/>
        <v>2.5847412257297541E-2</v>
      </c>
      <c r="P450" s="33">
        <f t="shared" si="867"/>
        <v>2.5661904317763325E-2</v>
      </c>
      <c r="Q450" s="33">
        <f t="shared" si="868"/>
        <v>2.5661904317763325E-2</v>
      </c>
      <c r="R450" s="35">
        <f t="shared" si="869"/>
        <v>1.1219878682168201</v>
      </c>
      <c r="S450" s="35">
        <f t="shared" si="870"/>
        <v>1.5201341132513129E-2</v>
      </c>
    </row>
    <row r="451" spans="1:19" ht="15" customHeight="1" x14ac:dyDescent="0.3">
      <c r="A451" s="30">
        <f>Odds_Input!A451</f>
        <v>443</v>
      </c>
      <c r="B451" s="7" t="str">
        <f>Odds_Input!B451</f>
        <v>COY</v>
      </c>
      <c r="C451" s="7" t="str">
        <f>Odds_Input!C451</f>
        <v>Charles Lee</v>
      </c>
      <c r="D451" s="7" t="str">
        <f>Odds_Input!D451</f>
        <v>YES</v>
      </c>
      <c r="E451" s="31" t="str">
        <f>Odds_Input!E451</f>
        <v>-</v>
      </c>
      <c r="F451" s="32">
        <f>Odds_Input!F451</f>
        <v>2500</v>
      </c>
      <c r="G451" s="6" t="str">
        <f t="shared" si="858"/>
        <v>COY</v>
      </c>
      <c r="H451" s="14">
        <f t="shared" si="859"/>
        <v>26</v>
      </c>
      <c r="I451" s="33">
        <f t="shared" si="860"/>
        <v>3.8461538461538464E-2</v>
      </c>
      <c r="J451" s="17">
        <f t="shared" si="861"/>
        <v>1</v>
      </c>
      <c r="K451" s="17">
        <f t="shared" si="862"/>
        <v>30</v>
      </c>
      <c r="L451" s="18">
        <f t="shared" si="863"/>
        <v>1.4242866879447975</v>
      </c>
      <c r="M451" s="34">
        <f t="shared" si="864"/>
        <v>0.42428668794479751</v>
      </c>
      <c r="N451" s="33">
        <f t="shared" si="865"/>
        <v>2.700407073033681E-2</v>
      </c>
      <c r="O451" s="33">
        <f t="shared" si="866"/>
        <v>2.5847412257297541E-2</v>
      </c>
      <c r="P451" s="33">
        <f t="shared" si="867"/>
        <v>2.5661904317763325E-2</v>
      </c>
      <c r="Q451" s="33">
        <f t="shared" si="868"/>
        <v>2.5661904317763325E-2</v>
      </c>
      <c r="R451" s="35">
        <f t="shared" si="869"/>
        <v>1.1219878682168201</v>
      </c>
      <c r="S451" s="35">
        <f t="shared" si="870"/>
        <v>1.5201341132513129E-2</v>
      </c>
    </row>
    <row r="452" spans="1:19" ht="15" customHeight="1" x14ac:dyDescent="0.3">
      <c r="A452" s="30">
        <f>Odds_Input!A452</f>
        <v>444</v>
      </c>
      <c r="B452" s="7" t="str">
        <f>Odds_Input!B452</f>
        <v>COY</v>
      </c>
      <c r="C452" s="7" t="str">
        <f>Odds_Input!C452</f>
        <v>Jordan Ott</v>
      </c>
      <c r="D452" s="7" t="str">
        <f>Odds_Input!D452</f>
        <v>YES</v>
      </c>
      <c r="E452" s="31" t="str">
        <f>Odds_Input!E452</f>
        <v>-</v>
      </c>
      <c r="F452" s="32">
        <f>Odds_Input!F452</f>
        <v>3300</v>
      </c>
      <c r="G452" s="6" t="str">
        <f t="shared" si="858"/>
        <v>COY</v>
      </c>
      <c r="H452" s="14">
        <f t="shared" si="859"/>
        <v>34</v>
      </c>
      <c r="I452" s="33">
        <f t="shared" si="860"/>
        <v>2.9411764705882353E-2</v>
      </c>
      <c r="J452" s="17">
        <f t="shared" si="861"/>
        <v>1</v>
      </c>
      <c r="K452" s="17">
        <f t="shared" si="862"/>
        <v>30</v>
      </c>
      <c r="L452" s="18">
        <f t="shared" si="863"/>
        <v>1.4242866879447975</v>
      </c>
      <c r="M452" s="34">
        <f t="shared" si="864"/>
        <v>0.42428668794479751</v>
      </c>
      <c r="N452" s="33">
        <f t="shared" si="865"/>
        <v>2.0650171734963443E-2</v>
      </c>
      <c r="O452" s="33">
        <f t="shared" si="866"/>
        <v>1.9129306893477048E-2</v>
      </c>
      <c r="P452" s="33">
        <f t="shared" si="867"/>
        <v>1.8287785722500748E-2</v>
      </c>
      <c r="Q452" s="33">
        <f t="shared" si="868"/>
        <v>1.8287785722500748E-2</v>
      </c>
      <c r="R452" s="35">
        <f t="shared" si="869"/>
        <v>1.1219878682168201</v>
      </c>
      <c r="S452" s="35">
        <f t="shared" si="870"/>
        <v>1.5201341132513129E-2</v>
      </c>
    </row>
    <row r="453" spans="1:19" ht="15" customHeight="1" x14ac:dyDescent="0.3">
      <c r="A453" s="30">
        <f>Odds_Input!A453</f>
        <v>445</v>
      </c>
      <c r="B453" s="7" t="str">
        <f>Odds_Input!B453</f>
        <v>COY</v>
      </c>
      <c r="C453" s="7" t="str">
        <f>Odds_Input!C453</f>
        <v>Joe Mazzulla</v>
      </c>
      <c r="D453" s="7" t="str">
        <f>Odds_Input!D453</f>
        <v>YES</v>
      </c>
      <c r="E453" s="31" t="str">
        <f>Odds_Input!E453</f>
        <v>-</v>
      </c>
      <c r="F453" s="32">
        <f>Odds_Input!F453</f>
        <v>3300</v>
      </c>
      <c r="G453" s="6" t="str">
        <f t="shared" si="858"/>
        <v>COY</v>
      </c>
      <c r="H453" s="14">
        <f t="shared" si="859"/>
        <v>34</v>
      </c>
      <c r="I453" s="33">
        <f t="shared" si="860"/>
        <v>2.9411764705882353E-2</v>
      </c>
      <c r="J453" s="17">
        <f t="shared" si="861"/>
        <v>1</v>
      </c>
      <c r="K453" s="17">
        <f t="shared" si="862"/>
        <v>30</v>
      </c>
      <c r="L453" s="18">
        <f t="shared" si="863"/>
        <v>1.4242866879447975</v>
      </c>
      <c r="M453" s="34">
        <f t="shared" si="864"/>
        <v>0.42428668794479751</v>
      </c>
      <c r="N453" s="33">
        <f t="shared" si="865"/>
        <v>2.0650171734963443E-2</v>
      </c>
      <c r="O453" s="33">
        <f t="shared" si="866"/>
        <v>1.9129306893477048E-2</v>
      </c>
      <c r="P453" s="33">
        <f t="shared" si="867"/>
        <v>1.8287785722500748E-2</v>
      </c>
      <c r="Q453" s="33">
        <f t="shared" si="868"/>
        <v>1.8287785722500748E-2</v>
      </c>
      <c r="R453" s="35">
        <f t="shared" si="869"/>
        <v>1.1219878682168201</v>
      </c>
      <c r="S453" s="35">
        <f t="shared" si="870"/>
        <v>1.5201341132513129E-2</v>
      </c>
    </row>
    <row r="454" spans="1:19" ht="15" customHeight="1" x14ac:dyDescent="0.3">
      <c r="A454" s="30">
        <f>Odds_Input!A454</f>
        <v>446</v>
      </c>
      <c r="B454" s="7" t="str">
        <f>Odds_Input!B454</f>
        <v>COY</v>
      </c>
      <c r="C454" s="7" t="str">
        <f>Odds_Input!C454</f>
        <v>Tuomas Lisalo</v>
      </c>
      <c r="D454" s="7" t="str">
        <f>Odds_Input!D454</f>
        <v>YES</v>
      </c>
      <c r="E454" s="31" t="str">
        <f>Odds_Input!E454</f>
        <v>-</v>
      </c>
      <c r="F454" s="32">
        <f>Odds_Input!F454</f>
        <v>4000</v>
      </c>
      <c r="G454" s="6" t="str">
        <f t="shared" si="858"/>
        <v>COY</v>
      </c>
      <c r="H454" s="14">
        <f t="shared" si="859"/>
        <v>41</v>
      </c>
      <c r="I454" s="33">
        <f t="shared" si="860"/>
        <v>2.4390243902439025E-2</v>
      </c>
      <c r="J454" s="17">
        <f t="shared" si="861"/>
        <v>1</v>
      </c>
      <c r="K454" s="17">
        <f t="shared" si="862"/>
        <v>30</v>
      </c>
      <c r="L454" s="18">
        <f t="shared" si="863"/>
        <v>1.4242866879447975</v>
      </c>
      <c r="M454" s="34">
        <f t="shared" si="864"/>
        <v>0.42428668794479751</v>
      </c>
      <c r="N454" s="33">
        <f t="shared" si="865"/>
        <v>1.7124532658262366E-2</v>
      </c>
      <c r="O454" s="33">
        <f t="shared" si="866"/>
        <v>1.5505153807860796E-2</v>
      </c>
      <c r="P454" s="33">
        <f t="shared" si="867"/>
        <v>1.4274871214571935E-2</v>
      </c>
      <c r="Q454" s="33">
        <f t="shared" si="868"/>
        <v>1.4274871214571935E-2</v>
      </c>
      <c r="R454" s="35">
        <f t="shared" si="869"/>
        <v>1.1219878682168201</v>
      </c>
      <c r="S454" s="35">
        <f t="shared" si="870"/>
        <v>1.5201341132513129E-2</v>
      </c>
    </row>
    <row r="455" spans="1:19" ht="15" customHeight="1" x14ac:dyDescent="0.3">
      <c r="A455" s="30">
        <f>Odds_Input!A455</f>
        <v>447</v>
      </c>
      <c r="B455" s="7" t="str">
        <f>Odds_Input!B455</f>
        <v>COY</v>
      </c>
      <c r="C455" s="7" t="str">
        <f>Odds_Input!C455</f>
        <v>Jordi Fernandez</v>
      </c>
      <c r="D455" s="7" t="str">
        <f>Odds_Input!D455</f>
        <v>YES</v>
      </c>
      <c r="E455" s="31" t="str">
        <f>Odds_Input!E455</f>
        <v>-</v>
      </c>
      <c r="F455" s="32">
        <f>Odds_Input!F455</f>
        <v>4000</v>
      </c>
      <c r="G455" s="6" t="str">
        <f t="shared" si="858"/>
        <v>COY</v>
      </c>
      <c r="H455" s="14">
        <f t="shared" si="859"/>
        <v>41</v>
      </c>
      <c r="I455" s="33">
        <f t="shared" si="860"/>
        <v>2.4390243902439025E-2</v>
      </c>
      <c r="J455" s="17">
        <f t="shared" si="861"/>
        <v>1</v>
      </c>
      <c r="K455" s="17">
        <f t="shared" si="862"/>
        <v>30</v>
      </c>
      <c r="L455" s="18">
        <f t="shared" si="863"/>
        <v>1.4242866879447975</v>
      </c>
      <c r="M455" s="34">
        <f t="shared" si="864"/>
        <v>0.42428668794479751</v>
      </c>
      <c r="N455" s="33">
        <f t="shared" si="865"/>
        <v>1.7124532658262366E-2</v>
      </c>
      <c r="O455" s="33">
        <f t="shared" si="866"/>
        <v>1.5505153807860796E-2</v>
      </c>
      <c r="P455" s="33">
        <f t="shared" si="867"/>
        <v>1.4274871214571935E-2</v>
      </c>
      <c r="Q455" s="33">
        <f t="shared" si="868"/>
        <v>1.4274871214571935E-2</v>
      </c>
      <c r="R455" s="35">
        <f t="shared" si="869"/>
        <v>1.1219878682168201</v>
      </c>
      <c r="S455" s="35">
        <f t="shared" si="870"/>
        <v>1.5201341132513129E-2</v>
      </c>
    </row>
    <row r="456" spans="1:19" ht="15" customHeight="1" x14ac:dyDescent="0.3">
      <c r="A456" s="30">
        <f>Odds_Input!A456</f>
        <v>448</v>
      </c>
      <c r="B456" s="7" t="str">
        <f>Odds_Input!B456</f>
        <v>COY</v>
      </c>
      <c r="C456" s="7" t="str">
        <f>Odds_Input!C456</f>
        <v>Taylor Jenkins</v>
      </c>
      <c r="D456" s="7" t="str">
        <f>Odds_Input!D456</f>
        <v>YES</v>
      </c>
      <c r="E456" s="31" t="str">
        <f>Odds_Input!E456</f>
        <v>-</v>
      </c>
      <c r="F456" s="32">
        <f>Odds_Input!F456</f>
        <v>5000</v>
      </c>
      <c r="G456" s="6" t="str">
        <f t="shared" ref="G456:G519" si="871">IF(OR(B456="WINS",B456="PLAYOFFS"),B456&amp;"|"&amp;C456&amp;IF(B456="WINS","|"&amp;TEXT(E456,"0.0"),""),B456)</f>
        <v>COY</v>
      </c>
      <c r="H456" s="14">
        <f t="shared" ref="H456:H519" si="872">IF(F456&gt;0,1+F456/100,1+100/ABS(F456))</f>
        <v>51</v>
      </c>
      <c r="I456" s="33">
        <f t="shared" ref="I456:I519" si="873">1/H456</f>
        <v>1.9607843137254902E-2</v>
      </c>
      <c r="J456" s="17">
        <f t="shared" ref="J456:J519" si="874">IF(LEFT(B456,6)="PLAYIN",A_playin_slots,1)</f>
        <v>1</v>
      </c>
      <c r="K456" s="17">
        <f t="shared" ref="K456:K519" si="875">COUNTIF($G$8:$G$694,G456)</f>
        <v>30</v>
      </c>
      <c r="L456" s="18">
        <f t="shared" ref="L456:L519" si="876">SUMIF($G$8:$G$694,G456,$I$8:$I$694)</f>
        <v>1.4242866879447975</v>
      </c>
      <c r="M456" s="34">
        <f t="shared" ref="M456:M519" si="877">L456/J456-1</f>
        <v>0.42428668794479751</v>
      </c>
      <c r="N456" s="33">
        <f t="shared" ref="N456:N519" si="878">I456*J456/L456</f>
        <v>1.3766781156642293E-2</v>
      </c>
      <c r="O456" s="33">
        <f t="shared" ref="O456:O519" si="879">I456^R456</f>
        <v>1.213743670922076E-2</v>
      </c>
      <c r="P456" s="33">
        <f t="shared" ref="P456:P519" si="880">IF(J456&lt;&gt;1,O456,IF(L456&lt;=1,I456/L456,(SQRT(S456^2+4*(1-S456)*I456^2/L456)-S456)/(2*(1-S456))))</f>
        <v>1.0548671006010125E-2</v>
      </c>
      <c r="Q456" s="33">
        <f t="shared" ref="Q456:Q519" si="881">IF(A_devig="Multiplicative",N456,IF(A_devig="Power",O456,P456))</f>
        <v>1.0548671006010125E-2</v>
      </c>
      <c r="R456" s="35">
        <f t="shared" ref="R456:R519" si="882">INDEX($KA$8:$KA$96,MATCH(G456,$X$8:$X$96,0))</f>
        <v>1.1219878682168201</v>
      </c>
      <c r="S456" s="35">
        <f t="shared" ref="S456:S519" si="883">INDEX($KB$8:$KB$96,MATCH(G456,$X$8:$X$96,0))</f>
        <v>1.5201341132513129E-2</v>
      </c>
    </row>
    <row r="457" spans="1:19" ht="15" customHeight="1" x14ac:dyDescent="0.3">
      <c r="A457" s="30">
        <f>Odds_Input!A457</f>
        <v>449</v>
      </c>
      <c r="B457" s="7" t="str">
        <f>Odds_Input!B457</f>
        <v>COY</v>
      </c>
      <c r="C457" s="7" t="str">
        <f>Odds_Input!C457</f>
        <v>Tyronn Lue</v>
      </c>
      <c r="D457" s="7" t="str">
        <f>Odds_Input!D457</f>
        <v>YES</v>
      </c>
      <c r="E457" s="31" t="str">
        <f>Odds_Input!E457</f>
        <v>-</v>
      </c>
      <c r="F457" s="32">
        <f>Odds_Input!F457</f>
        <v>6000</v>
      </c>
      <c r="G457" s="6" t="str">
        <f t="shared" si="871"/>
        <v>COY</v>
      </c>
      <c r="H457" s="14">
        <f t="shared" si="872"/>
        <v>61</v>
      </c>
      <c r="I457" s="33">
        <f t="shared" si="873"/>
        <v>1.6393442622950821E-2</v>
      </c>
      <c r="J457" s="17">
        <f t="shared" si="874"/>
        <v>1</v>
      </c>
      <c r="K457" s="17">
        <f t="shared" si="875"/>
        <v>30</v>
      </c>
      <c r="L457" s="18">
        <f t="shared" si="876"/>
        <v>1.4242866879447975</v>
      </c>
      <c r="M457" s="34">
        <f t="shared" si="877"/>
        <v>0.42428668794479751</v>
      </c>
      <c r="N457" s="33">
        <f t="shared" si="878"/>
        <v>1.1509931786700935E-2</v>
      </c>
      <c r="O457" s="33">
        <f t="shared" si="879"/>
        <v>9.9284530022174505E-3</v>
      </c>
      <c r="P457" s="33">
        <f t="shared" si="880"/>
        <v>8.1302679676163413E-3</v>
      </c>
      <c r="Q457" s="33">
        <f t="shared" si="881"/>
        <v>8.1302679676163413E-3</v>
      </c>
      <c r="R457" s="35">
        <f t="shared" si="882"/>
        <v>1.1219878682168201</v>
      </c>
      <c r="S457" s="35">
        <f t="shared" si="883"/>
        <v>1.5201341132513129E-2</v>
      </c>
    </row>
    <row r="458" spans="1:19" ht="15" customHeight="1" x14ac:dyDescent="0.3">
      <c r="A458" s="30">
        <f>Odds_Input!A458</f>
        <v>450</v>
      </c>
      <c r="B458" s="7" t="str">
        <f>Odds_Input!B458</f>
        <v>COY</v>
      </c>
      <c r="C458" s="7" t="str">
        <f>Odds_Input!C458</f>
        <v>Jamahl Mosley</v>
      </c>
      <c r="D458" s="7" t="str">
        <f>Odds_Input!D458</f>
        <v>YES</v>
      </c>
      <c r="E458" s="31" t="str">
        <f>Odds_Input!E458</f>
        <v>-</v>
      </c>
      <c r="F458" s="32">
        <f>Odds_Input!F458</f>
        <v>6000</v>
      </c>
      <c r="G458" s="6" t="str">
        <f t="shared" si="871"/>
        <v>COY</v>
      </c>
      <c r="H458" s="14">
        <f t="shared" si="872"/>
        <v>61</v>
      </c>
      <c r="I458" s="33">
        <f t="shared" si="873"/>
        <v>1.6393442622950821E-2</v>
      </c>
      <c r="J458" s="17">
        <f t="shared" si="874"/>
        <v>1</v>
      </c>
      <c r="K458" s="17">
        <f t="shared" si="875"/>
        <v>30</v>
      </c>
      <c r="L458" s="18">
        <f t="shared" si="876"/>
        <v>1.4242866879447975</v>
      </c>
      <c r="M458" s="34">
        <f t="shared" si="877"/>
        <v>0.42428668794479751</v>
      </c>
      <c r="N458" s="33">
        <f t="shared" si="878"/>
        <v>1.1509931786700935E-2</v>
      </c>
      <c r="O458" s="33">
        <f t="shared" si="879"/>
        <v>9.9284530022174505E-3</v>
      </c>
      <c r="P458" s="33">
        <f t="shared" si="880"/>
        <v>8.1302679676163413E-3</v>
      </c>
      <c r="Q458" s="33">
        <f t="shared" si="881"/>
        <v>8.1302679676163413E-3</v>
      </c>
      <c r="R458" s="35">
        <f t="shared" si="882"/>
        <v>1.1219878682168201</v>
      </c>
      <c r="S458" s="35">
        <f t="shared" si="883"/>
        <v>1.5201341132513129E-2</v>
      </c>
    </row>
    <row r="459" spans="1:19" ht="15" customHeight="1" x14ac:dyDescent="0.3">
      <c r="A459" s="30">
        <f>Odds_Input!A459</f>
        <v>451</v>
      </c>
      <c r="B459" s="7" t="str">
        <f>Odds_Input!B459</f>
        <v>COY</v>
      </c>
      <c r="C459" s="7" t="str">
        <f>Odds_Input!C459</f>
        <v>Doug Christie</v>
      </c>
      <c r="D459" s="7" t="str">
        <f>Odds_Input!D459</f>
        <v>YES</v>
      </c>
      <c r="E459" s="31" t="str">
        <f>Odds_Input!E459</f>
        <v>-</v>
      </c>
      <c r="F459" s="32">
        <f>Odds_Input!F459</f>
        <v>8000</v>
      </c>
      <c r="G459" s="6" t="str">
        <f t="shared" si="871"/>
        <v>COY</v>
      </c>
      <c r="H459" s="14">
        <f t="shared" si="872"/>
        <v>81</v>
      </c>
      <c r="I459" s="33">
        <f t="shared" si="873"/>
        <v>1.2345679012345678E-2</v>
      </c>
      <c r="J459" s="17">
        <f t="shared" si="874"/>
        <v>1</v>
      </c>
      <c r="K459" s="17">
        <f t="shared" si="875"/>
        <v>30</v>
      </c>
      <c r="L459" s="18">
        <f t="shared" si="876"/>
        <v>1.4242866879447975</v>
      </c>
      <c r="M459" s="34">
        <f t="shared" si="877"/>
        <v>0.42428668794479751</v>
      </c>
      <c r="N459" s="33">
        <f t="shared" si="878"/>
        <v>8.6679733208488517E-3</v>
      </c>
      <c r="O459" s="33">
        <f t="shared" si="879"/>
        <v>7.2227563064132475E-3</v>
      </c>
      <c r="P459" s="33">
        <f t="shared" si="880"/>
        <v>5.2524061264333467E-3</v>
      </c>
      <c r="Q459" s="33">
        <f t="shared" si="881"/>
        <v>5.2524061264333467E-3</v>
      </c>
      <c r="R459" s="35">
        <f t="shared" si="882"/>
        <v>1.1219878682168201</v>
      </c>
      <c r="S459" s="35">
        <f t="shared" si="883"/>
        <v>1.5201341132513129E-2</v>
      </c>
    </row>
    <row r="460" spans="1:19" ht="15" customHeight="1" x14ac:dyDescent="0.3">
      <c r="A460" s="30">
        <f>Odds_Input!A460</f>
        <v>452</v>
      </c>
      <c r="B460" s="7" t="str">
        <f>Odds_Input!B460</f>
        <v>CLUTCH</v>
      </c>
      <c r="C460" s="7" t="str">
        <f>Odds_Input!C460</f>
        <v>Shai Gilgeous Alexander</v>
      </c>
      <c r="D460" s="7" t="str">
        <f>Odds_Input!D460</f>
        <v>YES</v>
      </c>
      <c r="E460" s="31" t="str">
        <f>Odds_Input!E460</f>
        <v>-</v>
      </c>
      <c r="F460" s="32">
        <f>Odds_Input!F460</f>
        <v>800</v>
      </c>
      <c r="G460" s="6" t="str">
        <f t="shared" si="871"/>
        <v>CLUTCH</v>
      </c>
      <c r="H460" s="14">
        <f t="shared" si="872"/>
        <v>9</v>
      </c>
      <c r="I460" s="33">
        <f t="shared" si="873"/>
        <v>0.1111111111111111</v>
      </c>
      <c r="J460" s="17">
        <f t="shared" si="874"/>
        <v>1</v>
      </c>
      <c r="K460" s="17">
        <f t="shared" si="875"/>
        <v>20</v>
      </c>
      <c r="L460" s="18">
        <f t="shared" si="876"/>
        <v>1.0260590881525793</v>
      </c>
      <c r="M460" s="34">
        <f t="shared" si="877"/>
        <v>2.6059088152579291E-2</v>
      </c>
      <c r="N460" s="33">
        <f t="shared" si="878"/>
        <v>0.10828919347244105</v>
      </c>
      <c r="O460" s="33">
        <f t="shared" si="879"/>
        <v>0.10888871057726406</v>
      </c>
      <c r="P460" s="33">
        <f t="shared" si="880"/>
        <v>0.10907991198447935</v>
      </c>
      <c r="Q460" s="33">
        <f t="shared" si="881"/>
        <v>0.10907991198447935</v>
      </c>
      <c r="R460" s="35">
        <f t="shared" si="882"/>
        <v>1.0091953936265781</v>
      </c>
      <c r="S460" s="35">
        <f t="shared" si="883"/>
        <v>1.3758321330627661E-3</v>
      </c>
    </row>
    <row r="461" spans="1:19" ht="15" customHeight="1" x14ac:dyDescent="0.3">
      <c r="A461" s="30">
        <f>Odds_Input!A461</f>
        <v>453</v>
      </c>
      <c r="B461" s="7" t="str">
        <f>Odds_Input!B461</f>
        <v>CLUTCH</v>
      </c>
      <c r="C461" s="7" t="str">
        <f>Odds_Input!C461</f>
        <v>Jalen Brunson</v>
      </c>
      <c r="D461" s="7" t="str">
        <f>Odds_Input!D461</f>
        <v>YES</v>
      </c>
      <c r="E461" s="31" t="str">
        <f>Odds_Input!E461</f>
        <v>-</v>
      </c>
      <c r="F461" s="32">
        <f>Odds_Input!F461</f>
        <v>700</v>
      </c>
      <c r="G461" s="6" t="str">
        <f t="shared" si="871"/>
        <v>CLUTCH</v>
      </c>
      <c r="H461" s="14">
        <f t="shared" si="872"/>
        <v>8</v>
      </c>
      <c r="I461" s="33">
        <f t="shared" si="873"/>
        <v>0.125</v>
      </c>
      <c r="J461" s="17">
        <f t="shared" si="874"/>
        <v>1</v>
      </c>
      <c r="K461" s="17">
        <f t="shared" si="875"/>
        <v>20</v>
      </c>
      <c r="L461" s="18">
        <f t="shared" si="876"/>
        <v>1.0260590881525793</v>
      </c>
      <c r="M461" s="34">
        <f t="shared" si="877"/>
        <v>2.6059088152579291E-2</v>
      </c>
      <c r="N461" s="33">
        <f t="shared" si="878"/>
        <v>0.12182534265649619</v>
      </c>
      <c r="O461" s="33">
        <f t="shared" si="879"/>
        <v>0.12263254607406691</v>
      </c>
      <c r="P461" s="33">
        <f t="shared" si="880"/>
        <v>0.12280049860257997</v>
      </c>
      <c r="Q461" s="33">
        <f t="shared" si="881"/>
        <v>0.12280049860257997</v>
      </c>
      <c r="R461" s="35">
        <f t="shared" si="882"/>
        <v>1.0091953936265781</v>
      </c>
      <c r="S461" s="35">
        <f t="shared" si="883"/>
        <v>1.3758321330627661E-3</v>
      </c>
    </row>
    <row r="462" spans="1:19" ht="15" customHeight="1" x14ac:dyDescent="0.3">
      <c r="A462" s="30">
        <f>Odds_Input!A462</f>
        <v>454</v>
      </c>
      <c r="B462" s="7" t="str">
        <f>Odds_Input!B462</f>
        <v>CLUTCH</v>
      </c>
      <c r="C462" s="7" t="str">
        <f>Odds_Input!C462</f>
        <v>Stephen Curry</v>
      </c>
      <c r="D462" s="7" t="str">
        <f>Odds_Input!D462</f>
        <v>YES</v>
      </c>
      <c r="E462" s="31" t="str">
        <f>Odds_Input!E462</f>
        <v>-</v>
      </c>
      <c r="F462" s="32">
        <f>Odds_Input!F462</f>
        <v>1200</v>
      </c>
      <c r="G462" s="6" t="str">
        <f t="shared" si="871"/>
        <v>CLUTCH</v>
      </c>
      <c r="H462" s="14">
        <f t="shared" si="872"/>
        <v>13</v>
      </c>
      <c r="I462" s="33">
        <f t="shared" si="873"/>
        <v>7.6923076923076927E-2</v>
      </c>
      <c r="J462" s="17">
        <f t="shared" si="874"/>
        <v>1</v>
      </c>
      <c r="K462" s="17">
        <f t="shared" si="875"/>
        <v>20</v>
      </c>
      <c r="L462" s="18">
        <f t="shared" si="876"/>
        <v>1.0260590881525793</v>
      </c>
      <c r="M462" s="34">
        <f t="shared" si="877"/>
        <v>2.6059088152579291E-2</v>
      </c>
      <c r="N462" s="33">
        <f t="shared" si="878"/>
        <v>7.496944163476689E-2</v>
      </c>
      <c r="O462" s="33">
        <f t="shared" si="879"/>
        <v>7.5130019245711499E-2</v>
      </c>
      <c r="P462" s="33">
        <f t="shared" si="880"/>
        <v>7.5306529778649503E-2</v>
      </c>
      <c r="Q462" s="33">
        <f t="shared" si="881"/>
        <v>7.5306529778649503E-2</v>
      </c>
      <c r="R462" s="35">
        <f t="shared" si="882"/>
        <v>1.0091953936265781</v>
      </c>
      <c r="S462" s="35">
        <f t="shared" si="883"/>
        <v>1.3758321330627661E-3</v>
      </c>
    </row>
    <row r="463" spans="1:19" ht="15" customHeight="1" x14ac:dyDescent="0.3">
      <c r="A463" s="30">
        <f>Odds_Input!A463</f>
        <v>455</v>
      </c>
      <c r="B463" s="7" t="str">
        <f>Odds_Input!B463</f>
        <v>CLUTCH</v>
      </c>
      <c r="C463" s="7" t="str">
        <f>Odds_Input!C463</f>
        <v>Victor Wembanyama</v>
      </c>
      <c r="D463" s="7" t="str">
        <f>Odds_Input!D463</f>
        <v>YES</v>
      </c>
      <c r="E463" s="31" t="str">
        <f>Odds_Input!E463</f>
        <v>-</v>
      </c>
      <c r="F463" s="32">
        <f>Odds_Input!F463</f>
        <v>1600</v>
      </c>
      <c r="G463" s="6" t="str">
        <f t="shared" si="871"/>
        <v>CLUTCH</v>
      </c>
      <c r="H463" s="14">
        <f t="shared" si="872"/>
        <v>17</v>
      </c>
      <c r="I463" s="33">
        <f t="shared" si="873"/>
        <v>5.8823529411764705E-2</v>
      </c>
      <c r="J463" s="17">
        <f t="shared" si="874"/>
        <v>1</v>
      </c>
      <c r="K463" s="17">
        <f t="shared" si="875"/>
        <v>20</v>
      </c>
      <c r="L463" s="18">
        <f t="shared" si="876"/>
        <v>1.0260590881525793</v>
      </c>
      <c r="M463" s="34">
        <f t="shared" si="877"/>
        <v>2.6059088152579291E-2</v>
      </c>
      <c r="N463" s="33">
        <f t="shared" si="878"/>
        <v>5.7329573014821736E-2</v>
      </c>
      <c r="O463" s="33">
        <f t="shared" si="879"/>
        <v>5.7310819219959619E-2</v>
      </c>
      <c r="P463" s="33">
        <f t="shared" si="880"/>
        <v>5.7426955938526661E-2</v>
      </c>
      <c r="Q463" s="33">
        <f t="shared" si="881"/>
        <v>5.7426955938526661E-2</v>
      </c>
      <c r="R463" s="35">
        <f t="shared" si="882"/>
        <v>1.0091953936265781</v>
      </c>
      <c r="S463" s="35">
        <f t="shared" si="883"/>
        <v>1.3758321330627661E-3</v>
      </c>
    </row>
    <row r="464" spans="1:19" ht="15" customHeight="1" x14ac:dyDescent="0.3">
      <c r="A464" s="30">
        <f>Odds_Input!A464</f>
        <v>456</v>
      </c>
      <c r="B464" s="7" t="str">
        <f>Odds_Input!B464</f>
        <v>CLUTCH</v>
      </c>
      <c r="C464" s="7" t="str">
        <f>Odds_Input!C464</f>
        <v>Luka Doncic</v>
      </c>
      <c r="D464" s="7" t="str">
        <f>Odds_Input!D464</f>
        <v>YES</v>
      </c>
      <c r="E464" s="31" t="str">
        <f>Odds_Input!E464</f>
        <v>-</v>
      </c>
      <c r="F464" s="32">
        <f>Odds_Input!F464</f>
        <v>1200</v>
      </c>
      <c r="G464" s="6" t="str">
        <f t="shared" si="871"/>
        <v>CLUTCH</v>
      </c>
      <c r="H464" s="14">
        <f t="shared" si="872"/>
        <v>13</v>
      </c>
      <c r="I464" s="33">
        <f t="shared" si="873"/>
        <v>7.6923076923076927E-2</v>
      </c>
      <c r="J464" s="17">
        <f t="shared" si="874"/>
        <v>1</v>
      </c>
      <c r="K464" s="17">
        <f t="shared" si="875"/>
        <v>20</v>
      </c>
      <c r="L464" s="18">
        <f t="shared" si="876"/>
        <v>1.0260590881525793</v>
      </c>
      <c r="M464" s="34">
        <f t="shared" si="877"/>
        <v>2.6059088152579291E-2</v>
      </c>
      <c r="N464" s="33">
        <f t="shared" si="878"/>
        <v>7.496944163476689E-2</v>
      </c>
      <c r="O464" s="33">
        <f t="shared" si="879"/>
        <v>7.5130019245711499E-2</v>
      </c>
      <c r="P464" s="33">
        <f t="shared" si="880"/>
        <v>7.5306529778649503E-2</v>
      </c>
      <c r="Q464" s="33">
        <f t="shared" si="881"/>
        <v>7.5306529778649503E-2</v>
      </c>
      <c r="R464" s="35">
        <f t="shared" si="882"/>
        <v>1.0091953936265781</v>
      </c>
      <c r="S464" s="35">
        <f t="shared" si="883"/>
        <v>1.3758321330627661E-3</v>
      </c>
    </row>
    <row r="465" spans="1:19" ht="15" customHeight="1" x14ac:dyDescent="0.3">
      <c r="A465" s="30">
        <f>Odds_Input!A465</f>
        <v>457</v>
      </c>
      <c r="B465" s="7" t="str">
        <f>Odds_Input!B465</f>
        <v>CLUTCH</v>
      </c>
      <c r="C465" s="7" t="str">
        <f>Odds_Input!C465</f>
        <v>Cade Cunningham</v>
      </c>
      <c r="D465" s="7" t="str">
        <f>Odds_Input!D465</f>
        <v>YES</v>
      </c>
      <c r="E465" s="31" t="str">
        <f>Odds_Input!E465</f>
        <v>-</v>
      </c>
      <c r="F465" s="32">
        <f>Odds_Input!F465</f>
        <v>1500</v>
      </c>
      <c r="G465" s="6" t="str">
        <f t="shared" si="871"/>
        <v>CLUTCH</v>
      </c>
      <c r="H465" s="14">
        <f t="shared" si="872"/>
        <v>16</v>
      </c>
      <c r="I465" s="33">
        <f t="shared" si="873"/>
        <v>6.25E-2</v>
      </c>
      <c r="J465" s="17">
        <f t="shared" si="874"/>
        <v>1</v>
      </c>
      <c r="K465" s="17">
        <f t="shared" si="875"/>
        <v>20</v>
      </c>
      <c r="L465" s="18">
        <f t="shared" si="876"/>
        <v>1.0260590881525793</v>
      </c>
      <c r="M465" s="34">
        <f t="shared" si="877"/>
        <v>2.6059088152579291E-2</v>
      </c>
      <c r="N465" s="33">
        <f t="shared" si="878"/>
        <v>6.0912671328248097E-2</v>
      </c>
      <c r="O465" s="33">
        <f t="shared" si="879"/>
        <v>6.0926700596785788E-2</v>
      </c>
      <c r="P465" s="33">
        <f t="shared" si="880"/>
        <v>6.1058699350129038E-2</v>
      </c>
      <c r="Q465" s="33">
        <f t="shared" si="881"/>
        <v>6.1058699350129038E-2</v>
      </c>
      <c r="R465" s="35">
        <f t="shared" si="882"/>
        <v>1.0091953936265781</v>
      </c>
      <c r="S465" s="35">
        <f t="shared" si="883"/>
        <v>1.3758321330627661E-3</v>
      </c>
    </row>
    <row r="466" spans="1:19" ht="15" customHeight="1" x14ac:dyDescent="0.3">
      <c r="A466" s="30">
        <f>Odds_Input!A466</f>
        <v>458</v>
      </c>
      <c r="B466" s="7" t="str">
        <f>Odds_Input!B466</f>
        <v>CLUTCH</v>
      </c>
      <c r="C466" s="7" t="str">
        <f>Odds_Input!C466</f>
        <v>Tyrese Haliburton</v>
      </c>
      <c r="D466" s="7" t="str">
        <f>Odds_Input!D466</f>
        <v>YES</v>
      </c>
      <c r="E466" s="31" t="str">
        <f>Odds_Input!E466</f>
        <v>-</v>
      </c>
      <c r="F466" s="32">
        <f>Odds_Input!F466</f>
        <v>1800</v>
      </c>
      <c r="G466" s="6" t="str">
        <f t="shared" si="871"/>
        <v>CLUTCH</v>
      </c>
      <c r="H466" s="14">
        <f t="shared" si="872"/>
        <v>19</v>
      </c>
      <c r="I466" s="33">
        <f t="shared" si="873"/>
        <v>5.2631578947368418E-2</v>
      </c>
      <c r="J466" s="17">
        <f t="shared" si="874"/>
        <v>1</v>
      </c>
      <c r="K466" s="17">
        <f t="shared" si="875"/>
        <v>20</v>
      </c>
      <c r="L466" s="18">
        <f t="shared" si="876"/>
        <v>1.0260590881525793</v>
      </c>
      <c r="M466" s="34">
        <f t="shared" si="877"/>
        <v>2.6059088152579291E-2</v>
      </c>
      <c r="N466" s="33">
        <f t="shared" si="878"/>
        <v>5.1294881118524704E-2</v>
      </c>
      <c r="O466" s="33">
        <f t="shared" si="879"/>
        <v>5.1225682847522276E-2</v>
      </c>
      <c r="P466" s="33">
        <f t="shared" si="880"/>
        <v>5.1310411283260984E-2</v>
      </c>
      <c r="Q466" s="33">
        <f t="shared" si="881"/>
        <v>5.1310411283260984E-2</v>
      </c>
      <c r="R466" s="35">
        <f t="shared" si="882"/>
        <v>1.0091953936265781</v>
      </c>
      <c r="S466" s="35">
        <f t="shared" si="883"/>
        <v>1.3758321330627661E-3</v>
      </c>
    </row>
    <row r="467" spans="1:19" ht="15" customHeight="1" x14ac:dyDescent="0.3">
      <c r="A467" s="30">
        <f>Odds_Input!A467</f>
        <v>459</v>
      </c>
      <c r="B467" s="7" t="str">
        <f>Odds_Input!B467</f>
        <v>CLUTCH</v>
      </c>
      <c r="C467" s="7" t="str">
        <f>Odds_Input!C467</f>
        <v>Anthony Edwards</v>
      </c>
      <c r="D467" s="7" t="str">
        <f>Odds_Input!D467</f>
        <v>YES</v>
      </c>
      <c r="E467" s="31" t="str">
        <f>Odds_Input!E467</f>
        <v>-</v>
      </c>
      <c r="F467" s="32">
        <f>Odds_Input!F467</f>
        <v>1000</v>
      </c>
      <c r="G467" s="6" t="str">
        <f t="shared" si="871"/>
        <v>CLUTCH</v>
      </c>
      <c r="H467" s="14">
        <f t="shared" si="872"/>
        <v>11</v>
      </c>
      <c r="I467" s="33">
        <f t="shared" si="873"/>
        <v>9.0909090909090912E-2</v>
      </c>
      <c r="J467" s="17">
        <f t="shared" si="874"/>
        <v>1</v>
      </c>
      <c r="K467" s="17">
        <f t="shared" si="875"/>
        <v>20</v>
      </c>
      <c r="L467" s="18">
        <f t="shared" si="876"/>
        <v>1.0260590881525793</v>
      </c>
      <c r="M467" s="34">
        <f t="shared" si="877"/>
        <v>2.6059088152579291E-2</v>
      </c>
      <c r="N467" s="33">
        <f t="shared" si="878"/>
        <v>8.8600249204724507E-2</v>
      </c>
      <c r="O467" s="33">
        <f t="shared" si="879"/>
        <v>8.8926520402898876E-2</v>
      </c>
      <c r="P467" s="33">
        <f t="shared" si="880"/>
        <v>8.9122826080459502E-2</v>
      </c>
      <c r="Q467" s="33">
        <f t="shared" si="881"/>
        <v>8.9122826080459502E-2</v>
      </c>
      <c r="R467" s="35">
        <f t="shared" si="882"/>
        <v>1.0091953936265781</v>
      </c>
      <c r="S467" s="35">
        <f t="shared" si="883"/>
        <v>1.3758321330627661E-3</v>
      </c>
    </row>
    <row r="468" spans="1:19" ht="15" customHeight="1" x14ac:dyDescent="0.3">
      <c r="A468" s="30">
        <f>Odds_Input!A468</f>
        <v>460</v>
      </c>
      <c r="B468" s="7" t="str">
        <f>Odds_Input!B468</f>
        <v>CLUTCH</v>
      </c>
      <c r="C468" s="7" t="str">
        <f>Odds_Input!C468</f>
        <v>Nikola Jokic</v>
      </c>
      <c r="D468" s="7" t="str">
        <f>Odds_Input!D468</f>
        <v>YES</v>
      </c>
      <c r="E468" s="31" t="str">
        <f>Odds_Input!E468</f>
        <v>-</v>
      </c>
      <c r="F468" s="32">
        <f>Odds_Input!F468</f>
        <v>1400</v>
      </c>
      <c r="G468" s="6" t="str">
        <f t="shared" si="871"/>
        <v>CLUTCH</v>
      </c>
      <c r="H468" s="14">
        <f t="shared" si="872"/>
        <v>15</v>
      </c>
      <c r="I468" s="33">
        <f t="shared" si="873"/>
        <v>6.6666666666666666E-2</v>
      </c>
      <c r="J468" s="17">
        <f t="shared" si="874"/>
        <v>1</v>
      </c>
      <c r="K468" s="17">
        <f t="shared" si="875"/>
        <v>20</v>
      </c>
      <c r="L468" s="18">
        <f t="shared" si="876"/>
        <v>1.0260590881525793</v>
      </c>
      <c r="M468" s="34">
        <f t="shared" si="877"/>
        <v>2.6059088152579291E-2</v>
      </c>
      <c r="N468" s="33">
        <f t="shared" si="878"/>
        <v>6.4973516083464633E-2</v>
      </c>
      <c r="O468" s="33">
        <f t="shared" si="879"/>
        <v>6.5027059958663466E-2</v>
      </c>
      <c r="P468" s="33">
        <f t="shared" si="880"/>
        <v>6.5174707233681919E-2</v>
      </c>
      <c r="Q468" s="33">
        <f t="shared" si="881"/>
        <v>6.5174707233681919E-2</v>
      </c>
      <c r="R468" s="35">
        <f t="shared" si="882"/>
        <v>1.0091953936265781</v>
      </c>
      <c r="S468" s="35">
        <f t="shared" si="883"/>
        <v>1.3758321330627661E-3</v>
      </c>
    </row>
    <row r="469" spans="1:19" ht="15" customHeight="1" x14ac:dyDescent="0.3">
      <c r="A469" s="30">
        <f>Odds_Input!A469</f>
        <v>461</v>
      </c>
      <c r="B469" s="7" t="str">
        <f>Odds_Input!B469</f>
        <v>CLUTCH</v>
      </c>
      <c r="C469" s="7" t="str">
        <f>Odds_Input!C469</f>
        <v>Jayson Tatum</v>
      </c>
      <c r="D469" s="7" t="str">
        <f>Odds_Input!D469</f>
        <v>YES</v>
      </c>
      <c r="E469" s="31" t="str">
        <f>Odds_Input!E469</f>
        <v>-</v>
      </c>
      <c r="F469" s="32">
        <f>Odds_Input!F469</f>
        <v>2500</v>
      </c>
      <c r="G469" s="6" t="str">
        <f t="shared" si="871"/>
        <v>CLUTCH</v>
      </c>
      <c r="H469" s="14">
        <f t="shared" si="872"/>
        <v>26</v>
      </c>
      <c r="I469" s="33">
        <f t="shared" si="873"/>
        <v>3.8461538461538464E-2</v>
      </c>
      <c r="J469" s="17">
        <f t="shared" si="874"/>
        <v>1</v>
      </c>
      <c r="K469" s="17">
        <f t="shared" si="875"/>
        <v>20</v>
      </c>
      <c r="L469" s="18">
        <f t="shared" si="876"/>
        <v>1.0260590881525793</v>
      </c>
      <c r="M469" s="34">
        <f t="shared" si="877"/>
        <v>2.6059088152579291E-2</v>
      </c>
      <c r="N469" s="33">
        <f t="shared" si="878"/>
        <v>3.7484720817383445E-2</v>
      </c>
      <c r="O469" s="33">
        <f t="shared" si="879"/>
        <v>3.7326340640840741E-2</v>
      </c>
      <c r="P469" s="33">
        <f t="shared" si="880"/>
        <v>3.7313515865977948E-2</v>
      </c>
      <c r="Q469" s="33">
        <f t="shared" si="881"/>
        <v>3.7313515865977948E-2</v>
      </c>
      <c r="R469" s="35">
        <f t="shared" si="882"/>
        <v>1.0091953936265781</v>
      </c>
      <c r="S469" s="35">
        <f t="shared" si="883"/>
        <v>1.3758321330627661E-3</v>
      </c>
    </row>
    <row r="470" spans="1:19" ht="15" customHeight="1" x14ac:dyDescent="0.3">
      <c r="A470" s="30">
        <f>Odds_Input!A470</f>
        <v>462</v>
      </c>
      <c r="B470" s="7" t="str">
        <f>Odds_Input!B470</f>
        <v>CLUTCH</v>
      </c>
      <c r="C470" s="7" t="str">
        <f>Odds_Input!C470</f>
        <v>Devin Booker</v>
      </c>
      <c r="D470" s="7" t="str">
        <f>Odds_Input!D470</f>
        <v>YES</v>
      </c>
      <c r="E470" s="31" t="str">
        <f>Odds_Input!E470</f>
        <v>-</v>
      </c>
      <c r="F470" s="32">
        <f>Odds_Input!F470</f>
        <v>2800</v>
      </c>
      <c r="G470" s="6" t="str">
        <f t="shared" si="871"/>
        <v>CLUTCH</v>
      </c>
      <c r="H470" s="14">
        <f t="shared" si="872"/>
        <v>29</v>
      </c>
      <c r="I470" s="33">
        <f t="shared" si="873"/>
        <v>3.4482758620689655E-2</v>
      </c>
      <c r="J470" s="17">
        <f t="shared" si="874"/>
        <v>1</v>
      </c>
      <c r="K470" s="17">
        <f t="shared" si="875"/>
        <v>20</v>
      </c>
      <c r="L470" s="18">
        <f t="shared" si="876"/>
        <v>1.0260590881525793</v>
      </c>
      <c r="M470" s="34">
        <f t="shared" si="877"/>
        <v>2.6059088152579291E-2</v>
      </c>
      <c r="N470" s="33">
        <f t="shared" si="878"/>
        <v>3.3606991077654122E-2</v>
      </c>
      <c r="O470" s="33">
        <f t="shared" si="879"/>
        <v>3.3431408701341335E-2</v>
      </c>
      <c r="P470" s="33">
        <f t="shared" si="880"/>
        <v>3.3383601457048932E-2</v>
      </c>
      <c r="Q470" s="33">
        <f t="shared" si="881"/>
        <v>3.3383601457048932E-2</v>
      </c>
      <c r="R470" s="35">
        <f t="shared" si="882"/>
        <v>1.0091953936265781</v>
      </c>
      <c r="S470" s="35">
        <f t="shared" si="883"/>
        <v>1.3758321330627661E-3</v>
      </c>
    </row>
    <row r="471" spans="1:19" ht="15" customHeight="1" x14ac:dyDescent="0.3">
      <c r="A471" s="30">
        <f>Odds_Input!A471</f>
        <v>463</v>
      </c>
      <c r="B471" s="7" t="str">
        <f>Odds_Input!B471</f>
        <v>CLUTCH</v>
      </c>
      <c r="C471" s="7" t="str">
        <f>Odds_Input!C471</f>
        <v>Donovan Mitchell</v>
      </c>
      <c r="D471" s="7" t="str">
        <f>Odds_Input!D471</f>
        <v>YES</v>
      </c>
      <c r="E471" s="31" t="str">
        <f>Odds_Input!E471</f>
        <v>-</v>
      </c>
      <c r="F471" s="32">
        <f>Odds_Input!F471</f>
        <v>3500</v>
      </c>
      <c r="G471" s="6" t="str">
        <f t="shared" si="871"/>
        <v>CLUTCH</v>
      </c>
      <c r="H471" s="14">
        <f t="shared" si="872"/>
        <v>36</v>
      </c>
      <c r="I471" s="33">
        <f t="shared" si="873"/>
        <v>2.7777777777777776E-2</v>
      </c>
      <c r="J471" s="17">
        <f t="shared" si="874"/>
        <v>1</v>
      </c>
      <c r="K471" s="17">
        <f t="shared" si="875"/>
        <v>20</v>
      </c>
      <c r="L471" s="18">
        <f t="shared" si="876"/>
        <v>1.0260590881525793</v>
      </c>
      <c r="M471" s="34">
        <f t="shared" si="877"/>
        <v>2.6059088152579291E-2</v>
      </c>
      <c r="N471" s="33">
        <f t="shared" si="878"/>
        <v>2.7072298368110263E-2</v>
      </c>
      <c r="O471" s="33">
        <f t="shared" si="879"/>
        <v>2.687736475118473E-2</v>
      </c>
      <c r="P471" s="33">
        <f t="shared" si="880"/>
        <v>2.6761434604211095E-2</v>
      </c>
      <c r="Q471" s="33">
        <f t="shared" si="881"/>
        <v>2.6761434604211095E-2</v>
      </c>
      <c r="R471" s="35">
        <f t="shared" si="882"/>
        <v>1.0091953936265781</v>
      </c>
      <c r="S471" s="35">
        <f t="shared" si="883"/>
        <v>1.3758321330627661E-3</v>
      </c>
    </row>
    <row r="472" spans="1:19" ht="15" customHeight="1" x14ac:dyDescent="0.3">
      <c r="A472" s="30">
        <f>Odds_Input!A472</f>
        <v>464</v>
      </c>
      <c r="B472" s="7" t="str">
        <f>Odds_Input!B472</f>
        <v>CLUTCH</v>
      </c>
      <c r="C472" s="7" t="str">
        <f>Odds_Input!C472</f>
        <v>Tyrese Maxey</v>
      </c>
      <c r="D472" s="7" t="str">
        <f>Odds_Input!D472</f>
        <v>YES</v>
      </c>
      <c r="E472" s="31" t="str">
        <f>Odds_Input!E472</f>
        <v>-</v>
      </c>
      <c r="F472" s="32">
        <f>Odds_Input!F472</f>
        <v>3000</v>
      </c>
      <c r="G472" s="6" t="str">
        <f t="shared" si="871"/>
        <v>CLUTCH</v>
      </c>
      <c r="H472" s="14">
        <f t="shared" si="872"/>
        <v>31</v>
      </c>
      <c r="I472" s="33">
        <f t="shared" si="873"/>
        <v>3.2258064516129031E-2</v>
      </c>
      <c r="J472" s="17">
        <f t="shared" si="874"/>
        <v>1</v>
      </c>
      <c r="K472" s="17">
        <f t="shared" si="875"/>
        <v>20</v>
      </c>
      <c r="L472" s="18">
        <f t="shared" si="876"/>
        <v>1.0260590881525793</v>
      </c>
      <c r="M472" s="34">
        <f t="shared" si="877"/>
        <v>2.6059088152579291E-2</v>
      </c>
      <c r="N472" s="33">
        <f t="shared" si="878"/>
        <v>3.1438798104902244E-2</v>
      </c>
      <c r="O472" s="33">
        <f t="shared" si="879"/>
        <v>3.1255370282033103E-2</v>
      </c>
      <c r="P472" s="33">
        <f t="shared" si="880"/>
        <v>3.1186307388237904E-2</v>
      </c>
      <c r="Q472" s="33">
        <f t="shared" si="881"/>
        <v>3.1186307388237904E-2</v>
      </c>
      <c r="R472" s="35">
        <f t="shared" si="882"/>
        <v>1.0091953936265781</v>
      </c>
      <c r="S472" s="35">
        <f t="shared" si="883"/>
        <v>1.3758321330627661E-3</v>
      </c>
    </row>
    <row r="473" spans="1:19" ht="15" customHeight="1" x14ac:dyDescent="0.3">
      <c r="A473" s="30">
        <f>Odds_Input!A473</f>
        <v>465</v>
      </c>
      <c r="B473" s="7" t="str">
        <f>Odds_Input!B473</f>
        <v>CLUTCH</v>
      </c>
      <c r="C473" s="7" t="str">
        <f>Odds_Input!C473</f>
        <v>Kevin Durant</v>
      </c>
      <c r="D473" s="7" t="str">
        <f>Odds_Input!D473</f>
        <v>YES</v>
      </c>
      <c r="E473" s="31" t="str">
        <f>Odds_Input!E473</f>
        <v>-</v>
      </c>
      <c r="F473" s="32">
        <f>Odds_Input!F473</f>
        <v>3300</v>
      </c>
      <c r="G473" s="6" t="str">
        <f t="shared" si="871"/>
        <v>CLUTCH</v>
      </c>
      <c r="H473" s="14">
        <f t="shared" si="872"/>
        <v>34</v>
      </c>
      <c r="I473" s="33">
        <f t="shared" si="873"/>
        <v>2.9411764705882353E-2</v>
      </c>
      <c r="J473" s="17">
        <f t="shared" si="874"/>
        <v>1</v>
      </c>
      <c r="K473" s="17">
        <f t="shared" si="875"/>
        <v>20</v>
      </c>
      <c r="L473" s="18">
        <f t="shared" si="876"/>
        <v>1.0260590881525793</v>
      </c>
      <c r="M473" s="34">
        <f t="shared" si="877"/>
        <v>2.6059088152579291E-2</v>
      </c>
      <c r="N473" s="33">
        <f t="shared" si="878"/>
        <v>2.8664786507410868E-2</v>
      </c>
      <c r="O473" s="33">
        <f t="shared" si="879"/>
        <v>2.8473347698922135E-2</v>
      </c>
      <c r="P473" s="33">
        <f t="shared" si="880"/>
        <v>2.8375169388803179E-2</v>
      </c>
      <c r="Q473" s="33">
        <f t="shared" si="881"/>
        <v>2.8375169388803179E-2</v>
      </c>
      <c r="R473" s="35">
        <f t="shared" si="882"/>
        <v>1.0091953936265781</v>
      </c>
      <c r="S473" s="35">
        <f t="shared" si="883"/>
        <v>1.3758321330627661E-3</v>
      </c>
    </row>
    <row r="474" spans="1:19" ht="15" customHeight="1" x14ac:dyDescent="0.3">
      <c r="A474" s="30">
        <f>Odds_Input!A474</f>
        <v>466</v>
      </c>
      <c r="B474" s="7" t="str">
        <f>Odds_Input!B474</f>
        <v>CLUTCH</v>
      </c>
      <c r="C474" s="7" t="str">
        <f>Odds_Input!C474</f>
        <v>Jamal Murray</v>
      </c>
      <c r="D474" s="7" t="str">
        <f>Odds_Input!D474</f>
        <v>YES</v>
      </c>
      <c r="E474" s="31" t="str">
        <f>Odds_Input!E474</f>
        <v>-</v>
      </c>
      <c r="F474" s="32">
        <f>Odds_Input!F474</f>
        <v>2500</v>
      </c>
      <c r="G474" s="6" t="str">
        <f t="shared" si="871"/>
        <v>CLUTCH</v>
      </c>
      <c r="H474" s="14">
        <f t="shared" si="872"/>
        <v>26</v>
      </c>
      <c r="I474" s="33">
        <f t="shared" si="873"/>
        <v>3.8461538461538464E-2</v>
      </c>
      <c r="J474" s="17">
        <f t="shared" si="874"/>
        <v>1</v>
      </c>
      <c r="K474" s="17">
        <f t="shared" si="875"/>
        <v>20</v>
      </c>
      <c r="L474" s="18">
        <f t="shared" si="876"/>
        <v>1.0260590881525793</v>
      </c>
      <c r="M474" s="34">
        <f t="shared" si="877"/>
        <v>2.6059088152579291E-2</v>
      </c>
      <c r="N474" s="33">
        <f t="shared" si="878"/>
        <v>3.7484720817383445E-2</v>
      </c>
      <c r="O474" s="33">
        <f t="shared" si="879"/>
        <v>3.7326340640840741E-2</v>
      </c>
      <c r="P474" s="33">
        <f t="shared" si="880"/>
        <v>3.7313515865977948E-2</v>
      </c>
      <c r="Q474" s="33">
        <f t="shared" si="881"/>
        <v>3.7313515865977948E-2</v>
      </c>
      <c r="R474" s="35">
        <f t="shared" si="882"/>
        <v>1.0091953936265781</v>
      </c>
      <c r="S474" s="35">
        <f t="shared" si="883"/>
        <v>1.3758321330627661E-3</v>
      </c>
    </row>
    <row r="475" spans="1:19" ht="15" customHeight="1" x14ac:dyDescent="0.3">
      <c r="A475" s="30">
        <f>Odds_Input!A475</f>
        <v>467</v>
      </c>
      <c r="B475" s="7" t="str">
        <f>Odds_Input!B475</f>
        <v>CLUTCH</v>
      </c>
      <c r="C475" s="7" t="str">
        <f>Odds_Input!C475</f>
        <v>Jalen Williams</v>
      </c>
      <c r="D475" s="7" t="str">
        <f>Odds_Input!D475</f>
        <v>YES</v>
      </c>
      <c r="E475" s="31" t="str">
        <f>Odds_Input!E475</f>
        <v>-</v>
      </c>
      <c r="F475" s="32">
        <f>Odds_Input!F475</f>
        <v>7000</v>
      </c>
      <c r="G475" s="6" t="str">
        <f t="shared" si="871"/>
        <v>CLUTCH</v>
      </c>
      <c r="H475" s="14">
        <f t="shared" si="872"/>
        <v>71</v>
      </c>
      <c r="I475" s="33">
        <f t="shared" si="873"/>
        <v>1.4084507042253521E-2</v>
      </c>
      <c r="J475" s="17">
        <f t="shared" si="874"/>
        <v>1</v>
      </c>
      <c r="K475" s="17">
        <f t="shared" si="875"/>
        <v>20</v>
      </c>
      <c r="L475" s="18">
        <f t="shared" si="876"/>
        <v>1.0260590881525793</v>
      </c>
      <c r="M475" s="34">
        <f t="shared" si="877"/>
        <v>2.6059088152579291E-2</v>
      </c>
      <c r="N475" s="33">
        <f t="shared" si="878"/>
        <v>1.3726799172562951E-2</v>
      </c>
      <c r="O475" s="33">
        <f t="shared" si="879"/>
        <v>1.3543116116745569E-2</v>
      </c>
      <c r="P475" s="33">
        <f t="shared" si="880"/>
        <v>1.3242255877572376E-2</v>
      </c>
      <c r="Q475" s="33">
        <f t="shared" si="881"/>
        <v>1.3242255877572376E-2</v>
      </c>
      <c r="R475" s="35">
        <f t="shared" si="882"/>
        <v>1.0091953936265781</v>
      </c>
      <c r="S475" s="35">
        <f t="shared" si="883"/>
        <v>1.3758321330627661E-3</v>
      </c>
    </row>
    <row r="476" spans="1:19" ht="15" customHeight="1" x14ac:dyDescent="0.3">
      <c r="A476" s="30">
        <f>Odds_Input!A476</f>
        <v>468</v>
      </c>
      <c r="B476" s="7" t="str">
        <f>Odds_Input!B476</f>
        <v>CLUTCH</v>
      </c>
      <c r="C476" s="7" t="str">
        <f>Odds_Input!C476</f>
        <v>Giannis Antetokounmpo</v>
      </c>
      <c r="D476" s="7" t="str">
        <f>Odds_Input!D476</f>
        <v>YES</v>
      </c>
      <c r="E476" s="31" t="str">
        <f>Odds_Input!E476</f>
        <v>-</v>
      </c>
      <c r="F476" s="32">
        <f>Odds_Input!F476</f>
        <v>3500</v>
      </c>
      <c r="G476" s="6" t="str">
        <f t="shared" si="871"/>
        <v>CLUTCH</v>
      </c>
      <c r="H476" s="14">
        <f t="shared" si="872"/>
        <v>36</v>
      </c>
      <c r="I476" s="33">
        <f t="shared" si="873"/>
        <v>2.7777777777777776E-2</v>
      </c>
      <c r="J476" s="17">
        <f t="shared" si="874"/>
        <v>1</v>
      </c>
      <c r="K476" s="17">
        <f t="shared" si="875"/>
        <v>20</v>
      </c>
      <c r="L476" s="18">
        <f t="shared" si="876"/>
        <v>1.0260590881525793</v>
      </c>
      <c r="M476" s="34">
        <f t="shared" si="877"/>
        <v>2.6059088152579291E-2</v>
      </c>
      <c r="N476" s="33">
        <f t="shared" si="878"/>
        <v>2.7072298368110263E-2</v>
      </c>
      <c r="O476" s="33">
        <f t="shared" si="879"/>
        <v>2.687736475118473E-2</v>
      </c>
      <c r="P476" s="33">
        <f t="shared" si="880"/>
        <v>2.6761434604211095E-2</v>
      </c>
      <c r="Q476" s="33">
        <f t="shared" si="881"/>
        <v>2.6761434604211095E-2</v>
      </c>
      <c r="R476" s="35">
        <f t="shared" si="882"/>
        <v>1.0091953936265781</v>
      </c>
      <c r="S476" s="35">
        <f t="shared" si="883"/>
        <v>1.3758321330627661E-3</v>
      </c>
    </row>
    <row r="477" spans="1:19" ht="15" customHeight="1" x14ac:dyDescent="0.3">
      <c r="A477" s="30">
        <f>Odds_Input!A477</f>
        <v>469</v>
      </c>
      <c r="B477" s="7" t="str">
        <f>Odds_Input!B477</f>
        <v>CLUTCH</v>
      </c>
      <c r="C477" s="7" t="str">
        <f>Odds_Input!C477</f>
        <v>DeAaron Fox</v>
      </c>
      <c r="D477" s="7" t="str">
        <f>Odds_Input!D477</f>
        <v>YES</v>
      </c>
      <c r="E477" s="31" t="str">
        <f>Odds_Input!E477</f>
        <v>-</v>
      </c>
      <c r="F477" s="32">
        <f>Odds_Input!F477</f>
        <v>5000</v>
      </c>
      <c r="G477" s="6" t="str">
        <f t="shared" si="871"/>
        <v>CLUTCH</v>
      </c>
      <c r="H477" s="14">
        <f t="shared" si="872"/>
        <v>51</v>
      </c>
      <c r="I477" s="33">
        <f t="shared" si="873"/>
        <v>1.9607843137254902E-2</v>
      </c>
      <c r="J477" s="17">
        <f t="shared" si="874"/>
        <v>1</v>
      </c>
      <c r="K477" s="17">
        <f t="shared" si="875"/>
        <v>20</v>
      </c>
      <c r="L477" s="18">
        <f t="shared" si="876"/>
        <v>1.0260590881525793</v>
      </c>
      <c r="M477" s="34">
        <f t="shared" si="877"/>
        <v>2.6059088152579291E-2</v>
      </c>
      <c r="N477" s="33">
        <f t="shared" si="878"/>
        <v>1.9109857671607246E-2</v>
      </c>
      <c r="O477" s="33">
        <f t="shared" si="879"/>
        <v>1.8911590004958175E-2</v>
      </c>
      <c r="P477" s="33">
        <f t="shared" si="880"/>
        <v>1.8693960109788837E-2</v>
      </c>
      <c r="Q477" s="33">
        <f t="shared" si="881"/>
        <v>1.8693960109788837E-2</v>
      </c>
      <c r="R477" s="35">
        <f t="shared" si="882"/>
        <v>1.0091953936265781</v>
      </c>
      <c r="S477" s="35">
        <f t="shared" si="883"/>
        <v>1.3758321330627661E-3</v>
      </c>
    </row>
    <row r="478" spans="1:19" ht="15" customHeight="1" x14ac:dyDescent="0.3">
      <c r="A478" s="30">
        <f>Odds_Input!A478</f>
        <v>470</v>
      </c>
      <c r="B478" s="7" t="str">
        <f>Odds_Input!B478</f>
        <v>CLUTCH</v>
      </c>
      <c r="C478" s="7" t="str">
        <f>Odds_Input!C478</f>
        <v>Trae Young</v>
      </c>
      <c r="D478" s="7" t="str">
        <f>Odds_Input!D478</f>
        <v>YES</v>
      </c>
      <c r="E478" s="31" t="str">
        <f>Odds_Input!E478</f>
        <v>-</v>
      </c>
      <c r="F478" s="32">
        <f>Odds_Input!F478</f>
        <v>4000</v>
      </c>
      <c r="G478" s="6" t="str">
        <f t="shared" si="871"/>
        <v>CLUTCH</v>
      </c>
      <c r="H478" s="14">
        <f t="shared" si="872"/>
        <v>41</v>
      </c>
      <c r="I478" s="33">
        <f t="shared" si="873"/>
        <v>2.4390243902439025E-2</v>
      </c>
      <c r="J478" s="17">
        <f t="shared" si="874"/>
        <v>1</v>
      </c>
      <c r="K478" s="17">
        <f t="shared" si="875"/>
        <v>20</v>
      </c>
      <c r="L478" s="18">
        <f t="shared" si="876"/>
        <v>1.0260590881525793</v>
      </c>
      <c r="M478" s="34">
        <f t="shared" si="877"/>
        <v>2.6059088152579291E-2</v>
      </c>
      <c r="N478" s="33">
        <f t="shared" si="878"/>
        <v>2.3770798567121207E-2</v>
      </c>
      <c r="O478" s="33">
        <f t="shared" si="879"/>
        <v>2.3571431647937471E-2</v>
      </c>
      <c r="P478" s="33">
        <f t="shared" si="880"/>
        <v>2.3416091700831476E-2</v>
      </c>
      <c r="Q478" s="33">
        <f t="shared" si="881"/>
        <v>2.3416091700831476E-2</v>
      </c>
      <c r="R478" s="35">
        <f t="shared" si="882"/>
        <v>1.0091953936265781</v>
      </c>
      <c r="S478" s="35">
        <f t="shared" si="883"/>
        <v>1.3758321330627661E-3</v>
      </c>
    </row>
    <row r="479" spans="1:19" ht="15" customHeight="1" x14ac:dyDescent="0.3">
      <c r="A479" s="30">
        <f>Odds_Input!A479</f>
        <v>471</v>
      </c>
      <c r="B479" s="7" t="str">
        <f>Odds_Input!B479</f>
        <v>CLUTCH</v>
      </c>
      <c r="C479" s="7" t="str">
        <f>Odds_Input!C479</f>
        <v>LeBron James</v>
      </c>
      <c r="D479" s="7" t="str">
        <f>Odds_Input!D479</f>
        <v>YES</v>
      </c>
      <c r="E479" s="31" t="str">
        <f>Odds_Input!E479</f>
        <v>-</v>
      </c>
      <c r="F479" s="32">
        <f>Odds_Input!F479</f>
        <v>5500</v>
      </c>
      <c r="G479" s="6" t="str">
        <f t="shared" si="871"/>
        <v>CLUTCH</v>
      </c>
      <c r="H479" s="14">
        <f t="shared" si="872"/>
        <v>56</v>
      </c>
      <c r="I479" s="33">
        <f t="shared" si="873"/>
        <v>1.7857142857142856E-2</v>
      </c>
      <c r="J479" s="17">
        <f t="shared" si="874"/>
        <v>1</v>
      </c>
      <c r="K479" s="17">
        <f t="shared" si="875"/>
        <v>20</v>
      </c>
      <c r="L479" s="18">
        <f t="shared" si="876"/>
        <v>1.0260590881525793</v>
      </c>
      <c r="M479" s="34">
        <f t="shared" si="877"/>
        <v>2.6059088152579291E-2</v>
      </c>
      <c r="N479" s="33">
        <f t="shared" si="878"/>
        <v>1.7403620379499454E-2</v>
      </c>
      <c r="O479" s="33">
        <f t="shared" si="879"/>
        <v>1.7208249569430952E-2</v>
      </c>
      <c r="P479" s="33">
        <f t="shared" si="880"/>
        <v>1.6965643740092403E-2</v>
      </c>
      <c r="Q479" s="33">
        <f t="shared" si="881"/>
        <v>1.6965643740092403E-2</v>
      </c>
      <c r="R479" s="35">
        <f t="shared" si="882"/>
        <v>1.0091953936265781</v>
      </c>
      <c r="S479" s="35">
        <f t="shared" si="883"/>
        <v>1.3758321330627661E-3</v>
      </c>
    </row>
    <row r="480" spans="1:19" ht="15" customHeight="1" x14ac:dyDescent="0.3">
      <c r="A480" s="30">
        <f>Odds_Input!A480</f>
        <v>472</v>
      </c>
      <c r="B480" s="7" t="str">
        <f>Odds_Input!B480</f>
        <v>CUP_MVP</v>
      </c>
      <c r="C480" s="7" t="str">
        <f>Odds_Input!C480</f>
        <v>Shai Gilgeous Alexander</v>
      </c>
      <c r="D480" s="7" t="str">
        <f>Odds_Input!D480</f>
        <v>YES</v>
      </c>
      <c r="E480" s="31" t="str">
        <f>Odds_Input!E480</f>
        <v>-</v>
      </c>
      <c r="F480" s="32">
        <f>Odds_Input!F480</f>
        <v>350</v>
      </c>
      <c r="G480" s="6" t="str">
        <f t="shared" si="871"/>
        <v>CUP_MVP</v>
      </c>
      <c r="H480" s="14">
        <f t="shared" si="872"/>
        <v>4.5</v>
      </c>
      <c r="I480" s="33">
        <f t="shared" si="873"/>
        <v>0.22222222222222221</v>
      </c>
      <c r="J480" s="17">
        <f t="shared" si="874"/>
        <v>1</v>
      </c>
      <c r="K480" s="17">
        <f t="shared" si="875"/>
        <v>40</v>
      </c>
      <c r="L480" s="18">
        <f t="shared" si="876"/>
        <v>1.3226294635992208</v>
      </c>
      <c r="M480" s="34">
        <f t="shared" si="877"/>
        <v>0.32262946359922084</v>
      </c>
      <c r="N480" s="33">
        <f t="shared" si="878"/>
        <v>0.16801547851315621</v>
      </c>
      <c r="O480" s="33">
        <f t="shared" si="879"/>
        <v>0.19264179705079662</v>
      </c>
      <c r="P480" s="33">
        <f t="shared" si="880"/>
        <v>0.18970064656701055</v>
      </c>
      <c r="Q480" s="33">
        <f t="shared" si="881"/>
        <v>0.18970064656701055</v>
      </c>
      <c r="R480" s="35">
        <f t="shared" si="882"/>
        <v>1.0949721017619596</v>
      </c>
      <c r="S480" s="35">
        <f t="shared" si="883"/>
        <v>8.785373879116147E-3</v>
      </c>
    </row>
    <row r="481" spans="1:19" ht="15" customHeight="1" x14ac:dyDescent="0.3">
      <c r="A481" s="30">
        <f>Odds_Input!A481</f>
        <v>473</v>
      </c>
      <c r="B481" s="7" t="str">
        <f>Odds_Input!B481</f>
        <v>CUP_MVP</v>
      </c>
      <c r="C481" s="7" t="str">
        <f>Odds_Input!C481</f>
        <v>Victor Wembanyama</v>
      </c>
      <c r="D481" s="7" t="str">
        <f>Odds_Input!D481</f>
        <v>YES</v>
      </c>
      <c r="E481" s="31" t="str">
        <f>Odds_Input!E481</f>
        <v>-</v>
      </c>
      <c r="F481" s="32">
        <f>Odds_Input!F481</f>
        <v>500</v>
      </c>
      <c r="G481" s="6" t="str">
        <f t="shared" si="871"/>
        <v>CUP_MVP</v>
      </c>
      <c r="H481" s="14">
        <f t="shared" si="872"/>
        <v>6</v>
      </c>
      <c r="I481" s="33">
        <f t="shared" si="873"/>
        <v>0.16666666666666666</v>
      </c>
      <c r="J481" s="17">
        <f t="shared" si="874"/>
        <v>1</v>
      </c>
      <c r="K481" s="17">
        <f t="shared" si="875"/>
        <v>40</v>
      </c>
      <c r="L481" s="18">
        <f t="shared" si="876"/>
        <v>1.3226294635992208</v>
      </c>
      <c r="M481" s="34">
        <f t="shared" si="877"/>
        <v>0.32262946359922084</v>
      </c>
      <c r="N481" s="33">
        <f t="shared" si="878"/>
        <v>0.12601160888486715</v>
      </c>
      <c r="O481" s="33">
        <f t="shared" si="879"/>
        <v>0.14058729985688984</v>
      </c>
      <c r="P481" s="33">
        <f t="shared" si="880"/>
        <v>0.14119708310135354</v>
      </c>
      <c r="Q481" s="33">
        <f t="shared" si="881"/>
        <v>0.14119708310135354</v>
      </c>
      <c r="R481" s="35">
        <f t="shared" si="882"/>
        <v>1.0949721017619596</v>
      </c>
      <c r="S481" s="35">
        <f t="shared" si="883"/>
        <v>8.785373879116147E-3</v>
      </c>
    </row>
    <row r="482" spans="1:19" ht="15" customHeight="1" x14ac:dyDescent="0.3">
      <c r="A482" s="30">
        <f>Odds_Input!A482</f>
        <v>474</v>
      </c>
      <c r="B482" s="7" t="str">
        <f>Odds_Input!B482</f>
        <v>CUP_MVP</v>
      </c>
      <c r="C482" s="7" t="str">
        <f>Odds_Input!C482</f>
        <v>Jayson Tatum</v>
      </c>
      <c r="D482" s="7" t="str">
        <f>Odds_Input!D482</f>
        <v>YES</v>
      </c>
      <c r="E482" s="31" t="str">
        <f>Odds_Input!E482</f>
        <v>-</v>
      </c>
      <c r="F482" s="32">
        <f>Odds_Input!F482</f>
        <v>1400</v>
      </c>
      <c r="G482" s="6" t="str">
        <f t="shared" si="871"/>
        <v>CUP_MVP</v>
      </c>
      <c r="H482" s="14">
        <f t="shared" si="872"/>
        <v>15</v>
      </c>
      <c r="I482" s="33">
        <f t="shared" si="873"/>
        <v>6.6666666666666666E-2</v>
      </c>
      <c r="J482" s="17">
        <f t="shared" si="874"/>
        <v>1</v>
      </c>
      <c r="K482" s="17">
        <f t="shared" si="875"/>
        <v>40</v>
      </c>
      <c r="L482" s="18">
        <f t="shared" si="876"/>
        <v>1.3226294635992208</v>
      </c>
      <c r="M482" s="34">
        <f t="shared" si="877"/>
        <v>0.32262946359922084</v>
      </c>
      <c r="N482" s="33">
        <f t="shared" si="878"/>
        <v>5.0404643553946867E-2</v>
      </c>
      <c r="O482" s="33">
        <f t="shared" si="879"/>
        <v>5.1548126095748506E-2</v>
      </c>
      <c r="P482" s="33">
        <f t="shared" si="880"/>
        <v>5.3961290679932106E-2</v>
      </c>
      <c r="Q482" s="33">
        <f t="shared" si="881"/>
        <v>5.3961290679932106E-2</v>
      </c>
      <c r="R482" s="35">
        <f t="shared" si="882"/>
        <v>1.0949721017619596</v>
      </c>
      <c r="S482" s="35">
        <f t="shared" si="883"/>
        <v>8.785373879116147E-3</v>
      </c>
    </row>
    <row r="483" spans="1:19" ht="15" customHeight="1" x14ac:dyDescent="0.3">
      <c r="A483" s="30">
        <f>Odds_Input!A483</f>
        <v>475</v>
      </c>
      <c r="B483" s="7" t="str">
        <f>Odds_Input!B483</f>
        <v>CUP_MVP</v>
      </c>
      <c r="C483" s="7" t="str">
        <f>Odds_Input!C483</f>
        <v>Cade Cunningham</v>
      </c>
      <c r="D483" s="7" t="str">
        <f>Odds_Input!D483</f>
        <v>YES</v>
      </c>
      <c r="E483" s="31" t="str">
        <f>Odds_Input!E483</f>
        <v>-</v>
      </c>
      <c r="F483" s="32">
        <f>Odds_Input!F483</f>
        <v>1600</v>
      </c>
      <c r="G483" s="6" t="str">
        <f t="shared" si="871"/>
        <v>CUP_MVP</v>
      </c>
      <c r="H483" s="14">
        <f t="shared" si="872"/>
        <v>17</v>
      </c>
      <c r="I483" s="33">
        <f t="shared" si="873"/>
        <v>5.8823529411764705E-2</v>
      </c>
      <c r="J483" s="17">
        <f t="shared" si="874"/>
        <v>1</v>
      </c>
      <c r="K483" s="17">
        <f t="shared" si="875"/>
        <v>40</v>
      </c>
      <c r="L483" s="18">
        <f t="shared" si="876"/>
        <v>1.3226294635992208</v>
      </c>
      <c r="M483" s="34">
        <f t="shared" si="877"/>
        <v>0.32262946359922084</v>
      </c>
      <c r="N483" s="33">
        <f t="shared" si="878"/>
        <v>4.4474685488776644E-2</v>
      </c>
      <c r="O483" s="33">
        <f t="shared" si="879"/>
        <v>4.4946177074422847E-2</v>
      </c>
      <c r="P483" s="33">
        <f t="shared" si="880"/>
        <v>4.7133725220903276E-2</v>
      </c>
      <c r="Q483" s="33">
        <f t="shared" si="881"/>
        <v>4.7133725220903276E-2</v>
      </c>
      <c r="R483" s="35">
        <f t="shared" si="882"/>
        <v>1.0949721017619596</v>
      </c>
      <c r="S483" s="35">
        <f t="shared" si="883"/>
        <v>8.785373879116147E-3</v>
      </c>
    </row>
    <row r="484" spans="1:19" ht="15" customHeight="1" x14ac:dyDescent="0.3">
      <c r="A484" s="30">
        <f>Odds_Input!A484</f>
        <v>476</v>
      </c>
      <c r="B484" s="7" t="str">
        <f>Odds_Input!B484</f>
        <v>CUP_MVP</v>
      </c>
      <c r="C484" s="7" t="str">
        <f>Odds_Input!C484</f>
        <v>Chet Holmgren</v>
      </c>
      <c r="D484" s="7" t="str">
        <f>Odds_Input!D484</f>
        <v>YES</v>
      </c>
      <c r="E484" s="31" t="str">
        <f>Odds_Input!E484</f>
        <v>-</v>
      </c>
      <c r="F484" s="32">
        <f>Odds_Input!F484</f>
        <v>2000</v>
      </c>
      <c r="G484" s="6" t="str">
        <f t="shared" si="871"/>
        <v>CUP_MVP</v>
      </c>
      <c r="H484" s="14">
        <f t="shared" si="872"/>
        <v>21</v>
      </c>
      <c r="I484" s="33">
        <f t="shared" si="873"/>
        <v>4.7619047619047616E-2</v>
      </c>
      <c r="J484" s="17">
        <f t="shared" si="874"/>
        <v>1</v>
      </c>
      <c r="K484" s="17">
        <f t="shared" si="875"/>
        <v>40</v>
      </c>
      <c r="L484" s="18">
        <f t="shared" si="876"/>
        <v>1.3226294635992208</v>
      </c>
      <c r="M484" s="34">
        <f t="shared" si="877"/>
        <v>0.32262946359922084</v>
      </c>
      <c r="N484" s="33">
        <f t="shared" si="878"/>
        <v>3.6003316824247761E-2</v>
      </c>
      <c r="O484" s="33">
        <f t="shared" si="879"/>
        <v>3.5662087385373936E-2</v>
      </c>
      <c r="P484" s="33">
        <f t="shared" si="880"/>
        <v>3.739275581733096E-2</v>
      </c>
      <c r="Q484" s="33">
        <f t="shared" si="881"/>
        <v>3.739275581733096E-2</v>
      </c>
      <c r="R484" s="35">
        <f t="shared" si="882"/>
        <v>1.0949721017619596</v>
      </c>
      <c r="S484" s="35">
        <f t="shared" si="883"/>
        <v>8.785373879116147E-3</v>
      </c>
    </row>
    <row r="485" spans="1:19" ht="15" customHeight="1" x14ac:dyDescent="0.3">
      <c r="A485" s="30">
        <f>Odds_Input!A485</f>
        <v>477</v>
      </c>
      <c r="B485" s="7" t="str">
        <f>Odds_Input!B485</f>
        <v>CUP_MVP</v>
      </c>
      <c r="C485" s="7" t="str">
        <f>Odds_Input!C485</f>
        <v>Jalen Williams</v>
      </c>
      <c r="D485" s="7" t="str">
        <f>Odds_Input!D485</f>
        <v>YES</v>
      </c>
      <c r="E485" s="31" t="str">
        <f>Odds_Input!E485</f>
        <v>-</v>
      </c>
      <c r="F485" s="32">
        <f>Odds_Input!F485</f>
        <v>2000</v>
      </c>
      <c r="G485" s="6" t="str">
        <f t="shared" si="871"/>
        <v>CUP_MVP</v>
      </c>
      <c r="H485" s="14">
        <f t="shared" si="872"/>
        <v>21</v>
      </c>
      <c r="I485" s="33">
        <f t="shared" si="873"/>
        <v>4.7619047619047616E-2</v>
      </c>
      <c r="J485" s="17">
        <f t="shared" si="874"/>
        <v>1</v>
      </c>
      <c r="K485" s="17">
        <f t="shared" si="875"/>
        <v>40</v>
      </c>
      <c r="L485" s="18">
        <f t="shared" si="876"/>
        <v>1.3226294635992208</v>
      </c>
      <c r="M485" s="34">
        <f t="shared" si="877"/>
        <v>0.32262946359922084</v>
      </c>
      <c r="N485" s="33">
        <f t="shared" si="878"/>
        <v>3.6003316824247761E-2</v>
      </c>
      <c r="O485" s="33">
        <f t="shared" si="879"/>
        <v>3.5662087385373936E-2</v>
      </c>
      <c r="P485" s="33">
        <f t="shared" si="880"/>
        <v>3.739275581733096E-2</v>
      </c>
      <c r="Q485" s="33">
        <f t="shared" si="881"/>
        <v>3.739275581733096E-2</v>
      </c>
      <c r="R485" s="35">
        <f t="shared" si="882"/>
        <v>1.0949721017619596</v>
      </c>
      <c r="S485" s="35">
        <f t="shared" si="883"/>
        <v>8.785373879116147E-3</v>
      </c>
    </row>
    <row r="486" spans="1:19" ht="15" customHeight="1" x14ac:dyDescent="0.3">
      <c r="A486" s="30">
        <f>Odds_Input!A486</f>
        <v>478</v>
      </c>
      <c r="B486" s="7" t="str">
        <f>Odds_Input!B486</f>
        <v>CUP_MVP</v>
      </c>
      <c r="C486" s="7" t="str">
        <f>Odds_Input!C486</f>
        <v>Jalen Brunson</v>
      </c>
      <c r="D486" s="7" t="str">
        <f>Odds_Input!D486</f>
        <v>YES</v>
      </c>
      <c r="E486" s="31" t="str">
        <f>Odds_Input!E486</f>
        <v>-</v>
      </c>
      <c r="F486" s="32">
        <f>Odds_Input!F486</f>
        <v>1800</v>
      </c>
      <c r="G486" s="6" t="str">
        <f t="shared" si="871"/>
        <v>CUP_MVP</v>
      </c>
      <c r="H486" s="14">
        <f t="shared" si="872"/>
        <v>19</v>
      </c>
      <c r="I486" s="33">
        <f t="shared" si="873"/>
        <v>5.2631578947368418E-2</v>
      </c>
      <c r="J486" s="17">
        <f t="shared" si="874"/>
        <v>1</v>
      </c>
      <c r="K486" s="17">
        <f t="shared" si="875"/>
        <v>40</v>
      </c>
      <c r="L486" s="18">
        <f t="shared" si="876"/>
        <v>1.3226294635992208</v>
      </c>
      <c r="M486" s="34">
        <f t="shared" si="877"/>
        <v>0.32262946359922084</v>
      </c>
      <c r="N486" s="33">
        <f t="shared" si="878"/>
        <v>3.9793139647852784E-2</v>
      </c>
      <c r="O486" s="33">
        <f t="shared" si="879"/>
        <v>3.9792431920365176E-2</v>
      </c>
      <c r="P486" s="33">
        <f t="shared" si="880"/>
        <v>4.1748223564223648E-2</v>
      </c>
      <c r="Q486" s="33">
        <f t="shared" si="881"/>
        <v>4.1748223564223648E-2</v>
      </c>
      <c r="R486" s="35">
        <f t="shared" si="882"/>
        <v>1.0949721017619596</v>
      </c>
      <c r="S486" s="35">
        <f t="shared" si="883"/>
        <v>8.785373879116147E-3</v>
      </c>
    </row>
    <row r="487" spans="1:19" ht="15" customHeight="1" x14ac:dyDescent="0.3">
      <c r="A487" s="30">
        <f>Odds_Input!A487</f>
        <v>479</v>
      </c>
      <c r="B487" s="7" t="str">
        <f>Odds_Input!B487</f>
        <v>CUP_MVP</v>
      </c>
      <c r="C487" s="7" t="str">
        <f>Odds_Input!C487</f>
        <v>Nikola Jokic</v>
      </c>
      <c r="D487" s="7" t="str">
        <f>Odds_Input!D487</f>
        <v>YES</v>
      </c>
      <c r="E487" s="31" t="str">
        <f>Odds_Input!E487</f>
        <v>-</v>
      </c>
      <c r="F487" s="32">
        <f>Odds_Input!F487</f>
        <v>2200</v>
      </c>
      <c r="G487" s="6" t="str">
        <f t="shared" si="871"/>
        <v>CUP_MVP</v>
      </c>
      <c r="H487" s="14">
        <f t="shared" si="872"/>
        <v>23</v>
      </c>
      <c r="I487" s="33">
        <f t="shared" si="873"/>
        <v>4.3478260869565216E-2</v>
      </c>
      <c r="J487" s="17">
        <f t="shared" si="874"/>
        <v>1</v>
      </c>
      <c r="K487" s="17">
        <f t="shared" si="875"/>
        <v>40</v>
      </c>
      <c r="L487" s="18">
        <f t="shared" si="876"/>
        <v>1.3226294635992208</v>
      </c>
      <c r="M487" s="34">
        <f t="shared" si="877"/>
        <v>0.32262946359922084</v>
      </c>
      <c r="N487" s="33">
        <f t="shared" si="878"/>
        <v>3.2872593622139262E-2</v>
      </c>
      <c r="O487" s="33">
        <f t="shared" si="879"/>
        <v>3.2280927866491123E-2</v>
      </c>
      <c r="P487" s="33">
        <f t="shared" si="880"/>
        <v>3.379860570686264E-2</v>
      </c>
      <c r="Q487" s="33">
        <f t="shared" si="881"/>
        <v>3.379860570686264E-2</v>
      </c>
      <c r="R487" s="35">
        <f t="shared" si="882"/>
        <v>1.0949721017619596</v>
      </c>
      <c r="S487" s="35">
        <f t="shared" si="883"/>
        <v>8.785373879116147E-3</v>
      </c>
    </row>
    <row r="488" spans="1:19" ht="15" customHeight="1" x14ac:dyDescent="0.3">
      <c r="A488" s="30">
        <f>Odds_Input!A488</f>
        <v>480</v>
      </c>
      <c r="B488" s="7" t="str">
        <f>Odds_Input!B488</f>
        <v>CUP_MVP</v>
      </c>
      <c r="C488" s="7" t="str">
        <f>Odds_Input!C488</f>
        <v>Luka Doncic</v>
      </c>
      <c r="D488" s="7" t="str">
        <f>Odds_Input!D488</f>
        <v>YES</v>
      </c>
      <c r="E488" s="31" t="str">
        <f>Odds_Input!E488</f>
        <v>-</v>
      </c>
      <c r="F488" s="32">
        <f>Odds_Input!F488</f>
        <v>3000</v>
      </c>
      <c r="G488" s="6" t="str">
        <f t="shared" si="871"/>
        <v>CUP_MVP</v>
      </c>
      <c r="H488" s="14">
        <f t="shared" si="872"/>
        <v>31</v>
      </c>
      <c r="I488" s="33">
        <f t="shared" si="873"/>
        <v>3.2258064516129031E-2</v>
      </c>
      <c r="J488" s="17">
        <f t="shared" si="874"/>
        <v>1</v>
      </c>
      <c r="K488" s="17">
        <f t="shared" si="875"/>
        <v>40</v>
      </c>
      <c r="L488" s="18">
        <f t="shared" si="876"/>
        <v>1.3226294635992208</v>
      </c>
      <c r="M488" s="34">
        <f t="shared" si="877"/>
        <v>0.32262946359922084</v>
      </c>
      <c r="N488" s="33">
        <f t="shared" si="878"/>
        <v>2.4389343655135579E-2</v>
      </c>
      <c r="O488" s="33">
        <f t="shared" si="879"/>
        <v>2.3280942146698801E-2</v>
      </c>
      <c r="P488" s="33">
        <f t="shared" si="880"/>
        <v>2.4087942409441614E-2</v>
      </c>
      <c r="Q488" s="33">
        <f t="shared" si="881"/>
        <v>2.4087942409441614E-2</v>
      </c>
      <c r="R488" s="35">
        <f t="shared" si="882"/>
        <v>1.0949721017619596</v>
      </c>
      <c r="S488" s="35">
        <f t="shared" si="883"/>
        <v>8.785373879116147E-3</v>
      </c>
    </row>
    <row r="489" spans="1:19" ht="15" customHeight="1" x14ac:dyDescent="0.3">
      <c r="A489" s="30">
        <f>Odds_Input!A489</f>
        <v>481</v>
      </c>
      <c r="B489" s="7" t="str">
        <f>Odds_Input!B489</f>
        <v>CUP_MVP</v>
      </c>
      <c r="C489" s="7" t="str">
        <f>Odds_Input!C489</f>
        <v>Kawhi Leonard</v>
      </c>
      <c r="D489" s="7" t="str">
        <f>Odds_Input!D489</f>
        <v>YES</v>
      </c>
      <c r="E489" s="31" t="str">
        <f>Odds_Input!E489</f>
        <v>-</v>
      </c>
      <c r="F489" s="32">
        <f>Odds_Input!F489</f>
        <v>2500</v>
      </c>
      <c r="G489" s="6" t="str">
        <f t="shared" si="871"/>
        <v>CUP_MVP</v>
      </c>
      <c r="H489" s="14">
        <f t="shared" si="872"/>
        <v>26</v>
      </c>
      <c r="I489" s="33">
        <f t="shared" si="873"/>
        <v>3.8461538461538464E-2</v>
      </c>
      <c r="J489" s="17">
        <f t="shared" si="874"/>
        <v>1</v>
      </c>
      <c r="K489" s="17">
        <f t="shared" si="875"/>
        <v>40</v>
      </c>
      <c r="L489" s="18">
        <f t="shared" si="876"/>
        <v>1.3226294635992208</v>
      </c>
      <c r="M489" s="34">
        <f t="shared" si="877"/>
        <v>0.32262946359922084</v>
      </c>
      <c r="N489" s="33">
        <f t="shared" si="878"/>
        <v>2.9079602050353964E-2</v>
      </c>
      <c r="O489" s="33">
        <f t="shared" si="879"/>
        <v>2.8225630975958586E-2</v>
      </c>
      <c r="P489" s="33">
        <f t="shared" si="880"/>
        <v>2.9450506915241547E-2</v>
      </c>
      <c r="Q489" s="33">
        <f t="shared" si="881"/>
        <v>2.9450506915241547E-2</v>
      </c>
      <c r="R489" s="35">
        <f t="shared" si="882"/>
        <v>1.0949721017619596</v>
      </c>
      <c r="S489" s="35">
        <f t="shared" si="883"/>
        <v>8.785373879116147E-3</v>
      </c>
    </row>
    <row r="490" spans="1:19" ht="15" customHeight="1" x14ac:dyDescent="0.3">
      <c r="A490" s="30">
        <f>Odds_Input!A490</f>
        <v>482</v>
      </c>
      <c r="B490" s="7" t="str">
        <f>Odds_Input!B490</f>
        <v>CUP_MVP</v>
      </c>
      <c r="C490" s="7" t="str">
        <f>Odds_Input!C490</f>
        <v>Anthony Edwards</v>
      </c>
      <c r="D490" s="7" t="str">
        <f>Odds_Input!D490</f>
        <v>YES</v>
      </c>
      <c r="E490" s="31" t="str">
        <f>Odds_Input!E490</f>
        <v>-</v>
      </c>
      <c r="F490" s="32">
        <f>Odds_Input!F490</f>
        <v>3000</v>
      </c>
      <c r="G490" s="6" t="str">
        <f t="shared" si="871"/>
        <v>CUP_MVP</v>
      </c>
      <c r="H490" s="14">
        <f t="shared" si="872"/>
        <v>31</v>
      </c>
      <c r="I490" s="33">
        <f t="shared" si="873"/>
        <v>3.2258064516129031E-2</v>
      </c>
      <c r="J490" s="17">
        <f t="shared" si="874"/>
        <v>1</v>
      </c>
      <c r="K490" s="17">
        <f t="shared" si="875"/>
        <v>40</v>
      </c>
      <c r="L490" s="18">
        <f t="shared" si="876"/>
        <v>1.3226294635992208</v>
      </c>
      <c r="M490" s="34">
        <f t="shared" si="877"/>
        <v>0.32262946359922084</v>
      </c>
      <c r="N490" s="33">
        <f t="shared" si="878"/>
        <v>2.4389343655135579E-2</v>
      </c>
      <c r="O490" s="33">
        <f t="shared" si="879"/>
        <v>2.3280942146698801E-2</v>
      </c>
      <c r="P490" s="33">
        <f t="shared" si="880"/>
        <v>2.4087942409441614E-2</v>
      </c>
      <c r="Q490" s="33">
        <f t="shared" si="881"/>
        <v>2.4087942409441614E-2</v>
      </c>
      <c r="R490" s="35">
        <f t="shared" si="882"/>
        <v>1.0949721017619596</v>
      </c>
      <c r="S490" s="35">
        <f t="shared" si="883"/>
        <v>8.785373879116147E-3</v>
      </c>
    </row>
    <row r="491" spans="1:19" ht="15" customHeight="1" x14ac:dyDescent="0.3">
      <c r="A491" s="30">
        <f>Odds_Input!A491</f>
        <v>483</v>
      </c>
      <c r="B491" s="7" t="str">
        <f>Odds_Input!B491</f>
        <v>CUP_MVP</v>
      </c>
      <c r="C491" s="7" t="str">
        <f>Odds_Input!C491</f>
        <v>Stephon Castle</v>
      </c>
      <c r="D491" s="7" t="str">
        <f>Odds_Input!D491</f>
        <v>YES</v>
      </c>
      <c r="E491" s="31" t="str">
        <f>Odds_Input!E491</f>
        <v>-</v>
      </c>
      <c r="F491" s="32">
        <f>Odds_Input!F491</f>
        <v>4000</v>
      </c>
      <c r="G491" s="6" t="str">
        <f t="shared" si="871"/>
        <v>CUP_MVP</v>
      </c>
      <c r="H491" s="14">
        <f t="shared" si="872"/>
        <v>41</v>
      </c>
      <c r="I491" s="33">
        <f t="shared" si="873"/>
        <v>2.4390243902439025E-2</v>
      </c>
      <c r="J491" s="17">
        <f t="shared" si="874"/>
        <v>1</v>
      </c>
      <c r="K491" s="17">
        <f t="shared" si="875"/>
        <v>40</v>
      </c>
      <c r="L491" s="18">
        <f t="shared" si="876"/>
        <v>1.3226294635992208</v>
      </c>
      <c r="M491" s="34">
        <f t="shared" si="877"/>
        <v>0.32262946359922084</v>
      </c>
      <c r="N491" s="33">
        <f t="shared" si="878"/>
        <v>1.8440723251443976E-2</v>
      </c>
      <c r="O491" s="33">
        <f t="shared" si="879"/>
        <v>1.7141415049202552E-2</v>
      </c>
      <c r="P491" s="33">
        <f t="shared" si="880"/>
        <v>1.7326124216072127E-2</v>
      </c>
      <c r="Q491" s="33">
        <f t="shared" si="881"/>
        <v>1.7326124216072127E-2</v>
      </c>
      <c r="R491" s="35">
        <f t="shared" si="882"/>
        <v>1.0949721017619596</v>
      </c>
      <c r="S491" s="35">
        <f t="shared" si="883"/>
        <v>8.785373879116147E-3</v>
      </c>
    </row>
    <row r="492" spans="1:19" ht="15" customHeight="1" x14ac:dyDescent="0.3">
      <c r="A492" s="30">
        <f>Odds_Input!A492</f>
        <v>484</v>
      </c>
      <c r="B492" s="7" t="str">
        <f>Odds_Input!B492</f>
        <v>CUP_MVP</v>
      </c>
      <c r="C492" s="7" t="str">
        <f>Odds_Input!C492</f>
        <v>Tyrese Maxey</v>
      </c>
      <c r="D492" s="7" t="str">
        <f>Odds_Input!D492</f>
        <v>YES</v>
      </c>
      <c r="E492" s="31" t="str">
        <f>Odds_Input!E492</f>
        <v>-</v>
      </c>
      <c r="F492" s="32">
        <f>Odds_Input!F492</f>
        <v>4000</v>
      </c>
      <c r="G492" s="6" t="str">
        <f t="shared" si="871"/>
        <v>CUP_MVP</v>
      </c>
      <c r="H492" s="14">
        <f t="shared" si="872"/>
        <v>41</v>
      </c>
      <c r="I492" s="33">
        <f t="shared" si="873"/>
        <v>2.4390243902439025E-2</v>
      </c>
      <c r="J492" s="17">
        <f t="shared" si="874"/>
        <v>1</v>
      </c>
      <c r="K492" s="17">
        <f t="shared" si="875"/>
        <v>40</v>
      </c>
      <c r="L492" s="18">
        <f t="shared" si="876"/>
        <v>1.3226294635992208</v>
      </c>
      <c r="M492" s="34">
        <f t="shared" si="877"/>
        <v>0.32262946359922084</v>
      </c>
      <c r="N492" s="33">
        <f t="shared" si="878"/>
        <v>1.8440723251443976E-2</v>
      </c>
      <c r="O492" s="33">
        <f t="shared" si="879"/>
        <v>1.7141415049202552E-2</v>
      </c>
      <c r="P492" s="33">
        <f t="shared" si="880"/>
        <v>1.7326124216072127E-2</v>
      </c>
      <c r="Q492" s="33">
        <f t="shared" si="881"/>
        <v>1.7326124216072127E-2</v>
      </c>
      <c r="R492" s="35">
        <f t="shared" si="882"/>
        <v>1.0949721017619596</v>
      </c>
      <c r="S492" s="35">
        <f t="shared" si="883"/>
        <v>8.785373879116147E-3</v>
      </c>
    </row>
    <row r="493" spans="1:19" ht="15" customHeight="1" x14ac:dyDescent="0.3">
      <c r="A493" s="30">
        <f>Odds_Input!A493</f>
        <v>485</v>
      </c>
      <c r="B493" s="7" t="str">
        <f>Odds_Input!B493</f>
        <v>CUP_MVP</v>
      </c>
      <c r="C493" s="7" t="str">
        <f>Odds_Input!C493</f>
        <v>Paolo Banchero</v>
      </c>
      <c r="D493" s="7" t="str">
        <f>Odds_Input!D493</f>
        <v>YES</v>
      </c>
      <c r="E493" s="31" t="str">
        <f>Odds_Input!E493</f>
        <v>-</v>
      </c>
      <c r="F493" s="32">
        <f>Odds_Input!F493</f>
        <v>4000</v>
      </c>
      <c r="G493" s="6" t="str">
        <f t="shared" si="871"/>
        <v>CUP_MVP</v>
      </c>
      <c r="H493" s="14">
        <f t="shared" si="872"/>
        <v>41</v>
      </c>
      <c r="I493" s="33">
        <f t="shared" si="873"/>
        <v>2.4390243902439025E-2</v>
      </c>
      <c r="J493" s="17">
        <f t="shared" si="874"/>
        <v>1</v>
      </c>
      <c r="K493" s="17">
        <f t="shared" si="875"/>
        <v>40</v>
      </c>
      <c r="L493" s="18">
        <f t="shared" si="876"/>
        <v>1.3226294635992208</v>
      </c>
      <c r="M493" s="34">
        <f t="shared" si="877"/>
        <v>0.32262946359922084</v>
      </c>
      <c r="N493" s="33">
        <f t="shared" si="878"/>
        <v>1.8440723251443976E-2</v>
      </c>
      <c r="O493" s="33">
        <f t="shared" si="879"/>
        <v>1.7141415049202552E-2</v>
      </c>
      <c r="P493" s="33">
        <f t="shared" si="880"/>
        <v>1.7326124216072127E-2</v>
      </c>
      <c r="Q493" s="33">
        <f t="shared" si="881"/>
        <v>1.7326124216072127E-2</v>
      </c>
      <c r="R493" s="35">
        <f t="shared" si="882"/>
        <v>1.0949721017619596</v>
      </c>
      <c r="S493" s="35">
        <f t="shared" si="883"/>
        <v>8.785373879116147E-3</v>
      </c>
    </row>
    <row r="494" spans="1:19" ht="15" customHeight="1" x14ac:dyDescent="0.3">
      <c r="A494" s="30">
        <f>Odds_Input!A494</f>
        <v>486</v>
      </c>
      <c r="B494" s="7" t="str">
        <f>Odds_Input!B494</f>
        <v>CUP_MVP</v>
      </c>
      <c r="C494" s="7" t="str">
        <f>Odds_Input!C494</f>
        <v>Jaylen Brown</v>
      </c>
      <c r="D494" s="7" t="str">
        <f>Odds_Input!D494</f>
        <v>YES</v>
      </c>
      <c r="E494" s="31" t="str">
        <f>Odds_Input!E494</f>
        <v>-</v>
      </c>
      <c r="F494" s="32">
        <f>Odds_Input!F494</f>
        <v>4000</v>
      </c>
      <c r="G494" s="6" t="str">
        <f t="shared" si="871"/>
        <v>CUP_MVP</v>
      </c>
      <c r="H494" s="14">
        <f t="shared" si="872"/>
        <v>41</v>
      </c>
      <c r="I494" s="33">
        <f t="shared" si="873"/>
        <v>2.4390243902439025E-2</v>
      </c>
      <c r="J494" s="17">
        <f t="shared" si="874"/>
        <v>1</v>
      </c>
      <c r="K494" s="17">
        <f t="shared" si="875"/>
        <v>40</v>
      </c>
      <c r="L494" s="18">
        <f t="shared" si="876"/>
        <v>1.3226294635992208</v>
      </c>
      <c r="M494" s="34">
        <f t="shared" si="877"/>
        <v>0.32262946359922084</v>
      </c>
      <c r="N494" s="33">
        <f t="shared" si="878"/>
        <v>1.8440723251443976E-2</v>
      </c>
      <c r="O494" s="33">
        <f t="shared" si="879"/>
        <v>1.7141415049202552E-2</v>
      </c>
      <c r="P494" s="33">
        <f t="shared" si="880"/>
        <v>1.7326124216072127E-2</v>
      </c>
      <c r="Q494" s="33">
        <f t="shared" si="881"/>
        <v>1.7326124216072127E-2</v>
      </c>
      <c r="R494" s="35">
        <f t="shared" si="882"/>
        <v>1.0949721017619596</v>
      </c>
      <c r="S494" s="35">
        <f t="shared" si="883"/>
        <v>8.785373879116147E-3</v>
      </c>
    </row>
    <row r="495" spans="1:19" ht="15" customHeight="1" x14ac:dyDescent="0.3">
      <c r="A495" s="30">
        <f>Odds_Input!A495</f>
        <v>487</v>
      </c>
      <c r="B495" s="7" t="str">
        <f>Odds_Input!B495</f>
        <v>CUP_MVP</v>
      </c>
      <c r="C495" s="7" t="str">
        <f>Odds_Input!C495</f>
        <v>Giannis Antetokounmpo</v>
      </c>
      <c r="D495" s="7" t="str">
        <f>Odds_Input!D495</f>
        <v>YES</v>
      </c>
      <c r="E495" s="31" t="str">
        <f>Odds_Input!E495</f>
        <v>-</v>
      </c>
      <c r="F495" s="32">
        <f>Odds_Input!F495</f>
        <v>3500</v>
      </c>
      <c r="G495" s="6" t="str">
        <f t="shared" si="871"/>
        <v>CUP_MVP</v>
      </c>
      <c r="H495" s="14">
        <f t="shared" si="872"/>
        <v>36</v>
      </c>
      <c r="I495" s="33">
        <f t="shared" si="873"/>
        <v>2.7777777777777776E-2</v>
      </c>
      <c r="J495" s="17">
        <f t="shared" si="874"/>
        <v>1</v>
      </c>
      <c r="K495" s="17">
        <f t="shared" si="875"/>
        <v>40</v>
      </c>
      <c r="L495" s="18">
        <f t="shared" si="876"/>
        <v>1.3226294635992208</v>
      </c>
      <c r="M495" s="34">
        <f t="shared" si="877"/>
        <v>0.32262946359922084</v>
      </c>
      <c r="N495" s="33">
        <f t="shared" si="878"/>
        <v>2.1001934814144526E-2</v>
      </c>
      <c r="O495" s="33">
        <f t="shared" si="879"/>
        <v>1.976478888105106E-2</v>
      </c>
      <c r="P495" s="33">
        <f t="shared" si="880"/>
        <v>2.0230030769796879E-2</v>
      </c>
      <c r="Q495" s="33">
        <f t="shared" si="881"/>
        <v>2.0230030769796879E-2</v>
      </c>
      <c r="R495" s="35">
        <f t="shared" si="882"/>
        <v>1.0949721017619596</v>
      </c>
      <c r="S495" s="35">
        <f t="shared" si="883"/>
        <v>8.785373879116147E-3</v>
      </c>
    </row>
    <row r="496" spans="1:19" ht="15" customHeight="1" x14ac:dyDescent="0.3">
      <c r="A496" s="30">
        <f>Odds_Input!A496</f>
        <v>488</v>
      </c>
      <c r="B496" s="7" t="str">
        <f>Odds_Input!B496</f>
        <v>CUP_MVP</v>
      </c>
      <c r="C496" s="7" t="str">
        <f>Odds_Input!C496</f>
        <v>LaMelo Ball</v>
      </c>
      <c r="D496" s="7" t="str">
        <f>Odds_Input!D496</f>
        <v>YES</v>
      </c>
      <c r="E496" s="31" t="str">
        <f>Odds_Input!E496</f>
        <v>-</v>
      </c>
      <c r="F496" s="32">
        <f>Odds_Input!F496</f>
        <v>5000</v>
      </c>
      <c r="G496" s="6" t="str">
        <f t="shared" si="871"/>
        <v>CUP_MVP</v>
      </c>
      <c r="H496" s="14">
        <f t="shared" si="872"/>
        <v>51</v>
      </c>
      <c r="I496" s="33">
        <f t="shared" si="873"/>
        <v>1.9607843137254902E-2</v>
      </c>
      <c r="J496" s="17">
        <f t="shared" si="874"/>
        <v>1</v>
      </c>
      <c r="K496" s="17">
        <f t="shared" si="875"/>
        <v>40</v>
      </c>
      <c r="L496" s="18">
        <f t="shared" si="876"/>
        <v>1.3226294635992208</v>
      </c>
      <c r="M496" s="34">
        <f t="shared" si="877"/>
        <v>0.32262946359922084</v>
      </c>
      <c r="N496" s="33">
        <f t="shared" si="878"/>
        <v>1.4824895162925549E-2</v>
      </c>
      <c r="O496" s="33">
        <f t="shared" si="879"/>
        <v>1.3497654129455151E-2</v>
      </c>
      <c r="P496" s="33">
        <f t="shared" si="880"/>
        <v>1.3257355911789811E-2</v>
      </c>
      <c r="Q496" s="33">
        <f t="shared" si="881"/>
        <v>1.3257355911789811E-2</v>
      </c>
      <c r="R496" s="35">
        <f t="shared" si="882"/>
        <v>1.0949721017619596</v>
      </c>
      <c r="S496" s="35">
        <f t="shared" si="883"/>
        <v>8.785373879116147E-3</v>
      </c>
    </row>
    <row r="497" spans="1:19" ht="15" customHeight="1" x14ac:dyDescent="0.3">
      <c r="A497" s="30">
        <f>Odds_Input!A497</f>
        <v>489</v>
      </c>
      <c r="B497" s="7" t="str">
        <f>Odds_Input!B497</f>
        <v>CUP_MVP</v>
      </c>
      <c r="C497" s="7" t="str">
        <f>Odds_Input!C497</f>
        <v>Jalen Johnson</v>
      </c>
      <c r="D497" s="7" t="str">
        <f>Odds_Input!D497</f>
        <v>YES</v>
      </c>
      <c r="E497" s="31" t="str">
        <f>Odds_Input!E497</f>
        <v>-</v>
      </c>
      <c r="F497" s="32">
        <f>Odds_Input!F497</f>
        <v>4500</v>
      </c>
      <c r="G497" s="6" t="str">
        <f t="shared" si="871"/>
        <v>CUP_MVP</v>
      </c>
      <c r="H497" s="14">
        <f t="shared" si="872"/>
        <v>46</v>
      </c>
      <c r="I497" s="33">
        <f t="shared" si="873"/>
        <v>2.1739130434782608E-2</v>
      </c>
      <c r="J497" s="17">
        <f t="shared" si="874"/>
        <v>1</v>
      </c>
      <c r="K497" s="17">
        <f t="shared" si="875"/>
        <v>40</v>
      </c>
      <c r="L497" s="18">
        <f t="shared" si="876"/>
        <v>1.3226294635992208</v>
      </c>
      <c r="M497" s="34">
        <f t="shared" si="877"/>
        <v>0.32262946359922084</v>
      </c>
      <c r="N497" s="33">
        <f t="shared" si="878"/>
        <v>1.6436296811069631E-2</v>
      </c>
      <c r="O497" s="33">
        <f t="shared" si="879"/>
        <v>1.5112160671281792E-2</v>
      </c>
      <c r="P497" s="33">
        <f t="shared" si="880"/>
        <v>1.5064968835491967E-2</v>
      </c>
      <c r="Q497" s="33">
        <f t="shared" si="881"/>
        <v>1.5064968835491967E-2</v>
      </c>
      <c r="R497" s="35">
        <f t="shared" si="882"/>
        <v>1.0949721017619596</v>
      </c>
      <c r="S497" s="35">
        <f t="shared" si="883"/>
        <v>8.785373879116147E-3</v>
      </c>
    </row>
    <row r="498" spans="1:19" ht="15" customHeight="1" x14ac:dyDescent="0.3">
      <c r="A498" s="30">
        <f>Odds_Input!A498</f>
        <v>490</v>
      </c>
      <c r="B498" s="7" t="str">
        <f>Odds_Input!B498</f>
        <v>CUP_MVP</v>
      </c>
      <c r="C498" s="7" t="str">
        <f>Odds_Input!C498</f>
        <v>Donovan Mitchell</v>
      </c>
      <c r="D498" s="7" t="str">
        <f>Odds_Input!D498</f>
        <v>YES</v>
      </c>
      <c r="E498" s="31" t="str">
        <f>Odds_Input!E498</f>
        <v>-</v>
      </c>
      <c r="F498" s="32">
        <f>Odds_Input!F498</f>
        <v>3300</v>
      </c>
      <c r="G498" s="6" t="str">
        <f t="shared" si="871"/>
        <v>CUP_MVP</v>
      </c>
      <c r="H498" s="14">
        <f t="shared" si="872"/>
        <v>34</v>
      </c>
      <c r="I498" s="33">
        <f t="shared" si="873"/>
        <v>2.9411764705882353E-2</v>
      </c>
      <c r="J498" s="17">
        <f t="shared" si="874"/>
        <v>1</v>
      </c>
      <c r="K498" s="17">
        <f t="shared" si="875"/>
        <v>40</v>
      </c>
      <c r="L498" s="18">
        <f t="shared" si="876"/>
        <v>1.3226294635992208</v>
      </c>
      <c r="M498" s="34">
        <f t="shared" si="877"/>
        <v>0.32262946359922084</v>
      </c>
      <c r="N498" s="33">
        <f t="shared" si="878"/>
        <v>2.2237342744388322E-2</v>
      </c>
      <c r="O498" s="33">
        <f t="shared" si="879"/>
        <v>2.1041335996219348E-2</v>
      </c>
      <c r="P498" s="33">
        <f t="shared" si="880"/>
        <v>2.1635133562520722E-2</v>
      </c>
      <c r="Q498" s="33">
        <f t="shared" si="881"/>
        <v>2.1635133562520722E-2</v>
      </c>
      <c r="R498" s="35">
        <f t="shared" si="882"/>
        <v>1.0949721017619596</v>
      </c>
      <c r="S498" s="35">
        <f t="shared" si="883"/>
        <v>8.785373879116147E-3</v>
      </c>
    </row>
    <row r="499" spans="1:19" ht="15" customHeight="1" x14ac:dyDescent="0.3">
      <c r="A499" s="30">
        <f>Odds_Input!A499</f>
        <v>491</v>
      </c>
      <c r="B499" s="7" t="str">
        <f>Odds_Input!B499</f>
        <v>CUP_MVP</v>
      </c>
      <c r="C499" s="7" t="str">
        <f>Odds_Input!C499</f>
        <v>Stephen Curry</v>
      </c>
      <c r="D499" s="7" t="str">
        <f>Odds_Input!D499</f>
        <v>YES</v>
      </c>
      <c r="E499" s="31" t="str">
        <f>Odds_Input!E499</f>
        <v>-</v>
      </c>
      <c r="F499" s="32">
        <f>Odds_Input!F499</f>
        <v>5000</v>
      </c>
      <c r="G499" s="6" t="str">
        <f t="shared" si="871"/>
        <v>CUP_MVP</v>
      </c>
      <c r="H499" s="14">
        <f t="shared" si="872"/>
        <v>51</v>
      </c>
      <c r="I499" s="33">
        <f t="shared" si="873"/>
        <v>1.9607843137254902E-2</v>
      </c>
      <c r="J499" s="17">
        <f t="shared" si="874"/>
        <v>1</v>
      </c>
      <c r="K499" s="17">
        <f t="shared" si="875"/>
        <v>40</v>
      </c>
      <c r="L499" s="18">
        <f t="shared" si="876"/>
        <v>1.3226294635992208</v>
      </c>
      <c r="M499" s="34">
        <f t="shared" si="877"/>
        <v>0.32262946359922084</v>
      </c>
      <c r="N499" s="33">
        <f t="shared" si="878"/>
        <v>1.4824895162925549E-2</v>
      </c>
      <c r="O499" s="33">
        <f t="shared" si="879"/>
        <v>1.3497654129455151E-2</v>
      </c>
      <c r="P499" s="33">
        <f t="shared" si="880"/>
        <v>1.3257355911789811E-2</v>
      </c>
      <c r="Q499" s="33">
        <f t="shared" si="881"/>
        <v>1.3257355911789811E-2</v>
      </c>
      <c r="R499" s="35">
        <f t="shared" si="882"/>
        <v>1.0949721017619596</v>
      </c>
      <c r="S499" s="35">
        <f t="shared" si="883"/>
        <v>8.785373879116147E-3</v>
      </c>
    </row>
    <row r="500" spans="1:19" ht="15" customHeight="1" x14ac:dyDescent="0.3">
      <c r="A500" s="30">
        <f>Odds_Input!A500</f>
        <v>492</v>
      </c>
      <c r="B500" s="7" t="str">
        <f>Odds_Input!B500</f>
        <v>CUP_MVP</v>
      </c>
      <c r="C500" s="7" t="str">
        <f>Odds_Input!C500</f>
        <v>Scottie Barnes</v>
      </c>
      <c r="D500" s="7" t="str">
        <f>Odds_Input!D500</f>
        <v>YES</v>
      </c>
      <c r="E500" s="31" t="str">
        <f>Odds_Input!E500</f>
        <v>-</v>
      </c>
      <c r="F500" s="32">
        <f>Odds_Input!F500</f>
        <v>5500</v>
      </c>
      <c r="G500" s="6" t="str">
        <f t="shared" si="871"/>
        <v>CUP_MVP</v>
      </c>
      <c r="H500" s="14">
        <f t="shared" si="872"/>
        <v>56</v>
      </c>
      <c r="I500" s="33">
        <f t="shared" si="873"/>
        <v>1.7857142857142856E-2</v>
      </c>
      <c r="J500" s="17">
        <f t="shared" si="874"/>
        <v>1</v>
      </c>
      <c r="K500" s="17">
        <f t="shared" si="875"/>
        <v>40</v>
      </c>
      <c r="L500" s="18">
        <f t="shared" si="876"/>
        <v>1.3226294635992208</v>
      </c>
      <c r="M500" s="34">
        <f t="shared" si="877"/>
        <v>0.32262946359922084</v>
      </c>
      <c r="N500" s="33">
        <f t="shared" si="878"/>
        <v>1.350124380909291E-2</v>
      </c>
      <c r="O500" s="33">
        <f t="shared" si="879"/>
        <v>1.2183803379288665E-2</v>
      </c>
      <c r="P500" s="33">
        <f t="shared" si="880"/>
        <v>1.1781638687134948E-2</v>
      </c>
      <c r="Q500" s="33">
        <f t="shared" si="881"/>
        <v>1.1781638687134948E-2</v>
      </c>
      <c r="R500" s="35">
        <f t="shared" si="882"/>
        <v>1.0949721017619596</v>
      </c>
      <c r="S500" s="35">
        <f t="shared" si="883"/>
        <v>8.785373879116147E-3</v>
      </c>
    </row>
    <row r="501" spans="1:19" ht="15" customHeight="1" x14ac:dyDescent="0.3">
      <c r="A501" s="30">
        <f>Odds_Input!A501</f>
        <v>493</v>
      </c>
      <c r="B501" s="7" t="str">
        <f>Odds_Input!B501</f>
        <v>CUP_MVP</v>
      </c>
      <c r="C501" s="7" t="str">
        <f>Odds_Input!C501</f>
        <v>LeBron James</v>
      </c>
      <c r="D501" s="7" t="str">
        <f>Odds_Input!D501</f>
        <v>YES</v>
      </c>
      <c r="E501" s="31" t="str">
        <f>Odds_Input!E501</f>
        <v>-</v>
      </c>
      <c r="F501" s="32">
        <f>Odds_Input!F501</f>
        <v>5000</v>
      </c>
      <c r="G501" s="6" t="str">
        <f t="shared" si="871"/>
        <v>CUP_MVP</v>
      </c>
      <c r="H501" s="14">
        <f t="shared" si="872"/>
        <v>51</v>
      </c>
      <c r="I501" s="33">
        <f t="shared" si="873"/>
        <v>1.9607843137254902E-2</v>
      </c>
      <c r="J501" s="17">
        <f t="shared" si="874"/>
        <v>1</v>
      </c>
      <c r="K501" s="17">
        <f t="shared" si="875"/>
        <v>40</v>
      </c>
      <c r="L501" s="18">
        <f t="shared" si="876"/>
        <v>1.3226294635992208</v>
      </c>
      <c r="M501" s="34">
        <f t="shared" si="877"/>
        <v>0.32262946359922084</v>
      </c>
      <c r="N501" s="33">
        <f t="shared" si="878"/>
        <v>1.4824895162925549E-2</v>
      </c>
      <c r="O501" s="33">
        <f t="shared" si="879"/>
        <v>1.3497654129455151E-2</v>
      </c>
      <c r="P501" s="33">
        <f t="shared" si="880"/>
        <v>1.3257355911789811E-2</v>
      </c>
      <c r="Q501" s="33">
        <f t="shared" si="881"/>
        <v>1.3257355911789811E-2</v>
      </c>
      <c r="R501" s="35">
        <f t="shared" si="882"/>
        <v>1.0949721017619596</v>
      </c>
      <c r="S501" s="35">
        <f t="shared" si="883"/>
        <v>8.785373879116147E-3</v>
      </c>
    </row>
    <row r="502" spans="1:19" ht="15" customHeight="1" x14ac:dyDescent="0.3">
      <c r="A502" s="30">
        <f>Odds_Input!A502</f>
        <v>494</v>
      </c>
      <c r="B502" s="7" t="str">
        <f>Odds_Input!B502</f>
        <v>CUP_MVP</v>
      </c>
      <c r="C502" s="7" t="str">
        <f>Odds_Input!C502</f>
        <v>Joel Embiid</v>
      </c>
      <c r="D502" s="7" t="str">
        <f>Odds_Input!D502</f>
        <v>YES</v>
      </c>
      <c r="E502" s="31" t="str">
        <f>Odds_Input!E502</f>
        <v>-</v>
      </c>
      <c r="F502" s="32">
        <f>Odds_Input!F502</f>
        <v>5000</v>
      </c>
      <c r="G502" s="6" t="str">
        <f t="shared" si="871"/>
        <v>CUP_MVP</v>
      </c>
      <c r="H502" s="14">
        <f t="shared" si="872"/>
        <v>51</v>
      </c>
      <c r="I502" s="33">
        <f t="shared" si="873"/>
        <v>1.9607843137254902E-2</v>
      </c>
      <c r="J502" s="17">
        <f t="shared" si="874"/>
        <v>1</v>
      </c>
      <c r="K502" s="17">
        <f t="shared" si="875"/>
        <v>40</v>
      </c>
      <c r="L502" s="18">
        <f t="shared" si="876"/>
        <v>1.3226294635992208</v>
      </c>
      <c r="M502" s="34">
        <f t="shared" si="877"/>
        <v>0.32262946359922084</v>
      </c>
      <c r="N502" s="33">
        <f t="shared" si="878"/>
        <v>1.4824895162925549E-2</v>
      </c>
      <c r="O502" s="33">
        <f t="shared" si="879"/>
        <v>1.3497654129455151E-2</v>
      </c>
      <c r="P502" s="33">
        <f t="shared" si="880"/>
        <v>1.3257355911789811E-2</v>
      </c>
      <c r="Q502" s="33">
        <f t="shared" si="881"/>
        <v>1.3257355911789811E-2</v>
      </c>
      <c r="R502" s="35">
        <f t="shared" si="882"/>
        <v>1.0949721017619596</v>
      </c>
      <c r="S502" s="35">
        <f t="shared" si="883"/>
        <v>8.785373879116147E-3</v>
      </c>
    </row>
    <row r="503" spans="1:19" ht="15" customHeight="1" x14ac:dyDescent="0.3">
      <c r="A503" s="30">
        <f>Odds_Input!A503</f>
        <v>495</v>
      </c>
      <c r="B503" s="7" t="str">
        <f>Odds_Input!B503</f>
        <v>CUP_MVP</v>
      </c>
      <c r="C503" s="7" t="str">
        <f>Odds_Input!C503</f>
        <v>Paul George</v>
      </c>
      <c r="D503" s="7" t="str">
        <f>Odds_Input!D503</f>
        <v>YES</v>
      </c>
      <c r="E503" s="31" t="str">
        <f>Odds_Input!E503</f>
        <v>-</v>
      </c>
      <c r="F503" s="32">
        <f>Odds_Input!F503</f>
        <v>6000</v>
      </c>
      <c r="G503" s="6" t="str">
        <f t="shared" si="871"/>
        <v>CUP_MVP</v>
      </c>
      <c r="H503" s="14">
        <f t="shared" si="872"/>
        <v>61</v>
      </c>
      <c r="I503" s="33">
        <f t="shared" si="873"/>
        <v>1.6393442622950821E-2</v>
      </c>
      <c r="J503" s="17">
        <f t="shared" si="874"/>
        <v>1</v>
      </c>
      <c r="K503" s="17">
        <f t="shared" si="875"/>
        <v>40</v>
      </c>
      <c r="L503" s="18">
        <f t="shared" si="876"/>
        <v>1.3226294635992208</v>
      </c>
      <c r="M503" s="34">
        <f t="shared" si="877"/>
        <v>0.32262946359922084</v>
      </c>
      <c r="N503" s="33">
        <f t="shared" si="878"/>
        <v>1.2394584480478739E-2</v>
      </c>
      <c r="O503" s="33">
        <f t="shared" si="879"/>
        <v>1.1094650817723701E-2</v>
      </c>
      <c r="P503" s="33">
        <f t="shared" si="880"/>
        <v>1.0556044206768143E-2</v>
      </c>
      <c r="Q503" s="33">
        <f t="shared" si="881"/>
        <v>1.0556044206768143E-2</v>
      </c>
      <c r="R503" s="35">
        <f t="shared" si="882"/>
        <v>1.0949721017619596</v>
      </c>
      <c r="S503" s="35">
        <f t="shared" si="883"/>
        <v>8.785373879116147E-3</v>
      </c>
    </row>
    <row r="504" spans="1:19" ht="15" customHeight="1" x14ac:dyDescent="0.3">
      <c r="A504" s="30">
        <f>Odds_Input!A504</f>
        <v>496</v>
      </c>
      <c r="B504" s="7" t="str">
        <f>Odds_Input!B504</f>
        <v>CUP_MVP</v>
      </c>
      <c r="C504" s="7" t="str">
        <f>Odds_Input!C504</f>
        <v>Ausar Thompson</v>
      </c>
      <c r="D504" s="7" t="str">
        <f>Odds_Input!D504</f>
        <v>YES</v>
      </c>
      <c r="E504" s="31" t="str">
        <f>Odds_Input!E504</f>
        <v>-</v>
      </c>
      <c r="F504" s="32">
        <f>Odds_Input!F504</f>
        <v>6500</v>
      </c>
      <c r="G504" s="6" t="str">
        <f t="shared" si="871"/>
        <v>CUP_MVP</v>
      </c>
      <c r="H504" s="14">
        <f t="shared" si="872"/>
        <v>66</v>
      </c>
      <c r="I504" s="33">
        <f t="shared" si="873"/>
        <v>1.5151515151515152E-2</v>
      </c>
      <c r="J504" s="17">
        <f t="shared" si="874"/>
        <v>1</v>
      </c>
      <c r="K504" s="17">
        <f t="shared" si="875"/>
        <v>40</v>
      </c>
      <c r="L504" s="18">
        <f t="shared" si="876"/>
        <v>1.3226294635992208</v>
      </c>
      <c r="M504" s="34">
        <f t="shared" si="877"/>
        <v>0.32262946359922084</v>
      </c>
      <c r="N504" s="33">
        <f t="shared" si="878"/>
        <v>1.1455600807715197E-2</v>
      </c>
      <c r="O504" s="33">
        <f t="shared" si="879"/>
        <v>1.0177711888122689E-2</v>
      </c>
      <c r="P504" s="33">
        <f t="shared" si="880"/>
        <v>9.523570714841445E-3</v>
      </c>
      <c r="Q504" s="33">
        <f t="shared" si="881"/>
        <v>9.523570714841445E-3</v>
      </c>
      <c r="R504" s="35">
        <f t="shared" si="882"/>
        <v>1.0949721017619596</v>
      </c>
      <c r="S504" s="35">
        <f t="shared" si="883"/>
        <v>8.785373879116147E-3</v>
      </c>
    </row>
    <row r="505" spans="1:19" ht="15" customHeight="1" x14ac:dyDescent="0.3">
      <c r="A505" s="30">
        <f>Odds_Input!A505</f>
        <v>497</v>
      </c>
      <c r="B505" s="7" t="str">
        <f>Odds_Input!B505</f>
        <v>CUP_MVP</v>
      </c>
      <c r="C505" s="7" t="str">
        <f>Odds_Input!C505</f>
        <v>Kevin Durant</v>
      </c>
      <c r="D505" s="7" t="str">
        <f>Odds_Input!D505</f>
        <v>YES</v>
      </c>
      <c r="E505" s="31" t="str">
        <f>Odds_Input!E505</f>
        <v>-</v>
      </c>
      <c r="F505" s="32">
        <f>Odds_Input!F505</f>
        <v>4000</v>
      </c>
      <c r="G505" s="6" t="str">
        <f t="shared" si="871"/>
        <v>CUP_MVP</v>
      </c>
      <c r="H505" s="14">
        <f t="shared" si="872"/>
        <v>41</v>
      </c>
      <c r="I505" s="33">
        <f t="shared" si="873"/>
        <v>2.4390243902439025E-2</v>
      </c>
      <c r="J505" s="17">
        <f t="shared" si="874"/>
        <v>1</v>
      </c>
      <c r="K505" s="17">
        <f t="shared" si="875"/>
        <v>40</v>
      </c>
      <c r="L505" s="18">
        <f t="shared" si="876"/>
        <v>1.3226294635992208</v>
      </c>
      <c r="M505" s="34">
        <f t="shared" si="877"/>
        <v>0.32262946359922084</v>
      </c>
      <c r="N505" s="33">
        <f t="shared" si="878"/>
        <v>1.8440723251443976E-2</v>
      </c>
      <c r="O505" s="33">
        <f t="shared" si="879"/>
        <v>1.7141415049202552E-2</v>
      </c>
      <c r="P505" s="33">
        <f t="shared" si="880"/>
        <v>1.7326124216072127E-2</v>
      </c>
      <c r="Q505" s="33">
        <f t="shared" si="881"/>
        <v>1.7326124216072127E-2</v>
      </c>
      <c r="R505" s="35">
        <f t="shared" si="882"/>
        <v>1.0949721017619596</v>
      </c>
      <c r="S505" s="35">
        <f t="shared" si="883"/>
        <v>8.785373879116147E-3</v>
      </c>
    </row>
    <row r="506" spans="1:19" ht="15" customHeight="1" x14ac:dyDescent="0.3">
      <c r="A506" s="30">
        <f>Odds_Input!A506</f>
        <v>498</v>
      </c>
      <c r="B506" s="7" t="str">
        <f>Odds_Input!B506</f>
        <v>CUP_MVP</v>
      </c>
      <c r="C506" s="7" t="str">
        <f>Odds_Input!C506</f>
        <v>DeAaron Fox</v>
      </c>
      <c r="D506" s="7" t="str">
        <f>Odds_Input!D506</f>
        <v>YES</v>
      </c>
      <c r="E506" s="31" t="str">
        <f>Odds_Input!E506</f>
        <v>-</v>
      </c>
      <c r="F506" s="32">
        <f>Odds_Input!F506</f>
        <v>6500</v>
      </c>
      <c r="G506" s="6" t="str">
        <f t="shared" si="871"/>
        <v>CUP_MVP</v>
      </c>
      <c r="H506" s="14">
        <f t="shared" si="872"/>
        <v>66</v>
      </c>
      <c r="I506" s="33">
        <f t="shared" si="873"/>
        <v>1.5151515151515152E-2</v>
      </c>
      <c r="J506" s="17">
        <f t="shared" si="874"/>
        <v>1</v>
      </c>
      <c r="K506" s="17">
        <f t="shared" si="875"/>
        <v>40</v>
      </c>
      <c r="L506" s="18">
        <f t="shared" si="876"/>
        <v>1.3226294635992208</v>
      </c>
      <c r="M506" s="34">
        <f t="shared" si="877"/>
        <v>0.32262946359922084</v>
      </c>
      <c r="N506" s="33">
        <f t="shared" si="878"/>
        <v>1.1455600807715197E-2</v>
      </c>
      <c r="O506" s="33">
        <f t="shared" si="879"/>
        <v>1.0177711888122689E-2</v>
      </c>
      <c r="P506" s="33">
        <f t="shared" si="880"/>
        <v>9.523570714841445E-3</v>
      </c>
      <c r="Q506" s="33">
        <f t="shared" si="881"/>
        <v>9.523570714841445E-3</v>
      </c>
      <c r="R506" s="35">
        <f t="shared" si="882"/>
        <v>1.0949721017619596</v>
      </c>
      <c r="S506" s="35">
        <f t="shared" si="883"/>
        <v>8.785373879116147E-3</v>
      </c>
    </row>
    <row r="507" spans="1:19" ht="15" customHeight="1" x14ac:dyDescent="0.3">
      <c r="A507" s="30">
        <f>Odds_Input!A507</f>
        <v>499</v>
      </c>
      <c r="B507" s="7" t="str">
        <f>Odds_Input!B507</f>
        <v>CUP_MVP</v>
      </c>
      <c r="C507" s="7" t="str">
        <f>Odds_Input!C507</f>
        <v>Derrick White</v>
      </c>
      <c r="D507" s="7" t="str">
        <f>Odds_Input!D507</f>
        <v>YES</v>
      </c>
      <c r="E507" s="31" t="str">
        <f>Odds_Input!E507</f>
        <v>-</v>
      </c>
      <c r="F507" s="32">
        <f>Odds_Input!F507</f>
        <v>7000</v>
      </c>
      <c r="G507" s="6" t="str">
        <f t="shared" si="871"/>
        <v>CUP_MVP</v>
      </c>
      <c r="H507" s="14">
        <f t="shared" si="872"/>
        <v>71</v>
      </c>
      <c r="I507" s="33">
        <f t="shared" si="873"/>
        <v>1.4084507042253521E-2</v>
      </c>
      <c r="J507" s="17">
        <f t="shared" si="874"/>
        <v>1</v>
      </c>
      <c r="K507" s="17">
        <f t="shared" si="875"/>
        <v>40</v>
      </c>
      <c r="L507" s="18">
        <f t="shared" si="876"/>
        <v>1.3226294635992208</v>
      </c>
      <c r="M507" s="34">
        <f t="shared" si="877"/>
        <v>0.32262946359922084</v>
      </c>
      <c r="N507" s="33">
        <f t="shared" si="878"/>
        <v>1.0648868356467648E-2</v>
      </c>
      <c r="O507" s="33">
        <f t="shared" si="879"/>
        <v>9.3955834665420193E-3</v>
      </c>
      <c r="P507" s="33">
        <f t="shared" si="880"/>
        <v>8.6432664406052902E-3</v>
      </c>
      <c r="Q507" s="33">
        <f t="shared" si="881"/>
        <v>8.6432664406052902E-3</v>
      </c>
      <c r="R507" s="35">
        <f t="shared" si="882"/>
        <v>1.0949721017619596</v>
      </c>
      <c r="S507" s="35">
        <f t="shared" si="883"/>
        <v>8.785373879116147E-3</v>
      </c>
    </row>
    <row r="508" spans="1:19" ht="15" customHeight="1" x14ac:dyDescent="0.3">
      <c r="A508" s="30">
        <f>Odds_Input!A508</f>
        <v>500</v>
      </c>
      <c r="B508" s="7" t="str">
        <f>Odds_Input!B508</f>
        <v>CUP_MVP</v>
      </c>
      <c r="C508" s="7" t="str">
        <f>Odds_Input!C508</f>
        <v>Austin Reaves</v>
      </c>
      <c r="D508" s="7" t="str">
        <f>Odds_Input!D508</f>
        <v>YES</v>
      </c>
      <c r="E508" s="31" t="str">
        <f>Odds_Input!E508</f>
        <v>-</v>
      </c>
      <c r="F508" s="32">
        <f>Odds_Input!F508</f>
        <v>7000</v>
      </c>
      <c r="G508" s="6" t="str">
        <f t="shared" si="871"/>
        <v>CUP_MVP</v>
      </c>
      <c r="H508" s="14">
        <f t="shared" si="872"/>
        <v>71</v>
      </c>
      <c r="I508" s="33">
        <f t="shared" si="873"/>
        <v>1.4084507042253521E-2</v>
      </c>
      <c r="J508" s="17">
        <f t="shared" si="874"/>
        <v>1</v>
      </c>
      <c r="K508" s="17">
        <f t="shared" si="875"/>
        <v>40</v>
      </c>
      <c r="L508" s="18">
        <f t="shared" si="876"/>
        <v>1.3226294635992208</v>
      </c>
      <c r="M508" s="34">
        <f t="shared" si="877"/>
        <v>0.32262946359922084</v>
      </c>
      <c r="N508" s="33">
        <f t="shared" si="878"/>
        <v>1.0648868356467648E-2</v>
      </c>
      <c r="O508" s="33">
        <f t="shared" si="879"/>
        <v>9.3955834665420193E-3</v>
      </c>
      <c r="P508" s="33">
        <f t="shared" si="880"/>
        <v>8.6432664406052902E-3</v>
      </c>
      <c r="Q508" s="33">
        <f t="shared" si="881"/>
        <v>8.6432664406052902E-3</v>
      </c>
      <c r="R508" s="35">
        <f t="shared" si="882"/>
        <v>1.0949721017619596</v>
      </c>
      <c r="S508" s="35">
        <f t="shared" si="883"/>
        <v>8.785373879116147E-3</v>
      </c>
    </row>
    <row r="509" spans="1:19" ht="15" customHeight="1" x14ac:dyDescent="0.3">
      <c r="A509" s="30">
        <f>Odds_Input!A509</f>
        <v>501</v>
      </c>
      <c r="B509" s="7" t="str">
        <f>Odds_Input!B509</f>
        <v>CUP_MVP</v>
      </c>
      <c r="C509" s="7" t="str">
        <f>Odds_Input!C509</f>
        <v>Alperen Sengun</v>
      </c>
      <c r="D509" s="7" t="str">
        <f>Odds_Input!D509</f>
        <v>YES</v>
      </c>
      <c r="E509" s="31" t="str">
        <f>Odds_Input!E509</f>
        <v>-</v>
      </c>
      <c r="F509" s="32">
        <f>Odds_Input!F509</f>
        <v>6000</v>
      </c>
      <c r="G509" s="6" t="str">
        <f t="shared" si="871"/>
        <v>CUP_MVP</v>
      </c>
      <c r="H509" s="14">
        <f t="shared" si="872"/>
        <v>61</v>
      </c>
      <c r="I509" s="33">
        <f t="shared" si="873"/>
        <v>1.6393442622950821E-2</v>
      </c>
      <c r="J509" s="17">
        <f t="shared" si="874"/>
        <v>1</v>
      </c>
      <c r="K509" s="17">
        <f t="shared" si="875"/>
        <v>40</v>
      </c>
      <c r="L509" s="18">
        <f t="shared" si="876"/>
        <v>1.3226294635992208</v>
      </c>
      <c r="M509" s="34">
        <f t="shared" si="877"/>
        <v>0.32262946359922084</v>
      </c>
      <c r="N509" s="33">
        <f t="shared" si="878"/>
        <v>1.2394584480478739E-2</v>
      </c>
      <c r="O509" s="33">
        <f t="shared" si="879"/>
        <v>1.1094650817723701E-2</v>
      </c>
      <c r="P509" s="33">
        <f t="shared" si="880"/>
        <v>1.0556044206768143E-2</v>
      </c>
      <c r="Q509" s="33">
        <f t="shared" si="881"/>
        <v>1.0556044206768143E-2</v>
      </c>
      <c r="R509" s="35">
        <f t="shared" si="882"/>
        <v>1.0949721017619596</v>
      </c>
      <c r="S509" s="35">
        <f t="shared" si="883"/>
        <v>8.785373879116147E-3</v>
      </c>
    </row>
    <row r="510" spans="1:19" ht="15" customHeight="1" x14ac:dyDescent="0.3">
      <c r="A510" s="30">
        <f>Odds_Input!A510</f>
        <v>502</v>
      </c>
      <c r="B510" s="7" t="str">
        <f>Odds_Input!B510</f>
        <v>CUP_MVP</v>
      </c>
      <c r="C510" s="7" t="str">
        <f>Odds_Input!C510</f>
        <v>Desmond Bane</v>
      </c>
      <c r="D510" s="7" t="str">
        <f>Odds_Input!D510</f>
        <v>YES</v>
      </c>
      <c r="E510" s="31" t="str">
        <f>Odds_Input!E510</f>
        <v>-</v>
      </c>
      <c r="F510" s="32">
        <f>Odds_Input!F510</f>
        <v>7000</v>
      </c>
      <c r="G510" s="6" t="str">
        <f t="shared" si="871"/>
        <v>CUP_MVP</v>
      </c>
      <c r="H510" s="14">
        <f t="shared" si="872"/>
        <v>71</v>
      </c>
      <c r="I510" s="33">
        <f t="shared" si="873"/>
        <v>1.4084507042253521E-2</v>
      </c>
      <c r="J510" s="17">
        <f t="shared" si="874"/>
        <v>1</v>
      </c>
      <c r="K510" s="17">
        <f t="shared" si="875"/>
        <v>40</v>
      </c>
      <c r="L510" s="18">
        <f t="shared" si="876"/>
        <v>1.3226294635992208</v>
      </c>
      <c r="M510" s="34">
        <f t="shared" si="877"/>
        <v>0.32262946359922084</v>
      </c>
      <c r="N510" s="33">
        <f t="shared" si="878"/>
        <v>1.0648868356467648E-2</v>
      </c>
      <c r="O510" s="33">
        <f t="shared" si="879"/>
        <v>9.3955834665420193E-3</v>
      </c>
      <c r="P510" s="33">
        <f t="shared" si="880"/>
        <v>8.6432664406052902E-3</v>
      </c>
      <c r="Q510" s="33">
        <f t="shared" si="881"/>
        <v>8.6432664406052902E-3</v>
      </c>
      <c r="R510" s="35">
        <f t="shared" si="882"/>
        <v>1.0949721017619596</v>
      </c>
      <c r="S510" s="35">
        <f t="shared" si="883"/>
        <v>8.785373879116147E-3</v>
      </c>
    </row>
    <row r="511" spans="1:19" ht="15" customHeight="1" x14ac:dyDescent="0.3">
      <c r="A511" s="30">
        <f>Odds_Input!A511</f>
        <v>503</v>
      </c>
      <c r="B511" s="7" t="str">
        <f>Odds_Input!B511</f>
        <v>CUP_MVP</v>
      </c>
      <c r="C511" s="7" t="str">
        <f>Odds_Input!C511</f>
        <v>Karl Anthony Towns</v>
      </c>
      <c r="D511" s="7" t="str">
        <f>Odds_Input!D511</f>
        <v>YES</v>
      </c>
      <c r="E511" s="31" t="str">
        <f>Odds_Input!E511</f>
        <v>-</v>
      </c>
      <c r="F511" s="32">
        <f>Odds_Input!F511</f>
        <v>7000</v>
      </c>
      <c r="G511" s="6" t="str">
        <f t="shared" si="871"/>
        <v>CUP_MVP</v>
      </c>
      <c r="H511" s="14">
        <f t="shared" si="872"/>
        <v>71</v>
      </c>
      <c r="I511" s="33">
        <f t="shared" si="873"/>
        <v>1.4084507042253521E-2</v>
      </c>
      <c r="J511" s="17">
        <f t="shared" si="874"/>
        <v>1</v>
      </c>
      <c r="K511" s="17">
        <f t="shared" si="875"/>
        <v>40</v>
      </c>
      <c r="L511" s="18">
        <f t="shared" si="876"/>
        <v>1.3226294635992208</v>
      </c>
      <c r="M511" s="34">
        <f t="shared" si="877"/>
        <v>0.32262946359922084</v>
      </c>
      <c r="N511" s="33">
        <f t="shared" si="878"/>
        <v>1.0648868356467648E-2</v>
      </c>
      <c r="O511" s="33">
        <f t="shared" si="879"/>
        <v>9.3955834665420193E-3</v>
      </c>
      <c r="P511" s="33">
        <f t="shared" si="880"/>
        <v>8.6432664406052902E-3</v>
      </c>
      <c r="Q511" s="33">
        <f t="shared" si="881"/>
        <v>8.6432664406052902E-3</v>
      </c>
      <c r="R511" s="35">
        <f t="shared" si="882"/>
        <v>1.0949721017619596</v>
      </c>
      <c r="S511" s="35">
        <f t="shared" si="883"/>
        <v>8.785373879116147E-3</v>
      </c>
    </row>
    <row r="512" spans="1:19" ht="15" customHeight="1" x14ac:dyDescent="0.3">
      <c r="A512" s="30">
        <f>Odds_Input!A512</f>
        <v>504</v>
      </c>
      <c r="B512" s="7" t="str">
        <f>Odds_Input!B512</f>
        <v>CUP_MVP</v>
      </c>
      <c r="C512" s="7" t="str">
        <f>Odds_Input!C512</f>
        <v>Devin Booker</v>
      </c>
      <c r="D512" s="7" t="str">
        <f>Odds_Input!D512</f>
        <v>YES</v>
      </c>
      <c r="E512" s="31" t="str">
        <f>Odds_Input!E512</f>
        <v>-</v>
      </c>
      <c r="F512" s="32">
        <f>Odds_Input!F512</f>
        <v>7500</v>
      </c>
      <c r="G512" s="6" t="str">
        <f t="shared" si="871"/>
        <v>CUP_MVP</v>
      </c>
      <c r="H512" s="14">
        <f t="shared" si="872"/>
        <v>76</v>
      </c>
      <c r="I512" s="33">
        <f t="shared" si="873"/>
        <v>1.3157894736842105E-2</v>
      </c>
      <c r="J512" s="17">
        <f t="shared" si="874"/>
        <v>1</v>
      </c>
      <c r="K512" s="17">
        <f t="shared" si="875"/>
        <v>40</v>
      </c>
      <c r="L512" s="18">
        <f t="shared" si="876"/>
        <v>1.3226294635992208</v>
      </c>
      <c r="M512" s="34">
        <f t="shared" si="877"/>
        <v>0.32262946359922084</v>
      </c>
      <c r="N512" s="33">
        <f t="shared" si="878"/>
        <v>9.9482849119631959E-3</v>
      </c>
      <c r="O512" s="33">
        <f t="shared" si="879"/>
        <v>8.7209056476047677E-3</v>
      </c>
      <c r="P512" s="33">
        <f t="shared" si="880"/>
        <v>7.8849509629765786E-3</v>
      </c>
      <c r="Q512" s="33">
        <f t="shared" si="881"/>
        <v>7.8849509629765786E-3</v>
      </c>
      <c r="R512" s="35">
        <f t="shared" si="882"/>
        <v>1.0949721017619596</v>
      </c>
      <c r="S512" s="35">
        <f t="shared" si="883"/>
        <v>8.785373879116147E-3</v>
      </c>
    </row>
    <row r="513" spans="1:19" ht="15" customHeight="1" x14ac:dyDescent="0.3">
      <c r="A513" s="30">
        <f>Odds_Input!A513</f>
        <v>505</v>
      </c>
      <c r="B513" s="7" t="str">
        <f>Odds_Input!B513</f>
        <v>CUP_MVP</v>
      </c>
      <c r="C513" s="7" t="str">
        <f>Odds_Input!C513</f>
        <v>Deni Avdija</v>
      </c>
      <c r="D513" s="7" t="str">
        <f>Odds_Input!D513</f>
        <v>YES</v>
      </c>
      <c r="E513" s="31" t="str">
        <f>Odds_Input!E513</f>
        <v>-</v>
      </c>
      <c r="F513" s="32">
        <f>Odds_Input!F513</f>
        <v>7200</v>
      </c>
      <c r="G513" s="6" t="str">
        <f t="shared" si="871"/>
        <v>CUP_MVP</v>
      </c>
      <c r="H513" s="14">
        <f t="shared" si="872"/>
        <v>73</v>
      </c>
      <c r="I513" s="33">
        <f t="shared" si="873"/>
        <v>1.3698630136986301E-2</v>
      </c>
      <c r="J513" s="17">
        <f t="shared" si="874"/>
        <v>1</v>
      </c>
      <c r="K513" s="17">
        <f t="shared" si="875"/>
        <v>40</v>
      </c>
      <c r="L513" s="18">
        <f t="shared" si="876"/>
        <v>1.3226294635992208</v>
      </c>
      <c r="M513" s="34">
        <f t="shared" si="877"/>
        <v>0.32262946359922084</v>
      </c>
      <c r="N513" s="33">
        <f t="shared" si="878"/>
        <v>1.0357118538482231E-2</v>
      </c>
      <c r="O513" s="33">
        <f t="shared" si="879"/>
        <v>9.1140929117042926E-3</v>
      </c>
      <c r="P513" s="33">
        <f t="shared" si="880"/>
        <v>8.3267140396388033E-3</v>
      </c>
      <c r="Q513" s="33">
        <f t="shared" si="881"/>
        <v>8.3267140396388033E-3</v>
      </c>
      <c r="R513" s="35">
        <f t="shared" si="882"/>
        <v>1.0949721017619596</v>
      </c>
      <c r="S513" s="35">
        <f t="shared" si="883"/>
        <v>8.785373879116147E-3</v>
      </c>
    </row>
    <row r="514" spans="1:19" ht="15" customHeight="1" x14ac:dyDescent="0.3">
      <c r="A514" s="30">
        <f>Odds_Input!A514</f>
        <v>506</v>
      </c>
      <c r="B514" s="7" t="str">
        <f>Odds_Input!B514</f>
        <v>CUP_MVP</v>
      </c>
      <c r="C514" s="7" t="str">
        <f>Odds_Input!C514</f>
        <v>James Harden</v>
      </c>
      <c r="D514" s="7" t="str">
        <f>Odds_Input!D514</f>
        <v>YES</v>
      </c>
      <c r="E514" s="31" t="str">
        <f>Odds_Input!E514</f>
        <v>-</v>
      </c>
      <c r="F514" s="32">
        <f>Odds_Input!F514</f>
        <v>8000</v>
      </c>
      <c r="G514" s="6" t="str">
        <f t="shared" si="871"/>
        <v>CUP_MVP</v>
      </c>
      <c r="H514" s="14">
        <f t="shared" si="872"/>
        <v>81</v>
      </c>
      <c r="I514" s="33">
        <f t="shared" si="873"/>
        <v>1.2345679012345678E-2</v>
      </c>
      <c r="J514" s="17">
        <f t="shared" si="874"/>
        <v>1</v>
      </c>
      <c r="K514" s="17">
        <f t="shared" si="875"/>
        <v>40</v>
      </c>
      <c r="L514" s="18">
        <f t="shared" si="876"/>
        <v>1.3226294635992208</v>
      </c>
      <c r="M514" s="34">
        <f t="shared" si="877"/>
        <v>0.32262946359922084</v>
      </c>
      <c r="N514" s="33">
        <f t="shared" si="878"/>
        <v>9.3341932507309006E-3</v>
      </c>
      <c r="O514" s="33">
        <f t="shared" si="879"/>
        <v>8.133213028992942E-3</v>
      </c>
      <c r="P514" s="33">
        <f t="shared" si="880"/>
        <v>7.2258916079429416E-3</v>
      </c>
      <c r="Q514" s="33">
        <f t="shared" si="881"/>
        <v>7.2258916079429416E-3</v>
      </c>
      <c r="R514" s="35">
        <f t="shared" si="882"/>
        <v>1.0949721017619596</v>
      </c>
      <c r="S514" s="35">
        <f t="shared" si="883"/>
        <v>8.785373879116147E-3</v>
      </c>
    </row>
    <row r="515" spans="1:19" ht="15" customHeight="1" x14ac:dyDescent="0.3">
      <c r="A515" s="30">
        <f>Odds_Input!A515</f>
        <v>507</v>
      </c>
      <c r="B515" s="7" t="str">
        <f>Odds_Input!B515</f>
        <v>CUP_MVP</v>
      </c>
      <c r="C515" s="7" t="str">
        <f>Odds_Input!C515</f>
        <v>Franz Wagner</v>
      </c>
      <c r="D515" s="7" t="str">
        <f>Odds_Input!D515</f>
        <v>YES</v>
      </c>
      <c r="E515" s="31" t="str">
        <f>Odds_Input!E515</f>
        <v>-</v>
      </c>
      <c r="F515" s="32">
        <f>Odds_Input!F515</f>
        <v>7000</v>
      </c>
      <c r="G515" s="6" t="str">
        <f t="shared" si="871"/>
        <v>CUP_MVP</v>
      </c>
      <c r="H515" s="14">
        <f t="shared" si="872"/>
        <v>71</v>
      </c>
      <c r="I515" s="33">
        <f t="shared" si="873"/>
        <v>1.4084507042253521E-2</v>
      </c>
      <c r="J515" s="17">
        <f t="shared" si="874"/>
        <v>1</v>
      </c>
      <c r="K515" s="17">
        <f t="shared" si="875"/>
        <v>40</v>
      </c>
      <c r="L515" s="18">
        <f t="shared" si="876"/>
        <v>1.3226294635992208</v>
      </c>
      <c r="M515" s="34">
        <f t="shared" si="877"/>
        <v>0.32262946359922084</v>
      </c>
      <c r="N515" s="33">
        <f t="shared" si="878"/>
        <v>1.0648868356467648E-2</v>
      </c>
      <c r="O515" s="33">
        <f t="shared" si="879"/>
        <v>9.3955834665420193E-3</v>
      </c>
      <c r="P515" s="33">
        <f t="shared" si="880"/>
        <v>8.6432664406052902E-3</v>
      </c>
      <c r="Q515" s="33">
        <f t="shared" si="881"/>
        <v>8.6432664406052902E-3</v>
      </c>
      <c r="R515" s="35">
        <f t="shared" si="882"/>
        <v>1.0949721017619596</v>
      </c>
      <c r="S515" s="35">
        <f t="shared" si="883"/>
        <v>8.785373879116147E-3</v>
      </c>
    </row>
    <row r="516" spans="1:19" ht="15" customHeight="1" x14ac:dyDescent="0.3">
      <c r="A516" s="30">
        <f>Odds_Input!A516</f>
        <v>508</v>
      </c>
      <c r="B516" s="7" t="str">
        <f>Odds_Input!B516</f>
        <v>CUP_MVP</v>
      </c>
      <c r="C516" s="7" t="str">
        <f>Odds_Input!C516</f>
        <v>Jamal Murray</v>
      </c>
      <c r="D516" s="7" t="str">
        <f>Odds_Input!D516</f>
        <v>YES</v>
      </c>
      <c r="E516" s="31" t="str">
        <f>Odds_Input!E516</f>
        <v>-</v>
      </c>
      <c r="F516" s="32">
        <f>Odds_Input!F516</f>
        <v>9000</v>
      </c>
      <c r="G516" s="6" t="str">
        <f t="shared" si="871"/>
        <v>CUP_MVP</v>
      </c>
      <c r="H516" s="14">
        <f t="shared" si="872"/>
        <v>91</v>
      </c>
      <c r="I516" s="33">
        <f t="shared" si="873"/>
        <v>1.098901098901099E-2</v>
      </c>
      <c r="J516" s="17">
        <f t="shared" si="874"/>
        <v>1</v>
      </c>
      <c r="K516" s="17">
        <f t="shared" si="875"/>
        <v>40</v>
      </c>
      <c r="L516" s="18">
        <f t="shared" si="876"/>
        <v>1.3226294635992208</v>
      </c>
      <c r="M516" s="34">
        <f t="shared" si="877"/>
        <v>0.32262946359922084</v>
      </c>
      <c r="N516" s="33">
        <f t="shared" si="878"/>
        <v>8.3084577286725615E-3</v>
      </c>
      <c r="O516" s="33">
        <f t="shared" si="879"/>
        <v>7.159856682620697E-3</v>
      </c>
      <c r="P516" s="33">
        <f t="shared" si="880"/>
        <v>6.1395773619916313E-3</v>
      </c>
      <c r="Q516" s="33">
        <f t="shared" si="881"/>
        <v>6.1395773619916313E-3</v>
      </c>
      <c r="R516" s="35">
        <f t="shared" si="882"/>
        <v>1.0949721017619596</v>
      </c>
      <c r="S516" s="35">
        <f t="shared" si="883"/>
        <v>8.785373879116147E-3</v>
      </c>
    </row>
    <row r="517" spans="1:19" ht="15" customHeight="1" x14ac:dyDescent="0.3">
      <c r="A517" s="30">
        <f>Odds_Input!A517</f>
        <v>509</v>
      </c>
      <c r="B517" s="7" t="str">
        <f>Odds_Input!B517</f>
        <v>CUP_MVP</v>
      </c>
      <c r="C517" s="7" t="str">
        <f>Odds_Input!C517</f>
        <v>Tyrese Haliburton</v>
      </c>
      <c r="D517" s="7" t="str">
        <f>Odds_Input!D517</f>
        <v>YES</v>
      </c>
      <c r="E517" s="31" t="str">
        <f>Odds_Input!E517</f>
        <v>-</v>
      </c>
      <c r="F517" s="32">
        <f>Odds_Input!F517</f>
        <v>7000</v>
      </c>
      <c r="G517" s="6" t="str">
        <f t="shared" si="871"/>
        <v>CUP_MVP</v>
      </c>
      <c r="H517" s="14">
        <f t="shared" si="872"/>
        <v>71</v>
      </c>
      <c r="I517" s="33">
        <f t="shared" si="873"/>
        <v>1.4084507042253521E-2</v>
      </c>
      <c r="J517" s="17">
        <f t="shared" si="874"/>
        <v>1</v>
      </c>
      <c r="K517" s="17">
        <f t="shared" si="875"/>
        <v>40</v>
      </c>
      <c r="L517" s="18">
        <f t="shared" si="876"/>
        <v>1.3226294635992208</v>
      </c>
      <c r="M517" s="34">
        <f t="shared" si="877"/>
        <v>0.32262946359922084</v>
      </c>
      <c r="N517" s="33">
        <f t="shared" si="878"/>
        <v>1.0648868356467648E-2</v>
      </c>
      <c r="O517" s="33">
        <f t="shared" si="879"/>
        <v>9.3955834665420193E-3</v>
      </c>
      <c r="P517" s="33">
        <f t="shared" si="880"/>
        <v>8.6432664406052902E-3</v>
      </c>
      <c r="Q517" s="33">
        <f t="shared" si="881"/>
        <v>8.6432664406052902E-3</v>
      </c>
      <c r="R517" s="35">
        <f t="shared" si="882"/>
        <v>1.0949721017619596</v>
      </c>
      <c r="S517" s="35">
        <f t="shared" si="883"/>
        <v>8.785373879116147E-3</v>
      </c>
    </row>
    <row r="518" spans="1:19" ht="15" customHeight="1" x14ac:dyDescent="0.3">
      <c r="A518" s="30">
        <f>Odds_Input!A518</f>
        <v>510</v>
      </c>
      <c r="B518" s="7" t="str">
        <f>Odds_Input!B518</f>
        <v>CUP_MVP</v>
      </c>
      <c r="C518" s="7" t="str">
        <f>Odds_Input!C518</f>
        <v>Pascal Siakam</v>
      </c>
      <c r="D518" s="7" t="str">
        <f>Odds_Input!D518</f>
        <v>YES</v>
      </c>
      <c r="E518" s="31" t="str">
        <f>Odds_Input!E518</f>
        <v>-</v>
      </c>
      <c r="F518" s="32">
        <f>Odds_Input!F518</f>
        <v>8000</v>
      </c>
      <c r="G518" s="6" t="str">
        <f t="shared" si="871"/>
        <v>CUP_MVP</v>
      </c>
      <c r="H518" s="14">
        <f t="shared" si="872"/>
        <v>81</v>
      </c>
      <c r="I518" s="33">
        <f t="shared" si="873"/>
        <v>1.2345679012345678E-2</v>
      </c>
      <c r="J518" s="17">
        <f t="shared" si="874"/>
        <v>1</v>
      </c>
      <c r="K518" s="17">
        <f t="shared" si="875"/>
        <v>40</v>
      </c>
      <c r="L518" s="18">
        <f t="shared" si="876"/>
        <v>1.3226294635992208</v>
      </c>
      <c r="M518" s="34">
        <f t="shared" si="877"/>
        <v>0.32262946359922084</v>
      </c>
      <c r="N518" s="33">
        <f t="shared" si="878"/>
        <v>9.3341932507309006E-3</v>
      </c>
      <c r="O518" s="33">
        <f t="shared" si="879"/>
        <v>8.133213028992942E-3</v>
      </c>
      <c r="P518" s="33">
        <f t="shared" si="880"/>
        <v>7.2258916079429416E-3</v>
      </c>
      <c r="Q518" s="33">
        <f t="shared" si="881"/>
        <v>7.2258916079429416E-3</v>
      </c>
      <c r="R518" s="35">
        <f t="shared" si="882"/>
        <v>1.0949721017619596</v>
      </c>
      <c r="S518" s="35">
        <f t="shared" si="883"/>
        <v>8.785373879116147E-3</v>
      </c>
    </row>
    <row r="519" spans="1:19" ht="15" customHeight="1" x14ac:dyDescent="0.3">
      <c r="A519" s="30">
        <f>Odds_Input!A519</f>
        <v>511</v>
      </c>
      <c r="B519" s="7" t="str">
        <f>Odds_Input!B519</f>
        <v>CUP_MVP</v>
      </c>
      <c r="C519" s="7" t="str">
        <f>Odds_Input!C519</f>
        <v>Jaren Jackson Jr</v>
      </c>
      <c r="D519" s="7" t="str">
        <f>Odds_Input!D519</f>
        <v>YES</v>
      </c>
      <c r="E519" s="31" t="str">
        <f>Odds_Input!E519</f>
        <v>-</v>
      </c>
      <c r="F519" s="32">
        <f>Odds_Input!F519</f>
        <v>15000</v>
      </c>
      <c r="G519" s="6" t="str">
        <f t="shared" si="871"/>
        <v>CUP_MVP</v>
      </c>
      <c r="H519" s="14">
        <f t="shared" si="872"/>
        <v>151</v>
      </c>
      <c r="I519" s="33">
        <f t="shared" si="873"/>
        <v>6.6225165562913907E-3</v>
      </c>
      <c r="J519" s="17">
        <f t="shared" si="874"/>
        <v>1</v>
      </c>
      <c r="K519" s="17">
        <f t="shared" si="875"/>
        <v>40</v>
      </c>
      <c r="L519" s="18">
        <f t="shared" si="876"/>
        <v>1.3226294635992208</v>
      </c>
      <c r="M519" s="34">
        <f t="shared" si="877"/>
        <v>0.32262946359922084</v>
      </c>
      <c r="N519" s="33">
        <f t="shared" si="878"/>
        <v>5.0070837967496886E-3</v>
      </c>
      <c r="O519" s="33">
        <f t="shared" si="879"/>
        <v>4.112264421549789E-3</v>
      </c>
      <c r="P519" s="33">
        <f t="shared" si="880"/>
        <v>2.854850310079168E-3</v>
      </c>
      <c r="Q519" s="33">
        <f t="shared" si="881"/>
        <v>2.854850310079168E-3</v>
      </c>
      <c r="R519" s="35">
        <f t="shared" si="882"/>
        <v>1.0949721017619596</v>
      </c>
      <c r="S519" s="35">
        <f t="shared" si="883"/>
        <v>8.785373879116147E-3</v>
      </c>
    </row>
    <row r="520" spans="1:19" ht="15" customHeight="1" x14ac:dyDescent="0.3">
      <c r="A520" s="30">
        <f>Odds_Input!A520</f>
        <v>512</v>
      </c>
      <c r="B520" s="7" t="str">
        <f>Odds_Input!B520</f>
        <v>LDR_PPG</v>
      </c>
      <c r="C520" s="7" t="str">
        <f>Odds_Input!C520</f>
        <v>Luka Doncic</v>
      </c>
      <c r="D520" s="7" t="str">
        <f>Odds_Input!D520</f>
        <v>YES</v>
      </c>
      <c r="E520" s="31" t="str">
        <f>Odds_Input!E520</f>
        <v>-</v>
      </c>
      <c r="F520" s="32">
        <f>Odds_Input!F520</f>
        <v>-120</v>
      </c>
      <c r="G520" s="6" t="str">
        <f t="shared" ref="G520:G583" si="884">IF(OR(B520="WINS",B520="PLAYOFFS"),B520&amp;"|"&amp;C520&amp;IF(B520="WINS","|"&amp;TEXT(E520,"0.0"),""),B520)</f>
        <v>LDR_PPG</v>
      </c>
      <c r="H520" s="14">
        <f t="shared" ref="H520:H583" si="885">IF(F520&gt;0,1+F520/100,1+100/ABS(F520))</f>
        <v>1.8333333333333335</v>
      </c>
      <c r="I520" s="33">
        <f t="shared" ref="I520:I583" si="886">1/H520</f>
        <v>0.54545454545454541</v>
      </c>
      <c r="J520" s="17">
        <f t="shared" ref="J520:J583" si="887">IF(LEFT(B520,6)="PLAYIN",A_playin_slots,1)</f>
        <v>1</v>
      </c>
      <c r="K520" s="17">
        <f t="shared" ref="K520:K583" si="888">COUNTIF($G$8:$G$694,G520)</f>
        <v>21</v>
      </c>
      <c r="L520" s="18">
        <f t="shared" ref="L520:L583" si="889">SUMIF($G$8:$G$694,G520,$I$8:$I$694)</f>
        <v>1.1852000857732747</v>
      </c>
      <c r="M520" s="34">
        <f t="shared" ref="M520:M583" si="890">L520/J520-1</f>
        <v>0.18520008577327474</v>
      </c>
      <c r="N520" s="33">
        <f t="shared" ref="N520:N583" si="891">I520*J520/L520</f>
        <v>0.46022148665190804</v>
      </c>
      <c r="O520" s="33">
        <f t="shared" ref="O520:O583" si="892">I520^R520</f>
        <v>0.50992914628295327</v>
      </c>
      <c r="P520" s="33">
        <f t="shared" ref="P520:P583" si="893">IF(J520&lt;&gt;1,O520,IF(L520&lt;=1,I520/L520,(SQRT(S520^2+4*(1-S520)*I520^2/L520)-S520)/(2*(1-S520))))</f>
        <v>0.49777418345913887</v>
      </c>
      <c r="Q520" s="33">
        <f t="shared" ref="Q520:Q583" si="894">IF(A_devig="Multiplicative",N520,IF(A_devig="Power",O520,P520))</f>
        <v>0.49777418345913887</v>
      </c>
      <c r="R520" s="35">
        <f t="shared" ref="R520:R583" si="895">INDEX($KA$8:$KA$96,MATCH(G520,$X$8:$X$96,0))</f>
        <v>1.1111098994733761</v>
      </c>
      <c r="S520" s="35">
        <f t="shared" ref="S520:S583" si="896">INDEX($KB$8:$KB$96,MATCH(G520,$X$8:$X$96,0))</f>
        <v>1.3003314054033602E-2</v>
      </c>
    </row>
    <row r="521" spans="1:19" ht="15" customHeight="1" x14ac:dyDescent="0.3">
      <c r="A521" s="30">
        <f>Odds_Input!A521</f>
        <v>513</v>
      </c>
      <c r="B521" s="7" t="str">
        <f>Odds_Input!B521</f>
        <v>LDR_PPG</v>
      </c>
      <c r="C521" s="7" t="str">
        <f>Odds_Input!C521</f>
        <v>Shai Gilgeous Alexander</v>
      </c>
      <c r="D521" s="7" t="str">
        <f>Odds_Input!D521</f>
        <v>YES</v>
      </c>
      <c r="E521" s="31" t="str">
        <f>Odds_Input!E521</f>
        <v>-</v>
      </c>
      <c r="F521" s="32">
        <f>Odds_Input!F521</f>
        <v>250</v>
      </c>
      <c r="G521" s="6" t="str">
        <f t="shared" si="884"/>
        <v>LDR_PPG</v>
      </c>
      <c r="H521" s="14">
        <f t="shared" si="885"/>
        <v>3.5</v>
      </c>
      <c r="I521" s="33">
        <f t="shared" si="886"/>
        <v>0.2857142857142857</v>
      </c>
      <c r="J521" s="17">
        <f t="shared" si="887"/>
        <v>1</v>
      </c>
      <c r="K521" s="17">
        <f t="shared" si="888"/>
        <v>21</v>
      </c>
      <c r="L521" s="18">
        <f t="shared" si="889"/>
        <v>1.1852000857732747</v>
      </c>
      <c r="M521" s="34">
        <f t="shared" si="890"/>
        <v>0.18520008577327474</v>
      </c>
      <c r="N521" s="33">
        <f t="shared" si="891"/>
        <v>0.24106839777004707</v>
      </c>
      <c r="O521" s="33">
        <f t="shared" si="892"/>
        <v>0.24858825738702378</v>
      </c>
      <c r="P521" s="33">
        <f t="shared" si="893"/>
        <v>0.2576616264136013</v>
      </c>
      <c r="Q521" s="33">
        <f t="shared" si="894"/>
        <v>0.2576616264136013</v>
      </c>
      <c r="R521" s="35">
        <f t="shared" si="895"/>
        <v>1.1111098994733761</v>
      </c>
      <c r="S521" s="35">
        <f t="shared" si="896"/>
        <v>1.3003314054033602E-2</v>
      </c>
    </row>
    <row r="522" spans="1:19" ht="15" customHeight="1" x14ac:dyDescent="0.3">
      <c r="A522" s="30">
        <f>Odds_Input!A522</f>
        <v>514</v>
      </c>
      <c r="B522" s="7" t="str">
        <f>Odds_Input!B522</f>
        <v>LDR_PPG</v>
      </c>
      <c r="C522" s="7" t="str">
        <f>Odds_Input!C522</f>
        <v>Anthony Edwards</v>
      </c>
      <c r="D522" s="7" t="str">
        <f>Odds_Input!D522</f>
        <v>YES</v>
      </c>
      <c r="E522" s="31" t="str">
        <f>Odds_Input!E522</f>
        <v>-</v>
      </c>
      <c r="F522" s="32">
        <f>Odds_Input!F522</f>
        <v>1150</v>
      </c>
      <c r="G522" s="6" t="str">
        <f t="shared" si="884"/>
        <v>LDR_PPG</v>
      </c>
      <c r="H522" s="14">
        <f t="shared" si="885"/>
        <v>12.5</v>
      </c>
      <c r="I522" s="33">
        <f t="shared" si="886"/>
        <v>0.08</v>
      </c>
      <c r="J522" s="17">
        <f t="shared" si="887"/>
        <v>1</v>
      </c>
      <c r="K522" s="17">
        <f t="shared" si="888"/>
        <v>21</v>
      </c>
      <c r="L522" s="18">
        <f t="shared" si="889"/>
        <v>1.1852000857732747</v>
      </c>
      <c r="M522" s="34">
        <f t="shared" si="890"/>
        <v>0.18520008577327474</v>
      </c>
      <c r="N522" s="33">
        <f t="shared" si="891"/>
        <v>6.7499151375613187E-2</v>
      </c>
      <c r="O522" s="33">
        <f t="shared" si="892"/>
        <v>6.042441099919902E-2</v>
      </c>
      <c r="P522" s="33">
        <f t="shared" si="893"/>
        <v>6.7672142772614616E-2</v>
      </c>
      <c r="Q522" s="33">
        <f t="shared" si="894"/>
        <v>6.7672142772614616E-2</v>
      </c>
      <c r="R522" s="35">
        <f t="shared" si="895"/>
        <v>1.1111098994733761</v>
      </c>
      <c r="S522" s="35">
        <f t="shared" si="896"/>
        <v>1.3003314054033602E-2</v>
      </c>
    </row>
    <row r="523" spans="1:19" ht="15" customHeight="1" x14ac:dyDescent="0.3">
      <c r="A523" s="30">
        <f>Odds_Input!A523</f>
        <v>515</v>
      </c>
      <c r="B523" s="7" t="str">
        <f>Odds_Input!B523</f>
        <v>LDR_PPG</v>
      </c>
      <c r="C523" s="7" t="str">
        <f>Odds_Input!C523</f>
        <v>Giannis Antetokounmpo</v>
      </c>
      <c r="D523" s="7" t="str">
        <f>Odds_Input!D523</f>
        <v>YES</v>
      </c>
      <c r="E523" s="31" t="str">
        <f>Odds_Input!E523</f>
        <v>-</v>
      </c>
      <c r="F523" s="32">
        <f>Odds_Input!F523</f>
        <v>1400</v>
      </c>
      <c r="G523" s="6" t="str">
        <f t="shared" si="884"/>
        <v>LDR_PPG</v>
      </c>
      <c r="H523" s="14">
        <f t="shared" si="885"/>
        <v>15</v>
      </c>
      <c r="I523" s="33">
        <f t="shared" si="886"/>
        <v>6.6666666666666666E-2</v>
      </c>
      <c r="J523" s="17">
        <f t="shared" si="887"/>
        <v>1</v>
      </c>
      <c r="K523" s="17">
        <f t="shared" si="888"/>
        <v>21</v>
      </c>
      <c r="L523" s="18">
        <f t="shared" si="889"/>
        <v>1.1852000857732747</v>
      </c>
      <c r="M523" s="34">
        <f t="shared" si="890"/>
        <v>0.18520008577327474</v>
      </c>
      <c r="N523" s="33">
        <f t="shared" si="891"/>
        <v>5.6249292813010984E-2</v>
      </c>
      <c r="O523" s="33">
        <f t="shared" si="892"/>
        <v>4.934388721581822E-2</v>
      </c>
      <c r="P523" s="33">
        <f t="shared" si="893"/>
        <v>5.5402602922956595E-2</v>
      </c>
      <c r="Q523" s="33">
        <f t="shared" si="894"/>
        <v>5.5402602922956595E-2</v>
      </c>
      <c r="R523" s="35">
        <f t="shared" si="895"/>
        <v>1.1111098994733761</v>
      </c>
      <c r="S523" s="35">
        <f t="shared" si="896"/>
        <v>1.3003314054033602E-2</v>
      </c>
    </row>
    <row r="524" spans="1:19" ht="15" customHeight="1" x14ac:dyDescent="0.3">
      <c r="A524" s="30">
        <f>Odds_Input!A524</f>
        <v>516</v>
      </c>
      <c r="B524" s="7" t="str">
        <f>Odds_Input!B524</f>
        <v>LDR_PPG</v>
      </c>
      <c r="C524" s="7" t="str">
        <f>Odds_Input!C524</f>
        <v>Jayson Tatum</v>
      </c>
      <c r="D524" s="7" t="str">
        <f>Odds_Input!D524</f>
        <v>YES</v>
      </c>
      <c r="E524" s="31" t="str">
        <f>Odds_Input!E524</f>
        <v>-</v>
      </c>
      <c r="F524" s="32">
        <f>Odds_Input!F524</f>
        <v>2500</v>
      </c>
      <c r="G524" s="6" t="str">
        <f t="shared" si="884"/>
        <v>LDR_PPG</v>
      </c>
      <c r="H524" s="14">
        <f t="shared" si="885"/>
        <v>26</v>
      </c>
      <c r="I524" s="33">
        <f t="shared" si="886"/>
        <v>3.8461538461538464E-2</v>
      </c>
      <c r="J524" s="17">
        <f t="shared" si="887"/>
        <v>1</v>
      </c>
      <c r="K524" s="17">
        <f t="shared" si="888"/>
        <v>21</v>
      </c>
      <c r="L524" s="18">
        <f t="shared" si="889"/>
        <v>1.1852000857732747</v>
      </c>
      <c r="M524" s="34">
        <f t="shared" si="890"/>
        <v>0.18520008577327474</v>
      </c>
      <c r="N524" s="33">
        <f t="shared" si="891"/>
        <v>3.2451515084429415E-2</v>
      </c>
      <c r="O524" s="33">
        <f t="shared" si="892"/>
        <v>2.6779909534193114E-2</v>
      </c>
      <c r="P524" s="33">
        <f t="shared" si="893"/>
        <v>2.9578576306262112E-2</v>
      </c>
      <c r="Q524" s="33">
        <f t="shared" si="894"/>
        <v>2.9578576306262112E-2</v>
      </c>
      <c r="R524" s="35">
        <f t="shared" si="895"/>
        <v>1.1111098994733761</v>
      </c>
      <c r="S524" s="35">
        <f t="shared" si="896"/>
        <v>1.3003314054033602E-2</v>
      </c>
    </row>
    <row r="525" spans="1:19" ht="15" customHeight="1" x14ac:dyDescent="0.3">
      <c r="A525" s="30">
        <f>Odds_Input!A525</f>
        <v>517</v>
      </c>
      <c r="B525" s="7" t="str">
        <f>Odds_Input!B525</f>
        <v>LDR_PPG</v>
      </c>
      <c r="C525" s="7" t="str">
        <f>Odds_Input!C525</f>
        <v>Nikola Jokic</v>
      </c>
      <c r="D525" s="7" t="str">
        <f>Odds_Input!D525</f>
        <v>YES</v>
      </c>
      <c r="E525" s="31" t="str">
        <f>Odds_Input!E525</f>
        <v>-</v>
      </c>
      <c r="F525" s="32">
        <f>Odds_Input!F525</f>
        <v>3400</v>
      </c>
      <c r="G525" s="6" t="str">
        <f t="shared" si="884"/>
        <v>LDR_PPG</v>
      </c>
      <c r="H525" s="14">
        <f t="shared" si="885"/>
        <v>35</v>
      </c>
      <c r="I525" s="33">
        <f t="shared" si="886"/>
        <v>2.8571428571428571E-2</v>
      </c>
      <c r="J525" s="17">
        <f t="shared" si="887"/>
        <v>1</v>
      </c>
      <c r="K525" s="17">
        <f t="shared" si="888"/>
        <v>21</v>
      </c>
      <c r="L525" s="18">
        <f t="shared" si="889"/>
        <v>1.1852000857732747</v>
      </c>
      <c r="M525" s="34">
        <f t="shared" si="890"/>
        <v>0.18520008577327474</v>
      </c>
      <c r="N525" s="33">
        <f t="shared" si="891"/>
        <v>2.4106839777004709E-2</v>
      </c>
      <c r="O525" s="33">
        <f t="shared" si="892"/>
        <v>1.9247339661634607E-2</v>
      </c>
      <c r="P525" s="33">
        <f t="shared" si="893"/>
        <v>2.0638295377572235E-2</v>
      </c>
      <c r="Q525" s="33">
        <f t="shared" si="894"/>
        <v>2.0638295377572235E-2</v>
      </c>
      <c r="R525" s="35">
        <f t="shared" si="895"/>
        <v>1.1111098994733761</v>
      </c>
      <c r="S525" s="35">
        <f t="shared" si="896"/>
        <v>1.3003314054033602E-2</v>
      </c>
    </row>
    <row r="526" spans="1:19" ht="15" customHeight="1" x14ac:dyDescent="0.3">
      <c r="A526" s="30">
        <f>Odds_Input!A526</f>
        <v>518</v>
      </c>
      <c r="B526" s="7" t="str">
        <f>Odds_Input!B526</f>
        <v>LDR_PPG</v>
      </c>
      <c r="C526" s="7" t="str">
        <f>Odds_Input!C526</f>
        <v>Victor Wembanyama</v>
      </c>
      <c r="D526" s="7" t="str">
        <f>Odds_Input!D526</f>
        <v>YES</v>
      </c>
      <c r="E526" s="31" t="str">
        <f>Odds_Input!E526</f>
        <v>-</v>
      </c>
      <c r="F526" s="32">
        <f>Odds_Input!F526</f>
        <v>3900</v>
      </c>
      <c r="G526" s="6" t="str">
        <f t="shared" si="884"/>
        <v>LDR_PPG</v>
      </c>
      <c r="H526" s="14">
        <f t="shared" si="885"/>
        <v>40</v>
      </c>
      <c r="I526" s="33">
        <f t="shared" si="886"/>
        <v>2.5000000000000001E-2</v>
      </c>
      <c r="J526" s="17">
        <f t="shared" si="887"/>
        <v>1</v>
      </c>
      <c r="K526" s="17">
        <f t="shared" si="888"/>
        <v>21</v>
      </c>
      <c r="L526" s="18">
        <f t="shared" si="889"/>
        <v>1.1852000857732747</v>
      </c>
      <c r="M526" s="34">
        <f t="shared" si="890"/>
        <v>0.18520008577327474</v>
      </c>
      <c r="N526" s="33">
        <f t="shared" si="891"/>
        <v>2.1093484804879121E-2</v>
      </c>
      <c r="O526" s="33">
        <f t="shared" si="892"/>
        <v>1.6593396243439699E-2</v>
      </c>
      <c r="P526" s="33">
        <f t="shared" si="893"/>
        <v>1.744760431297053E-2</v>
      </c>
      <c r="Q526" s="33">
        <f t="shared" si="894"/>
        <v>1.744760431297053E-2</v>
      </c>
      <c r="R526" s="35">
        <f t="shared" si="895"/>
        <v>1.1111098994733761</v>
      </c>
      <c r="S526" s="35">
        <f t="shared" si="896"/>
        <v>1.3003314054033602E-2</v>
      </c>
    </row>
    <row r="527" spans="1:19" ht="15" customHeight="1" x14ac:dyDescent="0.3">
      <c r="A527" s="30">
        <f>Odds_Input!A527</f>
        <v>519</v>
      </c>
      <c r="B527" s="7" t="str">
        <f>Odds_Input!B527</f>
        <v>LDR_PPG</v>
      </c>
      <c r="C527" s="7" t="str">
        <f>Odds_Input!C527</f>
        <v>Donovan Mitchell</v>
      </c>
      <c r="D527" s="7" t="str">
        <f>Odds_Input!D527</f>
        <v>YES</v>
      </c>
      <c r="E527" s="31" t="str">
        <f>Odds_Input!E527</f>
        <v>-</v>
      </c>
      <c r="F527" s="32">
        <f>Odds_Input!F527</f>
        <v>4200</v>
      </c>
      <c r="G527" s="6" t="str">
        <f t="shared" si="884"/>
        <v>LDR_PPG</v>
      </c>
      <c r="H527" s="14">
        <f t="shared" si="885"/>
        <v>43</v>
      </c>
      <c r="I527" s="33">
        <f t="shared" si="886"/>
        <v>2.3255813953488372E-2</v>
      </c>
      <c r="J527" s="17">
        <f t="shared" si="887"/>
        <v>1</v>
      </c>
      <c r="K527" s="17">
        <f t="shared" si="888"/>
        <v>21</v>
      </c>
      <c r="L527" s="18">
        <f t="shared" si="889"/>
        <v>1.1852000857732747</v>
      </c>
      <c r="M527" s="34">
        <f t="shared" si="890"/>
        <v>0.18520008577327474</v>
      </c>
      <c r="N527" s="33">
        <f t="shared" si="891"/>
        <v>1.962184633012011E-2</v>
      </c>
      <c r="O527" s="33">
        <f t="shared" si="892"/>
        <v>1.5312180098108433E-2</v>
      </c>
      <c r="P527" s="33">
        <f t="shared" si="893"/>
        <v>1.5901051614187298E-2</v>
      </c>
      <c r="Q527" s="33">
        <f t="shared" si="894"/>
        <v>1.5901051614187298E-2</v>
      </c>
      <c r="R527" s="35">
        <f t="shared" si="895"/>
        <v>1.1111098994733761</v>
      </c>
      <c r="S527" s="35">
        <f t="shared" si="896"/>
        <v>1.3003314054033602E-2</v>
      </c>
    </row>
    <row r="528" spans="1:19" ht="15" customHeight="1" x14ac:dyDescent="0.3">
      <c r="A528" s="30">
        <f>Odds_Input!A528</f>
        <v>520</v>
      </c>
      <c r="B528" s="7" t="str">
        <f>Odds_Input!B528</f>
        <v>LDR_PPG</v>
      </c>
      <c r="C528" s="7" t="str">
        <f>Odds_Input!C528</f>
        <v>Jalen Brunson</v>
      </c>
      <c r="D528" s="7" t="str">
        <f>Odds_Input!D528</f>
        <v>YES</v>
      </c>
      <c r="E528" s="31" t="str">
        <f>Odds_Input!E528</f>
        <v>-</v>
      </c>
      <c r="F528" s="32">
        <f>Odds_Input!F528</f>
        <v>6900</v>
      </c>
      <c r="G528" s="6" t="str">
        <f t="shared" si="884"/>
        <v>LDR_PPG</v>
      </c>
      <c r="H528" s="14">
        <f t="shared" si="885"/>
        <v>70</v>
      </c>
      <c r="I528" s="33">
        <f t="shared" si="886"/>
        <v>1.4285714285714285E-2</v>
      </c>
      <c r="J528" s="17">
        <f t="shared" si="887"/>
        <v>1</v>
      </c>
      <c r="K528" s="17">
        <f t="shared" si="888"/>
        <v>21</v>
      </c>
      <c r="L528" s="18">
        <f t="shared" si="889"/>
        <v>1.1852000857732747</v>
      </c>
      <c r="M528" s="34">
        <f t="shared" si="890"/>
        <v>0.18520008577327474</v>
      </c>
      <c r="N528" s="33">
        <f t="shared" si="891"/>
        <v>1.2053419888502354E-2</v>
      </c>
      <c r="O528" s="33">
        <f t="shared" si="892"/>
        <v>8.9103200190250916E-3</v>
      </c>
      <c r="P528" s="33">
        <f t="shared" si="893"/>
        <v>8.172529534534595E-3</v>
      </c>
      <c r="Q528" s="33">
        <f t="shared" si="894"/>
        <v>8.172529534534595E-3</v>
      </c>
      <c r="R528" s="35">
        <f t="shared" si="895"/>
        <v>1.1111098994733761</v>
      </c>
      <c r="S528" s="35">
        <f t="shared" si="896"/>
        <v>1.3003314054033602E-2</v>
      </c>
    </row>
    <row r="529" spans="1:19" ht="15" customHeight="1" x14ac:dyDescent="0.3">
      <c r="A529" s="30">
        <f>Odds_Input!A529</f>
        <v>521</v>
      </c>
      <c r="B529" s="7" t="str">
        <f>Odds_Input!B529</f>
        <v>LDR_PPG</v>
      </c>
      <c r="C529" s="7" t="str">
        <f>Odds_Input!C529</f>
        <v>Devin Booker</v>
      </c>
      <c r="D529" s="7" t="str">
        <f>Odds_Input!D529</f>
        <v>YES</v>
      </c>
      <c r="E529" s="31" t="str">
        <f>Odds_Input!E529</f>
        <v>-</v>
      </c>
      <c r="F529" s="32">
        <f>Odds_Input!F529</f>
        <v>8000</v>
      </c>
      <c r="G529" s="6" t="str">
        <f t="shared" si="884"/>
        <v>LDR_PPG</v>
      </c>
      <c r="H529" s="14">
        <f t="shared" si="885"/>
        <v>81</v>
      </c>
      <c r="I529" s="33">
        <f t="shared" si="886"/>
        <v>1.2345679012345678E-2</v>
      </c>
      <c r="J529" s="17">
        <f t="shared" si="887"/>
        <v>1</v>
      </c>
      <c r="K529" s="17">
        <f t="shared" si="888"/>
        <v>21</v>
      </c>
      <c r="L529" s="18">
        <f t="shared" si="889"/>
        <v>1.1852000857732747</v>
      </c>
      <c r="M529" s="34">
        <f t="shared" si="890"/>
        <v>0.18520008577327474</v>
      </c>
      <c r="N529" s="33">
        <f t="shared" si="891"/>
        <v>1.0416535706113145E-2</v>
      </c>
      <c r="O529" s="33">
        <f t="shared" si="892"/>
        <v>7.5764088469123707E-3</v>
      </c>
      <c r="P529" s="33">
        <f t="shared" si="893"/>
        <v>6.5916904948634322E-3</v>
      </c>
      <c r="Q529" s="33">
        <f t="shared" si="894"/>
        <v>6.5916904948634322E-3</v>
      </c>
      <c r="R529" s="35">
        <f t="shared" si="895"/>
        <v>1.1111098994733761</v>
      </c>
      <c r="S529" s="35">
        <f t="shared" si="896"/>
        <v>1.3003314054033602E-2</v>
      </c>
    </row>
    <row r="530" spans="1:19" ht="15" customHeight="1" x14ac:dyDescent="0.3">
      <c r="A530" s="30">
        <f>Odds_Input!A530</f>
        <v>522</v>
      </c>
      <c r="B530" s="7" t="str">
        <f>Odds_Input!B530</f>
        <v>LDR_PPG</v>
      </c>
      <c r="C530" s="7" t="str">
        <f>Odds_Input!C530</f>
        <v>Tyrese Maxey</v>
      </c>
      <c r="D530" s="7" t="str">
        <f>Odds_Input!D530</f>
        <v>YES</v>
      </c>
      <c r="E530" s="31" t="str">
        <f>Odds_Input!E530</f>
        <v>-</v>
      </c>
      <c r="F530" s="32">
        <f>Odds_Input!F530</f>
        <v>8500</v>
      </c>
      <c r="G530" s="6" t="str">
        <f t="shared" si="884"/>
        <v>LDR_PPG</v>
      </c>
      <c r="H530" s="14">
        <f t="shared" si="885"/>
        <v>86</v>
      </c>
      <c r="I530" s="33">
        <f t="shared" si="886"/>
        <v>1.1627906976744186E-2</v>
      </c>
      <c r="J530" s="17">
        <f t="shared" si="887"/>
        <v>1</v>
      </c>
      <c r="K530" s="17">
        <f t="shared" si="888"/>
        <v>21</v>
      </c>
      <c r="L530" s="18">
        <f t="shared" si="889"/>
        <v>1.1852000857732747</v>
      </c>
      <c r="M530" s="34">
        <f t="shared" si="890"/>
        <v>0.18520008577327474</v>
      </c>
      <c r="N530" s="33">
        <f t="shared" si="891"/>
        <v>9.8109231650600551E-3</v>
      </c>
      <c r="O530" s="33">
        <f t="shared" si="892"/>
        <v>7.0885861247125875E-3</v>
      </c>
      <c r="P530" s="33">
        <f t="shared" si="893"/>
        <v>6.0212615162966651E-3</v>
      </c>
      <c r="Q530" s="33">
        <f t="shared" si="894"/>
        <v>6.0212615162966651E-3</v>
      </c>
      <c r="R530" s="35">
        <f t="shared" si="895"/>
        <v>1.1111098994733761</v>
      </c>
      <c r="S530" s="35">
        <f t="shared" si="896"/>
        <v>1.3003314054033602E-2</v>
      </c>
    </row>
    <row r="531" spans="1:19" ht="15" customHeight="1" x14ac:dyDescent="0.3">
      <c r="A531" s="30">
        <f>Odds_Input!A531</f>
        <v>523</v>
      </c>
      <c r="B531" s="7" t="str">
        <f>Odds_Input!B531</f>
        <v>LDR_PPG</v>
      </c>
      <c r="C531" s="7" t="str">
        <f>Odds_Input!C531</f>
        <v>Kevin Durant</v>
      </c>
      <c r="D531" s="7" t="str">
        <f>Odds_Input!D531</f>
        <v>YES</v>
      </c>
      <c r="E531" s="31" t="str">
        <f>Odds_Input!E531</f>
        <v>-</v>
      </c>
      <c r="F531" s="32">
        <f>Odds_Input!F531</f>
        <v>13000</v>
      </c>
      <c r="G531" s="6" t="str">
        <f t="shared" si="884"/>
        <v>LDR_PPG</v>
      </c>
      <c r="H531" s="14">
        <f t="shared" si="885"/>
        <v>131</v>
      </c>
      <c r="I531" s="33">
        <f t="shared" si="886"/>
        <v>7.6335877862595417E-3</v>
      </c>
      <c r="J531" s="17">
        <f t="shared" si="887"/>
        <v>1</v>
      </c>
      <c r="K531" s="17">
        <f t="shared" si="888"/>
        <v>21</v>
      </c>
      <c r="L531" s="18">
        <f t="shared" si="889"/>
        <v>1.1852000857732747</v>
      </c>
      <c r="M531" s="34">
        <f t="shared" si="890"/>
        <v>0.18520008577327474</v>
      </c>
      <c r="N531" s="33">
        <f t="shared" si="891"/>
        <v>6.4407587190470593E-3</v>
      </c>
      <c r="O531" s="33">
        <f t="shared" si="892"/>
        <v>4.4409808814352024E-3</v>
      </c>
      <c r="P531" s="33">
        <f t="shared" si="893"/>
        <v>3.0670398486278669E-3</v>
      </c>
      <c r="Q531" s="33">
        <f t="shared" si="894"/>
        <v>3.0670398486278669E-3</v>
      </c>
      <c r="R531" s="35">
        <f t="shared" si="895"/>
        <v>1.1111098994733761</v>
      </c>
      <c r="S531" s="35">
        <f t="shared" si="896"/>
        <v>1.3003314054033602E-2</v>
      </c>
    </row>
    <row r="532" spans="1:19" ht="15" customHeight="1" x14ac:dyDescent="0.3">
      <c r="A532" s="30">
        <f>Odds_Input!A532</f>
        <v>524</v>
      </c>
      <c r="B532" s="7" t="str">
        <f>Odds_Input!B532</f>
        <v>LDR_PPG</v>
      </c>
      <c r="C532" s="7" t="str">
        <f>Odds_Input!C532</f>
        <v>Stephen Curry</v>
      </c>
      <c r="D532" s="7" t="str">
        <f>Odds_Input!D532</f>
        <v>YES</v>
      </c>
      <c r="E532" s="31" t="str">
        <f>Odds_Input!E532</f>
        <v>-</v>
      </c>
      <c r="F532" s="32">
        <f>Odds_Input!F532</f>
        <v>16000</v>
      </c>
      <c r="G532" s="6" t="str">
        <f t="shared" si="884"/>
        <v>LDR_PPG</v>
      </c>
      <c r="H532" s="14">
        <f t="shared" si="885"/>
        <v>161</v>
      </c>
      <c r="I532" s="33">
        <f t="shared" si="886"/>
        <v>6.2111801242236021E-3</v>
      </c>
      <c r="J532" s="17">
        <f t="shared" si="887"/>
        <v>1</v>
      </c>
      <c r="K532" s="17">
        <f t="shared" si="888"/>
        <v>21</v>
      </c>
      <c r="L532" s="18">
        <f t="shared" si="889"/>
        <v>1.1852000857732747</v>
      </c>
      <c r="M532" s="34">
        <f t="shared" si="890"/>
        <v>0.18520008577327474</v>
      </c>
      <c r="N532" s="33">
        <f t="shared" si="891"/>
        <v>5.2406173428271099E-3</v>
      </c>
      <c r="O532" s="33">
        <f t="shared" si="892"/>
        <v>3.5316196349573343E-3</v>
      </c>
      <c r="P532" s="33">
        <f t="shared" si="893"/>
        <v>2.1517914418573672E-3</v>
      </c>
      <c r="Q532" s="33">
        <f t="shared" si="894"/>
        <v>2.1517914418573672E-3</v>
      </c>
      <c r="R532" s="35">
        <f t="shared" si="895"/>
        <v>1.1111098994733761</v>
      </c>
      <c r="S532" s="35">
        <f t="shared" si="896"/>
        <v>1.3003314054033602E-2</v>
      </c>
    </row>
    <row r="533" spans="1:19" ht="15" customHeight="1" x14ac:dyDescent="0.3">
      <c r="A533" s="30">
        <f>Odds_Input!A533</f>
        <v>525</v>
      </c>
      <c r="B533" s="7" t="str">
        <f>Odds_Input!B533</f>
        <v>LDR_PPG</v>
      </c>
      <c r="C533" s="7" t="str">
        <f>Odds_Input!C533</f>
        <v>Kawhi Leonard</v>
      </c>
      <c r="D533" s="7" t="str">
        <f>Odds_Input!D533</f>
        <v>YES</v>
      </c>
      <c r="E533" s="31" t="str">
        <f>Odds_Input!E533</f>
        <v>-</v>
      </c>
      <c r="F533" s="32">
        <f>Odds_Input!F533</f>
        <v>16000</v>
      </c>
      <c r="G533" s="6" t="str">
        <f t="shared" si="884"/>
        <v>LDR_PPG</v>
      </c>
      <c r="H533" s="14">
        <f t="shared" si="885"/>
        <v>161</v>
      </c>
      <c r="I533" s="33">
        <f t="shared" si="886"/>
        <v>6.2111801242236021E-3</v>
      </c>
      <c r="J533" s="17">
        <f t="shared" si="887"/>
        <v>1</v>
      </c>
      <c r="K533" s="17">
        <f t="shared" si="888"/>
        <v>21</v>
      </c>
      <c r="L533" s="18">
        <f t="shared" si="889"/>
        <v>1.1852000857732747</v>
      </c>
      <c r="M533" s="34">
        <f t="shared" si="890"/>
        <v>0.18520008577327474</v>
      </c>
      <c r="N533" s="33">
        <f t="shared" si="891"/>
        <v>5.2406173428271099E-3</v>
      </c>
      <c r="O533" s="33">
        <f t="shared" si="892"/>
        <v>3.5316196349573343E-3</v>
      </c>
      <c r="P533" s="33">
        <f t="shared" si="893"/>
        <v>2.1517914418573672E-3</v>
      </c>
      <c r="Q533" s="33">
        <f t="shared" si="894"/>
        <v>2.1517914418573672E-3</v>
      </c>
      <c r="R533" s="35">
        <f t="shared" si="895"/>
        <v>1.1111098994733761</v>
      </c>
      <c r="S533" s="35">
        <f t="shared" si="896"/>
        <v>1.3003314054033602E-2</v>
      </c>
    </row>
    <row r="534" spans="1:19" ht="15" customHeight="1" x14ac:dyDescent="0.3">
      <c r="A534" s="30">
        <f>Odds_Input!A534</f>
        <v>526</v>
      </c>
      <c r="B534" s="7" t="str">
        <f>Odds_Input!B534</f>
        <v>LDR_PPG</v>
      </c>
      <c r="C534" s="7" t="str">
        <f>Odds_Input!C534</f>
        <v>Jaylen Brown</v>
      </c>
      <c r="D534" s="7" t="str">
        <f>Odds_Input!D534</f>
        <v>YES</v>
      </c>
      <c r="E534" s="31" t="str">
        <f>Odds_Input!E534</f>
        <v>-</v>
      </c>
      <c r="F534" s="32">
        <f>Odds_Input!F534</f>
        <v>15000</v>
      </c>
      <c r="G534" s="6" t="str">
        <f t="shared" si="884"/>
        <v>LDR_PPG</v>
      </c>
      <c r="H534" s="14">
        <f t="shared" si="885"/>
        <v>151</v>
      </c>
      <c r="I534" s="33">
        <f t="shared" si="886"/>
        <v>6.6225165562913907E-3</v>
      </c>
      <c r="J534" s="17">
        <f t="shared" si="887"/>
        <v>1</v>
      </c>
      <c r="K534" s="17">
        <f t="shared" si="888"/>
        <v>21</v>
      </c>
      <c r="L534" s="18">
        <f t="shared" si="889"/>
        <v>1.1852000857732747</v>
      </c>
      <c r="M534" s="34">
        <f t="shared" si="890"/>
        <v>0.18520008577327474</v>
      </c>
      <c r="N534" s="33">
        <f t="shared" si="891"/>
        <v>5.5876780940077135E-3</v>
      </c>
      <c r="O534" s="33">
        <f t="shared" si="892"/>
        <v>3.7924262427677827E-3</v>
      </c>
      <c r="P534" s="33">
        <f t="shared" si="893"/>
        <v>2.4062791146506534E-3</v>
      </c>
      <c r="Q534" s="33">
        <f t="shared" si="894"/>
        <v>2.4062791146506534E-3</v>
      </c>
      <c r="R534" s="35">
        <f t="shared" si="895"/>
        <v>1.1111098994733761</v>
      </c>
      <c r="S534" s="35">
        <f t="shared" si="896"/>
        <v>1.3003314054033602E-2</v>
      </c>
    </row>
    <row r="535" spans="1:19" ht="15" customHeight="1" x14ac:dyDescent="0.3">
      <c r="A535" s="30">
        <f>Odds_Input!A535</f>
        <v>527</v>
      </c>
      <c r="B535" s="7" t="str">
        <f>Odds_Input!B535</f>
        <v>LDR_PPG</v>
      </c>
      <c r="C535" s="7" t="str">
        <f>Odds_Input!C535</f>
        <v>Joel Embiid</v>
      </c>
      <c r="D535" s="7" t="str">
        <f>Odds_Input!D535</f>
        <v>YES</v>
      </c>
      <c r="E535" s="31" t="str">
        <f>Odds_Input!E535</f>
        <v>-</v>
      </c>
      <c r="F535" s="32">
        <f>Odds_Input!F535</f>
        <v>20000</v>
      </c>
      <c r="G535" s="6" t="str">
        <f t="shared" si="884"/>
        <v>LDR_PPG</v>
      </c>
      <c r="H535" s="14">
        <f t="shared" si="885"/>
        <v>201</v>
      </c>
      <c r="I535" s="33">
        <f t="shared" si="886"/>
        <v>4.9751243781094526E-3</v>
      </c>
      <c r="J535" s="17">
        <f t="shared" si="887"/>
        <v>1</v>
      </c>
      <c r="K535" s="17">
        <f t="shared" si="888"/>
        <v>21</v>
      </c>
      <c r="L535" s="18">
        <f t="shared" si="889"/>
        <v>1.1852000857732747</v>
      </c>
      <c r="M535" s="34">
        <f t="shared" si="890"/>
        <v>0.18520008577327474</v>
      </c>
      <c r="N535" s="33">
        <f t="shared" si="891"/>
        <v>4.197708418881417E-3</v>
      </c>
      <c r="O535" s="33">
        <f t="shared" si="892"/>
        <v>2.7599172453534587E-3</v>
      </c>
      <c r="P535" s="33">
        <f t="shared" si="893"/>
        <v>1.4471099325196323E-3</v>
      </c>
      <c r="Q535" s="33">
        <f t="shared" si="894"/>
        <v>1.4471099325196323E-3</v>
      </c>
      <c r="R535" s="35">
        <f t="shared" si="895"/>
        <v>1.1111098994733761</v>
      </c>
      <c r="S535" s="35">
        <f t="shared" si="896"/>
        <v>1.3003314054033602E-2</v>
      </c>
    </row>
    <row r="536" spans="1:19" ht="15" customHeight="1" x14ac:dyDescent="0.3">
      <c r="A536" s="30">
        <f>Odds_Input!A536</f>
        <v>528</v>
      </c>
      <c r="B536" s="7" t="str">
        <f>Odds_Input!B536</f>
        <v>LDR_PPG</v>
      </c>
      <c r="C536" s="7" t="str">
        <f>Odds_Input!C536</f>
        <v>Cade Cunningham</v>
      </c>
      <c r="D536" s="7" t="str">
        <f>Odds_Input!D536</f>
        <v>YES</v>
      </c>
      <c r="E536" s="31" t="str">
        <f>Odds_Input!E536</f>
        <v>-</v>
      </c>
      <c r="F536" s="32">
        <f>Odds_Input!F536</f>
        <v>19000</v>
      </c>
      <c r="G536" s="6" t="str">
        <f t="shared" si="884"/>
        <v>LDR_PPG</v>
      </c>
      <c r="H536" s="14">
        <f t="shared" si="885"/>
        <v>191</v>
      </c>
      <c r="I536" s="33">
        <f t="shared" si="886"/>
        <v>5.235602094240838E-3</v>
      </c>
      <c r="J536" s="17">
        <f t="shared" si="887"/>
        <v>1</v>
      </c>
      <c r="K536" s="17">
        <f t="shared" si="888"/>
        <v>21</v>
      </c>
      <c r="L536" s="18">
        <f t="shared" si="889"/>
        <v>1.1852000857732747</v>
      </c>
      <c r="M536" s="34">
        <f t="shared" si="890"/>
        <v>0.18520008577327474</v>
      </c>
      <c r="N536" s="33">
        <f t="shared" si="891"/>
        <v>4.4174837287704969E-3</v>
      </c>
      <c r="O536" s="33">
        <f t="shared" si="892"/>
        <v>2.9209306414826348E-3</v>
      </c>
      <c r="P536" s="33">
        <f t="shared" si="893"/>
        <v>1.5873785476196124E-3</v>
      </c>
      <c r="Q536" s="33">
        <f t="shared" si="894"/>
        <v>1.5873785476196124E-3</v>
      </c>
      <c r="R536" s="35">
        <f t="shared" si="895"/>
        <v>1.1111098994733761</v>
      </c>
      <c r="S536" s="35">
        <f t="shared" si="896"/>
        <v>1.3003314054033602E-2</v>
      </c>
    </row>
    <row r="537" spans="1:19" ht="15" customHeight="1" x14ac:dyDescent="0.3">
      <c r="A537" s="30">
        <f>Odds_Input!A537</f>
        <v>529</v>
      </c>
      <c r="B537" s="7" t="str">
        <f>Odds_Input!B537</f>
        <v>LDR_PPG</v>
      </c>
      <c r="C537" s="7" t="str">
        <f>Odds_Input!C537</f>
        <v>Austin Reaves</v>
      </c>
      <c r="D537" s="7" t="str">
        <f>Odds_Input!D537</f>
        <v>YES</v>
      </c>
      <c r="E537" s="31" t="str">
        <f>Odds_Input!E537</f>
        <v>-</v>
      </c>
      <c r="F537" s="32">
        <f>Odds_Input!F537</f>
        <v>20000</v>
      </c>
      <c r="G537" s="6" t="str">
        <f t="shared" si="884"/>
        <v>LDR_PPG</v>
      </c>
      <c r="H537" s="14">
        <f t="shared" si="885"/>
        <v>201</v>
      </c>
      <c r="I537" s="33">
        <f t="shared" si="886"/>
        <v>4.9751243781094526E-3</v>
      </c>
      <c r="J537" s="17">
        <f t="shared" si="887"/>
        <v>1</v>
      </c>
      <c r="K537" s="17">
        <f t="shared" si="888"/>
        <v>21</v>
      </c>
      <c r="L537" s="18">
        <f t="shared" si="889"/>
        <v>1.1852000857732747</v>
      </c>
      <c r="M537" s="34">
        <f t="shared" si="890"/>
        <v>0.18520008577327474</v>
      </c>
      <c r="N537" s="33">
        <f t="shared" si="891"/>
        <v>4.197708418881417E-3</v>
      </c>
      <c r="O537" s="33">
        <f t="shared" si="892"/>
        <v>2.7599172453534587E-3</v>
      </c>
      <c r="P537" s="33">
        <f t="shared" si="893"/>
        <v>1.4471099325196323E-3</v>
      </c>
      <c r="Q537" s="33">
        <f t="shared" si="894"/>
        <v>1.4471099325196323E-3</v>
      </c>
      <c r="R537" s="35">
        <f t="shared" si="895"/>
        <v>1.1111098994733761</v>
      </c>
      <c r="S537" s="35">
        <f t="shared" si="896"/>
        <v>1.3003314054033602E-2</v>
      </c>
    </row>
    <row r="538" spans="1:19" ht="15" customHeight="1" x14ac:dyDescent="0.3">
      <c r="A538" s="30">
        <f>Odds_Input!A538</f>
        <v>530</v>
      </c>
      <c r="B538" s="7" t="str">
        <f>Odds_Input!B538</f>
        <v>LDR_PPG</v>
      </c>
      <c r="C538" s="7" t="str">
        <f>Odds_Input!C538</f>
        <v>Michael Porter Jr</v>
      </c>
      <c r="D538" s="7" t="str">
        <f>Odds_Input!D538</f>
        <v>YES</v>
      </c>
      <c r="E538" s="31" t="str">
        <f>Odds_Input!E538</f>
        <v>-</v>
      </c>
      <c r="F538" s="32">
        <f>Odds_Input!F538</f>
        <v>25000</v>
      </c>
      <c r="G538" s="6" t="str">
        <f t="shared" si="884"/>
        <v>LDR_PPG</v>
      </c>
      <c r="H538" s="14">
        <f t="shared" si="885"/>
        <v>251</v>
      </c>
      <c r="I538" s="33">
        <f t="shared" si="886"/>
        <v>3.9840637450199202E-3</v>
      </c>
      <c r="J538" s="17">
        <f t="shared" si="887"/>
        <v>1</v>
      </c>
      <c r="K538" s="17">
        <f t="shared" si="888"/>
        <v>21</v>
      </c>
      <c r="L538" s="18">
        <f t="shared" si="889"/>
        <v>1.1852000857732747</v>
      </c>
      <c r="M538" s="34">
        <f t="shared" si="890"/>
        <v>0.18520008577327474</v>
      </c>
      <c r="N538" s="33">
        <f t="shared" si="891"/>
        <v>3.3615115226898994E-3</v>
      </c>
      <c r="O538" s="33">
        <f t="shared" si="892"/>
        <v>2.1562483126078553E-3</v>
      </c>
      <c r="P538" s="33">
        <f t="shared" si="893"/>
        <v>9.5997842364195811E-4</v>
      </c>
      <c r="Q538" s="33">
        <f t="shared" si="894"/>
        <v>9.5997842364195811E-4</v>
      </c>
      <c r="R538" s="35">
        <f t="shared" si="895"/>
        <v>1.1111098994733761</v>
      </c>
      <c r="S538" s="35">
        <f t="shared" si="896"/>
        <v>1.3003314054033602E-2</v>
      </c>
    </row>
    <row r="539" spans="1:19" ht="15" customHeight="1" x14ac:dyDescent="0.3">
      <c r="A539" s="30">
        <f>Odds_Input!A539</f>
        <v>531</v>
      </c>
      <c r="B539" s="7" t="str">
        <f>Odds_Input!B539</f>
        <v>LDR_PPG</v>
      </c>
      <c r="C539" s="7" t="str">
        <f>Odds_Input!C539</f>
        <v>Jamal Murray</v>
      </c>
      <c r="D539" s="7" t="str">
        <f>Odds_Input!D539</f>
        <v>YES</v>
      </c>
      <c r="E539" s="31" t="str">
        <f>Odds_Input!E539</f>
        <v>-</v>
      </c>
      <c r="F539" s="32">
        <f>Odds_Input!F539</f>
        <v>25000</v>
      </c>
      <c r="G539" s="6" t="str">
        <f t="shared" si="884"/>
        <v>LDR_PPG</v>
      </c>
      <c r="H539" s="14">
        <f t="shared" si="885"/>
        <v>251</v>
      </c>
      <c r="I539" s="33">
        <f t="shared" si="886"/>
        <v>3.9840637450199202E-3</v>
      </c>
      <c r="J539" s="17">
        <f t="shared" si="887"/>
        <v>1</v>
      </c>
      <c r="K539" s="17">
        <f t="shared" si="888"/>
        <v>21</v>
      </c>
      <c r="L539" s="18">
        <f t="shared" si="889"/>
        <v>1.1852000857732747</v>
      </c>
      <c r="M539" s="34">
        <f t="shared" si="890"/>
        <v>0.18520008577327474</v>
      </c>
      <c r="N539" s="33">
        <f t="shared" si="891"/>
        <v>3.3615115226898994E-3</v>
      </c>
      <c r="O539" s="33">
        <f t="shared" si="892"/>
        <v>2.1562483126078553E-3</v>
      </c>
      <c r="P539" s="33">
        <f t="shared" si="893"/>
        <v>9.5997842364195811E-4</v>
      </c>
      <c r="Q539" s="33">
        <f t="shared" si="894"/>
        <v>9.5997842364195811E-4</v>
      </c>
      <c r="R539" s="35">
        <f t="shared" si="895"/>
        <v>1.1111098994733761</v>
      </c>
      <c r="S539" s="35">
        <f t="shared" si="896"/>
        <v>1.3003314054033602E-2</v>
      </c>
    </row>
    <row r="540" spans="1:19" ht="15" customHeight="1" x14ac:dyDescent="0.3">
      <c r="A540" s="30">
        <f>Odds_Input!A540</f>
        <v>532</v>
      </c>
      <c r="B540" s="7" t="str">
        <f>Odds_Input!B540</f>
        <v>LDR_PPG</v>
      </c>
      <c r="C540" s="7" t="str">
        <f>Odds_Input!C540</f>
        <v>Deni Avdija</v>
      </c>
      <c r="D540" s="7" t="str">
        <f>Odds_Input!D540</f>
        <v>YES</v>
      </c>
      <c r="E540" s="31" t="str">
        <f>Odds_Input!E540</f>
        <v>-</v>
      </c>
      <c r="F540" s="32">
        <f>Odds_Input!F540</f>
        <v>25000</v>
      </c>
      <c r="G540" s="6" t="str">
        <f t="shared" si="884"/>
        <v>LDR_PPG</v>
      </c>
      <c r="H540" s="14">
        <f t="shared" si="885"/>
        <v>251</v>
      </c>
      <c r="I540" s="33">
        <f t="shared" si="886"/>
        <v>3.9840637450199202E-3</v>
      </c>
      <c r="J540" s="17">
        <f t="shared" si="887"/>
        <v>1</v>
      </c>
      <c r="K540" s="17">
        <f t="shared" si="888"/>
        <v>21</v>
      </c>
      <c r="L540" s="18">
        <f t="shared" si="889"/>
        <v>1.1852000857732747</v>
      </c>
      <c r="M540" s="34">
        <f t="shared" si="890"/>
        <v>0.18520008577327474</v>
      </c>
      <c r="N540" s="33">
        <f t="shared" si="891"/>
        <v>3.3615115226898994E-3</v>
      </c>
      <c r="O540" s="33">
        <f t="shared" si="892"/>
        <v>2.1562483126078553E-3</v>
      </c>
      <c r="P540" s="33">
        <f t="shared" si="893"/>
        <v>9.5997842364195811E-4</v>
      </c>
      <c r="Q540" s="33">
        <f t="shared" si="894"/>
        <v>9.5997842364195811E-4</v>
      </c>
      <c r="R540" s="35">
        <f t="shared" si="895"/>
        <v>1.1111098994733761</v>
      </c>
      <c r="S540" s="35">
        <f t="shared" si="896"/>
        <v>1.3003314054033602E-2</v>
      </c>
    </row>
    <row r="541" spans="1:19" ht="15" customHeight="1" x14ac:dyDescent="0.3">
      <c r="A541" s="30">
        <f>Odds_Input!A541</f>
        <v>533</v>
      </c>
      <c r="B541" s="7" t="str">
        <f>Odds_Input!B541</f>
        <v>LDR_RPG</v>
      </c>
      <c r="C541" s="7" t="str">
        <f>Odds_Input!C541</f>
        <v>Nikola Jokic</v>
      </c>
      <c r="D541" s="7" t="str">
        <f>Odds_Input!D541</f>
        <v>YES</v>
      </c>
      <c r="E541" s="31" t="str">
        <f>Odds_Input!E541</f>
        <v>-</v>
      </c>
      <c r="F541" s="32">
        <f>Odds_Input!F541</f>
        <v>280</v>
      </c>
      <c r="G541" s="6" t="str">
        <f t="shared" si="884"/>
        <v>LDR_RPG</v>
      </c>
      <c r="H541" s="14">
        <f t="shared" si="885"/>
        <v>3.8</v>
      </c>
      <c r="I541" s="33">
        <f t="shared" si="886"/>
        <v>0.26315789473684209</v>
      </c>
      <c r="J541" s="17">
        <f t="shared" si="887"/>
        <v>1</v>
      </c>
      <c r="K541" s="17">
        <f t="shared" si="888"/>
        <v>24</v>
      </c>
      <c r="L541" s="18">
        <f t="shared" si="889"/>
        <v>1.2026668715421771</v>
      </c>
      <c r="M541" s="34">
        <f t="shared" si="890"/>
        <v>0.20266687154217711</v>
      </c>
      <c r="N541" s="33">
        <f t="shared" si="891"/>
        <v>0.21881195945756393</v>
      </c>
      <c r="O541" s="33">
        <f t="shared" si="892"/>
        <v>0.23712655992161191</v>
      </c>
      <c r="P541" s="33">
        <f t="shared" si="893"/>
        <v>0.2359293297703452</v>
      </c>
      <c r="Q541" s="33">
        <f t="shared" si="894"/>
        <v>0.2359293297703452</v>
      </c>
      <c r="R541" s="35">
        <f t="shared" si="895"/>
        <v>1.0780225635273384</v>
      </c>
      <c r="S541" s="35">
        <f t="shared" si="896"/>
        <v>1.064781320784532E-2</v>
      </c>
    </row>
    <row r="542" spans="1:19" ht="15" customHeight="1" x14ac:dyDescent="0.3">
      <c r="A542" s="30">
        <f>Odds_Input!A542</f>
        <v>534</v>
      </c>
      <c r="B542" s="7" t="str">
        <f>Odds_Input!B542</f>
        <v>LDR_RPG</v>
      </c>
      <c r="C542" s="7" t="str">
        <f>Odds_Input!C542</f>
        <v>Victor Wembanyama</v>
      </c>
      <c r="D542" s="7" t="str">
        <f>Odds_Input!D542</f>
        <v>YES</v>
      </c>
      <c r="E542" s="31" t="str">
        <f>Odds_Input!E542</f>
        <v>-</v>
      </c>
      <c r="F542" s="32">
        <f>Odds_Input!F542</f>
        <v>690</v>
      </c>
      <c r="G542" s="6" t="str">
        <f t="shared" si="884"/>
        <v>LDR_RPG</v>
      </c>
      <c r="H542" s="14">
        <f t="shared" si="885"/>
        <v>7.9</v>
      </c>
      <c r="I542" s="33">
        <f t="shared" si="886"/>
        <v>0.12658227848101264</v>
      </c>
      <c r="J542" s="17">
        <f t="shared" si="887"/>
        <v>1</v>
      </c>
      <c r="K542" s="17">
        <f t="shared" si="888"/>
        <v>24</v>
      </c>
      <c r="L542" s="18">
        <f t="shared" si="889"/>
        <v>1.2026668715421771</v>
      </c>
      <c r="M542" s="34">
        <f t="shared" si="890"/>
        <v>0.20266687154217711</v>
      </c>
      <c r="N542" s="33">
        <f t="shared" si="891"/>
        <v>0.10525132227072694</v>
      </c>
      <c r="O542" s="33">
        <f t="shared" si="892"/>
        <v>0.10773026842576626</v>
      </c>
      <c r="P542" s="33">
        <f t="shared" si="893"/>
        <v>0.11078805380953552</v>
      </c>
      <c r="Q542" s="33">
        <f t="shared" si="894"/>
        <v>0.11078805380953552</v>
      </c>
      <c r="R542" s="35">
        <f t="shared" si="895"/>
        <v>1.0780225635273384</v>
      </c>
      <c r="S542" s="35">
        <f t="shared" si="896"/>
        <v>1.064781320784532E-2</v>
      </c>
    </row>
    <row r="543" spans="1:19" ht="15" customHeight="1" x14ac:dyDescent="0.3">
      <c r="A543" s="30">
        <f>Odds_Input!A543</f>
        <v>535</v>
      </c>
      <c r="B543" s="7" t="str">
        <f>Odds_Input!B543</f>
        <v>LDR_RPG</v>
      </c>
      <c r="C543" s="7" t="str">
        <f>Odds_Input!C543</f>
        <v>Karl Anthony Towns</v>
      </c>
      <c r="D543" s="7" t="str">
        <f>Odds_Input!D543</f>
        <v>YES</v>
      </c>
      <c r="E543" s="31" t="str">
        <f>Odds_Input!E543</f>
        <v>-</v>
      </c>
      <c r="F543" s="32">
        <f>Odds_Input!F543</f>
        <v>700</v>
      </c>
      <c r="G543" s="6" t="str">
        <f t="shared" si="884"/>
        <v>LDR_RPG</v>
      </c>
      <c r="H543" s="14">
        <f t="shared" si="885"/>
        <v>8</v>
      </c>
      <c r="I543" s="33">
        <f t="shared" si="886"/>
        <v>0.125</v>
      </c>
      <c r="J543" s="17">
        <f t="shared" si="887"/>
        <v>1</v>
      </c>
      <c r="K543" s="17">
        <f t="shared" si="888"/>
        <v>24</v>
      </c>
      <c r="L543" s="18">
        <f t="shared" si="889"/>
        <v>1.2026668715421771</v>
      </c>
      <c r="M543" s="34">
        <f t="shared" si="890"/>
        <v>0.20266687154217711</v>
      </c>
      <c r="N543" s="33">
        <f t="shared" si="891"/>
        <v>0.10393568074234287</v>
      </c>
      <c r="O543" s="33">
        <f t="shared" si="892"/>
        <v>0.10627928331637126</v>
      </c>
      <c r="P543" s="33">
        <f t="shared" si="893"/>
        <v>0.10933907361550614</v>
      </c>
      <c r="Q543" s="33">
        <f t="shared" si="894"/>
        <v>0.10933907361550614</v>
      </c>
      <c r="R543" s="35">
        <f t="shared" si="895"/>
        <v>1.0780225635273384</v>
      </c>
      <c r="S543" s="35">
        <f t="shared" si="896"/>
        <v>1.064781320784532E-2</v>
      </c>
    </row>
    <row r="544" spans="1:19" ht="15" customHeight="1" x14ac:dyDescent="0.3">
      <c r="A544" s="30">
        <f>Odds_Input!A544</f>
        <v>536</v>
      </c>
      <c r="B544" s="7" t="str">
        <f>Odds_Input!B544</f>
        <v>LDR_RPG</v>
      </c>
      <c r="C544" s="7" t="str">
        <f>Odds_Input!C544</f>
        <v>Donovan Clingan</v>
      </c>
      <c r="D544" s="7" t="str">
        <f>Odds_Input!D544</f>
        <v>YES</v>
      </c>
      <c r="E544" s="31" t="str">
        <f>Odds_Input!E544</f>
        <v>-</v>
      </c>
      <c r="F544" s="32">
        <f>Odds_Input!F544</f>
        <v>770</v>
      </c>
      <c r="G544" s="6" t="str">
        <f t="shared" si="884"/>
        <v>LDR_RPG</v>
      </c>
      <c r="H544" s="14">
        <f t="shared" si="885"/>
        <v>8.6999999999999993</v>
      </c>
      <c r="I544" s="33">
        <f t="shared" si="886"/>
        <v>0.1149425287356322</v>
      </c>
      <c r="J544" s="17">
        <f t="shared" si="887"/>
        <v>1</v>
      </c>
      <c r="K544" s="17">
        <f t="shared" si="888"/>
        <v>24</v>
      </c>
      <c r="L544" s="18">
        <f t="shared" si="889"/>
        <v>1.2026668715421771</v>
      </c>
      <c r="M544" s="34">
        <f t="shared" si="890"/>
        <v>0.20266687154217711</v>
      </c>
      <c r="N544" s="33">
        <f t="shared" si="891"/>
        <v>9.5573039763073908E-2</v>
      </c>
      <c r="O544" s="33">
        <f t="shared" si="892"/>
        <v>9.7090569117984485E-2</v>
      </c>
      <c r="P544" s="33">
        <f t="shared" si="893"/>
        <v>0.10012990222979223</v>
      </c>
      <c r="Q544" s="33">
        <f t="shared" si="894"/>
        <v>0.10012990222979223</v>
      </c>
      <c r="R544" s="35">
        <f t="shared" si="895"/>
        <v>1.0780225635273384</v>
      </c>
      <c r="S544" s="35">
        <f t="shared" si="896"/>
        <v>1.064781320784532E-2</v>
      </c>
    </row>
    <row r="545" spans="1:19" ht="15" customHeight="1" x14ac:dyDescent="0.3">
      <c r="A545" s="30">
        <f>Odds_Input!A545</f>
        <v>537</v>
      </c>
      <c r="B545" s="7" t="str">
        <f>Odds_Input!B545</f>
        <v>LDR_RPG</v>
      </c>
      <c r="C545" s="7" t="str">
        <f>Odds_Input!C545</f>
        <v>Domantas Sabonis</v>
      </c>
      <c r="D545" s="7" t="str">
        <f>Odds_Input!D545</f>
        <v>YES</v>
      </c>
      <c r="E545" s="31" t="str">
        <f>Odds_Input!E545</f>
        <v>-</v>
      </c>
      <c r="F545" s="32">
        <f>Odds_Input!F545</f>
        <v>900</v>
      </c>
      <c r="G545" s="6" t="str">
        <f t="shared" si="884"/>
        <v>LDR_RPG</v>
      </c>
      <c r="H545" s="14">
        <f t="shared" si="885"/>
        <v>10</v>
      </c>
      <c r="I545" s="33">
        <f t="shared" si="886"/>
        <v>0.1</v>
      </c>
      <c r="J545" s="17">
        <f t="shared" si="887"/>
        <v>1</v>
      </c>
      <c r="K545" s="17">
        <f t="shared" si="888"/>
        <v>24</v>
      </c>
      <c r="L545" s="18">
        <f t="shared" si="889"/>
        <v>1.2026668715421771</v>
      </c>
      <c r="M545" s="34">
        <f t="shared" si="890"/>
        <v>0.20266687154217711</v>
      </c>
      <c r="N545" s="33">
        <f t="shared" si="891"/>
        <v>8.3148544593874302E-2</v>
      </c>
      <c r="O545" s="33">
        <f t="shared" si="892"/>
        <v>8.3555960607069463E-2</v>
      </c>
      <c r="P545" s="33">
        <f t="shared" si="893"/>
        <v>8.6451794251962588E-2</v>
      </c>
      <c r="Q545" s="33">
        <f t="shared" si="894"/>
        <v>8.6451794251962588E-2</v>
      </c>
      <c r="R545" s="35">
        <f t="shared" si="895"/>
        <v>1.0780225635273384</v>
      </c>
      <c r="S545" s="35">
        <f t="shared" si="896"/>
        <v>1.064781320784532E-2</v>
      </c>
    </row>
    <row r="546" spans="1:19" ht="15" customHeight="1" x14ac:dyDescent="0.3">
      <c r="A546" s="30">
        <f>Odds_Input!A546</f>
        <v>538</v>
      </c>
      <c r="B546" s="7" t="str">
        <f>Odds_Input!B546</f>
        <v>LDR_RPG</v>
      </c>
      <c r="C546" s="7" t="str">
        <f>Odds_Input!C546</f>
        <v>Rudy Gobert</v>
      </c>
      <c r="D546" s="7" t="str">
        <f>Odds_Input!D546</f>
        <v>YES</v>
      </c>
      <c r="E546" s="31" t="str">
        <f>Odds_Input!E546</f>
        <v>-</v>
      </c>
      <c r="F546" s="32">
        <f>Odds_Input!F546</f>
        <v>990</v>
      </c>
      <c r="G546" s="6" t="str">
        <f t="shared" si="884"/>
        <v>LDR_RPG</v>
      </c>
      <c r="H546" s="14">
        <f t="shared" si="885"/>
        <v>10.9</v>
      </c>
      <c r="I546" s="33">
        <f t="shared" si="886"/>
        <v>9.1743119266055037E-2</v>
      </c>
      <c r="J546" s="17">
        <f t="shared" si="887"/>
        <v>1</v>
      </c>
      <c r="K546" s="17">
        <f t="shared" si="888"/>
        <v>24</v>
      </c>
      <c r="L546" s="18">
        <f t="shared" si="889"/>
        <v>1.2026668715421771</v>
      </c>
      <c r="M546" s="34">
        <f t="shared" si="890"/>
        <v>0.20266687154217711</v>
      </c>
      <c r="N546" s="33">
        <f t="shared" si="891"/>
        <v>7.6283068434747053E-2</v>
      </c>
      <c r="O546" s="33">
        <f t="shared" si="892"/>
        <v>7.614314786915076E-2</v>
      </c>
      <c r="P546" s="33">
        <f t="shared" si="893"/>
        <v>7.8896456410510268E-2</v>
      </c>
      <c r="Q546" s="33">
        <f t="shared" si="894"/>
        <v>7.8896456410510268E-2</v>
      </c>
      <c r="R546" s="35">
        <f t="shared" si="895"/>
        <v>1.0780225635273384</v>
      </c>
      <c r="S546" s="35">
        <f t="shared" si="896"/>
        <v>1.064781320784532E-2</v>
      </c>
    </row>
    <row r="547" spans="1:19" ht="15" customHeight="1" x14ac:dyDescent="0.3">
      <c r="A547" s="30">
        <f>Odds_Input!A547</f>
        <v>539</v>
      </c>
      <c r="B547" s="7" t="str">
        <f>Odds_Input!B547</f>
        <v>LDR_RPG</v>
      </c>
      <c r="C547" s="7" t="str">
        <f>Odds_Input!C547</f>
        <v>Zach Edey</v>
      </c>
      <c r="D547" s="7" t="str">
        <f>Odds_Input!D547</f>
        <v>YES</v>
      </c>
      <c r="E547" s="31" t="str">
        <f>Odds_Input!E547</f>
        <v>-</v>
      </c>
      <c r="F547" s="32">
        <f>Odds_Input!F547</f>
        <v>1450</v>
      </c>
      <c r="G547" s="6" t="str">
        <f t="shared" si="884"/>
        <v>LDR_RPG</v>
      </c>
      <c r="H547" s="14">
        <f t="shared" si="885"/>
        <v>15.5</v>
      </c>
      <c r="I547" s="33">
        <f t="shared" si="886"/>
        <v>6.4516129032258063E-2</v>
      </c>
      <c r="J547" s="17">
        <f t="shared" si="887"/>
        <v>1</v>
      </c>
      <c r="K547" s="17">
        <f t="shared" si="888"/>
        <v>24</v>
      </c>
      <c r="L547" s="18">
        <f t="shared" si="889"/>
        <v>1.2026668715421771</v>
      </c>
      <c r="M547" s="34">
        <f t="shared" si="890"/>
        <v>0.20266687154217711</v>
      </c>
      <c r="N547" s="33">
        <f t="shared" si="891"/>
        <v>5.3644222318628573E-2</v>
      </c>
      <c r="O547" s="33">
        <f t="shared" si="892"/>
        <v>5.2094943492991201E-2</v>
      </c>
      <c r="P547" s="33">
        <f t="shared" si="893"/>
        <v>5.4008379809212616E-2</v>
      </c>
      <c r="Q547" s="33">
        <f t="shared" si="894"/>
        <v>5.4008379809212616E-2</v>
      </c>
      <c r="R547" s="35">
        <f t="shared" si="895"/>
        <v>1.0780225635273384</v>
      </c>
      <c r="S547" s="35">
        <f t="shared" si="896"/>
        <v>1.064781320784532E-2</v>
      </c>
    </row>
    <row r="548" spans="1:19" ht="15" customHeight="1" x14ac:dyDescent="0.3">
      <c r="A548" s="30">
        <f>Odds_Input!A548</f>
        <v>540</v>
      </c>
      <c r="B548" s="7" t="str">
        <f>Odds_Input!B548</f>
        <v>LDR_RPG</v>
      </c>
      <c r="C548" s="7" t="str">
        <f>Odds_Input!C548</f>
        <v>Walker Kessler</v>
      </c>
      <c r="D548" s="7" t="str">
        <f>Odds_Input!D548</f>
        <v>YES</v>
      </c>
      <c r="E548" s="31" t="str">
        <f>Odds_Input!E548</f>
        <v>-</v>
      </c>
      <c r="F548" s="32">
        <f>Odds_Input!F548</f>
        <v>1700</v>
      </c>
      <c r="G548" s="6" t="str">
        <f t="shared" si="884"/>
        <v>LDR_RPG</v>
      </c>
      <c r="H548" s="14">
        <f t="shared" si="885"/>
        <v>18</v>
      </c>
      <c r="I548" s="33">
        <f t="shared" si="886"/>
        <v>5.5555555555555552E-2</v>
      </c>
      <c r="J548" s="17">
        <f t="shared" si="887"/>
        <v>1</v>
      </c>
      <c r="K548" s="17">
        <f t="shared" si="888"/>
        <v>24</v>
      </c>
      <c r="L548" s="18">
        <f t="shared" si="889"/>
        <v>1.2026668715421771</v>
      </c>
      <c r="M548" s="34">
        <f t="shared" si="890"/>
        <v>0.20266687154217711</v>
      </c>
      <c r="N548" s="33">
        <f t="shared" si="891"/>
        <v>4.6193635885485716E-2</v>
      </c>
      <c r="O548" s="33">
        <f t="shared" si="892"/>
        <v>4.4339206445241176E-2</v>
      </c>
      <c r="P548" s="33">
        <f t="shared" si="893"/>
        <v>4.5832955294996404E-2</v>
      </c>
      <c r="Q548" s="33">
        <f t="shared" si="894"/>
        <v>4.5832955294996404E-2</v>
      </c>
      <c r="R548" s="35">
        <f t="shared" si="895"/>
        <v>1.0780225635273384</v>
      </c>
      <c r="S548" s="35">
        <f t="shared" si="896"/>
        <v>1.064781320784532E-2</v>
      </c>
    </row>
    <row r="549" spans="1:19" ht="15" customHeight="1" x14ac:dyDescent="0.3">
      <c r="A549" s="30">
        <f>Odds_Input!A549</f>
        <v>541</v>
      </c>
      <c r="B549" s="7" t="str">
        <f>Odds_Input!B549</f>
        <v>LDR_RPG</v>
      </c>
      <c r="C549" s="7" t="str">
        <f>Odds_Input!C549</f>
        <v>Kelel Ware</v>
      </c>
      <c r="D549" s="7" t="str">
        <f>Odds_Input!D549</f>
        <v>YES</v>
      </c>
      <c r="E549" s="31" t="str">
        <f>Odds_Input!E549</f>
        <v>-</v>
      </c>
      <c r="F549" s="32">
        <f>Odds_Input!F549</f>
        <v>2000</v>
      </c>
      <c r="G549" s="6" t="str">
        <f t="shared" si="884"/>
        <v>LDR_RPG</v>
      </c>
      <c r="H549" s="14">
        <f t="shared" si="885"/>
        <v>21</v>
      </c>
      <c r="I549" s="33">
        <f t="shared" si="886"/>
        <v>4.7619047619047616E-2</v>
      </c>
      <c r="J549" s="17">
        <f t="shared" si="887"/>
        <v>1</v>
      </c>
      <c r="K549" s="17">
        <f t="shared" si="888"/>
        <v>24</v>
      </c>
      <c r="L549" s="18">
        <f t="shared" si="889"/>
        <v>1.2026668715421771</v>
      </c>
      <c r="M549" s="34">
        <f t="shared" si="890"/>
        <v>0.20266687154217711</v>
      </c>
      <c r="N549" s="33">
        <f t="shared" si="891"/>
        <v>3.9594545044702043E-2</v>
      </c>
      <c r="O549" s="33">
        <f t="shared" si="892"/>
        <v>3.7550676572265455E-2</v>
      </c>
      <c r="P549" s="33">
        <f t="shared" si="893"/>
        <v>3.8604064720212314E-2</v>
      </c>
      <c r="Q549" s="33">
        <f t="shared" si="894"/>
        <v>3.8604064720212314E-2</v>
      </c>
      <c r="R549" s="35">
        <f t="shared" si="895"/>
        <v>1.0780225635273384</v>
      </c>
      <c r="S549" s="35">
        <f t="shared" si="896"/>
        <v>1.064781320784532E-2</v>
      </c>
    </row>
    <row r="550" spans="1:19" ht="15" customHeight="1" x14ac:dyDescent="0.3">
      <c r="A550" s="30">
        <f>Odds_Input!A550</f>
        <v>542</v>
      </c>
      <c r="B550" s="7" t="str">
        <f>Odds_Input!B550</f>
        <v>LDR_RPG</v>
      </c>
      <c r="C550" s="7" t="str">
        <f>Odds_Input!C550</f>
        <v>Anthony Davis</v>
      </c>
      <c r="D550" s="7" t="str">
        <f>Odds_Input!D550</f>
        <v>YES</v>
      </c>
      <c r="E550" s="31" t="str">
        <f>Odds_Input!E550</f>
        <v>-</v>
      </c>
      <c r="F550" s="32">
        <f>Odds_Input!F550</f>
        <v>1900</v>
      </c>
      <c r="G550" s="6" t="str">
        <f t="shared" si="884"/>
        <v>LDR_RPG</v>
      </c>
      <c r="H550" s="14">
        <f t="shared" si="885"/>
        <v>20</v>
      </c>
      <c r="I550" s="33">
        <f t="shared" si="886"/>
        <v>0.05</v>
      </c>
      <c r="J550" s="17">
        <f t="shared" si="887"/>
        <v>1</v>
      </c>
      <c r="K550" s="17">
        <f t="shared" si="888"/>
        <v>24</v>
      </c>
      <c r="L550" s="18">
        <f t="shared" si="889"/>
        <v>1.2026668715421771</v>
      </c>
      <c r="M550" s="34">
        <f t="shared" si="890"/>
        <v>0.20266687154217711</v>
      </c>
      <c r="N550" s="33">
        <f t="shared" si="891"/>
        <v>4.1574272296937151E-2</v>
      </c>
      <c r="O550" s="33">
        <f t="shared" si="892"/>
        <v>3.9578589141800263E-2</v>
      </c>
      <c r="P550" s="33">
        <f t="shared" si="893"/>
        <v>4.0771183628736586E-2</v>
      </c>
      <c r="Q550" s="33">
        <f t="shared" si="894"/>
        <v>4.0771183628736586E-2</v>
      </c>
      <c r="R550" s="35">
        <f t="shared" si="895"/>
        <v>1.0780225635273384</v>
      </c>
      <c r="S550" s="35">
        <f t="shared" si="896"/>
        <v>1.064781320784532E-2</v>
      </c>
    </row>
    <row r="551" spans="1:19" ht="15" customHeight="1" x14ac:dyDescent="0.3">
      <c r="A551" s="30">
        <f>Odds_Input!A551</f>
        <v>543</v>
      </c>
      <c r="B551" s="7" t="str">
        <f>Odds_Input!B551</f>
        <v>LDR_RPG</v>
      </c>
      <c r="C551" s="7" t="str">
        <f>Odds_Input!C551</f>
        <v>Giannis Antetokounmpo</v>
      </c>
      <c r="D551" s="7" t="str">
        <f>Odds_Input!D551</f>
        <v>YES</v>
      </c>
      <c r="E551" s="31" t="str">
        <f>Odds_Input!E551</f>
        <v>-</v>
      </c>
      <c r="F551" s="32">
        <f>Odds_Input!F551</f>
        <v>2250</v>
      </c>
      <c r="G551" s="6" t="str">
        <f t="shared" si="884"/>
        <v>LDR_RPG</v>
      </c>
      <c r="H551" s="14">
        <f t="shared" si="885"/>
        <v>23.5</v>
      </c>
      <c r="I551" s="33">
        <f t="shared" si="886"/>
        <v>4.2553191489361701E-2</v>
      </c>
      <c r="J551" s="17">
        <f t="shared" si="887"/>
        <v>1</v>
      </c>
      <c r="K551" s="17">
        <f t="shared" si="888"/>
        <v>24</v>
      </c>
      <c r="L551" s="18">
        <f t="shared" si="889"/>
        <v>1.2026668715421771</v>
      </c>
      <c r="M551" s="34">
        <f t="shared" si="890"/>
        <v>0.20266687154217711</v>
      </c>
      <c r="N551" s="33">
        <f t="shared" si="891"/>
        <v>3.5382359401648633E-2</v>
      </c>
      <c r="O551" s="33">
        <f t="shared" si="892"/>
        <v>3.3262731361888606E-2</v>
      </c>
      <c r="P551" s="33">
        <f t="shared" si="893"/>
        <v>3.3998916079062351E-2</v>
      </c>
      <c r="Q551" s="33">
        <f t="shared" si="894"/>
        <v>3.3998916079062351E-2</v>
      </c>
      <c r="R551" s="35">
        <f t="shared" si="895"/>
        <v>1.0780225635273384</v>
      </c>
      <c r="S551" s="35">
        <f t="shared" si="896"/>
        <v>1.064781320784532E-2</v>
      </c>
    </row>
    <row r="552" spans="1:19" ht="15" customHeight="1" x14ac:dyDescent="0.3">
      <c r="A552" s="30">
        <f>Odds_Input!A552</f>
        <v>544</v>
      </c>
      <c r="B552" s="7" t="str">
        <f>Odds_Input!B552</f>
        <v>LDR_RPG</v>
      </c>
      <c r="C552" s="7" t="str">
        <f>Odds_Input!C552</f>
        <v>Ivica Zubac</v>
      </c>
      <c r="D552" s="7" t="str">
        <f>Odds_Input!D552</f>
        <v>YES</v>
      </c>
      <c r="E552" s="31" t="str">
        <f>Odds_Input!E552</f>
        <v>-</v>
      </c>
      <c r="F552" s="32">
        <f>Odds_Input!F552</f>
        <v>3600</v>
      </c>
      <c r="G552" s="6" t="str">
        <f t="shared" si="884"/>
        <v>LDR_RPG</v>
      </c>
      <c r="H552" s="14">
        <f t="shared" si="885"/>
        <v>37</v>
      </c>
      <c r="I552" s="33">
        <f t="shared" si="886"/>
        <v>2.7027027027027029E-2</v>
      </c>
      <c r="J552" s="17">
        <f t="shared" si="887"/>
        <v>1</v>
      </c>
      <c r="K552" s="17">
        <f t="shared" si="888"/>
        <v>24</v>
      </c>
      <c r="L552" s="18">
        <f t="shared" si="889"/>
        <v>1.2026668715421771</v>
      </c>
      <c r="M552" s="34">
        <f t="shared" si="890"/>
        <v>0.20266687154217711</v>
      </c>
      <c r="N552" s="33">
        <f t="shared" si="891"/>
        <v>2.2472579619966026E-2</v>
      </c>
      <c r="O552" s="33">
        <f t="shared" si="892"/>
        <v>2.0391217513466328E-2</v>
      </c>
      <c r="P552" s="33">
        <f t="shared" si="893"/>
        <v>1.997350126526171E-2</v>
      </c>
      <c r="Q552" s="33">
        <f t="shared" si="894"/>
        <v>1.997350126526171E-2</v>
      </c>
      <c r="R552" s="35">
        <f t="shared" si="895"/>
        <v>1.0780225635273384</v>
      </c>
      <c r="S552" s="35">
        <f t="shared" si="896"/>
        <v>1.064781320784532E-2</v>
      </c>
    </row>
    <row r="553" spans="1:19" ht="15" customHeight="1" x14ac:dyDescent="0.3">
      <c r="A553" s="30">
        <f>Odds_Input!A553</f>
        <v>545</v>
      </c>
      <c r="B553" s="7" t="str">
        <f>Odds_Input!B553</f>
        <v>LDR_RPG</v>
      </c>
      <c r="C553" s="7" t="str">
        <f>Odds_Input!C553</f>
        <v>Jalen Duren</v>
      </c>
      <c r="D553" s="7" t="str">
        <f>Odds_Input!D553</f>
        <v>YES</v>
      </c>
      <c r="E553" s="31" t="str">
        <f>Odds_Input!E553</f>
        <v>-</v>
      </c>
      <c r="F553" s="32">
        <f>Odds_Input!F553</f>
        <v>6500</v>
      </c>
      <c r="G553" s="6" t="str">
        <f t="shared" si="884"/>
        <v>LDR_RPG</v>
      </c>
      <c r="H553" s="14">
        <f t="shared" si="885"/>
        <v>66</v>
      </c>
      <c r="I553" s="33">
        <f t="shared" si="886"/>
        <v>1.5151515151515152E-2</v>
      </c>
      <c r="J553" s="17">
        <f t="shared" si="887"/>
        <v>1</v>
      </c>
      <c r="K553" s="17">
        <f t="shared" si="888"/>
        <v>24</v>
      </c>
      <c r="L553" s="18">
        <f t="shared" si="889"/>
        <v>1.2026668715421771</v>
      </c>
      <c r="M553" s="34">
        <f t="shared" si="890"/>
        <v>0.20266687154217711</v>
      </c>
      <c r="N553" s="33">
        <f t="shared" si="891"/>
        <v>1.2598264332405197E-2</v>
      </c>
      <c r="O553" s="33">
        <f t="shared" si="892"/>
        <v>1.0926739318760309E-2</v>
      </c>
      <c r="P553" s="33">
        <f t="shared" si="893"/>
        <v>9.5149195051948878E-3</v>
      </c>
      <c r="Q553" s="33">
        <f t="shared" si="894"/>
        <v>9.5149195051948878E-3</v>
      </c>
      <c r="R553" s="35">
        <f t="shared" si="895"/>
        <v>1.0780225635273384</v>
      </c>
      <c r="S553" s="35">
        <f t="shared" si="896"/>
        <v>1.064781320784532E-2</v>
      </c>
    </row>
    <row r="554" spans="1:19" ht="15" customHeight="1" x14ac:dyDescent="0.3">
      <c r="A554" s="30">
        <f>Odds_Input!A554</f>
        <v>546</v>
      </c>
      <c r="B554" s="7" t="str">
        <f>Odds_Input!B554</f>
        <v>LDR_RPG</v>
      </c>
      <c r="C554" s="7" t="str">
        <f>Odds_Input!C554</f>
        <v>Jalen Johnson</v>
      </c>
      <c r="D554" s="7" t="str">
        <f>Odds_Input!D554</f>
        <v>YES</v>
      </c>
      <c r="E554" s="31" t="str">
        <f>Odds_Input!E554</f>
        <v>-</v>
      </c>
      <c r="F554" s="32">
        <f>Odds_Input!F554</f>
        <v>8100</v>
      </c>
      <c r="G554" s="6" t="str">
        <f t="shared" si="884"/>
        <v>LDR_RPG</v>
      </c>
      <c r="H554" s="14">
        <f t="shared" si="885"/>
        <v>82</v>
      </c>
      <c r="I554" s="33">
        <f t="shared" si="886"/>
        <v>1.2195121951219513E-2</v>
      </c>
      <c r="J554" s="17">
        <f t="shared" si="887"/>
        <v>1</v>
      </c>
      <c r="K554" s="17">
        <f t="shared" si="888"/>
        <v>24</v>
      </c>
      <c r="L554" s="18">
        <f t="shared" si="889"/>
        <v>1.2026668715421771</v>
      </c>
      <c r="M554" s="34">
        <f t="shared" si="890"/>
        <v>0.20266687154217711</v>
      </c>
      <c r="N554" s="33">
        <f t="shared" si="891"/>
        <v>1.014006641388711E-2</v>
      </c>
      <c r="O554" s="33">
        <f t="shared" si="892"/>
        <v>8.6470005129640082E-3</v>
      </c>
      <c r="P554" s="33">
        <f t="shared" si="893"/>
        <v>7.0263568459380176E-3</v>
      </c>
      <c r="Q554" s="33">
        <f t="shared" si="894"/>
        <v>7.0263568459380176E-3</v>
      </c>
      <c r="R554" s="35">
        <f t="shared" si="895"/>
        <v>1.0780225635273384</v>
      </c>
      <c r="S554" s="35">
        <f t="shared" si="896"/>
        <v>1.064781320784532E-2</v>
      </c>
    </row>
    <row r="555" spans="1:19" ht="15" customHeight="1" x14ac:dyDescent="0.3">
      <c r="A555" s="30">
        <f>Odds_Input!A555</f>
        <v>547</v>
      </c>
      <c r="B555" s="7" t="str">
        <f>Odds_Input!B555</f>
        <v>LDR_RPG</v>
      </c>
      <c r="C555" s="7" t="str">
        <f>Odds_Input!C555</f>
        <v>Mitchell Robinson</v>
      </c>
      <c r="D555" s="7" t="str">
        <f>Odds_Input!D555</f>
        <v>YES</v>
      </c>
      <c r="E555" s="31" t="str">
        <f>Odds_Input!E555</f>
        <v>-</v>
      </c>
      <c r="F555" s="32">
        <f>Odds_Input!F555</f>
        <v>9100</v>
      </c>
      <c r="G555" s="6" t="str">
        <f t="shared" si="884"/>
        <v>LDR_RPG</v>
      </c>
      <c r="H555" s="14">
        <f t="shared" si="885"/>
        <v>92</v>
      </c>
      <c r="I555" s="33">
        <f t="shared" si="886"/>
        <v>1.0869565217391304E-2</v>
      </c>
      <c r="J555" s="17">
        <f t="shared" si="887"/>
        <v>1</v>
      </c>
      <c r="K555" s="17">
        <f t="shared" si="888"/>
        <v>24</v>
      </c>
      <c r="L555" s="18">
        <f t="shared" si="889"/>
        <v>1.2026668715421771</v>
      </c>
      <c r="M555" s="34">
        <f t="shared" si="890"/>
        <v>0.20266687154217711</v>
      </c>
      <c r="N555" s="33">
        <f t="shared" si="891"/>
        <v>9.0378852819428569E-3</v>
      </c>
      <c r="O555" s="33">
        <f t="shared" si="892"/>
        <v>7.6382243819175782E-3</v>
      </c>
      <c r="P555" s="33">
        <f t="shared" si="893"/>
        <v>5.9436584002989911E-3</v>
      </c>
      <c r="Q555" s="33">
        <f t="shared" si="894"/>
        <v>5.9436584002989911E-3</v>
      </c>
      <c r="R555" s="35">
        <f t="shared" si="895"/>
        <v>1.0780225635273384</v>
      </c>
      <c r="S555" s="35">
        <f t="shared" si="896"/>
        <v>1.064781320784532E-2</v>
      </c>
    </row>
    <row r="556" spans="1:19" ht="15" customHeight="1" x14ac:dyDescent="0.3">
      <c r="A556" s="30">
        <f>Odds_Input!A556</f>
        <v>548</v>
      </c>
      <c r="B556" s="7" t="str">
        <f>Odds_Input!B556</f>
        <v>LDR_RPG</v>
      </c>
      <c r="C556" s="7" t="str">
        <f>Odds_Input!C556</f>
        <v>Alperen Sengun</v>
      </c>
      <c r="D556" s="7" t="str">
        <f>Odds_Input!D556</f>
        <v>YES</v>
      </c>
      <c r="E556" s="31" t="str">
        <f>Odds_Input!E556</f>
        <v>-</v>
      </c>
      <c r="F556" s="32">
        <f>Odds_Input!F556</f>
        <v>10000</v>
      </c>
      <c r="G556" s="6" t="str">
        <f t="shared" si="884"/>
        <v>LDR_RPG</v>
      </c>
      <c r="H556" s="14">
        <f t="shared" si="885"/>
        <v>101</v>
      </c>
      <c r="I556" s="33">
        <f t="shared" si="886"/>
        <v>9.9009900990099011E-3</v>
      </c>
      <c r="J556" s="17">
        <f t="shared" si="887"/>
        <v>1</v>
      </c>
      <c r="K556" s="17">
        <f t="shared" si="888"/>
        <v>24</v>
      </c>
      <c r="L556" s="18">
        <f t="shared" si="889"/>
        <v>1.2026668715421771</v>
      </c>
      <c r="M556" s="34">
        <f t="shared" si="890"/>
        <v>0.20266687154217711</v>
      </c>
      <c r="N556" s="33">
        <f t="shared" si="891"/>
        <v>8.2325291677103254E-3</v>
      </c>
      <c r="O556" s="33">
        <f t="shared" si="892"/>
        <v>6.9071093961596379E-3</v>
      </c>
      <c r="P556" s="33">
        <f t="shared" si="893"/>
        <v>5.1707998574741431E-3</v>
      </c>
      <c r="Q556" s="33">
        <f t="shared" si="894"/>
        <v>5.1707998574741431E-3</v>
      </c>
      <c r="R556" s="35">
        <f t="shared" si="895"/>
        <v>1.0780225635273384</v>
      </c>
      <c r="S556" s="35">
        <f t="shared" si="896"/>
        <v>1.064781320784532E-2</v>
      </c>
    </row>
    <row r="557" spans="1:19" ht="15" customHeight="1" x14ac:dyDescent="0.3">
      <c r="A557" s="30">
        <f>Odds_Input!A557</f>
        <v>549</v>
      </c>
      <c r="B557" s="7" t="str">
        <f>Odds_Input!B557</f>
        <v>LDR_RPG</v>
      </c>
      <c r="C557" s="7" t="str">
        <f>Odds_Input!C557</f>
        <v>DayRon Sharpe</v>
      </c>
      <c r="D557" s="7" t="str">
        <f>Odds_Input!D557</f>
        <v>YES</v>
      </c>
      <c r="E557" s="31" t="str">
        <f>Odds_Input!E557</f>
        <v>-</v>
      </c>
      <c r="F557" s="32">
        <f>Odds_Input!F557</f>
        <v>13000</v>
      </c>
      <c r="G557" s="6" t="str">
        <f t="shared" si="884"/>
        <v>LDR_RPG</v>
      </c>
      <c r="H557" s="14">
        <f t="shared" si="885"/>
        <v>131</v>
      </c>
      <c r="I557" s="33">
        <f t="shared" si="886"/>
        <v>7.6335877862595417E-3</v>
      </c>
      <c r="J557" s="17">
        <f t="shared" si="887"/>
        <v>1</v>
      </c>
      <c r="K557" s="17">
        <f t="shared" si="888"/>
        <v>24</v>
      </c>
      <c r="L557" s="18">
        <f t="shared" si="889"/>
        <v>1.2026668715421771</v>
      </c>
      <c r="M557" s="34">
        <f t="shared" si="890"/>
        <v>0.20266687154217711</v>
      </c>
      <c r="N557" s="33">
        <f t="shared" si="891"/>
        <v>6.3472171445705565E-3</v>
      </c>
      <c r="O557" s="33">
        <f t="shared" si="892"/>
        <v>5.2183567992550289E-3</v>
      </c>
      <c r="P557" s="33">
        <f t="shared" si="893"/>
        <v>3.4466412551888573E-3</v>
      </c>
      <c r="Q557" s="33">
        <f t="shared" si="894"/>
        <v>3.4466412551888573E-3</v>
      </c>
      <c r="R557" s="35">
        <f t="shared" si="895"/>
        <v>1.0780225635273384</v>
      </c>
      <c r="S557" s="35">
        <f t="shared" si="896"/>
        <v>1.064781320784532E-2</v>
      </c>
    </row>
    <row r="558" spans="1:19" ht="15" customHeight="1" x14ac:dyDescent="0.3">
      <c r="A558" s="30">
        <f>Odds_Input!A558</f>
        <v>550</v>
      </c>
      <c r="B558" s="7" t="str">
        <f>Odds_Input!B558</f>
        <v>LDR_RPG</v>
      </c>
      <c r="C558" s="7" t="str">
        <f>Odds_Input!C558</f>
        <v>Bam Adebayo</v>
      </c>
      <c r="D558" s="7" t="str">
        <f>Odds_Input!D558</f>
        <v>YES</v>
      </c>
      <c r="E558" s="31" t="str">
        <f>Odds_Input!E558</f>
        <v>-</v>
      </c>
      <c r="F558" s="32">
        <f>Odds_Input!F558</f>
        <v>13000</v>
      </c>
      <c r="G558" s="6" t="str">
        <f t="shared" si="884"/>
        <v>LDR_RPG</v>
      </c>
      <c r="H558" s="14">
        <f t="shared" si="885"/>
        <v>131</v>
      </c>
      <c r="I558" s="33">
        <f t="shared" si="886"/>
        <v>7.6335877862595417E-3</v>
      </c>
      <c r="J558" s="17">
        <f t="shared" si="887"/>
        <v>1</v>
      </c>
      <c r="K558" s="17">
        <f t="shared" si="888"/>
        <v>24</v>
      </c>
      <c r="L558" s="18">
        <f t="shared" si="889"/>
        <v>1.2026668715421771</v>
      </c>
      <c r="M558" s="34">
        <f t="shared" si="890"/>
        <v>0.20266687154217711</v>
      </c>
      <c r="N558" s="33">
        <f t="shared" si="891"/>
        <v>6.3472171445705565E-3</v>
      </c>
      <c r="O558" s="33">
        <f t="shared" si="892"/>
        <v>5.2183567992550289E-3</v>
      </c>
      <c r="P558" s="33">
        <f t="shared" si="893"/>
        <v>3.4466412551888573E-3</v>
      </c>
      <c r="Q558" s="33">
        <f t="shared" si="894"/>
        <v>3.4466412551888573E-3</v>
      </c>
      <c r="R558" s="35">
        <f t="shared" si="895"/>
        <v>1.0780225635273384</v>
      </c>
      <c r="S558" s="35">
        <f t="shared" si="896"/>
        <v>1.064781320784532E-2</v>
      </c>
    </row>
    <row r="559" spans="1:19" ht="15" customHeight="1" x14ac:dyDescent="0.3">
      <c r="A559" s="30">
        <f>Odds_Input!A559</f>
        <v>551</v>
      </c>
      <c r="B559" s="7" t="str">
        <f>Odds_Input!B559</f>
        <v>LDR_RPG</v>
      </c>
      <c r="C559" s="7" t="str">
        <f>Odds_Input!C559</f>
        <v>Chet Holmgren</v>
      </c>
      <c r="D559" s="7" t="str">
        <f>Odds_Input!D559</f>
        <v>YES</v>
      </c>
      <c r="E559" s="31" t="str">
        <f>Odds_Input!E559</f>
        <v>-</v>
      </c>
      <c r="F559" s="32">
        <f>Odds_Input!F559</f>
        <v>16000</v>
      </c>
      <c r="G559" s="6" t="str">
        <f t="shared" si="884"/>
        <v>LDR_RPG</v>
      </c>
      <c r="H559" s="14">
        <f t="shared" si="885"/>
        <v>161</v>
      </c>
      <c r="I559" s="33">
        <f t="shared" si="886"/>
        <v>6.2111801242236021E-3</v>
      </c>
      <c r="J559" s="17">
        <f t="shared" si="887"/>
        <v>1</v>
      </c>
      <c r="K559" s="17">
        <f t="shared" si="888"/>
        <v>24</v>
      </c>
      <c r="L559" s="18">
        <f t="shared" si="889"/>
        <v>1.2026668715421771</v>
      </c>
      <c r="M559" s="34">
        <f t="shared" si="890"/>
        <v>0.20266687154217711</v>
      </c>
      <c r="N559" s="33">
        <f t="shared" si="891"/>
        <v>5.1645058753959187E-3</v>
      </c>
      <c r="O559" s="33">
        <f t="shared" si="892"/>
        <v>4.1782258520229936E-3</v>
      </c>
      <c r="P559" s="33">
        <f t="shared" si="893"/>
        <v>2.4533516701333476E-3</v>
      </c>
      <c r="Q559" s="33">
        <f t="shared" si="894"/>
        <v>2.4533516701333476E-3</v>
      </c>
      <c r="R559" s="35">
        <f t="shared" si="895"/>
        <v>1.0780225635273384</v>
      </c>
      <c r="S559" s="35">
        <f t="shared" si="896"/>
        <v>1.064781320784532E-2</v>
      </c>
    </row>
    <row r="560" spans="1:19" ht="15" customHeight="1" x14ac:dyDescent="0.3">
      <c r="A560" s="30">
        <f>Odds_Input!A560</f>
        <v>552</v>
      </c>
      <c r="B560" s="7" t="str">
        <f>Odds_Input!B560</f>
        <v>LDR_RPG</v>
      </c>
      <c r="C560" s="7" t="str">
        <f>Odds_Input!C560</f>
        <v>Isaiah Hartenstein</v>
      </c>
      <c r="D560" s="7" t="str">
        <f>Odds_Input!D560</f>
        <v>YES</v>
      </c>
      <c r="E560" s="31" t="str">
        <f>Odds_Input!E560</f>
        <v>-</v>
      </c>
      <c r="F560" s="32">
        <f>Odds_Input!F560</f>
        <v>16000</v>
      </c>
      <c r="G560" s="6" t="str">
        <f t="shared" si="884"/>
        <v>LDR_RPG</v>
      </c>
      <c r="H560" s="14">
        <f t="shared" si="885"/>
        <v>161</v>
      </c>
      <c r="I560" s="33">
        <f t="shared" si="886"/>
        <v>6.2111801242236021E-3</v>
      </c>
      <c r="J560" s="17">
        <f t="shared" si="887"/>
        <v>1</v>
      </c>
      <c r="K560" s="17">
        <f t="shared" si="888"/>
        <v>24</v>
      </c>
      <c r="L560" s="18">
        <f t="shared" si="889"/>
        <v>1.2026668715421771</v>
      </c>
      <c r="M560" s="34">
        <f t="shared" si="890"/>
        <v>0.20266687154217711</v>
      </c>
      <c r="N560" s="33">
        <f t="shared" si="891"/>
        <v>5.1645058753959187E-3</v>
      </c>
      <c r="O560" s="33">
        <f t="shared" si="892"/>
        <v>4.1782258520229936E-3</v>
      </c>
      <c r="P560" s="33">
        <f t="shared" si="893"/>
        <v>2.4533516701333476E-3</v>
      </c>
      <c r="Q560" s="33">
        <f t="shared" si="894"/>
        <v>2.4533516701333476E-3</v>
      </c>
      <c r="R560" s="35">
        <f t="shared" si="895"/>
        <v>1.0780225635273384</v>
      </c>
      <c r="S560" s="35">
        <f t="shared" si="896"/>
        <v>1.064781320784532E-2</v>
      </c>
    </row>
    <row r="561" spans="1:19" ht="15" customHeight="1" x14ac:dyDescent="0.3">
      <c r="A561" s="30">
        <f>Odds_Input!A561</f>
        <v>553</v>
      </c>
      <c r="B561" s="7" t="str">
        <f>Odds_Input!B561</f>
        <v>LDR_RPG</v>
      </c>
      <c r="C561" s="7" t="str">
        <f>Odds_Input!C561</f>
        <v>Evan Mobley</v>
      </c>
      <c r="D561" s="7" t="str">
        <f>Odds_Input!D561</f>
        <v>YES</v>
      </c>
      <c r="E561" s="31" t="str">
        <f>Odds_Input!E561</f>
        <v>-</v>
      </c>
      <c r="F561" s="32">
        <f>Odds_Input!F561</f>
        <v>16000</v>
      </c>
      <c r="G561" s="6" t="str">
        <f t="shared" si="884"/>
        <v>LDR_RPG</v>
      </c>
      <c r="H561" s="14">
        <f t="shared" si="885"/>
        <v>161</v>
      </c>
      <c r="I561" s="33">
        <f t="shared" si="886"/>
        <v>6.2111801242236021E-3</v>
      </c>
      <c r="J561" s="17">
        <f t="shared" si="887"/>
        <v>1</v>
      </c>
      <c r="K561" s="17">
        <f t="shared" si="888"/>
        <v>24</v>
      </c>
      <c r="L561" s="18">
        <f t="shared" si="889"/>
        <v>1.2026668715421771</v>
      </c>
      <c r="M561" s="34">
        <f t="shared" si="890"/>
        <v>0.20266687154217711</v>
      </c>
      <c r="N561" s="33">
        <f t="shared" si="891"/>
        <v>5.1645058753959187E-3</v>
      </c>
      <c r="O561" s="33">
        <f t="shared" si="892"/>
        <v>4.1782258520229936E-3</v>
      </c>
      <c r="P561" s="33">
        <f t="shared" si="893"/>
        <v>2.4533516701333476E-3</v>
      </c>
      <c r="Q561" s="33">
        <f t="shared" si="894"/>
        <v>2.4533516701333476E-3</v>
      </c>
      <c r="R561" s="35">
        <f t="shared" si="895"/>
        <v>1.0780225635273384</v>
      </c>
      <c r="S561" s="35">
        <f t="shared" si="896"/>
        <v>1.064781320784532E-2</v>
      </c>
    </row>
    <row r="562" spans="1:19" ht="15" customHeight="1" x14ac:dyDescent="0.3">
      <c r="A562" s="30">
        <f>Odds_Input!A562</f>
        <v>554</v>
      </c>
      <c r="B562" s="7" t="str">
        <f>Odds_Input!B562</f>
        <v>LDR_RPG</v>
      </c>
      <c r="C562" s="7" t="str">
        <f>Odds_Input!C562</f>
        <v>Moussa Diabate</v>
      </c>
      <c r="D562" s="7" t="str">
        <f>Odds_Input!D562</f>
        <v>YES</v>
      </c>
      <c r="E562" s="31" t="str">
        <f>Odds_Input!E562</f>
        <v>-</v>
      </c>
      <c r="F562" s="32">
        <f>Odds_Input!F562</f>
        <v>25000</v>
      </c>
      <c r="G562" s="6" t="str">
        <f t="shared" si="884"/>
        <v>LDR_RPG</v>
      </c>
      <c r="H562" s="14">
        <f t="shared" si="885"/>
        <v>251</v>
      </c>
      <c r="I562" s="33">
        <f t="shared" si="886"/>
        <v>3.9840637450199202E-3</v>
      </c>
      <c r="J562" s="17">
        <f t="shared" si="887"/>
        <v>1</v>
      </c>
      <c r="K562" s="17">
        <f t="shared" si="888"/>
        <v>24</v>
      </c>
      <c r="L562" s="18">
        <f t="shared" si="889"/>
        <v>1.2026668715421771</v>
      </c>
      <c r="M562" s="34">
        <f t="shared" si="890"/>
        <v>0.20266687154217711</v>
      </c>
      <c r="N562" s="33">
        <f t="shared" si="891"/>
        <v>3.3126910196762667E-3</v>
      </c>
      <c r="O562" s="33">
        <f t="shared" si="892"/>
        <v>2.5887945350686176E-3</v>
      </c>
      <c r="P562" s="33">
        <f t="shared" si="893"/>
        <v>1.122438761056685E-3</v>
      </c>
      <c r="Q562" s="33">
        <f t="shared" si="894"/>
        <v>1.122438761056685E-3</v>
      </c>
      <c r="R562" s="35">
        <f t="shared" si="895"/>
        <v>1.0780225635273384</v>
      </c>
      <c r="S562" s="35">
        <f t="shared" si="896"/>
        <v>1.064781320784532E-2</v>
      </c>
    </row>
    <row r="563" spans="1:19" ht="15" customHeight="1" x14ac:dyDescent="0.3">
      <c r="A563" s="30">
        <f>Odds_Input!A563</f>
        <v>555</v>
      </c>
      <c r="B563" s="7" t="str">
        <f>Odds_Input!B563</f>
        <v>LDR_RPG</v>
      </c>
      <c r="C563" s="7" t="str">
        <f>Odds_Input!C563</f>
        <v>Jusuf Nurkic</v>
      </c>
      <c r="D563" s="7" t="str">
        <f>Odds_Input!D563</f>
        <v>YES</v>
      </c>
      <c r="E563" s="31" t="str">
        <f>Odds_Input!E563</f>
        <v>-</v>
      </c>
      <c r="F563" s="32">
        <f>Odds_Input!F563</f>
        <v>25000</v>
      </c>
      <c r="G563" s="6" t="str">
        <f t="shared" si="884"/>
        <v>LDR_RPG</v>
      </c>
      <c r="H563" s="14">
        <f t="shared" si="885"/>
        <v>251</v>
      </c>
      <c r="I563" s="33">
        <f t="shared" si="886"/>
        <v>3.9840637450199202E-3</v>
      </c>
      <c r="J563" s="17">
        <f t="shared" si="887"/>
        <v>1</v>
      </c>
      <c r="K563" s="17">
        <f t="shared" si="888"/>
        <v>24</v>
      </c>
      <c r="L563" s="18">
        <f t="shared" si="889"/>
        <v>1.2026668715421771</v>
      </c>
      <c r="M563" s="34">
        <f t="shared" si="890"/>
        <v>0.20266687154217711</v>
      </c>
      <c r="N563" s="33">
        <f t="shared" si="891"/>
        <v>3.3126910196762667E-3</v>
      </c>
      <c r="O563" s="33">
        <f t="shared" si="892"/>
        <v>2.5887945350686176E-3</v>
      </c>
      <c r="P563" s="33">
        <f t="shared" si="893"/>
        <v>1.122438761056685E-3</v>
      </c>
      <c r="Q563" s="33">
        <f t="shared" si="894"/>
        <v>1.122438761056685E-3</v>
      </c>
      <c r="R563" s="35">
        <f t="shared" si="895"/>
        <v>1.0780225635273384</v>
      </c>
      <c r="S563" s="35">
        <f t="shared" si="896"/>
        <v>1.064781320784532E-2</v>
      </c>
    </row>
    <row r="564" spans="1:19" ht="15" customHeight="1" x14ac:dyDescent="0.3">
      <c r="A564" s="30">
        <f>Odds_Input!A564</f>
        <v>556</v>
      </c>
      <c r="B564" s="7" t="str">
        <f>Odds_Input!B564</f>
        <v>LDR_RPG</v>
      </c>
      <c r="C564" s="7" t="str">
        <f>Odds_Input!C564</f>
        <v>Julius Randle</v>
      </c>
      <c r="D564" s="7" t="str">
        <f>Odds_Input!D564</f>
        <v>YES</v>
      </c>
      <c r="E564" s="31" t="str">
        <f>Odds_Input!E564</f>
        <v>-</v>
      </c>
      <c r="F564" s="32">
        <f>Odds_Input!F564</f>
        <v>25000</v>
      </c>
      <c r="G564" s="6" t="str">
        <f t="shared" si="884"/>
        <v>LDR_RPG</v>
      </c>
      <c r="H564" s="14">
        <f t="shared" si="885"/>
        <v>251</v>
      </c>
      <c r="I564" s="33">
        <f t="shared" si="886"/>
        <v>3.9840637450199202E-3</v>
      </c>
      <c r="J564" s="17">
        <f t="shared" si="887"/>
        <v>1</v>
      </c>
      <c r="K564" s="17">
        <f t="shared" si="888"/>
        <v>24</v>
      </c>
      <c r="L564" s="18">
        <f t="shared" si="889"/>
        <v>1.2026668715421771</v>
      </c>
      <c r="M564" s="34">
        <f t="shared" si="890"/>
        <v>0.20266687154217711</v>
      </c>
      <c r="N564" s="33">
        <f t="shared" si="891"/>
        <v>3.3126910196762667E-3</v>
      </c>
      <c r="O564" s="33">
        <f t="shared" si="892"/>
        <v>2.5887945350686176E-3</v>
      </c>
      <c r="P564" s="33">
        <f t="shared" si="893"/>
        <v>1.122438761056685E-3</v>
      </c>
      <c r="Q564" s="33">
        <f t="shared" si="894"/>
        <v>1.122438761056685E-3</v>
      </c>
      <c r="R564" s="35">
        <f t="shared" si="895"/>
        <v>1.0780225635273384</v>
      </c>
      <c r="S564" s="35">
        <f t="shared" si="896"/>
        <v>1.064781320784532E-2</v>
      </c>
    </row>
    <row r="565" spans="1:19" ht="15" customHeight="1" x14ac:dyDescent="0.3">
      <c r="A565" s="30">
        <f>Odds_Input!A565</f>
        <v>557</v>
      </c>
      <c r="B565" s="7" t="str">
        <f>Odds_Input!B565</f>
        <v>LDR_APG</v>
      </c>
      <c r="C565" s="7" t="str">
        <f>Odds_Input!C565</f>
        <v>Nikola Jokic</v>
      </c>
      <c r="D565" s="7" t="str">
        <f>Odds_Input!D565</f>
        <v>YES</v>
      </c>
      <c r="E565" s="31" t="str">
        <f>Odds_Input!E565</f>
        <v>-</v>
      </c>
      <c r="F565" s="32">
        <f>Odds_Input!F565</f>
        <v>200</v>
      </c>
      <c r="G565" s="6" t="str">
        <f t="shared" si="884"/>
        <v>LDR_APG</v>
      </c>
      <c r="H565" s="14">
        <f t="shared" si="885"/>
        <v>3</v>
      </c>
      <c r="I565" s="33">
        <f t="shared" si="886"/>
        <v>0.33333333333333331</v>
      </c>
      <c r="J565" s="17">
        <f t="shared" si="887"/>
        <v>1</v>
      </c>
      <c r="K565" s="17">
        <f t="shared" si="888"/>
        <v>18</v>
      </c>
      <c r="L565" s="18">
        <f t="shared" si="889"/>
        <v>1.167773003312121</v>
      </c>
      <c r="M565" s="34">
        <f t="shared" si="890"/>
        <v>0.16777300331212097</v>
      </c>
      <c r="N565" s="33">
        <f t="shared" si="891"/>
        <v>0.28544360281314052</v>
      </c>
      <c r="O565" s="33">
        <f t="shared" si="892"/>
        <v>0.30272234687721489</v>
      </c>
      <c r="P565" s="33">
        <f t="shared" si="893"/>
        <v>0.30365009812415161</v>
      </c>
      <c r="Q565" s="33">
        <f t="shared" si="894"/>
        <v>0.30365009812415161</v>
      </c>
      <c r="R565" s="35">
        <f t="shared" si="895"/>
        <v>1.087680570152588</v>
      </c>
      <c r="S565" s="35">
        <f t="shared" si="896"/>
        <v>1.3925425605138882E-2</v>
      </c>
    </row>
    <row r="566" spans="1:19" ht="15" customHeight="1" x14ac:dyDescent="0.3">
      <c r="A566" s="30">
        <f>Odds_Input!A566</f>
        <v>558</v>
      </c>
      <c r="B566" s="7" t="str">
        <f>Odds_Input!B566</f>
        <v>LDR_APG</v>
      </c>
      <c r="C566" s="7" t="str">
        <f>Odds_Input!C566</f>
        <v>Trae Young</v>
      </c>
      <c r="D566" s="7" t="str">
        <f>Odds_Input!D566</f>
        <v>YES</v>
      </c>
      <c r="E566" s="31" t="str">
        <f>Odds_Input!E566</f>
        <v>-</v>
      </c>
      <c r="F566" s="32">
        <f>Odds_Input!F566</f>
        <v>280</v>
      </c>
      <c r="G566" s="6" t="str">
        <f t="shared" si="884"/>
        <v>LDR_APG</v>
      </c>
      <c r="H566" s="14">
        <f t="shared" si="885"/>
        <v>3.8</v>
      </c>
      <c r="I566" s="33">
        <f t="shared" si="886"/>
        <v>0.26315789473684209</v>
      </c>
      <c r="J566" s="17">
        <f t="shared" si="887"/>
        <v>1</v>
      </c>
      <c r="K566" s="17">
        <f t="shared" si="888"/>
        <v>18</v>
      </c>
      <c r="L566" s="18">
        <f t="shared" si="889"/>
        <v>1.167773003312121</v>
      </c>
      <c r="M566" s="34">
        <f t="shared" si="890"/>
        <v>0.16777300331212097</v>
      </c>
      <c r="N566" s="33">
        <f t="shared" si="891"/>
        <v>0.22535021274721623</v>
      </c>
      <c r="O566" s="33">
        <f t="shared" si="892"/>
        <v>0.23408880632373383</v>
      </c>
      <c r="P566" s="33">
        <f t="shared" si="893"/>
        <v>0.23827551019636811</v>
      </c>
      <c r="Q566" s="33">
        <f t="shared" si="894"/>
        <v>0.23827551019636811</v>
      </c>
      <c r="R566" s="35">
        <f t="shared" si="895"/>
        <v>1.087680570152588</v>
      </c>
      <c r="S566" s="35">
        <f t="shared" si="896"/>
        <v>1.3925425605138882E-2</v>
      </c>
    </row>
    <row r="567" spans="1:19" ht="15" customHeight="1" x14ac:dyDescent="0.3">
      <c r="A567" s="30">
        <f>Odds_Input!A567</f>
        <v>559</v>
      </c>
      <c r="B567" s="7" t="str">
        <f>Odds_Input!B567</f>
        <v>LDR_APG</v>
      </c>
      <c r="C567" s="7" t="str">
        <f>Odds_Input!C567</f>
        <v>Cade Cunningham</v>
      </c>
      <c r="D567" s="7" t="str">
        <f>Odds_Input!D567</f>
        <v>YES</v>
      </c>
      <c r="E567" s="31" t="str">
        <f>Odds_Input!E567</f>
        <v>-</v>
      </c>
      <c r="F567" s="32">
        <f>Odds_Input!F567</f>
        <v>360</v>
      </c>
      <c r="G567" s="6" t="str">
        <f t="shared" si="884"/>
        <v>LDR_APG</v>
      </c>
      <c r="H567" s="14">
        <f t="shared" si="885"/>
        <v>4.5999999999999996</v>
      </c>
      <c r="I567" s="33">
        <f t="shared" si="886"/>
        <v>0.21739130434782611</v>
      </c>
      <c r="J567" s="17">
        <f t="shared" si="887"/>
        <v>1</v>
      </c>
      <c r="K567" s="17">
        <f t="shared" si="888"/>
        <v>18</v>
      </c>
      <c r="L567" s="18">
        <f t="shared" si="889"/>
        <v>1.167773003312121</v>
      </c>
      <c r="M567" s="34">
        <f t="shared" si="890"/>
        <v>0.16777300331212097</v>
      </c>
      <c r="N567" s="33">
        <f t="shared" si="891"/>
        <v>0.1861588713998743</v>
      </c>
      <c r="O567" s="33">
        <f t="shared" si="892"/>
        <v>0.19016526097463238</v>
      </c>
      <c r="P567" s="33">
        <f t="shared" si="893"/>
        <v>0.19564734384138638</v>
      </c>
      <c r="Q567" s="33">
        <f t="shared" si="894"/>
        <v>0.19564734384138638</v>
      </c>
      <c r="R567" s="35">
        <f t="shared" si="895"/>
        <v>1.087680570152588</v>
      </c>
      <c r="S567" s="35">
        <f t="shared" si="896"/>
        <v>1.3925425605138882E-2</v>
      </c>
    </row>
    <row r="568" spans="1:19" ht="15" customHeight="1" x14ac:dyDescent="0.3">
      <c r="A568" s="30">
        <f>Odds_Input!A568</f>
        <v>560</v>
      </c>
      <c r="B568" s="7" t="str">
        <f>Odds_Input!B568</f>
        <v>LDR_APG</v>
      </c>
      <c r="C568" s="7" t="str">
        <f>Odds_Input!C568</f>
        <v>Tyrese Haliburton</v>
      </c>
      <c r="D568" s="7" t="str">
        <f>Odds_Input!D568</f>
        <v>YES</v>
      </c>
      <c r="E568" s="31" t="str">
        <f>Odds_Input!E568</f>
        <v>-</v>
      </c>
      <c r="F568" s="32">
        <f>Odds_Input!F568</f>
        <v>780</v>
      </c>
      <c r="G568" s="6" t="str">
        <f t="shared" si="884"/>
        <v>LDR_APG</v>
      </c>
      <c r="H568" s="14">
        <f t="shared" si="885"/>
        <v>8.8000000000000007</v>
      </c>
      <c r="I568" s="33">
        <f t="shared" si="886"/>
        <v>0.11363636363636363</v>
      </c>
      <c r="J568" s="17">
        <f t="shared" si="887"/>
        <v>1</v>
      </c>
      <c r="K568" s="17">
        <f t="shared" si="888"/>
        <v>18</v>
      </c>
      <c r="L568" s="18">
        <f t="shared" si="889"/>
        <v>1.167773003312121</v>
      </c>
      <c r="M568" s="34">
        <f t="shared" si="890"/>
        <v>0.16777300331212097</v>
      </c>
      <c r="N568" s="33">
        <f t="shared" si="891"/>
        <v>9.7310319140843371E-2</v>
      </c>
      <c r="O568" s="33">
        <f t="shared" si="892"/>
        <v>9.3908423245686545E-2</v>
      </c>
      <c r="P568" s="33">
        <f t="shared" si="893"/>
        <v>9.9071004111257355E-2</v>
      </c>
      <c r="Q568" s="33">
        <f t="shared" si="894"/>
        <v>9.9071004111257355E-2</v>
      </c>
      <c r="R568" s="35">
        <f t="shared" si="895"/>
        <v>1.087680570152588</v>
      </c>
      <c r="S568" s="35">
        <f t="shared" si="896"/>
        <v>1.3925425605138882E-2</v>
      </c>
    </row>
    <row r="569" spans="1:19" ht="15" customHeight="1" x14ac:dyDescent="0.3">
      <c r="A569" s="30">
        <f>Odds_Input!A569</f>
        <v>561</v>
      </c>
      <c r="B569" s="7" t="str">
        <f>Odds_Input!B569</f>
        <v>LDR_APG</v>
      </c>
      <c r="C569" s="7" t="str">
        <f>Odds_Input!C569</f>
        <v>Josh Giddey</v>
      </c>
      <c r="D569" s="7" t="str">
        <f>Odds_Input!D569</f>
        <v>YES</v>
      </c>
      <c r="E569" s="31" t="str">
        <f>Odds_Input!E569</f>
        <v>-</v>
      </c>
      <c r="F569" s="32">
        <f>Odds_Input!F569</f>
        <v>900</v>
      </c>
      <c r="G569" s="6" t="str">
        <f t="shared" si="884"/>
        <v>LDR_APG</v>
      </c>
      <c r="H569" s="14">
        <f t="shared" si="885"/>
        <v>10</v>
      </c>
      <c r="I569" s="33">
        <f t="shared" si="886"/>
        <v>0.1</v>
      </c>
      <c r="J569" s="17">
        <f t="shared" si="887"/>
        <v>1</v>
      </c>
      <c r="K569" s="17">
        <f t="shared" si="888"/>
        <v>18</v>
      </c>
      <c r="L569" s="18">
        <f t="shared" si="889"/>
        <v>1.167773003312121</v>
      </c>
      <c r="M569" s="34">
        <f t="shared" si="890"/>
        <v>0.16777300331212097</v>
      </c>
      <c r="N569" s="33">
        <f t="shared" si="891"/>
        <v>8.5633080843942166E-2</v>
      </c>
      <c r="O569" s="33">
        <f t="shared" si="892"/>
        <v>8.1718320038763739E-2</v>
      </c>
      <c r="P569" s="33">
        <f t="shared" si="893"/>
        <v>8.6395356075555083E-2</v>
      </c>
      <c r="Q569" s="33">
        <f t="shared" si="894"/>
        <v>8.6395356075555083E-2</v>
      </c>
      <c r="R569" s="35">
        <f t="shared" si="895"/>
        <v>1.087680570152588</v>
      </c>
      <c r="S569" s="35">
        <f t="shared" si="896"/>
        <v>1.3925425605138882E-2</v>
      </c>
    </row>
    <row r="570" spans="1:19" ht="15" customHeight="1" x14ac:dyDescent="0.3">
      <c r="A570" s="30">
        <f>Odds_Input!A570</f>
        <v>562</v>
      </c>
      <c r="B570" s="7" t="str">
        <f>Odds_Input!B570</f>
        <v>LDR_APG</v>
      </c>
      <c r="C570" s="7" t="str">
        <f>Odds_Input!C570</f>
        <v>Luka Doncic</v>
      </c>
      <c r="D570" s="7" t="str">
        <f>Odds_Input!D570</f>
        <v>YES</v>
      </c>
      <c r="E570" s="31" t="str">
        <f>Odds_Input!E570</f>
        <v>-</v>
      </c>
      <c r="F570" s="32">
        <f>Odds_Input!F570</f>
        <v>2100</v>
      </c>
      <c r="G570" s="6" t="str">
        <f t="shared" si="884"/>
        <v>LDR_APG</v>
      </c>
      <c r="H570" s="14">
        <f t="shared" si="885"/>
        <v>22</v>
      </c>
      <c r="I570" s="33">
        <f t="shared" si="886"/>
        <v>4.5454545454545456E-2</v>
      </c>
      <c r="J570" s="17">
        <f t="shared" si="887"/>
        <v>1</v>
      </c>
      <c r="K570" s="17">
        <f t="shared" si="888"/>
        <v>18</v>
      </c>
      <c r="L570" s="18">
        <f t="shared" si="889"/>
        <v>1.167773003312121</v>
      </c>
      <c r="M570" s="34">
        <f t="shared" si="890"/>
        <v>0.16777300331212097</v>
      </c>
      <c r="N570" s="33">
        <f t="shared" si="891"/>
        <v>3.8924127656337348E-2</v>
      </c>
      <c r="O570" s="33">
        <f t="shared" si="892"/>
        <v>3.4663541623969903E-2</v>
      </c>
      <c r="P570" s="33">
        <f t="shared" si="893"/>
        <v>3.5882209225123134E-2</v>
      </c>
      <c r="Q570" s="33">
        <f t="shared" si="894"/>
        <v>3.5882209225123134E-2</v>
      </c>
      <c r="R570" s="35">
        <f t="shared" si="895"/>
        <v>1.087680570152588</v>
      </c>
      <c r="S570" s="35">
        <f t="shared" si="896"/>
        <v>1.3925425605138882E-2</v>
      </c>
    </row>
    <row r="571" spans="1:19" ht="15" customHeight="1" x14ac:dyDescent="0.3">
      <c r="A571" s="30">
        <f>Odds_Input!A571</f>
        <v>563</v>
      </c>
      <c r="B571" s="7" t="str">
        <f>Odds_Input!B571</f>
        <v>LDR_APG</v>
      </c>
      <c r="C571" s="7" t="str">
        <f>Odds_Input!C571</f>
        <v>James Harden</v>
      </c>
      <c r="D571" s="7" t="str">
        <f>Odds_Input!D571</f>
        <v>YES</v>
      </c>
      <c r="E571" s="31" t="str">
        <f>Odds_Input!E571</f>
        <v>-</v>
      </c>
      <c r="F571" s="32">
        <f>Odds_Input!F571</f>
        <v>6000</v>
      </c>
      <c r="G571" s="6" t="str">
        <f t="shared" si="884"/>
        <v>LDR_APG</v>
      </c>
      <c r="H571" s="14">
        <f t="shared" si="885"/>
        <v>61</v>
      </c>
      <c r="I571" s="33">
        <f t="shared" si="886"/>
        <v>1.6393442622950821E-2</v>
      </c>
      <c r="J571" s="17">
        <f t="shared" si="887"/>
        <v>1</v>
      </c>
      <c r="K571" s="17">
        <f t="shared" si="888"/>
        <v>18</v>
      </c>
      <c r="L571" s="18">
        <f t="shared" si="889"/>
        <v>1.167773003312121</v>
      </c>
      <c r="M571" s="34">
        <f t="shared" si="890"/>
        <v>0.16777300331212097</v>
      </c>
      <c r="N571" s="33">
        <f t="shared" si="891"/>
        <v>1.403820997441675E-2</v>
      </c>
      <c r="O571" s="33">
        <f t="shared" si="892"/>
        <v>1.1432242474664619E-2</v>
      </c>
      <c r="P571" s="33">
        <f t="shared" si="893"/>
        <v>9.7687799465577818E-3</v>
      </c>
      <c r="Q571" s="33">
        <f t="shared" si="894"/>
        <v>9.7687799465577818E-3</v>
      </c>
      <c r="R571" s="35">
        <f t="shared" si="895"/>
        <v>1.087680570152588</v>
      </c>
      <c r="S571" s="35">
        <f t="shared" si="896"/>
        <v>1.3925425605138882E-2</v>
      </c>
    </row>
    <row r="572" spans="1:19" ht="15" customHeight="1" x14ac:dyDescent="0.3">
      <c r="A572" s="30">
        <f>Odds_Input!A572</f>
        <v>564</v>
      </c>
      <c r="B572" s="7" t="str">
        <f>Odds_Input!B572</f>
        <v>LDR_APG</v>
      </c>
      <c r="C572" s="7" t="str">
        <f>Odds_Input!C572</f>
        <v>LeBron James</v>
      </c>
      <c r="D572" s="7" t="str">
        <f>Odds_Input!D572</f>
        <v>YES</v>
      </c>
      <c r="E572" s="31" t="str">
        <f>Odds_Input!E572</f>
        <v>-</v>
      </c>
      <c r="F572" s="32">
        <f>Odds_Input!F572</f>
        <v>7000</v>
      </c>
      <c r="G572" s="6" t="str">
        <f t="shared" si="884"/>
        <v>LDR_APG</v>
      </c>
      <c r="H572" s="14">
        <f t="shared" si="885"/>
        <v>71</v>
      </c>
      <c r="I572" s="33">
        <f t="shared" si="886"/>
        <v>1.4084507042253521E-2</v>
      </c>
      <c r="J572" s="17">
        <f t="shared" si="887"/>
        <v>1</v>
      </c>
      <c r="K572" s="17">
        <f t="shared" si="888"/>
        <v>18</v>
      </c>
      <c r="L572" s="18">
        <f t="shared" si="889"/>
        <v>1.167773003312121</v>
      </c>
      <c r="M572" s="34">
        <f t="shared" si="890"/>
        <v>0.16777300331212097</v>
      </c>
      <c r="N572" s="33">
        <f t="shared" si="891"/>
        <v>1.2060997301963685E-2</v>
      </c>
      <c r="O572" s="33">
        <f t="shared" si="892"/>
        <v>9.6921976896392949E-3</v>
      </c>
      <c r="P572" s="33">
        <f t="shared" si="893"/>
        <v>7.8430009945373441E-3</v>
      </c>
      <c r="Q572" s="33">
        <f t="shared" si="894"/>
        <v>7.8430009945373441E-3</v>
      </c>
      <c r="R572" s="35">
        <f t="shared" si="895"/>
        <v>1.087680570152588</v>
      </c>
      <c r="S572" s="35">
        <f t="shared" si="896"/>
        <v>1.3925425605138882E-2</v>
      </c>
    </row>
    <row r="573" spans="1:19" ht="15" customHeight="1" x14ac:dyDescent="0.3">
      <c r="A573" s="30">
        <f>Odds_Input!A573</f>
        <v>565</v>
      </c>
      <c r="B573" s="7" t="str">
        <f>Odds_Input!B573</f>
        <v>LDR_APG</v>
      </c>
      <c r="C573" s="7" t="str">
        <f>Odds_Input!C573</f>
        <v>LaMelo Ball</v>
      </c>
      <c r="D573" s="7" t="str">
        <f>Odds_Input!D573</f>
        <v>YES</v>
      </c>
      <c r="E573" s="31" t="str">
        <f>Odds_Input!E573</f>
        <v>-</v>
      </c>
      <c r="F573" s="32">
        <f>Odds_Input!F573</f>
        <v>7000</v>
      </c>
      <c r="G573" s="6" t="str">
        <f t="shared" si="884"/>
        <v>LDR_APG</v>
      </c>
      <c r="H573" s="14">
        <f t="shared" si="885"/>
        <v>71</v>
      </c>
      <c r="I573" s="33">
        <f t="shared" si="886"/>
        <v>1.4084507042253521E-2</v>
      </c>
      <c r="J573" s="17">
        <f t="shared" si="887"/>
        <v>1</v>
      </c>
      <c r="K573" s="17">
        <f t="shared" si="888"/>
        <v>18</v>
      </c>
      <c r="L573" s="18">
        <f t="shared" si="889"/>
        <v>1.167773003312121</v>
      </c>
      <c r="M573" s="34">
        <f t="shared" si="890"/>
        <v>0.16777300331212097</v>
      </c>
      <c r="N573" s="33">
        <f t="shared" si="891"/>
        <v>1.2060997301963685E-2</v>
      </c>
      <c r="O573" s="33">
        <f t="shared" si="892"/>
        <v>9.6921976896392949E-3</v>
      </c>
      <c r="P573" s="33">
        <f t="shared" si="893"/>
        <v>7.8430009945373441E-3</v>
      </c>
      <c r="Q573" s="33">
        <f t="shared" si="894"/>
        <v>7.8430009945373441E-3</v>
      </c>
      <c r="R573" s="35">
        <f t="shared" si="895"/>
        <v>1.087680570152588</v>
      </c>
      <c r="S573" s="35">
        <f t="shared" si="896"/>
        <v>1.3925425605138882E-2</v>
      </c>
    </row>
    <row r="574" spans="1:19" ht="15" customHeight="1" x14ac:dyDescent="0.3">
      <c r="A574" s="30">
        <f>Odds_Input!A574</f>
        <v>566</v>
      </c>
      <c r="B574" s="7" t="str">
        <f>Odds_Input!B574</f>
        <v>LDR_APG</v>
      </c>
      <c r="C574" s="7" t="str">
        <f>Odds_Input!C574</f>
        <v>Jalen Johnson</v>
      </c>
      <c r="D574" s="7" t="str">
        <f>Odds_Input!D574</f>
        <v>YES</v>
      </c>
      <c r="E574" s="31" t="str">
        <f>Odds_Input!E574</f>
        <v>-</v>
      </c>
      <c r="F574" s="32">
        <f>Odds_Input!F574</f>
        <v>15000</v>
      </c>
      <c r="G574" s="6" t="str">
        <f t="shared" si="884"/>
        <v>LDR_APG</v>
      </c>
      <c r="H574" s="14">
        <f t="shared" si="885"/>
        <v>151</v>
      </c>
      <c r="I574" s="33">
        <f t="shared" si="886"/>
        <v>6.6225165562913907E-3</v>
      </c>
      <c r="J574" s="17">
        <f t="shared" si="887"/>
        <v>1</v>
      </c>
      <c r="K574" s="17">
        <f t="shared" si="888"/>
        <v>18</v>
      </c>
      <c r="L574" s="18">
        <f t="shared" si="889"/>
        <v>1.167773003312121</v>
      </c>
      <c r="M574" s="34">
        <f t="shared" si="890"/>
        <v>0.16777300331212097</v>
      </c>
      <c r="N574" s="33">
        <f t="shared" si="891"/>
        <v>5.6710649565524613E-3</v>
      </c>
      <c r="O574" s="33">
        <f t="shared" si="892"/>
        <v>4.2654918021160608E-3</v>
      </c>
      <c r="P574" s="33">
        <f t="shared" si="893"/>
        <v>2.3168799625226813E-3</v>
      </c>
      <c r="Q574" s="33">
        <f t="shared" si="894"/>
        <v>2.3168799625226813E-3</v>
      </c>
      <c r="R574" s="35">
        <f t="shared" si="895"/>
        <v>1.087680570152588</v>
      </c>
      <c r="S574" s="35">
        <f t="shared" si="896"/>
        <v>1.3925425605138882E-2</v>
      </c>
    </row>
    <row r="575" spans="1:19" ht="15" customHeight="1" x14ac:dyDescent="0.3">
      <c r="A575" s="30">
        <f>Odds_Input!A575</f>
        <v>567</v>
      </c>
      <c r="B575" s="7" t="str">
        <f>Odds_Input!B575</f>
        <v>LDR_APG</v>
      </c>
      <c r="C575" s="7" t="str">
        <f>Odds_Input!C575</f>
        <v>Jamal Murray</v>
      </c>
      <c r="D575" s="7" t="str">
        <f>Odds_Input!D575</f>
        <v>YES</v>
      </c>
      <c r="E575" s="31" t="str">
        <f>Odds_Input!E575</f>
        <v>-</v>
      </c>
      <c r="F575" s="32">
        <f>Odds_Input!F575</f>
        <v>15000</v>
      </c>
      <c r="G575" s="6" t="str">
        <f t="shared" si="884"/>
        <v>LDR_APG</v>
      </c>
      <c r="H575" s="14">
        <f t="shared" si="885"/>
        <v>151</v>
      </c>
      <c r="I575" s="33">
        <f t="shared" si="886"/>
        <v>6.6225165562913907E-3</v>
      </c>
      <c r="J575" s="17">
        <f t="shared" si="887"/>
        <v>1</v>
      </c>
      <c r="K575" s="17">
        <f t="shared" si="888"/>
        <v>18</v>
      </c>
      <c r="L575" s="18">
        <f t="shared" si="889"/>
        <v>1.167773003312121</v>
      </c>
      <c r="M575" s="34">
        <f t="shared" si="890"/>
        <v>0.16777300331212097</v>
      </c>
      <c r="N575" s="33">
        <f t="shared" si="891"/>
        <v>5.6710649565524613E-3</v>
      </c>
      <c r="O575" s="33">
        <f t="shared" si="892"/>
        <v>4.2654918021160608E-3</v>
      </c>
      <c r="P575" s="33">
        <f t="shared" si="893"/>
        <v>2.3168799625226813E-3</v>
      </c>
      <c r="Q575" s="33">
        <f t="shared" si="894"/>
        <v>2.3168799625226813E-3</v>
      </c>
      <c r="R575" s="35">
        <f t="shared" si="895"/>
        <v>1.087680570152588</v>
      </c>
      <c r="S575" s="35">
        <f t="shared" si="896"/>
        <v>1.3925425605138882E-2</v>
      </c>
    </row>
    <row r="576" spans="1:19" ht="15" customHeight="1" x14ac:dyDescent="0.3">
      <c r="A576" s="30">
        <f>Odds_Input!A576</f>
        <v>568</v>
      </c>
      <c r="B576" s="7" t="str">
        <f>Odds_Input!B576</f>
        <v>LDR_APG</v>
      </c>
      <c r="C576" s="7" t="str">
        <f>Odds_Input!C576</f>
        <v>Darius Garland</v>
      </c>
      <c r="D576" s="7" t="str">
        <f>Odds_Input!D576</f>
        <v>YES</v>
      </c>
      <c r="E576" s="31" t="str">
        <f>Odds_Input!E576</f>
        <v>-</v>
      </c>
      <c r="F576" s="32">
        <f>Odds_Input!F576</f>
        <v>17000</v>
      </c>
      <c r="G576" s="6" t="str">
        <f t="shared" si="884"/>
        <v>LDR_APG</v>
      </c>
      <c r="H576" s="14">
        <f t="shared" si="885"/>
        <v>171</v>
      </c>
      <c r="I576" s="33">
        <f t="shared" si="886"/>
        <v>5.8479532163742687E-3</v>
      </c>
      <c r="J576" s="17">
        <f t="shared" si="887"/>
        <v>1</v>
      </c>
      <c r="K576" s="17">
        <f t="shared" si="888"/>
        <v>18</v>
      </c>
      <c r="L576" s="18">
        <f t="shared" si="889"/>
        <v>1.167773003312121</v>
      </c>
      <c r="M576" s="34">
        <f t="shared" si="890"/>
        <v>0.16777300331212097</v>
      </c>
      <c r="N576" s="33">
        <f t="shared" si="891"/>
        <v>5.0077825054936935E-3</v>
      </c>
      <c r="O576" s="33">
        <f t="shared" si="892"/>
        <v>3.7257483475027272E-3</v>
      </c>
      <c r="P576" s="33">
        <f t="shared" si="893"/>
        <v>1.8584403546776001E-3</v>
      </c>
      <c r="Q576" s="33">
        <f t="shared" si="894"/>
        <v>1.8584403546776001E-3</v>
      </c>
      <c r="R576" s="35">
        <f t="shared" si="895"/>
        <v>1.087680570152588</v>
      </c>
      <c r="S576" s="35">
        <f t="shared" si="896"/>
        <v>1.3925425605138882E-2</v>
      </c>
    </row>
    <row r="577" spans="1:19" ht="15" customHeight="1" x14ac:dyDescent="0.3">
      <c r="A577" s="30">
        <f>Odds_Input!A577</f>
        <v>569</v>
      </c>
      <c r="B577" s="7" t="str">
        <f>Odds_Input!B577</f>
        <v>LDR_APG</v>
      </c>
      <c r="C577" s="7" t="str">
        <f>Odds_Input!C577</f>
        <v>Stephon Castle</v>
      </c>
      <c r="D577" s="7" t="str">
        <f>Odds_Input!D577</f>
        <v>YES</v>
      </c>
      <c r="E577" s="31" t="str">
        <f>Odds_Input!E577</f>
        <v>-</v>
      </c>
      <c r="F577" s="32">
        <f>Odds_Input!F577</f>
        <v>17000</v>
      </c>
      <c r="G577" s="6" t="str">
        <f t="shared" si="884"/>
        <v>LDR_APG</v>
      </c>
      <c r="H577" s="14">
        <f t="shared" si="885"/>
        <v>171</v>
      </c>
      <c r="I577" s="33">
        <f t="shared" si="886"/>
        <v>5.8479532163742687E-3</v>
      </c>
      <c r="J577" s="17">
        <f t="shared" si="887"/>
        <v>1</v>
      </c>
      <c r="K577" s="17">
        <f t="shared" si="888"/>
        <v>18</v>
      </c>
      <c r="L577" s="18">
        <f t="shared" si="889"/>
        <v>1.167773003312121</v>
      </c>
      <c r="M577" s="34">
        <f t="shared" si="890"/>
        <v>0.16777300331212097</v>
      </c>
      <c r="N577" s="33">
        <f t="shared" si="891"/>
        <v>5.0077825054936935E-3</v>
      </c>
      <c r="O577" s="33">
        <f t="shared" si="892"/>
        <v>3.7257483475027272E-3</v>
      </c>
      <c r="P577" s="33">
        <f t="shared" si="893"/>
        <v>1.8584403546776001E-3</v>
      </c>
      <c r="Q577" s="33">
        <f t="shared" si="894"/>
        <v>1.8584403546776001E-3</v>
      </c>
      <c r="R577" s="35">
        <f t="shared" si="895"/>
        <v>1.087680570152588</v>
      </c>
      <c r="S577" s="35">
        <f t="shared" si="896"/>
        <v>1.3925425605138882E-2</v>
      </c>
    </row>
    <row r="578" spans="1:19" ht="15" customHeight="1" x14ac:dyDescent="0.3">
      <c r="A578" s="30">
        <f>Odds_Input!A578</f>
        <v>570</v>
      </c>
      <c r="B578" s="7" t="str">
        <f>Odds_Input!B578</f>
        <v>LDR_APG</v>
      </c>
      <c r="C578" s="7" t="str">
        <f>Odds_Input!C578</f>
        <v>Shai Gilgeous Alexander</v>
      </c>
      <c r="D578" s="7" t="str">
        <f>Odds_Input!D578</f>
        <v>YES</v>
      </c>
      <c r="E578" s="31" t="str">
        <f>Odds_Input!E578</f>
        <v>-</v>
      </c>
      <c r="F578" s="32">
        <f>Odds_Input!F578</f>
        <v>15000</v>
      </c>
      <c r="G578" s="6" t="str">
        <f t="shared" si="884"/>
        <v>LDR_APG</v>
      </c>
      <c r="H578" s="14">
        <f t="shared" si="885"/>
        <v>151</v>
      </c>
      <c r="I578" s="33">
        <f t="shared" si="886"/>
        <v>6.6225165562913907E-3</v>
      </c>
      <c r="J578" s="17">
        <f t="shared" si="887"/>
        <v>1</v>
      </c>
      <c r="K578" s="17">
        <f t="shared" si="888"/>
        <v>18</v>
      </c>
      <c r="L578" s="18">
        <f t="shared" si="889"/>
        <v>1.167773003312121</v>
      </c>
      <c r="M578" s="34">
        <f t="shared" si="890"/>
        <v>0.16777300331212097</v>
      </c>
      <c r="N578" s="33">
        <f t="shared" si="891"/>
        <v>5.6710649565524613E-3</v>
      </c>
      <c r="O578" s="33">
        <f t="shared" si="892"/>
        <v>4.2654918021160608E-3</v>
      </c>
      <c r="P578" s="33">
        <f t="shared" si="893"/>
        <v>2.3168799625226813E-3</v>
      </c>
      <c r="Q578" s="33">
        <f t="shared" si="894"/>
        <v>2.3168799625226813E-3</v>
      </c>
      <c r="R578" s="35">
        <f t="shared" si="895"/>
        <v>1.087680570152588</v>
      </c>
      <c r="S578" s="35">
        <f t="shared" si="896"/>
        <v>1.3925425605138882E-2</v>
      </c>
    </row>
    <row r="579" spans="1:19" ht="15" customHeight="1" x14ac:dyDescent="0.3">
      <c r="A579" s="30">
        <f>Odds_Input!A579</f>
        <v>571</v>
      </c>
      <c r="B579" s="7" t="str">
        <f>Odds_Input!B579</f>
        <v>LDR_APG</v>
      </c>
      <c r="C579" s="7" t="str">
        <f>Odds_Input!C579</f>
        <v>Ja Morant</v>
      </c>
      <c r="D579" s="7" t="str">
        <f>Odds_Input!D579</f>
        <v>YES</v>
      </c>
      <c r="E579" s="31" t="str">
        <f>Odds_Input!E579</f>
        <v>-</v>
      </c>
      <c r="F579" s="32">
        <f>Odds_Input!F579</f>
        <v>20000</v>
      </c>
      <c r="G579" s="6" t="str">
        <f t="shared" si="884"/>
        <v>LDR_APG</v>
      </c>
      <c r="H579" s="14">
        <f t="shared" si="885"/>
        <v>201</v>
      </c>
      <c r="I579" s="33">
        <f t="shared" si="886"/>
        <v>4.9751243781094526E-3</v>
      </c>
      <c r="J579" s="17">
        <f t="shared" si="887"/>
        <v>1</v>
      </c>
      <c r="K579" s="17">
        <f t="shared" si="888"/>
        <v>18</v>
      </c>
      <c r="L579" s="18">
        <f t="shared" si="889"/>
        <v>1.167773003312121</v>
      </c>
      <c r="M579" s="34">
        <f t="shared" si="890"/>
        <v>0.16777300331212097</v>
      </c>
      <c r="N579" s="33">
        <f t="shared" si="891"/>
        <v>4.2603522807931424E-3</v>
      </c>
      <c r="O579" s="33">
        <f t="shared" si="892"/>
        <v>3.1250602809034553E-3</v>
      </c>
      <c r="P579" s="33">
        <f t="shared" si="893"/>
        <v>1.386053862553153E-3</v>
      </c>
      <c r="Q579" s="33">
        <f t="shared" si="894"/>
        <v>1.386053862553153E-3</v>
      </c>
      <c r="R579" s="35">
        <f t="shared" si="895"/>
        <v>1.087680570152588</v>
      </c>
      <c r="S579" s="35">
        <f t="shared" si="896"/>
        <v>1.3925425605138882E-2</v>
      </c>
    </row>
    <row r="580" spans="1:19" ht="15" customHeight="1" x14ac:dyDescent="0.3">
      <c r="A580" s="30">
        <f>Odds_Input!A580</f>
        <v>572</v>
      </c>
      <c r="B580" s="7" t="str">
        <f>Odds_Input!B580</f>
        <v>LDR_APG</v>
      </c>
      <c r="C580" s="7" t="str">
        <f>Odds_Input!C580</f>
        <v>DeAaron Fox</v>
      </c>
      <c r="D580" s="7" t="str">
        <f>Odds_Input!D580</f>
        <v>YES</v>
      </c>
      <c r="E580" s="31" t="str">
        <f>Odds_Input!E580</f>
        <v>-</v>
      </c>
      <c r="F580" s="32">
        <f>Odds_Input!F580</f>
        <v>21000</v>
      </c>
      <c r="G580" s="6" t="str">
        <f t="shared" si="884"/>
        <v>LDR_APG</v>
      </c>
      <c r="H580" s="14">
        <f t="shared" si="885"/>
        <v>211</v>
      </c>
      <c r="I580" s="33">
        <f t="shared" si="886"/>
        <v>4.7393364928909956E-3</v>
      </c>
      <c r="J580" s="17">
        <f t="shared" si="887"/>
        <v>1</v>
      </c>
      <c r="K580" s="17">
        <f t="shared" si="888"/>
        <v>18</v>
      </c>
      <c r="L580" s="18">
        <f t="shared" si="889"/>
        <v>1.167773003312121</v>
      </c>
      <c r="M580" s="34">
        <f t="shared" si="890"/>
        <v>0.16777300331212097</v>
      </c>
      <c r="N580" s="33">
        <f t="shared" si="891"/>
        <v>4.0584398504237996E-3</v>
      </c>
      <c r="O580" s="33">
        <f t="shared" si="892"/>
        <v>2.964306687765466E-3</v>
      </c>
      <c r="P580" s="33">
        <f t="shared" si="893"/>
        <v>1.2674787436558295E-3</v>
      </c>
      <c r="Q580" s="33">
        <f t="shared" si="894"/>
        <v>1.2674787436558295E-3</v>
      </c>
      <c r="R580" s="35">
        <f t="shared" si="895"/>
        <v>1.087680570152588</v>
      </c>
      <c r="S580" s="35">
        <f t="shared" si="896"/>
        <v>1.3925425605138882E-2</v>
      </c>
    </row>
    <row r="581" spans="1:19" ht="15" customHeight="1" x14ac:dyDescent="0.3">
      <c r="A581" s="30">
        <f>Odds_Input!A581</f>
        <v>573</v>
      </c>
      <c r="B581" s="7" t="str">
        <f>Odds_Input!B581</f>
        <v>LDR_APG</v>
      </c>
      <c r="C581" s="7" t="str">
        <f>Odds_Input!C581</f>
        <v>Tyrese Maxey</v>
      </c>
      <c r="D581" s="7" t="str">
        <f>Odds_Input!D581</f>
        <v>YES</v>
      </c>
      <c r="E581" s="31" t="str">
        <f>Odds_Input!E581</f>
        <v>-</v>
      </c>
      <c r="F581" s="32">
        <f>Odds_Input!F581</f>
        <v>20000</v>
      </c>
      <c r="G581" s="6" t="str">
        <f t="shared" si="884"/>
        <v>LDR_APG</v>
      </c>
      <c r="H581" s="14">
        <f t="shared" si="885"/>
        <v>201</v>
      </c>
      <c r="I581" s="33">
        <f t="shared" si="886"/>
        <v>4.9751243781094526E-3</v>
      </c>
      <c r="J581" s="17">
        <f t="shared" si="887"/>
        <v>1</v>
      </c>
      <c r="K581" s="17">
        <f t="shared" si="888"/>
        <v>18</v>
      </c>
      <c r="L581" s="18">
        <f t="shared" si="889"/>
        <v>1.167773003312121</v>
      </c>
      <c r="M581" s="34">
        <f t="shared" si="890"/>
        <v>0.16777300331212097</v>
      </c>
      <c r="N581" s="33">
        <f t="shared" si="891"/>
        <v>4.2603522807931424E-3</v>
      </c>
      <c r="O581" s="33">
        <f t="shared" si="892"/>
        <v>3.1250602809034553E-3</v>
      </c>
      <c r="P581" s="33">
        <f t="shared" si="893"/>
        <v>1.386053862553153E-3</v>
      </c>
      <c r="Q581" s="33">
        <f t="shared" si="894"/>
        <v>1.386053862553153E-3</v>
      </c>
      <c r="R581" s="35">
        <f t="shared" si="895"/>
        <v>1.087680570152588</v>
      </c>
      <c r="S581" s="35">
        <f t="shared" si="896"/>
        <v>1.3925425605138882E-2</v>
      </c>
    </row>
    <row r="582" spans="1:19" ht="15" customHeight="1" x14ac:dyDescent="0.3">
      <c r="A582" s="30">
        <f>Odds_Input!A582</f>
        <v>574</v>
      </c>
      <c r="B582" s="7" t="str">
        <f>Odds_Input!B582</f>
        <v>LDR_APG</v>
      </c>
      <c r="C582" s="7" t="str">
        <f>Odds_Input!C582</f>
        <v>Dejounte Murray</v>
      </c>
      <c r="D582" s="7" t="str">
        <f>Odds_Input!D582</f>
        <v>YES</v>
      </c>
      <c r="E582" s="31" t="str">
        <f>Odds_Input!E582</f>
        <v>-</v>
      </c>
      <c r="F582" s="32">
        <f>Odds_Input!F582</f>
        <v>25000</v>
      </c>
      <c r="G582" s="6" t="str">
        <f t="shared" si="884"/>
        <v>LDR_APG</v>
      </c>
      <c r="H582" s="14">
        <f t="shared" si="885"/>
        <v>251</v>
      </c>
      <c r="I582" s="33">
        <f t="shared" si="886"/>
        <v>3.9840637450199202E-3</v>
      </c>
      <c r="J582" s="17">
        <f t="shared" si="887"/>
        <v>1</v>
      </c>
      <c r="K582" s="17">
        <f t="shared" si="888"/>
        <v>18</v>
      </c>
      <c r="L582" s="18">
        <f t="shared" si="889"/>
        <v>1.167773003312121</v>
      </c>
      <c r="M582" s="34">
        <f t="shared" si="890"/>
        <v>0.16777300331212097</v>
      </c>
      <c r="N582" s="33">
        <f t="shared" si="891"/>
        <v>3.4116765276470981E-3</v>
      </c>
      <c r="O582" s="33">
        <f t="shared" si="892"/>
        <v>2.4542653641574192E-3</v>
      </c>
      <c r="P582" s="33">
        <f t="shared" si="893"/>
        <v>9.1658955180338693E-4</v>
      </c>
      <c r="Q582" s="33">
        <f t="shared" si="894"/>
        <v>9.1658955180338693E-4</v>
      </c>
      <c r="R582" s="35">
        <f t="shared" si="895"/>
        <v>1.087680570152588</v>
      </c>
      <c r="S582" s="35">
        <f t="shared" si="896"/>
        <v>1.3925425605138882E-2</v>
      </c>
    </row>
    <row r="583" spans="1:19" ht="15" customHeight="1" x14ac:dyDescent="0.3">
      <c r="A583" s="30">
        <f>Odds_Input!A583</f>
        <v>575</v>
      </c>
      <c r="B583" s="7" t="str">
        <f>Odds_Input!B583</f>
        <v>LDR_SPG</v>
      </c>
      <c r="C583" s="7" t="str">
        <f>Odds_Input!C583</f>
        <v>Ausar Thompson</v>
      </c>
      <c r="D583" s="7" t="str">
        <f>Odds_Input!D583</f>
        <v>YES</v>
      </c>
      <c r="E583" s="31" t="str">
        <f>Odds_Input!E583</f>
        <v>-</v>
      </c>
      <c r="F583" s="32">
        <f>Odds_Input!F583</f>
        <v>300</v>
      </c>
      <c r="G583" s="6" t="str">
        <f t="shared" si="884"/>
        <v>LDR_SPG</v>
      </c>
      <c r="H583" s="14">
        <f t="shared" si="885"/>
        <v>4</v>
      </c>
      <c r="I583" s="33">
        <f t="shared" si="886"/>
        <v>0.25</v>
      </c>
      <c r="J583" s="17">
        <f t="shared" si="887"/>
        <v>1</v>
      </c>
      <c r="K583" s="17">
        <f t="shared" si="888"/>
        <v>48</v>
      </c>
      <c r="L583" s="18">
        <f t="shared" si="889"/>
        <v>1.306790825116708</v>
      </c>
      <c r="M583" s="34">
        <f t="shared" si="890"/>
        <v>0.30679082511670797</v>
      </c>
      <c r="N583" s="33">
        <f t="shared" si="891"/>
        <v>0.19130835264142049</v>
      </c>
      <c r="O583" s="33">
        <f t="shared" si="892"/>
        <v>0.2169185110373876</v>
      </c>
      <c r="P583" s="33">
        <f t="shared" si="893"/>
        <v>0.21562701658884445</v>
      </c>
      <c r="Q583" s="33">
        <f t="shared" si="894"/>
        <v>0.21562701658884445</v>
      </c>
      <c r="R583" s="35">
        <f t="shared" si="895"/>
        <v>1.1023874611360953</v>
      </c>
      <c r="S583" s="35">
        <f t="shared" si="896"/>
        <v>7.8759656817441563E-3</v>
      </c>
    </row>
    <row r="584" spans="1:19" ht="15" customHeight="1" x14ac:dyDescent="0.3">
      <c r="A584" s="30">
        <f>Odds_Input!A584</f>
        <v>576</v>
      </c>
      <c r="B584" s="7" t="str">
        <f>Odds_Input!B584</f>
        <v>LDR_SPG</v>
      </c>
      <c r="C584" s="7" t="str">
        <f>Odds_Input!C584</f>
        <v>Cason Wallace</v>
      </c>
      <c r="D584" s="7" t="str">
        <f>Odds_Input!D584</f>
        <v>YES</v>
      </c>
      <c r="E584" s="31" t="str">
        <f>Odds_Input!E584</f>
        <v>-</v>
      </c>
      <c r="F584" s="32">
        <f>Odds_Input!F584</f>
        <v>400</v>
      </c>
      <c r="G584" s="6" t="str">
        <f t="shared" ref="G584:G647" si="897">IF(OR(B584="WINS",B584="PLAYOFFS"),B584&amp;"|"&amp;C584&amp;IF(B584="WINS","|"&amp;TEXT(E584,"0.0"),""),B584)</f>
        <v>LDR_SPG</v>
      </c>
      <c r="H584" s="14">
        <f t="shared" ref="H584:H647" si="898">IF(F584&gt;0,1+F584/100,1+100/ABS(F584))</f>
        <v>5</v>
      </c>
      <c r="I584" s="33">
        <f t="shared" ref="I584:I647" si="899">1/H584</f>
        <v>0.2</v>
      </c>
      <c r="J584" s="17">
        <f t="shared" ref="J584:J647" si="900">IF(LEFT(B584,6)="PLAYIN",A_playin_slots,1)</f>
        <v>1</v>
      </c>
      <c r="K584" s="17">
        <f t="shared" ref="K584:K647" si="901">COUNTIF($G$8:$G$694,G584)</f>
        <v>48</v>
      </c>
      <c r="L584" s="18">
        <f t="shared" ref="L584:L647" si="902">SUMIF($G$8:$G$694,G584,$I$8:$I$694)</f>
        <v>1.306790825116708</v>
      </c>
      <c r="M584" s="34">
        <f t="shared" ref="M584:M647" si="903">L584/J584-1</f>
        <v>0.30679082511670797</v>
      </c>
      <c r="N584" s="33">
        <f t="shared" ref="N584:N647" si="904">I584*J584/L584</f>
        <v>0.15304668211313638</v>
      </c>
      <c r="O584" s="33">
        <f t="shared" ref="O584:O647" si="905">I584^R584</f>
        <v>0.16961499016141257</v>
      </c>
      <c r="P584" s="33">
        <f t="shared" ref="P584:P647" si="906">IF(J584&lt;&gt;1,O584,IF(L584&lt;=1,I584/L584,(SQRT(S584^2+4*(1-S584)*I584^2/L584)-S584)/(2*(1-S584))))</f>
        <v>0.17172390622681938</v>
      </c>
      <c r="Q584" s="33">
        <f t="shared" ref="Q584:Q647" si="907">IF(A_devig="Multiplicative",N584,IF(A_devig="Power",O584,P584))</f>
        <v>0.17172390622681938</v>
      </c>
      <c r="R584" s="35">
        <f t="shared" ref="R584:R647" si="908">INDEX($KA$8:$KA$96,MATCH(G584,$X$8:$X$96,0))</f>
        <v>1.1023874611360953</v>
      </c>
      <c r="S584" s="35">
        <f t="shared" ref="S584:S647" si="909">INDEX($KB$8:$KB$96,MATCH(G584,$X$8:$X$96,0))</f>
        <v>7.8759656817441563E-3</v>
      </c>
    </row>
    <row r="585" spans="1:19" ht="15" customHeight="1" x14ac:dyDescent="0.3">
      <c r="A585" s="30">
        <f>Odds_Input!A585</f>
        <v>577</v>
      </c>
      <c r="B585" s="7" t="str">
        <f>Odds_Input!B585</f>
        <v>LDR_SPG</v>
      </c>
      <c r="C585" s="7" t="str">
        <f>Odds_Input!C585</f>
        <v>Dyson Daniels</v>
      </c>
      <c r="D585" s="7" t="str">
        <f>Odds_Input!D585</f>
        <v>YES</v>
      </c>
      <c r="E585" s="31" t="str">
        <f>Odds_Input!E585</f>
        <v>-</v>
      </c>
      <c r="F585" s="32">
        <f>Odds_Input!F585</f>
        <v>560</v>
      </c>
      <c r="G585" s="6" t="str">
        <f t="shared" si="897"/>
        <v>LDR_SPG</v>
      </c>
      <c r="H585" s="14">
        <f t="shared" si="898"/>
        <v>6.6</v>
      </c>
      <c r="I585" s="33">
        <f t="shared" si="899"/>
        <v>0.15151515151515152</v>
      </c>
      <c r="J585" s="17">
        <f t="shared" si="900"/>
        <v>1</v>
      </c>
      <c r="K585" s="17">
        <f t="shared" si="901"/>
        <v>48</v>
      </c>
      <c r="L585" s="18">
        <f t="shared" si="902"/>
        <v>1.306790825116708</v>
      </c>
      <c r="M585" s="34">
        <f t="shared" si="903"/>
        <v>0.30679082511670797</v>
      </c>
      <c r="N585" s="33">
        <f t="shared" si="904"/>
        <v>0.11594445614631545</v>
      </c>
      <c r="O585" s="33">
        <f t="shared" si="905"/>
        <v>0.1248949969143118</v>
      </c>
      <c r="P585" s="33">
        <f t="shared" si="906"/>
        <v>0.12915684196686603</v>
      </c>
      <c r="Q585" s="33">
        <f t="shared" si="907"/>
        <v>0.12915684196686603</v>
      </c>
      <c r="R585" s="35">
        <f t="shared" si="908"/>
        <v>1.1023874611360953</v>
      </c>
      <c r="S585" s="35">
        <f t="shared" si="909"/>
        <v>7.8759656817441563E-3</v>
      </c>
    </row>
    <row r="586" spans="1:19" ht="15" customHeight="1" x14ac:dyDescent="0.3">
      <c r="A586" s="30">
        <f>Odds_Input!A586</f>
        <v>578</v>
      </c>
      <c r="B586" s="7" t="str">
        <f>Odds_Input!B586</f>
        <v>LDR_SPG</v>
      </c>
      <c r="C586" s="7" t="str">
        <f>Odds_Input!C586</f>
        <v>Matisse Thybulle</v>
      </c>
      <c r="D586" s="7" t="str">
        <f>Odds_Input!D586</f>
        <v>YES</v>
      </c>
      <c r="E586" s="31" t="str">
        <f>Odds_Input!E586</f>
        <v>-</v>
      </c>
      <c r="F586" s="32">
        <f>Odds_Input!F586</f>
        <v>600</v>
      </c>
      <c r="G586" s="6" t="str">
        <f t="shared" si="897"/>
        <v>LDR_SPG</v>
      </c>
      <c r="H586" s="14">
        <f t="shared" si="898"/>
        <v>7</v>
      </c>
      <c r="I586" s="33">
        <f t="shared" si="899"/>
        <v>0.14285714285714285</v>
      </c>
      <c r="J586" s="17">
        <f t="shared" si="900"/>
        <v>1</v>
      </c>
      <c r="K586" s="17">
        <f t="shared" si="901"/>
        <v>48</v>
      </c>
      <c r="L586" s="18">
        <f t="shared" si="902"/>
        <v>1.306790825116708</v>
      </c>
      <c r="M586" s="34">
        <f t="shared" si="903"/>
        <v>0.30679082511670797</v>
      </c>
      <c r="N586" s="33">
        <f t="shared" si="904"/>
        <v>0.10931905865224026</v>
      </c>
      <c r="O586" s="33">
        <f t="shared" si="905"/>
        <v>0.1170508352986047</v>
      </c>
      <c r="P586" s="33">
        <f t="shared" si="906"/>
        <v>0.12155660437385429</v>
      </c>
      <c r="Q586" s="33">
        <f t="shared" si="907"/>
        <v>0.12155660437385429</v>
      </c>
      <c r="R586" s="35">
        <f t="shared" si="908"/>
        <v>1.1023874611360953</v>
      </c>
      <c r="S586" s="35">
        <f t="shared" si="909"/>
        <v>7.8759656817441563E-3</v>
      </c>
    </row>
    <row r="587" spans="1:19" ht="15" customHeight="1" x14ac:dyDescent="0.3">
      <c r="A587" s="30">
        <f>Odds_Input!A587</f>
        <v>579</v>
      </c>
      <c r="B587" s="7" t="str">
        <f>Odds_Input!B587</f>
        <v>LDR_SPG</v>
      </c>
      <c r="C587" s="7" t="str">
        <f>Odds_Input!C587</f>
        <v>Tyrese Maxey</v>
      </c>
      <c r="D587" s="7" t="str">
        <f>Odds_Input!D587</f>
        <v>YES</v>
      </c>
      <c r="E587" s="31" t="str">
        <f>Odds_Input!E587</f>
        <v>-</v>
      </c>
      <c r="F587" s="32">
        <f>Odds_Input!F587</f>
        <v>1850</v>
      </c>
      <c r="G587" s="6" t="str">
        <f t="shared" si="897"/>
        <v>LDR_SPG</v>
      </c>
      <c r="H587" s="14">
        <f t="shared" si="898"/>
        <v>19.5</v>
      </c>
      <c r="I587" s="33">
        <f t="shared" si="899"/>
        <v>5.128205128205128E-2</v>
      </c>
      <c r="J587" s="17">
        <f t="shared" si="900"/>
        <v>1</v>
      </c>
      <c r="K587" s="17">
        <f t="shared" si="901"/>
        <v>48</v>
      </c>
      <c r="L587" s="18">
        <f t="shared" si="902"/>
        <v>1.306790825116708</v>
      </c>
      <c r="M587" s="34">
        <f t="shared" si="903"/>
        <v>0.30679082511670797</v>
      </c>
      <c r="N587" s="33">
        <f t="shared" si="904"/>
        <v>3.9242739003368304E-2</v>
      </c>
      <c r="O587" s="33">
        <f t="shared" si="905"/>
        <v>3.78339791352112E-2</v>
      </c>
      <c r="P587" s="33">
        <f t="shared" si="906"/>
        <v>4.1243351703746184E-2</v>
      </c>
      <c r="Q587" s="33">
        <f t="shared" si="907"/>
        <v>4.1243351703746184E-2</v>
      </c>
      <c r="R587" s="35">
        <f t="shared" si="908"/>
        <v>1.1023874611360953</v>
      </c>
      <c r="S587" s="35">
        <f t="shared" si="909"/>
        <v>7.8759656817441563E-3</v>
      </c>
    </row>
    <row r="588" spans="1:19" ht="15" customHeight="1" x14ac:dyDescent="0.3">
      <c r="A588" s="30">
        <f>Odds_Input!A588</f>
        <v>580</v>
      </c>
      <c r="B588" s="7" t="str">
        <f>Odds_Input!B588</f>
        <v>LDR_SPG</v>
      </c>
      <c r="C588" s="7" t="str">
        <f>Odds_Input!C588</f>
        <v>Jalen Suggs</v>
      </c>
      <c r="D588" s="7" t="str">
        <f>Odds_Input!D588</f>
        <v>YES</v>
      </c>
      <c r="E588" s="31" t="str">
        <f>Odds_Input!E588</f>
        <v>-</v>
      </c>
      <c r="F588" s="32">
        <f>Odds_Input!F588</f>
        <v>2250</v>
      </c>
      <c r="G588" s="6" t="str">
        <f t="shared" si="897"/>
        <v>LDR_SPG</v>
      </c>
      <c r="H588" s="14">
        <f t="shared" si="898"/>
        <v>23.5</v>
      </c>
      <c r="I588" s="33">
        <f t="shared" si="899"/>
        <v>4.2553191489361701E-2</v>
      </c>
      <c r="J588" s="17">
        <f t="shared" si="900"/>
        <v>1</v>
      </c>
      <c r="K588" s="17">
        <f t="shared" si="901"/>
        <v>48</v>
      </c>
      <c r="L588" s="18">
        <f t="shared" si="902"/>
        <v>1.306790825116708</v>
      </c>
      <c r="M588" s="34">
        <f t="shared" si="903"/>
        <v>0.30679082511670797</v>
      </c>
      <c r="N588" s="33">
        <f t="shared" si="904"/>
        <v>3.2563123853858802E-2</v>
      </c>
      <c r="O588" s="33">
        <f t="shared" si="905"/>
        <v>3.0800089625831212E-2</v>
      </c>
      <c r="P588" s="33">
        <f t="shared" si="906"/>
        <v>3.3612929912101054E-2</v>
      </c>
      <c r="Q588" s="33">
        <f t="shared" si="907"/>
        <v>3.3612929912101054E-2</v>
      </c>
      <c r="R588" s="35">
        <f t="shared" si="908"/>
        <v>1.1023874611360953</v>
      </c>
      <c r="S588" s="35">
        <f t="shared" si="909"/>
        <v>7.8759656817441563E-3</v>
      </c>
    </row>
    <row r="589" spans="1:19" ht="15" customHeight="1" x14ac:dyDescent="0.3">
      <c r="A589" s="30">
        <f>Odds_Input!A589</f>
        <v>581</v>
      </c>
      <c r="B589" s="7" t="str">
        <f>Odds_Input!B589</f>
        <v>LDR_SPG</v>
      </c>
      <c r="C589" s="7" t="str">
        <f>Odds_Input!C589</f>
        <v>Scotty Pippen Jr</v>
      </c>
      <c r="D589" s="7" t="str">
        <f>Odds_Input!D589</f>
        <v>YES</v>
      </c>
      <c r="E589" s="31" t="str">
        <f>Odds_Input!E589</f>
        <v>-</v>
      </c>
      <c r="F589" s="32">
        <f>Odds_Input!F589</f>
        <v>2150</v>
      </c>
      <c r="G589" s="6" t="str">
        <f t="shared" si="897"/>
        <v>LDR_SPG</v>
      </c>
      <c r="H589" s="14">
        <f t="shared" si="898"/>
        <v>22.5</v>
      </c>
      <c r="I589" s="33">
        <f t="shared" si="899"/>
        <v>4.4444444444444446E-2</v>
      </c>
      <c r="J589" s="17">
        <f t="shared" si="900"/>
        <v>1</v>
      </c>
      <c r="K589" s="17">
        <f t="shared" si="901"/>
        <v>48</v>
      </c>
      <c r="L589" s="18">
        <f t="shared" si="902"/>
        <v>1.306790825116708</v>
      </c>
      <c r="M589" s="34">
        <f t="shared" si="903"/>
        <v>0.30679082511670797</v>
      </c>
      <c r="N589" s="33">
        <f t="shared" si="904"/>
        <v>3.40103738029192E-2</v>
      </c>
      <c r="O589" s="33">
        <f t="shared" si="905"/>
        <v>3.2312528751180909E-2</v>
      </c>
      <c r="P589" s="33">
        <f t="shared" si="906"/>
        <v>3.5265009305852933E-2</v>
      </c>
      <c r="Q589" s="33">
        <f t="shared" si="907"/>
        <v>3.5265009305852933E-2</v>
      </c>
      <c r="R589" s="35">
        <f t="shared" si="908"/>
        <v>1.1023874611360953</v>
      </c>
      <c r="S589" s="35">
        <f t="shared" si="909"/>
        <v>7.8759656817441563E-3</v>
      </c>
    </row>
    <row r="590" spans="1:19" ht="15" customHeight="1" x14ac:dyDescent="0.3">
      <c r="A590" s="30">
        <f>Odds_Input!A590</f>
        <v>582</v>
      </c>
      <c r="B590" s="7" t="str">
        <f>Odds_Input!B590</f>
        <v>LDR_SPG</v>
      </c>
      <c r="C590" s="7" t="str">
        <f>Odds_Input!C590</f>
        <v>Kris Dunn</v>
      </c>
      <c r="D590" s="7" t="str">
        <f>Odds_Input!D590</f>
        <v>YES</v>
      </c>
      <c r="E590" s="31" t="str">
        <f>Odds_Input!E590</f>
        <v>-</v>
      </c>
      <c r="F590" s="32">
        <f>Odds_Input!F590</f>
        <v>2600</v>
      </c>
      <c r="G590" s="6" t="str">
        <f t="shared" si="897"/>
        <v>LDR_SPG</v>
      </c>
      <c r="H590" s="14">
        <f t="shared" si="898"/>
        <v>27</v>
      </c>
      <c r="I590" s="33">
        <f t="shared" si="899"/>
        <v>3.7037037037037035E-2</v>
      </c>
      <c r="J590" s="17">
        <f t="shared" si="900"/>
        <v>1</v>
      </c>
      <c r="K590" s="17">
        <f t="shared" si="901"/>
        <v>48</v>
      </c>
      <c r="L590" s="18">
        <f t="shared" si="902"/>
        <v>1.306790825116708</v>
      </c>
      <c r="M590" s="34">
        <f t="shared" si="903"/>
        <v>0.30679082511670797</v>
      </c>
      <c r="N590" s="33">
        <f t="shared" si="904"/>
        <v>2.8341978169099329E-2</v>
      </c>
      <c r="O590" s="33">
        <f t="shared" si="905"/>
        <v>2.6429109729237094E-2</v>
      </c>
      <c r="P590" s="33">
        <f t="shared" si="906"/>
        <v>2.8799503620345664E-2</v>
      </c>
      <c r="Q590" s="33">
        <f t="shared" si="907"/>
        <v>2.8799503620345664E-2</v>
      </c>
      <c r="R590" s="35">
        <f t="shared" si="908"/>
        <v>1.1023874611360953</v>
      </c>
      <c r="S590" s="35">
        <f t="shared" si="909"/>
        <v>7.8759656817441563E-3</v>
      </c>
    </row>
    <row r="591" spans="1:19" ht="15" customHeight="1" x14ac:dyDescent="0.3">
      <c r="A591" s="30">
        <f>Odds_Input!A591</f>
        <v>583</v>
      </c>
      <c r="B591" s="7" t="str">
        <f>Odds_Input!B591</f>
        <v>LDR_SPG</v>
      </c>
      <c r="C591" s="7" t="str">
        <f>Odds_Input!C591</f>
        <v>OG Anunoby</v>
      </c>
      <c r="D591" s="7" t="str">
        <f>Odds_Input!D591</f>
        <v>YES</v>
      </c>
      <c r="E591" s="31" t="str">
        <f>Odds_Input!E591</f>
        <v>-</v>
      </c>
      <c r="F591" s="32">
        <f>Odds_Input!F591</f>
        <v>4100</v>
      </c>
      <c r="G591" s="6" t="str">
        <f t="shared" si="897"/>
        <v>LDR_SPG</v>
      </c>
      <c r="H591" s="14">
        <f t="shared" si="898"/>
        <v>42</v>
      </c>
      <c r="I591" s="33">
        <f t="shared" si="899"/>
        <v>2.3809523809523808E-2</v>
      </c>
      <c r="J591" s="17">
        <f t="shared" si="900"/>
        <v>1</v>
      </c>
      <c r="K591" s="17">
        <f t="shared" si="901"/>
        <v>48</v>
      </c>
      <c r="L591" s="18">
        <f t="shared" si="902"/>
        <v>1.306790825116708</v>
      </c>
      <c r="M591" s="34">
        <f t="shared" si="903"/>
        <v>0.30679082511670797</v>
      </c>
      <c r="N591" s="33">
        <f t="shared" si="904"/>
        <v>1.821984310870671E-2</v>
      </c>
      <c r="O591" s="33">
        <f t="shared" si="905"/>
        <v>1.6238665503336119E-2</v>
      </c>
      <c r="P591" s="33">
        <f t="shared" si="906"/>
        <v>1.7314656776674296E-2</v>
      </c>
      <c r="Q591" s="33">
        <f t="shared" si="907"/>
        <v>1.7314656776674296E-2</v>
      </c>
      <c r="R591" s="35">
        <f t="shared" si="908"/>
        <v>1.1023874611360953</v>
      </c>
      <c r="S591" s="35">
        <f t="shared" si="909"/>
        <v>7.8759656817441563E-3</v>
      </c>
    </row>
    <row r="592" spans="1:19" ht="15" customHeight="1" x14ac:dyDescent="0.3">
      <c r="A592" s="30">
        <f>Odds_Input!A592</f>
        <v>584</v>
      </c>
      <c r="B592" s="7" t="str">
        <f>Odds_Input!B592</f>
        <v>LDR_SPG</v>
      </c>
      <c r="C592" s="7" t="str">
        <f>Odds_Input!C592</f>
        <v>Amen Thompson</v>
      </c>
      <c r="D592" s="7" t="str">
        <f>Odds_Input!D592</f>
        <v>YES</v>
      </c>
      <c r="E592" s="31" t="str">
        <f>Odds_Input!E592</f>
        <v>-</v>
      </c>
      <c r="F592" s="32">
        <f>Odds_Input!F592</f>
        <v>4100</v>
      </c>
      <c r="G592" s="6" t="str">
        <f t="shared" si="897"/>
        <v>LDR_SPG</v>
      </c>
      <c r="H592" s="14">
        <f t="shared" si="898"/>
        <v>42</v>
      </c>
      <c r="I592" s="33">
        <f t="shared" si="899"/>
        <v>2.3809523809523808E-2</v>
      </c>
      <c r="J592" s="17">
        <f t="shared" si="900"/>
        <v>1</v>
      </c>
      <c r="K592" s="17">
        <f t="shared" si="901"/>
        <v>48</v>
      </c>
      <c r="L592" s="18">
        <f t="shared" si="902"/>
        <v>1.306790825116708</v>
      </c>
      <c r="M592" s="34">
        <f t="shared" si="903"/>
        <v>0.30679082511670797</v>
      </c>
      <c r="N592" s="33">
        <f t="shared" si="904"/>
        <v>1.821984310870671E-2</v>
      </c>
      <c r="O592" s="33">
        <f t="shared" si="905"/>
        <v>1.6238665503336119E-2</v>
      </c>
      <c r="P592" s="33">
        <f t="shared" si="906"/>
        <v>1.7314656776674296E-2</v>
      </c>
      <c r="Q592" s="33">
        <f t="shared" si="907"/>
        <v>1.7314656776674296E-2</v>
      </c>
      <c r="R592" s="35">
        <f t="shared" si="908"/>
        <v>1.1023874611360953</v>
      </c>
      <c r="S592" s="35">
        <f t="shared" si="909"/>
        <v>7.8759656817441563E-3</v>
      </c>
    </row>
    <row r="593" spans="1:19" ht="15" customHeight="1" x14ac:dyDescent="0.3">
      <c r="A593" s="30">
        <f>Odds_Input!A593</f>
        <v>585</v>
      </c>
      <c r="B593" s="7" t="str">
        <f>Odds_Input!B593</f>
        <v>LDR_SPG</v>
      </c>
      <c r="C593" s="7" t="str">
        <f>Odds_Input!C593</f>
        <v>Kawhi Leonard</v>
      </c>
      <c r="D593" s="7" t="str">
        <f>Odds_Input!D593</f>
        <v>YES</v>
      </c>
      <c r="E593" s="31" t="str">
        <f>Odds_Input!E593</f>
        <v>-</v>
      </c>
      <c r="F593" s="32">
        <f>Odds_Input!F593</f>
        <v>5100</v>
      </c>
      <c r="G593" s="6" t="str">
        <f t="shared" si="897"/>
        <v>LDR_SPG</v>
      </c>
      <c r="H593" s="14">
        <f t="shared" si="898"/>
        <v>52</v>
      </c>
      <c r="I593" s="33">
        <f t="shared" si="899"/>
        <v>1.9230769230769232E-2</v>
      </c>
      <c r="J593" s="17">
        <f t="shared" si="900"/>
        <v>1</v>
      </c>
      <c r="K593" s="17">
        <f t="shared" si="901"/>
        <v>48</v>
      </c>
      <c r="L593" s="18">
        <f t="shared" si="902"/>
        <v>1.306790825116708</v>
      </c>
      <c r="M593" s="34">
        <f t="shared" si="903"/>
        <v>0.30679082511670797</v>
      </c>
      <c r="N593" s="33">
        <f t="shared" si="904"/>
        <v>1.4716027126263114E-2</v>
      </c>
      <c r="O593" s="33">
        <f t="shared" si="905"/>
        <v>1.2832150091662517E-2</v>
      </c>
      <c r="P593" s="33">
        <f t="shared" si="906"/>
        <v>1.3380165310291636E-2</v>
      </c>
      <c r="Q593" s="33">
        <f t="shared" si="907"/>
        <v>1.3380165310291636E-2</v>
      </c>
      <c r="R593" s="35">
        <f t="shared" si="908"/>
        <v>1.1023874611360953</v>
      </c>
      <c r="S593" s="35">
        <f t="shared" si="909"/>
        <v>7.8759656817441563E-3</v>
      </c>
    </row>
    <row r="594" spans="1:19" ht="15" customHeight="1" x14ac:dyDescent="0.3">
      <c r="A594" s="30">
        <f>Odds_Input!A594</f>
        <v>586</v>
      </c>
      <c r="B594" s="7" t="str">
        <f>Odds_Input!B594</f>
        <v>LDR_SPG</v>
      </c>
      <c r="C594" s="7" t="str">
        <f>Odds_Input!C594</f>
        <v>Dejounte Murray</v>
      </c>
      <c r="D594" s="7" t="str">
        <f>Odds_Input!D594</f>
        <v>YES</v>
      </c>
      <c r="E594" s="31" t="str">
        <f>Odds_Input!E594</f>
        <v>-</v>
      </c>
      <c r="F594" s="32">
        <f>Odds_Input!F594</f>
        <v>5200</v>
      </c>
      <c r="G594" s="6" t="str">
        <f t="shared" si="897"/>
        <v>LDR_SPG</v>
      </c>
      <c r="H594" s="14">
        <f t="shared" si="898"/>
        <v>53</v>
      </c>
      <c r="I594" s="33">
        <f t="shared" si="899"/>
        <v>1.8867924528301886E-2</v>
      </c>
      <c r="J594" s="17">
        <f t="shared" si="900"/>
        <v>1</v>
      </c>
      <c r="K594" s="17">
        <f t="shared" si="901"/>
        <v>48</v>
      </c>
      <c r="L594" s="18">
        <f t="shared" si="902"/>
        <v>1.306790825116708</v>
      </c>
      <c r="M594" s="34">
        <f t="shared" si="903"/>
        <v>0.30679082511670797</v>
      </c>
      <c r="N594" s="33">
        <f t="shared" si="904"/>
        <v>1.4438366237088338E-2</v>
      </c>
      <c r="O594" s="33">
        <f t="shared" si="905"/>
        <v>1.2565503683607104E-2</v>
      </c>
      <c r="P594" s="33">
        <f t="shared" si="906"/>
        <v>1.3070107780004524E-2</v>
      </c>
      <c r="Q594" s="33">
        <f t="shared" si="907"/>
        <v>1.3070107780004524E-2</v>
      </c>
      <c r="R594" s="35">
        <f t="shared" si="908"/>
        <v>1.1023874611360953</v>
      </c>
      <c r="S594" s="35">
        <f t="shared" si="909"/>
        <v>7.8759656817441563E-3</v>
      </c>
    </row>
    <row r="595" spans="1:19" ht="15" customHeight="1" x14ac:dyDescent="0.3">
      <c r="A595" s="30">
        <f>Odds_Input!A595</f>
        <v>587</v>
      </c>
      <c r="B595" s="7" t="str">
        <f>Odds_Input!B595</f>
        <v>LDR_SPG</v>
      </c>
      <c r="C595" s="7" t="str">
        <f>Odds_Input!C595</f>
        <v>Reed Sheppard</v>
      </c>
      <c r="D595" s="7" t="str">
        <f>Odds_Input!D595</f>
        <v>YES</v>
      </c>
      <c r="E595" s="31" t="str">
        <f>Odds_Input!E595</f>
        <v>-</v>
      </c>
      <c r="F595" s="32">
        <f>Odds_Input!F595</f>
        <v>6600</v>
      </c>
      <c r="G595" s="6" t="str">
        <f t="shared" si="897"/>
        <v>LDR_SPG</v>
      </c>
      <c r="H595" s="14">
        <f t="shared" si="898"/>
        <v>67</v>
      </c>
      <c r="I595" s="33">
        <f t="shared" si="899"/>
        <v>1.4925373134328358E-2</v>
      </c>
      <c r="J595" s="17">
        <f t="shared" si="900"/>
        <v>1</v>
      </c>
      <c r="K595" s="17">
        <f t="shared" si="901"/>
        <v>48</v>
      </c>
      <c r="L595" s="18">
        <f t="shared" si="902"/>
        <v>1.306790825116708</v>
      </c>
      <c r="M595" s="34">
        <f t="shared" si="903"/>
        <v>0.30679082511670797</v>
      </c>
      <c r="N595" s="33">
        <f t="shared" si="904"/>
        <v>1.1421394187547491E-2</v>
      </c>
      <c r="O595" s="33">
        <f t="shared" si="905"/>
        <v>9.704161920279392E-3</v>
      </c>
      <c r="P595" s="33">
        <f t="shared" si="906"/>
        <v>9.7266211252920939E-3</v>
      </c>
      <c r="Q595" s="33">
        <f t="shared" si="907"/>
        <v>9.7266211252920939E-3</v>
      </c>
      <c r="R595" s="35">
        <f t="shared" si="908"/>
        <v>1.1023874611360953</v>
      </c>
      <c r="S595" s="35">
        <f t="shared" si="909"/>
        <v>7.8759656817441563E-3</v>
      </c>
    </row>
    <row r="596" spans="1:19" ht="15" customHeight="1" x14ac:dyDescent="0.3">
      <c r="A596" s="30">
        <f>Odds_Input!A596</f>
        <v>588</v>
      </c>
      <c r="B596" s="7" t="str">
        <f>Odds_Input!B596</f>
        <v>LDR_SPG</v>
      </c>
      <c r="C596" s="7" t="str">
        <f>Odds_Input!C596</f>
        <v>Shai Gilgeous Alexander</v>
      </c>
      <c r="D596" s="7" t="str">
        <f>Odds_Input!D596</f>
        <v>YES</v>
      </c>
      <c r="E596" s="31" t="str">
        <f>Odds_Input!E596</f>
        <v>-</v>
      </c>
      <c r="F596" s="32">
        <f>Odds_Input!F596</f>
        <v>7100</v>
      </c>
      <c r="G596" s="6" t="str">
        <f t="shared" si="897"/>
        <v>LDR_SPG</v>
      </c>
      <c r="H596" s="14">
        <f t="shared" si="898"/>
        <v>72</v>
      </c>
      <c r="I596" s="33">
        <f t="shared" si="899"/>
        <v>1.3888888888888888E-2</v>
      </c>
      <c r="J596" s="17">
        <f t="shared" si="900"/>
        <v>1</v>
      </c>
      <c r="K596" s="17">
        <f t="shared" si="901"/>
        <v>48</v>
      </c>
      <c r="L596" s="18">
        <f t="shared" si="902"/>
        <v>1.306790825116708</v>
      </c>
      <c r="M596" s="34">
        <f t="shared" si="903"/>
        <v>0.30679082511670797</v>
      </c>
      <c r="N596" s="33">
        <f t="shared" si="904"/>
        <v>1.0628241813412247E-2</v>
      </c>
      <c r="O596" s="33">
        <f t="shared" si="905"/>
        <v>8.9639607196102811E-3</v>
      </c>
      <c r="P596" s="33">
        <f t="shared" si="906"/>
        <v>8.8581171860811613E-3</v>
      </c>
      <c r="Q596" s="33">
        <f t="shared" si="907"/>
        <v>8.8581171860811613E-3</v>
      </c>
      <c r="R596" s="35">
        <f t="shared" si="908"/>
        <v>1.1023874611360953</v>
      </c>
      <c r="S596" s="35">
        <f t="shared" si="909"/>
        <v>7.8759656817441563E-3</v>
      </c>
    </row>
    <row r="597" spans="1:19" ht="15" customHeight="1" x14ac:dyDescent="0.3">
      <c r="A597" s="30">
        <f>Odds_Input!A597</f>
        <v>589</v>
      </c>
      <c r="B597" s="7" t="str">
        <f>Odds_Input!B597</f>
        <v>LDR_SPG</v>
      </c>
      <c r="C597" s="7" t="str">
        <f>Odds_Input!C597</f>
        <v>Herbert Jones</v>
      </c>
      <c r="D597" s="7" t="str">
        <f>Odds_Input!D597</f>
        <v>YES</v>
      </c>
      <c r="E597" s="31" t="str">
        <f>Odds_Input!E597</f>
        <v>-</v>
      </c>
      <c r="F597" s="32">
        <f>Odds_Input!F597</f>
        <v>7200</v>
      </c>
      <c r="G597" s="6" t="str">
        <f t="shared" si="897"/>
        <v>LDR_SPG</v>
      </c>
      <c r="H597" s="14">
        <f t="shared" si="898"/>
        <v>73</v>
      </c>
      <c r="I597" s="33">
        <f t="shared" si="899"/>
        <v>1.3698630136986301E-2</v>
      </c>
      <c r="J597" s="17">
        <f t="shared" si="900"/>
        <v>1</v>
      </c>
      <c r="K597" s="17">
        <f t="shared" si="901"/>
        <v>48</v>
      </c>
      <c r="L597" s="18">
        <f t="shared" si="902"/>
        <v>1.306790825116708</v>
      </c>
      <c r="M597" s="34">
        <f t="shared" si="903"/>
        <v>0.30679082511670797</v>
      </c>
      <c r="N597" s="33">
        <f t="shared" si="904"/>
        <v>1.0482649459803862E-2</v>
      </c>
      <c r="O597" s="33">
        <f t="shared" si="905"/>
        <v>8.8286894950723623E-3</v>
      </c>
      <c r="P597" s="33">
        <f t="shared" si="906"/>
        <v>8.6993304316420814E-3</v>
      </c>
      <c r="Q597" s="33">
        <f t="shared" si="907"/>
        <v>8.6993304316420814E-3</v>
      </c>
      <c r="R597" s="35">
        <f t="shared" si="908"/>
        <v>1.1023874611360953</v>
      </c>
      <c r="S597" s="35">
        <f t="shared" si="909"/>
        <v>7.8759656817441563E-3</v>
      </c>
    </row>
    <row r="598" spans="1:19" ht="15" customHeight="1" x14ac:dyDescent="0.3">
      <c r="A598" s="30">
        <f>Odds_Input!A598</f>
        <v>590</v>
      </c>
      <c r="B598" s="7" t="str">
        <f>Odds_Input!B598</f>
        <v>LDR_SPG</v>
      </c>
      <c r="C598" s="7" t="str">
        <f>Odds_Input!C598</f>
        <v>Josh Hart</v>
      </c>
      <c r="D598" s="7" t="str">
        <f>Odds_Input!D598</f>
        <v>YES</v>
      </c>
      <c r="E598" s="31" t="str">
        <f>Odds_Input!E598</f>
        <v>-</v>
      </c>
      <c r="F598" s="32">
        <f>Odds_Input!F598</f>
        <v>7100</v>
      </c>
      <c r="G598" s="6" t="str">
        <f t="shared" si="897"/>
        <v>LDR_SPG</v>
      </c>
      <c r="H598" s="14">
        <f t="shared" si="898"/>
        <v>72</v>
      </c>
      <c r="I598" s="33">
        <f t="shared" si="899"/>
        <v>1.3888888888888888E-2</v>
      </c>
      <c r="J598" s="17">
        <f t="shared" si="900"/>
        <v>1</v>
      </c>
      <c r="K598" s="17">
        <f t="shared" si="901"/>
        <v>48</v>
      </c>
      <c r="L598" s="18">
        <f t="shared" si="902"/>
        <v>1.306790825116708</v>
      </c>
      <c r="M598" s="34">
        <f t="shared" si="903"/>
        <v>0.30679082511670797</v>
      </c>
      <c r="N598" s="33">
        <f t="shared" si="904"/>
        <v>1.0628241813412247E-2</v>
      </c>
      <c r="O598" s="33">
        <f t="shared" si="905"/>
        <v>8.9639607196102811E-3</v>
      </c>
      <c r="P598" s="33">
        <f t="shared" si="906"/>
        <v>8.8581171860811613E-3</v>
      </c>
      <c r="Q598" s="33">
        <f t="shared" si="907"/>
        <v>8.8581171860811613E-3</v>
      </c>
      <c r="R598" s="35">
        <f t="shared" si="908"/>
        <v>1.1023874611360953</v>
      </c>
      <c r="S598" s="35">
        <f t="shared" si="909"/>
        <v>7.8759656817441563E-3</v>
      </c>
    </row>
    <row r="599" spans="1:19" ht="15" customHeight="1" x14ac:dyDescent="0.3">
      <c r="A599" s="30">
        <f>Odds_Input!A599</f>
        <v>591</v>
      </c>
      <c r="B599" s="7" t="str">
        <f>Odds_Input!B599</f>
        <v>LDR_SPG</v>
      </c>
      <c r="C599" s="7" t="str">
        <f>Odds_Input!C599</f>
        <v>Mikal Bridges</v>
      </c>
      <c r="D599" s="7" t="str">
        <f>Odds_Input!D599</f>
        <v>YES</v>
      </c>
      <c r="E599" s="31" t="str">
        <f>Odds_Input!E599</f>
        <v>-</v>
      </c>
      <c r="F599" s="32">
        <f>Odds_Input!F599</f>
        <v>7600</v>
      </c>
      <c r="G599" s="6" t="str">
        <f t="shared" si="897"/>
        <v>LDR_SPG</v>
      </c>
      <c r="H599" s="14">
        <f t="shared" si="898"/>
        <v>77</v>
      </c>
      <c r="I599" s="33">
        <f t="shared" si="899"/>
        <v>1.2987012987012988E-2</v>
      </c>
      <c r="J599" s="17">
        <f t="shared" si="900"/>
        <v>1</v>
      </c>
      <c r="K599" s="17">
        <f t="shared" si="901"/>
        <v>48</v>
      </c>
      <c r="L599" s="18">
        <f t="shared" si="902"/>
        <v>1.306790825116708</v>
      </c>
      <c r="M599" s="34">
        <f t="shared" si="903"/>
        <v>0.30679082511670797</v>
      </c>
      <c r="N599" s="33">
        <f t="shared" si="904"/>
        <v>9.9380962411127517E-3</v>
      </c>
      <c r="O599" s="33">
        <f t="shared" si="905"/>
        <v>8.3244639908954393E-3</v>
      </c>
      <c r="P599" s="33">
        <f t="shared" si="906"/>
        <v>8.1074138851885639E-3</v>
      </c>
      <c r="Q599" s="33">
        <f t="shared" si="907"/>
        <v>8.1074138851885639E-3</v>
      </c>
      <c r="R599" s="35">
        <f t="shared" si="908"/>
        <v>1.1023874611360953</v>
      </c>
      <c r="S599" s="35">
        <f t="shared" si="909"/>
        <v>7.8759656817441563E-3</v>
      </c>
    </row>
    <row r="600" spans="1:19" ht="15" customHeight="1" x14ac:dyDescent="0.3">
      <c r="A600" s="30">
        <f>Odds_Input!A600</f>
        <v>592</v>
      </c>
      <c r="B600" s="7" t="str">
        <f>Odds_Input!B600</f>
        <v>LDR_SPG</v>
      </c>
      <c r="C600" s="7" t="str">
        <f>Odds_Input!C600</f>
        <v>Luka Doncic</v>
      </c>
      <c r="D600" s="7" t="str">
        <f>Odds_Input!D600</f>
        <v>YES</v>
      </c>
      <c r="E600" s="31" t="str">
        <f>Odds_Input!E600</f>
        <v>-</v>
      </c>
      <c r="F600" s="32">
        <f>Odds_Input!F600</f>
        <v>7600</v>
      </c>
      <c r="G600" s="6" t="str">
        <f t="shared" si="897"/>
        <v>LDR_SPG</v>
      </c>
      <c r="H600" s="14">
        <f t="shared" si="898"/>
        <v>77</v>
      </c>
      <c r="I600" s="33">
        <f t="shared" si="899"/>
        <v>1.2987012987012988E-2</v>
      </c>
      <c r="J600" s="17">
        <f t="shared" si="900"/>
        <v>1</v>
      </c>
      <c r="K600" s="17">
        <f t="shared" si="901"/>
        <v>48</v>
      </c>
      <c r="L600" s="18">
        <f t="shared" si="902"/>
        <v>1.306790825116708</v>
      </c>
      <c r="M600" s="34">
        <f t="shared" si="903"/>
        <v>0.30679082511670797</v>
      </c>
      <c r="N600" s="33">
        <f t="shared" si="904"/>
        <v>9.9380962411127517E-3</v>
      </c>
      <c r="O600" s="33">
        <f t="shared" si="905"/>
        <v>8.3244639908954393E-3</v>
      </c>
      <c r="P600" s="33">
        <f t="shared" si="906"/>
        <v>8.1074138851885639E-3</v>
      </c>
      <c r="Q600" s="33">
        <f t="shared" si="907"/>
        <v>8.1074138851885639E-3</v>
      </c>
      <c r="R600" s="35">
        <f t="shared" si="908"/>
        <v>1.1023874611360953</v>
      </c>
      <c r="S600" s="35">
        <f t="shared" si="909"/>
        <v>7.8759656817441563E-3</v>
      </c>
    </row>
    <row r="601" spans="1:19" ht="15" customHeight="1" x14ac:dyDescent="0.3">
      <c r="A601" s="30">
        <f>Odds_Input!A601</f>
        <v>593</v>
      </c>
      <c r="B601" s="7" t="str">
        <f>Odds_Input!B601</f>
        <v>LDR_SPG</v>
      </c>
      <c r="C601" s="7" t="str">
        <f>Odds_Input!C601</f>
        <v>Nikola Jokic</v>
      </c>
      <c r="D601" s="7" t="str">
        <f>Odds_Input!D601</f>
        <v>YES</v>
      </c>
      <c r="E601" s="31" t="str">
        <f>Odds_Input!E601</f>
        <v>-</v>
      </c>
      <c r="F601" s="32">
        <f>Odds_Input!F601</f>
        <v>8500</v>
      </c>
      <c r="G601" s="6" t="str">
        <f t="shared" si="897"/>
        <v>LDR_SPG</v>
      </c>
      <c r="H601" s="14">
        <f t="shared" si="898"/>
        <v>86</v>
      </c>
      <c r="I601" s="33">
        <f t="shared" si="899"/>
        <v>1.1627906976744186E-2</v>
      </c>
      <c r="J601" s="17">
        <f t="shared" si="900"/>
        <v>1</v>
      </c>
      <c r="K601" s="17">
        <f t="shared" si="901"/>
        <v>48</v>
      </c>
      <c r="L601" s="18">
        <f t="shared" si="902"/>
        <v>1.306790825116708</v>
      </c>
      <c r="M601" s="34">
        <f t="shared" si="903"/>
        <v>0.30679082511670797</v>
      </c>
      <c r="N601" s="33">
        <f t="shared" si="904"/>
        <v>8.8980629135544404E-3</v>
      </c>
      <c r="O601" s="33">
        <f t="shared" si="905"/>
        <v>7.3694175412991258E-3</v>
      </c>
      <c r="P601" s="33">
        <f t="shared" si="906"/>
        <v>6.9871286491685241E-3</v>
      </c>
      <c r="Q601" s="33">
        <f t="shared" si="907"/>
        <v>6.9871286491685241E-3</v>
      </c>
      <c r="R601" s="35">
        <f t="shared" si="908"/>
        <v>1.1023874611360953</v>
      </c>
      <c r="S601" s="35">
        <f t="shared" si="909"/>
        <v>7.8759656817441563E-3</v>
      </c>
    </row>
    <row r="602" spans="1:19" ht="15" customHeight="1" x14ac:dyDescent="0.3">
      <c r="A602" s="30">
        <f>Odds_Input!A602</f>
        <v>594</v>
      </c>
      <c r="B602" s="7" t="str">
        <f>Odds_Input!B602</f>
        <v>LDR_SPG</v>
      </c>
      <c r="C602" s="7" t="str">
        <f>Odds_Input!C602</f>
        <v>Alex Caruso</v>
      </c>
      <c r="D602" s="7" t="str">
        <f>Odds_Input!D602</f>
        <v>YES</v>
      </c>
      <c r="E602" s="31" t="str">
        <f>Odds_Input!E602</f>
        <v>-</v>
      </c>
      <c r="F602" s="32">
        <f>Odds_Input!F602</f>
        <v>8100</v>
      </c>
      <c r="G602" s="6" t="str">
        <f t="shared" si="897"/>
        <v>LDR_SPG</v>
      </c>
      <c r="H602" s="14">
        <f t="shared" si="898"/>
        <v>82</v>
      </c>
      <c r="I602" s="33">
        <f t="shared" si="899"/>
        <v>1.2195121951219513E-2</v>
      </c>
      <c r="J602" s="17">
        <f t="shared" si="900"/>
        <v>1</v>
      </c>
      <c r="K602" s="17">
        <f t="shared" si="901"/>
        <v>48</v>
      </c>
      <c r="L602" s="18">
        <f t="shared" si="902"/>
        <v>1.306790825116708</v>
      </c>
      <c r="M602" s="34">
        <f t="shared" si="903"/>
        <v>0.30679082511670797</v>
      </c>
      <c r="N602" s="33">
        <f t="shared" si="904"/>
        <v>9.3321147629961219E-3</v>
      </c>
      <c r="O602" s="33">
        <f t="shared" si="905"/>
        <v>7.7666834748962256E-3</v>
      </c>
      <c r="P602" s="33">
        <f t="shared" si="906"/>
        <v>7.4528669405706377E-3</v>
      </c>
      <c r="Q602" s="33">
        <f t="shared" si="907"/>
        <v>7.4528669405706377E-3</v>
      </c>
      <c r="R602" s="35">
        <f t="shared" si="908"/>
        <v>1.1023874611360953</v>
      </c>
      <c r="S602" s="35">
        <f t="shared" si="909"/>
        <v>7.8759656817441563E-3</v>
      </c>
    </row>
    <row r="603" spans="1:19" ht="15" customHeight="1" x14ac:dyDescent="0.3">
      <c r="A603" s="30">
        <f>Odds_Input!A603</f>
        <v>595</v>
      </c>
      <c r="B603" s="7" t="str">
        <f>Odds_Input!B603</f>
        <v>LDR_SPG</v>
      </c>
      <c r="C603" s="7" t="str">
        <f>Odds_Input!C603</f>
        <v>Jordan Goodwin</v>
      </c>
      <c r="D603" s="7" t="str">
        <f>Odds_Input!D603</f>
        <v>YES</v>
      </c>
      <c r="E603" s="31" t="str">
        <f>Odds_Input!E603</f>
        <v>-</v>
      </c>
      <c r="F603" s="32">
        <f>Odds_Input!F603</f>
        <v>8500</v>
      </c>
      <c r="G603" s="6" t="str">
        <f t="shared" si="897"/>
        <v>LDR_SPG</v>
      </c>
      <c r="H603" s="14">
        <f t="shared" si="898"/>
        <v>86</v>
      </c>
      <c r="I603" s="33">
        <f t="shared" si="899"/>
        <v>1.1627906976744186E-2</v>
      </c>
      <c r="J603" s="17">
        <f t="shared" si="900"/>
        <v>1</v>
      </c>
      <c r="K603" s="17">
        <f t="shared" si="901"/>
        <v>48</v>
      </c>
      <c r="L603" s="18">
        <f t="shared" si="902"/>
        <v>1.306790825116708</v>
      </c>
      <c r="M603" s="34">
        <f t="shared" si="903"/>
        <v>0.30679082511670797</v>
      </c>
      <c r="N603" s="33">
        <f t="shared" si="904"/>
        <v>8.8980629135544404E-3</v>
      </c>
      <c r="O603" s="33">
        <f t="shared" si="905"/>
        <v>7.3694175412991258E-3</v>
      </c>
      <c r="P603" s="33">
        <f t="shared" si="906"/>
        <v>6.9871286491685241E-3</v>
      </c>
      <c r="Q603" s="33">
        <f t="shared" si="907"/>
        <v>6.9871286491685241E-3</v>
      </c>
      <c r="R603" s="35">
        <f t="shared" si="908"/>
        <v>1.1023874611360953</v>
      </c>
      <c r="S603" s="35">
        <f t="shared" si="909"/>
        <v>7.8759656817441563E-3</v>
      </c>
    </row>
    <row r="604" spans="1:19" ht="15" customHeight="1" x14ac:dyDescent="0.3">
      <c r="A604" s="30">
        <f>Odds_Input!A604</f>
        <v>596</v>
      </c>
      <c r="B604" s="7" t="str">
        <f>Odds_Input!B604</f>
        <v>LDR_SPG</v>
      </c>
      <c r="C604" s="7" t="str">
        <f>Odds_Input!C604</f>
        <v>Ryan Rollins</v>
      </c>
      <c r="D604" s="7" t="str">
        <f>Odds_Input!D604</f>
        <v>YES</v>
      </c>
      <c r="E604" s="31" t="str">
        <f>Odds_Input!E604</f>
        <v>-</v>
      </c>
      <c r="F604" s="32">
        <f>Odds_Input!F604</f>
        <v>9500</v>
      </c>
      <c r="G604" s="6" t="str">
        <f t="shared" si="897"/>
        <v>LDR_SPG</v>
      </c>
      <c r="H604" s="14">
        <f t="shared" si="898"/>
        <v>96</v>
      </c>
      <c r="I604" s="33">
        <f t="shared" si="899"/>
        <v>1.0416666666666666E-2</v>
      </c>
      <c r="J604" s="17">
        <f t="shared" si="900"/>
        <v>1</v>
      </c>
      <c r="K604" s="17">
        <f t="shared" si="901"/>
        <v>48</v>
      </c>
      <c r="L604" s="18">
        <f t="shared" si="902"/>
        <v>1.306790825116708</v>
      </c>
      <c r="M604" s="34">
        <f t="shared" si="903"/>
        <v>0.30679082511670797</v>
      </c>
      <c r="N604" s="33">
        <f t="shared" si="904"/>
        <v>7.9711813600591864E-3</v>
      </c>
      <c r="O604" s="33">
        <f t="shared" si="905"/>
        <v>6.5278331907566382E-3</v>
      </c>
      <c r="P604" s="33">
        <f t="shared" si="906"/>
        <v>6.0030771472518729E-3</v>
      </c>
      <c r="Q604" s="33">
        <f t="shared" si="907"/>
        <v>6.0030771472518729E-3</v>
      </c>
      <c r="R604" s="35">
        <f t="shared" si="908"/>
        <v>1.1023874611360953</v>
      </c>
      <c r="S604" s="35">
        <f t="shared" si="909"/>
        <v>7.8759656817441563E-3</v>
      </c>
    </row>
    <row r="605" spans="1:19" ht="15" customHeight="1" x14ac:dyDescent="0.3">
      <c r="A605" s="30">
        <f>Odds_Input!A605</f>
        <v>597</v>
      </c>
      <c r="B605" s="7" t="str">
        <f>Odds_Input!B605</f>
        <v>LDR_SPG</v>
      </c>
      <c r="C605" s="7" t="str">
        <f>Odds_Input!C605</f>
        <v>Jalen Williams</v>
      </c>
      <c r="D605" s="7" t="str">
        <f>Odds_Input!D605</f>
        <v>YES</v>
      </c>
      <c r="E605" s="31" t="str">
        <f>Odds_Input!E605</f>
        <v>-</v>
      </c>
      <c r="F605" s="32">
        <f>Odds_Input!F605</f>
        <v>9100</v>
      </c>
      <c r="G605" s="6" t="str">
        <f t="shared" si="897"/>
        <v>LDR_SPG</v>
      </c>
      <c r="H605" s="14">
        <f t="shared" si="898"/>
        <v>92</v>
      </c>
      <c r="I605" s="33">
        <f t="shared" si="899"/>
        <v>1.0869565217391304E-2</v>
      </c>
      <c r="J605" s="17">
        <f t="shared" si="900"/>
        <v>1</v>
      </c>
      <c r="K605" s="17">
        <f t="shared" si="901"/>
        <v>48</v>
      </c>
      <c r="L605" s="18">
        <f t="shared" si="902"/>
        <v>1.306790825116708</v>
      </c>
      <c r="M605" s="34">
        <f t="shared" si="903"/>
        <v>0.30679082511670797</v>
      </c>
      <c r="N605" s="33">
        <f t="shared" si="904"/>
        <v>8.3177544626704559E-3</v>
      </c>
      <c r="O605" s="33">
        <f t="shared" si="905"/>
        <v>6.8413990468669875E-3</v>
      </c>
      <c r="P605" s="33">
        <f t="shared" si="906"/>
        <v>6.3691789090143027E-3</v>
      </c>
      <c r="Q605" s="33">
        <f t="shared" si="907"/>
        <v>6.3691789090143027E-3</v>
      </c>
      <c r="R605" s="35">
        <f t="shared" si="908"/>
        <v>1.1023874611360953</v>
      </c>
      <c r="S605" s="35">
        <f t="shared" si="909"/>
        <v>7.8759656817441563E-3</v>
      </c>
    </row>
    <row r="606" spans="1:19" ht="15" customHeight="1" x14ac:dyDescent="0.3">
      <c r="A606" s="30">
        <f>Odds_Input!A606</f>
        <v>598</v>
      </c>
      <c r="B606" s="7" t="str">
        <f>Odds_Input!B606</f>
        <v>LDR_SPG</v>
      </c>
      <c r="C606" s="7" t="str">
        <f>Odds_Input!C606</f>
        <v>Anthony Black</v>
      </c>
      <c r="D606" s="7" t="str">
        <f>Odds_Input!D606</f>
        <v>YES</v>
      </c>
      <c r="E606" s="31" t="str">
        <f>Odds_Input!E606</f>
        <v>-</v>
      </c>
      <c r="F606" s="32">
        <f>Odds_Input!F606</f>
        <v>9500</v>
      </c>
      <c r="G606" s="6" t="str">
        <f t="shared" si="897"/>
        <v>LDR_SPG</v>
      </c>
      <c r="H606" s="14">
        <f t="shared" si="898"/>
        <v>96</v>
      </c>
      <c r="I606" s="33">
        <f t="shared" si="899"/>
        <v>1.0416666666666666E-2</v>
      </c>
      <c r="J606" s="17">
        <f t="shared" si="900"/>
        <v>1</v>
      </c>
      <c r="K606" s="17">
        <f t="shared" si="901"/>
        <v>48</v>
      </c>
      <c r="L606" s="18">
        <f t="shared" si="902"/>
        <v>1.306790825116708</v>
      </c>
      <c r="M606" s="34">
        <f t="shared" si="903"/>
        <v>0.30679082511670797</v>
      </c>
      <c r="N606" s="33">
        <f t="shared" si="904"/>
        <v>7.9711813600591864E-3</v>
      </c>
      <c r="O606" s="33">
        <f t="shared" si="905"/>
        <v>6.5278331907566382E-3</v>
      </c>
      <c r="P606" s="33">
        <f t="shared" si="906"/>
        <v>6.0030771472518729E-3</v>
      </c>
      <c r="Q606" s="33">
        <f t="shared" si="907"/>
        <v>6.0030771472518729E-3</v>
      </c>
      <c r="R606" s="35">
        <f t="shared" si="908"/>
        <v>1.1023874611360953</v>
      </c>
      <c r="S606" s="35">
        <f t="shared" si="909"/>
        <v>7.8759656817441563E-3</v>
      </c>
    </row>
    <row r="607" spans="1:19" ht="15" customHeight="1" x14ac:dyDescent="0.3">
      <c r="A607" s="30">
        <f>Odds_Input!A607</f>
        <v>599</v>
      </c>
      <c r="B607" s="7" t="str">
        <f>Odds_Input!B607</f>
        <v>LDR_SPG</v>
      </c>
      <c r="C607" s="7" t="str">
        <f>Odds_Input!C607</f>
        <v>Scottie Barnes</v>
      </c>
      <c r="D607" s="7" t="str">
        <f>Odds_Input!D607</f>
        <v>YES</v>
      </c>
      <c r="E607" s="31" t="str">
        <f>Odds_Input!E607</f>
        <v>-</v>
      </c>
      <c r="F607" s="32">
        <f>Odds_Input!F607</f>
        <v>10000</v>
      </c>
      <c r="G607" s="6" t="str">
        <f t="shared" si="897"/>
        <v>LDR_SPG</v>
      </c>
      <c r="H607" s="14">
        <f t="shared" si="898"/>
        <v>101</v>
      </c>
      <c r="I607" s="33">
        <f t="shared" si="899"/>
        <v>9.9009900990099011E-3</v>
      </c>
      <c r="J607" s="17">
        <f t="shared" si="900"/>
        <v>1</v>
      </c>
      <c r="K607" s="17">
        <f t="shared" si="901"/>
        <v>48</v>
      </c>
      <c r="L607" s="18">
        <f t="shared" si="902"/>
        <v>1.306790825116708</v>
      </c>
      <c r="M607" s="34">
        <f t="shared" si="903"/>
        <v>0.30679082511670797</v>
      </c>
      <c r="N607" s="33">
        <f t="shared" si="904"/>
        <v>7.5765684214423954E-3</v>
      </c>
      <c r="O607" s="33">
        <f t="shared" si="905"/>
        <v>6.1725021440009577E-3</v>
      </c>
      <c r="P607" s="33">
        <f t="shared" si="906"/>
        <v>5.5893087933824651E-3</v>
      </c>
      <c r="Q607" s="33">
        <f t="shared" si="907"/>
        <v>5.5893087933824651E-3</v>
      </c>
      <c r="R607" s="35">
        <f t="shared" si="908"/>
        <v>1.1023874611360953</v>
      </c>
      <c r="S607" s="35">
        <f t="shared" si="909"/>
        <v>7.8759656817441563E-3</v>
      </c>
    </row>
    <row r="608" spans="1:19" ht="15" customHeight="1" x14ac:dyDescent="0.3">
      <c r="A608" s="30">
        <f>Odds_Input!A608</f>
        <v>600</v>
      </c>
      <c r="B608" s="7" t="str">
        <f>Odds_Input!B608</f>
        <v>LDR_SPG</v>
      </c>
      <c r="C608" s="7" t="str">
        <f>Odds_Input!C608</f>
        <v>Jalen Johnson</v>
      </c>
      <c r="D608" s="7" t="str">
        <f>Odds_Input!D608</f>
        <v>YES</v>
      </c>
      <c r="E608" s="31" t="str">
        <f>Odds_Input!E608</f>
        <v>-</v>
      </c>
      <c r="F608" s="32">
        <f>Odds_Input!F608</f>
        <v>12000</v>
      </c>
      <c r="G608" s="6" t="str">
        <f t="shared" si="897"/>
        <v>LDR_SPG</v>
      </c>
      <c r="H608" s="14">
        <f t="shared" si="898"/>
        <v>121</v>
      </c>
      <c r="I608" s="33">
        <f t="shared" si="899"/>
        <v>8.2644628099173556E-3</v>
      </c>
      <c r="J608" s="17">
        <f t="shared" si="900"/>
        <v>1</v>
      </c>
      <c r="K608" s="17">
        <f t="shared" si="901"/>
        <v>48</v>
      </c>
      <c r="L608" s="18">
        <f t="shared" si="902"/>
        <v>1.306790825116708</v>
      </c>
      <c r="M608" s="34">
        <f t="shared" si="903"/>
        <v>0.30679082511670797</v>
      </c>
      <c r="N608" s="33">
        <f t="shared" si="904"/>
        <v>6.3242430625262969E-3</v>
      </c>
      <c r="O608" s="33">
        <f t="shared" si="905"/>
        <v>5.057821794794721E-3</v>
      </c>
      <c r="P608" s="33">
        <f t="shared" si="906"/>
        <v>4.3033784529472908E-3</v>
      </c>
      <c r="Q608" s="33">
        <f t="shared" si="907"/>
        <v>4.3033784529472908E-3</v>
      </c>
      <c r="R608" s="35">
        <f t="shared" si="908"/>
        <v>1.1023874611360953</v>
      </c>
      <c r="S608" s="35">
        <f t="shared" si="909"/>
        <v>7.8759656817441563E-3</v>
      </c>
    </row>
    <row r="609" spans="1:19" ht="15" customHeight="1" x14ac:dyDescent="0.3">
      <c r="A609" s="30">
        <f>Odds_Input!A609</f>
        <v>601</v>
      </c>
      <c r="B609" s="7" t="str">
        <f>Odds_Input!B609</f>
        <v>LDR_SPG</v>
      </c>
      <c r="C609" s="7" t="str">
        <f>Odds_Input!C609</f>
        <v>Jaden McDaniels</v>
      </c>
      <c r="D609" s="7" t="str">
        <f>Odds_Input!D609</f>
        <v>YES</v>
      </c>
      <c r="E609" s="31" t="str">
        <f>Odds_Input!E609</f>
        <v>-</v>
      </c>
      <c r="F609" s="32">
        <f>Odds_Input!F609</f>
        <v>13000</v>
      </c>
      <c r="G609" s="6" t="str">
        <f t="shared" si="897"/>
        <v>LDR_SPG</v>
      </c>
      <c r="H609" s="14">
        <f t="shared" si="898"/>
        <v>131</v>
      </c>
      <c r="I609" s="33">
        <f t="shared" si="899"/>
        <v>7.6335877862595417E-3</v>
      </c>
      <c r="J609" s="17">
        <f t="shared" si="900"/>
        <v>1</v>
      </c>
      <c r="K609" s="17">
        <f t="shared" si="901"/>
        <v>48</v>
      </c>
      <c r="L609" s="18">
        <f t="shared" si="902"/>
        <v>1.306790825116708</v>
      </c>
      <c r="M609" s="34">
        <f t="shared" si="903"/>
        <v>0.30679082511670797</v>
      </c>
      <c r="N609" s="33">
        <f t="shared" si="904"/>
        <v>5.8414764165319226E-3</v>
      </c>
      <c r="O609" s="33">
        <f t="shared" si="905"/>
        <v>4.633900153717686E-3</v>
      </c>
      <c r="P609" s="33">
        <f t="shared" si="906"/>
        <v>3.8217961008662786E-3</v>
      </c>
      <c r="Q609" s="33">
        <f t="shared" si="907"/>
        <v>3.8217961008662786E-3</v>
      </c>
      <c r="R609" s="35">
        <f t="shared" si="908"/>
        <v>1.1023874611360953</v>
      </c>
      <c r="S609" s="35">
        <f t="shared" si="909"/>
        <v>7.8759656817441563E-3</v>
      </c>
    </row>
    <row r="610" spans="1:19" ht="15" customHeight="1" x14ac:dyDescent="0.3">
      <c r="A610" s="30">
        <f>Odds_Input!A610</f>
        <v>602</v>
      </c>
      <c r="B610" s="7" t="str">
        <f>Odds_Input!B610</f>
        <v>LDR_SPG</v>
      </c>
      <c r="C610" s="7" t="str">
        <f>Odds_Input!C610</f>
        <v>Donovan Mitchell</v>
      </c>
      <c r="D610" s="7" t="str">
        <f>Odds_Input!D610</f>
        <v>YES</v>
      </c>
      <c r="E610" s="31" t="str">
        <f>Odds_Input!E610</f>
        <v>-</v>
      </c>
      <c r="F610" s="32">
        <f>Odds_Input!F610</f>
        <v>11000</v>
      </c>
      <c r="G610" s="6" t="str">
        <f t="shared" si="897"/>
        <v>LDR_SPG</v>
      </c>
      <c r="H610" s="14">
        <f t="shared" si="898"/>
        <v>111</v>
      </c>
      <c r="I610" s="33">
        <f t="shared" si="899"/>
        <v>9.0090090090090089E-3</v>
      </c>
      <c r="J610" s="17">
        <f t="shared" si="900"/>
        <v>1</v>
      </c>
      <c r="K610" s="17">
        <f t="shared" si="901"/>
        <v>48</v>
      </c>
      <c r="L610" s="18">
        <f t="shared" si="902"/>
        <v>1.306790825116708</v>
      </c>
      <c r="M610" s="34">
        <f t="shared" si="903"/>
        <v>0.30679082511670797</v>
      </c>
      <c r="N610" s="33">
        <f t="shared" si="904"/>
        <v>6.8939946897809178E-3</v>
      </c>
      <c r="O610" s="33">
        <f t="shared" si="905"/>
        <v>5.5623920313726434E-3</v>
      </c>
      <c r="P610" s="33">
        <f t="shared" si="906"/>
        <v>4.8826483242334568E-3</v>
      </c>
      <c r="Q610" s="33">
        <f t="shared" si="907"/>
        <v>4.8826483242334568E-3</v>
      </c>
      <c r="R610" s="35">
        <f t="shared" si="908"/>
        <v>1.1023874611360953</v>
      </c>
      <c r="S610" s="35">
        <f t="shared" si="909"/>
        <v>7.8759656817441563E-3</v>
      </c>
    </row>
    <row r="611" spans="1:19" ht="15" customHeight="1" x14ac:dyDescent="0.3">
      <c r="A611" s="30">
        <f>Odds_Input!A611</f>
        <v>603</v>
      </c>
      <c r="B611" s="7" t="str">
        <f>Odds_Input!B611</f>
        <v>LDR_SPG</v>
      </c>
      <c r="C611" s="7" t="str">
        <f>Odds_Input!C611</f>
        <v>Anthony Edwards</v>
      </c>
      <c r="D611" s="7" t="str">
        <f>Odds_Input!D611</f>
        <v>YES</v>
      </c>
      <c r="E611" s="31" t="str">
        <f>Odds_Input!E611</f>
        <v>-</v>
      </c>
      <c r="F611" s="32">
        <f>Odds_Input!F611</f>
        <v>10000</v>
      </c>
      <c r="G611" s="6" t="str">
        <f t="shared" si="897"/>
        <v>LDR_SPG</v>
      </c>
      <c r="H611" s="14">
        <f t="shared" si="898"/>
        <v>101</v>
      </c>
      <c r="I611" s="33">
        <f t="shared" si="899"/>
        <v>9.9009900990099011E-3</v>
      </c>
      <c r="J611" s="17">
        <f t="shared" si="900"/>
        <v>1</v>
      </c>
      <c r="K611" s="17">
        <f t="shared" si="901"/>
        <v>48</v>
      </c>
      <c r="L611" s="18">
        <f t="shared" si="902"/>
        <v>1.306790825116708</v>
      </c>
      <c r="M611" s="34">
        <f t="shared" si="903"/>
        <v>0.30679082511670797</v>
      </c>
      <c r="N611" s="33">
        <f t="shared" si="904"/>
        <v>7.5765684214423954E-3</v>
      </c>
      <c r="O611" s="33">
        <f t="shared" si="905"/>
        <v>6.1725021440009577E-3</v>
      </c>
      <c r="P611" s="33">
        <f t="shared" si="906"/>
        <v>5.5893087933824651E-3</v>
      </c>
      <c r="Q611" s="33">
        <f t="shared" si="907"/>
        <v>5.5893087933824651E-3</v>
      </c>
      <c r="R611" s="35">
        <f t="shared" si="908"/>
        <v>1.1023874611360953</v>
      </c>
      <c r="S611" s="35">
        <f t="shared" si="909"/>
        <v>7.8759656817441563E-3</v>
      </c>
    </row>
    <row r="612" spans="1:19" ht="15" customHeight="1" x14ac:dyDescent="0.3">
      <c r="A612" s="30">
        <f>Odds_Input!A612</f>
        <v>604</v>
      </c>
      <c r="B612" s="7" t="str">
        <f>Odds_Input!B612</f>
        <v>LDR_SPG</v>
      </c>
      <c r="C612" s="7" t="str">
        <f>Odds_Input!C612</f>
        <v>Trey Murphy III</v>
      </c>
      <c r="D612" s="7" t="str">
        <f>Odds_Input!D612</f>
        <v>YES</v>
      </c>
      <c r="E612" s="31" t="str">
        <f>Odds_Input!E612</f>
        <v>-</v>
      </c>
      <c r="F612" s="32">
        <f>Odds_Input!F612</f>
        <v>15000</v>
      </c>
      <c r="G612" s="6" t="str">
        <f t="shared" si="897"/>
        <v>LDR_SPG</v>
      </c>
      <c r="H612" s="14">
        <f t="shared" si="898"/>
        <v>151</v>
      </c>
      <c r="I612" s="33">
        <f t="shared" si="899"/>
        <v>6.6225165562913907E-3</v>
      </c>
      <c r="J612" s="17">
        <f t="shared" si="900"/>
        <v>1</v>
      </c>
      <c r="K612" s="17">
        <f t="shared" si="901"/>
        <v>48</v>
      </c>
      <c r="L612" s="18">
        <f t="shared" si="902"/>
        <v>1.306790825116708</v>
      </c>
      <c r="M612" s="34">
        <f t="shared" si="903"/>
        <v>0.30679082511670797</v>
      </c>
      <c r="N612" s="33">
        <f t="shared" si="904"/>
        <v>5.0677709308985554E-3</v>
      </c>
      <c r="O612" s="33">
        <f t="shared" si="905"/>
        <v>3.9620790410641975E-3</v>
      </c>
      <c r="P612" s="33">
        <f t="shared" si="906"/>
        <v>3.0722557472069702E-3</v>
      </c>
      <c r="Q612" s="33">
        <f t="shared" si="907"/>
        <v>3.0722557472069702E-3</v>
      </c>
      <c r="R612" s="35">
        <f t="shared" si="908"/>
        <v>1.1023874611360953</v>
      </c>
      <c r="S612" s="35">
        <f t="shared" si="909"/>
        <v>7.8759656817441563E-3</v>
      </c>
    </row>
    <row r="613" spans="1:19" ht="15" customHeight="1" x14ac:dyDescent="0.3">
      <c r="A613" s="30">
        <f>Odds_Input!A613</f>
        <v>605</v>
      </c>
      <c r="B613" s="7" t="str">
        <f>Odds_Input!B613</f>
        <v>LDR_SPG</v>
      </c>
      <c r="C613" s="7" t="str">
        <f>Odds_Input!C613</f>
        <v>Tari Eason</v>
      </c>
      <c r="D613" s="7" t="str">
        <f>Odds_Input!D613</f>
        <v>YES</v>
      </c>
      <c r="E613" s="31" t="str">
        <f>Odds_Input!E613</f>
        <v>-</v>
      </c>
      <c r="F613" s="32">
        <f>Odds_Input!F613</f>
        <v>16000</v>
      </c>
      <c r="G613" s="6" t="str">
        <f t="shared" si="897"/>
        <v>LDR_SPG</v>
      </c>
      <c r="H613" s="14">
        <f t="shared" si="898"/>
        <v>161</v>
      </c>
      <c r="I613" s="33">
        <f t="shared" si="899"/>
        <v>6.2111801242236021E-3</v>
      </c>
      <c r="J613" s="17">
        <f t="shared" si="900"/>
        <v>1</v>
      </c>
      <c r="K613" s="17">
        <f t="shared" si="901"/>
        <v>48</v>
      </c>
      <c r="L613" s="18">
        <f t="shared" si="902"/>
        <v>1.306790825116708</v>
      </c>
      <c r="M613" s="34">
        <f t="shared" si="903"/>
        <v>0.30679082511670797</v>
      </c>
      <c r="N613" s="33">
        <f t="shared" si="904"/>
        <v>4.7530025500974026E-3</v>
      </c>
      <c r="O613" s="33">
        <f t="shared" si="905"/>
        <v>3.6916696007969403E-3</v>
      </c>
      <c r="P613" s="33">
        <f t="shared" si="906"/>
        <v>2.7769407286719694E-3</v>
      </c>
      <c r="Q613" s="33">
        <f t="shared" si="907"/>
        <v>2.7769407286719694E-3</v>
      </c>
      <c r="R613" s="35">
        <f t="shared" si="908"/>
        <v>1.1023874611360953</v>
      </c>
      <c r="S613" s="35">
        <f t="shared" si="909"/>
        <v>7.8759656817441563E-3</v>
      </c>
    </row>
    <row r="614" spans="1:19" ht="15" customHeight="1" x14ac:dyDescent="0.3">
      <c r="A614" s="30">
        <f>Odds_Input!A614</f>
        <v>606</v>
      </c>
      <c r="B614" s="7" t="str">
        <f>Odds_Input!B614</f>
        <v>LDR_SPG</v>
      </c>
      <c r="C614" s="7" t="str">
        <f>Odds_Input!C614</f>
        <v>Nickeil Alexander Walker</v>
      </c>
      <c r="D614" s="7" t="str">
        <f>Odds_Input!D614</f>
        <v>YES</v>
      </c>
      <c r="E614" s="31" t="str">
        <f>Odds_Input!E614</f>
        <v>-</v>
      </c>
      <c r="F614" s="32">
        <f>Odds_Input!F614</f>
        <v>15000</v>
      </c>
      <c r="G614" s="6" t="str">
        <f t="shared" si="897"/>
        <v>LDR_SPG</v>
      </c>
      <c r="H614" s="14">
        <f t="shared" si="898"/>
        <v>151</v>
      </c>
      <c r="I614" s="33">
        <f t="shared" si="899"/>
        <v>6.6225165562913907E-3</v>
      </c>
      <c r="J614" s="17">
        <f t="shared" si="900"/>
        <v>1</v>
      </c>
      <c r="K614" s="17">
        <f t="shared" si="901"/>
        <v>48</v>
      </c>
      <c r="L614" s="18">
        <f t="shared" si="902"/>
        <v>1.306790825116708</v>
      </c>
      <c r="M614" s="34">
        <f t="shared" si="903"/>
        <v>0.30679082511670797</v>
      </c>
      <c r="N614" s="33">
        <f t="shared" si="904"/>
        <v>5.0677709308985554E-3</v>
      </c>
      <c r="O614" s="33">
        <f t="shared" si="905"/>
        <v>3.9620790410641975E-3</v>
      </c>
      <c r="P614" s="33">
        <f t="shared" si="906"/>
        <v>3.0722557472069702E-3</v>
      </c>
      <c r="Q614" s="33">
        <f t="shared" si="907"/>
        <v>3.0722557472069702E-3</v>
      </c>
      <c r="R614" s="35">
        <f t="shared" si="908"/>
        <v>1.1023874611360953</v>
      </c>
      <c r="S614" s="35">
        <f t="shared" si="909"/>
        <v>7.8759656817441563E-3</v>
      </c>
    </row>
    <row r="615" spans="1:19" ht="15" customHeight="1" x14ac:dyDescent="0.3">
      <c r="A615" s="30">
        <f>Odds_Input!A615</f>
        <v>607</v>
      </c>
      <c r="B615" s="7" t="str">
        <f>Odds_Input!B615</f>
        <v>LDR_SPG</v>
      </c>
      <c r="C615" s="7" t="str">
        <f>Odds_Input!C615</f>
        <v>Fred VanVleet</v>
      </c>
      <c r="D615" s="7" t="str">
        <f>Odds_Input!D615</f>
        <v>YES</v>
      </c>
      <c r="E615" s="31" t="str">
        <f>Odds_Input!E615</f>
        <v>-</v>
      </c>
      <c r="F615" s="32">
        <f>Odds_Input!F615</f>
        <v>15000</v>
      </c>
      <c r="G615" s="6" t="str">
        <f t="shared" si="897"/>
        <v>LDR_SPG</v>
      </c>
      <c r="H615" s="14">
        <f t="shared" si="898"/>
        <v>151</v>
      </c>
      <c r="I615" s="33">
        <f t="shared" si="899"/>
        <v>6.6225165562913907E-3</v>
      </c>
      <c r="J615" s="17">
        <f t="shared" si="900"/>
        <v>1</v>
      </c>
      <c r="K615" s="17">
        <f t="shared" si="901"/>
        <v>48</v>
      </c>
      <c r="L615" s="18">
        <f t="shared" si="902"/>
        <v>1.306790825116708</v>
      </c>
      <c r="M615" s="34">
        <f t="shared" si="903"/>
        <v>0.30679082511670797</v>
      </c>
      <c r="N615" s="33">
        <f t="shared" si="904"/>
        <v>5.0677709308985554E-3</v>
      </c>
      <c r="O615" s="33">
        <f t="shared" si="905"/>
        <v>3.9620790410641975E-3</v>
      </c>
      <c r="P615" s="33">
        <f t="shared" si="906"/>
        <v>3.0722557472069702E-3</v>
      </c>
      <c r="Q615" s="33">
        <f t="shared" si="907"/>
        <v>3.0722557472069702E-3</v>
      </c>
      <c r="R615" s="35">
        <f t="shared" si="908"/>
        <v>1.1023874611360953</v>
      </c>
      <c r="S615" s="35">
        <f t="shared" si="909"/>
        <v>7.8759656817441563E-3</v>
      </c>
    </row>
    <row r="616" spans="1:19" ht="15" customHeight="1" x14ac:dyDescent="0.3">
      <c r="A616" s="30">
        <f>Odds_Input!A616</f>
        <v>608</v>
      </c>
      <c r="B616" s="7" t="str">
        <f>Odds_Input!B616</f>
        <v>LDR_SPG</v>
      </c>
      <c r="C616" s="7" t="str">
        <f>Odds_Input!C616</f>
        <v>Toumani Camara</v>
      </c>
      <c r="D616" s="7" t="str">
        <f>Odds_Input!D616</f>
        <v>YES</v>
      </c>
      <c r="E616" s="31" t="str">
        <f>Odds_Input!E616</f>
        <v>-</v>
      </c>
      <c r="F616" s="32">
        <f>Odds_Input!F616</f>
        <v>15000</v>
      </c>
      <c r="G616" s="6" t="str">
        <f t="shared" si="897"/>
        <v>LDR_SPG</v>
      </c>
      <c r="H616" s="14">
        <f t="shared" si="898"/>
        <v>151</v>
      </c>
      <c r="I616" s="33">
        <f t="shared" si="899"/>
        <v>6.6225165562913907E-3</v>
      </c>
      <c r="J616" s="17">
        <f t="shared" si="900"/>
        <v>1</v>
      </c>
      <c r="K616" s="17">
        <f t="shared" si="901"/>
        <v>48</v>
      </c>
      <c r="L616" s="18">
        <f t="shared" si="902"/>
        <v>1.306790825116708</v>
      </c>
      <c r="M616" s="34">
        <f t="shared" si="903"/>
        <v>0.30679082511670797</v>
      </c>
      <c r="N616" s="33">
        <f t="shared" si="904"/>
        <v>5.0677709308985554E-3</v>
      </c>
      <c r="O616" s="33">
        <f t="shared" si="905"/>
        <v>3.9620790410641975E-3</v>
      </c>
      <c r="P616" s="33">
        <f t="shared" si="906"/>
        <v>3.0722557472069702E-3</v>
      </c>
      <c r="Q616" s="33">
        <f t="shared" si="907"/>
        <v>3.0722557472069702E-3</v>
      </c>
      <c r="R616" s="35">
        <f t="shared" si="908"/>
        <v>1.1023874611360953</v>
      </c>
      <c r="S616" s="35">
        <f t="shared" si="909"/>
        <v>7.8759656817441563E-3</v>
      </c>
    </row>
    <row r="617" spans="1:19" ht="15" customHeight="1" x14ac:dyDescent="0.3">
      <c r="A617" s="30">
        <f>Odds_Input!A617</f>
        <v>609</v>
      </c>
      <c r="B617" s="7" t="str">
        <f>Odds_Input!B617</f>
        <v>LDR_SPG</v>
      </c>
      <c r="C617" s="7" t="str">
        <f>Odds_Input!C617</f>
        <v>Davion Mitchell</v>
      </c>
      <c r="D617" s="7" t="str">
        <f>Odds_Input!D617</f>
        <v>YES</v>
      </c>
      <c r="E617" s="31" t="str">
        <f>Odds_Input!E617</f>
        <v>-</v>
      </c>
      <c r="F617" s="32">
        <f>Odds_Input!F617</f>
        <v>16000</v>
      </c>
      <c r="G617" s="6" t="str">
        <f t="shared" si="897"/>
        <v>LDR_SPG</v>
      </c>
      <c r="H617" s="14">
        <f t="shared" si="898"/>
        <v>161</v>
      </c>
      <c r="I617" s="33">
        <f t="shared" si="899"/>
        <v>6.2111801242236021E-3</v>
      </c>
      <c r="J617" s="17">
        <f t="shared" si="900"/>
        <v>1</v>
      </c>
      <c r="K617" s="17">
        <f t="shared" si="901"/>
        <v>48</v>
      </c>
      <c r="L617" s="18">
        <f t="shared" si="902"/>
        <v>1.306790825116708</v>
      </c>
      <c r="M617" s="34">
        <f t="shared" si="903"/>
        <v>0.30679082511670797</v>
      </c>
      <c r="N617" s="33">
        <f t="shared" si="904"/>
        <v>4.7530025500974026E-3</v>
      </c>
      <c r="O617" s="33">
        <f t="shared" si="905"/>
        <v>3.6916696007969403E-3</v>
      </c>
      <c r="P617" s="33">
        <f t="shared" si="906"/>
        <v>2.7769407286719694E-3</v>
      </c>
      <c r="Q617" s="33">
        <f t="shared" si="907"/>
        <v>2.7769407286719694E-3</v>
      </c>
      <c r="R617" s="35">
        <f t="shared" si="908"/>
        <v>1.1023874611360953</v>
      </c>
      <c r="S617" s="35">
        <f t="shared" si="909"/>
        <v>7.8759656817441563E-3</v>
      </c>
    </row>
    <row r="618" spans="1:19" ht="15" customHeight="1" x14ac:dyDescent="0.3">
      <c r="A618" s="30">
        <f>Odds_Input!A618</f>
        <v>610</v>
      </c>
      <c r="B618" s="7" t="str">
        <f>Odds_Input!B618</f>
        <v>LDR_SPG</v>
      </c>
      <c r="C618" s="7" t="str">
        <f>Odds_Input!C618</f>
        <v>Tyrese Haliburton</v>
      </c>
      <c r="D618" s="7" t="str">
        <f>Odds_Input!D618</f>
        <v>YES</v>
      </c>
      <c r="E618" s="31" t="str">
        <f>Odds_Input!E618</f>
        <v>-</v>
      </c>
      <c r="F618" s="32">
        <f>Odds_Input!F618</f>
        <v>13000</v>
      </c>
      <c r="G618" s="6" t="str">
        <f t="shared" si="897"/>
        <v>LDR_SPG</v>
      </c>
      <c r="H618" s="14">
        <f t="shared" si="898"/>
        <v>131</v>
      </c>
      <c r="I618" s="33">
        <f t="shared" si="899"/>
        <v>7.6335877862595417E-3</v>
      </c>
      <c r="J618" s="17">
        <f t="shared" si="900"/>
        <v>1</v>
      </c>
      <c r="K618" s="17">
        <f t="shared" si="901"/>
        <v>48</v>
      </c>
      <c r="L618" s="18">
        <f t="shared" si="902"/>
        <v>1.306790825116708</v>
      </c>
      <c r="M618" s="34">
        <f t="shared" si="903"/>
        <v>0.30679082511670797</v>
      </c>
      <c r="N618" s="33">
        <f t="shared" si="904"/>
        <v>5.8414764165319226E-3</v>
      </c>
      <c r="O618" s="33">
        <f t="shared" si="905"/>
        <v>4.633900153717686E-3</v>
      </c>
      <c r="P618" s="33">
        <f t="shared" si="906"/>
        <v>3.8217961008662786E-3</v>
      </c>
      <c r="Q618" s="33">
        <f t="shared" si="907"/>
        <v>3.8217961008662786E-3</v>
      </c>
      <c r="R618" s="35">
        <f t="shared" si="908"/>
        <v>1.1023874611360953</v>
      </c>
      <c r="S618" s="35">
        <f t="shared" si="909"/>
        <v>7.8759656817441563E-3</v>
      </c>
    </row>
    <row r="619" spans="1:19" ht="15" customHeight="1" x14ac:dyDescent="0.3">
      <c r="A619" s="30">
        <f>Odds_Input!A619</f>
        <v>611</v>
      </c>
      <c r="B619" s="7" t="str">
        <f>Odds_Input!B619</f>
        <v>LDR_SPG</v>
      </c>
      <c r="C619" s="7" t="str">
        <f>Odds_Input!C619</f>
        <v>Luguentz Dort</v>
      </c>
      <c r="D619" s="7" t="str">
        <f>Odds_Input!D619</f>
        <v>YES</v>
      </c>
      <c r="E619" s="31" t="str">
        <f>Odds_Input!E619</f>
        <v>-</v>
      </c>
      <c r="F619" s="32">
        <f>Odds_Input!F619</f>
        <v>16000</v>
      </c>
      <c r="G619" s="6" t="str">
        <f t="shared" si="897"/>
        <v>LDR_SPG</v>
      </c>
      <c r="H619" s="14">
        <f t="shared" si="898"/>
        <v>161</v>
      </c>
      <c r="I619" s="33">
        <f t="shared" si="899"/>
        <v>6.2111801242236021E-3</v>
      </c>
      <c r="J619" s="17">
        <f t="shared" si="900"/>
        <v>1</v>
      </c>
      <c r="K619" s="17">
        <f t="shared" si="901"/>
        <v>48</v>
      </c>
      <c r="L619" s="18">
        <f t="shared" si="902"/>
        <v>1.306790825116708</v>
      </c>
      <c r="M619" s="34">
        <f t="shared" si="903"/>
        <v>0.30679082511670797</v>
      </c>
      <c r="N619" s="33">
        <f t="shared" si="904"/>
        <v>4.7530025500974026E-3</v>
      </c>
      <c r="O619" s="33">
        <f t="shared" si="905"/>
        <v>3.6916696007969403E-3</v>
      </c>
      <c r="P619" s="33">
        <f t="shared" si="906"/>
        <v>2.7769407286719694E-3</v>
      </c>
      <c r="Q619" s="33">
        <f t="shared" si="907"/>
        <v>2.7769407286719694E-3</v>
      </c>
      <c r="R619" s="35">
        <f t="shared" si="908"/>
        <v>1.1023874611360953</v>
      </c>
      <c r="S619" s="35">
        <f t="shared" si="909"/>
        <v>7.8759656817441563E-3</v>
      </c>
    </row>
    <row r="620" spans="1:19" ht="15" customHeight="1" x14ac:dyDescent="0.3">
      <c r="A620" s="30">
        <f>Odds_Input!A620</f>
        <v>612</v>
      </c>
      <c r="B620" s="7" t="str">
        <f>Odds_Input!B620</f>
        <v>LDR_SPG</v>
      </c>
      <c r="C620" s="7" t="str">
        <f>Odds_Input!C620</f>
        <v>Paul George</v>
      </c>
      <c r="D620" s="7" t="str">
        <f>Odds_Input!D620</f>
        <v>YES</v>
      </c>
      <c r="E620" s="31" t="str">
        <f>Odds_Input!E620</f>
        <v>-</v>
      </c>
      <c r="F620" s="32">
        <f>Odds_Input!F620</f>
        <v>16000</v>
      </c>
      <c r="G620" s="6" t="str">
        <f t="shared" si="897"/>
        <v>LDR_SPG</v>
      </c>
      <c r="H620" s="14">
        <f t="shared" si="898"/>
        <v>161</v>
      </c>
      <c r="I620" s="33">
        <f t="shared" si="899"/>
        <v>6.2111801242236021E-3</v>
      </c>
      <c r="J620" s="17">
        <f t="shared" si="900"/>
        <v>1</v>
      </c>
      <c r="K620" s="17">
        <f t="shared" si="901"/>
        <v>48</v>
      </c>
      <c r="L620" s="18">
        <f t="shared" si="902"/>
        <v>1.306790825116708</v>
      </c>
      <c r="M620" s="34">
        <f t="shared" si="903"/>
        <v>0.30679082511670797</v>
      </c>
      <c r="N620" s="33">
        <f t="shared" si="904"/>
        <v>4.7530025500974026E-3</v>
      </c>
      <c r="O620" s="33">
        <f t="shared" si="905"/>
        <v>3.6916696007969403E-3</v>
      </c>
      <c r="P620" s="33">
        <f t="shared" si="906"/>
        <v>2.7769407286719694E-3</v>
      </c>
      <c r="Q620" s="33">
        <f t="shared" si="907"/>
        <v>2.7769407286719694E-3</v>
      </c>
      <c r="R620" s="35">
        <f t="shared" si="908"/>
        <v>1.1023874611360953</v>
      </c>
      <c r="S620" s="35">
        <f t="shared" si="909"/>
        <v>7.8759656817441563E-3</v>
      </c>
    </row>
    <row r="621" spans="1:19" ht="15" customHeight="1" x14ac:dyDescent="0.3">
      <c r="A621" s="30">
        <f>Odds_Input!A621</f>
        <v>613</v>
      </c>
      <c r="B621" s="7" t="str">
        <f>Odds_Input!B621</f>
        <v>LDR_SPG</v>
      </c>
      <c r="C621" s="7" t="str">
        <f>Odds_Input!C621</f>
        <v>Jaren Jackson Jr</v>
      </c>
      <c r="D621" s="7" t="str">
        <f>Odds_Input!D621</f>
        <v>YES</v>
      </c>
      <c r="E621" s="31" t="str">
        <f>Odds_Input!E621</f>
        <v>-</v>
      </c>
      <c r="F621" s="32">
        <f>Odds_Input!F621</f>
        <v>20000</v>
      </c>
      <c r="G621" s="6" t="str">
        <f t="shared" si="897"/>
        <v>LDR_SPG</v>
      </c>
      <c r="H621" s="14">
        <f t="shared" si="898"/>
        <v>201</v>
      </c>
      <c r="I621" s="33">
        <f t="shared" si="899"/>
        <v>4.9751243781094526E-3</v>
      </c>
      <c r="J621" s="17">
        <f t="shared" si="900"/>
        <v>1</v>
      </c>
      <c r="K621" s="17">
        <f t="shared" si="901"/>
        <v>48</v>
      </c>
      <c r="L621" s="18">
        <f t="shared" si="902"/>
        <v>1.306790825116708</v>
      </c>
      <c r="M621" s="34">
        <f t="shared" si="903"/>
        <v>0.30679082511670797</v>
      </c>
      <c r="N621" s="33">
        <f t="shared" si="904"/>
        <v>3.8071313958491634E-3</v>
      </c>
      <c r="O621" s="33">
        <f t="shared" si="905"/>
        <v>2.8905836760292035E-3</v>
      </c>
      <c r="P621" s="33">
        <f t="shared" si="906"/>
        <v>1.9338239189524652E-3</v>
      </c>
      <c r="Q621" s="33">
        <f t="shared" si="907"/>
        <v>1.9338239189524652E-3</v>
      </c>
      <c r="R621" s="35">
        <f t="shared" si="908"/>
        <v>1.1023874611360953</v>
      </c>
      <c r="S621" s="35">
        <f t="shared" si="909"/>
        <v>7.8759656817441563E-3</v>
      </c>
    </row>
    <row r="622" spans="1:19" ht="15" customHeight="1" x14ac:dyDescent="0.3">
      <c r="A622" s="30">
        <f>Odds_Input!A622</f>
        <v>614</v>
      </c>
      <c r="B622" s="7" t="str">
        <f>Odds_Input!B622</f>
        <v>LDR_SPG</v>
      </c>
      <c r="C622" s="7" t="str">
        <f>Odds_Input!C622</f>
        <v>VJ Edgecombe</v>
      </c>
      <c r="D622" s="7" t="str">
        <f>Odds_Input!D622</f>
        <v>YES</v>
      </c>
      <c r="E622" s="31" t="str">
        <f>Odds_Input!E622</f>
        <v>-</v>
      </c>
      <c r="F622" s="32">
        <f>Odds_Input!F622</f>
        <v>18000</v>
      </c>
      <c r="G622" s="6" t="str">
        <f t="shared" si="897"/>
        <v>LDR_SPG</v>
      </c>
      <c r="H622" s="14">
        <f t="shared" si="898"/>
        <v>181</v>
      </c>
      <c r="I622" s="33">
        <f t="shared" si="899"/>
        <v>5.5248618784530384E-3</v>
      </c>
      <c r="J622" s="17">
        <f t="shared" si="900"/>
        <v>1</v>
      </c>
      <c r="K622" s="17">
        <f t="shared" si="901"/>
        <v>48</v>
      </c>
      <c r="L622" s="18">
        <f t="shared" si="902"/>
        <v>1.306790825116708</v>
      </c>
      <c r="M622" s="34">
        <f t="shared" si="903"/>
        <v>0.30679082511670797</v>
      </c>
      <c r="N622" s="33">
        <f t="shared" si="904"/>
        <v>4.2278088981529387E-3</v>
      </c>
      <c r="O622" s="33">
        <f t="shared" si="905"/>
        <v>3.2446170632902094E-3</v>
      </c>
      <c r="P622" s="33">
        <f t="shared" si="906"/>
        <v>2.2995982906093304E-3</v>
      </c>
      <c r="Q622" s="33">
        <f t="shared" si="907"/>
        <v>2.2995982906093304E-3</v>
      </c>
      <c r="R622" s="35">
        <f t="shared" si="908"/>
        <v>1.1023874611360953</v>
      </c>
      <c r="S622" s="35">
        <f t="shared" si="909"/>
        <v>7.8759656817441563E-3</v>
      </c>
    </row>
    <row r="623" spans="1:19" ht="15" customHeight="1" x14ac:dyDescent="0.3">
      <c r="A623" s="30">
        <f>Odds_Input!A623</f>
        <v>615</v>
      </c>
      <c r="B623" s="7" t="str">
        <f>Odds_Input!B623</f>
        <v>LDR_SPG</v>
      </c>
      <c r="C623" s="7" t="str">
        <f>Odds_Input!C623</f>
        <v>Marcus Smart</v>
      </c>
      <c r="D623" s="7" t="str">
        <f>Odds_Input!D623</f>
        <v>YES</v>
      </c>
      <c r="E623" s="31" t="str">
        <f>Odds_Input!E623</f>
        <v>-</v>
      </c>
      <c r="F623" s="32">
        <f>Odds_Input!F623</f>
        <v>19000</v>
      </c>
      <c r="G623" s="6" t="str">
        <f t="shared" si="897"/>
        <v>LDR_SPG</v>
      </c>
      <c r="H623" s="14">
        <f t="shared" si="898"/>
        <v>191</v>
      </c>
      <c r="I623" s="33">
        <f t="shared" si="899"/>
        <v>5.235602094240838E-3</v>
      </c>
      <c r="J623" s="17">
        <f t="shared" si="900"/>
        <v>1</v>
      </c>
      <c r="K623" s="17">
        <f t="shared" si="901"/>
        <v>48</v>
      </c>
      <c r="L623" s="18">
        <f t="shared" si="902"/>
        <v>1.306790825116708</v>
      </c>
      <c r="M623" s="34">
        <f t="shared" si="903"/>
        <v>0.30679082511670797</v>
      </c>
      <c r="N623" s="33">
        <f t="shared" si="904"/>
        <v>4.0064576469407429E-3</v>
      </c>
      <c r="O623" s="33">
        <f t="shared" si="905"/>
        <v>3.0578587295907594E-3</v>
      </c>
      <c r="P623" s="33">
        <f t="shared" si="906"/>
        <v>2.1050982242490548E-3</v>
      </c>
      <c r="Q623" s="33">
        <f t="shared" si="907"/>
        <v>2.1050982242490548E-3</v>
      </c>
      <c r="R623" s="35">
        <f t="shared" si="908"/>
        <v>1.1023874611360953</v>
      </c>
      <c r="S623" s="35">
        <f t="shared" si="909"/>
        <v>7.8759656817441563E-3</v>
      </c>
    </row>
    <row r="624" spans="1:19" ht="15" customHeight="1" x14ac:dyDescent="0.3">
      <c r="A624" s="30">
        <f>Odds_Input!A624</f>
        <v>616</v>
      </c>
      <c r="B624" s="7" t="str">
        <f>Odds_Input!B624</f>
        <v>LDR_SPG</v>
      </c>
      <c r="C624" s="7" t="str">
        <f>Odds_Input!C624</f>
        <v>LaMelo Ball</v>
      </c>
      <c r="D624" s="7" t="str">
        <f>Odds_Input!D624</f>
        <v>YES</v>
      </c>
      <c r="E624" s="31" t="str">
        <f>Odds_Input!E624</f>
        <v>-</v>
      </c>
      <c r="F624" s="32">
        <f>Odds_Input!F624</f>
        <v>20000</v>
      </c>
      <c r="G624" s="6" t="str">
        <f t="shared" si="897"/>
        <v>LDR_SPG</v>
      </c>
      <c r="H624" s="14">
        <f t="shared" si="898"/>
        <v>201</v>
      </c>
      <c r="I624" s="33">
        <f t="shared" si="899"/>
        <v>4.9751243781094526E-3</v>
      </c>
      <c r="J624" s="17">
        <f t="shared" si="900"/>
        <v>1</v>
      </c>
      <c r="K624" s="17">
        <f t="shared" si="901"/>
        <v>48</v>
      </c>
      <c r="L624" s="18">
        <f t="shared" si="902"/>
        <v>1.306790825116708</v>
      </c>
      <c r="M624" s="34">
        <f t="shared" si="903"/>
        <v>0.30679082511670797</v>
      </c>
      <c r="N624" s="33">
        <f t="shared" si="904"/>
        <v>3.8071313958491634E-3</v>
      </c>
      <c r="O624" s="33">
        <f t="shared" si="905"/>
        <v>2.8905836760292035E-3</v>
      </c>
      <c r="P624" s="33">
        <f t="shared" si="906"/>
        <v>1.9338239189524652E-3</v>
      </c>
      <c r="Q624" s="33">
        <f t="shared" si="907"/>
        <v>1.9338239189524652E-3</v>
      </c>
      <c r="R624" s="35">
        <f t="shared" si="908"/>
        <v>1.1023874611360953</v>
      </c>
      <c r="S624" s="35">
        <f t="shared" si="909"/>
        <v>7.8759656817441563E-3</v>
      </c>
    </row>
    <row r="625" spans="1:19" ht="15" customHeight="1" x14ac:dyDescent="0.3">
      <c r="A625" s="30">
        <f>Odds_Input!A625</f>
        <v>617</v>
      </c>
      <c r="B625" s="7" t="str">
        <f>Odds_Input!B625</f>
        <v>LDR_SPG</v>
      </c>
      <c r="C625" s="7" t="str">
        <f>Odds_Input!C625</f>
        <v>Cade Cunningham</v>
      </c>
      <c r="D625" s="7" t="str">
        <f>Odds_Input!D625</f>
        <v>YES</v>
      </c>
      <c r="E625" s="31" t="str">
        <f>Odds_Input!E625</f>
        <v>-</v>
      </c>
      <c r="F625" s="32">
        <f>Odds_Input!F625</f>
        <v>21000</v>
      </c>
      <c r="G625" s="6" t="str">
        <f t="shared" si="897"/>
        <v>LDR_SPG</v>
      </c>
      <c r="H625" s="14">
        <f t="shared" si="898"/>
        <v>211</v>
      </c>
      <c r="I625" s="33">
        <f t="shared" si="899"/>
        <v>4.7393364928909956E-3</v>
      </c>
      <c r="J625" s="17">
        <f t="shared" si="900"/>
        <v>1</v>
      </c>
      <c r="K625" s="17">
        <f t="shared" si="901"/>
        <v>48</v>
      </c>
      <c r="L625" s="18">
        <f t="shared" si="902"/>
        <v>1.306790825116708</v>
      </c>
      <c r="M625" s="34">
        <f t="shared" si="903"/>
        <v>0.30679082511670797</v>
      </c>
      <c r="N625" s="33">
        <f t="shared" si="904"/>
        <v>3.6266986282733741E-3</v>
      </c>
      <c r="O625" s="33">
        <f t="shared" si="905"/>
        <v>2.7399344009627021E-3</v>
      </c>
      <c r="P625" s="33">
        <f t="shared" si="906"/>
        <v>1.782233140663508E-3</v>
      </c>
      <c r="Q625" s="33">
        <f t="shared" si="907"/>
        <v>1.782233140663508E-3</v>
      </c>
      <c r="R625" s="35">
        <f t="shared" si="908"/>
        <v>1.1023874611360953</v>
      </c>
      <c r="S625" s="35">
        <f t="shared" si="909"/>
        <v>7.8759656817441563E-3</v>
      </c>
    </row>
    <row r="626" spans="1:19" ht="15" customHeight="1" x14ac:dyDescent="0.3">
      <c r="A626" s="30">
        <f>Odds_Input!A626</f>
        <v>618</v>
      </c>
      <c r="B626" s="7" t="str">
        <f>Odds_Input!B626</f>
        <v>LDR_SPG</v>
      </c>
      <c r="C626" s="7" t="str">
        <f>Odds_Input!C626</f>
        <v>Kevin Porter Jr</v>
      </c>
      <c r="D626" s="7" t="str">
        <f>Odds_Input!D626</f>
        <v>YES</v>
      </c>
      <c r="E626" s="31" t="str">
        <f>Odds_Input!E626</f>
        <v>-</v>
      </c>
      <c r="F626" s="32">
        <f>Odds_Input!F626</f>
        <v>21000</v>
      </c>
      <c r="G626" s="6" t="str">
        <f t="shared" si="897"/>
        <v>LDR_SPG</v>
      </c>
      <c r="H626" s="14">
        <f t="shared" si="898"/>
        <v>211</v>
      </c>
      <c r="I626" s="33">
        <f t="shared" si="899"/>
        <v>4.7393364928909956E-3</v>
      </c>
      <c r="J626" s="17">
        <f t="shared" si="900"/>
        <v>1</v>
      </c>
      <c r="K626" s="17">
        <f t="shared" si="901"/>
        <v>48</v>
      </c>
      <c r="L626" s="18">
        <f t="shared" si="902"/>
        <v>1.306790825116708</v>
      </c>
      <c r="M626" s="34">
        <f t="shared" si="903"/>
        <v>0.30679082511670797</v>
      </c>
      <c r="N626" s="33">
        <f t="shared" si="904"/>
        <v>3.6266986282733741E-3</v>
      </c>
      <c r="O626" s="33">
        <f t="shared" si="905"/>
        <v>2.7399344009627021E-3</v>
      </c>
      <c r="P626" s="33">
        <f t="shared" si="906"/>
        <v>1.782233140663508E-3</v>
      </c>
      <c r="Q626" s="33">
        <f t="shared" si="907"/>
        <v>1.782233140663508E-3</v>
      </c>
      <c r="R626" s="35">
        <f t="shared" si="908"/>
        <v>1.1023874611360953</v>
      </c>
      <c r="S626" s="35">
        <f t="shared" si="909"/>
        <v>7.8759656817441563E-3</v>
      </c>
    </row>
    <row r="627" spans="1:19" ht="15" customHeight="1" x14ac:dyDescent="0.3">
      <c r="A627" s="30">
        <f>Odds_Input!A627</f>
        <v>619</v>
      </c>
      <c r="B627" s="7" t="str">
        <f>Odds_Input!B627</f>
        <v>LDR_SPG</v>
      </c>
      <c r="C627" s="7" t="str">
        <f>Odds_Input!C627</f>
        <v>Franz Wagner</v>
      </c>
      <c r="D627" s="7" t="str">
        <f>Odds_Input!D627</f>
        <v>YES</v>
      </c>
      <c r="E627" s="31" t="str">
        <f>Odds_Input!E627</f>
        <v>-</v>
      </c>
      <c r="F627" s="32">
        <f>Odds_Input!F627</f>
        <v>25000</v>
      </c>
      <c r="G627" s="6" t="str">
        <f t="shared" si="897"/>
        <v>LDR_SPG</v>
      </c>
      <c r="H627" s="14">
        <f t="shared" si="898"/>
        <v>251</v>
      </c>
      <c r="I627" s="33">
        <f t="shared" si="899"/>
        <v>3.9840637450199202E-3</v>
      </c>
      <c r="J627" s="17">
        <f t="shared" si="900"/>
        <v>1</v>
      </c>
      <c r="K627" s="17">
        <f t="shared" si="901"/>
        <v>48</v>
      </c>
      <c r="L627" s="18">
        <f t="shared" si="902"/>
        <v>1.306790825116708</v>
      </c>
      <c r="M627" s="34">
        <f t="shared" si="903"/>
        <v>0.30679082511670797</v>
      </c>
      <c r="N627" s="33">
        <f t="shared" si="904"/>
        <v>3.0487386875126766E-3</v>
      </c>
      <c r="O627" s="33">
        <f t="shared" si="905"/>
        <v>2.2627145974274208E-3</v>
      </c>
      <c r="P627" s="33">
        <f t="shared" si="906"/>
        <v>1.3220403213235524E-3</v>
      </c>
      <c r="Q627" s="33">
        <f t="shared" si="907"/>
        <v>1.3220403213235524E-3</v>
      </c>
      <c r="R627" s="35">
        <f t="shared" si="908"/>
        <v>1.1023874611360953</v>
      </c>
      <c r="S627" s="35">
        <f t="shared" si="909"/>
        <v>7.8759656817441563E-3</v>
      </c>
    </row>
    <row r="628" spans="1:19" ht="15" customHeight="1" x14ac:dyDescent="0.3">
      <c r="A628" s="30">
        <f>Odds_Input!A628</f>
        <v>620</v>
      </c>
      <c r="B628" s="7" t="str">
        <f>Odds_Input!B628</f>
        <v>LDR_SPG</v>
      </c>
      <c r="C628" s="7" t="str">
        <f>Odds_Input!C628</f>
        <v>James Harden</v>
      </c>
      <c r="D628" s="7" t="str">
        <f>Odds_Input!D628</f>
        <v>YES</v>
      </c>
      <c r="E628" s="31" t="str">
        <f>Odds_Input!E628</f>
        <v>-</v>
      </c>
      <c r="F628" s="32">
        <f>Odds_Input!F628</f>
        <v>21000</v>
      </c>
      <c r="G628" s="6" t="str">
        <f t="shared" si="897"/>
        <v>LDR_SPG</v>
      </c>
      <c r="H628" s="14">
        <f t="shared" si="898"/>
        <v>211</v>
      </c>
      <c r="I628" s="33">
        <f t="shared" si="899"/>
        <v>4.7393364928909956E-3</v>
      </c>
      <c r="J628" s="17">
        <f t="shared" si="900"/>
        <v>1</v>
      </c>
      <c r="K628" s="17">
        <f t="shared" si="901"/>
        <v>48</v>
      </c>
      <c r="L628" s="18">
        <f t="shared" si="902"/>
        <v>1.306790825116708</v>
      </c>
      <c r="M628" s="34">
        <f t="shared" si="903"/>
        <v>0.30679082511670797</v>
      </c>
      <c r="N628" s="33">
        <f t="shared" si="904"/>
        <v>3.6266986282733741E-3</v>
      </c>
      <c r="O628" s="33">
        <f t="shared" si="905"/>
        <v>2.7399344009627021E-3</v>
      </c>
      <c r="P628" s="33">
        <f t="shared" si="906"/>
        <v>1.782233140663508E-3</v>
      </c>
      <c r="Q628" s="33">
        <f t="shared" si="907"/>
        <v>1.782233140663508E-3</v>
      </c>
      <c r="R628" s="35">
        <f t="shared" si="908"/>
        <v>1.1023874611360953</v>
      </c>
      <c r="S628" s="35">
        <f t="shared" si="909"/>
        <v>7.8759656817441563E-3</v>
      </c>
    </row>
    <row r="629" spans="1:19" ht="15" customHeight="1" x14ac:dyDescent="0.3">
      <c r="A629" s="30">
        <f>Odds_Input!A629</f>
        <v>621</v>
      </c>
      <c r="B629" s="7" t="str">
        <f>Odds_Input!B629</f>
        <v>LDR_SPG</v>
      </c>
      <c r="C629" s="7" t="str">
        <f>Odds_Input!C629</f>
        <v>Jayson Tatum</v>
      </c>
      <c r="D629" s="7" t="str">
        <f>Odds_Input!D629</f>
        <v>YES</v>
      </c>
      <c r="E629" s="31" t="str">
        <f>Odds_Input!E629</f>
        <v>-</v>
      </c>
      <c r="F629" s="32">
        <f>Odds_Input!F629</f>
        <v>22000</v>
      </c>
      <c r="G629" s="6" t="str">
        <f t="shared" si="897"/>
        <v>LDR_SPG</v>
      </c>
      <c r="H629" s="14">
        <f t="shared" si="898"/>
        <v>221</v>
      </c>
      <c r="I629" s="33">
        <f t="shared" si="899"/>
        <v>4.5248868778280547E-3</v>
      </c>
      <c r="J629" s="17">
        <f t="shared" si="900"/>
        <v>1</v>
      </c>
      <c r="K629" s="17">
        <f t="shared" si="901"/>
        <v>48</v>
      </c>
      <c r="L629" s="18">
        <f t="shared" si="902"/>
        <v>1.306790825116708</v>
      </c>
      <c r="M629" s="34">
        <f t="shared" si="903"/>
        <v>0.30679082511670797</v>
      </c>
      <c r="N629" s="33">
        <f t="shared" si="904"/>
        <v>3.4625946179442624E-3</v>
      </c>
      <c r="O629" s="33">
        <f t="shared" si="905"/>
        <v>2.6035825583866413E-3</v>
      </c>
      <c r="P629" s="33">
        <f t="shared" si="906"/>
        <v>1.6474386833134401E-3</v>
      </c>
      <c r="Q629" s="33">
        <f t="shared" si="907"/>
        <v>1.6474386833134401E-3</v>
      </c>
      <c r="R629" s="35">
        <f t="shared" si="908"/>
        <v>1.1023874611360953</v>
      </c>
      <c r="S629" s="35">
        <f t="shared" si="909"/>
        <v>7.8759656817441563E-3</v>
      </c>
    </row>
    <row r="630" spans="1:19" ht="15" customHeight="1" x14ac:dyDescent="0.3">
      <c r="A630" s="30">
        <f>Odds_Input!A630</f>
        <v>622</v>
      </c>
      <c r="B630" s="7" t="str">
        <f>Odds_Input!B630</f>
        <v>LDR_SPG</v>
      </c>
      <c r="C630" s="7" t="str">
        <f>Odds_Input!C630</f>
        <v>Victor Wembanyama</v>
      </c>
      <c r="D630" s="7" t="str">
        <f>Odds_Input!D630</f>
        <v>YES</v>
      </c>
      <c r="E630" s="31" t="str">
        <f>Odds_Input!E630</f>
        <v>-</v>
      </c>
      <c r="F630" s="32">
        <f>Odds_Input!F630</f>
        <v>21000</v>
      </c>
      <c r="G630" s="6" t="str">
        <f t="shared" si="897"/>
        <v>LDR_SPG</v>
      </c>
      <c r="H630" s="14">
        <f t="shared" si="898"/>
        <v>211</v>
      </c>
      <c r="I630" s="33">
        <f t="shared" si="899"/>
        <v>4.7393364928909956E-3</v>
      </c>
      <c r="J630" s="17">
        <f t="shared" si="900"/>
        <v>1</v>
      </c>
      <c r="K630" s="17">
        <f t="shared" si="901"/>
        <v>48</v>
      </c>
      <c r="L630" s="18">
        <f t="shared" si="902"/>
        <v>1.306790825116708</v>
      </c>
      <c r="M630" s="34">
        <f t="shared" si="903"/>
        <v>0.30679082511670797</v>
      </c>
      <c r="N630" s="33">
        <f t="shared" si="904"/>
        <v>3.6266986282733741E-3</v>
      </c>
      <c r="O630" s="33">
        <f t="shared" si="905"/>
        <v>2.7399344009627021E-3</v>
      </c>
      <c r="P630" s="33">
        <f t="shared" si="906"/>
        <v>1.782233140663508E-3</v>
      </c>
      <c r="Q630" s="33">
        <f t="shared" si="907"/>
        <v>1.782233140663508E-3</v>
      </c>
      <c r="R630" s="35">
        <f t="shared" si="908"/>
        <v>1.1023874611360953</v>
      </c>
      <c r="S630" s="35">
        <f t="shared" si="909"/>
        <v>7.8759656817441563E-3</v>
      </c>
    </row>
    <row r="631" spans="1:19" ht="15" customHeight="1" x14ac:dyDescent="0.3">
      <c r="A631" s="30">
        <f>Odds_Input!A631</f>
        <v>623</v>
      </c>
      <c r="B631" s="7" t="str">
        <f>Odds_Input!B631</f>
        <v>LDR_BPG</v>
      </c>
      <c r="C631" s="7" t="str">
        <f>Odds_Input!C631</f>
        <v>Victor Wembanyama</v>
      </c>
      <c r="D631" s="7" t="str">
        <f>Odds_Input!D631</f>
        <v>YES</v>
      </c>
      <c r="E631" s="31" t="str">
        <f>Odds_Input!E631</f>
        <v>-</v>
      </c>
      <c r="F631" s="32">
        <f>Odds_Input!F631</f>
        <v>-600</v>
      </c>
      <c r="G631" s="6" t="str">
        <f t="shared" si="897"/>
        <v>LDR_BPG</v>
      </c>
      <c r="H631" s="14">
        <f t="shared" si="898"/>
        <v>1.1666666666666667</v>
      </c>
      <c r="I631" s="33">
        <f t="shared" si="899"/>
        <v>0.8571428571428571</v>
      </c>
      <c r="J631" s="17">
        <f t="shared" si="900"/>
        <v>1</v>
      </c>
      <c r="K631" s="17">
        <f t="shared" si="901"/>
        <v>31</v>
      </c>
      <c r="L631" s="18">
        <f t="shared" si="902"/>
        <v>1.1938902107622367</v>
      </c>
      <c r="M631" s="34">
        <f t="shared" si="903"/>
        <v>0.19389021076223667</v>
      </c>
      <c r="N631" s="33">
        <f t="shared" si="904"/>
        <v>0.71794110498285768</v>
      </c>
      <c r="O631" s="33">
        <f t="shared" si="905"/>
        <v>0.83376126316212817</v>
      </c>
      <c r="P631" s="33">
        <f t="shared" si="906"/>
        <v>0.78346567210198903</v>
      </c>
      <c r="Q631" s="33">
        <f t="shared" si="907"/>
        <v>0.78346567210198903</v>
      </c>
      <c r="R631" s="35">
        <f t="shared" si="908"/>
        <v>1.1794185598613693</v>
      </c>
      <c r="S631" s="35">
        <f t="shared" si="909"/>
        <v>9.1933760531487663E-3</v>
      </c>
    </row>
    <row r="632" spans="1:19" ht="15" customHeight="1" x14ac:dyDescent="0.3">
      <c r="A632" s="30">
        <f>Odds_Input!A632</f>
        <v>624</v>
      </c>
      <c r="B632" s="7" t="str">
        <f>Odds_Input!B632</f>
        <v>LDR_BPG</v>
      </c>
      <c r="C632" s="7" t="str">
        <f>Odds_Input!C632</f>
        <v>Walker Kessler</v>
      </c>
      <c r="D632" s="7" t="str">
        <f>Odds_Input!D632</f>
        <v>YES</v>
      </c>
      <c r="E632" s="31" t="str">
        <f>Odds_Input!E632</f>
        <v>-</v>
      </c>
      <c r="F632" s="32">
        <f>Odds_Input!F632</f>
        <v>1200</v>
      </c>
      <c r="G632" s="6" t="str">
        <f t="shared" si="897"/>
        <v>LDR_BPG</v>
      </c>
      <c r="H632" s="14">
        <f t="shared" si="898"/>
        <v>13</v>
      </c>
      <c r="I632" s="33">
        <f t="shared" si="899"/>
        <v>7.6923076923076927E-2</v>
      </c>
      <c r="J632" s="17">
        <f t="shared" si="900"/>
        <v>1</v>
      </c>
      <c r="K632" s="17">
        <f t="shared" si="901"/>
        <v>31</v>
      </c>
      <c r="L632" s="18">
        <f t="shared" si="902"/>
        <v>1.1938902107622367</v>
      </c>
      <c r="M632" s="34">
        <f t="shared" si="903"/>
        <v>0.19389021076223667</v>
      </c>
      <c r="N632" s="33">
        <f t="shared" si="904"/>
        <v>6.4430611985641081E-2</v>
      </c>
      <c r="O632" s="33">
        <f t="shared" si="905"/>
        <v>4.8550592651048108E-2</v>
      </c>
      <c r="P632" s="33">
        <f t="shared" si="906"/>
        <v>6.6238805404577744E-2</v>
      </c>
      <c r="Q632" s="33">
        <f t="shared" si="907"/>
        <v>6.6238805404577744E-2</v>
      </c>
      <c r="R632" s="35">
        <f t="shared" si="908"/>
        <v>1.1794185598613693</v>
      </c>
      <c r="S632" s="35">
        <f t="shared" si="909"/>
        <v>9.1933760531487663E-3</v>
      </c>
    </row>
    <row r="633" spans="1:19" ht="15" customHeight="1" x14ac:dyDescent="0.3">
      <c r="A633" s="30">
        <f>Odds_Input!A633</f>
        <v>625</v>
      </c>
      <c r="B633" s="7" t="str">
        <f>Odds_Input!B633</f>
        <v>LDR_BPG</v>
      </c>
      <c r="C633" s="7" t="str">
        <f>Odds_Input!C633</f>
        <v>Chet Holmgren</v>
      </c>
      <c r="D633" s="7" t="str">
        <f>Odds_Input!D633</f>
        <v>YES</v>
      </c>
      <c r="E633" s="31" t="str">
        <f>Odds_Input!E633</f>
        <v>-</v>
      </c>
      <c r="F633" s="32">
        <f>Odds_Input!F633</f>
        <v>3100</v>
      </c>
      <c r="G633" s="6" t="str">
        <f t="shared" si="897"/>
        <v>LDR_BPG</v>
      </c>
      <c r="H633" s="14">
        <f t="shared" si="898"/>
        <v>32</v>
      </c>
      <c r="I633" s="33">
        <f t="shared" si="899"/>
        <v>3.125E-2</v>
      </c>
      <c r="J633" s="17">
        <f t="shared" si="900"/>
        <v>1</v>
      </c>
      <c r="K633" s="17">
        <f t="shared" si="901"/>
        <v>31</v>
      </c>
      <c r="L633" s="18">
        <f t="shared" si="902"/>
        <v>1.1938902107622367</v>
      </c>
      <c r="M633" s="34">
        <f t="shared" si="903"/>
        <v>0.19389021076223667</v>
      </c>
      <c r="N633" s="33">
        <f t="shared" si="904"/>
        <v>2.617493611916669E-2</v>
      </c>
      <c r="O633" s="33">
        <f t="shared" si="905"/>
        <v>1.6780240469244409E-2</v>
      </c>
      <c r="P633" s="33">
        <f t="shared" si="906"/>
        <v>2.4465297399685539E-2</v>
      </c>
      <c r="Q633" s="33">
        <f t="shared" si="907"/>
        <v>2.4465297399685539E-2</v>
      </c>
      <c r="R633" s="35">
        <f t="shared" si="908"/>
        <v>1.1794185598613693</v>
      </c>
      <c r="S633" s="35">
        <f t="shared" si="909"/>
        <v>9.1933760531487663E-3</v>
      </c>
    </row>
    <row r="634" spans="1:19" ht="15" customHeight="1" x14ac:dyDescent="0.3">
      <c r="A634" s="30">
        <f>Odds_Input!A634</f>
        <v>626</v>
      </c>
      <c r="B634" s="7" t="str">
        <f>Odds_Input!B634</f>
        <v>LDR_BPG</v>
      </c>
      <c r="C634" s="7" t="str">
        <f>Odds_Input!C634</f>
        <v>Alex Sarr</v>
      </c>
      <c r="D634" s="7" t="str">
        <f>Odds_Input!D634</f>
        <v>YES</v>
      </c>
      <c r="E634" s="31" t="str">
        <f>Odds_Input!E634</f>
        <v>-</v>
      </c>
      <c r="F634" s="32">
        <f>Odds_Input!F634</f>
        <v>3600</v>
      </c>
      <c r="G634" s="6" t="str">
        <f t="shared" si="897"/>
        <v>LDR_BPG</v>
      </c>
      <c r="H634" s="14">
        <f t="shared" si="898"/>
        <v>37</v>
      </c>
      <c r="I634" s="33">
        <f t="shared" si="899"/>
        <v>2.7027027027027029E-2</v>
      </c>
      <c r="J634" s="17">
        <f t="shared" si="900"/>
        <v>1</v>
      </c>
      <c r="K634" s="17">
        <f t="shared" si="901"/>
        <v>31</v>
      </c>
      <c r="L634" s="18">
        <f t="shared" si="902"/>
        <v>1.1938902107622367</v>
      </c>
      <c r="M634" s="34">
        <f t="shared" si="903"/>
        <v>0.19389021076223667</v>
      </c>
      <c r="N634" s="33">
        <f t="shared" si="904"/>
        <v>2.2637782589549571E-2</v>
      </c>
      <c r="O634" s="33">
        <f t="shared" si="905"/>
        <v>1.413949117001744E-2</v>
      </c>
      <c r="P634" s="33">
        <f t="shared" si="906"/>
        <v>2.0639751397474614E-2</v>
      </c>
      <c r="Q634" s="33">
        <f t="shared" si="907"/>
        <v>2.0639751397474614E-2</v>
      </c>
      <c r="R634" s="35">
        <f t="shared" si="908"/>
        <v>1.1794185598613693</v>
      </c>
      <c r="S634" s="35">
        <f t="shared" si="909"/>
        <v>9.1933760531487663E-3</v>
      </c>
    </row>
    <row r="635" spans="1:19" ht="15" customHeight="1" x14ac:dyDescent="0.3">
      <c r="A635" s="30">
        <f>Odds_Input!A635</f>
        <v>627</v>
      </c>
      <c r="B635" s="7" t="str">
        <f>Odds_Input!B635</f>
        <v>LDR_BPG</v>
      </c>
      <c r="C635" s="7" t="str">
        <f>Odds_Input!C635</f>
        <v>Zach Edey</v>
      </c>
      <c r="D635" s="7" t="str">
        <f>Odds_Input!D635</f>
        <v>YES</v>
      </c>
      <c r="E635" s="31" t="str">
        <f>Odds_Input!E635</f>
        <v>-</v>
      </c>
      <c r="F635" s="32">
        <f>Odds_Input!F635</f>
        <v>4100</v>
      </c>
      <c r="G635" s="6" t="str">
        <f t="shared" si="897"/>
        <v>LDR_BPG</v>
      </c>
      <c r="H635" s="14">
        <f t="shared" si="898"/>
        <v>42</v>
      </c>
      <c r="I635" s="33">
        <f t="shared" si="899"/>
        <v>2.3809523809523808E-2</v>
      </c>
      <c r="J635" s="17">
        <f t="shared" si="900"/>
        <v>1</v>
      </c>
      <c r="K635" s="17">
        <f t="shared" si="901"/>
        <v>31</v>
      </c>
      <c r="L635" s="18">
        <f t="shared" si="902"/>
        <v>1.1938902107622367</v>
      </c>
      <c r="M635" s="34">
        <f t="shared" si="903"/>
        <v>0.19389021076223667</v>
      </c>
      <c r="N635" s="33">
        <f t="shared" si="904"/>
        <v>1.9942808471746048E-2</v>
      </c>
      <c r="O635" s="33">
        <f t="shared" si="905"/>
        <v>1.2176140748426373E-2</v>
      </c>
      <c r="P635" s="33">
        <f t="shared" si="906"/>
        <v>1.7738284093286833E-2</v>
      </c>
      <c r="Q635" s="33">
        <f t="shared" si="907"/>
        <v>1.7738284093286833E-2</v>
      </c>
      <c r="R635" s="35">
        <f t="shared" si="908"/>
        <v>1.1794185598613693</v>
      </c>
      <c r="S635" s="35">
        <f t="shared" si="909"/>
        <v>9.1933760531487663E-3</v>
      </c>
    </row>
    <row r="636" spans="1:19" ht="15" customHeight="1" x14ac:dyDescent="0.3">
      <c r="A636" s="30">
        <f>Odds_Input!A636</f>
        <v>628</v>
      </c>
      <c r="B636" s="7" t="str">
        <f>Odds_Input!B636</f>
        <v>LDR_BPG</v>
      </c>
      <c r="C636" s="7" t="str">
        <f>Odds_Input!C636</f>
        <v>Anthony Davis</v>
      </c>
      <c r="D636" s="7" t="str">
        <f>Odds_Input!D636</f>
        <v>YES</v>
      </c>
      <c r="E636" s="31" t="str">
        <f>Odds_Input!E636</f>
        <v>-</v>
      </c>
      <c r="F636" s="32">
        <f>Odds_Input!F636</f>
        <v>5200</v>
      </c>
      <c r="G636" s="6" t="str">
        <f t="shared" si="897"/>
        <v>LDR_BPG</v>
      </c>
      <c r="H636" s="14">
        <f t="shared" si="898"/>
        <v>53</v>
      </c>
      <c r="I636" s="33">
        <f t="shared" si="899"/>
        <v>1.8867924528301886E-2</v>
      </c>
      <c r="J636" s="17">
        <f t="shared" si="900"/>
        <v>1</v>
      </c>
      <c r="K636" s="17">
        <f t="shared" si="901"/>
        <v>31</v>
      </c>
      <c r="L636" s="18">
        <f t="shared" si="902"/>
        <v>1.1938902107622367</v>
      </c>
      <c r="M636" s="34">
        <f t="shared" si="903"/>
        <v>0.19389021076223667</v>
      </c>
      <c r="N636" s="33">
        <f t="shared" si="904"/>
        <v>1.5803735015345925E-2</v>
      </c>
      <c r="O636" s="33">
        <f t="shared" si="905"/>
        <v>9.254586884954185E-3</v>
      </c>
      <c r="P636" s="33">
        <f t="shared" si="906"/>
        <v>1.3318219035488072E-2</v>
      </c>
      <c r="Q636" s="33">
        <f t="shared" si="907"/>
        <v>1.3318219035488072E-2</v>
      </c>
      <c r="R636" s="35">
        <f t="shared" si="908"/>
        <v>1.1794185598613693</v>
      </c>
      <c r="S636" s="35">
        <f t="shared" si="909"/>
        <v>9.1933760531487663E-3</v>
      </c>
    </row>
    <row r="637" spans="1:19" ht="15" customHeight="1" x14ac:dyDescent="0.3">
      <c r="A637" s="30">
        <f>Odds_Input!A637</f>
        <v>629</v>
      </c>
      <c r="B637" s="7" t="str">
        <f>Odds_Input!B637</f>
        <v>LDR_BPG</v>
      </c>
      <c r="C637" s="7" t="str">
        <f>Odds_Input!C637</f>
        <v>Donovan Clingan</v>
      </c>
      <c r="D637" s="7" t="str">
        <f>Odds_Input!D637</f>
        <v>YES</v>
      </c>
      <c r="E637" s="31" t="str">
        <f>Odds_Input!E637</f>
        <v>-</v>
      </c>
      <c r="F637" s="32">
        <f>Odds_Input!F637</f>
        <v>6500</v>
      </c>
      <c r="G637" s="6" t="str">
        <f t="shared" si="897"/>
        <v>LDR_BPG</v>
      </c>
      <c r="H637" s="14">
        <f t="shared" si="898"/>
        <v>66</v>
      </c>
      <c r="I637" s="33">
        <f t="shared" si="899"/>
        <v>1.5151515151515152E-2</v>
      </c>
      <c r="J637" s="17">
        <f t="shared" si="900"/>
        <v>1</v>
      </c>
      <c r="K637" s="17">
        <f t="shared" si="901"/>
        <v>31</v>
      </c>
      <c r="L637" s="18">
        <f t="shared" si="902"/>
        <v>1.1938902107622367</v>
      </c>
      <c r="M637" s="34">
        <f t="shared" si="903"/>
        <v>0.19389021076223667</v>
      </c>
      <c r="N637" s="33">
        <f t="shared" si="904"/>
        <v>1.2690878118383851E-2</v>
      </c>
      <c r="O637" s="33">
        <f t="shared" si="905"/>
        <v>7.1448992951009538E-3</v>
      </c>
      <c r="P637" s="33">
        <f t="shared" si="906"/>
        <v>1.0043768789602862E-2</v>
      </c>
      <c r="Q637" s="33">
        <f t="shared" si="907"/>
        <v>1.0043768789602862E-2</v>
      </c>
      <c r="R637" s="35">
        <f t="shared" si="908"/>
        <v>1.1794185598613693</v>
      </c>
      <c r="S637" s="35">
        <f t="shared" si="909"/>
        <v>9.1933760531487663E-3</v>
      </c>
    </row>
    <row r="638" spans="1:19" ht="15" customHeight="1" x14ac:dyDescent="0.3">
      <c r="A638" s="30">
        <f>Odds_Input!A638</f>
        <v>630</v>
      </c>
      <c r="B638" s="7" t="str">
        <f>Odds_Input!B638</f>
        <v>LDR_BPG</v>
      </c>
      <c r="C638" s="7" t="str">
        <f>Odds_Input!C638</f>
        <v>Jaren Jackson Jr</v>
      </c>
      <c r="D638" s="7" t="str">
        <f>Odds_Input!D638</f>
        <v>YES</v>
      </c>
      <c r="E638" s="31" t="str">
        <f>Odds_Input!E638</f>
        <v>-</v>
      </c>
      <c r="F638" s="32">
        <f>Odds_Input!F638</f>
        <v>8500</v>
      </c>
      <c r="G638" s="6" t="str">
        <f t="shared" si="897"/>
        <v>LDR_BPG</v>
      </c>
      <c r="H638" s="14">
        <f t="shared" si="898"/>
        <v>86</v>
      </c>
      <c r="I638" s="33">
        <f t="shared" si="899"/>
        <v>1.1627906976744186E-2</v>
      </c>
      <c r="J638" s="17">
        <f t="shared" si="900"/>
        <v>1</v>
      </c>
      <c r="K638" s="17">
        <f t="shared" si="901"/>
        <v>31</v>
      </c>
      <c r="L638" s="18">
        <f t="shared" si="902"/>
        <v>1.1938902107622367</v>
      </c>
      <c r="M638" s="34">
        <f t="shared" si="903"/>
        <v>0.19389021076223667</v>
      </c>
      <c r="N638" s="33">
        <f t="shared" si="904"/>
        <v>9.7395111141085362E-3</v>
      </c>
      <c r="O638" s="33">
        <f t="shared" si="905"/>
        <v>5.2289756878547353E-3</v>
      </c>
      <c r="P638" s="33">
        <f t="shared" si="906"/>
        <v>7.0150337451579184E-3</v>
      </c>
      <c r="Q638" s="33">
        <f t="shared" si="907"/>
        <v>7.0150337451579184E-3</v>
      </c>
      <c r="R638" s="35">
        <f t="shared" si="908"/>
        <v>1.1794185598613693</v>
      </c>
      <c r="S638" s="35">
        <f t="shared" si="909"/>
        <v>9.1933760531487663E-3</v>
      </c>
    </row>
    <row r="639" spans="1:19" ht="15" customHeight="1" x14ac:dyDescent="0.3">
      <c r="A639" s="30">
        <f>Odds_Input!A639</f>
        <v>631</v>
      </c>
      <c r="B639" s="7" t="str">
        <f>Odds_Input!B639</f>
        <v>LDR_BPG</v>
      </c>
      <c r="C639" s="7" t="str">
        <f>Odds_Input!C639</f>
        <v>Rudy Gobert</v>
      </c>
      <c r="D639" s="7" t="str">
        <f>Odds_Input!D639</f>
        <v>YES</v>
      </c>
      <c r="E639" s="31" t="str">
        <f>Odds_Input!E639</f>
        <v>-</v>
      </c>
      <c r="F639" s="32">
        <f>Odds_Input!F639</f>
        <v>9500</v>
      </c>
      <c r="G639" s="6" t="str">
        <f t="shared" si="897"/>
        <v>LDR_BPG</v>
      </c>
      <c r="H639" s="14">
        <f t="shared" si="898"/>
        <v>96</v>
      </c>
      <c r="I639" s="33">
        <f t="shared" si="899"/>
        <v>1.0416666666666666E-2</v>
      </c>
      <c r="J639" s="17">
        <f t="shared" si="900"/>
        <v>1</v>
      </c>
      <c r="K639" s="17">
        <f t="shared" si="901"/>
        <v>31</v>
      </c>
      <c r="L639" s="18">
        <f t="shared" si="902"/>
        <v>1.1938902107622367</v>
      </c>
      <c r="M639" s="34">
        <f t="shared" si="903"/>
        <v>0.19389021076223667</v>
      </c>
      <c r="N639" s="33">
        <f t="shared" si="904"/>
        <v>8.7249787063888966E-3</v>
      </c>
      <c r="O639" s="33">
        <f t="shared" si="905"/>
        <v>4.5927469462282043E-3</v>
      </c>
      <c r="P639" s="33">
        <f t="shared" si="906"/>
        <v>6.0026510917005121E-3</v>
      </c>
      <c r="Q639" s="33">
        <f t="shared" si="907"/>
        <v>6.0026510917005121E-3</v>
      </c>
      <c r="R639" s="35">
        <f t="shared" si="908"/>
        <v>1.1794185598613693</v>
      </c>
      <c r="S639" s="35">
        <f t="shared" si="909"/>
        <v>9.1933760531487663E-3</v>
      </c>
    </row>
    <row r="640" spans="1:19" ht="15" customHeight="1" x14ac:dyDescent="0.3">
      <c r="A640" s="30">
        <f>Odds_Input!A640</f>
        <v>632</v>
      </c>
      <c r="B640" s="7" t="str">
        <f>Odds_Input!B640</f>
        <v>LDR_BPG</v>
      </c>
      <c r="C640" s="7" t="str">
        <f>Odds_Input!C640</f>
        <v>Evan Mobley</v>
      </c>
      <c r="D640" s="7" t="str">
        <f>Odds_Input!D640</f>
        <v>YES</v>
      </c>
      <c r="E640" s="31" t="str">
        <f>Odds_Input!E640</f>
        <v>-</v>
      </c>
      <c r="F640" s="32">
        <f>Odds_Input!F640</f>
        <v>10000</v>
      </c>
      <c r="G640" s="6" t="str">
        <f t="shared" si="897"/>
        <v>LDR_BPG</v>
      </c>
      <c r="H640" s="14">
        <f t="shared" si="898"/>
        <v>101</v>
      </c>
      <c r="I640" s="33">
        <f t="shared" si="899"/>
        <v>9.9009900990099011E-3</v>
      </c>
      <c r="J640" s="17">
        <f t="shared" si="900"/>
        <v>1</v>
      </c>
      <c r="K640" s="17">
        <f t="shared" si="901"/>
        <v>31</v>
      </c>
      <c r="L640" s="18">
        <f t="shared" si="902"/>
        <v>1.1938902107622367</v>
      </c>
      <c r="M640" s="34">
        <f t="shared" si="903"/>
        <v>0.19389021076223667</v>
      </c>
      <c r="N640" s="33">
        <f t="shared" si="904"/>
        <v>8.2930490674587524E-3</v>
      </c>
      <c r="O640" s="33">
        <f t="shared" si="905"/>
        <v>4.3257973657854091E-3</v>
      </c>
      <c r="P640" s="33">
        <f t="shared" si="906"/>
        <v>5.5780347983926731E-3</v>
      </c>
      <c r="Q640" s="33">
        <f t="shared" si="907"/>
        <v>5.5780347983926731E-3</v>
      </c>
      <c r="R640" s="35">
        <f t="shared" si="908"/>
        <v>1.1794185598613693</v>
      </c>
      <c r="S640" s="35">
        <f t="shared" si="909"/>
        <v>9.1933760531487663E-3</v>
      </c>
    </row>
    <row r="641" spans="1:19" ht="15" customHeight="1" x14ac:dyDescent="0.3">
      <c r="A641" s="30">
        <f>Odds_Input!A641</f>
        <v>633</v>
      </c>
      <c r="B641" s="7" t="str">
        <f>Odds_Input!B641</f>
        <v>LDR_BPG</v>
      </c>
      <c r="C641" s="7" t="str">
        <f>Odds_Input!C641</f>
        <v>Dereck Lively II</v>
      </c>
      <c r="D641" s="7" t="str">
        <f>Odds_Input!D641</f>
        <v>YES</v>
      </c>
      <c r="E641" s="31" t="str">
        <f>Odds_Input!E641</f>
        <v>-</v>
      </c>
      <c r="F641" s="32">
        <f>Odds_Input!F641</f>
        <v>12500</v>
      </c>
      <c r="G641" s="6" t="str">
        <f t="shared" si="897"/>
        <v>LDR_BPG</v>
      </c>
      <c r="H641" s="14">
        <f t="shared" si="898"/>
        <v>126</v>
      </c>
      <c r="I641" s="33">
        <f t="shared" si="899"/>
        <v>7.9365079365079361E-3</v>
      </c>
      <c r="J641" s="17">
        <f t="shared" si="900"/>
        <v>1</v>
      </c>
      <c r="K641" s="17">
        <f t="shared" si="901"/>
        <v>31</v>
      </c>
      <c r="L641" s="18">
        <f t="shared" si="902"/>
        <v>1.1938902107622367</v>
      </c>
      <c r="M641" s="34">
        <f t="shared" si="903"/>
        <v>0.19389021076223667</v>
      </c>
      <c r="N641" s="33">
        <f t="shared" si="904"/>
        <v>6.647602823915349E-3</v>
      </c>
      <c r="O641" s="33">
        <f t="shared" si="905"/>
        <v>3.3326061889086931E-3</v>
      </c>
      <c r="P641" s="33">
        <f t="shared" si="906"/>
        <v>4.0077269006929114E-3</v>
      </c>
      <c r="Q641" s="33">
        <f t="shared" si="907"/>
        <v>4.0077269006929114E-3</v>
      </c>
      <c r="R641" s="35">
        <f t="shared" si="908"/>
        <v>1.1794185598613693</v>
      </c>
      <c r="S641" s="35">
        <f t="shared" si="909"/>
        <v>9.1933760531487663E-3</v>
      </c>
    </row>
    <row r="642" spans="1:19" ht="15" customHeight="1" x14ac:dyDescent="0.3">
      <c r="A642" s="30">
        <f>Odds_Input!A642</f>
        <v>634</v>
      </c>
      <c r="B642" s="7" t="str">
        <f>Odds_Input!B642</f>
        <v>LDR_BPG</v>
      </c>
      <c r="C642" s="7" t="str">
        <f>Odds_Input!C642</f>
        <v>Yves Missi</v>
      </c>
      <c r="D642" s="7" t="str">
        <f>Odds_Input!D642</f>
        <v>YES</v>
      </c>
      <c r="E642" s="31" t="str">
        <f>Odds_Input!E642</f>
        <v>-</v>
      </c>
      <c r="F642" s="32">
        <f>Odds_Input!F642</f>
        <v>13000</v>
      </c>
      <c r="G642" s="6" t="str">
        <f t="shared" si="897"/>
        <v>LDR_BPG</v>
      </c>
      <c r="H642" s="14">
        <f t="shared" si="898"/>
        <v>131</v>
      </c>
      <c r="I642" s="33">
        <f t="shared" si="899"/>
        <v>7.6335877862595417E-3</v>
      </c>
      <c r="J642" s="17">
        <f t="shared" si="900"/>
        <v>1</v>
      </c>
      <c r="K642" s="17">
        <f t="shared" si="901"/>
        <v>31</v>
      </c>
      <c r="L642" s="18">
        <f t="shared" si="902"/>
        <v>1.1938902107622367</v>
      </c>
      <c r="M642" s="34">
        <f t="shared" si="903"/>
        <v>0.19389021076223667</v>
      </c>
      <c r="N642" s="33">
        <f t="shared" si="904"/>
        <v>6.3938775252926263E-3</v>
      </c>
      <c r="O642" s="33">
        <f t="shared" si="905"/>
        <v>3.1831048010844414E-3</v>
      </c>
      <c r="P642" s="33">
        <f t="shared" si="906"/>
        <v>3.7740174012189211E-3</v>
      </c>
      <c r="Q642" s="33">
        <f t="shared" si="907"/>
        <v>3.7740174012189211E-3</v>
      </c>
      <c r="R642" s="35">
        <f t="shared" si="908"/>
        <v>1.1794185598613693</v>
      </c>
      <c r="S642" s="35">
        <f t="shared" si="909"/>
        <v>9.1933760531487663E-3</v>
      </c>
    </row>
    <row r="643" spans="1:19" ht="15" customHeight="1" x14ac:dyDescent="0.3">
      <c r="A643" s="30">
        <f>Odds_Input!A643</f>
        <v>635</v>
      </c>
      <c r="B643" s="7" t="str">
        <f>Odds_Input!B643</f>
        <v>LDR_BPG</v>
      </c>
      <c r="C643" s="7" t="str">
        <f>Odds_Input!C643</f>
        <v>Myles Turner</v>
      </c>
      <c r="D643" s="7" t="str">
        <f>Odds_Input!D643</f>
        <v>YES</v>
      </c>
      <c r="E643" s="31" t="str">
        <f>Odds_Input!E643</f>
        <v>-</v>
      </c>
      <c r="F643" s="32">
        <f>Odds_Input!F643</f>
        <v>12000</v>
      </c>
      <c r="G643" s="6" t="str">
        <f t="shared" si="897"/>
        <v>LDR_BPG</v>
      </c>
      <c r="H643" s="14">
        <f t="shared" si="898"/>
        <v>121</v>
      </c>
      <c r="I643" s="33">
        <f t="shared" si="899"/>
        <v>8.2644628099173556E-3</v>
      </c>
      <c r="J643" s="17">
        <f t="shared" si="900"/>
        <v>1</v>
      </c>
      <c r="K643" s="17">
        <f t="shared" si="901"/>
        <v>31</v>
      </c>
      <c r="L643" s="18">
        <f t="shared" si="902"/>
        <v>1.1938902107622367</v>
      </c>
      <c r="M643" s="34">
        <f t="shared" si="903"/>
        <v>0.19389021076223667</v>
      </c>
      <c r="N643" s="33">
        <f t="shared" si="904"/>
        <v>6.9222971554821003E-3</v>
      </c>
      <c r="O643" s="33">
        <f t="shared" si="905"/>
        <v>3.4956205035942354E-3</v>
      </c>
      <c r="P643" s="33">
        <f t="shared" si="906"/>
        <v>4.2636580487581477E-3</v>
      </c>
      <c r="Q643" s="33">
        <f t="shared" si="907"/>
        <v>4.2636580487581477E-3</v>
      </c>
      <c r="R643" s="35">
        <f t="shared" si="908"/>
        <v>1.1794185598613693</v>
      </c>
      <c r="S643" s="35">
        <f t="shared" si="909"/>
        <v>9.1933760531487663E-3</v>
      </c>
    </row>
    <row r="644" spans="1:19" ht="15" customHeight="1" x14ac:dyDescent="0.3">
      <c r="A644" s="30">
        <f>Odds_Input!A644</f>
        <v>636</v>
      </c>
      <c r="B644" s="7" t="str">
        <f>Odds_Input!B644</f>
        <v>LDR_BPG</v>
      </c>
      <c r="C644" s="7" t="str">
        <f>Odds_Input!C644</f>
        <v>Kelel Ware</v>
      </c>
      <c r="D644" s="7" t="str">
        <f>Odds_Input!D644</f>
        <v>YES</v>
      </c>
      <c r="E644" s="31" t="str">
        <f>Odds_Input!E644</f>
        <v>-</v>
      </c>
      <c r="F644" s="32">
        <f>Odds_Input!F644</f>
        <v>13000</v>
      </c>
      <c r="G644" s="6" t="str">
        <f t="shared" si="897"/>
        <v>LDR_BPG</v>
      </c>
      <c r="H644" s="14">
        <f t="shared" si="898"/>
        <v>131</v>
      </c>
      <c r="I644" s="33">
        <f t="shared" si="899"/>
        <v>7.6335877862595417E-3</v>
      </c>
      <c r="J644" s="17">
        <f t="shared" si="900"/>
        <v>1</v>
      </c>
      <c r="K644" s="17">
        <f t="shared" si="901"/>
        <v>31</v>
      </c>
      <c r="L644" s="18">
        <f t="shared" si="902"/>
        <v>1.1938902107622367</v>
      </c>
      <c r="M644" s="34">
        <f t="shared" si="903"/>
        <v>0.19389021076223667</v>
      </c>
      <c r="N644" s="33">
        <f t="shared" si="904"/>
        <v>6.3938775252926263E-3</v>
      </c>
      <c r="O644" s="33">
        <f t="shared" si="905"/>
        <v>3.1831048010844414E-3</v>
      </c>
      <c r="P644" s="33">
        <f t="shared" si="906"/>
        <v>3.7740174012189211E-3</v>
      </c>
      <c r="Q644" s="33">
        <f t="shared" si="907"/>
        <v>3.7740174012189211E-3</v>
      </c>
      <c r="R644" s="35">
        <f t="shared" si="908"/>
        <v>1.1794185598613693</v>
      </c>
      <c r="S644" s="35">
        <f t="shared" si="909"/>
        <v>9.1933760531487663E-3</v>
      </c>
    </row>
    <row r="645" spans="1:19" ht="15" customHeight="1" x14ac:dyDescent="0.3">
      <c r="A645" s="30">
        <f>Odds_Input!A645</f>
        <v>637</v>
      </c>
      <c r="B645" s="7" t="str">
        <f>Odds_Input!B645</f>
        <v>LDR_BPG</v>
      </c>
      <c r="C645" s="7" t="str">
        <f>Odds_Input!C645</f>
        <v>Ryan Kalkbrenner</v>
      </c>
      <c r="D645" s="7" t="str">
        <f>Odds_Input!D645</f>
        <v>YES</v>
      </c>
      <c r="E645" s="31" t="str">
        <f>Odds_Input!E645</f>
        <v>-</v>
      </c>
      <c r="F645" s="32">
        <f>Odds_Input!F645</f>
        <v>14000</v>
      </c>
      <c r="G645" s="6" t="str">
        <f t="shared" si="897"/>
        <v>LDR_BPG</v>
      </c>
      <c r="H645" s="14">
        <f t="shared" si="898"/>
        <v>141</v>
      </c>
      <c r="I645" s="33">
        <f t="shared" si="899"/>
        <v>7.0921985815602835E-3</v>
      </c>
      <c r="J645" s="17">
        <f t="shared" si="900"/>
        <v>1</v>
      </c>
      <c r="K645" s="17">
        <f t="shared" si="901"/>
        <v>31</v>
      </c>
      <c r="L645" s="18">
        <f t="shared" si="902"/>
        <v>1.1938902107622367</v>
      </c>
      <c r="M645" s="34">
        <f t="shared" si="903"/>
        <v>0.19389021076223667</v>
      </c>
      <c r="N645" s="33">
        <f t="shared" si="904"/>
        <v>5.9404110341371207E-3</v>
      </c>
      <c r="O645" s="33">
        <f t="shared" si="905"/>
        <v>2.9185765541663807E-3</v>
      </c>
      <c r="P645" s="33">
        <f t="shared" si="906"/>
        <v>3.3634702358117563E-3</v>
      </c>
      <c r="Q645" s="33">
        <f t="shared" si="907"/>
        <v>3.3634702358117563E-3</v>
      </c>
      <c r="R645" s="35">
        <f t="shared" si="908"/>
        <v>1.1794185598613693</v>
      </c>
      <c r="S645" s="35">
        <f t="shared" si="909"/>
        <v>9.1933760531487663E-3</v>
      </c>
    </row>
    <row r="646" spans="1:19" ht="15" customHeight="1" x14ac:dyDescent="0.3">
      <c r="A646" s="30">
        <f>Odds_Input!A646</f>
        <v>638</v>
      </c>
      <c r="B646" s="7" t="str">
        <f>Odds_Input!B646</f>
        <v>LDR_BPG</v>
      </c>
      <c r="C646" s="7" t="str">
        <f>Odds_Input!C646</f>
        <v>Daniel Gafford</v>
      </c>
      <c r="D646" s="7" t="str">
        <f>Odds_Input!D646</f>
        <v>YES</v>
      </c>
      <c r="E646" s="31" t="str">
        <f>Odds_Input!E646</f>
        <v>-</v>
      </c>
      <c r="F646" s="32">
        <f>Odds_Input!F646</f>
        <v>16000</v>
      </c>
      <c r="G646" s="6" t="str">
        <f t="shared" si="897"/>
        <v>LDR_BPG</v>
      </c>
      <c r="H646" s="14">
        <f t="shared" si="898"/>
        <v>161</v>
      </c>
      <c r="I646" s="33">
        <f t="shared" si="899"/>
        <v>6.2111801242236021E-3</v>
      </c>
      <c r="J646" s="17">
        <f t="shared" si="900"/>
        <v>1</v>
      </c>
      <c r="K646" s="17">
        <f t="shared" si="901"/>
        <v>31</v>
      </c>
      <c r="L646" s="18">
        <f t="shared" si="902"/>
        <v>1.1938902107622367</v>
      </c>
      <c r="M646" s="34">
        <f t="shared" si="903"/>
        <v>0.19389021076223667</v>
      </c>
      <c r="N646" s="33">
        <f t="shared" si="904"/>
        <v>5.2024717752380996E-3</v>
      </c>
      <c r="O646" s="33">
        <f t="shared" si="905"/>
        <v>2.4959081744773829E-3</v>
      </c>
      <c r="P646" s="33">
        <f t="shared" si="906"/>
        <v>2.7184311066609729E-3</v>
      </c>
      <c r="Q646" s="33">
        <f t="shared" si="907"/>
        <v>2.7184311066609729E-3</v>
      </c>
      <c r="R646" s="35">
        <f t="shared" si="908"/>
        <v>1.1794185598613693</v>
      </c>
      <c r="S646" s="35">
        <f t="shared" si="909"/>
        <v>9.1933760531487663E-3</v>
      </c>
    </row>
    <row r="647" spans="1:19" ht="15" customHeight="1" x14ac:dyDescent="0.3">
      <c r="A647" s="30">
        <f>Odds_Input!A647</f>
        <v>639</v>
      </c>
      <c r="B647" s="7" t="str">
        <f>Odds_Input!B647</f>
        <v>LDR_BPG</v>
      </c>
      <c r="C647" s="7" t="str">
        <f>Odds_Input!C647</f>
        <v>Nic Claxton</v>
      </c>
      <c r="D647" s="7" t="str">
        <f>Odds_Input!D647</f>
        <v>YES</v>
      </c>
      <c r="E647" s="31" t="str">
        <f>Odds_Input!E647</f>
        <v>-</v>
      </c>
      <c r="F647" s="32">
        <f>Odds_Input!F647</f>
        <v>17000</v>
      </c>
      <c r="G647" s="6" t="str">
        <f t="shared" si="897"/>
        <v>LDR_BPG</v>
      </c>
      <c r="H647" s="14">
        <f t="shared" si="898"/>
        <v>171</v>
      </c>
      <c r="I647" s="33">
        <f t="shared" si="899"/>
        <v>5.8479532163742687E-3</v>
      </c>
      <c r="J647" s="17">
        <f t="shared" si="900"/>
        <v>1</v>
      </c>
      <c r="K647" s="17">
        <f t="shared" si="901"/>
        <v>31</v>
      </c>
      <c r="L647" s="18">
        <f t="shared" si="902"/>
        <v>1.1938902107622367</v>
      </c>
      <c r="M647" s="34">
        <f t="shared" si="903"/>
        <v>0.19389021076223667</v>
      </c>
      <c r="N647" s="33">
        <f t="shared" si="904"/>
        <v>4.8982336597270994E-3</v>
      </c>
      <c r="O647" s="33">
        <f t="shared" si="905"/>
        <v>2.3246787370524921E-3</v>
      </c>
      <c r="P647" s="33">
        <f t="shared" si="906"/>
        <v>2.4623432648126333E-3</v>
      </c>
      <c r="Q647" s="33">
        <f t="shared" si="907"/>
        <v>2.4623432648126333E-3</v>
      </c>
      <c r="R647" s="35">
        <f t="shared" si="908"/>
        <v>1.1794185598613693</v>
      </c>
      <c r="S647" s="35">
        <f t="shared" si="909"/>
        <v>9.1933760531487663E-3</v>
      </c>
    </row>
    <row r="648" spans="1:19" ht="15" customHeight="1" x14ac:dyDescent="0.3">
      <c r="A648" s="30">
        <f>Odds_Input!A648</f>
        <v>640</v>
      </c>
      <c r="B648" s="7" t="str">
        <f>Odds_Input!B648</f>
        <v>LDR_BPG</v>
      </c>
      <c r="C648" s="7" t="str">
        <f>Odds_Input!C648</f>
        <v>Mitchell Robinson</v>
      </c>
      <c r="D648" s="7" t="str">
        <f>Odds_Input!D648</f>
        <v>YES</v>
      </c>
      <c r="E648" s="31" t="str">
        <f>Odds_Input!E648</f>
        <v>-</v>
      </c>
      <c r="F648" s="32">
        <f>Odds_Input!F648</f>
        <v>17000</v>
      </c>
      <c r="G648" s="6" t="str">
        <f t="shared" ref="G648:G694" si="910">IF(OR(B648="WINS",B648="PLAYOFFS"),B648&amp;"|"&amp;C648&amp;IF(B648="WINS","|"&amp;TEXT(E648,"0.0"),""),B648)</f>
        <v>LDR_BPG</v>
      </c>
      <c r="H648" s="14">
        <f t="shared" ref="H648:H694" si="911">IF(F648&gt;0,1+F648/100,1+100/ABS(F648))</f>
        <v>171</v>
      </c>
      <c r="I648" s="33">
        <f t="shared" ref="I648:I711" si="912">1/H648</f>
        <v>5.8479532163742687E-3</v>
      </c>
      <c r="J648" s="17">
        <f t="shared" ref="J648:J694" si="913">IF(LEFT(B648,6)="PLAYIN",A_playin_slots,1)</f>
        <v>1</v>
      </c>
      <c r="K648" s="17">
        <f t="shared" ref="K648:K694" si="914">COUNTIF($G$8:$G$694,G648)</f>
        <v>31</v>
      </c>
      <c r="L648" s="18">
        <f t="shared" ref="L648:L694" si="915">SUMIF($G$8:$G$694,G648,$I$8:$I$694)</f>
        <v>1.1938902107622367</v>
      </c>
      <c r="M648" s="34">
        <f t="shared" ref="M648:M711" si="916">L648/J648-1</f>
        <v>0.19389021076223667</v>
      </c>
      <c r="N648" s="33">
        <f t="shared" ref="N648:N694" si="917">I648*J648/L648</f>
        <v>4.8982336597270994E-3</v>
      </c>
      <c r="O648" s="33">
        <f t="shared" ref="O648:O694" si="918">I648^R648</f>
        <v>2.3246787370524921E-3</v>
      </c>
      <c r="P648" s="33">
        <f t="shared" ref="P648:P711" si="919">IF(J648&lt;&gt;1,O648,IF(L648&lt;=1,I648/L648,(SQRT(S648^2+4*(1-S648)*I648^2/L648)-S648)/(2*(1-S648))))</f>
        <v>2.4623432648126333E-3</v>
      </c>
      <c r="Q648" s="33">
        <f t="shared" ref="Q648:Q711" si="920">IF(A_devig="Multiplicative",N648,IF(A_devig="Power",O648,P648))</f>
        <v>2.4623432648126333E-3</v>
      </c>
      <c r="R648" s="35">
        <f t="shared" ref="R648:R694" si="921">INDEX($KA$8:$KA$96,MATCH(G648,$X$8:$X$96,0))</f>
        <v>1.1794185598613693</v>
      </c>
      <c r="S648" s="35">
        <f t="shared" ref="S648:S694" si="922">INDEX($KB$8:$KB$96,MATCH(G648,$X$8:$X$96,0))</f>
        <v>9.1933760531487663E-3</v>
      </c>
    </row>
    <row r="649" spans="1:19" ht="15" customHeight="1" x14ac:dyDescent="0.3">
      <c r="A649" s="30">
        <f>Odds_Input!A649</f>
        <v>641</v>
      </c>
      <c r="B649" s="7" t="str">
        <f>Odds_Input!B649</f>
        <v>LDR_BPG</v>
      </c>
      <c r="C649" s="7" t="str">
        <f>Odds_Input!C649</f>
        <v>Ivica Zubac</v>
      </c>
      <c r="D649" s="7" t="str">
        <f>Odds_Input!D649</f>
        <v>YES</v>
      </c>
      <c r="E649" s="31" t="str">
        <f>Odds_Input!E649</f>
        <v>-</v>
      </c>
      <c r="F649" s="32">
        <f>Odds_Input!F649</f>
        <v>18000</v>
      </c>
      <c r="G649" s="6" t="str">
        <f t="shared" si="910"/>
        <v>LDR_BPG</v>
      </c>
      <c r="H649" s="14">
        <f t="shared" si="911"/>
        <v>181</v>
      </c>
      <c r="I649" s="33">
        <f t="shared" si="912"/>
        <v>5.5248618784530384E-3</v>
      </c>
      <c r="J649" s="17">
        <f t="shared" si="913"/>
        <v>1</v>
      </c>
      <c r="K649" s="17">
        <f t="shared" si="914"/>
        <v>31</v>
      </c>
      <c r="L649" s="18">
        <f t="shared" si="915"/>
        <v>1.1938902107622367</v>
      </c>
      <c r="M649" s="34">
        <f t="shared" si="916"/>
        <v>0.19389021076223667</v>
      </c>
      <c r="N649" s="33">
        <f t="shared" si="917"/>
        <v>4.627613015543282E-3</v>
      </c>
      <c r="O649" s="33">
        <f t="shared" si="918"/>
        <v>2.1739621906077095E-3</v>
      </c>
      <c r="P649" s="33">
        <f t="shared" si="919"/>
        <v>2.2401679139264453E-3</v>
      </c>
      <c r="Q649" s="33">
        <f t="shared" si="920"/>
        <v>2.2401679139264453E-3</v>
      </c>
      <c r="R649" s="35">
        <f t="shared" si="921"/>
        <v>1.1794185598613693</v>
      </c>
      <c r="S649" s="35">
        <f t="shared" si="922"/>
        <v>9.1933760531487663E-3</v>
      </c>
    </row>
    <row r="650" spans="1:19" ht="15" customHeight="1" x14ac:dyDescent="0.3">
      <c r="A650" s="30">
        <f>Odds_Input!A650</f>
        <v>642</v>
      </c>
      <c r="B650" s="7" t="str">
        <f>Odds_Input!B650</f>
        <v>LDR_BPG</v>
      </c>
      <c r="C650" s="7" t="str">
        <f>Odds_Input!C650</f>
        <v>Jay Huff</v>
      </c>
      <c r="D650" s="7" t="str">
        <f>Odds_Input!D650</f>
        <v>YES</v>
      </c>
      <c r="E650" s="31" t="str">
        <f>Odds_Input!E650</f>
        <v>-</v>
      </c>
      <c r="F650" s="32">
        <f>Odds_Input!F650</f>
        <v>21000</v>
      </c>
      <c r="G650" s="6" t="str">
        <f t="shared" si="910"/>
        <v>LDR_BPG</v>
      </c>
      <c r="H650" s="14">
        <f t="shared" si="911"/>
        <v>211</v>
      </c>
      <c r="I650" s="33">
        <f t="shared" si="912"/>
        <v>4.7393364928909956E-3</v>
      </c>
      <c r="J650" s="17">
        <f t="shared" si="913"/>
        <v>1</v>
      </c>
      <c r="K650" s="17">
        <f t="shared" si="914"/>
        <v>31</v>
      </c>
      <c r="L650" s="18">
        <f t="shared" si="915"/>
        <v>1.1938902107622367</v>
      </c>
      <c r="M650" s="34">
        <f t="shared" si="916"/>
        <v>0.19389021076223667</v>
      </c>
      <c r="N650" s="33">
        <f t="shared" si="917"/>
        <v>3.9696585583570334E-3</v>
      </c>
      <c r="O650" s="33">
        <f t="shared" si="918"/>
        <v>1.8142541862766334E-3</v>
      </c>
      <c r="P650" s="33">
        <f t="shared" si="919"/>
        <v>1.7255316301283527E-3</v>
      </c>
      <c r="Q650" s="33">
        <f t="shared" si="920"/>
        <v>1.7255316301283527E-3</v>
      </c>
      <c r="R650" s="35">
        <f t="shared" si="921"/>
        <v>1.1794185598613693</v>
      </c>
      <c r="S650" s="35">
        <f t="shared" si="922"/>
        <v>9.1933760531487663E-3</v>
      </c>
    </row>
    <row r="651" spans="1:19" ht="15" customHeight="1" x14ac:dyDescent="0.3">
      <c r="A651" s="30">
        <f>Odds_Input!A651</f>
        <v>643</v>
      </c>
      <c r="B651" s="7" t="str">
        <f>Odds_Input!B651</f>
        <v>LDR_BPG</v>
      </c>
      <c r="C651" s="7" t="str">
        <f>Odds_Input!C651</f>
        <v>Isaiah Stewart</v>
      </c>
      <c r="D651" s="7" t="str">
        <f>Odds_Input!D651</f>
        <v>YES</v>
      </c>
      <c r="E651" s="31" t="str">
        <f>Odds_Input!E651</f>
        <v>-</v>
      </c>
      <c r="F651" s="32">
        <f>Odds_Input!F651</f>
        <v>22000</v>
      </c>
      <c r="G651" s="6" t="str">
        <f t="shared" si="910"/>
        <v>LDR_BPG</v>
      </c>
      <c r="H651" s="14">
        <f t="shared" si="911"/>
        <v>221</v>
      </c>
      <c r="I651" s="33">
        <f t="shared" si="912"/>
        <v>4.5248868778280547E-3</v>
      </c>
      <c r="J651" s="17">
        <f t="shared" si="913"/>
        <v>1</v>
      </c>
      <c r="K651" s="17">
        <f t="shared" si="914"/>
        <v>31</v>
      </c>
      <c r="L651" s="18">
        <f t="shared" si="915"/>
        <v>1.1938902107622367</v>
      </c>
      <c r="M651" s="34">
        <f t="shared" si="916"/>
        <v>0.19389021076223667</v>
      </c>
      <c r="N651" s="33">
        <f t="shared" si="917"/>
        <v>3.790035999155358E-3</v>
      </c>
      <c r="O651" s="33">
        <f t="shared" si="918"/>
        <v>1.7178302289263341E-3</v>
      </c>
      <c r="P651" s="33">
        <f t="shared" si="919"/>
        <v>1.5921996843831594E-3</v>
      </c>
      <c r="Q651" s="33">
        <f t="shared" si="920"/>
        <v>1.5921996843831594E-3</v>
      </c>
      <c r="R651" s="35">
        <f t="shared" si="921"/>
        <v>1.1794185598613693</v>
      </c>
      <c r="S651" s="35">
        <f t="shared" si="922"/>
        <v>9.1933760531487663E-3</v>
      </c>
    </row>
    <row r="652" spans="1:19" ht="15" customHeight="1" x14ac:dyDescent="0.3">
      <c r="A652" s="30">
        <f>Odds_Input!A652</f>
        <v>644</v>
      </c>
      <c r="B652" s="7" t="str">
        <f>Odds_Input!B652</f>
        <v>LDR_BPG</v>
      </c>
      <c r="C652" s="7" t="str">
        <f>Odds_Input!C652</f>
        <v>Scottie Barnes</v>
      </c>
      <c r="D652" s="7" t="str">
        <f>Odds_Input!D652</f>
        <v>YES</v>
      </c>
      <c r="E652" s="31" t="str">
        <f>Odds_Input!E652</f>
        <v>-</v>
      </c>
      <c r="F652" s="32">
        <f>Odds_Input!F652</f>
        <v>23000</v>
      </c>
      <c r="G652" s="6" t="str">
        <f t="shared" si="910"/>
        <v>LDR_BPG</v>
      </c>
      <c r="H652" s="14">
        <f t="shared" si="911"/>
        <v>231</v>
      </c>
      <c r="I652" s="33">
        <f t="shared" si="912"/>
        <v>4.329004329004329E-3</v>
      </c>
      <c r="J652" s="17">
        <f t="shared" si="913"/>
        <v>1</v>
      </c>
      <c r="K652" s="17">
        <f t="shared" si="914"/>
        <v>31</v>
      </c>
      <c r="L652" s="18">
        <f t="shared" si="915"/>
        <v>1.1938902107622367</v>
      </c>
      <c r="M652" s="34">
        <f t="shared" si="916"/>
        <v>0.19389021076223667</v>
      </c>
      <c r="N652" s="33">
        <f t="shared" si="917"/>
        <v>3.6259651766811E-3</v>
      </c>
      <c r="O652" s="33">
        <f t="shared" si="918"/>
        <v>1.6304675605913743E-3</v>
      </c>
      <c r="P652" s="33">
        <f t="shared" si="919"/>
        <v>1.473428818316268E-3</v>
      </c>
      <c r="Q652" s="33">
        <f t="shared" si="920"/>
        <v>1.473428818316268E-3</v>
      </c>
      <c r="R652" s="35">
        <f t="shared" si="921"/>
        <v>1.1794185598613693</v>
      </c>
      <c r="S652" s="35">
        <f t="shared" si="922"/>
        <v>9.1933760531487663E-3</v>
      </c>
    </row>
    <row r="653" spans="1:19" ht="15" customHeight="1" x14ac:dyDescent="0.3">
      <c r="A653" s="30">
        <f>Odds_Input!A653</f>
        <v>645</v>
      </c>
      <c r="B653" s="7" t="str">
        <f>Odds_Input!B653</f>
        <v>LDR_BPG</v>
      </c>
      <c r="C653" s="7" t="str">
        <f>Odds_Input!C653</f>
        <v>Dylan Cardwell</v>
      </c>
      <c r="D653" s="7" t="str">
        <f>Odds_Input!D653</f>
        <v>YES</v>
      </c>
      <c r="E653" s="31" t="str">
        <f>Odds_Input!E653</f>
        <v>-</v>
      </c>
      <c r="F653" s="32">
        <f>Odds_Input!F653</f>
        <v>24000</v>
      </c>
      <c r="G653" s="6" t="str">
        <f t="shared" si="910"/>
        <v>LDR_BPG</v>
      </c>
      <c r="H653" s="14">
        <f t="shared" si="911"/>
        <v>241</v>
      </c>
      <c r="I653" s="33">
        <f t="shared" si="912"/>
        <v>4.1493775933609959E-3</v>
      </c>
      <c r="J653" s="17">
        <f t="shared" si="913"/>
        <v>1</v>
      </c>
      <c r="K653" s="17">
        <f t="shared" si="914"/>
        <v>31</v>
      </c>
      <c r="L653" s="18">
        <f t="shared" si="915"/>
        <v>1.1938902107622367</v>
      </c>
      <c r="M653" s="34">
        <f t="shared" si="916"/>
        <v>0.19389021076223667</v>
      </c>
      <c r="N653" s="33">
        <f t="shared" si="917"/>
        <v>3.4755101900968218E-3</v>
      </c>
      <c r="O653" s="33">
        <f t="shared" si="918"/>
        <v>1.5509753305456555E-3</v>
      </c>
      <c r="P653" s="33">
        <f t="shared" si="919"/>
        <v>1.3671974053165552E-3</v>
      </c>
      <c r="Q653" s="33">
        <f t="shared" si="920"/>
        <v>1.3671974053165552E-3</v>
      </c>
      <c r="R653" s="35">
        <f t="shared" si="921"/>
        <v>1.1794185598613693</v>
      </c>
      <c r="S653" s="35">
        <f t="shared" si="922"/>
        <v>9.1933760531487663E-3</v>
      </c>
    </row>
    <row r="654" spans="1:19" ht="15" customHeight="1" x14ac:dyDescent="0.3">
      <c r="A654" s="30">
        <f>Odds_Input!A654</f>
        <v>646</v>
      </c>
      <c r="B654" s="7" t="str">
        <f>Odds_Input!B654</f>
        <v>LDR_BPG</v>
      </c>
      <c r="C654" s="7" t="str">
        <f>Odds_Input!C654</f>
        <v>Khaman Maluach</v>
      </c>
      <c r="D654" s="7" t="str">
        <f>Odds_Input!D654</f>
        <v>YES</v>
      </c>
      <c r="E654" s="31" t="str">
        <f>Odds_Input!E654</f>
        <v>-</v>
      </c>
      <c r="F654" s="32">
        <f>Odds_Input!F654</f>
        <v>24000</v>
      </c>
      <c r="G654" s="6" t="str">
        <f t="shared" si="910"/>
        <v>LDR_BPG</v>
      </c>
      <c r="H654" s="14">
        <f t="shared" si="911"/>
        <v>241</v>
      </c>
      <c r="I654" s="33">
        <f t="shared" si="912"/>
        <v>4.1493775933609959E-3</v>
      </c>
      <c r="J654" s="17">
        <f t="shared" si="913"/>
        <v>1</v>
      </c>
      <c r="K654" s="17">
        <f t="shared" si="914"/>
        <v>31</v>
      </c>
      <c r="L654" s="18">
        <f t="shared" si="915"/>
        <v>1.1938902107622367</v>
      </c>
      <c r="M654" s="34">
        <f t="shared" si="916"/>
        <v>0.19389021076223667</v>
      </c>
      <c r="N654" s="33">
        <f t="shared" si="917"/>
        <v>3.4755101900968218E-3</v>
      </c>
      <c r="O654" s="33">
        <f t="shared" si="918"/>
        <v>1.5509753305456555E-3</v>
      </c>
      <c r="P654" s="33">
        <f t="shared" si="919"/>
        <v>1.3671974053165552E-3</v>
      </c>
      <c r="Q654" s="33">
        <f t="shared" si="920"/>
        <v>1.3671974053165552E-3</v>
      </c>
      <c r="R654" s="35">
        <f t="shared" si="921"/>
        <v>1.1794185598613693</v>
      </c>
      <c r="S654" s="35">
        <f t="shared" si="922"/>
        <v>9.1933760531487663E-3</v>
      </c>
    </row>
    <row r="655" spans="1:19" ht="15" customHeight="1" x14ac:dyDescent="0.3">
      <c r="A655" s="30">
        <f>Odds_Input!A655</f>
        <v>647</v>
      </c>
      <c r="B655" s="7" t="str">
        <f>Odds_Input!B655</f>
        <v>LDR_BPG</v>
      </c>
      <c r="C655" s="7" t="str">
        <f>Odds_Input!C655</f>
        <v>Robert Williams</v>
      </c>
      <c r="D655" s="7" t="str">
        <f>Odds_Input!D655</f>
        <v>YES</v>
      </c>
      <c r="E655" s="31" t="str">
        <f>Odds_Input!E655</f>
        <v>-</v>
      </c>
      <c r="F655" s="32">
        <f>Odds_Input!F655</f>
        <v>25000</v>
      </c>
      <c r="G655" s="6" t="str">
        <f t="shared" si="910"/>
        <v>LDR_BPG</v>
      </c>
      <c r="H655" s="14">
        <f t="shared" si="911"/>
        <v>251</v>
      </c>
      <c r="I655" s="33">
        <f t="shared" si="912"/>
        <v>3.9840637450199202E-3</v>
      </c>
      <c r="J655" s="17">
        <f t="shared" si="913"/>
        <v>1</v>
      </c>
      <c r="K655" s="17">
        <f t="shared" si="914"/>
        <v>31</v>
      </c>
      <c r="L655" s="18">
        <f t="shared" si="915"/>
        <v>1.1938902107622367</v>
      </c>
      <c r="M655" s="34">
        <f t="shared" si="916"/>
        <v>0.19389021076223667</v>
      </c>
      <c r="N655" s="33">
        <f t="shared" si="917"/>
        <v>3.3370436486587014E-3</v>
      </c>
      <c r="O655" s="33">
        <f t="shared" si="918"/>
        <v>1.4783602449160186E-3</v>
      </c>
      <c r="P655" s="33">
        <f t="shared" si="919"/>
        <v>1.2718216645289675E-3</v>
      </c>
      <c r="Q655" s="33">
        <f t="shared" si="920"/>
        <v>1.2718216645289675E-3</v>
      </c>
      <c r="R655" s="35">
        <f t="shared" si="921"/>
        <v>1.1794185598613693</v>
      </c>
      <c r="S655" s="35">
        <f t="shared" si="922"/>
        <v>9.1933760531487663E-3</v>
      </c>
    </row>
    <row r="656" spans="1:19" ht="15" customHeight="1" x14ac:dyDescent="0.3">
      <c r="A656" s="30">
        <f>Odds_Input!A656</f>
        <v>648</v>
      </c>
      <c r="B656" s="7" t="str">
        <f>Odds_Input!B656</f>
        <v>LDR_BPG</v>
      </c>
      <c r="C656" s="7" t="str">
        <f>Odds_Input!C656</f>
        <v>Giannis Antetokounmpo</v>
      </c>
      <c r="D656" s="7" t="str">
        <f>Odds_Input!D656</f>
        <v>YES</v>
      </c>
      <c r="E656" s="31" t="str">
        <f>Odds_Input!E656</f>
        <v>-</v>
      </c>
      <c r="F656" s="32">
        <f>Odds_Input!F656</f>
        <v>25000</v>
      </c>
      <c r="G656" s="6" t="str">
        <f t="shared" si="910"/>
        <v>LDR_BPG</v>
      </c>
      <c r="H656" s="14">
        <f t="shared" si="911"/>
        <v>251</v>
      </c>
      <c r="I656" s="33">
        <f t="shared" si="912"/>
        <v>3.9840637450199202E-3</v>
      </c>
      <c r="J656" s="17">
        <f t="shared" si="913"/>
        <v>1</v>
      </c>
      <c r="K656" s="17">
        <f t="shared" si="914"/>
        <v>31</v>
      </c>
      <c r="L656" s="18">
        <f t="shared" si="915"/>
        <v>1.1938902107622367</v>
      </c>
      <c r="M656" s="34">
        <f t="shared" si="916"/>
        <v>0.19389021076223667</v>
      </c>
      <c r="N656" s="33">
        <f t="shared" si="917"/>
        <v>3.3370436486587014E-3</v>
      </c>
      <c r="O656" s="33">
        <f t="shared" si="918"/>
        <v>1.4783602449160186E-3</v>
      </c>
      <c r="P656" s="33">
        <f t="shared" si="919"/>
        <v>1.2718216645289675E-3</v>
      </c>
      <c r="Q656" s="33">
        <f t="shared" si="920"/>
        <v>1.2718216645289675E-3</v>
      </c>
      <c r="R656" s="35">
        <f t="shared" si="921"/>
        <v>1.1794185598613693</v>
      </c>
      <c r="S656" s="35">
        <f t="shared" si="922"/>
        <v>9.1933760531487663E-3</v>
      </c>
    </row>
    <row r="657" spans="1:19" ht="15" customHeight="1" x14ac:dyDescent="0.3">
      <c r="A657" s="30">
        <f>Odds_Input!A657</f>
        <v>649</v>
      </c>
      <c r="B657" s="7" t="str">
        <f>Odds_Input!B657</f>
        <v>LDR_BPG</v>
      </c>
      <c r="C657" s="7" t="str">
        <f>Odds_Input!C657</f>
        <v>Kristaps Porzingis</v>
      </c>
      <c r="D657" s="7" t="str">
        <f>Odds_Input!D657</f>
        <v>YES</v>
      </c>
      <c r="E657" s="31" t="str">
        <f>Odds_Input!E657</f>
        <v>-</v>
      </c>
      <c r="F657" s="32">
        <f>Odds_Input!F657</f>
        <v>25000</v>
      </c>
      <c r="G657" s="6" t="str">
        <f t="shared" si="910"/>
        <v>LDR_BPG</v>
      </c>
      <c r="H657" s="14">
        <f t="shared" si="911"/>
        <v>251</v>
      </c>
      <c r="I657" s="33">
        <f t="shared" si="912"/>
        <v>3.9840637450199202E-3</v>
      </c>
      <c r="J657" s="17">
        <f t="shared" si="913"/>
        <v>1</v>
      </c>
      <c r="K657" s="17">
        <f t="shared" si="914"/>
        <v>31</v>
      </c>
      <c r="L657" s="18">
        <f t="shared" si="915"/>
        <v>1.1938902107622367</v>
      </c>
      <c r="M657" s="34">
        <f t="shared" si="916"/>
        <v>0.19389021076223667</v>
      </c>
      <c r="N657" s="33">
        <f t="shared" si="917"/>
        <v>3.3370436486587014E-3</v>
      </c>
      <c r="O657" s="33">
        <f t="shared" si="918"/>
        <v>1.4783602449160186E-3</v>
      </c>
      <c r="P657" s="33">
        <f t="shared" si="919"/>
        <v>1.2718216645289675E-3</v>
      </c>
      <c r="Q657" s="33">
        <f t="shared" si="920"/>
        <v>1.2718216645289675E-3</v>
      </c>
      <c r="R657" s="35">
        <f t="shared" si="921"/>
        <v>1.1794185598613693</v>
      </c>
      <c r="S657" s="35">
        <f t="shared" si="922"/>
        <v>9.1933760531487663E-3</v>
      </c>
    </row>
    <row r="658" spans="1:19" ht="15" customHeight="1" x14ac:dyDescent="0.3">
      <c r="A658" s="30">
        <f>Odds_Input!A658</f>
        <v>650</v>
      </c>
      <c r="B658" s="7" t="str">
        <f>Odds_Input!B658</f>
        <v>LDR_BPG</v>
      </c>
      <c r="C658" s="7" t="str">
        <f>Odds_Input!C658</f>
        <v>Collin Murray Boyles</v>
      </c>
      <c r="D658" s="7" t="str">
        <f>Odds_Input!D658</f>
        <v>YES</v>
      </c>
      <c r="E658" s="31" t="str">
        <f>Odds_Input!E658</f>
        <v>-</v>
      </c>
      <c r="F658" s="32">
        <f>Odds_Input!F658</f>
        <v>25000</v>
      </c>
      <c r="G658" s="6" t="str">
        <f t="shared" si="910"/>
        <v>LDR_BPG</v>
      </c>
      <c r="H658" s="14">
        <f t="shared" si="911"/>
        <v>251</v>
      </c>
      <c r="I658" s="33">
        <f t="shared" si="912"/>
        <v>3.9840637450199202E-3</v>
      </c>
      <c r="J658" s="17">
        <f t="shared" si="913"/>
        <v>1</v>
      </c>
      <c r="K658" s="17">
        <f t="shared" si="914"/>
        <v>31</v>
      </c>
      <c r="L658" s="18">
        <f t="shared" si="915"/>
        <v>1.1938902107622367</v>
      </c>
      <c r="M658" s="34">
        <f t="shared" si="916"/>
        <v>0.19389021076223667</v>
      </c>
      <c r="N658" s="33">
        <f t="shared" si="917"/>
        <v>3.3370436486587014E-3</v>
      </c>
      <c r="O658" s="33">
        <f t="shared" si="918"/>
        <v>1.4783602449160186E-3</v>
      </c>
      <c r="P658" s="33">
        <f t="shared" si="919"/>
        <v>1.2718216645289675E-3</v>
      </c>
      <c r="Q658" s="33">
        <f t="shared" si="920"/>
        <v>1.2718216645289675E-3</v>
      </c>
      <c r="R658" s="35">
        <f t="shared" si="921"/>
        <v>1.1794185598613693</v>
      </c>
      <c r="S658" s="35">
        <f t="shared" si="922"/>
        <v>9.1933760531487663E-3</v>
      </c>
    </row>
    <row r="659" spans="1:19" ht="15" customHeight="1" x14ac:dyDescent="0.3">
      <c r="A659" s="30">
        <f>Odds_Input!A659</f>
        <v>651</v>
      </c>
      <c r="B659" s="7" t="str">
        <f>Odds_Input!B659</f>
        <v>LDR_BPG</v>
      </c>
      <c r="C659" s="7" t="str">
        <f>Odds_Input!C659</f>
        <v>Neemias Queta</v>
      </c>
      <c r="D659" s="7" t="str">
        <f>Odds_Input!D659</f>
        <v>YES</v>
      </c>
      <c r="E659" s="31" t="str">
        <f>Odds_Input!E659</f>
        <v>-</v>
      </c>
      <c r="F659" s="32">
        <f>Odds_Input!F659</f>
        <v>25000</v>
      </c>
      <c r="G659" s="6" t="str">
        <f t="shared" si="910"/>
        <v>LDR_BPG</v>
      </c>
      <c r="H659" s="14">
        <f t="shared" si="911"/>
        <v>251</v>
      </c>
      <c r="I659" s="33">
        <f t="shared" si="912"/>
        <v>3.9840637450199202E-3</v>
      </c>
      <c r="J659" s="17">
        <f t="shared" si="913"/>
        <v>1</v>
      </c>
      <c r="K659" s="17">
        <f t="shared" si="914"/>
        <v>31</v>
      </c>
      <c r="L659" s="18">
        <f t="shared" si="915"/>
        <v>1.1938902107622367</v>
      </c>
      <c r="M659" s="34">
        <f t="shared" si="916"/>
        <v>0.19389021076223667</v>
      </c>
      <c r="N659" s="33">
        <f t="shared" si="917"/>
        <v>3.3370436486587014E-3</v>
      </c>
      <c r="O659" s="33">
        <f t="shared" si="918"/>
        <v>1.4783602449160186E-3</v>
      </c>
      <c r="P659" s="33">
        <f t="shared" si="919"/>
        <v>1.2718216645289675E-3</v>
      </c>
      <c r="Q659" s="33">
        <f t="shared" si="920"/>
        <v>1.2718216645289675E-3</v>
      </c>
      <c r="R659" s="35">
        <f t="shared" si="921"/>
        <v>1.1794185598613693</v>
      </c>
      <c r="S659" s="35">
        <f t="shared" si="922"/>
        <v>9.1933760531487663E-3</v>
      </c>
    </row>
    <row r="660" spans="1:19" ht="15" customHeight="1" x14ac:dyDescent="0.3">
      <c r="A660" s="30">
        <f>Odds_Input!A660</f>
        <v>652</v>
      </c>
      <c r="B660" s="7" t="str">
        <f>Odds_Input!B660</f>
        <v>LDR_BPG</v>
      </c>
      <c r="C660" s="7" t="str">
        <f>Odds_Input!C660</f>
        <v>Joel Embiid</v>
      </c>
      <c r="D660" s="7" t="str">
        <f>Odds_Input!D660</f>
        <v>YES</v>
      </c>
      <c r="E660" s="31" t="str">
        <f>Odds_Input!E660</f>
        <v>-</v>
      </c>
      <c r="F660" s="32">
        <f>Odds_Input!F660</f>
        <v>25000</v>
      </c>
      <c r="G660" s="6" t="str">
        <f t="shared" si="910"/>
        <v>LDR_BPG</v>
      </c>
      <c r="H660" s="14">
        <f t="shared" si="911"/>
        <v>251</v>
      </c>
      <c r="I660" s="33">
        <f t="shared" si="912"/>
        <v>3.9840637450199202E-3</v>
      </c>
      <c r="J660" s="17">
        <f t="shared" si="913"/>
        <v>1</v>
      </c>
      <c r="K660" s="17">
        <f t="shared" si="914"/>
        <v>31</v>
      </c>
      <c r="L660" s="18">
        <f t="shared" si="915"/>
        <v>1.1938902107622367</v>
      </c>
      <c r="M660" s="34">
        <f t="shared" si="916"/>
        <v>0.19389021076223667</v>
      </c>
      <c r="N660" s="33">
        <f t="shared" si="917"/>
        <v>3.3370436486587014E-3</v>
      </c>
      <c r="O660" s="33">
        <f t="shared" si="918"/>
        <v>1.4783602449160186E-3</v>
      </c>
      <c r="P660" s="33">
        <f t="shared" si="919"/>
        <v>1.2718216645289675E-3</v>
      </c>
      <c r="Q660" s="33">
        <f t="shared" si="920"/>
        <v>1.2718216645289675E-3</v>
      </c>
      <c r="R660" s="35">
        <f t="shared" si="921"/>
        <v>1.1794185598613693</v>
      </c>
      <c r="S660" s="35">
        <f t="shared" si="922"/>
        <v>9.1933760531487663E-3</v>
      </c>
    </row>
    <row r="661" spans="1:19" ht="15" customHeight="1" x14ac:dyDescent="0.3">
      <c r="A661" s="30">
        <f>Odds_Input!A661</f>
        <v>653</v>
      </c>
      <c r="B661" s="7" t="str">
        <f>Odds_Input!B661</f>
        <v>LDR_BPG</v>
      </c>
      <c r="C661" s="7" t="str">
        <f>Odds_Input!C661</f>
        <v>Matas Buzelis</v>
      </c>
      <c r="D661" s="7" t="str">
        <f>Odds_Input!D661</f>
        <v>YES</v>
      </c>
      <c r="E661" s="31" t="str">
        <f>Odds_Input!E661</f>
        <v>-</v>
      </c>
      <c r="F661" s="32">
        <f>Odds_Input!F661</f>
        <v>25000</v>
      </c>
      <c r="G661" s="6" t="str">
        <f t="shared" si="910"/>
        <v>LDR_BPG</v>
      </c>
      <c r="H661" s="14">
        <f t="shared" si="911"/>
        <v>251</v>
      </c>
      <c r="I661" s="33">
        <f t="shared" si="912"/>
        <v>3.9840637450199202E-3</v>
      </c>
      <c r="J661" s="17">
        <f t="shared" si="913"/>
        <v>1</v>
      </c>
      <c r="K661" s="17">
        <f t="shared" si="914"/>
        <v>31</v>
      </c>
      <c r="L661" s="18">
        <f t="shared" si="915"/>
        <v>1.1938902107622367</v>
      </c>
      <c r="M661" s="34">
        <f t="shared" si="916"/>
        <v>0.19389021076223667</v>
      </c>
      <c r="N661" s="33">
        <f t="shared" si="917"/>
        <v>3.3370436486587014E-3</v>
      </c>
      <c r="O661" s="33">
        <f t="shared" si="918"/>
        <v>1.4783602449160186E-3</v>
      </c>
      <c r="P661" s="33">
        <f t="shared" si="919"/>
        <v>1.2718216645289675E-3</v>
      </c>
      <c r="Q661" s="33">
        <f t="shared" si="920"/>
        <v>1.2718216645289675E-3</v>
      </c>
      <c r="R661" s="35">
        <f t="shared" si="921"/>
        <v>1.1794185598613693</v>
      </c>
      <c r="S661" s="35">
        <f t="shared" si="922"/>
        <v>9.1933760531487663E-3</v>
      </c>
    </row>
    <row r="662" spans="1:19" ht="15" customHeight="1" x14ac:dyDescent="0.3">
      <c r="A662" s="30">
        <f>Odds_Input!A662</f>
        <v>654</v>
      </c>
      <c r="B662" s="7" t="str">
        <f>Odds_Input!B662</f>
        <v>LDR_TPG</v>
      </c>
      <c r="C662" s="7" t="str">
        <f>Odds_Input!C662</f>
        <v>Stephen Curry</v>
      </c>
      <c r="D662" s="7" t="str">
        <f>Odds_Input!D662</f>
        <v>YES</v>
      </c>
      <c r="E662" s="31" t="str">
        <f>Odds_Input!E662</f>
        <v>-</v>
      </c>
      <c r="F662" s="32">
        <f>Odds_Input!F662</f>
        <v>-125</v>
      </c>
      <c r="G662" s="6" t="str">
        <f t="shared" si="910"/>
        <v>LDR_TPG</v>
      </c>
      <c r="H662" s="14">
        <f t="shared" si="911"/>
        <v>1.8</v>
      </c>
      <c r="I662" s="33">
        <f t="shared" si="912"/>
        <v>0.55555555555555558</v>
      </c>
      <c r="J662" s="17">
        <f t="shared" si="913"/>
        <v>1</v>
      </c>
      <c r="K662" s="17">
        <f t="shared" si="914"/>
        <v>33</v>
      </c>
      <c r="L662" s="18">
        <f t="shared" si="915"/>
        <v>1.2219997865534908</v>
      </c>
      <c r="M662" s="34">
        <f t="shared" si="916"/>
        <v>0.22199978655349084</v>
      </c>
      <c r="N662" s="33">
        <f t="shared" si="917"/>
        <v>0.45462819361240303</v>
      </c>
      <c r="O662" s="33">
        <f t="shared" si="918"/>
        <v>0.52019198804400113</v>
      </c>
      <c r="P662" s="33">
        <f t="shared" si="919"/>
        <v>0.50033643325526311</v>
      </c>
      <c r="Q662" s="33">
        <f t="shared" si="920"/>
        <v>0.50033643325526311</v>
      </c>
      <c r="R662" s="35">
        <f t="shared" si="921"/>
        <v>1.1118954661535101</v>
      </c>
      <c r="S662" s="35">
        <f t="shared" si="922"/>
        <v>8.9386929708229167E-3</v>
      </c>
    </row>
    <row r="663" spans="1:19" ht="15" customHeight="1" x14ac:dyDescent="0.3">
      <c r="A663" s="30">
        <f>Odds_Input!A663</f>
        <v>655</v>
      </c>
      <c r="B663" s="7" t="str">
        <f>Odds_Input!B663</f>
        <v>LDR_TPG</v>
      </c>
      <c r="C663" s="7" t="str">
        <f>Odds_Input!C663</f>
        <v>Luka Doncic</v>
      </c>
      <c r="D663" s="7" t="str">
        <f>Odds_Input!D663</f>
        <v>YES</v>
      </c>
      <c r="E663" s="31" t="str">
        <f>Odds_Input!E663</f>
        <v>-</v>
      </c>
      <c r="F663" s="32">
        <f>Odds_Input!F663</f>
        <v>350</v>
      </c>
      <c r="G663" s="6" t="str">
        <f t="shared" si="910"/>
        <v>LDR_TPG</v>
      </c>
      <c r="H663" s="14">
        <f t="shared" si="911"/>
        <v>4.5</v>
      </c>
      <c r="I663" s="33">
        <f t="shared" si="912"/>
        <v>0.22222222222222221</v>
      </c>
      <c r="J663" s="17">
        <f t="shared" si="913"/>
        <v>1</v>
      </c>
      <c r="K663" s="17">
        <f t="shared" si="914"/>
        <v>33</v>
      </c>
      <c r="L663" s="18">
        <f t="shared" si="915"/>
        <v>1.2219997865534908</v>
      </c>
      <c r="M663" s="34">
        <f t="shared" si="916"/>
        <v>0.22199978655349084</v>
      </c>
      <c r="N663" s="33">
        <f t="shared" si="917"/>
        <v>0.18185127744496118</v>
      </c>
      <c r="O663" s="33">
        <f t="shared" si="918"/>
        <v>0.18780016413510475</v>
      </c>
      <c r="P663" s="33">
        <f t="shared" si="919"/>
        <v>0.19747107247302162</v>
      </c>
      <c r="Q663" s="33">
        <f t="shared" si="920"/>
        <v>0.19747107247302162</v>
      </c>
      <c r="R663" s="35">
        <f t="shared" si="921"/>
        <v>1.1118954661535101</v>
      </c>
      <c r="S663" s="35">
        <f t="shared" si="922"/>
        <v>8.9386929708229167E-3</v>
      </c>
    </row>
    <row r="664" spans="1:19" ht="15" customHeight="1" x14ac:dyDescent="0.3">
      <c r="A664" s="30">
        <f>Odds_Input!A664</f>
        <v>656</v>
      </c>
      <c r="B664" s="7" t="str">
        <f>Odds_Input!B664</f>
        <v>LDR_TPG</v>
      </c>
      <c r="C664" s="7" t="str">
        <f>Odds_Input!C664</f>
        <v>LaMelo Ball</v>
      </c>
      <c r="D664" s="7" t="str">
        <f>Odds_Input!D664</f>
        <v>YES</v>
      </c>
      <c r="E664" s="31" t="str">
        <f>Odds_Input!E664</f>
        <v>-</v>
      </c>
      <c r="F664" s="32">
        <f>Odds_Input!F664</f>
        <v>1100</v>
      </c>
      <c r="G664" s="6" t="str">
        <f t="shared" si="910"/>
        <v>LDR_TPG</v>
      </c>
      <c r="H664" s="14">
        <f t="shared" si="911"/>
        <v>12</v>
      </c>
      <c r="I664" s="33">
        <f t="shared" si="912"/>
        <v>8.3333333333333329E-2</v>
      </c>
      <c r="J664" s="17">
        <f t="shared" si="913"/>
        <v>1</v>
      </c>
      <c r="K664" s="17">
        <f t="shared" si="914"/>
        <v>33</v>
      </c>
      <c r="L664" s="18">
        <f t="shared" si="915"/>
        <v>1.2219997865534908</v>
      </c>
      <c r="M664" s="34">
        <f t="shared" si="916"/>
        <v>0.22199978655349084</v>
      </c>
      <c r="N664" s="33">
        <f t="shared" si="917"/>
        <v>6.8194229041860441E-2</v>
      </c>
      <c r="O664" s="33">
        <f t="shared" si="918"/>
        <v>6.3104926517902435E-2</v>
      </c>
      <c r="P664" s="33">
        <f t="shared" si="919"/>
        <v>7.1348400362280837E-2</v>
      </c>
      <c r="Q664" s="33">
        <f t="shared" si="920"/>
        <v>7.1348400362280837E-2</v>
      </c>
      <c r="R664" s="35">
        <f t="shared" si="921"/>
        <v>1.1118954661535101</v>
      </c>
      <c r="S664" s="35">
        <f t="shared" si="922"/>
        <v>8.9386929708229167E-3</v>
      </c>
    </row>
    <row r="665" spans="1:19" ht="15" customHeight="1" x14ac:dyDescent="0.3">
      <c r="A665" s="30">
        <f>Odds_Input!A665</f>
        <v>657</v>
      </c>
      <c r="B665" s="7" t="str">
        <f>Odds_Input!B665</f>
        <v>LDR_TPG</v>
      </c>
      <c r="C665" s="7" t="str">
        <f>Odds_Input!C665</f>
        <v>Kon Knueppel</v>
      </c>
      <c r="D665" s="7" t="str">
        <f>Odds_Input!D665</f>
        <v>YES</v>
      </c>
      <c r="E665" s="31" t="str">
        <f>Odds_Input!E665</f>
        <v>-</v>
      </c>
      <c r="F665" s="32">
        <f>Odds_Input!F665</f>
        <v>2000</v>
      </c>
      <c r="G665" s="6" t="str">
        <f t="shared" si="910"/>
        <v>LDR_TPG</v>
      </c>
      <c r="H665" s="14">
        <f t="shared" si="911"/>
        <v>21</v>
      </c>
      <c r="I665" s="33">
        <f t="shared" si="912"/>
        <v>4.7619047619047616E-2</v>
      </c>
      <c r="J665" s="17">
        <f t="shared" si="913"/>
        <v>1</v>
      </c>
      <c r="K665" s="17">
        <f t="shared" si="914"/>
        <v>33</v>
      </c>
      <c r="L665" s="18">
        <f t="shared" si="915"/>
        <v>1.2219997865534908</v>
      </c>
      <c r="M665" s="34">
        <f t="shared" si="916"/>
        <v>0.22199978655349084</v>
      </c>
      <c r="N665" s="33">
        <f t="shared" si="917"/>
        <v>3.8968130881063108E-2</v>
      </c>
      <c r="O665" s="33">
        <f t="shared" si="918"/>
        <v>3.3871182660966628E-2</v>
      </c>
      <c r="P665" s="33">
        <f t="shared" si="919"/>
        <v>3.8995500843826275E-2</v>
      </c>
      <c r="Q665" s="33">
        <f t="shared" si="920"/>
        <v>3.8995500843826275E-2</v>
      </c>
      <c r="R665" s="35">
        <f t="shared" si="921"/>
        <v>1.1118954661535101</v>
      </c>
      <c r="S665" s="35">
        <f t="shared" si="922"/>
        <v>8.9386929708229167E-3</v>
      </c>
    </row>
    <row r="666" spans="1:19" ht="15" customHeight="1" x14ac:dyDescent="0.3">
      <c r="A666" s="30">
        <f>Odds_Input!A666</f>
        <v>658</v>
      </c>
      <c r="B666" s="7" t="str">
        <f>Odds_Input!B666</f>
        <v>LDR_TPG</v>
      </c>
      <c r="C666" s="7" t="str">
        <f>Odds_Input!C666</f>
        <v>Anthony Edwards</v>
      </c>
      <c r="D666" s="7" t="str">
        <f>Odds_Input!D666</f>
        <v>YES</v>
      </c>
      <c r="E666" s="31" t="str">
        <f>Odds_Input!E666</f>
        <v>-</v>
      </c>
      <c r="F666" s="32">
        <f>Odds_Input!F666</f>
        <v>1900</v>
      </c>
      <c r="G666" s="6" t="str">
        <f t="shared" si="910"/>
        <v>LDR_TPG</v>
      </c>
      <c r="H666" s="14">
        <f t="shared" si="911"/>
        <v>20</v>
      </c>
      <c r="I666" s="33">
        <f t="shared" si="912"/>
        <v>0.05</v>
      </c>
      <c r="J666" s="17">
        <f t="shared" si="913"/>
        <v>1</v>
      </c>
      <c r="K666" s="17">
        <f t="shared" si="914"/>
        <v>33</v>
      </c>
      <c r="L666" s="18">
        <f t="shared" si="915"/>
        <v>1.2219997865534908</v>
      </c>
      <c r="M666" s="34">
        <f t="shared" si="916"/>
        <v>0.22199978655349084</v>
      </c>
      <c r="N666" s="33">
        <f t="shared" si="917"/>
        <v>4.0916537425116271E-2</v>
      </c>
      <c r="O666" s="33">
        <f t="shared" si="918"/>
        <v>3.5759434849935476E-2</v>
      </c>
      <c r="P666" s="33">
        <f t="shared" si="919"/>
        <v>4.1147936436293088E-2</v>
      </c>
      <c r="Q666" s="33">
        <f t="shared" si="920"/>
        <v>4.1147936436293088E-2</v>
      </c>
      <c r="R666" s="35">
        <f t="shared" si="921"/>
        <v>1.1118954661535101</v>
      </c>
      <c r="S666" s="35">
        <f t="shared" si="922"/>
        <v>8.9386929708229167E-3</v>
      </c>
    </row>
    <row r="667" spans="1:19" ht="15" customHeight="1" x14ac:dyDescent="0.3">
      <c r="A667" s="30">
        <f>Odds_Input!A667</f>
        <v>659</v>
      </c>
      <c r="B667" s="7" t="str">
        <f>Odds_Input!B667</f>
        <v>LDR_TPG</v>
      </c>
      <c r="C667" s="7" t="str">
        <f>Odds_Input!C667</f>
        <v>Brandon Miller</v>
      </c>
      <c r="D667" s="7" t="str">
        <f>Odds_Input!D667</f>
        <v>YES</v>
      </c>
      <c r="E667" s="31" t="str">
        <f>Odds_Input!E667</f>
        <v>-</v>
      </c>
      <c r="F667" s="32">
        <f>Odds_Input!F667</f>
        <v>3500</v>
      </c>
      <c r="G667" s="6" t="str">
        <f t="shared" si="910"/>
        <v>LDR_TPG</v>
      </c>
      <c r="H667" s="14">
        <f t="shared" si="911"/>
        <v>36</v>
      </c>
      <c r="I667" s="33">
        <f t="shared" si="912"/>
        <v>2.7777777777777776E-2</v>
      </c>
      <c r="J667" s="17">
        <f t="shared" si="913"/>
        <v>1</v>
      </c>
      <c r="K667" s="17">
        <f t="shared" si="914"/>
        <v>33</v>
      </c>
      <c r="L667" s="18">
        <f t="shared" si="915"/>
        <v>1.2219997865534908</v>
      </c>
      <c r="M667" s="34">
        <f t="shared" si="916"/>
        <v>0.22199978655349084</v>
      </c>
      <c r="N667" s="33">
        <f t="shared" si="917"/>
        <v>2.2731409680620148E-2</v>
      </c>
      <c r="O667" s="33">
        <f t="shared" si="918"/>
        <v>1.860177150591787E-2</v>
      </c>
      <c r="P667" s="33">
        <f t="shared" si="919"/>
        <v>2.1131327846072922E-2</v>
      </c>
      <c r="Q667" s="33">
        <f t="shared" si="920"/>
        <v>2.1131327846072922E-2</v>
      </c>
      <c r="R667" s="35">
        <f t="shared" si="921"/>
        <v>1.1118954661535101</v>
      </c>
      <c r="S667" s="35">
        <f t="shared" si="922"/>
        <v>8.9386929708229167E-3</v>
      </c>
    </row>
    <row r="668" spans="1:19" ht="15" customHeight="1" x14ac:dyDescent="0.3">
      <c r="A668" s="30">
        <f>Odds_Input!A668</f>
        <v>660</v>
      </c>
      <c r="B668" s="7" t="str">
        <f>Odds_Input!B668</f>
        <v>LDR_TPG</v>
      </c>
      <c r="C668" s="7" t="str">
        <f>Odds_Input!C668</f>
        <v>Michael Porter Jr</v>
      </c>
      <c r="D668" s="7" t="str">
        <f>Odds_Input!D668</f>
        <v>YES</v>
      </c>
      <c r="E668" s="31" t="str">
        <f>Odds_Input!E668</f>
        <v>-</v>
      </c>
      <c r="F668" s="32">
        <f>Odds_Input!F668</f>
        <v>3800</v>
      </c>
      <c r="G668" s="6" t="str">
        <f t="shared" si="910"/>
        <v>LDR_TPG</v>
      </c>
      <c r="H668" s="14">
        <f t="shared" si="911"/>
        <v>39</v>
      </c>
      <c r="I668" s="33">
        <f t="shared" si="912"/>
        <v>2.564102564102564E-2</v>
      </c>
      <c r="J668" s="17">
        <f t="shared" si="913"/>
        <v>1</v>
      </c>
      <c r="K668" s="17">
        <f t="shared" si="914"/>
        <v>33</v>
      </c>
      <c r="L668" s="18">
        <f t="shared" si="915"/>
        <v>1.2219997865534908</v>
      </c>
      <c r="M668" s="34">
        <f t="shared" si="916"/>
        <v>0.22199978655349084</v>
      </c>
      <c r="N668" s="33">
        <f t="shared" si="917"/>
        <v>2.0982839705187828E-2</v>
      </c>
      <c r="O668" s="33">
        <f t="shared" si="918"/>
        <v>1.7017763234456092E-2</v>
      </c>
      <c r="P668" s="33">
        <f t="shared" si="919"/>
        <v>1.9222412549950295E-2</v>
      </c>
      <c r="Q668" s="33">
        <f t="shared" si="920"/>
        <v>1.9222412549950295E-2</v>
      </c>
      <c r="R668" s="35">
        <f t="shared" si="921"/>
        <v>1.1118954661535101</v>
      </c>
      <c r="S668" s="35">
        <f t="shared" si="922"/>
        <v>8.9386929708229167E-3</v>
      </c>
    </row>
    <row r="669" spans="1:19" ht="15" customHeight="1" x14ac:dyDescent="0.3">
      <c r="A669" s="30">
        <f>Odds_Input!A669</f>
        <v>661</v>
      </c>
      <c r="B669" s="7" t="str">
        <f>Odds_Input!B669</f>
        <v>LDR_TPG</v>
      </c>
      <c r="C669" s="7" t="str">
        <f>Odds_Input!C669</f>
        <v>Jayson Tatum</v>
      </c>
      <c r="D669" s="7" t="str">
        <f>Odds_Input!D669</f>
        <v>YES</v>
      </c>
      <c r="E669" s="31" t="str">
        <f>Odds_Input!E669</f>
        <v>-</v>
      </c>
      <c r="F669" s="32">
        <f>Odds_Input!F669</f>
        <v>6500</v>
      </c>
      <c r="G669" s="6" t="str">
        <f t="shared" si="910"/>
        <v>LDR_TPG</v>
      </c>
      <c r="H669" s="14">
        <f t="shared" si="911"/>
        <v>66</v>
      </c>
      <c r="I669" s="33">
        <f t="shared" si="912"/>
        <v>1.5151515151515152E-2</v>
      </c>
      <c r="J669" s="17">
        <f t="shared" si="913"/>
        <v>1</v>
      </c>
      <c r="K669" s="17">
        <f t="shared" si="914"/>
        <v>33</v>
      </c>
      <c r="L669" s="18">
        <f t="shared" si="915"/>
        <v>1.2219997865534908</v>
      </c>
      <c r="M669" s="34">
        <f t="shared" si="916"/>
        <v>0.22199978655349084</v>
      </c>
      <c r="N669" s="33">
        <f t="shared" si="917"/>
        <v>1.2398950734883719E-2</v>
      </c>
      <c r="O669" s="33">
        <f t="shared" si="918"/>
        <v>9.4810698812819016E-3</v>
      </c>
      <c r="P669" s="33">
        <f t="shared" si="919"/>
        <v>9.9780720166622455E-3</v>
      </c>
      <c r="Q669" s="33">
        <f t="shared" si="920"/>
        <v>9.9780720166622455E-3</v>
      </c>
      <c r="R669" s="35">
        <f t="shared" si="921"/>
        <v>1.1118954661535101</v>
      </c>
      <c r="S669" s="35">
        <f t="shared" si="922"/>
        <v>8.9386929708229167E-3</v>
      </c>
    </row>
    <row r="670" spans="1:19" ht="15" customHeight="1" x14ac:dyDescent="0.3">
      <c r="A670" s="30">
        <f>Odds_Input!A670</f>
        <v>662</v>
      </c>
      <c r="B670" s="7" t="str">
        <f>Odds_Input!B670</f>
        <v>LDR_TPG</v>
      </c>
      <c r="C670" s="7" t="str">
        <f>Odds_Input!C670</f>
        <v>Trey Murphy III</v>
      </c>
      <c r="D670" s="7" t="str">
        <f>Odds_Input!D670</f>
        <v>YES</v>
      </c>
      <c r="E670" s="31" t="str">
        <f>Odds_Input!E670</f>
        <v>-</v>
      </c>
      <c r="F670" s="32">
        <f>Odds_Input!F670</f>
        <v>8000</v>
      </c>
      <c r="G670" s="6" t="str">
        <f t="shared" si="910"/>
        <v>LDR_TPG</v>
      </c>
      <c r="H670" s="14">
        <f t="shared" si="911"/>
        <v>81</v>
      </c>
      <c r="I670" s="33">
        <f t="shared" si="912"/>
        <v>1.2345679012345678E-2</v>
      </c>
      <c r="J670" s="17">
        <f t="shared" si="913"/>
        <v>1</v>
      </c>
      <c r="K670" s="17">
        <f t="shared" si="914"/>
        <v>33</v>
      </c>
      <c r="L670" s="18">
        <f t="shared" si="915"/>
        <v>1.2219997865534908</v>
      </c>
      <c r="M670" s="34">
        <f t="shared" si="916"/>
        <v>0.22199978655349084</v>
      </c>
      <c r="N670" s="33">
        <f t="shared" si="917"/>
        <v>1.0102848746942289E-2</v>
      </c>
      <c r="O670" s="33">
        <f t="shared" si="918"/>
        <v>7.5502991701380745E-3</v>
      </c>
      <c r="P670" s="33">
        <f t="shared" si="919"/>
        <v>7.581185933724293E-3</v>
      </c>
      <c r="Q670" s="33">
        <f t="shared" si="920"/>
        <v>7.581185933724293E-3</v>
      </c>
      <c r="R670" s="35">
        <f t="shared" si="921"/>
        <v>1.1118954661535101</v>
      </c>
      <c r="S670" s="35">
        <f t="shared" si="922"/>
        <v>8.9386929708229167E-3</v>
      </c>
    </row>
    <row r="671" spans="1:19" ht="15" customHeight="1" x14ac:dyDescent="0.3">
      <c r="A671" s="30">
        <f>Odds_Input!A671</f>
        <v>663</v>
      </c>
      <c r="B671" s="7" t="str">
        <f>Odds_Input!B671</f>
        <v>LDR_TPG</v>
      </c>
      <c r="C671" s="7" t="str">
        <f>Odds_Input!C671</f>
        <v>Jamal Murray</v>
      </c>
      <c r="D671" s="7" t="str">
        <f>Odds_Input!D671</f>
        <v>YES</v>
      </c>
      <c r="E671" s="31" t="str">
        <f>Odds_Input!E671</f>
        <v>-</v>
      </c>
      <c r="F671" s="32">
        <f>Odds_Input!F671</f>
        <v>8500</v>
      </c>
      <c r="G671" s="6" t="str">
        <f t="shared" si="910"/>
        <v>LDR_TPG</v>
      </c>
      <c r="H671" s="14">
        <f t="shared" si="911"/>
        <v>86</v>
      </c>
      <c r="I671" s="33">
        <f t="shared" si="912"/>
        <v>1.1627906976744186E-2</v>
      </c>
      <c r="J671" s="17">
        <f t="shared" si="913"/>
        <v>1</v>
      </c>
      <c r="K671" s="17">
        <f t="shared" si="914"/>
        <v>33</v>
      </c>
      <c r="L671" s="18">
        <f t="shared" si="915"/>
        <v>1.2219997865534908</v>
      </c>
      <c r="M671" s="34">
        <f t="shared" si="916"/>
        <v>0.22199978655349084</v>
      </c>
      <c r="N671" s="33">
        <f t="shared" si="917"/>
        <v>9.5154738197944806E-3</v>
      </c>
      <c r="O671" s="33">
        <f t="shared" si="918"/>
        <v>7.0638251844319464E-3</v>
      </c>
      <c r="P671" s="33">
        <f t="shared" si="919"/>
        <v>6.9785976156981986E-3</v>
      </c>
      <c r="Q671" s="33">
        <f t="shared" si="920"/>
        <v>6.9785976156981986E-3</v>
      </c>
      <c r="R671" s="35">
        <f t="shared" si="921"/>
        <v>1.1118954661535101</v>
      </c>
      <c r="S671" s="35">
        <f t="shared" si="922"/>
        <v>8.9386929708229167E-3</v>
      </c>
    </row>
    <row r="672" spans="1:19" ht="15" customHeight="1" x14ac:dyDescent="0.3">
      <c r="A672" s="30">
        <f>Odds_Input!A672</f>
        <v>664</v>
      </c>
      <c r="B672" s="7" t="str">
        <f>Odds_Input!B672</f>
        <v>LDR_TPG</v>
      </c>
      <c r="C672" s="7" t="str">
        <f>Odds_Input!C672</f>
        <v>Donovan Mitchell</v>
      </c>
      <c r="D672" s="7" t="str">
        <f>Odds_Input!D672</f>
        <v>YES</v>
      </c>
      <c r="E672" s="31" t="str">
        <f>Odds_Input!E672</f>
        <v>-</v>
      </c>
      <c r="F672" s="32">
        <f>Odds_Input!F672</f>
        <v>6900</v>
      </c>
      <c r="G672" s="6" t="str">
        <f t="shared" si="910"/>
        <v>LDR_TPG</v>
      </c>
      <c r="H672" s="14">
        <f t="shared" si="911"/>
        <v>70</v>
      </c>
      <c r="I672" s="33">
        <f t="shared" si="912"/>
        <v>1.4285714285714285E-2</v>
      </c>
      <c r="J672" s="17">
        <f t="shared" si="913"/>
        <v>1</v>
      </c>
      <c r="K672" s="17">
        <f t="shared" si="914"/>
        <v>33</v>
      </c>
      <c r="L672" s="18">
        <f t="shared" si="915"/>
        <v>1.2219997865534908</v>
      </c>
      <c r="M672" s="34">
        <f t="shared" si="916"/>
        <v>0.22199978655349084</v>
      </c>
      <c r="N672" s="33">
        <f t="shared" si="917"/>
        <v>1.1690439264318933E-2</v>
      </c>
      <c r="O672" s="33">
        <f t="shared" si="918"/>
        <v>8.8806316068543618E-3</v>
      </c>
      <c r="P672" s="33">
        <f t="shared" si="919"/>
        <v>9.2325977231209107E-3</v>
      </c>
      <c r="Q672" s="33">
        <f t="shared" si="920"/>
        <v>9.2325977231209107E-3</v>
      </c>
      <c r="R672" s="35">
        <f t="shared" si="921"/>
        <v>1.1118954661535101</v>
      </c>
      <c r="S672" s="35">
        <f t="shared" si="922"/>
        <v>8.9386929708229167E-3</v>
      </c>
    </row>
    <row r="673" spans="1:19" ht="15" customHeight="1" x14ac:dyDescent="0.3">
      <c r="A673" s="30">
        <f>Odds_Input!A673</f>
        <v>665</v>
      </c>
      <c r="B673" s="7" t="str">
        <f>Odds_Input!B673</f>
        <v>LDR_TPG</v>
      </c>
      <c r="C673" s="7" t="str">
        <f>Odds_Input!C673</f>
        <v>Tyler Herro</v>
      </c>
      <c r="D673" s="7" t="str">
        <f>Odds_Input!D673</f>
        <v>YES</v>
      </c>
      <c r="E673" s="31" t="str">
        <f>Odds_Input!E673</f>
        <v>-</v>
      </c>
      <c r="F673" s="32">
        <f>Odds_Input!F673</f>
        <v>7900</v>
      </c>
      <c r="G673" s="6" t="str">
        <f t="shared" si="910"/>
        <v>LDR_TPG</v>
      </c>
      <c r="H673" s="14">
        <f t="shared" si="911"/>
        <v>80</v>
      </c>
      <c r="I673" s="33">
        <f t="shared" si="912"/>
        <v>1.2500000000000001E-2</v>
      </c>
      <c r="J673" s="17">
        <f t="shared" si="913"/>
        <v>1</v>
      </c>
      <c r="K673" s="17">
        <f t="shared" si="914"/>
        <v>33</v>
      </c>
      <c r="L673" s="18">
        <f t="shared" si="915"/>
        <v>1.2219997865534908</v>
      </c>
      <c r="M673" s="34">
        <f t="shared" si="916"/>
        <v>0.22199978655349084</v>
      </c>
      <c r="N673" s="33">
        <f t="shared" si="917"/>
        <v>1.0229134356279068E-2</v>
      </c>
      <c r="O673" s="33">
        <f t="shared" si="918"/>
        <v>7.6553115817943503E-3</v>
      </c>
      <c r="P673" s="33">
        <f t="shared" si="919"/>
        <v>7.7114081764393652E-3</v>
      </c>
      <c r="Q673" s="33">
        <f t="shared" si="920"/>
        <v>7.7114081764393652E-3</v>
      </c>
      <c r="R673" s="35">
        <f t="shared" si="921"/>
        <v>1.1118954661535101</v>
      </c>
      <c r="S673" s="35">
        <f t="shared" si="922"/>
        <v>8.9386929708229167E-3</v>
      </c>
    </row>
    <row r="674" spans="1:19" ht="15" customHeight="1" x14ac:dyDescent="0.3">
      <c r="A674" s="30">
        <f>Odds_Input!A674</f>
        <v>666</v>
      </c>
      <c r="B674" s="7" t="str">
        <f>Odds_Input!B674</f>
        <v>LDR_TPG</v>
      </c>
      <c r="C674" s="7" t="str">
        <f>Odds_Input!C674</f>
        <v>Damian Lillard</v>
      </c>
      <c r="D674" s="7" t="str">
        <f>Odds_Input!D674</f>
        <v>YES</v>
      </c>
      <c r="E674" s="31" t="str">
        <f>Odds_Input!E674</f>
        <v>-</v>
      </c>
      <c r="F674" s="32">
        <f>Odds_Input!F674</f>
        <v>7950</v>
      </c>
      <c r="G674" s="6" t="str">
        <f t="shared" si="910"/>
        <v>LDR_TPG</v>
      </c>
      <c r="H674" s="14">
        <f t="shared" si="911"/>
        <v>80.5</v>
      </c>
      <c r="I674" s="33">
        <f t="shared" si="912"/>
        <v>1.2422360248447204E-2</v>
      </c>
      <c r="J674" s="17">
        <f t="shared" si="913"/>
        <v>1</v>
      </c>
      <c r="K674" s="17">
        <f t="shared" si="914"/>
        <v>33</v>
      </c>
      <c r="L674" s="18">
        <f t="shared" si="915"/>
        <v>1.2219997865534908</v>
      </c>
      <c r="M674" s="34">
        <f t="shared" si="916"/>
        <v>0.22199978655349084</v>
      </c>
      <c r="N674" s="33">
        <f t="shared" si="917"/>
        <v>1.0165599360277333E-2</v>
      </c>
      <c r="O674" s="33">
        <f t="shared" si="918"/>
        <v>7.6024610048671453E-3</v>
      </c>
      <c r="P674" s="33">
        <f t="shared" si="919"/>
        <v>7.6458648076887653E-3</v>
      </c>
      <c r="Q674" s="33">
        <f t="shared" si="920"/>
        <v>7.6458648076887653E-3</v>
      </c>
      <c r="R674" s="35">
        <f t="shared" si="921"/>
        <v>1.1118954661535101</v>
      </c>
      <c r="S674" s="35">
        <f t="shared" si="922"/>
        <v>8.9386929708229167E-3</v>
      </c>
    </row>
    <row r="675" spans="1:19" ht="15" customHeight="1" x14ac:dyDescent="0.3">
      <c r="A675" s="30">
        <f>Odds_Input!A675</f>
        <v>667</v>
      </c>
      <c r="B675" s="7" t="str">
        <f>Odds_Input!B675</f>
        <v>LDR_TPG</v>
      </c>
      <c r="C675" s="7" t="str">
        <f>Odds_Input!C675</f>
        <v>Trae Young</v>
      </c>
      <c r="D675" s="7" t="str">
        <f>Odds_Input!D675</f>
        <v>YES</v>
      </c>
      <c r="E675" s="31" t="str">
        <f>Odds_Input!E675</f>
        <v>-</v>
      </c>
      <c r="F675" s="32">
        <f>Odds_Input!F675</f>
        <v>9100</v>
      </c>
      <c r="G675" s="6" t="str">
        <f t="shared" si="910"/>
        <v>LDR_TPG</v>
      </c>
      <c r="H675" s="14">
        <f t="shared" si="911"/>
        <v>92</v>
      </c>
      <c r="I675" s="33">
        <f t="shared" si="912"/>
        <v>1.0869565217391304E-2</v>
      </c>
      <c r="J675" s="17">
        <f t="shared" si="913"/>
        <v>1</v>
      </c>
      <c r="K675" s="17">
        <f t="shared" si="914"/>
        <v>33</v>
      </c>
      <c r="L675" s="18">
        <f t="shared" si="915"/>
        <v>1.2219997865534908</v>
      </c>
      <c r="M675" s="34">
        <f t="shared" si="916"/>
        <v>0.22199978655349084</v>
      </c>
      <c r="N675" s="33">
        <f t="shared" si="917"/>
        <v>8.8948994402426665E-3</v>
      </c>
      <c r="O675" s="33">
        <f t="shared" si="918"/>
        <v>6.5534987101344474E-3</v>
      </c>
      <c r="P675" s="33">
        <f t="shared" si="919"/>
        <v>6.3481842831409939E-3</v>
      </c>
      <c r="Q675" s="33">
        <f t="shared" si="920"/>
        <v>6.3481842831409939E-3</v>
      </c>
      <c r="R675" s="35">
        <f t="shared" si="921"/>
        <v>1.1118954661535101</v>
      </c>
      <c r="S675" s="35">
        <f t="shared" si="922"/>
        <v>8.9386929708229167E-3</v>
      </c>
    </row>
    <row r="676" spans="1:19" ht="15" customHeight="1" x14ac:dyDescent="0.3">
      <c r="A676" s="30">
        <f>Odds_Input!A676</f>
        <v>668</v>
      </c>
      <c r="B676" s="7" t="str">
        <f>Odds_Input!B676</f>
        <v>LDR_TPG</v>
      </c>
      <c r="C676" s="7" t="str">
        <f>Odds_Input!C676</f>
        <v>Tyrese Maxey</v>
      </c>
      <c r="D676" s="7" t="str">
        <f>Odds_Input!D676</f>
        <v>YES</v>
      </c>
      <c r="E676" s="31" t="str">
        <f>Odds_Input!E676</f>
        <v>-</v>
      </c>
      <c r="F676" s="32">
        <f>Odds_Input!F676</f>
        <v>15000</v>
      </c>
      <c r="G676" s="6" t="str">
        <f t="shared" si="910"/>
        <v>LDR_TPG</v>
      </c>
      <c r="H676" s="14">
        <f t="shared" si="911"/>
        <v>151</v>
      </c>
      <c r="I676" s="33">
        <f t="shared" si="912"/>
        <v>6.6225165562913907E-3</v>
      </c>
      <c r="J676" s="17">
        <f t="shared" si="913"/>
        <v>1</v>
      </c>
      <c r="K676" s="17">
        <f t="shared" si="914"/>
        <v>33</v>
      </c>
      <c r="L676" s="18">
        <f t="shared" si="915"/>
        <v>1.2219997865534908</v>
      </c>
      <c r="M676" s="34">
        <f t="shared" si="916"/>
        <v>0.22199978655349084</v>
      </c>
      <c r="N676" s="33">
        <f t="shared" si="917"/>
        <v>5.4194089304789757E-3</v>
      </c>
      <c r="O676" s="33">
        <f t="shared" si="918"/>
        <v>3.7775081625798126E-3</v>
      </c>
      <c r="P676" s="33">
        <f t="shared" si="919"/>
        <v>3.0103720150381425E-3</v>
      </c>
      <c r="Q676" s="33">
        <f t="shared" si="920"/>
        <v>3.0103720150381425E-3</v>
      </c>
      <c r="R676" s="35">
        <f t="shared" si="921"/>
        <v>1.1118954661535101</v>
      </c>
      <c r="S676" s="35">
        <f t="shared" si="922"/>
        <v>8.9386929708229167E-3</v>
      </c>
    </row>
    <row r="677" spans="1:19" ht="15" customHeight="1" x14ac:dyDescent="0.3">
      <c r="A677" s="30">
        <f>Odds_Input!A677</f>
        <v>669</v>
      </c>
      <c r="B677" s="7" t="str">
        <f>Odds_Input!B677</f>
        <v>LDR_TPG</v>
      </c>
      <c r="C677" s="7" t="str">
        <f>Odds_Input!C677</f>
        <v>Tyrese Haliburton</v>
      </c>
      <c r="D677" s="7" t="str">
        <f>Odds_Input!D677</f>
        <v>YES</v>
      </c>
      <c r="E677" s="31" t="str">
        <f>Odds_Input!E677</f>
        <v>-</v>
      </c>
      <c r="F677" s="32">
        <f>Odds_Input!F677</f>
        <v>11000</v>
      </c>
      <c r="G677" s="6" t="str">
        <f t="shared" si="910"/>
        <v>LDR_TPG</v>
      </c>
      <c r="H677" s="14">
        <f t="shared" si="911"/>
        <v>111</v>
      </c>
      <c r="I677" s="33">
        <f t="shared" si="912"/>
        <v>9.0090090090090089E-3</v>
      </c>
      <c r="J677" s="17">
        <f t="shared" si="913"/>
        <v>1</v>
      </c>
      <c r="K677" s="17">
        <f t="shared" si="914"/>
        <v>33</v>
      </c>
      <c r="L677" s="18">
        <f t="shared" si="915"/>
        <v>1.2219997865534908</v>
      </c>
      <c r="M677" s="34">
        <f t="shared" si="916"/>
        <v>0.22199978655349084</v>
      </c>
      <c r="N677" s="33">
        <f t="shared" si="917"/>
        <v>7.3723490856065351E-3</v>
      </c>
      <c r="O677" s="33">
        <f t="shared" si="918"/>
        <v>5.3188121610751888E-3</v>
      </c>
      <c r="P677" s="33">
        <f t="shared" si="919"/>
        <v>4.8366581634564912E-3</v>
      </c>
      <c r="Q677" s="33">
        <f t="shared" si="920"/>
        <v>4.8366581634564912E-3</v>
      </c>
      <c r="R677" s="35">
        <f t="shared" si="921"/>
        <v>1.1118954661535101</v>
      </c>
      <c r="S677" s="35">
        <f t="shared" si="922"/>
        <v>8.9386929708229167E-3</v>
      </c>
    </row>
    <row r="678" spans="1:19" ht="15" customHeight="1" x14ac:dyDescent="0.3">
      <c r="A678" s="30">
        <f>Odds_Input!A678</f>
        <v>670</v>
      </c>
      <c r="B678" s="7" t="str">
        <f>Odds_Input!B678</f>
        <v>LDR_TPG</v>
      </c>
      <c r="C678" s="7" t="str">
        <f>Odds_Input!C678</f>
        <v>Ty Jerome</v>
      </c>
      <c r="D678" s="7" t="str">
        <f>Odds_Input!D678</f>
        <v>YES</v>
      </c>
      <c r="E678" s="31" t="str">
        <f>Odds_Input!E678</f>
        <v>-</v>
      </c>
      <c r="F678" s="32">
        <f>Odds_Input!F678</f>
        <v>13000</v>
      </c>
      <c r="G678" s="6" t="str">
        <f t="shared" si="910"/>
        <v>LDR_TPG</v>
      </c>
      <c r="H678" s="14">
        <f t="shared" si="911"/>
        <v>131</v>
      </c>
      <c r="I678" s="33">
        <f t="shared" si="912"/>
        <v>7.6335877862595417E-3</v>
      </c>
      <c r="J678" s="17">
        <f t="shared" si="913"/>
        <v>1</v>
      </c>
      <c r="K678" s="17">
        <f t="shared" si="914"/>
        <v>33</v>
      </c>
      <c r="L678" s="18">
        <f t="shared" si="915"/>
        <v>1.2219997865534908</v>
      </c>
      <c r="M678" s="34">
        <f t="shared" si="916"/>
        <v>0.22199978655349084</v>
      </c>
      <c r="N678" s="33">
        <f t="shared" si="917"/>
        <v>6.2467996068879799E-3</v>
      </c>
      <c r="O678" s="33">
        <f t="shared" si="918"/>
        <v>4.4240053729115107E-3</v>
      </c>
      <c r="P678" s="33">
        <f t="shared" si="919"/>
        <v>3.7639510666591619E-3</v>
      </c>
      <c r="Q678" s="33">
        <f t="shared" si="920"/>
        <v>3.7639510666591619E-3</v>
      </c>
      <c r="R678" s="35">
        <f t="shared" si="921"/>
        <v>1.1118954661535101</v>
      </c>
      <c r="S678" s="35">
        <f t="shared" si="922"/>
        <v>8.9386929708229167E-3</v>
      </c>
    </row>
    <row r="679" spans="1:19" ht="15" customHeight="1" x14ac:dyDescent="0.3">
      <c r="A679" s="30">
        <f>Odds_Input!A679</f>
        <v>671</v>
      </c>
      <c r="B679" s="7" t="str">
        <f>Odds_Input!B679</f>
        <v>LDR_TPG</v>
      </c>
      <c r="C679" s="7" t="str">
        <f>Odds_Input!C679</f>
        <v>Payton Pritchard</v>
      </c>
      <c r="D679" s="7" t="str">
        <f>Odds_Input!D679</f>
        <v>YES</v>
      </c>
      <c r="E679" s="31" t="str">
        <f>Odds_Input!E679</f>
        <v>-</v>
      </c>
      <c r="F679" s="32">
        <f>Odds_Input!F679</f>
        <v>10000</v>
      </c>
      <c r="G679" s="6" t="str">
        <f t="shared" si="910"/>
        <v>LDR_TPG</v>
      </c>
      <c r="H679" s="14">
        <f t="shared" si="911"/>
        <v>101</v>
      </c>
      <c r="I679" s="33">
        <f t="shared" si="912"/>
        <v>9.9009900990099011E-3</v>
      </c>
      <c r="J679" s="17">
        <f t="shared" si="913"/>
        <v>1</v>
      </c>
      <c r="K679" s="17">
        <f t="shared" si="914"/>
        <v>33</v>
      </c>
      <c r="L679" s="18">
        <f t="shared" si="915"/>
        <v>1.2219997865534908</v>
      </c>
      <c r="M679" s="34">
        <f t="shared" si="916"/>
        <v>0.22199978655349084</v>
      </c>
      <c r="N679" s="33">
        <f t="shared" si="917"/>
        <v>8.1022846386368842E-3</v>
      </c>
      <c r="O679" s="33">
        <f t="shared" si="918"/>
        <v>5.9075057330860341E-3</v>
      </c>
      <c r="P679" s="33">
        <f t="shared" si="919"/>
        <v>5.5541982362832948E-3</v>
      </c>
      <c r="Q679" s="33">
        <f t="shared" si="920"/>
        <v>5.5541982362832948E-3</v>
      </c>
      <c r="R679" s="35">
        <f t="shared" si="921"/>
        <v>1.1118954661535101</v>
      </c>
      <c r="S679" s="35">
        <f t="shared" si="922"/>
        <v>8.9386929708229167E-3</v>
      </c>
    </row>
    <row r="680" spans="1:19" ht="15" customHeight="1" x14ac:dyDescent="0.3">
      <c r="A680" s="30">
        <f>Odds_Input!A680</f>
        <v>672</v>
      </c>
      <c r="B680" s="7" t="str">
        <f>Odds_Input!B680</f>
        <v>LDR_TPG</v>
      </c>
      <c r="C680" s="7" t="str">
        <f>Odds_Input!C680</f>
        <v>Derrick White</v>
      </c>
      <c r="D680" s="7" t="str">
        <f>Odds_Input!D680</f>
        <v>YES</v>
      </c>
      <c r="E680" s="31" t="str">
        <f>Odds_Input!E680</f>
        <v>-</v>
      </c>
      <c r="F680" s="32">
        <f>Odds_Input!F680</f>
        <v>10000</v>
      </c>
      <c r="G680" s="6" t="str">
        <f t="shared" si="910"/>
        <v>LDR_TPG</v>
      </c>
      <c r="H680" s="14">
        <f t="shared" si="911"/>
        <v>101</v>
      </c>
      <c r="I680" s="33">
        <f t="shared" si="912"/>
        <v>9.9009900990099011E-3</v>
      </c>
      <c r="J680" s="17">
        <f t="shared" si="913"/>
        <v>1</v>
      </c>
      <c r="K680" s="17">
        <f t="shared" si="914"/>
        <v>33</v>
      </c>
      <c r="L680" s="18">
        <f t="shared" si="915"/>
        <v>1.2219997865534908</v>
      </c>
      <c r="M680" s="34">
        <f t="shared" si="916"/>
        <v>0.22199978655349084</v>
      </c>
      <c r="N680" s="33">
        <f t="shared" si="917"/>
        <v>8.1022846386368842E-3</v>
      </c>
      <c r="O680" s="33">
        <f t="shared" si="918"/>
        <v>5.9075057330860341E-3</v>
      </c>
      <c r="P680" s="33">
        <f t="shared" si="919"/>
        <v>5.5541982362832948E-3</v>
      </c>
      <c r="Q680" s="33">
        <f t="shared" si="920"/>
        <v>5.5541982362832948E-3</v>
      </c>
      <c r="R680" s="35">
        <f t="shared" si="921"/>
        <v>1.1118954661535101</v>
      </c>
      <c r="S680" s="35">
        <f t="shared" si="922"/>
        <v>8.9386929708229167E-3</v>
      </c>
    </row>
    <row r="681" spans="1:19" ht="15" customHeight="1" x14ac:dyDescent="0.3">
      <c r="A681" s="30">
        <f>Odds_Input!A681</f>
        <v>673</v>
      </c>
      <c r="B681" s="7" t="str">
        <f>Odds_Input!B681</f>
        <v>LDR_TPG</v>
      </c>
      <c r="C681" s="7" t="str">
        <f>Odds_Input!C681</f>
        <v>Darius Garland</v>
      </c>
      <c r="D681" s="7" t="str">
        <f>Odds_Input!D681</f>
        <v>YES</v>
      </c>
      <c r="E681" s="31" t="str">
        <f>Odds_Input!E681</f>
        <v>-</v>
      </c>
      <c r="F681" s="32">
        <f>Odds_Input!F681</f>
        <v>12000</v>
      </c>
      <c r="G681" s="6" t="str">
        <f t="shared" si="910"/>
        <v>LDR_TPG</v>
      </c>
      <c r="H681" s="14">
        <f t="shared" si="911"/>
        <v>121</v>
      </c>
      <c r="I681" s="33">
        <f t="shared" si="912"/>
        <v>8.2644628099173556E-3</v>
      </c>
      <c r="J681" s="17">
        <f t="shared" si="913"/>
        <v>1</v>
      </c>
      <c r="K681" s="17">
        <f t="shared" si="914"/>
        <v>33</v>
      </c>
      <c r="L681" s="18">
        <f t="shared" si="915"/>
        <v>1.2219997865534908</v>
      </c>
      <c r="M681" s="34">
        <f t="shared" si="916"/>
        <v>0.22199978655349084</v>
      </c>
      <c r="N681" s="33">
        <f t="shared" si="917"/>
        <v>6.7630640372093008E-3</v>
      </c>
      <c r="O681" s="33">
        <f t="shared" si="918"/>
        <v>4.8323723396534223E-3</v>
      </c>
      <c r="P681" s="33">
        <f t="shared" si="919"/>
        <v>4.2501498158719698E-3</v>
      </c>
      <c r="Q681" s="33">
        <f t="shared" si="920"/>
        <v>4.2501498158719698E-3</v>
      </c>
      <c r="R681" s="35">
        <f t="shared" si="921"/>
        <v>1.1118954661535101</v>
      </c>
      <c r="S681" s="35">
        <f t="shared" si="922"/>
        <v>8.9386929708229167E-3</v>
      </c>
    </row>
    <row r="682" spans="1:19" ht="15" customHeight="1" x14ac:dyDescent="0.3">
      <c r="A682" s="30">
        <f>Odds_Input!A682</f>
        <v>674</v>
      </c>
      <c r="B682" s="7" t="str">
        <f>Odds_Input!B682</f>
        <v>LDR_TPG</v>
      </c>
      <c r="C682" s="7" t="str">
        <f>Odds_Input!C682</f>
        <v>Reed Sheppard</v>
      </c>
      <c r="D682" s="7" t="str">
        <f>Odds_Input!D682</f>
        <v>YES</v>
      </c>
      <c r="E682" s="31" t="str">
        <f>Odds_Input!E682</f>
        <v>-</v>
      </c>
      <c r="F682" s="32">
        <f>Odds_Input!F682</f>
        <v>15000</v>
      </c>
      <c r="G682" s="6" t="str">
        <f t="shared" si="910"/>
        <v>LDR_TPG</v>
      </c>
      <c r="H682" s="14">
        <f t="shared" si="911"/>
        <v>151</v>
      </c>
      <c r="I682" s="33">
        <f t="shared" si="912"/>
        <v>6.6225165562913907E-3</v>
      </c>
      <c r="J682" s="17">
        <f t="shared" si="913"/>
        <v>1</v>
      </c>
      <c r="K682" s="17">
        <f t="shared" si="914"/>
        <v>33</v>
      </c>
      <c r="L682" s="18">
        <f t="shared" si="915"/>
        <v>1.2219997865534908</v>
      </c>
      <c r="M682" s="34">
        <f t="shared" si="916"/>
        <v>0.22199978655349084</v>
      </c>
      <c r="N682" s="33">
        <f t="shared" si="917"/>
        <v>5.4194089304789757E-3</v>
      </c>
      <c r="O682" s="33">
        <f t="shared" si="918"/>
        <v>3.7775081625798126E-3</v>
      </c>
      <c r="P682" s="33">
        <f t="shared" si="919"/>
        <v>3.0103720150381425E-3</v>
      </c>
      <c r="Q682" s="33">
        <f t="shared" si="920"/>
        <v>3.0103720150381425E-3</v>
      </c>
      <c r="R682" s="35">
        <f t="shared" si="921"/>
        <v>1.1118954661535101</v>
      </c>
      <c r="S682" s="35">
        <f t="shared" si="922"/>
        <v>8.9386929708229167E-3</v>
      </c>
    </row>
    <row r="683" spans="1:19" ht="15" customHeight="1" x14ac:dyDescent="0.3">
      <c r="A683" s="30">
        <f>Odds_Input!A683</f>
        <v>675</v>
      </c>
      <c r="B683" s="7" t="str">
        <f>Odds_Input!B683</f>
        <v>LDR_TPG</v>
      </c>
      <c r="C683" s="7" t="str">
        <f>Odds_Input!C683</f>
        <v>Nickeil Alexander Walker</v>
      </c>
      <c r="D683" s="7" t="str">
        <f>Odds_Input!D683</f>
        <v>YES</v>
      </c>
      <c r="E683" s="31" t="str">
        <f>Odds_Input!E683</f>
        <v>-</v>
      </c>
      <c r="F683" s="32">
        <f>Odds_Input!F683</f>
        <v>16000</v>
      </c>
      <c r="G683" s="6" t="str">
        <f t="shared" si="910"/>
        <v>LDR_TPG</v>
      </c>
      <c r="H683" s="14">
        <f t="shared" si="911"/>
        <v>161</v>
      </c>
      <c r="I683" s="33">
        <f t="shared" si="912"/>
        <v>6.2111801242236021E-3</v>
      </c>
      <c r="J683" s="17">
        <f t="shared" si="913"/>
        <v>1</v>
      </c>
      <c r="K683" s="17">
        <f t="shared" si="914"/>
        <v>33</v>
      </c>
      <c r="L683" s="18">
        <f t="shared" si="915"/>
        <v>1.2219997865534908</v>
      </c>
      <c r="M683" s="34">
        <f t="shared" si="916"/>
        <v>0.22199978655349084</v>
      </c>
      <c r="N683" s="33">
        <f t="shared" si="917"/>
        <v>5.0827996801386666E-3</v>
      </c>
      <c r="O683" s="33">
        <f t="shared" si="918"/>
        <v>3.5175502790008059E-3</v>
      </c>
      <c r="P683" s="33">
        <f t="shared" si="919"/>
        <v>2.7147414122927834E-3</v>
      </c>
      <c r="Q683" s="33">
        <f t="shared" si="920"/>
        <v>2.7147414122927834E-3</v>
      </c>
      <c r="R683" s="35">
        <f t="shared" si="921"/>
        <v>1.1118954661535101</v>
      </c>
      <c r="S683" s="35">
        <f t="shared" si="922"/>
        <v>8.9386929708229167E-3</v>
      </c>
    </row>
    <row r="684" spans="1:19" ht="15" customHeight="1" x14ac:dyDescent="0.3">
      <c r="A684" s="30">
        <f>Odds_Input!A684</f>
        <v>676</v>
      </c>
      <c r="B684" s="7" t="str">
        <f>Odds_Input!B684</f>
        <v>LDR_TPG</v>
      </c>
      <c r="C684" s="7" t="str">
        <f>Odds_Input!C684</f>
        <v>Kyrie Irving</v>
      </c>
      <c r="D684" s="7" t="str">
        <f>Odds_Input!D684</f>
        <v>YES</v>
      </c>
      <c r="E684" s="31" t="str">
        <f>Odds_Input!E684</f>
        <v>-</v>
      </c>
      <c r="F684" s="32">
        <f>Odds_Input!F684</f>
        <v>16000</v>
      </c>
      <c r="G684" s="6" t="str">
        <f t="shared" si="910"/>
        <v>LDR_TPG</v>
      </c>
      <c r="H684" s="14">
        <f t="shared" si="911"/>
        <v>161</v>
      </c>
      <c r="I684" s="33">
        <f t="shared" si="912"/>
        <v>6.2111801242236021E-3</v>
      </c>
      <c r="J684" s="17">
        <f t="shared" si="913"/>
        <v>1</v>
      </c>
      <c r="K684" s="17">
        <f t="shared" si="914"/>
        <v>33</v>
      </c>
      <c r="L684" s="18">
        <f t="shared" si="915"/>
        <v>1.2219997865534908</v>
      </c>
      <c r="M684" s="34">
        <f t="shared" si="916"/>
        <v>0.22199978655349084</v>
      </c>
      <c r="N684" s="33">
        <f t="shared" si="917"/>
        <v>5.0827996801386666E-3</v>
      </c>
      <c r="O684" s="33">
        <f t="shared" si="918"/>
        <v>3.5175502790008059E-3</v>
      </c>
      <c r="P684" s="33">
        <f t="shared" si="919"/>
        <v>2.7147414122927834E-3</v>
      </c>
      <c r="Q684" s="33">
        <f t="shared" si="920"/>
        <v>2.7147414122927834E-3</v>
      </c>
      <c r="R684" s="35">
        <f t="shared" si="921"/>
        <v>1.1118954661535101</v>
      </c>
      <c r="S684" s="35">
        <f t="shared" si="922"/>
        <v>8.9386929708229167E-3</v>
      </c>
    </row>
    <row r="685" spans="1:19" ht="15" customHeight="1" x14ac:dyDescent="0.3">
      <c r="A685" s="30">
        <f>Odds_Input!A685</f>
        <v>677</v>
      </c>
      <c r="B685" s="7" t="str">
        <f>Odds_Input!B685</f>
        <v>LDR_TPG</v>
      </c>
      <c r="C685" s="7" t="str">
        <f>Odds_Input!C685</f>
        <v>Norman Powell</v>
      </c>
      <c r="D685" s="7" t="str">
        <f>Odds_Input!D685</f>
        <v>YES</v>
      </c>
      <c r="E685" s="31" t="str">
        <f>Odds_Input!E685</f>
        <v>-</v>
      </c>
      <c r="F685" s="32">
        <f>Odds_Input!F685</f>
        <v>17000</v>
      </c>
      <c r="G685" s="6" t="str">
        <f t="shared" si="910"/>
        <v>LDR_TPG</v>
      </c>
      <c r="H685" s="14">
        <f t="shared" si="911"/>
        <v>171</v>
      </c>
      <c r="I685" s="33">
        <f t="shared" si="912"/>
        <v>5.8479532163742687E-3</v>
      </c>
      <c r="J685" s="17">
        <f t="shared" si="913"/>
        <v>1</v>
      </c>
      <c r="K685" s="17">
        <f t="shared" si="914"/>
        <v>33</v>
      </c>
      <c r="L685" s="18">
        <f t="shared" si="915"/>
        <v>1.2219997865534908</v>
      </c>
      <c r="M685" s="34">
        <f t="shared" si="916"/>
        <v>0.22199978655349084</v>
      </c>
      <c r="N685" s="33">
        <f t="shared" si="917"/>
        <v>4.7855599327621366E-3</v>
      </c>
      <c r="O685" s="33">
        <f t="shared" si="918"/>
        <v>3.2895898193006268E-3</v>
      </c>
      <c r="P685" s="33">
        <f t="shared" si="919"/>
        <v>2.4599304569283761E-3</v>
      </c>
      <c r="Q685" s="33">
        <f t="shared" si="920"/>
        <v>2.4599304569283761E-3</v>
      </c>
      <c r="R685" s="35">
        <f t="shared" si="921"/>
        <v>1.1118954661535101</v>
      </c>
      <c r="S685" s="35">
        <f t="shared" si="922"/>
        <v>8.9386929708229167E-3</v>
      </c>
    </row>
    <row r="686" spans="1:19" ht="15" customHeight="1" x14ac:dyDescent="0.3">
      <c r="A686" s="30">
        <f>Odds_Input!A686</f>
        <v>678</v>
      </c>
      <c r="B686" s="7" t="str">
        <f>Odds_Input!B686</f>
        <v>LDR_TPG</v>
      </c>
      <c r="C686" s="7" t="str">
        <f>Odds_Input!C686</f>
        <v>Lauri Markkanen</v>
      </c>
      <c r="D686" s="7" t="str">
        <f>Odds_Input!D686</f>
        <v>YES</v>
      </c>
      <c r="E686" s="31" t="str">
        <f>Odds_Input!E686</f>
        <v>-</v>
      </c>
      <c r="F686" s="32">
        <f>Odds_Input!F686</f>
        <v>20000</v>
      </c>
      <c r="G686" s="6" t="str">
        <f t="shared" si="910"/>
        <v>LDR_TPG</v>
      </c>
      <c r="H686" s="14">
        <f t="shared" si="911"/>
        <v>201</v>
      </c>
      <c r="I686" s="33">
        <f t="shared" si="912"/>
        <v>4.9751243781094526E-3</v>
      </c>
      <c r="J686" s="17">
        <f t="shared" si="913"/>
        <v>1</v>
      </c>
      <c r="K686" s="17">
        <f t="shared" si="914"/>
        <v>33</v>
      </c>
      <c r="L686" s="18">
        <f t="shared" si="915"/>
        <v>1.2219997865534908</v>
      </c>
      <c r="M686" s="34">
        <f t="shared" si="916"/>
        <v>0.22199978655349084</v>
      </c>
      <c r="N686" s="33">
        <f t="shared" si="917"/>
        <v>4.0712972562304741E-3</v>
      </c>
      <c r="O686" s="33">
        <f t="shared" si="918"/>
        <v>2.7484430730061907E-3</v>
      </c>
      <c r="P686" s="33">
        <f t="shared" si="919"/>
        <v>1.8758660694661402E-3</v>
      </c>
      <c r="Q686" s="33">
        <f t="shared" si="920"/>
        <v>1.8758660694661402E-3</v>
      </c>
      <c r="R686" s="35">
        <f t="shared" si="921"/>
        <v>1.1118954661535101</v>
      </c>
      <c r="S686" s="35">
        <f t="shared" si="922"/>
        <v>8.9386929708229167E-3</v>
      </c>
    </row>
    <row r="687" spans="1:19" ht="15" customHeight="1" x14ac:dyDescent="0.3">
      <c r="A687" s="30">
        <f>Odds_Input!A687</f>
        <v>679</v>
      </c>
      <c r="B687" s="7" t="str">
        <f>Odds_Input!B687</f>
        <v>LDR_TPG</v>
      </c>
      <c r="C687" s="7" t="str">
        <f>Odds_Input!C687</f>
        <v>Klay Thompson</v>
      </c>
      <c r="D687" s="7" t="str">
        <f>Odds_Input!D687</f>
        <v>YES</v>
      </c>
      <c r="E687" s="31" t="str">
        <f>Odds_Input!E687</f>
        <v>-</v>
      </c>
      <c r="F687" s="32">
        <f>Odds_Input!F687</f>
        <v>14000</v>
      </c>
      <c r="G687" s="6" t="str">
        <f t="shared" si="910"/>
        <v>LDR_TPG</v>
      </c>
      <c r="H687" s="14">
        <f t="shared" si="911"/>
        <v>141</v>
      </c>
      <c r="I687" s="33">
        <f t="shared" si="912"/>
        <v>7.0921985815602835E-3</v>
      </c>
      <c r="J687" s="17">
        <f t="shared" si="913"/>
        <v>1</v>
      </c>
      <c r="K687" s="17">
        <f t="shared" si="914"/>
        <v>33</v>
      </c>
      <c r="L687" s="18">
        <f t="shared" si="915"/>
        <v>1.2219997865534908</v>
      </c>
      <c r="M687" s="34">
        <f t="shared" si="916"/>
        <v>0.22199978655349084</v>
      </c>
      <c r="N687" s="33">
        <f t="shared" si="917"/>
        <v>5.8037641737753573E-3</v>
      </c>
      <c r="O687" s="33">
        <f t="shared" si="918"/>
        <v>4.0765522474798073E-3</v>
      </c>
      <c r="P687" s="33">
        <f t="shared" si="919"/>
        <v>3.3560726436286164E-3</v>
      </c>
      <c r="Q687" s="33">
        <f t="shared" si="920"/>
        <v>3.3560726436286164E-3</v>
      </c>
      <c r="R687" s="35">
        <f t="shared" si="921"/>
        <v>1.1118954661535101</v>
      </c>
      <c r="S687" s="35">
        <f t="shared" si="922"/>
        <v>8.9386929708229167E-3</v>
      </c>
    </row>
    <row r="688" spans="1:19" ht="15" customHeight="1" x14ac:dyDescent="0.3">
      <c r="A688" s="30">
        <f>Odds_Input!A688</f>
        <v>680</v>
      </c>
      <c r="B688" s="7" t="str">
        <f>Odds_Input!B688</f>
        <v>LDR_TPG</v>
      </c>
      <c r="C688" s="7" t="str">
        <f>Odds_Input!C688</f>
        <v>James Harden</v>
      </c>
      <c r="D688" s="7" t="str">
        <f>Odds_Input!D688</f>
        <v>YES</v>
      </c>
      <c r="E688" s="31" t="str">
        <f>Odds_Input!E688</f>
        <v>-</v>
      </c>
      <c r="F688" s="32">
        <f>Odds_Input!F688</f>
        <v>15000</v>
      </c>
      <c r="G688" s="6" t="str">
        <f t="shared" si="910"/>
        <v>LDR_TPG</v>
      </c>
      <c r="H688" s="14">
        <f t="shared" si="911"/>
        <v>151</v>
      </c>
      <c r="I688" s="33">
        <f t="shared" si="912"/>
        <v>6.6225165562913907E-3</v>
      </c>
      <c r="J688" s="17">
        <f t="shared" si="913"/>
        <v>1</v>
      </c>
      <c r="K688" s="17">
        <f t="shared" si="914"/>
        <v>33</v>
      </c>
      <c r="L688" s="18">
        <f t="shared" si="915"/>
        <v>1.2219997865534908</v>
      </c>
      <c r="M688" s="34">
        <f t="shared" si="916"/>
        <v>0.22199978655349084</v>
      </c>
      <c r="N688" s="33">
        <f t="shared" si="917"/>
        <v>5.4194089304789757E-3</v>
      </c>
      <c r="O688" s="33">
        <f t="shared" si="918"/>
        <v>3.7775081625798126E-3</v>
      </c>
      <c r="P688" s="33">
        <f t="shared" si="919"/>
        <v>3.0103720150381425E-3</v>
      </c>
      <c r="Q688" s="33">
        <f t="shared" si="920"/>
        <v>3.0103720150381425E-3</v>
      </c>
      <c r="R688" s="35">
        <f t="shared" si="921"/>
        <v>1.1118954661535101</v>
      </c>
      <c r="S688" s="35">
        <f t="shared" si="922"/>
        <v>8.9386929708229167E-3</v>
      </c>
    </row>
    <row r="689" spans="1:19" ht="15" customHeight="1" x14ac:dyDescent="0.3">
      <c r="A689" s="30">
        <f>Odds_Input!A689</f>
        <v>681</v>
      </c>
      <c r="B689" s="7" t="str">
        <f>Odds_Input!B689</f>
        <v>LDR_TPG</v>
      </c>
      <c r="C689" s="7" t="str">
        <f>Odds_Input!C689</f>
        <v>Grayson Allen</v>
      </c>
      <c r="D689" s="7" t="str">
        <f>Odds_Input!D689</f>
        <v>YES</v>
      </c>
      <c r="E689" s="31" t="str">
        <f>Odds_Input!E689</f>
        <v>-</v>
      </c>
      <c r="F689" s="32">
        <f>Odds_Input!F689</f>
        <v>20000</v>
      </c>
      <c r="G689" s="6" t="str">
        <f t="shared" si="910"/>
        <v>LDR_TPG</v>
      </c>
      <c r="H689" s="14">
        <f t="shared" si="911"/>
        <v>201</v>
      </c>
      <c r="I689" s="33">
        <f t="shared" si="912"/>
        <v>4.9751243781094526E-3</v>
      </c>
      <c r="J689" s="17">
        <f t="shared" si="913"/>
        <v>1</v>
      </c>
      <c r="K689" s="17">
        <f t="shared" si="914"/>
        <v>33</v>
      </c>
      <c r="L689" s="18">
        <f t="shared" si="915"/>
        <v>1.2219997865534908</v>
      </c>
      <c r="M689" s="34">
        <f t="shared" si="916"/>
        <v>0.22199978655349084</v>
      </c>
      <c r="N689" s="33">
        <f t="shared" si="917"/>
        <v>4.0712972562304741E-3</v>
      </c>
      <c r="O689" s="33">
        <f t="shared" si="918"/>
        <v>2.7484430730061907E-3</v>
      </c>
      <c r="P689" s="33">
        <f t="shared" si="919"/>
        <v>1.8758660694661402E-3</v>
      </c>
      <c r="Q689" s="33">
        <f t="shared" si="920"/>
        <v>1.8758660694661402E-3</v>
      </c>
      <c r="R689" s="35">
        <f t="shared" si="921"/>
        <v>1.1118954661535101</v>
      </c>
      <c r="S689" s="35">
        <f t="shared" si="922"/>
        <v>8.9386929708229167E-3</v>
      </c>
    </row>
    <row r="690" spans="1:19" ht="15" customHeight="1" x14ac:dyDescent="0.3">
      <c r="A690" s="30">
        <f>Odds_Input!A690</f>
        <v>682</v>
      </c>
      <c r="B690" s="7" t="str">
        <f>Odds_Input!B690</f>
        <v>LDR_TPG</v>
      </c>
      <c r="C690" s="7" t="str">
        <f>Odds_Input!C690</f>
        <v>Duncan Robinson</v>
      </c>
      <c r="D690" s="7" t="str">
        <f>Odds_Input!D690</f>
        <v>YES</v>
      </c>
      <c r="E690" s="31" t="str">
        <f>Odds_Input!E690</f>
        <v>-</v>
      </c>
      <c r="F690" s="32">
        <f>Odds_Input!F690</f>
        <v>20000</v>
      </c>
      <c r="G690" s="6" t="str">
        <f t="shared" si="910"/>
        <v>LDR_TPG</v>
      </c>
      <c r="H690" s="14">
        <f t="shared" si="911"/>
        <v>201</v>
      </c>
      <c r="I690" s="33">
        <f t="shared" si="912"/>
        <v>4.9751243781094526E-3</v>
      </c>
      <c r="J690" s="17">
        <f t="shared" si="913"/>
        <v>1</v>
      </c>
      <c r="K690" s="17">
        <f t="shared" si="914"/>
        <v>33</v>
      </c>
      <c r="L690" s="18">
        <f t="shared" si="915"/>
        <v>1.2219997865534908</v>
      </c>
      <c r="M690" s="34">
        <f t="shared" si="916"/>
        <v>0.22199978655349084</v>
      </c>
      <c r="N690" s="33">
        <f t="shared" si="917"/>
        <v>4.0712972562304741E-3</v>
      </c>
      <c r="O690" s="33">
        <f t="shared" si="918"/>
        <v>2.7484430730061907E-3</v>
      </c>
      <c r="P690" s="33">
        <f t="shared" si="919"/>
        <v>1.8758660694661402E-3</v>
      </c>
      <c r="Q690" s="33">
        <f t="shared" si="920"/>
        <v>1.8758660694661402E-3</v>
      </c>
      <c r="R690" s="35">
        <f t="shared" si="921"/>
        <v>1.1118954661535101</v>
      </c>
      <c r="S690" s="35">
        <f t="shared" si="922"/>
        <v>8.9386929708229167E-3</v>
      </c>
    </row>
    <row r="691" spans="1:19" ht="15" customHeight="1" x14ac:dyDescent="0.3">
      <c r="A691" s="30">
        <f>Odds_Input!A691</f>
        <v>683</v>
      </c>
      <c r="B691" s="7" t="str">
        <f>Odds_Input!B691</f>
        <v>LDR_TPG</v>
      </c>
      <c r="C691" s="7" t="str">
        <f>Odds_Input!C691</f>
        <v>AJ Green</v>
      </c>
      <c r="D691" s="7" t="str">
        <f>Odds_Input!D691</f>
        <v>YES</v>
      </c>
      <c r="E691" s="31" t="str">
        <f>Odds_Input!E691</f>
        <v>-</v>
      </c>
      <c r="F691" s="32">
        <f>Odds_Input!F691</f>
        <v>25000</v>
      </c>
      <c r="G691" s="6" t="str">
        <f t="shared" si="910"/>
        <v>LDR_TPG</v>
      </c>
      <c r="H691" s="14">
        <f t="shared" si="911"/>
        <v>251</v>
      </c>
      <c r="I691" s="33">
        <f t="shared" si="912"/>
        <v>3.9840637450199202E-3</v>
      </c>
      <c r="J691" s="17">
        <f t="shared" si="913"/>
        <v>1</v>
      </c>
      <c r="K691" s="17">
        <f t="shared" si="914"/>
        <v>33</v>
      </c>
      <c r="L691" s="18">
        <f t="shared" si="915"/>
        <v>1.2219997865534908</v>
      </c>
      <c r="M691" s="34">
        <f t="shared" si="916"/>
        <v>0.22199978655349084</v>
      </c>
      <c r="N691" s="33">
        <f t="shared" si="917"/>
        <v>3.2602818665431288E-3</v>
      </c>
      <c r="O691" s="33">
        <f t="shared" si="918"/>
        <v>2.1469091593895422E-3</v>
      </c>
      <c r="P691" s="33">
        <f t="shared" si="919"/>
        <v>1.2733638924063654E-3</v>
      </c>
      <c r="Q691" s="33">
        <f t="shared" si="920"/>
        <v>1.2733638924063654E-3</v>
      </c>
      <c r="R691" s="35">
        <f t="shared" si="921"/>
        <v>1.1118954661535101</v>
      </c>
      <c r="S691" s="35">
        <f t="shared" si="922"/>
        <v>8.9386929708229167E-3</v>
      </c>
    </row>
    <row r="692" spans="1:19" ht="15" customHeight="1" x14ac:dyDescent="0.3">
      <c r="A692" s="30">
        <f>Odds_Input!A692</f>
        <v>684</v>
      </c>
      <c r="B692" s="7" t="str">
        <f>Odds_Input!B692</f>
        <v>LDR_TPG</v>
      </c>
      <c r="C692" s="7" t="str">
        <f>Odds_Input!C692</f>
        <v>Tim Hardaway Jr</v>
      </c>
      <c r="D692" s="7" t="str">
        <f>Odds_Input!D692</f>
        <v>YES</v>
      </c>
      <c r="E692" s="31" t="str">
        <f>Odds_Input!E692</f>
        <v>-</v>
      </c>
      <c r="F692" s="32">
        <f>Odds_Input!F692</f>
        <v>26000</v>
      </c>
      <c r="G692" s="6" t="str">
        <f t="shared" si="910"/>
        <v>LDR_TPG</v>
      </c>
      <c r="H692" s="14">
        <f t="shared" si="911"/>
        <v>261</v>
      </c>
      <c r="I692" s="33">
        <f t="shared" si="912"/>
        <v>3.8314176245210726E-3</v>
      </c>
      <c r="J692" s="17">
        <f t="shared" si="913"/>
        <v>1</v>
      </c>
      <c r="K692" s="17">
        <f t="shared" si="914"/>
        <v>33</v>
      </c>
      <c r="L692" s="18">
        <f t="shared" si="915"/>
        <v>1.2219997865534908</v>
      </c>
      <c r="M692" s="34">
        <f t="shared" si="916"/>
        <v>0.22199978655349084</v>
      </c>
      <c r="N692" s="33">
        <f t="shared" si="917"/>
        <v>3.1353668524993308E-3</v>
      </c>
      <c r="O692" s="33">
        <f t="shared" si="918"/>
        <v>2.0556462322494935E-3</v>
      </c>
      <c r="P692" s="33">
        <f t="shared" si="919"/>
        <v>1.1875576150295617E-3</v>
      </c>
      <c r="Q692" s="33">
        <f t="shared" si="920"/>
        <v>1.1875576150295617E-3</v>
      </c>
      <c r="R692" s="35">
        <f t="shared" si="921"/>
        <v>1.1118954661535101</v>
      </c>
      <c r="S692" s="35">
        <f t="shared" si="922"/>
        <v>8.9386929708229167E-3</v>
      </c>
    </row>
    <row r="693" spans="1:19" ht="15" customHeight="1" x14ac:dyDescent="0.3">
      <c r="A693" s="30">
        <f>Odds_Input!A693</f>
        <v>685</v>
      </c>
      <c r="B693" s="7" t="str">
        <f>Odds_Input!B693</f>
        <v>LDR_TPG</v>
      </c>
      <c r="C693" s="7" t="str">
        <f>Odds_Input!C693</f>
        <v>Sam Merrill</v>
      </c>
      <c r="D693" s="7" t="str">
        <f>Odds_Input!D693</f>
        <v>YES</v>
      </c>
      <c r="E693" s="31" t="str">
        <f>Odds_Input!E693</f>
        <v>-</v>
      </c>
      <c r="F693" s="32">
        <f>Odds_Input!F693</f>
        <v>25000</v>
      </c>
      <c r="G693" s="6" t="str">
        <f t="shared" si="910"/>
        <v>LDR_TPG</v>
      </c>
      <c r="H693" s="14">
        <f t="shared" si="911"/>
        <v>251</v>
      </c>
      <c r="I693" s="33">
        <f t="shared" si="912"/>
        <v>3.9840637450199202E-3</v>
      </c>
      <c r="J693" s="17">
        <f t="shared" si="913"/>
        <v>1</v>
      </c>
      <c r="K693" s="17">
        <f t="shared" si="914"/>
        <v>33</v>
      </c>
      <c r="L693" s="18">
        <f t="shared" si="915"/>
        <v>1.2219997865534908</v>
      </c>
      <c r="M693" s="34">
        <f t="shared" si="916"/>
        <v>0.22199978655349084</v>
      </c>
      <c r="N693" s="33">
        <f t="shared" si="917"/>
        <v>3.2602818665431288E-3</v>
      </c>
      <c r="O693" s="33">
        <f t="shared" si="918"/>
        <v>2.1469091593895422E-3</v>
      </c>
      <c r="P693" s="33">
        <f t="shared" si="919"/>
        <v>1.2733638924063654E-3</v>
      </c>
      <c r="Q693" s="33">
        <f t="shared" si="920"/>
        <v>1.2733638924063654E-3</v>
      </c>
      <c r="R693" s="35">
        <f t="shared" si="921"/>
        <v>1.1118954661535101</v>
      </c>
      <c r="S693" s="35">
        <f t="shared" si="922"/>
        <v>8.9386929708229167E-3</v>
      </c>
    </row>
    <row r="694" spans="1:19" ht="15" customHeight="1" x14ac:dyDescent="0.3">
      <c r="A694" s="30">
        <f>Odds_Input!A694</f>
        <v>686</v>
      </c>
      <c r="B694" s="7" t="str">
        <f>Odds_Input!B694</f>
        <v>LDR_TPG</v>
      </c>
      <c r="C694" s="7" t="str">
        <f>Odds_Input!C694</f>
        <v>Coby White</v>
      </c>
      <c r="D694" s="7" t="str">
        <f>Odds_Input!D694</f>
        <v>YES</v>
      </c>
      <c r="E694" s="31" t="str">
        <f>Odds_Input!E694</f>
        <v>-</v>
      </c>
      <c r="F694" s="32">
        <f>Odds_Input!F694</f>
        <v>25000</v>
      </c>
      <c r="G694" s="6" t="str">
        <f t="shared" si="910"/>
        <v>LDR_TPG</v>
      </c>
      <c r="H694" s="14">
        <f t="shared" si="911"/>
        <v>251</v>
      </c>
      <c r="I694" s="33">
        <f t="shared" si="912"/>
        <v>3.9840637450199202E-3</v>
      </c>
      <c r="J694" s="17">
        <f t="shared" si="913"/>
        <v>1</v>
      </c>
      <c r="K694" s="17">
        <f t="shared" si="914"/>
        <v>33</v>
      </c>
      <c r="L694" s="18">
        <f t="shared" si="915"/>
        <v>1.2219997865534908</v>
      </c>
      <c r="M694" s="34">
        <f t="shared" si="916"/>
        <v>0.22199978655349084</v>
      </c>
      <c r="N694" s="33">
        <f t="shared" si="917"/>
        <v>3.2602818665431288E-3</v>
      </c>
      <c r="O694" s="33">
        <f t="shared" si="918"/>
        <v>2.1469091593895422E-3</v>
      </c>
      <c r="P694" s="33">
        <f t="shared" si="919"/>
        <v>1.2733638924063654E-3</v>
      </c>
      <c r="Q694" s="33">
        <f t="shared" si="920"/>
        <v>1.2733638924063654E-3</v>
      </c>
      <c r="R694" s="35">
        <f t="shared" si="921"/>
        <v>1.1118954661535101</v>
      </c>
      <c r="S694" s="35">
        <f t="shared" si="922"/>
        <v>8.9386929708229167E-3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T672"/>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2" width="28" customWidth="1"/>
    <col min="3" max="20" width="14" customWidth="1"/>
  </cols>
  <sheetData>
    <row r="1" spans="1:20" ht="15" customHeight="1" x14ac:dyDescent="0.3">
      <c r="A1" s="1" t="s">
        <v>0</v>
      </c>
      <c r="B1" s="2"/>
      <c r="C1" s="2"/>
      <c r="D1" s="2"/>
      <c r="E1" s="2"/>
      <c r="F1" s="2"/>
      <c r="G1" s="2"/>
      <c r="H1" s="2"/>
    </row>
    <row r="2" spans="1:20" ht="15" customHeight="1" x14ac:dyDescent="0.3">
      <c r="A2" s="3" t="s">
        <v>851</v>
      </c>
    </row>
    <row r="3" spans="1:20" ht="15" customHeight="1" x14ac:dyDescent="0.3">
      <c r="A3" s="4" t="s">
        <v>2</v>
      </c>
    </row>
    <row r="4" spans="1:20" ht="6" customHeight="1" x14ac:dyDescent="0.3"/>
    <row r="5" spans="1:20" ht="15" customHeight="1" x14ac:dyDescent="0.3">
      <c r="A5" s="4" t="s">
        <v>852</v>
      </c>
    </row>
    <row r="6" spans="1:20" ht="15" customHeight="1" x14ac:dyDescent="0.3"/>
    <row r="7" spans="1:20" ht="30" customHeight="1" x14ac:dyDescent="0.3">
      <c r="A7" s="11" t="s">
        <v>195</v>
      </c>
      <c r="B7" s="11" t="s">
        <v>853</v>
      </c>
      <c r="C7" s="11" t="s">
        <v>854</v>
      </c>
      <c r="D7" s="11" t="s">
        <v>855</v>
      </c>
      <c r="E7" s="11" t="s">
        <v>856</v>
      </c>
      <c r="F7" s="11" t="s">
        <v>857</v>
      </c>
      <c r="G7" s="11" t="s">
        <v>858</v>
      </c>
      <c r="H7" s="11" t="s">
        <v>859</v>
      </c>
      <c r="I7" s="11" t="s">
        <v>860</v>
      </c>
      <c r="J7" s="11" t="s">
        <v>861</v>
      </c>
      <c r="K7" s="11" t="s">
        <v>862</v>
      </c>
      <c r="L7" s="11" t="s">
        <v>863</v>
      </c>
      <c r="M7" s="11" t="s">
        <v>864</v>
      </c>
      <c r="N7" s="11" t="s">
        <v>865</v>
      </c>
      <c r="O7" s="11" t="s">
        <v>866</v>
      </c>
      <c r="P7" s="11" t="s">
        <v>867</v>
      </c>
      <c r="Q7" s="11" t="s">
        <v>868</v>
      </c>
      <c r="R7" s="11" t="s">
        <v>869</v>
      </c>
      <c r="S7" s="11" t="s">
        <v>870</v>
      </c>
      <c r="T7" s="11" t="s">
        <v>871</v>
      </c>
    </row>
    <row r="8" spans="1:20" ht="15" customHeight="1" x14ac:dyDescent="0.3">
      <c r="A8" s="7" t="str">
        <f>Raw_Teams!A8</f>
        <v>ATL</v>
      </c>
      <c r="B8" s="7" t="str">
        <f>Raw_Teams!B8</f>
        <v>E</v>
      </c>
      <c r="C8" s="7" t="str">
        <f>Raw_Teams!C8</f>
        <v>Southeast</v>
      </c>
      <c r="D8" s="23">
        <f t="shared" ref="D8:D37" si="0">SUMIF($A$46:$A$672,A8,$P$46:$P$672)</f>
        <v>-0.59308261704110299</v>
      </c>
      <c r="E8" s="23">
        <f t="shared" ref="E8:E37" si="1">D8-AVERAGE($D$8:$D$37)</f>
        <v>0.11568879171879931</v>
      </c>
      <c r="F8" s="36">
        <f>Raw_Teams!D8</f>
        <v>2.38</v>
      </c>
      <c r="G8" s="37">
        <f>Raw_Teams!F8</f>
        <v>0.62869901415685114</v>
      </c>
      <c r="H8" s="23">
        <f t="shared" ref="H8:H37" si="2">A_b0+A_b1*E8+A_b2*F8+A_b3*G8*F8</f>
        <v>-0.1131486483324213</v>
      </c>
      <c r="I8" s="36">
        <f>INDEX(Overrides!$B$52:$B$81,MATCH(A8,Overrides!$A$52:$A$81,0))</f>
        <v>0</v>
      </c>
      <c r="J8" s="23">
        <f t="shared" ref="J8:J37" si="3">(H8-AVERAGE($H$8:$H$37))+I8-AVERAGE($I$8:$I$37)</f>
        <v>-8.7386955274648709E-2</v>
      </c>
      <c r="K8" s="14">
        <f t="shared" ref="K8:K37" si="4">A_games/2+A_kwins*J8</f>
        <v>40.786749281555615</v>
      </c>
      <c r="L8" s="38">
        <f>A_lgortg+J8/2+((Raw_Teams!J8-AVERAGE(Raw_Teams!$J$8:$J$37))-(Raw_Teams!K8-AVERAGE(Raw_Teams!$K$8:$K$37)))/2</f>
        <v>114.68766461165332</v>
      </c>
      <c r="M8" s="38">
        <f t="shared" ref="M8:M37" si="5">A_lgortg-(J8-(L8-A_lgortg))</f>
        <v>114.77505156692797</v>
      </c>
      <c r="N8" s="38">
        <f t="shared" ref="N8:N37" si="6">L8-M8</f>
        <v>-8.7386955274652678E-2</v>
      </c>
      <c r="O8" s="38">
        <f>A_paceblend*Raw_Teams!G8+(1-A_paceblend)*AVERAGE(Raw_Teams!$G$8:$G$37)</f>
        <v>100.996</v>
      </c>
      <c r="P8" s="17">
        <f t="shared" ref="P8:P37" si="7">RANK(K8,$K$8:$K$37)</f>
        <v>17</v>
      </c>
      <c r="Q8" s="17">
        <f t="shared" ref="Q8:Q37" si="8">RANK(L8,$L$8:$L$37)</f>
        <v>22</v>
      </c>
      <c r="R8" s="17">
        <f t="shared" ref="R8:R37" si="9">RANK(M8,$M$8:$M$37,1)</f>
        <v>9</v>
      </c>
      <c r="S8" s="36">
        <f>Raw_Teams!M8</f>
        <v>40.786749281555608</v>
      </c>
      <c r="T8" s="14">
        <f t="shared" ref="T8:T37" si="10">K8-S8</f>
        <v>0</v>
      </c>
    </row>
    <row r="9" spans="1:20" ht="15" customHeight="1" x14ac:dyDescent="0.3">
      <c r="A9" s="7" t="str">
        <f>Raw_Teams!A9</f>
        <v>BKN</v>
      </c>
      <c r="B9" s="7" t="str">
        <f>Raw_Teams!B9</f>
        <v>E</v>
      </c>
      <c r="C9" s="7" t="str">
        <f>Raw_Teams!C9</f>
        <v>Atlantic</v>
      </c>
      <c r="D9" s="23">
        <f t="shared" si="0"/>
        <v>-5.1058731768689674</v>
      </c>
      <c r="E9" s="23">
        <f t="shared" si="1"/>
        <v>-4.3971017681090654</v>
      </c>
      <c r="F9" s="36">
        <f>Raw_Teams!D9</f>
        <v>-9.6999999999999993</v>
      </c>
      <c r="G9" s="37">
        <f>Raw_Teams!F9</f>
        <v>0.67060747857713499</v>
      </c>
      <c r="H9" s="23">
        <f t="shared" si="2"/>
        <v>-3.9970294570420357</v>
      </c>
      <c r="I9" s="36">
        <f>INDEX(Overrides!$B$52:$B$81,MATCH(A9,Overrides!$A$52:$A$81,0))</f>
        <v>0</v>
      </c>
      <c r="J9" s="23">
        <f t="shared" si="3"/>
        <v>-3.9712677639842631</v>
      </c>
      <c r="K9" s="14">
        <f t="shared" si="4"/>
        <v>31.30890021121553</v>
      </c>
      <c r="L9" s="38">
        <f>A_lgortg+J9/2+((Raw_Teams!J9-AVERAGE(Raw_Teams!$J$8:$J$37))-(Raw_Teams!K9-AVERAGE(Raw_Teams!$K$8:$K$37)))/2</f>
        <v>113.19786029729929</v>
      </c>
      <c r="M9" s="38">
        <f t="shared" si="5"/>
        <v>117.16912806128354</v>
      </c>
      <c r="N9" s="38">
        <f t="shared" si="6"/>
        <v>-3.9712677639842582</v>
      </c>
      <c r="O9" s="38">
        <f>A_paceblend*Raw_Teams!G9+(1-A_paceblend)*AVERAGE(Raw_Teams!$G$8:$G$37)</f>
        <v>97.775999999999982</v>
      </c>
      <c r="P9" s="17">
        <f t="shared" si="7"/>
        <v>26</v>
      </c>
      <c r="Q9" s="17">
        <f t="shared" si="8"/>
        <v>26</v>
      </c>
      <c r="R9" s="17">
        <f t="shared" si="9"/>
        <v>24</v>
      </c>
      <c r="S9" s="36">
        <f>Raw_Teams!M9</f>
        <v>31.308900211215541</v>
      </c>
      <c r="T9" s="14">
        <f t="shared" si="10"/>
        <v>0</v>
      </c>
    </row>
    <row r="10" spans="1:20" ht="15" customHeight="1" x14ac:dyDescent="0.3">
      <c r="A10" s="7" t="str">
        <f>Raw_Teams!A10</f>
        <v>BOS</v>
      </c>
      <c r="B10" s="7" t="str">
        <f>Raw_Teams!B10</f>
        <v>E</v>
      </c>
      <c r="C10" s="7" t="str">
        <f>Raw_Teams!C10</f>
        <v>Atlantic</v>
      </c>
      <c r="D10" s="23">
        <f t="shared" si="0"/>
        <v>3.6911298691320775</v>
      </c>
      <c r="E10" s="23">
        <f t="shared" si="1"/>
        <v>4.3999012778919795</v>
      </c>
      <c r="F10" s="36">
        <f>Raw_Teams!D10</f>
        <v>7.37</v>
      </c>
      <c r="G10" s="37">
        <f>Raw_Teams!F10</f>
        <v>0.63555852487033393</v>
      </c>
      <c r="H10" s="23">
        <f t="shared" si="2"/>
        <v>4.0834647926937997</v>
      </c>
      <c r="I10" s="36">
        <f>INDEX(Overrides!$B$52:$B$81,MATCH(A10,Overrides!$A$52:$A$81,0))</f>
        <v>0</v>
      </c>
      <c r="J10" s="23">
        <f t="shared" si="3"/>
        <v>4.1092264857515719</v>
      </c>
      <c r="K10" s="14">
        <f t="shared" si="4"/>
        <v>51.027760980836348</v>
      </c>
      <c r="L10" s="38">
        <f>A_lgortg+J10/2+((Raw_Teams!J10-AVERAGE(Raw_Teams!$J$8:$J$37))-(Raw_Teams!K10-AVERAGE(Raw_Teams!$K$8:$K$37)))/2</f>
        <v>117.52290935417717</v>
      </c>
      <c r="M10" s="38">
        <f t="shared" si="5"/>
        <v>113.4136828684256</v>
      </c>
      <c r="N10" s="38">
        <f t="shared" si="6"/>
        <v>4.1092264857515772</v>
      </c>
      <c r="O10" s="38">
        <f>A_paceblend*Raw_Teams!G10+(1-A_paceblend)*AVERAGE(Raw_Teams!$G$8:$G$37)</f>
        <v>96.165999999999997</v>
      </c>
      <c r="P10" s="17">
        <f t="shared" si="7"/>
        <v>4</v>
      </c>
      <c r="Q10" s="17">
        <f t="shared" si="8"/>
        <v>7</v>
      </c>
      <c r="R10" s="17">
        <f t="shared" si="9"/>
        <v>3</v>
      </c>
      <c r="S10" s="36">
        <f>Raw_Teams!M10</f>
        <v>51.027760980836362</v>
      </c>
      <c r="T10" s="14">
        <f t="shared" si="10"/>
        <v>0</v>
      </c>
    </row>
    <row r="11" spans="1:20" ht="15" customHeight="1" x14ac:dyDescent="0.3">
      <c r="A11" s="7" t="str">
        <f>Raw_Teams!A11</f>
        <v>CHA</v>
      </c>
      <c r="B11" s="7" t="str">
        <f>Raw_Teams!B11</f>
        <v>E</v>
      </c>
      <c r="C11" s="7" t="str">
        <f>Raw_Teams!C11</f>
        <v>Southeast</v>
      </c>
      <c r="D11" s="23">
        <f t="shared" si="0"/>
        <v>-1.5298477247813738</v>
      </c>
      <c r="E11" s="23">
        <f t="shared" si="1"/>
        <v>-0.82107631602147146</v>
      </c>
      <c r="F11" s="36">
        <f>Raw_Teams!D11</f>
        <v>4.4800000000000004</v>
      </c>
      <c r="G11" s="37">
        <f>Raw_Teams!F11</f>
        <v>0.58377687533305611</v>
      </c>
      <c r="H11" s="23">
        <f t="shared" si="2"/>
        <v>-1.3296109037533017</v>
      </c>
      <c r="I11" s="36">
        <f>INDEX(Overrides!$B$52:$B$81,MATCH(A11,Overrides!$A$52:$A$81,0))</f>
        <v>0</v>
      </c>
      <c r="J11" s="23">
        <f t="shared" si="3"/>
        <v>-1.3038492106955291</v>
      </c>
      <c r="K11" s="14">
        <f t="shared" si="4"/>
        <v>37.818211825207889</v>
      </c>
      <c r="L11" s="38">
        <f>A_lgortg+J11/2+((Raw_Teams!J11-AVERAGE(Raw_Teams!$J$8:$J$37))-(Raw_Teams!K11-AVERAGE(Raw_Teams!$K$8:$K$37)))/2</f>
        <v>115.1085133067334</v>
      </c>
      <c r="M11" s="38">
        <f t="shared" si="5"/>
        <v>116.41236251742893</v>
      </c>
      <c r="N11" s="38">
        <f t="shared" si="6"/>
        <v>-1.3038492106955317</v>
      </c>
      <c r="O11" s="38">
        <f>A_paceblend*Raw_Teams!G11+(1-A_paceblend)*AVERAGE(Raw_Teams!$G$8:$G$37)</f>
        <v>97.565999999999988</v>
      </c>
      <c r="P11" s="17">
        <f t="shared" si="7"/>
        <v>19</v>
      </c>
      <c r="Q11" s="17">
        <f t="shared" si="8"/>
        <v>19</v>
      </c>
      <c r="R11" s="17">
        <f t="shared" si="9"/>
        <v>20</v>
      </c>
      <c r="S11" s="36">
        <f>Raw_Teams!M11</f>
        <v>37.818211825207889</v>
      </c>
      <c r="T11" s="14">
        <f t="shared" si="10"/>
        <v>0</v>
      </c>
    </row>
    <row r="12" spans="1:20" ht="15" customHeight="1" x14ac:dyDescent="0.3">
      <c r="A12" s="7" t="str">
        <f>Raw_Teams!A12</f>
        <v>CHI</v>
      </c>
      <c r="B12" s="7" t="str">
        <f>Raw_Teams!B12</f>
        <v>E</v>
      </c>
      <c r="C12" s="7" t="str">
        <f>Raw_Teams!C12</f>
        <v>Central</v>
      </c>
      <c r="D12" s="23">
        <f t="shared" si="0"/>
        <v>-4.6406549095475595</v>
      </c>
      <c r="E12" s="23">
        <f t="shared" si="1"/>
        <v>-3.9318835007876571</v>
      </c>
      <c r="F12" s="36">
        <f>Raw_Teams!D12</f>
        <v>-5.09</v>
      </c>
      <c r="G12" s="37">
        <f>Raw_Teams!F12</f>
        <v>0.48218317910205211</v>
      </c>
      <c r="H12" s="23">
        <f t="shared" si="2"/>
        <v>-3.735083412444935</v>
      </c>
      <c r="I12" s="36">
        <f>INDEX(Overrides!$B$52:$B$81,MATCH(A12,Overrides!$A$52:$A$81,0))</f>
        <v>0</v>
      </c>
      <c r="J12" s="23">
        <f t="shared" si="3"/>
        <v>-3.7093217193871624</v>
      </c>
      <c r="K12" s="14">
        <f t="shared" si="4"/>
        <v>31.948128137493921</v>
      </c>
      <c r="L12" s="38">
        <f>A_lgortg+J12/2+((Raw_Teams!J12-AVERAGE(Raw_Teams!$J$8:$J$37))-(Raw_Teams!K12-AVERAGE(Raw_Teams!$K$8:$K$37)))/2</f>
        <v>113.26982782614962</v>
      </c>
      <c r="M12" s="38">
        <f t="shared" si="5"/>
        <v>116.97914954553679</v>
      </c>
      <c r="N12" s="38">
        <f t="shared" si="6"/>
        <v>-3.7093217193871624</v>
      </c>
      <c r="O12" s="38">
        <f>A_paceblend*Raw_Teams!G12+(1-A_paceblend)*AVERAGE(Raw_Teams!$G$8:$G$37)</f>
        <v>101.556</v>
      </c>
      <c r="P12" s="17">
        <f t="shared" si="7"/>
        <v>25</v>
      </c>
      <c r="Q12" s="17">
        <f t="shared" si="8"/>
        <v>25</v>
      </c>
      <c r="R12" s="17">
        <f t="shared" si="9"/>
        <v>23</v>
      </c>
      <c r="S12" s="36">
        <f>Raw_Teams!M12</f>
        <v>31.948128137493921</v>
      </c>
      <c r="T12" s="14">
        <f t="shared" si="10"/>
        <v>0</v>
      </c>
    </row>
    <row r="13" spans="1:20" ht="15" customHeight="1" x14ac:dyDescent="0.3">
      <c r="A13" s="7" t="str">
        <f>Raw_Teams!A13</f>
        <v>CLE</v>
      </c>
      <c r="B13" s="7" t="str">
        <f>Raw_Teams!B13</f>
        <v>E</v>
      </c>
      <c r="C13" s="7" t="str">
        <f>Raw_Teams!C13</f>
        <v>Central</v>
      </c>
      <c r="D13" s="23">
        <f t="shared" si="0"/>
        <v>1.7041578644624737</v>
      </c>
      <c r="E13" s="23">
        <f t="shared" si="1"/>
        <v>2.4129292732223759</v>
      </c>
      <c r="F13" s="36">
        <f>Raw_Teams!D13</f>
        <v>3.78</v>
      </c>
      <c r="G13" s="37">
        <f>Raw_Teams!F13</f>
        <v>0.68096463885154745</v>
      </c>
      <c r="H13" s="23">
        <f t="shared" si="2"/>
        <v>2.2693161059054834</v>
      </c>
      <c r="I13" s="36">
        <f>INDEX(Overrides!$B$52:$B$81,MATCH(A13,Overrides!$A$52:$A$81,0))</f>
        <v>0</v>
      </c>
      <c r="J13" s="23">
        <f t="shared" si="3"/>
        <v>2.295077798963256</v>
      </c>
      <c r="K13" s="14">
        <f t="shared" si="4"/>
        <v>46.600687058800119</v>
      </c>
      <c r="L13" s="38">
        <f>A_lgortg+J13/2+((Raw_Teams!J13-AVERAGE(Raw_Teams!$J$8:$J$37))-(Raw_Teams!K13-AVERAGE(Raw_Teams!$K$8:$K$37)))/2</f>
        <v>118.14256408053626</v>
      </c>
      <c r="M13" s="38">
        <f t="shared" si="5"/>
        <v>115.847486281573</v>
      </c>
      <c r="N13" s="38">
        <f t="shared" si="6"/>
        <v>2.2950777989632627</v>
      </c>
      <c r="O13" s="38">
        <f>A_paceblend*Raw_Teams!G13+(1-A_paceblend)*AVERAGE(Raw_Teams!$G$8:$G$37)</f>
        <v>99.73599999999999</v>
      </c>
      <c r="P13" s="17">
        <f t="shared" si="7"/>
        <v>8</v>
      </c>
      <c r="Q13" s="17">
        <f t="shared" si="8"/>
        <v>4</v>
      </c>
      <c r="R13" s="17">
        <f t="shared" si="9"/>
        <v>16</v>
      </c>
      <c r="S13" s="36">
        <f>Raw_Teams!M13</f>
        <v>46.600687058800119</v>
      </c>
      <c r="T13" s="14">
        <f t="shared" si="10"/>
        <v>0</v>
      </c>
    </row>
    <row r="14" spans="1:20" ht="15" customHeight="1" x14ac:dyDescent="0.3">
      <c r="A14" s="7" t="str">
        <f>Raw_Teams!A14</f>
        <v>DAL</v>
      </c>
      <c r="B14" s="7" t="str">
        <f>Raw_Teams!B14</f>
        <v>W</v>
      </c>
      <c r="C14" s="7" t="str">
        <f>Raw_Teams!C14</f>
        <v>Southwest</v>
      </c>
      <c r="D14" s="23">
        <f t="shared" si="0"/>
        <v>-3.8088732263057592</v>
      </c>
      <c r="E14" s="23">
        <f t="shared" si="1"/>
        <v>-3.1001018175458568</v>
      </c>
      <c r="F14" s="36">
        <f>Raw_Teams!D14</f>
        <v>-5.33</v>
      </c>
      <c r="G14" s="37">
        <f>Raw_Teams!F14</f>
        <v>0.57845022892038467</v>
      </c>
      <c r="H14" s="23">
        <f t="shared" si="2"/>
        <v>-2.8825457636906768</v>
      </c>
      <c r="I14" s="36">
        <f>INDEX(Overrides!$B$52:$B$81,MATCH(A14,Overrides!$A$52:$A$81,0))</f>
        <v>0</v>
      </c>
      <c r="J14" s="23">
        <f t="shared" si="3"/>
        <v>-2.8567840706329042</v>
      </c>
      <c r="K14" s="14">
        <f t="shared" si="4"/>
        <v>34.028578995706546</v>
      </c>
      <c r="L14" s="38">
        <f>A_lgortg+J14/2+((Raw_Teams!J14-AVERAGE(Raw_Teams!$J$8:$J$37))-(Raw_Teams!K14-AVERAGE(Raw_Teams!$K$8:$K$37)))/2</f>
        <v>112.92562633246398</v>
      </c>
      <c r="M14" s="38">
        <f t="shared" si="5"/>
        <v>115.78241040309688</v>
      </c>
      <c r="N14" s="38">
        <f t="shared" si="6"/>
        <v>-2.856784070632898</v>
      </c>
      <c r="O14" s="38">
        <f>A_paceblend*Raw_Teams!G14+(1-A_paceblend)*AVERAGE(Raw_Teams!$G$8:$G$37)</f>
        <v>100.996</v>
      </c>
      <c r="P14" s="17">
        <f t="shared" si="7"/>
        <v>22</v>
      </c>
      <c r="Q14" s="17">
        <f t="shared" si="8"/>
        <v>28</v>
      </c>
      <c r="R14" s="17">
        <f t="shared" si="9"/>
        <v>15</v>
      </c>
      <c r="S14" s="36">
        <f>Raw_Teams!M14</f>
        <v>34.028578995706553</v>
      </c>
      <c r="T14" s="14">
        <f t="shared" si="10"/>
        <v>0</v>
      </c>
    </row>
    <row r="15" spans="1:20" ht="15" customHeight="1" x14ac:dyDescent="0.3">
      <c r="A15" s="7" t="str">
        <f>Raw_Teams!A15</f>
        <v>DEN</v>
      </c>
      <c r="B15" s="7" t="str">
        <f>Raw_Teams!B15</f>
        <v>W</v>
      </c>
      <c r="C15" s="7" t="str">
        <f>Raw_Teams!C15</f>
        <v>Northwest</v>
      </c>
      <c r="D15" s="23">
        <f t="shared" si="0"/>
        <v>2.1582465548327661</v>
      </c>
      <c r="E15" s="23">
        <f t="shared" si="1"/>
        <v>2.8670179635926685</v>
      </c>
      <c r="F15" s="36">
        <f>Raw_Teams!D15</f>
        <v>4.97</v>
      </c>
      <c r="G15" s="37">
        <f>Raw_Teams!F15</f>
        <v>0.60324974136608034</v>
      </c>
      <c r="H15" s="23">
        <f t="shared" si="2"/>
        <v>2.6131233642552916</v>
      </c>
      <c r="I15" s="36">
        <f>INDEX(Overrides!$B$52:$B$81,MATCH(A15,Overrides!$A$52:$A$81,0))</f>
        <v>0</v>
      </c>
      <c r="J15" s="23">
        <f t="shared" si="3"/>
        <v>2.6388850573130642</v>
      </c>
      <c r="K15" s="14">
        <f t="shared" si="4"/>
        <v>47.439681215525937</v>
      </c>
      <c r="L15" s="38">
        <f>A_lgortg+J15/2+((Raw_Teams!J15-AVERAGE(Raw_Teams!$J$8:$J$37))-(Raw_Teams!K15-AVERAGE(Raw_Teams!$K$8:$K$37)))/2</f>
        <v>120.21997716883145</v>
      </c>
      <c r="M15" s="38">
        <f t="shared" si="5"/>
        <v>117.58109211151839</v>
      </c>
      <c r="N15" s="38">
        <f t="shared" si="6"/>
        <v>2.6388850573130611</v>
      </c>
      <c r="O15" s="38">
        <f>A_paceblend*Raw_Teams!G15+(1-A_paceblend)*AVERAGE(Raw_Teams!$G$8:$G$37)</f>
        <v>98.685999999999993</v>
      </c>
      <c r="P15" s="17">
        <f t="shared" si="7"/>
        <v>6</v>
      </c>
      <c r="Q15" s="17">
        <f t="shared" si="8"/>
        <v>1</v>
      </c>
      <c r="R15" s="17">
        <f t="shared" si="9"/>
        <v>26</v>
      </c>
      <c r="S15" s="36">
        <f>Raw_Teams!M15</f>
        <v>47.43968121552593</v>
      </c>
      <c r="T15" s="14">
        <f t="shared" si="10"/>
        <v>0</v>
      </c>
    </row>
    <row r="16" spans="1:20" ht="15" customHeight="1" x14ac:dyDescent="0.3">
      <c r="A16" s="7" t="str">
        <f>Raw_Teams!A16</f>
        <v>DET</v>
      </c>
      <c r="B16" s="7" t="str">
        <f>Raw_Teams!B16</f>
        <v>E</v>
      </c>
      <c r="C16" s="7" t="str">
        <f>Raw_Teams!C16</f>
        <v>Central</v>
      </c>
      <c r="D16" s="23">
        <f t="shared" si="0"/>
        <v>2.1880355696586098</v>
      </c>
      <c r="E16" s="23">
        <f t="shared" si="1"/>
        <v>2.8968069784185122</v>
      </c>
      <c r="F16" s="36">
        <f>Raw_Teams!D16</f>
        <v>7.53</v>
      </c>
      <c r="G16" s="37">
        <f>Raw_Teams!F16</f>
        <v>0.67332707996834518</v>
      </c>
      <c r="H16" s="23">
        <f t="shared" si="2"/>
        <v>2.4883762729886829</v>
      </c>
      <c r="I16" s="36">
        <f>INDEX(Overrides!$B$52:$B$81,MATCH(A16,Overrides!$A$52:$A$81,0))</f>
        <v>0</v>
      </c>
      <c r="J16" s="23">
        <f t="shared" si="3"/>
        <v>2.5141379660464556</v>
      </c>
      <c r="K16" s="14">
        <f t="shared" si="4"/>
        <v>47.135260415501001</v>
      </c>
      <c r="L16" s="38">
        <f>A_lgortg+J16/2+((Raw_Teams!J16-AVERAGE(Raw_Teams!$J$8:$J$37))-(Raw_Teams!K16-AVERAGE(Raw_Teams!$K$8:$K$37)))/2</f>
        <v>116.23109042531037</v>
      </c>
      <c r="M16" s="38">
        <f t="shared" si="5"/>
        <v>113.71695245926391</v>
      </c>
      <c r="N16" s="38">
        <f t="shared" si="6"/>
        <v>2.5141379660464622</v>
      </c>
      <c r="O16" s="38">
        <f>A_paceblend*Raw_Teams!G16+(1-A_paceblend)*AVERAGE(Raw_Teams!$G$8:$G$37)</f>
        <v>99.315999999999988</v>
      </c>
      <c r="P16" s="17">
        <f t="shared" si="7"/>
        <v>7</v>
      </c>
      <c r="Q16" s="17">
        <f t="shared" si="8"/>
        <v>14</v>
      </c>
      <c r="R16" s="17">
        <f t="shared" si="9"/>
        <v>6</v>
      </c>
      <c r="S16" s="36">
        <f>Raw_Teams!M16</f>
        <v>47.135260415501001</v>
      </c>
      <c r="T16" s="14">
        <f t="shared" si="10"/>
        <v>0</v>
      </c>
    </row>
    <row r="17" spans="1:20" ht="15" customHeight="1" x14ac:dyDescent="0.3">
      <c r="A17" s="7" t="str">
        <f>Raw_Teams!A17</f>
        <v>GSW</v>
      </c>
      <c r="B17" s="7" t="str">
        <f>Raw_Teams!B17</f>
        <v>W</v>
      </c>
      <c r="C17" s="7" t="str">
        <f>Raw_Teams!C17</f>
        <v>Pacific</v>
      </c>
      <c r="D17" s="23">
        <f t="shared" si="0"/>
        <v>0.3959507027286493</v>
      </c>
      <c r="E17" s="23">
        <f t="shared" si="1"/>
        <v>1.1047221114885515</v>
      </c>
      <c r="F17" s="36">
        <f>Raw_Teams!D17</f>
        <v>-0.34</v>
      </c>
      <c r="G17" s="37">
        <f>Raw_Teams!F17</f>
        <v>0.74428018417198871</v>
      </c>
      <c r="H17" s="23">
        <f t="shared" si="2"/>
        <v>1.1803078546110133</v>
      </c>
      <c r="I17" s="36">
        <f>INDEX(Overrides!$B$52:$B$81,MATCH(A17,Overrides!$A$52:$A$81,0))</f>
        <v>0</v>
      </c>
      <c r="J17" s="23">
        <f t="shared" si="3"/>
        <v>1.2060695476687859</v>
      </c>
      <c r="K17" s="14">
        <f t="shared" si="4"/>
        <v>43.943176092197312</v>
      </c>
      <c r="L17" s="38">
        <f>A_lgortg+J17/2+((Raw_Teams!J17-AVERAGE(Raw_Teams!$J$8:$J$37))-(Raw_Teams!K17-AVERAGE(Raw_Teams!$K$8:$K$37)))/2</f>
        <v>115.44933234466347</v>
      </c>
      <c r="M17" s="38">
        <f t="shared" si="5"/>
        <v>114.24326279699469</v>
      </c>
      <c r="N17" s="38">
        <f t="shared" si="6"/>
        <v>1.2060695476687897</v>
      </c>
      <c r="O17" s="38">
        <f>A_paceblend*Raw_Teams!G17+(1-A_paceblend)*AVERAGE(Raw_Teams!$G$8:$G$37)</f>
        <v>99.105999999999995</v>
      </c>
      <c r="P17" s="17">
        <f t="shared" si="7"/>
        <v>14</v>
      </c>
      <c r="Q17" s="17">
        <f t="shared" si="8"/>
        <v>18</v>
      </c>
      <c r="R17" s="17">
        <f t="shared" si="9"/>
        <v>7</v>
      </c>
      <c r="S17" s="36">
        <f>Raw_Teams!M17</f>
        <v>43.943176092197312</v>
      </c>
      <c r="T17" s="14">
        <f t="shared" si="10"/>
        <v>0</v>
      </c>
    </row>
    <row r="18" spans="1:20" ht="15" customHeight="1" x14ac:dyDescent="0.3">
      <c r="A18" s="7" t="str">
        <f>Raw_Teams!A18</f>
        <v>HOU</v>
      </c>
      <c r="B18" s="7" t="str">
        <f>Raw_Teams!B18</f>
        <v>W</v>
      </c>
      <c r="C18" s="7" t="str">
        <f>Raw_Teams!C18</f>
        <v>Southwest</v>
      </c>
      <c r="D18" s="23">
        <f t="shared" si="0"/>
        <v>4.4481536442451519</v>
      </c>
      <c r="E18" s="23">
        <f t="shared" si="1"/>
        <v>5.1569250530050539</v>
      </c>
      <c r="F18" s="36">
        <f>Raw_Teams!D18</f>
        <v>4.87</v>
      </c>
      <c r="G18" s="37">
        <f>Raw_Teams!F18</f>
        <v>0.68683930663604698</v>
      </c>
      <c r="H18" s="23">
        <f t="shared" si="2"/>
        <v>5.1446931378618306</v>
      </c>
      <c r="I18" s="36">
        <f>INDEX(Overrides!$B$52:$B$81,MATCH(A18,Overrides!$A$52:$A$81,0))</f>
        <v>0</v>
      </c>
      <c r="J18" s="23">
        <f t="shared" si="3"/>
        <v>5.1704548309196028</v>
      </c>
      <c r="K18" s="14">
        <f t="shared" si="4"/>
        <v>53.617480537140423</v>
      </c>
      <c r="L18" s="38">
        <f>A_lgortg+J18/2+((Raw_Teams!J18-AVERAGE(Raw_Teams!$J$8:$J$37))-(Raw_Teams!K18-AVERAGE(Raw_Teams!$K$8:$K$37)))/2</f>
        <v>118.32129130533097</v>
      </c>
      <c r="M18" s="38">
        <f t="shared" si="5"/>
        <v>113.15083647441136</v>
      </c>
      <c r="N18" s="38">
        <f t="shared" si="6"/>
        <v>5.1704548309196099</v>
      </c>
      <c r="O18" s="38">
        <f>A_paceblend*Raw_Teams!G18+(1-A_paceblend)*AVERAGE(Raw_Teams!$G$8:$G$37)</f>
        <v>97.075999999999993</v>
      </c>
      <c r="P18" s="17">
        <f t="shared" si="7"/>
        <v>3</v>
      </c>
      <c r="Q18" s="17">
        <f t="shared" si="8"/>
        <v>3</v>
      </c>
      <c r="R18" s="17">
        <f t="shared" si="9"/>
        <v>2</v>
      </c>
      <c r="S18" s="36">
        <f>Raw_Teams!M18</f>
        <v>53.617480537140423</v>
      </c>
      <c r="T18" s="14">
        <f t="shared" si="10"/>
        <v>0</v>
      </c>
    </row>
    <row r="19" spans="1:20" ht="15" customHeight="1" x14ac:dyDescent="0.3">
      <c r="A19" s="7" t="str">
        <f>Raw_Teams!A19</f>
        <v>IND</v>
      </c>
      <c r="B19" s="7" t="str">
        <f>Raw_Teams!B19</f>
        <v>E</v>
      </c>
      <c r="C19" s="7" t="str">
        <f>Raw_Teams!C19</f>
        <v>Central</v>
      </c>
      <c r="D19" s="23">
        <f t="shared" si="0"/>
        <v>-0.77549853345387065</v>
      </c>
      <c r="E19" s="23">
        <f t="shared" si="1"/>
        <v>-6.6727124693968354E-2</v>
      </c>
      <c r="F19" s="36">
        <f>Raw_Teams!D19</f>
        <v>-7.64</v>
      </c>
      <c r="G19" s="37">
        <f>Raw_Teams!F19</f>
        <v>0.75761535031880112</v>
      </c>
      <c r="H19" s="23">
        <f t="shared" si="2"/>
        <v>0.41543208189011316</v>
      </c>
      <c r="I19" s="36">
        <f>INDEX(Overrides!$B$52:$B$81,MATCH(A19,Overrides!$A$52:$A$81,0))</f>
        <v>0</v>
      </c>
      <c r="J19" s="23">
        <f t="shared" si="3"/>
        <v>0.44119377494788575</v>
      </c>
      <c r="K19" s="14">
        <f t="shared" si="4"/>
        <v>42.076646842599409</v>
      </c>
      <c r="L19" s="38">
        <f>A_lgortg+J19/2+((Raw_Teams!J19-AVERAGE(Raw_Teams!$J$8:$J$37))-(Raw_Teams!K19-AVERAGE(Raw_Teams!$K$8:$K$37)))/2</f>
        <v>116.70869478605157</v>
      </c>
      <c r="M19" s="38">
        <f t="shared" si="5"/>
        <v>116.26750101110368</v>
      </c>
      <c r="N19" s="38">
        <f t="shared" si="6"/>
        <v>0.44119377494789092</v>
      </c>
      <c r="O19" s="38">
        <f>A_paceblend*Raw_Teams!G19+(1-A_paceblend)*AVERAGE(Raw_Teams!$G$8:$G$37)</f>
        <v>100.50599999999999</v>
      </c>
      <c r="P19" s="17">
        <f t="shared" si="7"/>
        <v>16</v>
      </c>
      <c r="Q19" s="17">
        <f t="shared" si="8"/>
        <v>12</v>
      </c>
      <c r="R19" s="17">
        <f t="shared" si="9"/>
        <v>19</v>
      </c>
      <c r="S19" s="36">
        <f>Raw_Teams!M19</f>
        <v>42.076646842599409</v>
      </c>
      <c r="T19" s="14">
        <f t="shared" si="10"/>
        <v>0</v>
      </c>
    </row>
    <row r="20" spans="1:20" ht="15" customHeight="1" x14ac:dyDescent="0.3">
      <c r="A20" s="7" t="str">
        <f>Raw_Teams!A20</f>
        <v>LAC</v>
      </c>
      <c r="B20" s="7" t="str">
        <f>Raw_Teams!B20</f>
        <v>W</v>
      </c>
      <c r="C20" s="7" t="str">
        <f>Raw_Teams!C20</f>
        <v>Pacific</v>
      </c>
      <c r="D20" s="23">
        <f t="shared" si="0"/>
        <v>-4.3910804327244941</v>
      </c>
      <c r="E20" s="23">
        <f t="shared" si="1"/>
        <v>-3.6823090239645917</v>
      </c>
      <c r="F20" s="36">
        <f>Raw_Teams!D20</f>
        <v>0.96</v>
      </c>
      <c r="G20" s="37">
        <f>Raw_Teams!F20</f>
        <v>0.50340435745196899</v>
      </c>
      <c r="H20" s="23">
        <f t="shared" si="2"/>
        <v>-4.1008326053687805</v>
      </c>
      <c r="I20" s="36">
        <f>INDEX(Overrides!$B$52:$B$81,MATCH(A20,Overrides!$A$52:$A$81,0))</f>
        <v>0</v>
      </c>
      <c r="J20" s="23">
        <f t="shared" si="3"/>
        <v>-4.0750709123110083</v>
      </c>
      <c r="K20" s="14">
        <f t="shared" si="4"/>
        <v>31.055588994594057</v>
      </c>
      <c r="L20" s="38">
        <f>A_lgortg+J20/2+((Raw_Teams!J20-AVERAGE(Raw_Teams!$J$8:$J$37))-(Raw_Teams!K20-AVERAGE(Raw_Teams!$K$8:$K$37)))/2</f>
        <v>112.38623598183383</v>
      </c>
      <c r="M20" s="38">
        <f t="shared" si="5"/>
        <v>116.46130689414484</v>
      </c>
      <c r="N20" s="38">
        <f t="shared" si="6"/>
        <v>-4.0750709123110056</v>
      </c>
      <c r="O20" s="38">
        <f>A_paceblend*Raw_Teams!G20+(1-A_paceblend)*AVERAGE(Raw_Teams!$G$8:$G$37)</f>
        <v>97.355999999999995</v>
      </c>
      <c r="P20" s="17">
        <f t="shared" si="7"/>
        <v>27</v>
      </c>
      <c r="Q20" s="17">
        <f t="shared" si="8"/>
        <v>29</v>
      </c>
      <c r="R20" s="17">
        <f t="shared" si="9"/>
        <v>21</v>
      </c>
      <c r="S20" s="36">
        <f>Raw_Teams!M20</f>
        <v>31.055588994594061</v>
      </c>
      <c r="T20" s="14">
        <f t="shared" si="10"/>
        <v>0</v>
      </c>
    </row>
    <row r="21" spans="1:20" ht="15" customHeight="1" x14ac:dyDescent="0.3">
      <c r="A21" s="7" t="str">
        <f>Raw_Teams!A21</f>
        <v>LAL</v>
      </c>
      <c r="B21" s="7" t="str">
        <f>Raw_Teams!B21</f>
        <v>W</v>
      </c>
      <c r="C21" s="7" t="str">
        <f>Raw_Teams!C21</f>
        <v>Pacific</v>
      </c>
      <c r="D21" s="23">
        <f t="shared" si="0"/>
        <v>1.3854287026624519</v>
      </c>
      <c r="E21" s="23">
        <f t="shared" si="1"/>
        <v>2.0942001114223543</v>
      </c>
      <c r="F21" s="36">
        <f>Raw_Teams!D21</f>
        <v>1.68</v>
      </c>
      <c r="G21" s="37">
        <f>Raw_Teams!F21</f>
        <v>0.4236463251687273</v>
      </c>
      <c r="H21" s="23">
        <f t="shared" si="2"/>
        <v>2.0325744727459725</v>
      </c>
      <c r="I21" s="36">
        <f>INDEX(Overrides!$B$52:$B$81,MATCH(A21,Overrides!$A$52:$A$81,0))</f>
        <v>0</v>
      </c>
      <c r="J21" s="23">
        <f t="shared" si="3"/>
        <v>2.0583361658037451</v>
      </c>
      <c r="K21" s="14">
        <f t="shared" si="4"/>
        <v>46.022965553361551</v>
      </c>
      <c r="L21" s="38">
        <f>A_lgortg+J21/2+((Raw_Teams!J21-AVERAGE(Raw_Teams!$J$8:$J$37))-(Raw_Teams!K21-AVERAGE(Raw_Teams!$K$8:$K$37)))/2</f>
        <v>117.71013159655813</v>
      </c>
      <c r="M21" s="38">
        <f t="shared" si="5"/>
        <v>115.65179543075438</v>
      </c>
      <c r="N21" s="38">
        <f t="shared" si="6"/>
        <v>2.0583361658037518</v>
      </c>
      <c r="O21" s="38">
        <f>A_paceblend*Raw_Teams!G21+(1-A_paceblend)*AVERAGE(Raw_Teams!$G$8:$G$37)</f>
        <v>98.615999999999985</v>
      </c>
      <c r="P21" s="17">
        <f t="shared" si="7"/>
        <v>9</v>
      </c>
      <c r="Q21" s="17">
        <f t="shared" si="8"/>
        <v>6</v>
      </c>
      <c r="R21" s="17">
        <f t="shared" si="9"/>
        <v>14</v>
      </c>
      <c r="S21" s="36">
        <f>Raw_Teams!M21</f>
        <v>46.022965553361551</v>
      </c>
      <c r="T21" s="14">
        <f t="shared" si="10"/>
        <v>0</v>
      </c>
    </row>
    <row r="22" spans="1:20" ht="15" customHeight="1" x14ac:dyDescent="0.3">
      <c r="A22" s="7" t="str">
        <f>Raw_Teams!A22</f>
        <v>MEM</v>
      </c>
      <c r="B22" s="7" t="str">
        <f>Raw_Teams!B22</f>
        <v>W</v>
      </c>
      <c r="C22" s="7" t="str">
        <f>Raw_Teams!C22</f>
        <v>Southwest</v>
      </c>
      <c r="D22" s="23">
        <f t="shared" si="0"/>
        <v>-2.9502658307679259</v>
      </c>
      <c r="E22" s="23">
        <f t="shared" si="1"/>
        <v>-2.2414944220080235</v>
      </c>
      <c r="F22" s="36">
        <f>Raw_Teams!D22</f>
        <v>-5.83</v>
      </c>
      <c r="G22" s="37">
        <f>Raw_Teams!F22</f>
        <v>0.59926849386774383</v>
      </c>
      <c r="H22" s="23">
        <f t="shared" si="2"/>
        <v>-1.9273970888188461</v>
      </c>
      <c r="I22" s="36">
        <f>INDEX(Overrides!$B$52:$B$81,MATCH(A22,Overrides!$A$52:$A$81,0))</f>
        <v>0</v>
      </c>
      <c r="J22" s="23">
        <f t="shared" si="3"/>
        <v>-1.9016353957610734</v>
      </c>
      <c r="K22" s="14">
        <f t="shared" si="4"/>
        <v>36.359431930191491</v>
      </c>
      <c r="L22" s="38">
        <f>A_lgortg+J22/2+((Raw_Teams!J22-AVERAGE(Raw_Teams!$J$8:$J$37))-(Raw_Teams!K22-AVERAGE(Raw_Teams!$K$8:$K$37)))/2</f>
        <v>114.79591395097138</v>
      </c>
      <c r="M22" s="38">
        <f t="shared" si="5"/>
        <v>116.69754934673246</v>
      </c>
      <c r="N22" s="38">
        <f t="shared" si="6"/>
        <v>-1.9016353957610761</v>
      </c>
      <c r="O22" s="38">
        <f>A_paceblend*Raw_Teams!G22+(1-A_paceblend)*AVERAGE(Raw_Teams!$G$8:$G$37)</f>
        <v>100.71599999999999</v>
      </c>
      <c r="P22" s="17">
        <f t="shared" si="7"/>
        <v>21</v>
      </c>
      <c r="Q22" s="17">
        <f t="shared" si="8"/>
        <v>21</v>
      </c>
      <c r="R22" s="17">
        <f t="shared" si="9"/>
        <v>22</v>
      </c>
      <c r="S22" s="36">
        <f>Raw_Teams!M22</f>
        <v>36.359431930191491</v>
      </c>
      <c r="T22" s="14">
        <f t="shared" si="10"/>
        <v>0</v>
      </c>
    </row>
    <row r="23" spans="1:20" ht="15" customHeight="1" x14ac:dyDescent="0.3">
      <c r="A23" s="7" t="str">
        <f>Raw_Teams!A23</f>
        <v>MIA</v>
      </c>
      <c r="B23" s="7" t="str">
        <f>Raw_Teams!B23</f>
        <v>E</v>
      </c>
      <c r="C23" s="7" t="str">
        <f>Raw_Teams!C23</f>
        <v>Southeast</v>
      </c>
      <c r="D23" s="23">
        <f t="shared" si="0"/>
        <v>-1.8714637503391052</v>
      </c>
      <c r="E23" s="23">
        <f t="shared" si="1"/>
        <v>-1.162692341579203</v>
      </c>
      <c r="F23" s="36">
        <f>Raw_Teams!D23</f>
        <v>2.35</v>
      </c>
      <c r="G23" s="37">
        <f>Raw_Teams!F23</f>
        <v>0.48064223652156929</v>
      </c>
      <c r="H23" s="23">
        <f t="shared" si="2"/>
        <v>-1.5351653142401966</v>
      </c>
      <c r="I23" s="36">
        <f>INDEX(Overrides!$B$52:$B$81,MATCH(A23,Overrides!$A$52:$A$81,0))</f>
        <v>0</v>
      </c>
      <c r="J23" s="23">
        <f t="shared" si="3"/>
        <v>-1.509403621182424</v>
      </c>
      <c r="K23" s="14">
        <f t="shared" si="4"/>
        <v>37.316596617560769</v>
      </c>
      <c r="L23" s="38">
        <f>A_lgortg+J23/2+((Raw_Teams!J23-AVERAGE(Raw_Teams!$J$8:$J$37))-(Raw_Teams!K23-AVERAGE(Raw_Teams!$K$8:$K$37)))/2</f>
        <v>114.01507509736491</v>
      </c>
      <c r="M23" s="38">
        <f t="shared" si="5"/>
        <v>115.52447871854734</v>
      </c>
      <c r="N23" s="38">
        <f t="shared" si="6"/>
        <v>-1.5094036211824289</v>
      </c>
      <c r="O23" s="38">
        <f>A_paceblend*Raw_Teams!G23+(1-A_paceblend)*AVERAGE(Raw_Teams!$G$8:$G$37)</f>
        <v>102.18599999999999</v>
      </c>
      <c r="P23" s="17">
        <f t="shared" si="7"/>
        <v>20</v>
      </c>
      <c r="Q23" s="17">
        <f t="shared" si="8"/>
        <v>23</v>
      </c>
      <c r="R23" s="17">
        <f t="shared" si="9"/>
        <v>12</v>
      </c>
      <c r="S23" s="36">
        <f>Raw_Teams!M23</f>
        <v>37.316596617560783</v>
      </c>
      <c r="T23" s="14">
        <f t="shared" si="10"/>
        <v>0</v>
      </c>
    </row>
    <row r="24" spans="1:20" ht="15" customHeight="1" x14ac:dyDescent="0.3">
      <c r="A24" s="7" t="str">
        <f>Raw_Teams!A24</f>
        <v>MIL</v>
      </c>
      <c r="B24" s="7" t="str">
        <f>Raw_Teams!B24</f>
        <v>E</v>
      </c>
      <c r="C24" s="7" t="str">
        <f>Raw_Teams!C24</f>
        <v>Central</v>
      </c>
      <c r="D24" s="23">
        <f t="shared" si="0"/>
        <v>-5.4286825989160752</v>
      </c>
      <c r="E24" s="23">
        <f t="shared" si="1"/>
        <v>-4.7199111901561732</v>
      </c>
      <c r="F24" s="36">
        <f>Raw_Teams!D24</f>
        <v>-6.12</v>
      </c>
      <c r="G24" s="37">
        <f>Raw_Teams!F24</f>
        <v>0.52292451862807132</v>
      </c>
      <c r="H24" s="23">
        <f t="shared" si="2"/>
        <v>-4.5094075236175808</v>
      </c>
      <c r="I24" s="36">
        <f>INDEX(Overrides!$B$52:$B$81,MATCH(A24,Overrides!$A$52:$A$81,0))</f>
        <v>0</v>
      </c>
      <c r="J24" s="23">
        <f t="shared" si="3"/>
        <v>-4.4836458305598086</v>
      </c>
      <c r="K24" s="14">
        <f t="shared" si="4"/>
        <v>30.058542071731551</v>
      </c>
      <c r="L24" s="38">
        <f>A_lgortg+J24/2+((Raw_Teams!J24-AVERAGE(Raw_Teams!$J$8:$J$37))-(Raw_Teams!K24-AVERAGE(Raw_Teams!$K$8:$K$37)))/2</f>
        <v>113.07956439522373</v>
      </c>
      <c r="M24" s="38">
        <f t="shared" si="5"/>
        <v>117.56321022578354</v>
      </c>
      <c r="N24" s="38">
        <f t="shared" si="6"/>
        <v>-4.4836458305598086</v>
      </c>
      <c r="O24" s="38">
        <f>A_paceblend*Raw_Teams!G24+(1-A_paceblend)*AVERAGE(Raw_Teams!$G$8:$G$37)</f>
        <v>98.125999999999991</v>
      </c>
      <c r="P24" s="17">
        <f t="shared" si="7"/>
        <v>28</v>
      </c>
      <c r="Q24" s="17">
        <f t="shared" si="8"/>
        <v>27</v>
      </c>
      <c r="R24" s="17">
        <f t="shared" si="9"/>
        <v>25</v>
      </c>
      <c r="S24" s="36">
        <f>Raw_Teams!M24</f>
        <v>30.058542071731569</v>
      </c>
      <c r="T24" s="14">
        <f t="shared" si="10"/>
        <v>0</v>
      </c>
    </row>
    <row r="25" spans="1:20" ht="15" customHeight="1" x14ac:dyDescent="0.3">
      <c r="A25" s="7" t="str">
        <f>Raw_Teams!A25</f>
        <v>MIN</v>
      </c>
      <c r="B25" s="7" t="str">
        <f>Raw_Teams!B25</f>
        <v>W</v>
      </c>
      <c r="C25" s="7" t="str">
        <f>Raw_Teams!C25</f>
        <v>Northwest</v>
      </c>
      <c r="D25" s="23">
        <f t="shared" si="0"/>
        <v>0.83673522208964501</v>
      </c>
      <c r="E25" s="23">
        <f t="shared" si="1"/>
        <v>1.5455066308495473</v>
      </c>
      <c r="F25" s="36">
        <f>Raw_Teams!D25</f>
        <v>3.07</v>
      </c>
      <c r="G25" s="37">
        <f>Raw_Teams!F25</f>
        <v>0.59754043603660834</v>
      </c>
      <c r="H25" s="23">
        <f t="shared" si="2"/>
        <v>1.3557786553507016</v>
      </c>
      <c r="I25" s="36">
        <f>INDEX(Overrides!$B$52:$B$81,MATCH(A25,Overrides!$A$52:$A$81,0))</f>
        <v>0</v>
      </c>
      <c r="J25" s="23">
        <f t="shared" si="3"/>
        <v>1.3815403484084743</v>
      </c>
      <c r="K25" s="14">
        <f t="shared" si="4"/>
        <v>44.371378152861226</v>
      </c>
      <c r="L25" s="38">
        <f>A_lgortg+J25/2+((Raw_Teams!J25-AVERAGE(Raw_Teams!$J$8:$J$37))-(Raw_Teams!K25-AVERAGE(Raw_Teams!$K$8:$K$37)))/2</f>
        <v>116.94395463126682</v>
      </c>
      <c r="M25" s="38">
        <f t="shared" si="5"/>
        <v>115.56241428285834</v>
      </c>
      <c r="N25" s="38">
        <f t="shared" si="6"/>
        <v>1.3815403484084783</v>
      </c>
      <c r="O25" s="38">
        <f>A_paceblend*Raw_Teams!G25+(1-A_paceblend)*AVERAGE(Raw_Teams!$G$8:$G$37)</f>
        <v>100.15599999999999</v>
      </c>
      <c r="P25" s="17">
        <f t="shared" si="7"/>
        <v>12</v>
      </c>
      <c r="Q25" s="17">
        <f t="shared" si="8"/>
        <v>11</v>
      </c>
      <c r="R25" s="17">
        <f t="shared" si="9"/>
        <v>13</v>
      </c>
      <c r="S25" s="36">
        <f>Raw_Teams!M25</f>
        <v>44.371378152861233</v>
      </c>
      <c r="T25" s="14">
        <f t="shared" si="10"/>
        <v>0</v>
      </c>
    </row>
    <row r="26" spans="1:20" ht="15" customHeight="1" x14ac:dyDescent="0.3">
      <c r="A26" s="7" t="str">
        <f>Raw_Teams!A26</f>
        <v>NOP</v>
      </c>
      <c r="B26" s="7" t="str">
        <f>Raw_Teams!B26</f>
        <v>W</v>
      </c>
      <c r="C26" s="7" t="str">
        <f>Raw_Teams!C26</f>
        <v>Southwest</v>
      </c>
      <c r="D26" s="23">
        <f t="shared" si="0"/>
        <v>-4.4087006921235501</v>
      </c>
      <c r="E26" s="23">
        <f t="shared" si="1"/>
        <v>-3.6999292833636477</v>
      </c>
      <c r="F26" s="36">
        <f>Raw_Teams!D26</f>
        <v>-4.26</v>
      </c>
      <c r="G26" s="37">
        <f>Raw_Teams!F26</f>
        <v>0.70628653037414968</v>
      </c>
      <c r="H26" s="23">
        <f t="shared" si="2"/>
        <v>-3.701223234082256</v>
      </c>
      <c r="I26" s="36">
        <f>INDEX(Overrides!$B$52:$B$81,MATCH(A26,Overrides!$A$52:$A$81,0))</f>
        <v>0</v>
      </c>
      <c r="J26" s="23">
        <f t="shared" si="3"/>
        <v>-3.6754615410244833</v>
      </c>
      <c r="K26" s="14">
        <f t="shared" si="4"/>
        <v>32.030757259195234</v>
      </c>
      <c r="L26" s="38">
        <f>A_lgortg+J26/2+((Raw_Teams!J26-AVERAGE(Raw_Teams!$J$8:$J$37))-(Raw_Teams!K26-AVERAGE(Raw_Teams!$K$8:$K$37)))/2</f>
        <v>114.91891030134762</v>
      </c>
      <c r="M26" s="38">
        <f t="shared" si="5"/>
        <v>118.59437184237211</v>
      </c>
      <c r="N26" s="38">
        <f t="shared" si="6"/>
        <v>-3.6754615410244895</v>
      </c>
      <c r="O26" s="38">
        <f>A_paceblend*Raw_Teams!G26+(1-A_paceblend)*AVERAGE(Raw_Teams!$G$8:$G$37)</f>
        <v>100.01599999999999</v>
      </c>
      <c r="P26" s="17">
        <f t="shared" si="7"/>
        <v>24</v>
      </c>
      <c r="Q26" s="17">
        <f t="shared" si="8"/>
        <v>20</v>
      </c>
      <c r="R26" s="17">
        <f t="shared" si="9"/>
        <v>27</v>
      </c>
      <c r="S26" s="36">
        <f>Raw_Teams!M26</f>
        <v>32.030757259195227</v>
      </c>
      <c r="T26" s="14">
        <f t="shared" si="10"/>
        <v>0</v>
      </c>
    </row>
    <row r="27" spans="1:20" ht="15" customHeight="1" x14ac:dyDescent="0.3">
      <c r="A27" s="7" t="str">
        <f>Raw_Teams!A27</f>
        <v>NYK</v>
      </c>
      <c r="B27" s="7" t="str">
        <f>Raw_Teams!B27</f>
        <v>E</v>
      </c>
      <c r="C27" s="7" t="str">
        <f>Raw_Teams!C27</f>
        <v>Atlantic</v>
      </c>
      <c r="D27" s="23">
        <f t="shared" si="0"/>
        <v>0.76837147632827763</v>
      </c>
      <c r="E27" s="23">
        <f t="shared" si="1"/>
        <v>1.4771428850881798</v>
      </c>
      <c r="F27" s="36">
        <f>Raw_Teams!D27</f>
        <v>6.05</v>
      </c>
      <c r="G27" s="37">
        <f>Raw_Teams!F27</f>
        <v>0.7244656431214791</v>
      </c>
      <c r="H27" s="23">
        <f t="shared" si="2"/>
        <v>1.117933594220168</v>
      </c>
      <c r="I27" s="36">
        <f>INDEX(Overrides!$B$52:$B$81,MATCH(A27,Overrides!$A$52:$A$81,0))</f>
        <v>0</v>
      </c>
      <c r="J27" s="23">
        <f t="shared" si="3"/>
        <v>1.1436952872779407</v>
      </c>
      <c r="K27" s="14">
        <f t="shared" si="4"/>
        <v>43.790963947959305</v>
      </c>
      <c r="L27" s="38">
        <f>A_lgortg+J27/2+((Raw_Teams!J27-AVERAGE(Raw_Teams!$J$8:$J$37))-(Raw_Teams!K27-AVERAGE(Raw_Teams!$K$8:$K$37)))/2</f>
        <v>116.35052091350869</v>
      </c>
      <c r="M27" s="38">
        <f t="shared" si="5"/>
        <v>115.20682562623075</v>
      </c>
      <c r="N27" s="38">
        <f t="shared" si="6"/>
        <v>1.1436952872779358</v>
      </c>
      <c r="O27" s="38">
        <f>A_paceblend*Raw_Teams!G27+(1-A_paceblend)*AVERAGE(Raw_Teams!$G$8:$G$37)</f>
        <v>97.565999999999988</v>
      </c>
      <c r="P27" s="17">
        <f t="shared" si="7"/>
        <v>15</v>
      </c>
      <c r="Q27" s="17">
        <f t="shared" si="8"/>
        <v>13</v>
      </c>
      <c r="R27" s="17">
        <f t="shared" si="9"/>
        <v>10</v>
      </c>
      <c r="S27" s="36">
        <f>Raw_Teams!M27</f>
        <v>43.790963947959312</v>
      </c>
      <c r="T27" s="14">
        <f t="shared" si="10"/>
        <v>0</v>
      </c>
    </row>
    <row r="28" spans="1:20" ht="15" customHeight="1" x14ac:dyDescent="0.3">
      <c r="A28" s="7" t="str">
        <f>Raw_Teams!A28</f>
        <v>OKC</v>
      </c>
      <c r="B28" s="7" t="str">
        <f>Raw_Teams!B28</f>
        <v>W</v>
      </c>
      <c r="C28" s="7" t="str">
        <f>Raw_Teams!C28</f>
        <v>Northwest</v>
      </c>
      <c r="D28" s="23">
        <f t="shared" si="0"/>
        <v>6.7639155893977172</v>
      </c>
      <c r="E28" s="23">
        <f t="shared" si="1"/>
        <v>7.4726869981576192</v>
      </c>
      <c r="F28" s="36">
        <f>Raw_Teams!D28</f>
        <v>11.04</v>
      </c>
      <c r="G28" s="37">
        <f>Raw_Teams!F28</f>
        <v>0.73849041199001153</v>
      </c>
      <c r="H28" s="23">
        <f t="shared" si="2"/>
        <v>7.2372830283516967</v>
      </c>
      <c r="I28" s="36">
        <f>INDEX(Overrides!$B$52:$B$81,MATCH(A28,Overrides!$A$52:$A$81,0))</f>
        <v>0</v>
      </c>
      <c r="J28" s="23">
        <f t="shared" si="3"/>
        <v>7.2630447214094689</v>
      </c>
      <c r="K28" s="14">
        <f t="shared" si="4"/>
        <v>58.724035584789235</v>
      </c>
      <c r="L28" s="38">
        <f>A_lgortg+J28/2+((Raw_Teams!J28-AVERAGE(Raw_Teams!$J$8:$J$37))-(Raw_Teams!K28-AVERAGE(Raw_Teams!$K$8:$K$37)))/2</f>
        <v>117.99583627833181</v>
      </c>
      <c r="M28" s="38">
        <f t="shared" si="5"/>
        <v>110.73279155692234</v>
      </c>
      <c r="N28" s="38">
        <f t="shared" si="6"/>
        <v>7.2630447214094715</v>
      </c>
      <c r="O28" s="38">
        <f>A_paceblend*Raw_Teams!G28+(1-A_paceblend)*AVERAGE(Raw_Teams!$G$8:$G$37)</f>
        <v>99.315999999999988</v>
      </c>
      <c r="P28" s="17">
        <f t="shared" si="7"/>
        <v>1</v>
      </c>
      <c r="Q28" s="17">
        <f t="shared" si="8"/>
        <v>5</v>
      </c>
      <c r="R28" s="17">
        <f t="shared" si="9"/>
        <v>1</v>
      </c>
      <c r="S28" s="36">
        <f>Raw_Teams!M28</f>
        <v>58.724035584789242</v>
      </c>
      <c r="T28" s="14">
        <f t="shared" si="10"/>
        <v>0</v>
      </c>
    </row>
    <row r="29" spans="1:20" ht="15" customHeight="1" x14ac:dyDescent="0.3">
      <c r="A29" s="7" t="str">
        <f>Raw_Teams!A29</f>
        <v>ORL</v>
      </c>
      <c r="B29" s="7" t="str">
        <f>Raw_Teams!B29</f>
        <v>E</v>
      </c>
      <c r="C29" s="7" t="str">
        <f>Raw_Teams!C29</f>
        <v>Southeast</v>
      </c>
      <c r="D29" s="23">
        <f t="shared" si="0"/>
        <v>0.47310927206586467</v>
      </c>
      <c r="E29" s="23">
        <f t="shared" si="1"/>
        <v>1.1818806808257669</v>
      </c>
      <c r="F29" s="36">
        <f>Raw_Teams!D29</f>
        <v>0.81</v>
      </c>
      <c r="G29" s="37">
        <f>Raw_Teams!F29</f>
        <v>0.80235573056149811</v>
      </c>
      <c r="H29" s="23">
        <f t="shared" si="2"/>
        <v>1.1892514586147427</v>
      </c>
      <c r="I29" s="36">
        <f>INDEX(Overrides!$B$52:$B$81,MATCH(A29,Overrides!$A$52:$A$81,0))</f>
        <v>0</v>
      </c>
      <c r="J29" s="23">
        <f t="shared" si="3"/>
        <v>1.2150131516725153</v>
      </c>
      <c r="K29" s="14">
        <f t="shared" si="4"/>
        <v>43.96500120297366</v>
      </c>
      <c r="L29" s="38">
        <f>A_lgortg+J29/2+((Raw_Teams!J29-AVERAGE(Raw_Teams!$J$8:$J$37))-(Raw_Teams!K29-AVERAGE(Raw_Teams!$K$8:$K$37)))/2</f>
        <v>115.91706713859251</v>
      </c>
      <c r="M29" s="38">
        <f t="shared" si="5"/>
        <v>114.70205398691999</v>
      </c>
      <c r="N29" s="38">
        <f t="shared" si="6"/>
        <v>1.2150131516725224</v>
      </c>
      <c r="O29" s="38">
        <f>A_paceblend*Raw_Teams!G29+(1-A_paceblend)*AVERAGE(Raw_Teams!$G$8:$G$37)</f>
        <v>99.805999999999997</v>
      </c>
      <c r="P29" s="17">
        <f t="shared" si="7"/>
        <v>13</v>
      </c>
      <c r="Q29" s="17">
        <f t="shared" si="8"/>
        <v>15</v>
      </c>
      <c r="R29" s="17">
        <f t="shared" si="9"/>
        <v>8</v>
      </c>
      <c r="S29" s="36">
        <f>Raw_Teams!M29</f>
        <v>43.965001202973667</v>
      </c>
      <c r="T29" s="14">
        <f t="shared" si="10"/>
        <v>0</v>
      </c>
    </row>
    <row r="30" spans="1:20" ht="15" customHeight="1" x14ac:dyDescent="0.3">
      <c r="A30" s="7" t="str">
        <f>Raw_Teams!A30</f>
        <v>PHI</v>
      </c>
      <c r="B30" s="7" t="str">
        <f>Raw_Teams!B30</f>
        <v>E</v>
      </c>
      <c r="C30" s="7" t="str">
        <f>Raw_Teams!C30</f>
        <v>Atlantic</v>
      </c>
      <c r="D30" s="23">
        <f t="shared" si="0"/>
        <v>0.62093936496949698</v>
      </c>
      <c r="E30" s="23">
        <f t="shared" si="1"/>
        <v>1.3297107737293992</v>
      </c>
      <c r="F30" s="36">
        <f>Raw_Teams!D30</f>
        <v>-0.27</v>
      </c>
      <c r="G30" s="37">
        <f>Raw_Teams!F30</f>
        <v>0.43119104754774928</v>
      </c>
      <c r="H30" s="23">
        <f t="shared" si="2"/>
        <v>1.4292647779493381</v>
      </c>
      <c r="I30" s="36">
        <f>INDEX(Overrides!$B$52:$B$81,MATCH(A30,Overrides!$A$52:$A$81,0))</f>
        <v>0</v>
      </c>
      <c r="J30" s="23">
        <f t="shared" si="3"/>
        <v>1.4550264710071108</v>
      </c>
      <c r="K30" s="14">
        <f t="shared" si="4"/>
        <v>44.550706616595875</v>
      </c>
      <c r="L30" s="38">
        <f>A_lgortg+J30/2+((Raw_Teams!J30-AVERAGE(Raw_Teams!$J$8:$J$37))-(Raw_Teams!K30-AVERAGE(Raw_Teams!$K$8:$K$37)))/2</f>
        <v>117.49822000533631</v>
      </c>
      <c r="M30" s="38">
        <f t="shared" si="5"/>
        <v>116.04319353432919</v>
      </c>
      <c r="N30" s="38">
        <f t="shared" si="6"/>
        <v>1.4550264710071161</v>
      </c>
      <c r="O30" s="38">
        <f>A_paceblend*Raw_Teams!G30+(1-A_paceblend)*AVERAGE(Raw_Teams!$G$8:$G$37)</f>
        <v>99.385999999999996</v>
      </c>
      <c r="P30" s="17">
        <f t="shared" si="7"/>
        <v>11</v>
      </c>
      <c r="Q30" s="17">
        <f t="shared" si="8"/>
        <v>8</v>
      </c>
      <c r="R30" s="17">
        <f t="shared" si="9"/>
        <v>17</v>
      </c>
      <c r="S30" s="36">
        <f>Raw_Teams!M30</f>
        <v>44.550706616595882</v>
      </c>
      <c r="T30" s="14">
        <f t="shared" si="10"/>
        <v>0</v>
      </c>
    </row>
    <row r="31" spans="1:20" ht="15" customHeight="1" x14ac:dyDescent="0.3">
      <c r="A31" s="7" t="str">
        <f>Raw_Teams!A31</f>
        <v>PHX</v>
      </c>
      <c r="B31" s="7" t="str">
        <f>Raw_Teams!B31</f>
        <v>W</v>
      </c>
      <c r="C31" s="7" t="str">
        <f>Raw_Teams!C31</f>
        <v>Pacific</v>
      </c>
      <c r="D31" s="23">
        <f t="shared" si="0"/>
        <v>-1.1315793486490904</v>
      </c>
      <c r="E31" s="23">
        <f t="shared" si="1"/>
        <v>-0.42280793988918808</v>
      </c>
      <c r="F31" s="36">
        <f>Raw_Teams!D31</f>
        <v>1.75</v>
      </c>
      <c r="G31" s="37">
        <f>Raw_Teams!F31</f>
        <v>0.69114369078951476</v>
      </c>
      <c r="H31" s="23">
        <f t="shared" si="2"/>
        <v>-0.62481220395767179</v>
      </c>
      <c r="I31" s="36">
        <f>INDEX(Overrides!$B$52:$B$81,MATCH(A31,Overrides!$A$52:$A$81,0))</f>
        <v>0</v>
      </c>
      <c r="J31" s="23">
        <f t="shared" si="3"/>
        <v>-0.59905051089989925</v>
      </c>
      <c r="K31" s="14">
        <f t="shared" si="4"/>
        <v>39.538134765854018</v>
      </c>
      <c r="L31" s="38">
        <f>A_lgortg+J31/2+((Raw_Teams!J31-AVERAGE(Raw_Teams!$J$8:$J$37))-(Raw_Teams!K31-AVERAGE(Raw_Teams!$K$8:$K$37)))/2</f>
        <v>115.60164608548618</v>
      </c>
      <c r="M31" s="38">
        <f t="shared" si="5"/>
        <v>116.20069659638608</v>
      </c>
      <c r="N31" s="38">
        <f t="shared" si="6"/>
        <v>-0.59905051089990025</v>
      </c>
      <c r="O31" s="38">
        <f>A_paceblend*Raw_Teams!G31+(1-A_paceblend)*AVERAGE(Raw_Teams!$G$8:$G$37)</f>
        <v>97.845999999999989</v>
      </c>
      <c r="P31" s="17">
        <f t="shared" si="7"/>
        <v>18</v>
      </c>
      <c r="Q31" s="17">
        <f t="shared" si="8"/>
        <v>16</v>
      </c>
      <c r="R31" s="17">
        <f t="shared" si="9"/>
        <v>18</v>
      </c>
      <c r="S31" s="36">
        <f>Raw_Teams!M31</f>
        <v>39.538134765854018</v>
      </c>
      <c r="T31" s="14">
        <f t="shared" si="10"/>
        <v>0</v>
      </c>
    </row>
    <row r="32" spans="1:20" ht="15" customHeight="1" x14ac:dyDescent="0.3">
      <c r="A32" s="7" t="str">
        <f>Raw_Teams!A32</f>
        <v>POR</v>
      </c>
      <c r="B32" s="7" t="str">
        <f>Raw_Teams!B32</f>
        <v>W</v>
      </c>
      <c r="C32" s="7" t="str">
        <f>Raw_Teams!C32</f>
        <v>Northwest</v>
      </c>
      <c r="D32" s="23">
        <f t="shared" si="0"/>
        <v>0.98768984292031226</v>
      </c>
      <c r="E32" s="23">
        <f t="shared" si="1"/>
        <v>1.6964612516802147</v>
      </c>
      <c r="F32" s="36">
        <f>Raw_Teams!D32</f>
        <v>-0.28999999999999998</v>
      </c>
      <c r="G32" s="37">
        <f>Raw_Teams!F32</f>
        <v>0.69210270396643814</v>
      </c>
      <c r="H32" s="23">
        <f t="shared" si="2"/>
        <v>1.8165545560215721</v>
      </c>
      <c r="I32" s="36">
        <f>INDEX(Overrides!$B$52:$B$81,MATCH(A32,Overrides!$A$52:$A$81,0))</f>
        <v>0</v>
      </c>
      <c r="J32" s="23">
        <f t="shared" si="3"/>
        <v>1.8423162490793448</v>
      </c>
      <c r="K32" s="14">
        <f t="shared" si="4"/>
        <v>45.495811331143926</v>
      </c>
      <c r="L32" s="38">
        <f>A_lgortg+J32/2+((Raw_Teams!J32-AVERAGE(Raw_Teams!$J$8:$J$37))-(Raw_Teams!K32-AVERAGE(Raw_Teams!$K$8:$K$37)))/2</f>
        <v>117.17194750105352</v>
      </c>
      <c r="M32" s="38">
        <f t="shared" si="5"/>
        <v>115.32963125197418</v>
      </c>
      <c r="N32" s="38">
        <f t="shared" si="6"/>
        <v>1.8423162490793459</v>
      </c>
      <c r="O32" s="38">
        <f>A_paceblend*Raw_Teams!G32+(1-A_paceblend)*AVERAGE(Raw_Teams!$G$8:$G$37)</f>
        <v>100.15599999999999</v>
      </c>
      <c r="P32" s="17">
        <f t="shared" si="7"/>
        <v>10</v>
      </c>
      <c r="Q32" s="17">
        <f t="shared" si="8"/>
        <v>10</v>
      </c>
      <c r="R32" s="17">
        <f t="shared" si="9"/>
        <v>11</v>
      </c>
      <c r="S32" s="36">
        <f>Raw_Teams!M32</f>
        <v>45.495811331143919</v>
      </c>
      <c r="T32" s="14">
        <f t="shared" si="10"/>
        <v>0</v>
      </c>
    </row>
    <row r="33" spans="1:20" ht="15" customHeight="1" x14ac:dyDescent="0.3">
      <c r="A33" s="7" t="str">
        <f>Raw_Teams!A33</f>
        <v>SAC</v>
      </c>
      <c r="B33" s="7" t="str">
        <f>Raw_Teams!B33</f>
        <v>W</v>
      </c>
      <c r="C33" s="7" t="str">
        <f>Raw_Teams!C33</f>
        <v>Pacific</v>
      </c>
      <c r="D33" s="23">
        <f t="shared" si="0"/>
        <v>-7.89231515486681</v>
      </c>
      <c r="E33" s="23">
        <f t="shared" si="1"/>
        <v>-7.183543746106908</v>
      </c>
      <c r="F33" s="36">
        <f>Raw_Teams!D33</f>
        <v>-9.58</v>
      </c>
      <c r="G33" s="37">
        <f>Raw_Teams!F33</f>
        <v>0.68594390634731484</v>
      </c>
      <c r="H33" s="23">
        <f t="shared" si="2"/>
        <v>-7.0293389113685887</v>
      </c>
      <c r="I33" s="36">
        <f>INDEX(Overrides!$B$52:$B$81,MATCH(A33,Overrides!$A$52:$A$81,0))</f>
        <v>0</v>
      </c>
      <c r="J33" s="23">
        <f t="shared" si="3"/>
        <v>-7.0035772183108165</v>
      </c>
      <c r="K33" s="14">
        <f t="shared" si="4"/>
        <v>23.909143947268561</v>
      </c>
      <c r="L33" s="38">
        <f>A_lgortg+J33/2+((Raw_Teams!J33-AVERAGE(Raw_Teams!$J$8:$J$37))-(Raw_Teams!K33-AVERAGE(Raw_Teams!$K$8:$K$37)))/2</f>
        <v>111.70148952221437</v>
      </c>
      <c r="M33" s="38">
        <f t="shared" si="5"/>
        <v>118.70506674052518</v>
      </c>
      <c r="N33" s="38">
        <f t="shared" si="6"/>
        <v>-7.0035772183108094</v>
      </c>
      <c r="O33" s="38">
        <f>A_paceblend*Raw_Teams!G33+(1-A_paceblend)*AVERAGE(Raw_Teams!$G$8:$G$37)</f>
        <v>99.245999999999995</v>
      </c>
      <c r="P33" s="17">
        <f t="shared" si="7"/>
        <v>30</v>
      </c>
      <c r="Q33" s="17">
        <f t="shared" si="8"/>
        <v>30</v>
      </c>
      <c r="R33" s="17">
        <f t="shared" si="9"/>
        <v>28</v>
      </c>
      <c r="S33" s="36">
        <f>Raw_Teams!M33</f>
        <v>23.909143947268561</v>
      </c>
      <c r="T33" s="14">
        <f t="shared" si="10"/>
        <v>0</v>
      </c>
    </row>
    <row r="34" spans="1:20" ht="15" customHeight="1" x14ac:dyDescent="0.3">
      <c r="A34" s="7" t="str">
        <f>Raw_Teams!A34</f>
        <v>SAS</v>
      </c>
      <c r="B34" s="7" t="str">
        <f>Raw_Teams!B34</f>
        <v>W</v>
      </c>
      <c r="C34" s="7" t="str">
        <f>Raw_Teams!C34</f>
        <v>Southwest</v>
      </c>
      <c r="D34" s="23">
        <f t="shared" si="0"/>
        <v>4.7363952076923086</v>
      </c>
      <c r="E34" s="23">
        <f t="shared" si="1"/>
        <v>5.4451666164522106</v>
      </c>
      <c r="F34" s="36">
        <f>Raw_Teams!D34</f>
        <v>8.2799999999999994</v>
      </c>
      <c r="G34" s="37">
        <f>Raw_Teams!F34</f>
        <v>0.76366048673179443</v>
      </c>
      <c r="H34" s="23">
        <f t="shared" si="2"/>
        <v>5.2758084021618856</v>
      </c>
      <c r="I34" s="36">
        <f>INDEX(Overrides!$B$52:$B$81,MATCH(A34,Overrides!$A$52:$A$81,0))</f>
        <v>0</v>
      </c>
      <c r="J34" s="23">
        <f t="shared" si="3"/>
        <v>5.3015700952196578</v>
      </c>
      <c r="K34" s="14">
        <f t="shared" si="4"/>
        <v>53.937441613975466</v>
      </c>
      <c r="L34" s="38">
        <f>A_lgortg+J34/2+((Raw_Teams!J34-AVERAGE(Raw_Teams!$J$8:$J$37))-(Raw_Teams!K34-AVERAGE(Raw_Teams!$K$8:$K$37)))/2</f>
        <v>118.77579072920713</v>
      </c>
      <c r="M34" s="38">
        <f t="shared" si="5"/>
        <v>113.47422063398747</v>
      </c>
      <c r="N34" s="38">
        <f t="shared" si="6"/>
        <v>5.3015700952196596</v>
      </c>
      <c r="O34" s="38">
        <f>A_paceblend*Raw_Teams!G34+(1-A_paceblend)*AVERAGE(Raw_Teams!$G$8:$G$37)</f>
        <v>99.73599999999999</v>
      </c>
      <c r="P34" s="17">
        <f t="shared" si="7"/>
        <v>2</v>
      </c>
      <c r="Q34" s="17">
        <f t="shared" si="8"/>
        <v>2</v>
      </c>
      <c r="R34" s="17">
        <f t="shared" si="9"/>
        <v>4</v>
      </c>
      <c r="S34" s="36">
        <f>Raw_Teams!M34</f>
        <v>53.937441613975452</v>
      </c>
      <c r="T34" s="14">
        <f t="shared" si="10"/>
        <v>0</v>
      </c>
    </row>
    <row r="35" spans="1:20" ht="15" customHeight="1" x14ac:dyDescent="0.3">
      <c r="A35" s="7" t="str">
        <f>Raw_Teams!A35</f>
        <v>TOR</v>
      </c>
      <c r="B35" s="7" t="str">
        <f>Raw_Teams!B35</f>
        <v>E</v>
      </c>
      <c r="C35" s="7" t="str">
        <f>Raw_Teams!C35</f>
        <v>Atlantic</v>
      </c>
      <c r="D35" s="23">
        <f t="shared" si="0"/>
        <v>2.9610035881076824</v>
      </c>
      <c r="E35" s="23">
        <f t="shared" si="1"/>
        <v>3.6697749968675848</v>
      </c>
      <c r="F35" s="36">
        <f>Raw_Teams!D35</f>
        <v>2.75</v>
      </c>
      <c r="G35" s="37">
        <f>Raw_Teams!F35</f>
        <v>0.63130303795269083</v>
      </c>
      <c r="H35" s="23">
        <f t="shared" si="2"/>
        <v>3.6863298300645795</v>
      </c>
      <c r="I35" s="36">
        <f>INDEX(Overrides!$B$52:$B$81,MATCH(A35,Overrides!$A$52:$A$81,0))</f>
        <v>0</v>
      </c>
      <c r="J35" s="23">
        <f t="shared" si="3"/>
        <v>3.7120915231223521</v>
      </c>
      <c r="K35" s="14">
        <f t="shared" si="4"/>
        <v>50.058631025067847</v>
      </c>
      <c r="L35" s="38">
        <f>A_lgortg+J35/2+((Raw_Teams!J35-AVERAGE(Raw_Teams!$J$8:$J$37))-(Raw_Teams!K35-AVERAGE(Raw_Teams!$K$8:$K$37)))/2</f>
        <v>117.31640081809489</v>
      </c>
      <c r="M35" s="38">
        <f t="shared" si="5"/>
        <v>113.60430929497254</v>
      </c>
      <c r="N35" s="38">
        <f t="shared" si="6"/>
        <v>3.7120915231223535</v>
      </c>
      <c r="O35" s="38">
        <f>A_paceblend*Raw_Teams!G35+(1-A_paceblend)*AVERAGE(Raw_Teams!$G$8:$G$37)</f>
        <v>98.685999999999993</v>
      </c>
      <c r="P35" s="17">
        <f t="shared" si="7"/>
        <v>5</v>
      </c>
      <c r="Q35" s="17">
        <f t="shared" si="8"/>
        <v>9</v>
      </c>
      <c r="R35" s="17">
        <f t="shared" si="9"/>
        <v>5</v>
      </c>
      <c r="S35" s="36">
        <f>Raw_Teams!M35</f>
        <v>50.058631025067839</v>
      </c>
      <c r="T35" s="14">
        <f t="shared" si="10"/>
        <v>0</v>
      </c>
    </row>
    <row r="36" spans="1:20" ht="15" customHeight="1" x14ac:dyDescent="0.3">
      <c r="A36" s="7" t="str">
        <f>Raw_Teams!A36</f>
        <v>UTA</v>
      </c>
      <c r="B36" s="7" t="str">
        <f>Raw_Teams!B36</f>
        <v>W</v>
      </c>
      <c r="C36" s="7" t="str">
        <f>Raw_Teams!C36</f>
        <v>Northwest</v>
      </c>
      <c r="D36" s="23">
        <f t="shared" si="0"/>
        <v>-4.248496566390072</v>
      </c>
      <c r="E36" s="23">
        <f t="shared" si="1"/>
        <v>-3.5397251576301696</v>
      </c>
      <c r="F36" s="36">
        <f>Raw_Teams!D36</f>
        <v>-8.0500000000000007</v>
      </c>
      <c r="G36" s="37">
        <f>Raw_Teams!F36</f>
        <v>0.66012777634717801</v>
      </c>
      <c r="H36" s="23">
        <f t="shared" si="2"/>
        <v>-3.1936291074495573</v>
      </c>
      <c r="I36" s="36">
        <f>INDEX(Overrides!$B$52:$B$81,MATCH(A36,Overrides!$A$52:$A$81,0))</f>
        <v>0</v>
      </c>
      <c r="J36" s="23">
        <f t="shared" si="3"/>
        <v>-3.1678674143917847</v>
      </c>
      <c r="K36" s="14">
        <f t="shared" si="4"/>
        <v>33.269441131889621</v>
      </c>
      <c r="L36" s="38">
        <f>A_lgortg+J36/2+((Raw_Teams!J36-AVERAGE(Raw_Teams!$J$8:$J$37))-(Raw_Teams!K36-AVERAGE(Raw_Teams!$K$8:$K$37)))/2</f>
        <v>115.59872054990853</v>
      </c>
      <c r="M36" s="38">
        <f t="shared" si="5"/>
        <v>118.76658796430031</v>
      </c>
      <c r="N36" s="38">
        <f t="shared" si="6"/>
        <v>-3.1678674143917789</v>
      </c>
      <c r="O36" s="38">
        <f>A_paceblend*Raw_Teams!G36+(1-A_paceblend)*AVERAGE(Raw_Teams!$G$8:$G$37)</f>
        <v>101.416</v>
      </c>
      <c r="P36" s="17">
        <f t="shared" si="7"/>
        <v>23</v>
      </c>
      <c r="Q36" s="17">
        <f t="shared" si="8"/>
        <v>17</v>
      </c>
      <c r="R36" s="17">
        <f t="shared" si="9"/>
        <v>29</v>
      </c>
      <c r="S36" s="36">
        <f>Raw_Teams!M36</f>
        <v>33.269441131889607</v>
      </c>
      <c r="T36" s="14">
        <f t="shared" si="10"/>
        <v>0</v>
      </c>
    </row>
    <row r="37" spans="1:20" ht="15" customHeight="1" x14ac:dyDescent="0.3">
      <c r="A37" s="7" t="str">
        <f>Raw_Teams!A37</f>
        <v>WAS</v>
      </c>
      <c r="B37" s="7" t="str">
        <f>Raw_Teams!B37</f>
        <v>E</v>
      </c>
      <c r="C37" s="7" t="str">
        <f>Raw_Teams!C37</f>
        <v>Southeast</v>
      </c>
      <c r="D37" s="23">
        <f t="shared" si="0"/>
        <v>-6.605990171314791</v>
      </c>
      <c r="E37" s="23">
        <f t="shared" si="1"/>
        <v>-5.8972187625548891</v>
      </c>
      <c r="F37" s="36">
        <f>Raw_Teams!D37</f>
        <v>-11.62</v>
      </c>
      <c r="G37" s="37">
        <f>Raw_Teams!F37</f>
        <v>0.65079777793360005</v>
      </c>
      <c r="H37" s="23">
        <f t="shared" si="2"/>
        <v>-5.4291190032532004</v>
      </c>
      <c r="I37" s="36">
        <f>INDEX(Overrides!$B$52:$B$81,MATCH(A37,Overrides!$A$52:$A$81,0))</f>
        <v>0</v>
      </c>
      <c r="J37" s="23">
        <f t="shared" si="3"/>
        <v>-5.4033573101954282</v>
      </c>
      <c r="K37" s="14">
        <f t="shared" si="4"/>
        <v>27.814166659206549</v>
      </c>
      <c r="L37" s="38">
        <f>A_lgortg+J37/2+((Raw_Teams!J37-AVERAGE(Raw_Teams!$J$8:$J$37))-(Raw_Teams!K37-AVERAGE(Raw_Teams!$K$8:$K$37)))/2</f>
        <v>113.83722266449884</v>
      </c>
      <c r="M37" s="38">
        <f t="shared" si="5"/>
        <v>119.24057997469427</v>
      </c>
      <c r="N37" s="38">
        <f t="shared" si="6"/>
        <v>-5.4033573101954318</v>
      </c>
      <c r="O37" s="38">
        <f>A_paceblend*Raw_Teams!G37+(1-A_paceblend)*AVERAGE(Raw_Teams!$G$8:$G$37)</f>
        <v>100.786</v>
      </c>
      <c r="P37" s="17">
        <f t="shared" si="7"/>
        <v>29</v>
      </c>
      <c r="Q37" s="17">
        <f t="shared" si="8"/>
        <v>24</v>
      </c>
      <c r="R37" s="17">
        <f t="shared" si="9"/>
        <v>30</v>
      </c>
      <c r="S37" s="36">
        <f>Raw_Teams!M37</f>
        <v>27.81416665920656</v>
      </c>
      <c r="T37" s="14">
        <f t="shared" si="10"/>
        <v>0</v>
      </c>
    </row>
    <row r="38" spans="1:20" ht="15" customHeight="1" x14ac:dyDescent="0.3">
      <c r="A38" s="39" t="s">
        <v>872</v>
      </c>
      <c r="B38" s="40"/>
      <c r="C38" s="40"/>
      <c r="D38" s="40"/>
      <c r="E38" s="40"/>
      <c r="F38" s="40"/>
      <c r="G38" s="40"/>
      <c r="H38" s="40"/>
      <c r="I38" s="40"/>
      <c r="J38" s="40"/>
      <c r="K38" s="41">
        <f>SUM(K8:K37)</f>
        <v>1230</v>
      </c>
      <c r="L38" s="40"/>
      <c r="M38" s="40"/>
      <c r="N38" s="40"/>
      <c r="O38" s="40"/>
      <c r="P38" s="40"/>
      <c r="Q38" s="40"/>
      <c r="R38" s="40"/>
      <c r="S38" s="40"/>
      <c r="T38" s="40"/>
    </row>
    <row r="39" spans="1:20" ht="15" customHeight="1" x14ac:dyDescent="0.3"/>
    <row r="40" spans="1:20" ht="15" customHeight="1" x14ac:dyDescent="0.3"/>
    <row r="41" spans="1:20" ht="15" customHeight="1" x14ac:dyDescent="0.3"/>
    <row r="42" spans="1:20" ht="15" customHeight="1" x14ac:dyDescent="0.3"/>
    <row r="43" spans="1:20" ht="15" customHeight="1" x14ac:dyDescent="0.3">
      <c r="A43" s="3" t="s">
        <v>873</v>
      </c>
    </row>
    <row r="44" spans="1:20" ht="15" customHeight="1" x14ac:dyDescent="0.3"/>
    <row r="45" spans="1:20" ht="30" customHeight="1" x14ac:dyDescent="0.3">
      <c r="A45" s="11" t="s">
        <v>195</v>
      </c>
      <c r="B45" s="11" t="s">
        <v>189</v>
      </c>
      <c r="C45" s="11" t="s">
        <v>874</v>
      </c>
      <c r="D45" s="11" t="s">
        <v>875</v>
      </c>
      <c r="E45" s="11" t="s">
        <v>876</v>
      </c>
      <c r="F45" s="11" t="s">
        <v>877</v>
      </c>
      <c r="G45" s="11" t="s">
        <v>878</v>
      </c>
      <c r="H45" s="11" t="s">
        <v>191</v>
      </c>
      <c r="I45" s="11" t="s">
        <v>192</v>
      </c>
      <c r="J45" s="11" t="s">
        <v>879</v>
      </c>
      <c r="K45" s="11" t="s">
        <v>880</v>
      </c>
      <c r="L45" s="11" t="s">
        <v>881</v>
      </c>
      <c r="M45" s="11" t="s">
        <v>882</v>
      </c>
      <c r="N45" s="11" t="s">
        <v>883</v>
      </c>
      <c r="O45" s="11" t="s">
        <v>884</v>
      </c>
      <c r="P45" s="11" t="s">
        <v>885</v>
      </c>
    </row>
    <row r="46" spans="1:20" ht="15" customHeight="1" x14ac:dyDescent="0.3">
      <c r="A46" s="7" t="str">
        <f>Raw_Players!A8</f>
        <v>ATL</v>
      </c>
      <c r="B46" s="7" t="str">
        <f>Raw_Players!B8</f>
        <v>Jalen Johnson</v>
      </c>
      <c r="C46" s="37">
        <f>Raw_Players!E8</f>
        <v>2.420577837703163</v>
      </c>
      <c r="D46" s="31">
        <f>Raw_Players!F8</f>
        <v>1729.599919365799</v>
      </c>
      <c r="E46" s="31">
        <f>Raw_Players!G8</f>
        <v>28.207876848042911</v>
      </c>
      <c r="F46" s="31">
        <f>Raw_Players!H8</f>
        <v>61.316203579703313</v>
      </c>
      <c r="G46" s="31" t="str">
        <f>IFERROR(IF(INDEX(Overrides!$B$8:$B$47,MATCH(B46,Overrides!$A$8:$A$47,0))="","",INDEX(Overrides!$B$8:$B$47,MATCH(B46,Overrides!$A$8:$A$47,0))),"")</f>
        <v/>
      </c>
      <c r="H46" s="31" t="str">
        <f>IFERROR(IF(INDEX(Overrides!$C$8:$C$47,MATCH(B46,Overrides!$A$8:$A$47,0))="","",INDEX(Overrides!$C$8:$C$47,MATCH(B46,Overrides!$A$8:$A$47,0))),"")</f>
        <v/>
      </c>
      <c r="I46" s="36">
        <f>IFERROR(IF(INDEX(Overrides!$D$8:$D$47,MATCH(B46,Overrides!$A$8:$A$47,0))="",0,INDEX(Overrides!$D$8:$D$47,MATCH(B46,Overrides!$A$8:$A$47,0))),0)</f>
        <v>0</v>
      </c>
      <c r="J46" s="38">
        <f t="shared" ref="J46:J109" si="11">IF(AND(G46="",H46=""),D46,IF(H46="",F46,H46)*IF(G46="",E46,G46))</f>
        <v>1729.599919365799</v>
      </c>
      <c r="K46" s="18">
        <f t="shared" ref="K46:K109" si="12">A_teamminutes/SUMIF($A$46:$A$672,A46,$J$46:$J$672)</f>
        <v>1.0000000000000004</v>
      </c>
      <c r="L46" s="38">
        <f t="shared" ref="L46:L109" si="13">J46*K46</f>
        <v>1729.5999193657997</v>
      </c>
      <c r="M46" s="23">
        <f t="shared" ref="M46:M109" si="14">C46+I46</f>
        <v>2.420577837703163</v>
      </c>
      <c r="N46" s="23">
        <f t="shared" ref="N46:N109" si="15">L46/(A_teamminutes/5)</f>
        <v>0.4394308738226117</v>
      </c>
      <c r="O46" s="6"/>
      <c r="P46" s="18">
        <f t="shared" ref="P46:P109" si="16">N46*M46</f>
        <v>1.063676634377549</v>
      </c>
    </row>
    <row r="47" spans="1:20" ht="15" customHeight="1" x14ac:dyDescent="0.3">
      <c r="A47" s="7" t="str">
        <f>Raw_Players!A9</f>
        <v>ATL</v>
      </c>
      <c r="B47" s="7" t="str">
        <f>Raw_Players!B9</f>
        <v>Dyson Daniels</v>
      </c>
      <c r="C47" s="37">
        <f>Raw_Players!E9</f>
        <v>1.70262971333376</v>
      </c>
      <c r="D47" s="31">
        <f>Raw_Players!F9</f>
        <v>1714.8943558508199</v>
      </c>
      <c r="E47" s="31">
        <f>Raw_Players!G9</f>
        <v>25.9299236312572</v>
      </c>
      <c r="F47" s="31">
        <f>Raw_Players!H9</f>
        <v>66.135727209917519</v>
      </c>
      <c r="G47" s="31" t="str">
        <f>IFERROR(IF(INDEX(Overrides!$B$8:$B$47,MATCH(B47,Overrides!$A$8:$A$47,0))="","",INDEX(Overrides!$B$8:$B$47,MATCH(B47,Overrides!$A$8:$A$47,0))),"")</f>
        <v/>
      </c>
      <c r="H47" s="31" t="str">
        <f>IFERROR(IF(INDEX(Overrides!$C$8:$C$47,MATCH(B47,Overrides!$A$8:$A$47,0))="","",INDEX(Overrides!$C$8:$C$47,MATCH(B47,Overrides!$A$8:$A$47,0))),"")</f>
        <v/>
      </c>
      <c r="I47" s="36">
        <f>IFERROR(IF(INDEX(Overrides!$D$8:$D$47,MATCH(B47,Overrides!$A$8:$A$47,0))="",0,INDEX(Overrides!$D$8:$D$47,MATCH(B47,Overrides!$A$8:$A$47,0))),0)</f>
        <v>0</v>
      </c>
      <c r="J47" s="38">
        <f t="shared" si="11"/>
        <v>1714.8943558508199</v>
      </c>
      <c r="K47" s="18">
        <f t="shared" si="12"/>
        <v>1.0000000000000004</v>
      </c>
      <c r="L47" s="38">
        <f t="shared" si="13"/>
        <v>1714.8943558508206</v>
      </c>
      <c r="M47" s="23">
        <f t="shared" si="14"/>
        <v>1.70262971333376</v>
      </c>
      <c r="N47" s="23">
        <f t="shared" si="15"/>
        <v>0.43569470423039142</v>
      </c>
      <c r="O47" s="6"/>
      <c r="P47" s="18">
        <f t="shared" si="16"/>
        <v>0.74182674936482873</v>
      </c>
    </row>
    <row r="48" spans="1:20" ht="15" customHeight="1" x14ac:dyDescent="0.3">
      <c r="A48" s="7" t="str">
        <f>Raw_Players!A10</f>
        <v>ATL</v>
      </c>
      <c r="B48" s="7" t="str">
        <f>Raw_Players!B10</f>
        <v>Nickeil Alexander-Walker</v>
      </c>
      <c r="C48" s="37">
        <f>Raw_Players!E10</f>
        <v>1.0240114569381109</v>
      </c>
      <c r="D48" s="31">
        <f>Raw_Players!F10</f>
        <v>1583.0927308338789</v>
      </c>
      <c r="E48" s="31">
        <f>Raw_Players!G10</f>
        <v>23.849744885709629</v>
      </c>
      <c r="F48" s="31">
        <f>Raw_Players!H10</f>
        <v>66.377763721172627</v>
      </c>
      <c r="G48" s="31" t="str">
        <f>IFERROR(IF(INDEX(Overrides!$B$8:$B$47,MATCH(B48,Overrides!$A$8:$A$47,0))="","",INDEX(Overrides!$B$8:$B$47,MATCH(B48,Overrides!$A$8:$A$47,0))),"")</f>
        <v/>
      </c>
      <c r="H48" s="31" t="str">
        <f>IFERROR(IF(INDEX(Overrides!$C$8:$C$47,MATCH(B48,Overrides!$A$8:$A$47,0))="","",INDEX(Overrides!$C$8:$C$47,MATCH(B48,Overrides!$A$8:$A$47,0))),"")</f>
        <v/>
      </c>
      <c r="I48" s="36">
        <f>IFERROR(IF(INDEX(Overrides!$D$8:$D$47,MATCH(B48,Overrides!$A$8:$A$47,0))="",0,INDEX(Overrides!$D$8:$D$47,MATCH(B48,Overrides!$A$8:$A$47,0))),0)</f>
        <v>0</v>
      </c>
      <c r="J48" s="38">
        <f t="shared" si="11"/>
        <v>1583.0927308338789</v>
      </c>
      <c r="K48" s="18">
        <f t="shared" si="12"/>
        <v>1.0000000000000004</v>
      </c>
      <c r="L48" s="38">
        <f t="shared" si="13"/>
        <v>1583.0927308338796</v>
      </c>
      <c r="M48" s="23">
        <f t="shared" si="14"/>
        <v>1.0240114569381109</v>
      </c>
      <c r="N48" s="23">
        <f t="shared" si="15"/>
        <v>0.40220851901267268</v>
      </c>
      <c r="O48" s="6"/>
      <c r="P48" s="18">
        <f t="shared" si="16"/>
        <v>0.41186613154708684</v>
      </c>
    </row>
    <row r="49" spans="1:16" ht="15" customHeight="1" x14ac:dyDescent="0.3">
      <c r="A49" s="7" t="str">
        <f>Raw_Players!A11</f>
        <v>ATL</v>
      </c>
      <c r="B49" s="7" t="str">
        <f>Raw_Players!B11</f>
        <v>Onyeka Okongwu</v>
      </c>
      <c r="C49" s="37">
        <f>Raw_Players!E11</f>
        <v>1.6962469297865961</v>
      </c>
      <c r="D49" s="31">
        <f>Raw_Players!F11</f>
        <v>1560.8407717532741</v>
      </c>
      <c r="E49" s="31">
        <f>Raw_Players!G11</f>
        <v>23.923691525717601</v>
      </c>
      <c r="F49" s="31">
        <f>Raw_Players!H11</f>
        <v>65.242471885051444</v>
      </c>
      <c r="G49" s="31" t="str">
        <f>IFERROR(IF(INDEX(Overrides!$B$8:$B$47,MATCH(B49,Overrides!$A$8:$A$47,0))="","",INDEX(Overrides!$B$8:$B$47,MATCH(B49,Overrides!$A$8:$A$47,0))),"")</f>
        <v/>
      </c>
      <c r="H49" s="31" t="str">
        <f>IFERROR(IF(INDEX(Overrides!$C$8:$C$47,MATCH(B49,Overrides!$A$8:$A$47,0))="","",INDEX(Overrides!$C$8:$C$47,MATCH(B49,Overrides!$A$8:$A$47,0))),"")</f>
        <v/>
      </c>
      <c r="I49" s="36">
        <f>IFERROR(IF(INDEX(Overrides!$D$8:$D$47,MATCH(B49,Overrides!$A$8:$A$47,0))="",0,INDEX(Overrides!$D$8:$D$47,MATCH(B49,Overrides!$A$8:$A$47,0))),0)</f>
        <v>0</v>
      </c>
      <c r="J49" s="38">
        <f t="shared" si="11"/>
        <v>1560.8407717532741</v>
      </c>
      <c r="K49" s="18">
        <f t="shared" si="12"/>
        <v>1.0000000000000004</v>
      </c>
      <c r="L49" s="38">
        <f t="shared" si="13"/>
        <v>1560.8407717532748</v>
      </c>
      <c r="M49" s="23">
        <f t="shared" si="14"/>
        <v>1.6962469297865961</v>
      </c>
      <c r="N49" s="23">
        <f t="shared" si="15"/>
        <v>0.39655507412430763</v>
      </c>
      <c r="O49" s="6"/>
      <c r="P49" s="18">
        <f t="shared" si="16"/>
        <v>0.6726553269746528</v>
      </c>
    </row>
    <row r="50" spans="1:16" ht="15" customHeight="1" x14ac:dyDescent="0.3">
      <c r="A50" s="7" t="str">
        <f>Raw_Players!A12</f>
        <v>ATL</v>
      </c>
      <c r="B50" s="7" t="str">
        <f>Raw_Players!B12</f>
        <v>CJ McCollum</v>
      </c>
      <c r="C50" s="37">
        <f>Raw_Players!E12</f>
        <v>0.46075624679885629</v>
      </c>
      <c r="D50" s="31">
        <f>Raw_Players!F12</f>
        <v>1534.0107435150751</v>
      </c>
      <c r="E50" s="31">
        <f>Raw_Players!G12</f>
        <v>25.331059825088531</v>
      </c>
      <c r="F50" s="31">
        <f>Raw_Players!H12</f>
        <v>60.558490410880928</v>
      </c>
      <c r="G50" s="31" t="str">
        <f>IFERROR(IF(INDEX(Overrides!$B$8:$B$47,MATCH(B50,Overrides!$A$8:$A$47,0))="","",INDEX(Overrides!$B$8:$B$47,MATCH(B50,Overrides!$A$8:$A$47,0))),"")</f>
        <v/>
      </c>
      <c r="H50" s="31" t="str">
        <f>IFERROR(IF(INDEX(Overrides!$C$8:$C$47,MATCH(B50,Overrides!$A$8:$A$47,0))="","",INDEX(Overrides!$C$8:$C$47,MATCH(B50,Overrides!$A$8:$A$47,0))),"")</f>
        <v/>
      </c>
      <c r="I50" s="36">
        <f>IFERROR(IF(INDEX(Overrides!$D$8:$D$47,MATCH(B50,Overrides!$A$8:$A$47,0))="",0,INDEX(Overrides!$D$8:$D$47,MATCH(B50,Overrides!$A$8:$A$47,0))),0)</f>
        <v>0</v>
      </c>
      <c r="J50" s="38">
        <f t="shared" si="11"/>
        <v>1534.0107435150751</v>
      </c>
      <c r="K50" s="18">
        <f t="shared" si="12"/>
        <v>1.0000000000000004</v>
      </c>
      <c r="L50" s="38">
        <f t="shared" si="13"/>
        <v>1534.0107435150758</v>
      </c>
      <c r="M50" s="23">
        <f t="shared" si="14"/>
        <v>0.46075624679885629</v>
      </c>
      <c r="N50" s="23">
        <f t="shared" si="15"/>
        <v>0.38973850190931802</v>
      </c>
      <c r="O50" s="6"/>
      <c r="P50" s="18">
        <f t="shared" si="16"/>
        <v>0.17957444937274625</v>
      </c>
    </row>
    <row r="51" spans="1:16" ht="15" customHeight="1" x14ac:dyDescent="0.3">
      <c r="A51" s="7" t="str">
        <f>Raw_Players!A13</f>
        <v>ATL</v>
      </c>
      <c r="B51" s="7" t="str">
        <f>Raw_Players!B13</f>
        <v>Luguentz Dort</v>
      </c>
      <c r="C51" s="37">
        <f>Raw_Players!E13</f>
        <v>-0.56526811186765369</v>
      </c>
      <c r="D51" s="31">
        <f>Raw_Players!F13</f>
        <v>1449.7159033142259</v>
      </c>
      <c r="E51" s="31">
        <f>Raw_Players!G13</f>
        <v>22.88930701501905</v>
      </c>
      <c r="F51" s="31">
        <f>Raw_Players!H13</f>
        <v>63.335945573318611</v>
      </c>
      <c r="G51" s="31" t="str">
        <f>IFERROR(IF(INDEX(Overrides!$B$8:$B$47,MATCH(B51,Overrides!$A$8:$A$47,0))="","",INDEX(Overrides!$B$8:$B$47,MATCH(B51,Overrides!$A$8:$A$47,0))),"")</f>
        <v/>
      </c>
      <c r="H51" s="31" t="str">
        <f>IFERROR(IF(INDEX(Overrides!$C$8:$C$47,MATCH(B51,Overrides!$A$8:$A$47,0))="","",INDEX(Overrides!$C$8:$C$47,MATCH(B51,Overrides!$A$8:$A$47,0))),"")</f>
        <v/>
      </c>
      <c r="I51" s="36">
        <f>IFERROR(IF(INDEX(Overrides!$D$8:$D$47,MATCH(B51,Overrides!$A$8:$A$47,0))="",0,INDEX(Overrides!$D$8:$D$47,MATCH(B51,Overrides!$A$8:$A$47,0))),0)</f>
        <v>0</v>
      </c>
      <c r="J51" s="38">
        <f t="shared" si="11"/>
        <v>1449.7159033142259</v>
      </c>
      <c r="K51" s="18">
        <f t="shared" si="12"/>
        <v>1.0000000000000004</v>
      </c>
      <c r="L51" s="38">
        <f t="shared" si="13"/>
        <v>1449.7159033142266</v>
      </c>
      <c r="M51" s="23">
        <f t="shared" si="14"/>
        <v>-0.56526811186765369</v>
      </c>
      <c r="N51" s="23">
        <f t="shared" si="15"/>
        <v>0.36832212990706975</v>
      </c>
      <c r="O51" s="6"/>
      <c r="P51" s="18">
        <f t="shared" si="16"/>
        <v>-0.20820075493164197</v>
      </c>
    </row>
    <row r="52" spans="1:16" ht="15" customHeight="1" x14ac:dyDescent="0.3">
      <c r="A52" s="7" t="str">
        <f>Raw_Players!A14</f>
        <v>ATL</v>
      </c>
      <c r="B52" s="7" t="str">
        <f>Raw_Players!B14</f>
        <v>Corey Kispert</v>
      </c>
      <c r="C52" s="37">
        <f>Raw_Players!E14</f>
        <v>-2.0257826169874651</v>
      </c>
      <c r="D52" s="31">
        <f>Raw_Players!F14</f>
        <v>1110.1888530858339</v>
      </c>
      <c r="E52" s="31">
        <f>Raw_Players!G14</f>
        <v>18.615566296910451</v>
      </c>
      <c r="F52" s="31">
        <f>Raw_Players!H14</f>
        <v>59.637662125276741</v>
      </c>
      <c r="G52" s="31" t="str">
        <f>IFERROR(IF(INDEX(Overrides!$B$8:$B$47,MATCH(B52,Overrides!$A$8:$A$47,0))="","",INDEX(Overrides!$B$8:$B$47,MATCH(B52,Overrides!$A$8:$A$47,0))),"")</f>
        <v/>
      </c>
      <c r="H52" s="31" t="str">
        <f>IFERROR(IF(INDEX(Overrides!$C$8:$C$47,MATCH(B52,Overrides!$A$8:$A$47,0))="","",INDEX(Overrides!$C$8:$C$47,MATCH(B52,Overrides!$A$8:$A$47,0))),"")</f>
        <v/>
      </c>
      <c r="I52" s="36">
        <f>IFERROR(IF(INDEX(Overrides!$D$8:$D$47,MATCH(B52,Overrides!$A$8:$A$47,0))="",0,INDEX(Overrides!$D$8:$D$47,MATCH(B52,Overrides!$A$8:$A$47,0))),0)</f>
        <v>0</v>
      </c>
      <c r="J52" s="38">
        <f t="shared" si="11"/>
        <v>1110.1888530858339</v>
      </c>
      <c r="K52" s="18">
        <f t="shared" si="12"/>
        <v>1.0000000000000004</v>
      </c>
      <c r="L52" s="38">
        <f t="shared" si="13"/>
        <v>1110.1888530858344</v>
      </c>
      <c r="M52" s="23">
        <f t="shared" si="14"/>
        <v>-2.0257826169874651</v>
      </c>
      <c r="N52" s="23">
        <f t="shared" si="15"/>
        <v>0.28206017608888068</v>
      </c>
      <c r="O52" s="6"/>
      <c r="P52" s="18">
        <f t="shared" si="16"/>
        <v>-0.57139260166527794</v>
      </c>
    </row>
    <row r="53" spans="1:16" ht="15" customHeight="1" x14ac:dyDescent="0.3">
      <c r="A53" s="7" t="str">
        <f>Raw_Players!A15</f>
        <v>ATL</v>
      </c>
      <c r="B53" s="7" t="str">
        <f>Raw_Players!B15</f>
        <v>Kingston Flemings</v>
      </c>
      <c r="C53" s="37">
        <f>Raw_Players!E15</f>
        <v>-1.6831063290160759</v>
      </c>
      <c r="D53" s="31">
        <f>Raw_Players!F15</f>
        <v>1095.972250277149</v>
      </c>
      <c r="E53" s="31">
        <f>Raw_Players!G15</f>
        <v>18.950623285452629</v>
      </c>
      <c r="F53" s="31">
        <f>Raw_Players!H15</f>
        <v>57.833045054431963</v>
      </c>
      <c r="G53" s="31" t="str">
        <f>IFERROR(IF(INDEX(Overrides!$B$8:$B$47,MATCH(B53,Overrides!$A$8:$A$47,0))="","",INDEX(Overrides!$B$8:$B$47,MATCH(B53,Overrides!$A$8:$A$47,0))),"")</f>
        <v/>
      </c>
      <c r="H53" s="31" t="str">
        <f>IFERROR(IF(INDEX(Overrides!$C$8:$C$47,MATCH(B53,Overrides!$A$8:$A$47,0))="","",INDEX(Overrides!$C$8:$C$47,MATCH(B53,Overrides!$A$8:$A$47,0))),"")</f>
        <v/>
      </c>
      <c r="I53" s="36">
        <f>IFERROR(IF(INDEX(Overrides!$D$8:$D$47,MATCH(B53,Overrides!$A$8:$A$47,0))="",0,INDEX(Overrides!$D$8:$D$47,MATCH(B53,Overrides!$A$8:$A$47,0))),0)</f>
        <v>0</v>
      </c>
      <c r="J53" s="38">
        <f t="shared" si="11"/>
        <v>1095.972250277149</v>
      </c>
      <c r="K53" s="18">
        <f t="shared" si="12"/>
        <v>1.0000000000000004</v>
      </c>
      <c r="L53" s="38">
        <f t="shared" si="13"/>
        <v>1095.9722502771494</v>
      </c>
      <c r="M53" s="23">
        <f t="shared" si="14"/>
        <v>-1.6831063290160759</v>
      </c>
      <c r="N53" s="23">
        <f t="shared" si="15"/>
        <v>0.27844823431838145</v>
      </c>
      <c r="O53" s="6"/>
      <c r="P53" s="18">
        <f t="shared" si="16"/>
        <v>-0.46865798548461912</v>
      </c>
    </row>
    <row r="54" spans="1:16" ht="15" customHeight="1" x14ac:dyDescent="0.3">
      <c r="A54" s="7" t="str">
        <f>Raw_Players!A16</f>
        <v>ATL</v>
      </c>
      <c r="B54" s="7" t="str">
        <f>Raw_Players!B16</f>
        <v>Aaron Wiggins</v>
      </c>
      <c r="C54" s="37">
        <f>Raw_Players!E16</f>
        <v>8.0555014044576698E-2</v>
      </c>
      <c r="D54" s="31">
        <f>Raw_Players!F16</f>
        <v>1090.0960651600969</v>
      </c>
      <c r="E54" s="31">
        <f>Raw_Players!G16</f>
        <v>17.35902796079807</v>
      </c>
      <c r="F54" s="31">
        <f>Raw_Players!H16</f>
        <v>62.797068339417571</v>
      </c>
      <c r="G54" s="31" t="str">
        <f>IFERROR(IF(INDEX(Overrides!$B$8:$B$47,MATCH(B54,Overrides!$A$8:$A$47,0))="","",INDEX(Overrides!$B$8:$B$47,MATCH(B54,Overrides!$A$8:$A$47,0))),"")</f>
        <v/>
      </c>
      <c r="H54" s="31" t="str">
        <f>IFERROR(IF(INDEX(Overrides!$C$8:$C$47,MATCH(B54,Overrides!$A$8:$A$47,0))="","",INDEX(Overrides!$C$8:$C$47,MATCH(B54,Overrides!$A$8:$A$47,0))),"")</f>
        <v/>
      </c>
      <c r="I54" s="36">
        <f>IFERROR(IF(INDEX(Overrides!$D$8:$D$47,MATCH(B54,Overrides!$A$8:$A$47,0))="",0,INDEX(Overrides!$D$8:$D$47,MATCH(B54,Overrides!$A$8:$A$47,0))),0)</f>
        <v>0</v>
      </c>
      <c r="J54" s="38">
        <f t="shared" si="11"/>
        <v>1090.0960651600969</v>
      </c>
      <c r="K54" s="18">
        <f t="shared" si="12"/>
        <v>1.0000000000000004</v>
      </c>
      <c r="L54" s="38">
        <f t="shared" si="13"/>
        <v>1090.0960651600974</v>
      </c>
      <c r="M54" s="23">
        <f t="shared" si="14"/>
        <v>8.0555014044576698E-2</v>
      </c>
      <c r="N54" s="23">
        <f t="shared" si="15"/>
        <v>0.2769553011077483</v>
      </c>
      <c r="O54" s="6"/>
      <c r="P54" s="18">
        <f t="shared" si="16"/>
        <v>2.2310138170454633E-2</v>
      </c>
    </row>
    <row r="55" spans="1:16" ht="15" customHeight="1" x14ac:dyDescent="0.3">
      <c r="A55" s="7" t="str">
        <f>Raw_Players!A17</f>
        <v>ATL</v>
      </c>
      <c r="B55" s="7" t="str">
        <f>Raw_Players!B17</f>
        <v>Dorian Finney-Smith</v>
      </c>
      <c r="C55" s="37">
        <f>Raw_Players!E17</f>
        <v>-1.6581075310134401</v>
      </c>
      <c r="D55" s="31">
        <f>Raw_Players!F17</f>
        <v>1039.3141204134679</v>
      </c>
      <c r="E55" s="31">
        <f>Raw_Players!G17</f>
        <v>19.818596869862631</v>
      </c>
      <c r="F55" s="31">
        <f>Raw_Players!H17</f>
        <v>52.441357339172299</v>
      </c>
      <c r="G55" s="31" t="str">
        <f>IFERROR(IF(INDEX(Overrides!$B$8:$B$47,MATCH(B55,Overrides!$A$8:$A$47,0))="","",INDEX(Overrides!$B$8:$B$47,MATCH(B55,Overrides!$A$8:$A$47,0))),"")</f>
        <v/>
      </c>
      <c r="H55" s="31" t="str">
        <f>IFERROR(IF(INDEX(Overrides!$C$8:$C$47,MATCH(B55,Overrides!$A$8:$A$47,0))="","",INDEX(Overrides!$C$8:$C$47,MATCH(B55,Overrides!$A$8:$A$47,0))),"")</f>
        <v/>
      </c>
      <c r="I55" s="36">
        <f>IFERROR(IF(INDEX(Overrides!$D$8:$D$47,MATCH(B55,Overrides!$A$8:$A$47,0))="",0,INDEX(Overrides!$D$8:$D$47,MATCH(B55,Overrides!$A$8:$A$47,0))),0)</f>
        <v>0</v>
      </c>
      <c r="J55" s="38">
        <f t="shared" si="11"/>
        <v>1039.3141204134679</v>
      </c>
      <c r="K55" s="18">
        <f t="shared" si="12"/>
        <v>1.0000000000000004</v>
      </c>
      <c r="L55" s="38">
        <f t="shared" si="13"/>
        <v>1039.3141204134683</v>
      </c>
      <c r="M55" s="23">
        <f t="shared" si="14"/>
        <v>-1.6581075310134401</v>
      </c>
      <c r="N55" s="23">
        <f t="shared" si="15"/>
        <v>0.2640533842513893</v>
      </c>
      <c r="O55" s="6"/>
      <c r="P55" s="18">
        <f t="shared" si="16"/>
        <v>-0.43782890501681432</v>
      </c>
    </row>
    <row r="56" spans="1:16" ht="15" customHeight="1" x14ac:dyDescent="0.3">
      <c r="A56" s="7" t="str">
        <f>Raw_Players!A18</f>
        <v>ATL</v>
      </c>
      <c r="B56" s="7" t="str">
        <f>Raw_Players!B18</f>
        <v>Jalen Wilson</v>
      </c>
      <c r="C56" s="37">
        <f>Raw_Players!E18</f>
        <v>-2.5782312848089628</v>
      </c>
      <c r="D56" s="31">
        <f>Raw_Players!F18</f>
        <v>993.84401700424178</v>
      </c>
      <c r="E56" s="31">
        <f>Raw_Players!G18</f>
        <v>16.377994376275559</v>
      </c>
      <c r="F56" s="31">
        <f>Raw_Players!H18</f>
        <v>60.681667985176531</v>
      </c>
      <c r="G56" s="31" t="str">
        <f>IFERROR(IF(INDEX(Overrides!$B$8:$B$47,MATCH(B56,Overrides!$A$8:$A$47,0))="","",INDEX(Overrides!$B$8:$B$47,MATCH(B56,Overrides!$A$8:$A$47,0))),"")</f>
        <v/>
      </c>
      <c r="H56" s="31" t="str">
        <f>IFERROR(IF(INDEX(Overrides!$C$8:$C$47,MATCH(B56,Overrides!$A$8:$A$47,0))="","",INDEX(Overrides!$C$8:$C$47,MATCH(B56,Overrides!$A$8:$A$47,0))),"")</f>
        <v/>
      </c>
      <c r="I56" s="36">
        <f>IFERROR(IF(INDEX(Overrides!$D$8:$D$47,MATCH(B56,Overrides!$A$8:$A$47,0))="",0,INDEX(Overrides!$D$8:$D$47,MATCH(B56,Overrides!$A$8:$A$47,0))),0)</f>
        <v>0</v>
      </c>
      <c r="J56" s="38">
        <f t="shared" si="11"/>
        <v>993.84401700424178</v>
      </c>
      <c r="K56" s="18">
        <f t="shared" si="12"/>
        <v>1.0000000000000004</v>
      </c>
      <c r="L56" s="38">
        <f t="shared" si="13"/>
        <v>993.84401700424223</v>
      </c>
      <c r="M56" s="23">
        <f t="shared" si="14"/>
        <v>-2.5782312848089628</v>
      </c>
      <c r="N56" s="23">
        <f t="shared" si="15"/>
        <v>0.25250102058034607</v>
      </c>
      <c r="O56" s="6"/>
      <c r="P56" s="18">
        <f t="shared" si="16"/>
        <v>-0.65100603070644003</v>
      </c>
    </row>
    <row r="57" spans="1:16" ht="15" customHeight="1" x14ac:dyDescent="0.3">
      <c r="A57" s="7" t="str">
        <f>Raw_Players!A19</f>
        <v>ATL</v>
      </c>
      <c r="B57" s="7" t="str">
        <f>Raw_Players!B19</f>
        <v>Jock Landale</v>
      </c>
      <c r="C57" s="37">
        <f>Raw_Players!E19</f>
        <v>-0.55777035878197612</v>
      </c>
      <c r="D57" s="31">
        <f>Raw_Players!F19</f>
        <v>904.74351579784502</v>
      </c>
      <c r="E57" s="31">
        <f>Raw_Players!G19</f>
        <v>15.202514607305959</v>
      </c>
      <c r="F57" s="31">
        <f>Raw_Players!H19</f>
        <v>59.512754249421818</v>
      </c>
      <c r="G57" s="31" t="str">
        <f>IFERROR(IF(INDEX(Overrides!$B$8:$B$47,MATCH(B57,Overrides!$A$8:$A$47,0))="","",INDEX(Overrides!$B$8:$B$47,MATCH(B57,Overrides!$A$8:$A$47,0))),"")</f>
        <v/>
      </c>
      <c r="H57" s="31" t="str">
        <f>IFERROR(IF(INDEX(Overrides!$C$8:$C$47,MATCH(B57,Overrides!$A$8:$A$47,0))="","",INDEX(Overrides!$C$8:$C$47,MATCH(B57,Overrides!$A$8:$A$47,0))),"")</f>
        <v/>
      </c>
      <c r="I57" s="36">
        <f>IFERROR(IF(INDEX(Overrides!$D$8:$D$47,MATCH(B57,Overrides!$A$8:$A$47,0))="",0,INDEX(Overrides!$D$8:$D$47,MATCH(B57,Overrides!$A$8:$A$47,0))),0)</f>
        <v>0</v>
      </c>
      <c r="J57" s="38">
        <f t="shared" si="11"/>
        <v>904.74351579784502</v>
      </c>
      <c r="K57" s="18">
        <f t="shared" si="12"/>
        <v>1.0000000000000004</v>
      </c>
      <c r="L57" s="38">
        <f t="shared" si="13"/>
        <v>904.74351579784548</v>
      </c>
      <c r="M57" s="23">
        <f t="shared" si="14"/>
        <v>-0.55777035878197612</v>
      </c>
      <c r="N57" s="23">
        <f t="shared" si="15"/>
        <v>0.22986369811937132</v>
      </c>
      <c r="O57" s="6"/>
      <c r="P57" s="18">
        <f t="shared" si="16"/>
        <v>-0.12821115737099359</v>
      </c>
    </row>
    <row r="58" spans="1:16" ht="15" customHeight="1" x14ac:dyDescent="0.3">
      <c r="A58" s="7" t="str">
        <f>Raw_Players!A20</f>
        <v>ATL</v>
      </c>
      <c r="B58" s="7" t="str">
        <f>Raw_Players!B20</f>
        <v>Mouhamed Gueye</v>
      </c>
      <c r="C58" s="37">
        <f>Raw_Players!E20</f>
        <v>0.29039849087799491</v>
      </c>
      <c r="D58" s="31">
        <f>Raw_Players!F20</f>
        <v>798.91908107340544</v>
      </c>
      <c r="E58" s="31">
        <f>Raw_Players!G20</f>
        <v>12.808465784748449</v>
      </c>
      <c r="F58" s="31">
        <f>Raw_Players!H20</f>
        <v>62.374299506246118</v>
      </c>
      <c r="G58" s="31" t="str">
        <f>IFERROR(IF(INDEX(Overrides!$B$8:$B$47,MATCH(B58,Overrides!$A$8:$A$47,0))="","",INDEX(Overrides!$B$8:$B$47,MATCH(B58,Overrides!$A$8:$A$47,0))),"")</f>
        <v/>
      </c>
      <c r="H58" s="31" t="str">
        <f>IFERROR(IF(INDEX(Overrides!$C$8:$C$47,MATCH(B58,Overrides!$A$8:$A$47,0))="","",INDEX(Overrides!$C$8:$C$47,MATCH(B58,Overrides!$A$8:$A$47,0))),"")</f>
        <v/>
      </c>
      <c r="I58" s="36">
        <f>IFERROR(IF(INDEX(Overrides!$D$8:$D$47,MATCH(B58,Overrides!$A$8:$A$47,0))="",0,INDEX(Overrides!$D$8:$D$47,MATCH(B58,Overrides!$A$8:$A$47,0))),0)</f>
        <v>0</v>
      </c>
      <c r="J58" s="38">
        <f t="shared" si="11"/>
        <v>798.91908107340544</v>
      </c>
      <c r="K58" s="18">
        <f t="shared" si="12"/>
        <v>1.0000000000000004</v>
      </c>
      <c r="L58" s="38">
        <f t="shared" si="13"/>
        <v>798.91908107340578</v>
      </c>
      <c r="M58" s="23">
        <f t="shared" si="14"/>
        <v>0.29039849087799491</v>
      </c>
      <c r="N58" s="23">
        <f t="shared" si="15"/>
        <v>0.20297740880930024</v>
      </c>
      <c r="O58" s="6"/>
      <c r="P58" s="18">
        <f t="shared" si="16"/>
        <v>5.8944333200546616E-2</v>
      </c>
    </row>
    <row r="59" spans="1:16" ht="15" customHeight="1" x14ac:dyDescent="0.3">
      <c r="A59" s="7" t="str">
        <f>Raw_Players!A21</f>
        <v>ATL</v>
      </c>
      <c r="B59" s="7" t="str">
        <f>Raw_Players!B21</f>
        <v>Zuby Ejiofor</v>
      </c>
      <c r="C59" s="37">
        <f>Raw_Players!E21</f>
        <v>-7.6121039931339202E-2</v>
      </c>
      <c r="D59" s="31">
        <f>Raw_Players!F21</f>
        <v>643.54416822483427</v>
      </c>
      <c r="E59" s="31">
        <f>Raw_Players!G21</f>
        <v>14.7806192200793</v>
      </c>
      <c r="F59" s="31">
        <f>Raw_Players!H21</f>
        <v>43.539729874820587</v>
      </c>
      <c r="G59" s="31" t="str">
        <f>IFERROR(IF(INDEX(Overrides!$B$8:$B$47,MATCH(B59,Overrides!$A$8:$A$47,0))="","",INDEX(Overrides!$B$8:$B$47,MATCH(B59,Overrides!$A$8:$A$47,0))),"")</f>
        <v/>
      </c>
      <c r="H59" s="31" t="str">
        <f>IFERROR(IF(INDEX(Overrides!$C$8:$C$47,MATCH(B59,Overrides!$A$8:$A$47,0))="","",INDEX(Overrides!$C$8:$C$47,MATCH(B59,Overrides!$A$8:$A$47,0))),"")</f>
        <v/>
      </c>
      <c r="I59" s="36">
        <f>IFERROR(IF(INDEX(Overrides!$D$8:$D$47,MATCH(B59,Overrides!$A$8:$A$47,0))="",0,INDEX(Overrides!$D$8:$D$47,MATCH(B59,Overrides!$A$8:$A$47,0))),0)</f>
        <v>0</v>
      </c>
      <c r="J59" s="38">
        <f t="shared" si="11"/>
        <v>643.54416822483427</v>
      </c>
      <c r="K59" s="18">
        <f t="shared" si="12"/>
        <v>1.0000000000000004</v>
      </c>
      <c r="L59" s="38">
        <f t="shared" si="13"/>
        <v>643.54416822483461</v>
      </c>
      <c r="M59" s="23">
        <f t="shared" si="14"/>
        <v>-7.6121039931339202E-2</v>
      </c>
      <c r="N59" s="23">
        <f t="shared" si="15"/>
        <v>0.16350207526037464</v>
      </c>
      <c r="O59" s="6"/>
      <c r="P59" s="18">
        <f t="shared" si="16"/>
        <v>-1.2445947999751805E-2</v>
      </c>
    </row>
    <row r="60" spans="1:16" ht="15" customHeight="1" x14ac:dyDescent="0.3">
      <c r="A60" s="7" t="str">
        <f>Raw_Players!A22</f>
        <v>ATL</v>
      </c>
      <c r="B60" s="7" t="str">
        <f>Raw_Players!B22</f>
        <v>Asa Newell</v>
      </c>
      <c r="C60" s="37">
        <f>Raw_Players!E22</f>
        <v>-0.55485403312526116</v>
      </c>
      <c r="D60" s="31">
        <f>Raw_Players!F22</f>
        <v>541.95748804870709</v>
      </c>
      <c r="E60" s="31">
        <f>Raw_Players!G22</f>
        <v>9.8281051843308553</v>
      </c>
      <c r="F60" s="31">
        <f>Raw_Players!H22</f>
        <v>55.143639377482522</v>
      </c>
      <c r="G60" s="31" t="str">
        <f>IFERROR(IF(INDEX(Overrides!$B$8:$B$47,MATCH(B60,Overrides!$A$8:$A$47,0))="","",INDEX(Overrides!$B$8:$B$47,MATCH(B60,Overrides!$A$8:$A$47,0))),"")</f>
        <v/>
      </c>
      <c r="H60" s="31" t="str">
        <f>IFERROR(IF(INDEX(Overrides!$C$8:$C$47,MATCH(B60,Overrides!$A$8:$A$47,0))="","",INDEX(Overrides!$C$8:$C$47,MATCH(B60,Overrides!$A$8:$A$47,0))),"")</f>
        <v/>
      </c>
      <c r="I60" s="36">
        <f>IFERROR(IF(INDEX(Overrides!$D$8:$D$47,MATCH(B60,Overrides!$A$8:$A$47,0))="",0,INDEX(Overrides!$D$8:$D$47,MATCH(B60,Overrides!$A$8:$A$47,0))),0)</f>
        <v>0</v>
      </c>
      <c r="J60" s="38">
        <f t="shared" si="11"/>
        <v>541.95748804870709</v>
      </c>
      <c r="K60" s="18">
        <f t="shared" si="12"/>
        <v>1.0000000000000004</v>
      </c>
      <c r="L60" s="38">
        <f t="shared" si="13"/>
        <v>541.95748804870732</v>
      </c>
      <c r="M60" s="23">
        <f t="shared" si="14"/>
        <v>-0.55485403312526116</v>
      </c>
      <c r="N60" s="23">
        <f t="shared" si="15"/>
        <v>0.13769245123188703</v>
      </c>
      <c r="O60" s="6"/>
      <c r="P60" s="18">
        <f t="shared" si="16"/>
        <v>-7.6399211896915856E-2</v>
      </c>
    </row>
    <row r="61" spans="1:16" ht="15" customHeight="1" x14ac:dyDescent="0.3">
      <c r="A61" s="7" t="str">
        <f>Raw_Players!A23</f>
        <v>ATL</v>
      </c>
      <c r="B61" s="7" t="str">
        <f>Raw_Players!B23</f>
        <v>Keshon Gilbert</v>
      </c>
      <c r="C61" s="37">
        <f>Raw_Players!E23</f>
        <v>-1.3488091667937741</v>
      </c>
      <c r="D61" s="31">
        <f>Raw_Players!F23</f>
        <v>471.01182640548689</v>
      </c>
      <c r="E61" s="31">
        <f>Raw_Players!G23</f>
        <v>11.399689186716889</v>
      </c>
      <c r="F61" s="31">
        <f>Raw_Players!H23</f>
        <v>41.317953383704349</v>
      </c>
      <c r="G61" s="31" t="str">
        <f>IFERROR(IF(INDEX(Overrides!$B$8:$B$47,MATCH(B61,Overrides!$A$8:$A$47,0))="","",INDEX(Overrides!$B$8:$B$47,MATCH(B61,Overrides!$A$8:$A$47,0))),"")</f>
        <v/>
      </c>
      <c r="H61" s="31" t="str">
        <f>IFERROR(IF(INDEX(Overrides!$C$8:$C$47,MATCH(B61,Overrides!$A$8:$A$47,0))="","",INDEX(Overrides!$C$8:$C$47,MATCH(B61,Overrides!$A$8:$A$47,0))),"")</f>
        <v/>
      </c>
      <c r="I61" s="36">
        <f>IFERROR(IF(INDEX(Overrides!$D$8:$D$47,MATCH(B61,Overrides!$A$8:$A$47,0))="",0,INDEX(Overrides!$D$8:$D$47,MATCH(B61,Overrides!$A$8:$A$47,0))),0)</f>
        <v>0</v>
      </c>
      <c r="J61" s="38">
        <f t="shared" si="11"/>
        <v>471.01182640548689</v>
      </c>
      <c r="K61" s="18">
        <f t="shared" si="12"/>
        <v>1.0000000000000004</v>
      </c>
      <c r="L61" s="38">
        <f t="shared" si="13"/>
        <v>471.01182640548711</v>
      </c>
      <c r="M61" s="23">
        <f t="shared" si="14"/>
        <v>-1.3488091667937741</v>
      </c>
      <c r="N61" s="23">
        <f t="shared" si="15"/>
        <v>0.1196676388225323</v>
      </c>
      <c r="O61" s="6"/>
      <c r="P61" s="18">
        <f t="shared" si="16"/>
        <v>-0.16140880821239809</v>
      </c>
    </row>
    <row r="62" spans="1:16" ht="15" customHeight="1" x14ac:dyDescent="0.3">
      <c r="A62" s="7" t="str">
        <f>Raw_Players!A24</f>
        <v>ATL</v>
      </c>
      <c r="B62" s="7" t="str">
        <f>Raw_Players!B24</f>
        <v>RayJ Dennis</v>
      </c>
      <c r="C62" s="37">
        <f>Raw_Players!E24</f>
        <v>-2.07245833419675</v>
      </c>
      <c r="D62" s="31">
        <f>Raw_Players!F24</f>
        <v>423.53731287670269</v>
      </c>
      <c r="E62" s="31">
        <f>Raw_Players!G24</f>
        <v>9.404595863802232</v>
      </c>
      <c r="F62" s="31">
        <f>Raw_Players!H24</f>
        <v>45.035142286855127</v>
      </c>
      <c r="G62" s="31" t="str">
        <f>IFERROR(IF(INDEX(Overrides!$B$8:$B$47,MATCH(B62,Overrides!$A$8:$A$47,0))="","",INDEX(Overrides!$B$8:$B$47,MATCH(B62,Overrides!$A$8:$A$47,0))),"")</f>
        <v/>
      </c>
      <c r="H62" s="31" t="str">
        <f>IFERROR(IF(INDEX(Overrides!$C$8:$C$47,MATCH(B62,Overrides!$A$8:$A$47,0))="","",INDEX(Overrides!$C$8:$C$47,MATCH(B62,Overrides!$A$8:$A$47,0))),"")</f>
        <v/>
      </c>
      <c r="I62" s="36">
        <f>IFERROR(IF(INDEX(Overrides!$D$8:$D$47,MATCH(B62,Overrides!$A$8:$A$47,0))="",0,INDEX(Overrides!$D$8:$D$47,MATCH(B62,Overrides!$A$8:$A$47,0))),0)</f>
        <v>0</v>
      </c>
      <c r="J62" s="38">
        <f t="shared" si="11"/>
        <v>423.53731287670269</v>
      </c>
      <c r="K62" s="18">
        <f t="shared" si="12"/>
        <v>1.0000000000000004</v>
      </c>
      <c r="L62" s="38">
        <f t="shared" si="13"/>
        <v>423.53731287670286</v>
      </c>
      <c r="M62" s="23">
        <f t="shared" si="14"/>
        <v>-2.07245833419675</v>
      </c>
      <c r="N62" s="23">
        <f t="shared" si="15"/>
        <v>0.10760602461298345</v>
      </c>
      <c r="O62" s="6"/>
      <c r="P62" s="18">
        <f t="shared" si="16"/>
        <v>-0.22300900251895817</v>
      </c>
    </row>
    <row r="63" spans="1:16" ht="15" customHeight="1" x14ac:dyDescent="0.3">
      <c r="A63" s="7" t="str">
        <f>Raw_Players!A25</f>
        <v>ATL</v>
      </c>
      <c r="B63" s="7" t="str">
        <f>Raw_Players!B25</f>
        <v>Giorgi Bezhanishvili</v>
      </c>
      <c r="C63" s="37">
        <f>Raw_Players!E25</f>
        <v>-3.1867960702466678</v>
      </c>
      <c r="D63" s="31">
        <f>Raw_Players!F25</f>
        <v>331.57229233305083</v>
      </c>
      <c r="E63" s="31">
        <f>Raw_Players!G25</f>
        <v>10.92916635448073</v>
      </c>
      <c r="F63" s="31">
        <f>Raw_Players!H25</f>
        <v>30.338296772023529</v>
      </c>
      <c r="G63" s="31" t="str">
        <f>IFERROR(IF(INDEX(Overrides!$B$8:$B$47,MATCH(B63,Overrides!$A$8:$A$47,0))="","",INDEX(Overrides!$B$8:$B$47,MATCH(B63,Overrides!$A$8:$A$47,0))),"")</f>
        <v/>
      </c>
      <c r="H63" s="31" t="str">
        <f>IFERROR(IF(INDEX(Overrides!$C$8:$C$47,MATCH(B63,Overrides!$A$8:$A$47,0))="","",INDEX(Overrides!$C$8:$C$47,MATCH(B63,Overrides!$A$8:$A$47,0))),"")</f>
        <v/>
      </c>
      <c r="I63" s="36">
        <f>IFERROR(IF(INDEX(Overrides!$D$8:$D$47,MATCH(B63,Overrides!$A$8:$A$47,0))="",0,INDEX(Overrides!$D$8:$D$47,MATCH(B63,Overrides!$A$8:$A$47,0))),0)</f>
        <v>0</v>
      </c>
      <c r="J63" s="38">
        <f t="shared" si="11"/>
        <v>331.57229233305083</v>
      </c>
      <c r="K63" s="18">
        <f t="shared" si="12"/>
        <v>1.0000000000000004</v>
      </c>
      <c r="L63" s="38">
        <f t="shared" si="13"/>
        <v>331.572292333051</v>
      </c>
      <c r="M63" s="23">
        <f t="shared" si="14"/>
        <v>-3.1867960702466678</v>
      </c>
      <c r="N63" s="23">
        <f t="shared" si="15"/>
        <v>8.4240927930145065E-2</v>
      </c>
      <c r="O63" s="6"/>
      <c r="P63" s="18">
        <f t="shared" si="16"/>
        <v>-0.26845865808171904</v>
      </c>
    </row>
    <row r="64" spans="1:16" ht="15" customHeight="1" x14ac:dyDescent="0.3">
      <c r="A64" s="7" t="str">
        <f>Raw_Players!A26</f>
        <v>ATL</v>
      </c>
      <c r="B64" s="7" t="str">
        <f>Raw_Players!B26</f>
        <v>Cameron Corhen</v>
      </c>
      <c r="C64" s="37">
        <f>Raw_Players!E26</f>
        <v>-3.1867960702466678</v>
      </c>
      <c r="D64" s="31">
        <f>Raw_Players!F26</f>
        <v>331.57229233305083</v>
      </c>
      <c r="E64" s="31">
        <f>Raw_Players!G26</f>
        <v>10.92916635448073</v>
      </c>
      <c r="F64" s="31">
        <f>Raw_Players!H26</f>
        <v>30.338296772023529</v>
      </c>
      <c r="G64" s="31" t="str">
        <f>IFERROR(IF(INDEX(Overrides!$B$8:$B$47,MATCH(B64,Overrides!$A$8:$A$47,0))="","",INDEX(Overrides!$B$8:$B$47,MATCH(B64,Overrides!$A$8:$A$47,0))),"")</f>
        <v/>
      </c>
      <c r="H64" s="31" t="str">
        <f>IFERROR(IF(INDEX(Overrides!$C$8:$C$47,MATCH(B64,Overrides!$A$8:$A$47,0))="","",INDEX(Overrides!$C$8:$C$47,MATCH(B64,Overrides!$A$8:$A$47,0))),"")</f>
        <v/>
      </c>
      <c r="I64" s="36">
        <f>IFERROR(IF(INDEX(Overrides!$D$8:$D$47,MATCH(B64,Overrides!$A$8:$A$47,0))="",0,INDEX(Overrides!$D$8:$D$47,MATCH(B64,Overrides!$A$8:$A$47,0))),0)</f>
        <v>0</v>
      </c>
      <c r="J64" s="38">
        <f t="shared" si="11"/>
        <v>331.57229233305083</v>
      </c>
      <c r="K64" s="18">
        <f t="shared" si="12"/>
        <v>1.0000000000000004</v>
      </c>
      <c r="L64" s="38">
        <f t="shared" si="13"/>
        <v>331.572292333051</v>
      </c>
      <c r="M64" s="23">
        <f t="shared" si="14"/>
        <v>-3.1867960702466678</v>
      </c>
      <c r="N64" s="23">
        <f t="shared" si="15"/>
        <v>8.4240927930145065E-2</v>
      </c>
      <c r="O64" s="6"/>
      <c r="P64" s="18">
        <f t="shared" si="16"/>
        <v>-0.26845865808171904</v>
      </c>
    </row>
    <row r="65" spans="1:16" ht="15" customHeight="1" x14ac:dyDescent="0.3">
      <c r="A65" s="7" t="str">
        <f>Raw_Players!A27</f>
        <v>ATL</v>
      </c>
      <c r="B65" s="7" t="str">
        <f>Raw_Players!B27</f>
        <v>Kobe Johnson</v>
      </c>
      <c r="C65" s="37">
        <f>Raw_Players!E27</f>
        <v>-3.1867960702466678</v>
      </c>
      <c r="D65" s="31">
        <f>Raw_Players!F27</f>
        <v>331.57229233305083</v>
      </c>
      <c r="E65" s="31">
        <f>Raw_Players!G27</f>
        <v>10.92916635448073</v>
      </c>
      <c r="F65" s="31">
        <f>Raw_Players!H27</f>
        <v>30.338296772023529</v>
      </c>
      <c r="G65" s="31" t="str">
        <f>IFERROR(IF(INDEX(Overrides!$B$8:$B$47,MATCH(B65,Overrides!$A$8:$A$47,0))="","",INDEX(Overrides!$B$8:$B$47,MATCH(B65,Overrides!$A$8:$A$47,0))),"")</f>
        <v/>
      </c>
      <c r="H65" s="31" t="str">
        <f>IFERROR(IF(INDEX(Overrides!$C$8:$C$47,MATCH(B65,Overrides!$A$8:$A$47,0))="","",INDEX(Overrides!$C$8:$C$47,MATCH(B65,Overrides!$A$8:$A$47,0))),"")</f>
        <v/>
      </c>
      <c r="I65" s="36">
        <f>IFERROR(IF(INDEX(Overrides!$D$8:$D$47,MATCH(B65,Overrides!$A$8:$A$47,0))="",0,INDEX(Overrides!$D$8:$D$47,MATCH(B65,Overrides!$A$8:$A$47,0))),0)</f>
        <v>0</v>
      </c>
      <c r="J65" s="38">
        <f t="shared" si="11"/>
        <v>331.57229233305083</v>
      </c>
      <c r="K65" s="18">
        <f t="shared" si="12"/>
        <v>1.0000000000000004</v>
      </c>
      <c r="L65" s="38">
        <f t="shared" si="13"/>
        <v>331.572292333051</v>
      </c>
      <c r="M65" s="23">
        <f t="shared" si="14"/>
        <v>-3.1867960702466678</v>
      </c>
      <c r="N65" s="23">
        <f t="shared" si="15"/>
        <v>8.4240927930145065E-2</v>
      </c>
      <c r="O65" s="6"/>
      <c r="P65" s="18">
        <f t="shared" si="16"/>
        <v>-0.26845865808171904</v>
      </c>
    </row>
    <row r="66" spans="1:16" ht="15" customHeight="1" x14ac:dyDescent="0.3">
      <c r="A66" s="7" t="str">
        <f>Raw_Players!A28</f>
        <v>ATL</v>
      </c>
      <c r="B66" s="7" t="str">
        <f>Raw_Players!B28</f>
        <v>Henri Veesaar</v>
      </c>
      <c r="C66" s="37">
        <f>Raw_Players!E28</f>
        <v>-1.607989884524351</v>
      </c>
      <c r="D66" s="31">
        <f>Raw_Players!F28</f>
        <v>0</v>
      </c>
      <c r="E66" s="31">
        <f>Raw_Players!G28</f>
        <v>0</v>
      </c>
      <c r="F66" s="31">
        <f>Raw_Players!H28</f>
        <v>0</v>
      </c>
      <c r="G66" s="31" t="str">
        <f>IFERROR(IF(INDEX(Overrides!$B$8:$B$47,MATCH(B66,Overrides!$A$8:$A$47,0))="","",INDEX(Overrides!$B$8:$B$47,MATCH(B66,Overrides!$A$8:$A$47,0))),"")</f>
        <v/>
      </c>
      <c r="H66" s="31" t="str">
        <f>IFERROR(IF(INDEX(Overrides!$C$8:$C$47,MATCH(B66,Overrides!$A$8:$A$47,0))="","",INDEX(Overrides!$C$8:$C$47,MATCH(B66,Overrides!$A$8:$A$47,0))),"")</f>
        <v/>
      </c>
      <c r="I66" s="36">
        <f>IFERROR(IF(INDEX(Overrides!$D$8:$D$47,MATCH(B66,Overrides!$A$8:$A$47,0))="",0,INDEX(Overrides!$D$8:$D$47,MATCH(B66,Overrides!$A$8:$A$47,0))),0)</f>
        <v>0</v>
      </c>
      <c r="J66" s="38">
        <f t="shared" si="11"/>
        <v>0</v>
      </c>
      <c r="K66" s="18">
        <f t="shared" si="12"/>
        <v>1.0000000000000004</v>
      </c>
      <c r="L66" s="38">
        <f t="shared" si="13"/>
        <v>0</v>
      </c>
      <c r="M66" s="23">
        <f t="shared" si="14"/>
        <v>-1.607989884524351</v>
      </c>
      <c r="N66" s="23">
        <f t="shared" si="15"/>
        <v>0</v>
      </c>
      <c r="O66" s="6"/>
      <c r="P66" s="18">
        <f t="shared" si="16"/>
        <v>0</v>
      </c>
    </row>
    <row r="67" spans="1:16" ht="15" customHeight="1" x14ac:dyDescent="0.3">
      <c r="A67" s="7" t="str">
        <f>Raw_Players!A29</f>
        <v>BKN</v>
      </c>
      <c r="B67" s="7" t="str">
        <f>Raw_Players!B29</f>
        <v>Julius Randle</v>
      </c>
      <c r="C67" s="37">
        <f>Raw_Players!E29</f>
        <v>0.55210903489740715</v>
      </c>
      <c r="D67" s="31">
        <f>Raw_Players!F29</f>
        <v>1945.321537366849</v>
      </c>
      <c r="E67" s="31">
        <f>Raw_Players!G29</f>
        <v>30.194633777807979</v>
      </c>
      <c r="F67" s="31">
        <f>Raw_Players!H29</f>
        <v>64.426068276959668</v>
      </c>
      <c r="G67" s="31" t="str">
        <f>IFERROR(IF(INDEX(Overrides!$B$8:$B$47,MATCH(B67,Overrides!$A$8:$A$47,0))="","",INDEX(Overrides!$B$8:$B$47,MATCH(B67,Overrides!$A$8:$A$47,0))),"")</f>
        <v/>
      </c>
      <c r="H67" s="31" t="str">
        <f>IFERROR(IF(INDEX(Overrides!$C$8:$C$47,MATCH(B67,Overrides!$A$8:$A$47,0))="","",INDEX(Overrides!$C$8:$C$47,MATCH(B67,Overrides!$A$8:$A$47,0))),"")</f>
        <v/>
      </c>
      <c r="I67" s="36">
        <f>IFERROR(IF(INDEX(Overrides!$D$8:$D$47,MATCH(B67,Overrides!$A$8:$A$47,0))="",0,INDEX(Overrides!$D$8:$D$47,MATCH(B67,Overrides!$A$8:$A$47,0))),0)</f>
        <v>0</v>
      </c>
      <c r="J67" s="38">
        <f t="shared" si="11"/>
        <v>1945.321537366849</v>
      </c>
      <c r="K67" s="18">
        <f t="shared" si="12"/>
        <v>1</v>
      </c>
      <c r="L67" s="38">
        <f t="shared" si="13"/>
        <v>1945.321537366849</v>
      </c>
      <c r="M67" s="23">
        <f t="shared" si="14"/>
        <v>0.55210903489740715</v>
      </c>
      <c r="N67" s="23">
        <f t="shared" si="15"/>
        <v>0.49423819546921977</v>
      </c>
      <c r="O67" s="6"/>
      <c r="P67" s="18">
        <f t="shared" si="16"/>
        <v>0.27287337310994697</v>
      </c>
    </row>
    <row r="68" spans="1:16" ht="15" customHeight="1" x14ac:dyDescent="0.3">
      <c r="A68" s="7" t="str">
        <f>Raw_Players!A30</f>
        <v>BKN</v>
      </c>
      <c r="B68" s="7" t="str">
        <f>Raw_Players!B30</f>
        <v>Michael Porter Jr.</v>
      </c>
      <c r="C68" s="37">
        <f>Raw_Players!E30</f>
        <v>1.475640789718208</v>
      </c>
      <c r="D68" s="31">
        <f>Raw_Players!F30</f>
        <v>1903.808357692061</v>
      </c>
      <c r="E68" s="31">
        <f>Raw_Players!G30</f>
        <v>30.269767169003689</v>
      </c>
      <c r="F68" s="31">
        <f>Raw_Players!H30</f>
        <v>62.894714289099817</v>
      </c>
      <c r="G68" s="31" t="str">
        <f>IFERROR(IF(INDEX(Overrides!$B$8:$B$47,MATCH(B68,Overrides!$A$8:$A$47,0))="","",INDEX(Overrides!$B$8:$B$47,MATCH(B68,Overrides!$A$8:$A$47,0))),"")</f>
        <v/>
      </c>
      <c r="H68" s="31" t="str">
        <f>IFERROR(IF(INDEX(Overrides!$C$8:$C$47,MATCH(B68,Overrides!$A$8:$A$47,0))="","",INDEX(Overrides!$C$8:$C$47,MATCH(B68,Overrides!$A$8:$A$47,0))),"")</f>
        <v/>
      </c>
      <c r="I68" s="36">
        <f>IFERROR(IF(INDEX(Overrides!$D$8:$D$47,MATCH(B68,Overrides!$A$8:$A$47,0))="",0,INDEX(Overrides!$D$8:$D$47,MATCH(B68,Overrides!$A$8:$A$47,0))),0)</f>
        <v>0</v>
      </c>
      <c r="J68" s="38">
        <f t="shared" si="11"/>
        <v>1903.808357692061</v>
      </c>
      <c r="K68" s="18">
        <f t="shared" si="12"/>
        <v>1</v>
      </c>
      <c r="L68" s="38">
        <f t="shared" si="13"/>
        <v>1903.808357692061</v>
      </c>
      <c r="M68" s="23">
        <f t="shared" si="14"/>
        <v>1.475640789718208</v>
      </c>
      <c r="N68" s="23">
        <f t="shared" si="15"/>
        <v>0.48369114778761713</v>
      </c>
      <c r="O68" s="6"/>
      <c r="P68" s="18">
        <f t="shared" si="16"/>
        <v>0.71375438730102581</v>
      </c>
    </row>
    <row r="69" spans="1:16" ht="15" customHeight="1" x14ac:dyDescent="0.3">
      <c r="A69" s="7" t="str">
        <f>Raw_Players!A31</f>
        <v>BKN</v>
      </c>
      <c r="B69" s="7" t="str">
        <f>Raw_Players!B31</f>
        <v>Egor Demin</v>
      </c>
      <c r="C69" s="37">
        <f>Raw_Players!E31</f>
        <v>-0.62092393886208641</v>
      </c>
      <c r="D69" s="31">
        <f>Raw_Players!F31</f>
        <v>1400.518361314096</v>
      </c>
      <c r="E69" s="31">
        <f>Raw_Players!G31</f>
        <v>21.62901817184267</v>
      </c>
      <c r="F69" s="31">
        <f>Raw_Players!H31</f>
        <v>64.751823230577074</v>
      </c>
      <c r="G69" s="31" t="str">
        <f>IFERROR(IF(INDEX(Overrides!$B$8:$B$47,MATCH(B69,Overrides!$A$8:$A$47,0))="","",INDEX(Overrides!$B$8:$B$47,MATCH(B69,Overrides!$A$8:$A$47,0))),"")</f>
        <v/>
      </c>
      <c r="H69" s="31" t="str">
        <f>IFERROR(IF(INDEX(Overrides!$C$8:$C$47,MATCH(B69,Overrides!$A$8:$A$47,0))="","",INDEX(Overrides!$C$8:$C$47,MATCH(B69,Overrides!$A$8:$A$47,0))),"")</f>
        <v/>
      </c>
      <c r="I69" s="36">
        <f>IFERROR(IF(INDEX(Overrides!$D$8:$D$47,MATCH(B69,Overrides!$A$8:$A$47,0))="",0,INDEX(Overrides!$D$8:$D$47,MATCH(B69,Overrides!$A$8:$A$47,0))),0)</f>
        <v>0</v>
      </c>
      <c r="J69" s="38">
        <f t="shared" si="11"/>
        <v>1400.518361314096</v>
      </c>
      <c r="K69" s="18">
        <f t="shared" si="12"/>
        <v>1</v>
      </c>
      <c r="L69" s="38">
        <f t="shared" si="13"/>
        <v>1400.518361314096</v>
      </c>
      <c r="M69" s="23">
        <f t="shared" si="14"/>
        <v>-0.62092393886208641</v>
      </c>
      <c r="N69" s="23">
        <f t="shared" si="15"/>
        <v>0.35582275439890648</v>
      </c>
      <c r="O69" s="6"/>
      <c r="P69" s="18">
        <f t="shared" si="16"/>
        <v>-0.22093886619812581</v>
      </c>
    </row>
    <row r="70" spans="1:16" ht="15" customHeight="1" x14ac:dyDescent="0.3">
      <c r="A70" s="7" t="str">
        <f>Raw_Players!A32</f>
        <v>BKN</v>
      </c>
      <c r="B70" s="7" t="str">
        <f>Raw_Players!B32</f>
        <v>Mikel Brown Jr.</v>
      </c>
      <c r="C70" s="37">
        <f>Raw_Players!E32</f>
        <v>-3.1014860294846041</v>
      </c>
      <c r="D70" s="31">
        <f>Raw_Players!F32</f>
        <v>1390.264418404204</v>
      </c>
      <c r="E70" s="31">
        <f>Raw_Players!G32</f>
        <v>22.522893137525859</v>
      </c>
      <c r="F70" s="31">
        <f>Raw_Players!H32</f>
        <v>61.726724444998368</v>
      </c>
      <c r="G70" s="31" t="str">
        <f>IFERROR(IF(INDEX(Overrides!$B$8:$B$47,MATCH(B70,Overrides!$A$8:$A$47,0))="","",INDEX(Overrides!$B$8:$B$47,MATCH(B70,Overrides!$A$8:$A$47,0))),"")</f>
        <v/>
      </c>
      <c r="H70" s="31" t="str">
        <f>IFERROR(IF(INDEX(Overrides!$C$8:$C$47,MATCH(B70,Overrides!$A$8:$A$47,0))="","",INDEX(Overrides!$C$8:$C$47,MATCH(B70,Overrides!$A$8:$A$47,0))),"")</f>
        <v/>
      </c>
      <c r="I70" s="36">
        <f>IFERROR(IF(INDEX(Overrides!$D$8:$D$47,MATCH(B70,Overrides!$A$8:$A$47,0))="",0,INDEX(Overrides!$D$8:$D$47,MATCH(B70,Overrides!$A$8:$A$47,0))),0)</f>
        <v>0</v>
      </c>
      <c r="J70" s="38">
        <f t="shared" si="11"/>
        <v>1390.264418404204</v>
      </c>
      <c r="K70" s="18">
        <f t="shared" si="12"/>
        <v>1</v>
      </c>
      <c r="L70" s="38">
        <f t="shared" si="13"/>
        <v>1390.264418404204</v>
      </c>
      <c r="M70" s="23">
        <f t="shared" si="14"/>
        <v>-3.1014860294846041</v>
      </c>
      <c r="N70" s="23">
        <f t="shared" si="15"/>
        <v>0.35321758597667785</v>
      </c>
      <c r="O70" s="6"/>
      <c r="P70" s="18">
        <f t="shared" si="16"/>
        <v>-1.0954994082749434</v>
      </c>
    </row>
    <row r="71" spans="1:16" ht="15" customHeight="1" x14ac:dyDescent="0.3">
      <c r="A71" s="7" t="str">
        <f>Raw_Players!A33</f>
        <v>BKN</v>
      </c>
      <c r="B71" s="7" t="str">
        <f>Raw_Players!B33</f>
        <v>Noah Clowney</v>
      </c>
      <c r="C71" s="37">
        <f>Raw_Players!E33</f>
        <v>-1.9094844028947</v>
      </c>
      <c r="D71" s="31">
        <f>Raw_Players!F33</f>
        <v>1374.776688830168</v>
      </c>
      <c r="E71" s="31">
        <f>Raw_Players!G33</f>
        <v>22.58837128760057</v>
      </c>
      <c r="F71" s="31">
        <f>Raw_Players!H33</f>
        <v>60.862143238491228</v>
      </c>
      <c r="G71" s="31" t="str">
        <f>IFERROR(IF(INDEX(Overrides!$B$8:$B$47,MATCH(B71,Overrides!$A$8:$A$47,0))="","",INDEX(Overrides!$B$8:$B$47,MATCH(B71,Overrides!$A$8:$A$47,0))),"")</f>
        <v/>
      </c>
      <c r="H71" s="31" t="str">
        <f>IFERROR(IF(INDEX(Overrides!$C$8:$C$47,MATCH(B71,Overrides!$A$8:$A$47,0))="","",INDEX(Overrides!$C$8:$C$47,MATCH(B71,Overrides!$A$8:$A$47,0))),"")</f>
        <v/>
      </c>
      <c r="I71" s="36">
        <f>IFERROR(IF(INDEX(Overrides!$D$8:$D$47,MATCH(B71,Overrides!$A$8:$A$47,0))="",0,INDEX(Overrides!$D$8:$D$47,MATCH(B71,Overrides!$A$8:$A$47,0))),0)</f>
        <v>0</v>
      </c>
      <c r="J71" s="38">
        <f t="shared" si="11"/>
        <v>1374.776688830168</v>
      </c>
      <c r="K71" s="18">
        <f t="shared" si="12"/>
        <v>1</v>
      </c>
      <c r="L71" s="38">
        <f t="shared" si="13"/>
        <v>1374.776688830168</v>
      </c>
      <c r="M71" s="23">
        <f t="shared" si="14"/>
        <v>-1.9094844028947</v>
      </c>
      <c r="N71" s="23">
        <f t="shared" si="15"/>
        <v>0.34928269533286788</v>
      </c>
      <c r="O71" s="6"/>
      <c r="P71" s="18">
        <f t="shared" si="16"/>
        <v>-0.66694985893913261</v>
      </c>
    </row>
    <row r="72" spans="1:16" ht="15" customHeight="1" x14ac:dyDescent="0.3">
      <c r="A72" s="7" t="str">
        <f>Raw_Players!A34</f>
        <v>BKN</v>
      </c>
      <c r="B72" s="7" t="str">
        <f>Raw_Players!B34</f>
        <v>Terance Mann</v>
      </c>
      <c r="C72" s="37">
        <f>Raw_Players!E34</f>
        <v>-2.4328717680070731</v>
      </c>
      <c r="D72" s="31">
        <f>Raw_Players!F34</f>
        <v>1319.818809161244</v>
      </c>
      <c r="E72" s="31">
        <f>Raw_Players!G34</f>
        <v>21.665181825987439</v>
      </c>
      <c r="F72" s="31">
        <f>Raw_Players!H34</f>
        <v>60.918889107965761</v>
      </c>
      <c r="G72" s="31" t="str">
        <f>IFERROR(IF(INDEX(Overrides!$B$8:$B$47,MATCH(B72,Overrides!$A$8:$A$47,0))="","",INDEX(Overrides!$B$8:$B$47,MATCH(B72,Overrides!$A$8:$A$47,0))),"")</f>
        <v/>
      </c>
      <c r="H72" s="31" t="str">
        <f>IFERROR(IF(INDEX(Overrides!$C$8:$C$47,MATCH(B72,Overrides!$A$8:$A$47,0))="","",INDEX(Overrides!$C$8:$C$47,MATCH(B72,Overrides!$A$8:$A$47,0))),"")</f>
        <v/>
      </c>
      <c r="I72" s="36">
        <f>IFERROR(IF(INDEX(Overrides!$D$8:$D$47,MATCH(B72,Overrides!$A$8:$A$47,0))="",0,INDEX(Overrides!$D$8:$D$47,MATCH(B72,Overrides!$A$8:$A$47,0))),0)</f>
        <v>0</v>
      </c>
      <c r="J72" s="38">
        <f t="shared" si="11"/>
        <v>1319.818809161244</v>
      </c>
      <c r="K72" s="18">
        <f t="shared" si="12"/>
        <v>1</v>
      </c>
      <c r="L72" s="38">
        <f t="shared" si="13"/>
        <v>1319.818809161244</v>
      </c>
      <c r="M72" s="23">
        <f t="shared" si="14"/>
        <v>-2.4328717680070731</v>
      </c>
      <c r="N72" s="23">
        <f t="shared" si="15"/>
        <v>0.33531981940072253</v>
      </c>
      <c r="O72" s="6"/>
      <c r="P72" s="18">
        <f t="shared" si="16"/>
        <v>-0.81579012187324829</v>
      </c>
    </row>
    <row r="73" spans="1:16" ht="15" customHeight="1" x14ac:dyDescent="0.3">
      <c r="A73" s="7" t="str">
        <f>Raw_Players!A35</f>
        <v>BKN</v>
      </c>
      <c r="B73" s="7" t="str">
        <f>Raw_Players!B35</f>
        <v>Keon Ellis</v>
      </c>
      <c r="C73" s="37">
        <f>Raw_Players!E35</f>
        <v>0.83809071962110693</v>
      </c>
      <c r="D73" s="31">
        <f>Raw_Players!F35</f>
        <v>1290.179089392961</v>
      </c>
      <c r="E73" s="31">
        <f>Raw_Players!G35</f>
        <v>19.807608545201521</v>
      </c>
      <c r="F73" s="31">
        <f>Raw_Players!H35</f>
        <v>65.135530442695099</v>
      </c>
      <c r="G73" s="31" t="str">
        <f>IFERROR(IF(INDEX(Overrides!$B$8:$B$47,MATCH(B73,Overrides!$A$8:$A$47,0))="","",INDEX(Overrides!$B$8:$B$47,MATCH(B73,Overrides!$A$8:$A$47,0))),"")</f>
        <v/>
      </c>
      <c r="H73" s="31" t="str">
        <f>IFERROR(IF(INDEX(Overrides!$C$8:$C$47,MATCH(B73,Overrides!$A$8:$A$47,0))="","",INDEX(Overrides!$C$8:$C$47,MATCH(B73,Overrides!$A$8:$A$47,0))),"")</f>
        <v/>
      </c>
      <c r="I73" s="36">
        <f>IFERROR(IF(INDEX(Overrides!$D$8:$D$47,MATCH(B73,Overrides!$A$8:$A$47,0))="",0,INDEX(Overrides!$D$8:$D$47,MATCH(B73,Overrides!$A$8:$A$47,0))),0)</f>
        <v>0</v>
      </c>
      <c r="J73" s="38">
        <f t="shared" si="11"/>
        <v>1290.179089392961</v>
      </c>
      <c r="K73" s="18">
        <f t="shared" si="12"/>
        <v>1</v>
      </c>
      <c r="L73" s="38">
        <f t="shared" si="13"/>
        <v>1290.179089392961</v>
      </c>
      <c r="M73" s="23">
        <f t="shared" si="14"/>
        <v>0.83809071962110693</v>
      </c>
      <c r="N73" s="23">
        <f t="shared" si="15"/>
        <v>0.32778940279292706</v>
      </c>
      <c r="O73" s="6"/>
      <c r="P73" s="18">
        <f t="shared" si="16"/>
        <v>0.27471725647089712</v>
      </c>
    </row>
    <row r="74" spans="1:16" ht="15" customHeight="1" x14ac:dyDescent="0.3">
      <c r="A74" s="7" t="str">
        <f>Raw_Players!A36</f>
        <v>BKN</v>
      </c>
      <c r="B74" s="7" t="str">
        <f>Raw_Players!B36</f>
        <v>Nolan Traore</v>
      </c>
      <c r="C74" s="37">
        <f>Raw_Players!E36</f>
        <v>-3.2848360324300301</v>
      </c>
      <c r="D74" s="31">
        <f>Raw_Players!F36</f>
        <v>1135.190712431666</v>
      </c>
      <c r="E74" s="31">
        <f>Raw_Players!G36</f>
        <v>19.163618449360861</v>
      </c>
      <c r="F74" s="31">
        <f>Raw_Players!H36</f>
        <v>59.236762380307503</v>
      </c>
      <c r="G74" s="31" t="str">
        <f>IFERROR(IF(INDEX(Overrides!$B$8:$B$47,MATCH(B74,Overrides!$A$8:$A$47,0))="","",INDEX(Overrides!$B$8:$B$47,MATCH(B74,Overrides!$A$8:$A$47,0))),"")</f>
        <v/>
      </c>
      <c r="H74" s="31" t="str">
        <f>IFERROR(IF(INDEX(Overrides!$C$8:$C$47,MATCH(B74,Overrides!$A$8:$A$47,0))="","",INDEX(Overrides!$C$8:$C$47,MATCH(B74,Overrides!$A$8:$A$47,0))),"")</f>
        <v/>
      </c>
      <c r="I74" s="36">
        <f>IFERROR(IF(INDEX(Overrides!$D$8:$D$47,MATCH(B74,Overrides!$A$8:$A$47,0))="",0,INDEX(Overrides!$D$8:$D$47,MATCH(B74,Overrides!$A$8:$A$47,0))),0)</f>
        <v>0</v>
      </c>
      <c r="J74" s="38">
        <f t="shared" si="11"/>
        <v>1135.190712431666</v>
      </c>
      <c r="K74" s="18">
        <f t="shared" si="12"/>
        <v>1</v>
      </c>
      <c r="L74" s="38">
        <f t="shared" si="13"/>
        <v>1135.190712431666</v>
      </c>
      <c r="M74" s="23">
        <f t="shared" si="14"/>
        <v>-3.2848360324300301</v>
      </c>
      <c r="N74" s="23">
        <f t="shared" si="15"/>
        <v>0.28841227449991513</v>
      </c>
      <c r="O74" s="6"/>
      <c r="P74" s="18">
        <f t="shared" si="16"/>
        <v>-0.94738703147242198</v>
      </c>
    </row>
    <row r="75" spans="1:16" ht="15" customHeight="1" x14ac:dyDescent="0.3">
      <c r="A75" s="7" t="str">
        <f>Raw_Players!A37</f>
        <v>BKN</v>
      </c>
      <c r="B75" s="7" t="str">
        <f>Raw_Players!B37</f>
        <v>Drake Powell</v>
      </c>
      <c r="C75" s="37">
        <f>Raw_Players!E37</f>
        <v>-3.5993882364454528</v>
      </c>
      <c r="D75" s="31">
        <f>Raw_Players!F37</f>
        <v>1134.388773852241</v>
      </c>
      <c r="E75" s="31">
        <f>Raw_Players!G37</f>
        <v>18.38770892892348</v>
      </c>
      <c r="F75" s="31">
        <f>Raw_Players!H37</f>
        <v>61.692774137177658</v>
      </c>
      <c r="G75" s="31" t="str">
        <f>IFERROR(IF(INDEX(Overrides!$B$8:$B$47,MATCH(B75,Overrides!$A$8:$A$47,0))="","",INDEX(Overrides!$B$8:$B$47,MATCH(B75,Overrides!$A$8:$A$47,0))),"")</f>
        <v/>
      </c>
      <c r="H75" s="31" t="str">
        <f>IFERROR(IF(INDEX(Overrides!$C$8:$C$47,MATCH(B75,Overrides!$A$8:$A$47,0))="","",INDEX(Overrides!$C$8:$C$47,MATCH(B75,Overrides!$A$8:$A$47,0))),"")</f>
        <v/>
      </c>
      <c r="I75" s="36">
        <f>IFERROR(IF(INDEX(Overrides!$D$8:$D$47,MATCH(B75,Overrides!$A$8:$A$47,0))="",0,INDEX(Overrides!$D$8:$D$47,MATCH(B75,Overrides!$A$8:$A$47,0))),0)</f>
        <v>0</v>
      </c>
      <c r="J75" s="38">
        <f t="shared" si="11"/>
        <v>1134.388773852241</v>
      </c>
      <c r="K75" s="18">
        <f t="shared" si="12"/>
        <v>1</v>
      </c>
      <c r="L75" s="38">
        <f t="shared" si="13"/>
        <v>1134.388773852241</v>
      </c>
      <c r="M75" s="23">
        <f t="shared" si="14"/>
        <v>-3.5993882364454528</v>
      </c>
      <c r="N75" s="23">
        <f t="shared" si="15"/>
        <v>0.28820852994213442</v>
      </c>
      <c r="O75" s="6"/>
      <c r="P75" s="18">
        <f t="shared" si="16"/>
        <v>-1.0373743923169556</v>
      </c>
    </row>
    <row r="76" spans="1:16" ht="15" customHeight="1" x14ac:dyDescent="0.3">
      <c r="A76" s="7" t="str">
        <f>Raw_Players!A38</f>
        <v>BKN</v>
      </c>
      <c r="B76" s="7" t="str">
        <f>Raw_Players!B38</f>
        <v>Danny Wolf</v>
      </c>
      <c r="C76" s="37">
        <f>Raw_Players!E38</f>
        <v>-1.310734606351476</v>
      </c>
      <c r="D76" s="31">
        <f>Raw_Players!F38</f>
        <v>1082.4432307067909</v>
      </c>
      <c r="E76" s="31">
        <f>Raw_Players!G38</f>
        <v>18.153776409772171</v>
      </c>
      <c r="F76" s="31">
        <f>Raw_Players!H38</f>
        <v>59.626339240584237</v>
      </c>
      <c r="G76" s="31" t="str">
        <f>IFERROR(IF(INDEX(Overrides!$B$8:$B$47,MATCH(B76,Overrides!$A$8:$A$47,0))="","",INDEX(Overrides!$B$8:$B$47,MATCH(B76,Overrides!$A$8:$A$47,0))),"")</f>
        <v/>
      </c>
      <c r="H76" s="31" t="str">
        <f>IFERROR(IF(INDEX(Overrides!$C$8:$C$47,MATCH(B76,Overrides!$A$8:$A$47,0))="","",INDEX(Overrides!$C$8:$C$47,MATCH(B76,Overrides!$A$8:$A$47,0))),"")</f>
        <v/>
      </c>
      <c r="I76" s="36">
        <f>IFERROR(IF(INDEX(Overrides!$D$8:$D$47,MATCH(B76,Overrides!$A$8:$A$47,0))="",0,INDEX(Overrides!$D$8:$D$47,MATCH(B76,Overrides!$A$8:$A$47,0))),0)</f>
        <v>0</v>
      </c>
      <c r="J76" s="38">
        <f t="shared" si="11"/>
        <v>1082.4432307067909</v>
      </c>
      <c r="K76" s="18">
        <f t="shared" si="12"/>
        <v>1</v>
      </c>
      <c r="L76" s="38">
        <f t="shared" si="13"/>
        <v>1082.4432307067909</v>
      </c>
      <c r="M76" s="23">
        <f t="shared" si="14"/>
        <v>-1.310734606351476</v>
      </c>
      <c r="N76" s="23">
        <f t="shared" si="15"/>
        <v>0.27501098341127816</v>
      </c>
      <c r="O76" s="6"/>
      <c r="P76" s="18">
        <f t="shared" si="16"/>
        <v>-0.36046641308391397</v>
      </c>
    </row>
    <row r="77" spans="1:16" ht="15" customHeight="1" x14ac:dyDescent="0.3">
      <c r="A77" s="7" t="str">
        <f>Raw_Players!A39</f>
        <v>BKN</v>
      </c>
      <c r="B77" s="7" t="str">
        <f>Raw_Players!B39</f>
        <v>Day'Ron Sharpe</v>
      </c>
      <c r="C77" s="37">
        <f>Raw_Players!E39</f>
        <v>1.266880428609781</v>
      </c>
      <c r="D77" s="31">
        <f>Raw_Players!F39</f>
        <v>1065.4012904712879</v>
      </c>
      <c r="E77" s="31">
        <f>Raw_Players!G39</f>
        <v>16.548049293569971</v>
      </c>
      <c r="F77" s="31">
        <f>Raw_Players!H39</f>
        <v>64.382288907325631</v>
      </c>
      <c r="G77" s="31" t="str">
        <f>IFERROR(IF(INDEX(Overrides!$B$8:$B$47,MATCH(B77,Overrides!$A$8:$A$47,0))="","",INDEX(Overrides!$B$8:$B$47,MATCH(B77,Overrides!$A$8:$A$47,0))),"")</f>
        <v/>
      </c>
      <c r="H77" s="31" t="str">
        <f>IFERROR(IF(INDEX(Overrides!$C$8:$C$47,MATCH(B77,Overrides!$A$8:$A$47,0))="","",INDEX(Overrides!$C$8:$C$47,MATCH(B77,Overrides!$A$8:$A$47,0))),"")</f>
        <v/>
      </c>
      <c r="I77" s="36">
        <f>IFERROR(IF(INDEX(Overrides!$D$8:$D$47,MATCH(B77,Overrides!$A$8:$A$47,0))="",0,INDEX(Overrides!$D$8:$D$47,MATCH(B77,Overrides!$A$8:$A$47,0))),0)</f>
        <v>0</v>
      </c>
      <c r="J77" s="38">
        <f t="shared" si="11"/>
        <v>1065.4012904712879</v>
      </c>
      <c r="K77" s="18">
        <f t="shared" si="12"/>
        <v>1</v>
      </c>
      <c r="L77" s="38">
        <f t="shared" si="13"/>
        <v>1065.4012904712879</v>
      </c>
      <c r="M77" s="23">
        <f t="shared" si="14"/>
        <v>1.266880428609781</v>
      </c>
      <c r="N77" s="23">
        <f t="shared" si="15"/>
        <v>0.27068122217258328</v>
      </c>
      <c r="O77" s="6"/>
      <c r="P77" s="18">
        <f t="shared" si="16"/>
        <v>0.34292074276262169</v>
      </c>
    </row>
    <row r="78" spans="1:16" ht="15" customHeight="1" x14ac:dyDescent="0.3">
      <c r="A78" s="7" t="str">
        <f>Raw_Players!A40</f>
        <v>BKN</v>
      </c>
      <c r="B78" s="7" t="str">
        <f>Raw_Players!B40</f>
        <v>Ben Saraf</v>
      </c>
      <c r="C78" s="37">
        <f>Raw_Players!E40</f>
        <v>-3.808178871803821</v>
      </c>
      <c r="D78" s="31">
        <f>Raw_Players!F40</f>
        <v>978.68917381295239</v>
      </c>
      <c r="E78" s="31">
        <f>Raw_Players!G40</f>
        <v>17.761903513172989</v>
      </c>
      <c r="F78" s="31">
        <f>Raw_Players!H40</f>
        <v>55.100466742605278</v>
      </c>
      <c r="G78" s="31" t="str">
        <f>IFERROR(IF(INDEX(Overrides!$B$8:$B$47,MATCH(B78,Overrides!$A$8:$A$47,0))="","",INDEX(Overrides!$B$8:$B$47,MATCH(B78,Overrides!$A$8:$A$47,0))),"")</f>
        <v/>
      </c>
      <c r="H78" s="31" t="str">
        <f>IFERROR(IF(INDEX(Overrides!$C$8:$C$47,MATCH(B78,Overrides!$A$8:$A$47,0))="","",INDEX(Overrides!$C$8:$C$47,MATCH(B78,Overrides!$A$8:$A$47,0))),"")</f>
        <v/>
      </c>
      <c r="I78" s="36">
        <f>IFERROR(IF(INDEX(Overrides!$D$8:$D$47,MATCH(B78,Overrides!$A$8:$A$47,0))="",0,INDEX(Overrides!$D$8:$D$47,MATCH(B78,Overrides!$A$8:$A$47,0))),0)</f>
        <v>0</v>
      </c>
      <c r="J78" s="38">
        <f t="shared" si="11"/>
        <v>978.68917381295239</v>
      </c>
      <c r="K78" s="18">
        <f t="shared" si="12"/>
        <v>1</v>
      </c>
      <c r="L78" s="38">
        <f t="shared" si="13"/>
        <v>978.68917381295239</v>
      </c>
      <c r="M78" s="23">
        <f t="shared" si="14"/>
        <v>-3.808178871803821</v>
      </c>
      <c r="N78" s="23">
        <f t="shared" si="15"/>
        <v>0.2486507047289005</v>
      </c>
      <c r="O78" s="6"/>
      <c r="P78" s="18">
        <f t="shared" si="16"/>
        <v>-0.94690636020772934</v>
      </c>
    </row>
    <row r="79" spans="1:16" ht="15" customHeight="1" x14ac:dyDescent="0.3">
      <c r="A79" s="7" t="str">
        <f>Raw_Players!A41</f>
        <v>BKN</v>
      </c>
      <c r="B79" s="7" t="str">
        <f>Raw_Players!B41</f>
        <v>Moritz Wagner</v>
      </c>
      <c r="C79" s="37">
        <f>Raw_Players!E41</f>
        <v>-0.74313631069060371</v>
      </c>
      <c r="D79" s="31">
        <f>Raw_Players!F41</f>
        <v>730.72262727143857</v>
      </c>
      <c r="E79" s="31">
        <f>Raw_Players!G41</f>
        <v>14.41864303076656</v>
      </c>
      <c r="F79" s="31">
        <f>Raw_Players!H41</f>
        <v>50.679015057950991</v>
      </c>
      <c r="G79" s="31" t="str">
        <f>IFERROR(IF(INDEX(Overrides!$B$8:$B$47,MATCH(B79,Overrides!$A$8:$A$47,0))="","",INDEX(Overrides!$B$8:$B$47,MATCH(B79,Overrides!$A$8:$A$47,0))),"")</f>
        <v/>
      </c>
      <c r="H79" s="31" t="str">
        <f>IFERROR(IF(INDEX(Overrides!$C$8:$C$47,MATCH(B79,Overrides!$A$8:$A$47,0))="","",INDEX(Overrides!$C$8:$C$47,MATCH(B79,Overrides!$A$8:$A$47,0))),"")</f>
        <v/>
      </c>
      <c r="I79" s="36">
        <f>IFERROR(IF(INDEX(Overrides!$D$8:$D$47,MATCH(B79,Overrides!$A$8:$A$47,0))="",0,INDEX(Overrides!$D$8:$D$47,MATCH(B79,Overrides!$A$8:$A$47,0))),0)</f>
        <v>0</v>
      </c>
      <c r="J79" s="38">
        <f t="shared" si="11"/>
        <v>730.72262727143857</v>
      </c>
      <c r="K79" s="18">
        <f t="shared" si="12"/>
        <v>1</v>
      </c>
      <c r="L79" s="38">
        <f t="shared" si="13"/>
        <v>730.72262727143857</v>
      </c>
      <c r="M79" s="23">
        <f t="shared" si="14"/>
        <v>-0.74313631069060371</v>
      </c>
      <c r="N79" s="23">
        <f t="shared" si="15"/>
        <v>0.18565107400188988</v>
      </c>
      <c r="O79" s="6"/>
      <c r="P79" s="18">
        <f t="shared" si="16"/>
        <v>-0.13796405420951269</v>
      </c>
    </row>
    <row r="80" spans="1:16" ht="15" customHeight="1" x14ac:dyDescent="0.3">
      <c r="A80" s="7" t="str">
        <f>Raw_Players!A42</f>
        <v>BKN</v>
      </c>
      <c r="B80" s="7" t="str">
        <f>Raw_Players!B42</f>
        <v>Chaney Johnson</v>
      </c>
      <c r="C80" s="37">
        <f>Raw_Players!E42</f>
        <v>-0.73876702815027051</v>
      </c>
      <c r="D80" s="31">
        <f>Raw_Players!F42</f>
        <v>721.27288010003565</v>
      </c>
      <c r="E80" s="31">
        <f>Raw_Players!G42</f>
        <v>15.77665426101634</v>
      </c>
      <c r="F80" s="31">
        <f>Raw_Players!H42</f>
        <v>45.717733821566981</v>
      </c>
      <c r="G80" s="31" t="str">
        <f>IFERROR(IF(INDEX(Overrides!$B$8:$B$47,MATCH(B80,Overrides!$A$8:$A$47,0))="","",INDEX(Overrides!$B$8:$B$47,MATCH(B80,Overrides!$A$8:$A$47,0))),"")</f>
        <v/>
      </c>
      <c r="H80" s="31" t="str">
        <f>IFERROR(IF(INDEX(Overrides!$C$8:$C$47,MATCH(B80,Overrides!$A$8:$A$47,0))="","",INDEX(Overrides!$C$8:$C$47,MATCH(B80,Overrides!$A$8:$A$47,0))),"")</f>
        <v/>
      </c>
      <c r="I80" s="36">
        <f>IFERROR(IF(INDEX(Overrides!$D$8:$D$47,MATCH(B80,Overrides!$A$8:$A$47,0))="",0,INDEX(Overrides!$D$8:$D$47,MATCH(B80,Overrides!$A$8:$A$47,0))),0)</f>
        <v>0</v>
      </c>
      <c r="J80" s="38">
        <f t="shared" si="11"/>
        <v>721.27288010003565</v>
      </c>
      <c r="K80" s="18">
        <f t="shared" si="12"/>
        <v>1</v>
      </c>
      <c r="L80" s="38">
        <f t="shared" si="13"/>
        <v>721.27288010003565</v>
      </c>
      <c r="M80" s="23">
        <f t="shared" si="14"/>
        <v>-0.73876702815027051</v>
      </c>
      <c r="N80" s="23">
        <f t="shared" si="15"/>
        <v>0.18325022360265134</v>
      </c>
      <c r="O80" s="6"/>
      <c r="P80" s="18">
        <f t="shared" si="16"/>
        <v>-0.13537922309880329</v>
      </c>
    </row>
    <row r="81" spans="1:16" ht="15" customHeight="1" x14ac:dyDescent="0.3">
      <c r="A81" s="7" t="str">
        <f>Raw_Players!A43</f>
        <v>BKN</v>
      </c>
      <c r="B81" s="7" t="str">
        <f>Raw_Players!B43</f>
        <v>Joshua Jefferson</v>
      </c>
      <c r="C81" s="37">
        <f>Raw_Players!E43</f>
        <v>-1.049309436257069</v>
      </c>
      <c r="D81" s="31">
        <f>Raw_Players!F43</f>
        <v>641.87245744313225</v>
      </c>
      <c r="E81" s="31">
        <f>Raw_Players!G43</f>
        <v>15.702409436617611</v>
      </c>
      <c r="F81" s="31">
        <f>Raw_Players!H43</f>
        <v>40.877322683122912</v>
      </c>
      <c r="G81" s="31" t="str">
        <f>IFERROR(IF(INDEX(Overrides!$B$8:$B$47,MATCH(B81,Overrides!$A$8:$A$47,0))="","",INDEX(Overrides!$B$8:$B$47,MATCH(B81,Overrides!$A$8:$A$47,0))),"")</f>
        <v/>
      </c>
      <c r="H81" s="31" t="str">
        <f>IFERROR(IF(INDEX(Overrides!$C$8:$C$47,MATCH(B81,Overrides!$A$8:$A$47,0))="","",INDEX(Overrides!$C$8:$C$47,MATCH(B81,Overrides!$A$8:$A$47,0))),"")</f>
        <v/>
      </c>
      <c r="I81" s="36">
        <f>IFERROR(IF(INDEX(Overrides!$D$8:$D$47,MATCH(B81,Overrides!$A$8:$A$47,0))="",0,INDEX(Overrides!$D$8:$D$47,MATCH(B81,Overrides!$A$8:$A$47,0))),0)</f>
        <v>0</v>
      </c>
      <c r="J81" s="38">
        <f t="shared" si="11"/>
        <v>641.87245744313225</v>
      </c>
      <c r="K81" s="18">
        <f t="shared" si="12"/>
        <v>1</v>
      </c>
      <c r="L81" s="38">
        <f t="shared" si="13"/>
        <v>641.87245744313225</v>
      </c>
      <c r="M81" s="23">
        <f t="shared" si="14"/>
        <v>-1.049309436257069</v>
      </c>
      <c r="N81" s="23">
        <f t="shared" si="15"/>
        <v>0.16307735199266571</v>
      </c>
      <c r="O81" s="6"/>
      <c r="P81" s="18">
        <f t="shared" si="16"/>
        <v>-0.17111860428571965</v>
      </c>
    </row>
    <row r="82" spans="1:16" ht="15" customHeight="1" x14ac:dyDescent="0.3">
      <c r="A82" s="7" t="str">
        <f>Raw_Players!A44</f>
        <v>BKN</v>
      </c>
      <c r="B82" s="7" t="str">
        <f>Raw_Players!B44</f>
        <v>Josh Minott</v>
      </c>
      <c r="C82" s="37">
        <f>Raw_Players!E44</f>
        <v>1.8734687869054061</v>
      </c>
      <c r="D82" s="31">
        <f>Raw_Players!F44</f>
        <v>635.07704945758155</v>
      </c>
      <c r="E82" s="31">
        <f>Raw_Players!G44</f>
        <v>11.230542247056089</v>
      </c>
      <c r="F82" s="31">
        <f>Raw_Players!H44</f>
        <v>56.549099365532129</v>
      </c>
      <c r="G82" s="31" t="str">
        <f>IFERROR(IF(INDEX(Overrides!$B$8:$B$47,MATCH(B82,Overrides!$A$8:$A$47,0))="","",INDEX(Overrides!$B$8:$B$47,MATCH(B82,Overrides!$A$8:$A$47,0))),"")</f>
        <v/>
      </c>
      <c r="H82" s="31" t="str">
        <f>IFERROR(IF(INDEX(Overrides!$C$8:$C$47,MATCH(B82,Overrides!$A$8:$A$47,0))="","",INDEX(Overrides!$C$8:$C$47,MATCH(B82,Overrides!$A$8:$A$47,0))),"")</f>
        <v/>
      </c>
      <c r="I82" s="36">
        <f>IFERROR(IF(INDEX(Overrides!$D$8:$D$47,MATCH(B82,Overrides!$A$8:$A$47,0))="",0,INDEX(Overrides!$D$8:$D$47,MATCH(B82,Overrides!$A$8:$A$47,0))),0)</f>
        <v>0</v>
      </c>
      <c r="J82" s="38">
        <f t="shared" si="11"/>
        <v>635.07704945758155</v>
      </c>
      <c r="K82" s="18">
        <f t="shared" si="12"/>
        <v>1</v>
      </c>
      <c r="L82" s="38">
        <f t="shared" si="13"/>
        <v>635.07704945758155</v>
      </c>
      <c r="M82" s="23">
        <f t="shared" si="14"/>
        <v>1.8734687869054061</v>
      </c>
      <c r="N82" s="23">
        <f t="shared" si="15"/>
        <v>0.16135087638658069</v>
      </c>
      <c r="O82" s="6"/>
      <c r="P82" s="18">
        <f t="shared" si="16"/>
        <v>0.30228583065009146</v>
      </c>
    </row>
    <row r="83" spans="1:16" ht="15" customHeight="1" x14ac:dyDescent="0.3">
      <c r="A83" s="7" t="str">
        <f>Raw_Players!A45</f>
        <v>BKN</v>
      </c>
      <c r="B83" s="7" t="str">
        <f>Raw_Players!B45</f>
        <v>Tyler Bilodeau</v>
      </c>
      <c r="C83" s="37">
        <f>Raw_Players!E45</f>
        <v>-2.8583569699770361</v>
      </c>
      <c r="D83" s="31">
        <f>Raw_Players!F45</f>
        <v>484.08469172339608</v>
      </c>
      <c r="E83" s="31">
        <f>Raw_Players!G45</f>
        <v>13.80298592105993</v>
      </c>
      <c r="F83" s="31">
        <f>Raw_Players!H45</f>
        <v>35.071012496274683</v>
      </c>
      <c r="G83" s="31" t="str">
        <f>IFERROR(IF(INDEX(Overrides!$B$8:$B$47,MATCH(B83,Overrides!$A$8:$A$47,0))="","",INDEX(Overrides!$B$8:$B$47,MATCH(B83,Overrides!$A$8:$A$47,0))),"")</f>
        <v/>
      </c>
      <c r="H83" s="31" t="str">
        <f>IFERROR(IF(INDEX(Overrides!$C$8:$C$47,MATCH(B83,Overrides!$A$8:$A$47,0))="","",INDEX(Overrides!$C$8:$C$47,MATCH(B83,Overrides!$A$8:$A$47,0))),"")</f>
        <v/>
      </c>
      <c r="I83" s="36">
        <f>IFERROR(IF(INDEX(Overrides!$D$8:$D$47,MATCH(B83,Overrides!$A$8:$A$47,0))="",0,INDEX(Overrides!$D$8:$D$47,MATCH(B83,Overrides!$A$8:$A$47,0))),0)</f>
        <v>0</v>
      </c>
      <c r="J83" s="38">
        <f t="shared" si="11"/>
        <v>484.08469172339608</v>
      </c>
      <c r="K83" s="18">
        <f t="shared" si="12"/>
        <v>1</v>
      </c>
      <c r="L83" s="38">
        <f t="shared" si="13"/>
        <v>484.08469172339608</v>
      </c>
      <c r="M83" s="23">
        <f t="shared" si="14"/>
        <v>-2.8583569699770361</v>
      </c>
      <c r="N83" s="23">
        <f t="shared" si="15"/>
        <v>0.12298899688094413</v>
      </c>
      <c r="O83" s="6"/>
      <c r="P83" s="18">
        <f t="shared" si="16"/>
        <v>-0.35154645646513061</v>
      </c>
    </row>
    <row r="84" spans="1:16" ht="15" customHeight="1" x14ac:dyDescent="0.3">
      <c r="A84" s="7" t="str">
        <f>Raw_Players!A46</f>
        <v>BKN</v>
      </c>
      <c r="B84" s="7" t="str">
        <f>Raw_Players!B46</f>
        <v>Grant Nelson</v>
      </c>
      <c r="C84" s="37">
        <f>Raw_Players!E46</f>
        <v>-1.103636321041582</v>
      </c>
      <c r="D84" s="31">
        <f>Raw_Players!F46</f>
        <v>446.16985056789491</v>
      </c>
      <c r="E84" s="31">
        <f>Raw_Players!G46</f>
        <v>10.81971504344023</v>
      </c>
      <c r="F84" s="31">
        <f>Raw_Players!H46</f>
        <v>41.236746880722933</v>
      </c>
      <c r="G84" s="31" t="str">
        <f>IFERROR(IF(INDEX(Overrides!$B$8:$B$47,MATCH(B84,Overrides!$A$8:$A$47,0))="","",INDEX(Overrides!$B$8:$B$47,MATCH(B84,Overrides!$A$8:$A$47,0))),"")</f>
        <v/>
      </c>
      <c r="H84" s="31" t="str">
        <f>IFERROR(IF(INDEX(Overrides!$C$8:$C$47,MATCH(B84,Overrides!$A$8:$A$47,0))="","",INDEX(Overrides!$C$8:$C$47,MATCH(B84,Overrides!$A$8:$A$47,0))),"")</f>
        <v/>
      </c>
      <c r="I84" s="36">
        <f>IFERROR(IF(INDEX(Overrides!$D$8:$D$47,MATCH(B84,Overrides!$A$8:$A$47,0))="",0,INDEX(Overrides!$D$8:$D$47,MATCH(B84,Overrides!$A$8:$A$47,0))),0)</f>
        <v>0</v>
      </c>
      <c r="J84" s="38">
        <f t="shared" si="11"/>
        <v>446.16985056789491</v>
      </c>
      <c r="K84" s="18">
        <f t="shared" si="12"/>
        <v>1</v>
      </c>
      <c r="L84" s="38">
        <f t="shared" si="13"/>
        <v>446.16985056789491</v>
      </c>
      <c r="M84" s="23">
        <f t="shared" si="14"/>
        <v>-1.103636321041582</v>
      </c>
      <c r="N84" s="23">
        <f t="shared" si="15"/>
        <v>0.11335616122151802</v>
      </c>
      <c r="O84" s="6"/>
      <c r="P84" s="18">
        <f t="shared" si="16"/>
        <v>-0.1251039767379126</v>
      </c>
    </row>
    <row r="85" spans="1:16" ht="15" customHeight="1" x14ac:dyDescent="0.3">
      <c r="A85" s="7" t="str">
        <f>Raw_Players!A47</f>
        <v>BOS</v>
      </c>
      <c r="B85" s="7" t="str">
        <f>Raw_Players!B47</f>
        <v>Derrick White</v>
      </c>
      <c r="C85" s="37">
        <f>Raw_Players!E47</f>
        <v>2.5570388327108828</v>
      </c>
      <c r="D85" s="31">
        <f>Raw_Players!F47</f>
        <v>2007.520182315214</v>
      </c>
      <c r="E85" s="31">
        <f>Raw_Players!G47</f>
        <v>31.28748049975162</v>
      </c>
      <c r="F85" s="31">
        <f>Raw_Players!H47</f>
        <v>64.163689445404557</v>
      </c>
      <c r="G85" s="31" t="str">
        <f>IFERROR(IF(INDEX(Overrides!$B$8:$B$47,MATCH(B85,Overrides!$A$8:$A$47,0))="","",INDEX(Overrides!$B$8:$B$47,MATCH(B85,Overrides!$A$8:$A$47,0))),"")</f>
        <v/>
      </c>
      <c r="H85" s="31" t="str">
        <f>IFERROR(IF(INDEX(Overrides!$C$8:$C$47,MATCH(B85,Overrides!$A$8:$A$47,0))="","",INDEX(Overrides!$C$8:$C$47,MATCH(B85,Overrides!$A$8:$A$47,0))),"")</f>
        <v/>
      </c>
      <c r="I85" s="36">
        <f>IFERROR(IF(INDEX(Overrides!$D$8:$D$47,MATCH(B85,Overrides!$A$8:$A$47,0))="",0,INDEX(Overrides!$D$8:$D$47,MATCH(B85,Overrides!$A$8:$A$47,0))),0)</f>
        <v>0</v>
      </c>
      <c r="J85" s="38">
        <f t="shared" si="11"/>
        <v>2007.520182315214</v>
      </c>
      <c r="K85" s="18">
        <f t="shared" si="12"/>
        <v>1.0000000000000002</v>
      </c>
      <c r="L85" s="38">
        <f t="shared" si="13"/>
        <v>2007.5201823152145</v>
      </c>
      <c r="M85" s="23">
        <f t="shared" si="14"/>
        <v>2.5570388327108828</v>
      </c>
      <c r="N85" s="23">
        <f t="shared" si="15"/>
        <v>0.51004069672642649</v>
      </c>
      <c r="O85" s="6"/>
      <c r="P85" s="18">
        <f t="shared" si="16"/>
        <v>1.304193867792387</v>
      </c>
    </row>
    <row r="86" spans="1:16" ht="15" customHeight="1" x14ac:dyDescent="0.3">
      <c r="A86" s="7" t="str">
        <f>Raw_Players!A48</f>
        <v>BOS</v>
      </c>
      <c r="B86" s="7" t="str">
        <f>Raw_Players!B48</f>
        <v>Payton Pritchard</v>
      </c>
      <c r="C86" s="37">
        <f>Raw_Players!E48</f>
        <v>1.894751613919073</v>
      </c>
      <c r="D86" s="31">
        <f>Raw_Players!F48</f>
        <v>1810.4074007668571</v>
      </c>
      <c r="E86" s="31">
        <f>Raw_Players!G48</f>
        <v>27.247734639874729</v>
      </c>
      <c r="F86" s="31">
        <f>Raw_Players!H48</f>
        <v>66.442492364759033</v>
      </c>
      <c r="G86" s="31" t="str">
        <f>IFERROR(IF(INDEX(Overrides!$B$8:$B$47,MATCH(B86,Overrides!$A$8:$A$47,0))="","",INDEX(Overrides!$B$8:$B$47,MATCH(B86,Overrides!$A$8:$A$47,0))),"")</f>
        <v/>
      </c>
      <c r="H86" s="31" t="str">
        <f>IFERROR(IF(INDEX(Overrides!$C$8:$C$47,MATCH(B86,Overrides!$A$8:$A$47,0))="","",INDEX(Overrides!$C$8:$C$47,MATCH(B86,Overrides!$A$8:$A$47,0))),"")</f>
        <v/>
      </c>
      <c r="I86" s="36">
        <f>IFERROR(IF(INDEX(Overrides!$D$8:$D$47,MATCH(B86,Overrides!$A$8:$A$47,0))="",0,INDEX(Overrides!$D$8:$D$47,MATCH(B86,Overrides!$A$8:$A$47,0))),0)</f>
        <v>0</v>
      </c>
      <c r="J86" s="38">
        <f t="shared" si="11"/>
        <v>1810.4074007668571</v>
      </c>
      <c r="K86" s="18">
        <f t="shared" si="12"/>
        <v>1.0000000000000002</v>
      </c>
      <c r="L86" s="38">
        <f t="shared" si="13"/>
        <v>1810.4074007668576</v>
      </c>
      <c r="M86" s="23">
        <f t="shared" si="14"/>
        <v>1.894751613919073</v>
      </c>
      <c r="N86" s="23">
        <f t="shared" si="15"/>
        <v>0.45996122986962845</v>
      </c>
      <c r="O86" s="6"/>
      <c r="P86" s="18">
        <f t="shared" si="16"/>
        <v>0.87151228263568026</v>
      </c>
    </row>
    <row r="87" spans="1:16" ht="15" customHeight="1" x14ac:dyDescent="0.3">
      <c r="A87" s="7" t="str">
        <f>Raw_Players!A49</f>
        <v>BOS</v>
      </c>
      <c r="B87" s="7" t="str">
        <f>Raw_Players!B49</f>
        <v>Jayson Tatum</v>
      </c>
      <c r="C87" s="37">
        <f>Raw_Players!E49</f>
        <v>4.5803603281432217</v>
      </c>
      <c r="D87" s="31">
        <f>Raw_Players!F49</f>
        <v>1613.610883179429</v>
      </c>
      <c r="E87" s="31">
        <f>Raw_Players!G49</f>
        <v>32.363100352860492</v>
      </c>
      <c r="F87" s="31">
        <f>Raw_Players!H49</f>
        <v>49.859589025339083</v>
      </c>
      <c r="G87" s="31" t="str">
        <f>IFERROR(IF(INDEX(Overrides!$B$8:$B$47,MATCH(B87,Overrides!$A$8:$A$47,0))="","",INDEX(Overrides!$B$8:$B$47,MATCH(B87,Overrides!$A$8:$A$47,0))),"")</f>
        <v/>
      </c>
      <c r="H87" s="31" t="str">
        <f>IFERROR(IF(INDEX(Overrides!$C$8:$C$47,MATCH(B87,Overrides!$A$8:$A$47,0))="","",INDEX(Overrides!$C$8:$C$47,MATCH(B87,Overrides!$A$8:$A$47,0))),"")</f>
        <v/>
      </c>
      <c r="I87" s="36">
        <f>IFERROR(IF(INDEX(Overrides!$D$8:$D$47,MATCH(B87,Overrides!$A$8:$A$47,0))="",0,INDEX(Overrides!$D$8:$D$47,MATCH(B87,Overrides!$A$8:$A$47,0))),0)</f>
        <v>0</v>
      </c>
      <c r="J87" s="38">
        <f t="shared" si="11"/>
        <v>1613.610883179429</v>
      </c>
      <c r="K87" s="18">
        <f t="shared" si="12"/>
        <v>1.0000000000000002</v>
      </c>
      <c r="L87" s="38">
        <f t="shared" si="13"/>
        <v>1613.6108831794295</v>
      </c>
      <c r="M87" s="23">
        <f t="shared" si="14"/>
        <v>4.5803603281432217</v>
      </c>
      <c r="N87" s="23">
        <f t="shared" si="15"/>
        <v>0.40996211462892007</v>
      </c>
      <c r="O87" s="6"/>
      <c r="P87" s="18">
        <f t="shared" si="16"/>
        <v>1.8777742058880094</v>
      </c>
    </row>
    <row r="88" spans="1:16" ht="15" customHeight="1" x14ac:dyDescent="0.3">
      <c r="A88" s="7" t="str">
        <f>Raw_Players!A50</f>
        <v>BOS</v>
      </c>
      <c r="B88" s="7" t="str">
        <f>Raw_Players!B50</f>
        <v>Sam Hauser</v>
      </c>
      <c r="C88" s="37">
        <f>Raw_Players!E50</f>
        <v>0.86260870581384741</v>
      </c>
      <c r="D88" s="31">
        <f>Raw_Players!F50</f>
        <v>1431.0842115460989</v>
      </c>
      <c r="E88" s="31">
        <f>Raw_Players!G50</f>
        <v>21.898350262439891</v>
      </c>
      <c r="F88" s="31">
        <f>Raw_Players!H50</f>
        <v>65.35123396946932</v>
      </c>
      <c r="G88" s="31" t="str">
        <f>IFERROR(IF(INDEX(Overrides!$B$8:$B$47,MATCH(B88,Overrides!$A$8:$A$47,0))="","",INDEX(Overrides!$B$8:$B$47,MATCH(B88,Overrides!$A$8:$A$47,0))),"")</f>
        <v/>
      </c>
      <c r="H88" s="31" t="str">
        <f>IFERROR(IF(INDEX(Overrides!$C$8:$C$47,MATCH(B88,Overrides!$A$8:$A$47,0))="","",INDEX(Overrides!$C$8:$C$47,MATCH(B88,Overrides!$A$8:$A$47,0))),"")</f>
        <v/>
      </c>
      <c r="I88" s="36">
        <f>IFERROR(IF(INDEX(Overrides!$D$8:$D$47,MATCH(B88,Overrides!$A$8:$A$47,0))="",0,INDEX(Overrides!$D$8:$D$47,MATCH(B88,Overrides!$A$8:$A$47,0))),0)</f>
        <v>0</v>
      </c>
      <c r="J88" s="38">
        <f t="shared" si="11"/>
        <v>1431.0842115460989</v>
      </c>
      <c r="K88" s="18">
        <f t="shared" si="12"/>
        <v>1.0000000000000002</v>
      </c>
      <c r="L88" s="38">
        <f t="shared" si="13"/>
        <v>1431.0842115460991</v>
      </c>
      <c r="M88" s="23">
        <f t="shared" si="14"/>
        <v>0.86260870581384741</v>
      </c>
      <c r="N88" s="23">
        <f t="shared" si="15"/>
        <v>0.36358846838061459</v>
      </c>
      <c r="O88" s="6"/>
      <c r="P88" s="18">
        <f t="shared" si="16"/>
        <v>0.31363457815864093</v>
      </c>
    </row>
    <row r="89" spans="1:16" ht="15" customHeight="1" x14ac:dyDescent="0.3">
      <c r="A89" s="7" t="str">
        <f>Raw_Players!A51</f>
        <v>BOS</v>
      </c>
      <c r="B89" s="7" t="str">
        <f>Raw_Players!B51</f>
        <v>Paul George</v>
      </c>
      <c r="C89" s="37">
        <f>Raw_Players!E51</f>
        <v>1.106371508555551</v>
      </c>
      <c r="D89" s="31">
        <f>Raw_Players!F51</f>
        <v>1428.3316613906311</v>
      </c>
      <c r="E89" s="31">
        <f>Raw_Players!G51</f>
        <v>29.283188270538211</v>
      </c>
      <c r="F89" s="31">
        <f>Raw_Players!H51</f>
        <v>48.776507810376437</v>
      </c>
      <c r="G89" s="31" t="str">
        <f>IFERROR(IF(INDEX(Overrides!$B$8:$B$47,MATCH(B89,Overrides!$A$8:$A$47,0))="","",INDEX(Overrides!$B$8:$B$47,MATCH(B89,Overrides!$A$8:$A$47,0))),"")</f>
        <v/>
      </c>
      <c r="H89" s="31" t="str">
        <f>IFERROR(IF(INDEX(Overrides!$C$8:$C$47,MATCH(B89,Overrides!$A$8:$A$47,0))="","",INDEX(Overrides!$C$8:$C$47,MATCH(B89,Overrides!$A$8:$A$47,0))),"")</f>
        <v/>
      </c>
      <c r="I89" s="36">
        <f>IFERROR(IF(INDEX(Overrides!$D$8:$D$47,MATCH(B89,Overrides!$A$8:$A$47,0))="",0,INDEX(Overrides!$D$8:$D$47,MATCH(B89,Overrides!$A$8:$A$47,0))),0)</f>
        <v>0</v>
      </c>
      <c r="J89" s="38">
        <f t="shared" si="11"/>
        <v>1428.3316613906311</v>
      </c>
      <c r="K89" s="18">
        <f t="shared" si="12"/>
        <v>1.0000000000000002</v>
      </c>
      <c r="L89" s="38">
        <f t="shared" si="13"/>
        <v>1428.3316613906313</v>
      </c>
      <c r="M89" s="23">
        <f t="shared" si="14"/>
        <v>1.106371508555551</v>
      </c>
      <c r="N89" s="23">
        <f t="shared" si="15"/>
        <v>0.36288914161347341</v>
      </c>
      <c r="O89" s="6"/>
      <c r="P89" s="18">
        <f t="shared" si="16"/>
        <v>0.40149020704532756</v>
      </c>
    </row>
    <row r="90" spans="1:16" ht="15" customHeight="1" x14ac:dyDescent="0.3">
      <c r="A90" s="7" t="str">
        <f>Raw_Players!A52</f>
        <v>BOS</v>
      </c>
      <c r="B90" s="7" t="str">
        <f>Raw_Players!B52</f>
        <v>Neemias Queta</v>
      </c>
      <c r="C90" s="37">
        <f>Raw_Players!E52</f>
        <v>1.716890407334775</v>
      </c>
      <c r="D90" s="31">
        <f>Raw_Players!F52</f>
        <v>1244.816317195686</v>
      </c>
      <c r="E90" s="31">
        <f>Raw_Players!G52</f>
        <v>19.372869269797171</v>
      </c>
      <c r="F90" s="31">
        <f>Raw_Players!H52</f>
        <v>64.25565051101583</v>
      </c>
      <c r="G90" s="31" t="str">
        <f>IFERROR(IF(INDEX(Overrides!$B$8:$B$47,MATCH(B90,Overrides!$A$8:$A$47,0))="","",INDEX(Overrides!$B$8:$B$47,MATCH(B90,Overrides!$A$8:$A$47,0))),"")</f>
        <v/>
      </c>
      <c r="H90" s="31" t="str">
        <f>IFERROR(IF(INDEX(Overrides!$C$8:$C$47,MATCH(B90,Overrides!$A$8:$A$47,0))="","",INDEX(Overrides!$C$8:$C$47,MATCH(B90,Overrides!$A$8:$A$47,0))),"")</f>
        <v/>
      </c>
      <c r="I90" s="36">
        <f>IFERROR(IF(INDEX(Overrides!$D$8:$D$47,MATCH(B90,Overrides!$A$8:$A$47,0))="",0,INDEX(Overrides!$D$8:$D$47,MATCH(B90,Overrides!$A$8:$A$47,0))),0)</f>
        <v>0</v>
      </c>
      <c r="J90" s="38">
        <f t="shared" si="11"/>
        <v>1244.816317195686</v>
      </c>
      <c r="K90" s="18">
        <f t="shared" si="12"/>
        <v>1.0000000000000002</v>
      </c>
      <c r="L90" s="38">
        <f t="shared" si="13"/>
        <v>1244.8163171956862</v>
      </c>
      <c r="M90" s="23">
        <f t="shared" si="14"/>
        <v>1.716890407334775</v>
      </c>
      <c r="N90" s="23">
        <f t="shared" si="15"/>
        <v>0.31626430823061136</v>
      </c>
      <c r="O90" s="6"/>
      <c r="P90" s="18">
        <f t="shared" si="16"/>
        <v>0.5429911569835052</v>
      </c>
    </row>
    <row r="91" spans="1:16" ht="15" customHeight="1" x14ac:dyDescent="0.3">
      <c r="A91" s="7" t="str">
        <f>Raw_Players!A53</f>
        <v>BOS</v>
      </c>
      <c r="B91" s="7" t="str">
        <f>Raw_Players!B53</f>
        <v>Mike Conley</v>
      </c>
      <c r="C91" s="37">
        <f>Raw_Players!E53</f>
        <v>-0.96078016074367079</v>
      </c>
      <c r="D91" s="31">
        <f>Raw_Players!F53</f>
        <v>1149.6891536833391</v>
      </c>
      <c r="E91" s="31">
        <f>Raw_Players!G53</f>
        <v>21.344096153293481</v>
      </c>
      <c r="F91" s="31">
        <f>Raw_Players!H53</f>
        <v>53.864504049563017</v>
      </c>
      <c r="G91" s="31" t="str">
        <f>IFERROR(IF(INDEX(Overrides!$B$8:$B$47,MATCH(B91,Overrides!$A$8:$A$47,0))="","",INDEX(Overrides!$B$8:$B$47,MATCH(B91,Overrides!$A$8:$A$47,0))),"")</f>
        <v/>
      </c>
      <c r="H91" s="31" t="str">
        <f>IFERROR(IF(INDEX(Overrides!$C$8:$C$47,MATCH(B91,Overrides!$A$8:$A$47,0))="","",INDEX(Overrides!$C$8:$C$47,MATCH(B91,Overrides!$A$8:$A$47,0))),"")</f>
        <v/>
      </c>
      <c r="I91" s="36">
        <f>IFERROR(IF(INDEX(Overrides!$D$8:$D$47,MATCH(B91,Overrides!$A$8:$A$47,0))="",0,INDEX(Overrides!$D$8:$D$47,MATCH(B91,Overrides!$A$8:$A$47,0))),0)</f>
        <v>0</v>
      </c>
      <c r="J91" s="38">
        <f t="shared" si="11"/>
        <v>1149.6891536833391</v>
      </c>
      <c r="K91" s="18">
        <f t="shared" si="12"/>
        <v>1.0000000000000002</v>
      </c>
      <c r="L91" s="38">
        <f t="shared" si="13"/>
        <v>1149.6891536833393</v>
      </c>
      <c r="M91" s="23">
        <f t="shared" si="14"/>
        <v>-0.96078016074367079</v>
      </c>
      <c r="N91" s="23">
        <f t="shared" si="15"/>
        <v>0.29209582156588904</v>
      </c>
      <c r="O91" s="6"/>
      <c r="P91" s="18">
        <f t="shared" si="16"/>
        <v>-0.28063987039662946</v>
      </c>
    </row>
    <row r="92" spans="1:16" ht="15" customHeight="1" x14ac:dyDescent="0.3">
      <c r="A92" s="7" t="str">
        <f>Raw_Players!A54</f>
        <v>BOS</v>
      </c>
      <c r="B92" s="7" t="str">
        <f>Raw_Players!B54</f>
        <v>Mitchell Robinson</v>
      </c>
      <c r="C92" s="37">
        <f>Raw_Players!E54</f>
        <v>2.6121524825091922</v>
      </c>
      <c r="D92" s="31">
        <f>Raw_Players!F54</f>
        <v>1023.623545386058</v>
      </c>
      <c r="E92" s="31">
        <f>Raw_Players!G54</f>
        <v>18.34870431135046</v>
      </c>
      <c r="F92" s="31">
        <f>Raw_Players!H54</f>
        <v>55.787238598250639</v>
      </c>
      <c r="G92" s="31" t="str">
        <f>IFERROR(IF(INDEX(Overrides!$B$8:$B$47,MATCH(B92,Overrides!$A$8:$A$47,0))="","",INDEX(Overrides!$B$8:$B$47,MATCH(B92,Overrides!$A$8:$A$47,0))),"")</f>
        <v/>
      </c>
      <c r="H92" s="31" t="str">
        <f>IFERROR(IF(INDEX(Overrides!$C$8:$C$47,MATCH(B92,Overrides!$A$8:$A$47,0))="","",INDEX(Overrides!$C$8:$C$47,MATCH(B92,Overrides!$A$8:$A$47,0))),"")</f>
        <v/>
      </c>
      <c r="I92" s="36">
        <f>IFERROR(IF(INDEX(Overrides!$D$8:$D$47,MATCH(B92,Overrides!$A$8:$A$47,0))="",0,INDEX(Overrides!$D$8:$D$47,MATCH(B92,Overrides!$A$8:$A$47,0))),0)</f>
        <v>0</v>
      </c>
      <c r="J92" s="38">
        <f t="shared" si="11"/>
        <v>1023.623545386058</v>
      </c>
      <c r="K92" s="18">
        <f t="shared" si="12"/>
        <v>1.0000000000000002</v>
      </c>
      <c r="L92" s="38">
        <f t="shared" si="13"/>
        <v>1023.6235453860583</v>
      </c>
      <c r="M92" s="23">
        <f t="shared" si="14"/>
        <v>2.6121524825091922</v>
      </c>
      <c r="N92" s="23">
        <f t="shared" si="15"/>
        <v>0.26006695766922211</v>
      </c>
      <c r="O92" s="6"/>
      <c r="P92" s="18">
        <f t="shared" si="16"/>
        <v>0.67933454909427149</v>
      </c>
    </row>
    <row r="93" spans="1:16" ht="15" customHeight="1" x14ac:dyDescent="0.3">
      <c r="A93" s="7" t="str">
        <f>Raw_Players!A55</f>
        <v>BOS</v>
      </c>
      <c r="B93" s="7" t="str">
        <f>Raw_Players!B55</f>
        <v>Baylor Scheierman</v>
      </c>
      <c r="C93" s="37">
        <f>Raw_Players!E55</f>
        <v>0.27038945831358902</v>
      </c>
      <c r="D93" s="31">
        <f>Raw_Players!F55</f>
        <v>996.95371728555722</v>
      </c>
      <c r="E93" s="31">
        <f>Raw_Players!G55</f>
        <v>16.126807103418351</v>
      </c>
      <c r="F93" s="31">
        <f>Raw_Players!H55</f>
        <v>61.819659086406283</v>
      </c>
      <c r="G93" s="31" t="str">
        <f>IFERROR(IF(INDEX(Overrides!$B$8:$B$47,MATCH(B93,Overrides!$A$8:$A$47,0))="","",INDEX(Overrides!$B$8:$B$47,MATCH(B93,Overrides!$A$8:$A$47,0))),"")</f>
        <v/>
      </c>
      <c r="H93" s="31" t="str">
        <f>IFERROR(IF(INDEX(Overrides!$C$8:$C$47,MATCH(B93,Overrides!$A$8:$A$47,0))="","",INDEX(Overrides!$C$8:$C$47,MATCH(B93,Overrides!$A$8:$A$47,0))),"")</f>
        <v/>
      </c>
      <c r="I93" s="36">
        <f>IFERROR(IF(INDEX(Overrides!$D$8:$D$47,MATCH(B93,Overrides!$A$8:$A$47,0))="",0,INDEX(Overrides!$D$8:$D$47,MATCH(B93,Overrides!$A$8:$A$47,0))),0)</f>
        <v>0</v>
      </c>
      <c r="J93" s="38">
        <f t="shared" si="11"/>
        <v>996.95371728555722</v>
      </c>
      <c r="K93" s="18">
        <f t="shared" si="12"/>
        <v>1.0000000000000002</v>
      </c>
      <c r="L93" s="38">
        <f t="shared" si="13"/>
        <v>996.95371728555745</v>
      </c>
      <c r="M93" s="23">
        <f t="shared" si="14"/>
        <v>0.27038945831358902</v>
      </c>
      <c r="N93" s="23">
        <f t="shared" si="15"/>
        <v>0.25329108670872902</v>
      </c>
      <c r="O93" s="6"/>
      <c r="P93" s="18">
        <f t="shared" si="16"/>
        <v>6.8487239730833552E-2</v>
      </c>
    </row>
    <row r="94" spans="1:16" ht="15" customHeight="1" x14ac:dyDescent="0.3">
      <c r="A94" s="7" t="str">
        <f>Raw_Players!A56</f>
        <v>BOS</v>
      </c>
      <c r="B94" s="7" t="str">
        <f>Raw_Players!B56</f>
        <v>Hugo Gonzalez</v>
      </c>
      <c r="C94" s="37">
        <f>Raw_Players!E56</f>
        <v>-0.45338275780165882</v>
      </c>
      <c r="D94" s="31">
        <f>Raw_Players!F56</f>
        <v>897.27790467245597</v>
      </c>
      <c r="E94" s="31">
        <f>Raw_Players!G56</f>
        <v>13.71120677252329</v>
      </c>
      <c r="F94" s="31">
        <f>Raw_Players!H56</f>
        <v>65.441205836860775</v>
      </c>
      <c r="G94" s="31" t="str">
        <f>IFERROR(IF(INDEX(Overrides!$B$8:$B$47,MATCH(B94,Overrides!$A$8:$A$47,0))="","",INDEX(Overrides!$B$8:$B$47,MATCH(B94,Overrides!$A$8:$A$47,0))),"")</f>
        <v/>
      </c>
      <c r="H94" s="31" t="str">
        <f>IFERROR(IF(INDEX(Overrides!$C$8:$C$47,MATCH(B94,Overrides!$A$8:$A$47,0))="","",INDEX(Overrides!$C$8:$C$47,MATCH(B94,Overrides!$A$8:$A$47,0))),"")</f>
        <v/>
      </c>
      <c r="I94" s="36">
        <f>IFERROR(IF(INDEX(Overrides!$D$8:$D$47,MATCH(B94,Overrides!$A$8:$A$47,0))="",0,INDEX(Overrides!$D$8:$D$47,MATCH(B94,Overrides!$A$8:$A$47,0))),0)</f>
        <v>0</v>
      </c>
      <c r="J94" s="38">
        <f t="shared" si="11"/>
        <v>897.27790467245597</v>
      </c>
      <c r="K94" s="18">
        <f t="shared" si="12"/>
        <v>1.0000000000000002</v>
      </c>
      <c r="L94" s="38">
        <f t="shared" si="13"/>
        <v>897.2779046724562</v>
      </c>
      <c r="M94" s="23">
        <f t="shared" si="14"/>
        <v>-0.45338275780165882</v>
      </c>
      <c r="N94" s="23">
        <f t="shared" si="15"/>
        <v>0.22796694732531916</v>
      </c>
      <c r="O94" s="6"/>
      <c r="P94" s="18">
        <f t="shared" si="16"/>
        <v>-0.10335628326597869</v>
      </c>
    </row>
    <row r="95" spans="1:16" ht="15" customHeight="1" x14ac:dyDescent="0.3">
      <c r="A95" s="7" t="str">
        <f>Raw_Players!A57</f>
        <v>BOS</v>
      </c>
      <c r="B95" s="7" t="str">
        <f>Raw_Players!B57</f>
        <v>Jordan Walsh</v>
      </c>
      <c r="C95" s="37">
        <f>Raw_Players!E57</f>
        <v>0.63076897477489913</v>
      </c>
      <c r="D95" s="31">
        <f>Raw_Players!F57</f>
        <v>850.4071902454549</v>
      </c>
      <c r="E95" s="31">
        <f>Raw_Players!G57</f>
        <v>13.73289960212823</v>
      </c>
      <c r="F95" s="31">
        <f>Raw_Players!H57</f>
        <v>61.92480939084885</v>
      </c>
      <c r="G95" s="31" t="str">
        <f>IFERROR(IF(INDEX(Overrides!$B$8:$B$47,MATCH(B95,Overrides!$A$8:$A$47,0))="","",INDEX(Overrides!$B$8:$B$47,MATCH(B95,Overrides!$A$8:$A$47,0))),"")</f>
        <v/>
      </c>
      <c r="H95" s="31" t="str">
        <f>IFERROR(IF(INDEX(Overrides!$C$8:$C$47,MATCH(B95,Overrides!$A$8:$A$47,0))="","",INDEX(Overrides!$C$8:$C$47,MATCH(B95,Overrides!$A$8:$A$47,0))),"")</f>
        <v/>
      </c>
      <c r="I95" s="36">
        <f>IFERROR(IF(INDEX(Overrides!$D$8:$D$47,MATCH(B95,Overrides!$A$8:$A$47,0))="",0,INDEX(Overrides!$D$8:$D$47,MATCH(B95,Overrides!$A$8:$A$47,0))),0)</f>
        <v>0</v>
      </c>
      <c r="J95" s="38">
        <f t="shared" si="11"/>
        <v>850.4071902454549</v>
      </c>
      <c r="K95" s="18">
        <f t="shared" si="12"/>
        <v>1.0000000000000002</v>
      </c>
      <c r="L95" s="38">
        <f t="shared" si="13"/>
        <v>850.40719024545513</v>
      </c>
      <c r="M95" s="23">
        <f t="shared" si="14"/>
        <v>0.63076897477489913</v>
      </c>
      <c r="N95" s="23">
        <f t="shared" si="15"/>
        <v>0.21605873735910952</v>
      </c>
      <c r="O95" s="6"/>
      <c r="P95" s="18">
        <f t="shared" si="16"/>
        <v>0.13628314825516472</v>
      </c>
    </row>
    <row r="96" spans="1:16" ht="15" customHeight="1" x14ac:dyDescent="0.3">
      <c r="A96" s="7" t="str">
        <f>Raw_Players!A58</f>
        <v>BOS</v>
      </c>
      <c r="B96" s="7" t="str">
        <f>Raw_Players!B58</f>
        <v>Devin Carter</v>
      </c>
      <c r="C96" s="37">
        <f>Raw_Players!E58</f>
        <v>-1.0597822320428301</v>
      </c>
      <c r="D96" s="31">
        <f>Raw_Players!F58</f>
        <v>769.40521655284761</v>
      </c>
      <c r="E96" s="31">
        <f>Raw_Players!G58</f>
        <v>14.580460706258361</v>
      </c>
      <c r="F96" s="31">
        <f>Raw_Players!H58</f>
        <v>52.769609414508849</v>
      </c>
      <c r="G96" s="31" t="str">
        <f>IFERROR(IF(INDEX(Overrides!$B$8:$B$47,MATCH(B96,Overrides!$A$8:$A$47,0))="","",INDEX(Overrides!$B$8:$B$47,MATCH(B96,Overrides!$A$8:$A$47,0))),"")</f>
        <v/>
      </c>
      <c r="H96" s="31" t="str">
        <f>IFERROR(IF(INDEX(Overrides!$C$8:$C$47,MATCH(B96,Overrides!$A$8:$A$47,0))="","",INDEX(Overrides!$C$8:$C$47,MATCH(B96,Overrides!$A$8:$A$47,0))),"")</f>
        <v/>
      </c>
      <c r="I96" s="36">
        <f>IFERROR(IF(INDEX(Overrides!$D$8:$D$47,MATCH(B96,Overrides!$A$8:$A$47,0))="",0,INDEX(Overrides!$D$8:$D$47,MATCH(B96,Overrides!$A$8:$A$47,0))),0)</f>
        <v>0</v>
      </c>
      <c r="J96" s="38">
        <f t="shared" si="11"/>
        <v>769.40521655284761</v>
      </c>
      <c r="K96" s="18">
        <f t="shared" si="12"/>
        <v>1.0000000000000002</v>
      </c>
      <c r="L96" s="38">
        <f t="shared" si="13"/>
        <v>769.40521655284783</v>
      </c>
      <c r="M96" s="23">
        <f t="shared" si="14"/>
        <v>-1.0597822320428301</v>
      </c>
      <c r="N96" s="23">
        <f t="shared" si="15"/>
        <v>0.19547896762013411</v>
      </c>
      <c r="O96" s="6"/>
      <c r="P96" s="18">
        <f t="shared" si="16"/>
        <v>-0.20716513662189384</v>
      </c>
    </row>
    <row r="97" spans="1:16" ht="15" customHeight="1" x14ac:dyDescent="0.3">
      <c r="A97" s="7" t="str">
        <f>Raw_Players!A59</f>
        <v>BOS</v>
      </c>
      <c r="B97" s="7" t="str">
        <f>Raw_Players!B59</f>
        <v>Luka Garza</v>
      </c>
      <c r="C97" s="37">
        <f>Raw_Players!E59</f>
        <v>1.2831075485231449</v>
      </c>
      <c r="D97" s="31">
        <f>Raw_Players!F59</f>
        <v>738.66838670842594</v>
      </c>
      <c r="E97" s="31">
        <f>Raw_Players!G59</f>
        <v>12.239806754932671</v>
      </c>
      <c r="F97" s="31">
        <f>Raw_Players!H59</f>
        <v>60.349677204727158</v>
      </c>
      <c r="G97" s="31" t="str">
        <f>IFERROR(IF(INDEX(Overrides!$B$8:$B$47,MATCH(B97,Overrides!$A$8:$A$47,0))="","",INDEX(Overrides!$B$8:$B$47,MATCH(B97,Overrides!$A$8:$A$47,0))),"")</f>
        <v/>
      </c>
      <c r="H97" s="31" t="str">
        <f>IFERROR(IF(INDEX(Overrides!$C$8:$C$47,MATCH(B97,Overrides!$A$8:$A$47,0))="","",INDEX(Overrides!$C$8:$C$47,MATCH(B97,Overrides!$A$8:$A$47,0))),"")</f>
        <v/>
      </c>
      <c r="I97" s="36">
        <f>IFERROR(IF(INDEX(Overrides!$D$8:$D$47,MATCH(B97,Overrides!$A$8:$A$47,0))="",0,INDEX(Overrides!$D$8:$D$47,MATCH(B97,Overrides!$A$8:$A$47,0))),0)</f>
        <v>0</v>
      </c>
      <c r="J97" s="38">
        <f t="shared" si="11"/>
        <v>738.66838670842594</v>
      </c>
      <c r="K97" s="18">
        <f t="shared" si="12"/>
        <v>1.0000000000000002</v>
      </c>
      <c r="L97" s="38">
        <f t="shared" si="13"/>
        <v>738.66838670842606</v>
      </c>
      <c r="M97" s="23">
        <f t="shared" si="14"/>
        <v>1.2831075485231449</v>
      </c>
      <c r="N97" s="23">
        <f t="shared" si="15"/>
        <v>0.18766981369624647</v>
      </c>
      <c r="O97" s="6"/>
      <c r="P97" s="18">
        <f t="shared" si="16"/>
        <v>0.24080055458358612</v>
      </c>
    </row>
    <row r="98" spans="1:16" ht="15" customHeight="1" x14ac:dyDescent="0.3">
      <c r="A98" s="7" t="str">
        <f>Raw_Players!A60</f>
        <v>BOS</v>
      </c>
      <c r="B98" s="7" t="str">
        <f>Raw_Players!B60</f>
        <v>Chris Cenac Jr.</v>
      </c>
      <c r="C98" s="37">
        <f>Raw_Players!E60</f>
        <v>-2.7205718748889001</v>
      </c>
      <c r="D98" s="31">
        <f>Raw_Players!F60</f>
        <v>662.62151513112781</v>
      </c>
      <c r="E98" s="31">
        <f>Raw_Players!G60</f>
        <v>16.017132706763341</v>
      </c>
      <c r="F98" s="31">
        <f>Raw_Players!H60</f>
        <v>41.369546426454441</v>
      </c>
      <c r="G98" s="31" t="str">
        <f>IFERROR(IF(INDEX(Overrides!$B$8:$B$47,MATCH(B98,Overrides!$A$8:$A$47,0))="","",INDEX(Overrides!$B$8:$B$47,MATCH(B98,Overrides!$A$8:$A$47,0))),"")</f>
        <v/>
      </c>
      <c r="H98" s="31" t="str">
        <f>IFERROR(IF(INDEX(Overrides!$C$8:$C$47,MATCH(B98,Overrides!$A$8:$A$47,0))="","",INDEX(Overrides!$C$8:$C$47,MATCH(B98,Overrides!$A$8:$A$47,0))),"")</f>
        <v/>
      </c>
      <c r="I98" s="36">
        <f>IFERROR(IF(INDEX(Overrides!$D$8:$D$47,MATCH(B98,Overrides!$A$8:$A$47,0))="",0,INDEX(Overrides!$D$8:$D$47,MATCH(B98,Overrides!$A$8:$A$47,0))),0)</f>
        <v>0</v>
      </c>
      <c r="J98" s="38">
        <f t="shared" si="11"/>
        <v>662.62151513112781</v>
      </c>
      <c r="K98" s="18">
        <f t="shared" si="12"/>
        <v>1.0000000000000002</v>
      </c>
      <c r="L98" s="38">
        <f t="shared" si="13"/>
        <v>662.62151513112792</v>
      </c>
      <c r="M98" s="23">
        <f t="shared" si="14"/>
        <v>-2.7205718748889001</v>
      </c>
      <c r="N98" s="23">
        <f t="shared" si="15"/>
        <v>0.16834896217762396</v>
      </c>
      <c r="O98" s="6"/>
      <c r="P98" s="18">
        <f t="shared" si="16"/>
        <v>-0.45800545166717893</v>
      </c>
    </row>
    <row r="99" spans="1:16" ht="15" customHeight="1" x14ac:dyDescent="0.3">
      <c r="A99" s="7" t="str">
        <f>Raw_Players!A61</f>
        <v>BOS</v>
      </c>
      <c r="B99" s="7" t="str">
        <f>Raw_Players!B61</f>
        <v>Dillon Mitchell</v>
      </c>
      <c r="C99" s="37">
        <f>Raw_Players!E61</f>
        <v>-1.6627030274760219</v>
      </c>
      <c r="D99" s="31">
        <f>Raw_Players!F61</f>
        <v>514.07205044102045</v>
      </c>
      <c r="E99" s="31">
        <f>Raw_Players!G61</f>
        <v>14.260033726063741</v>
      </c>
      <c r="F99" s="31">
        <f>Raw_Players!H61</f>
        <v>36.049848150178398</v>
      </c>
      <c r="G99" s="31" t="str">
        <f>IFERROR(IF(INDEX(Overrides!$B$8:$B$47,MATCH(B99,Overrides!$A$8:$A$47,0))="","",INDEX(Overrides!$B$8:$B$47,MATCH(B99,Overrides!$A$8:$A$47,0))),"")</f>
        <v/>
      </c>
      <c r="H99" s="31" t="str">
        <f>IFERROR(IF(INDEX(Overrides!$C$8:$C$47,MATCH(B99,Overrides!$A$8:$A$47,0))="","",INDEX(Overrides!$C$8:$C$47,MATCH(B99,Overrides!$A$8:$A$47,0))),"")</f>
        <v/>
      </c>
      <c r="I99" s="36">
        <f>IFERROR(IF(INDEX(Overrides!$D$8:$D$47,MATCH(B99,Overrides!$A$8:$A$47,0))="",0,INDEX(Overrides!$D$8:$D$47,MATCH(B99,Overrides!$A$8:$A$47,0))),0)</f>
        <v>0</v>
      </c>
      <c r="J99" s="38">
        <f t="shared" si="11"/>
        <v>514.07205044102045</v>
      </c>
      <c r="K99" s="18">
        <f t="shared" si="12"/>
        <v>1.0000000000000002</v>
      </c>
      <c r="L99" s="38">
        <f t="shared" si="13"/>
        <v>514.07205044102056</v>
      </c>
      <c r="M99" s="23">
        <f t="shared" si="14"/>
        <v>-1.6627030274760219</v>
      </c>
      <c r="N99" s="23">
        <f t="shared" si="15"/>
        <v>0.1306077363925357</v>
      </c>
      <c r="O99" s="6"/>
      <c r="P99" s="18">
        <f t="shared" si="16"/>
        <v>-0.21716187871165932</v>
      </c>
    </row>
    <row r="100" spans="1:16" ht="15" customHeight="1" x14ac:dyDescent="0.3">
      <c r="A100" s="7" t="str">
        <f>Raw_Players!A62</f>
        <v>BOS</v>
      </c>
      <c r="B100" s="7" t="str">
        <f>Raw_Players!B62</f>
        <v>Ron Harper Jr.</v>
      </c>
      <c r="C100" s="37">
        <f>Raw_Players!E62</f>
        <v>-0.69992526057852811</v>
      </c>
      <c r="D100" s="31">
        <f>Raw_Players!F62</f>
        <v>513.50234510181463</v>
      </c>
      <c r="E100" s="31">
        <f>Raw_Players!G62</f>
        <v>10.936226600117459</v>
      </c>
      <c r="F100" s="31">
        <f>Raw_Players!H62</f>
        <v>46.954252492930181</v>
      </c>
      <c r="G100" s="31" t="str">
        <f>IFERROR(IF(INDEX(Overrides!$B$8:$B$47,MATCH(B100,Overrides!$A$8:$A$47,0))="","",INDEX(Overrides!$B$8:$B$47,MATCH(B100,Overrides!$A$8:$A$47,0))),"")</f>
        <v/>
      </c>
      <c r="H100" s="31" t="str">
        <f>IFERROR(IF(INDEX(Overrides!$C$8:$C$47,MATCH(B100,Overrides!$A$8:$A$47,0))="","",INDEX(Overrides!$C$8:$C$47,MATCH(B100,Overrides!$A$8:$A$47,0))),"")</f>
        <v/>
      </c>
      <c r="I100" s="36">
        <f>IFERROR(IF(INDEX(Overrides!$D$8:$D$47,MATCH(B100,Overrides!$A$8:$A$47,0))="",0,INDEX(Overrides!$D$8:$D$47,MATCH(B100,Overrides!$A$8:$A$47,0))),0)</f>
        <v>0</v>
      </c>
      <c r="J100" s="38">
        <f t="shared" si="11"/>
        <v>513.50234510181463</v>
      </c>
      <c r="K100" s="18">
        <f t="shared" si="12"/>
        <v>1.0000000000000002</v>
      </c>
      <c r="L100" s="38">
        <f t="shared" si="13"/>
        <v>513.50234510181474</v>
      </c>
      <c r="M100" s="23">
        <f t="shared" si="14"/>
        <v>-0.69992526057852811</v>
      </c>
      <c r="N100" s="23">
        <f t="shared" si="15"/>
        <v>0.13046299418237164</v>
      </c>
      <c r="O100" s="6"/>
      <c r="P100" s="18">
        <f t="shared" si="16"/>
        <v>-9.1314345198951472E-2</v>
      </c>
    </row>
    <row r="101" spans="1:16" ht="15" customHeight="1" x14ac:dyDescent="0.3">
      <c r="A101" s="7" t="str">
        <f>Raw_Players!A63</f>
        <v>BOS</v>
      </c>
      <c r="B101" s="7" t="str">
        <f>Raw_Players!B63</f>
        <v>Hayden Gray</v>
      </c>
      <c r="C101" s="37">
        <f>Raw_Players!E63</f>
        <v>-2.0235359444174001</v>
      </c>
      <c r="D101" s="31">
        <f>Raw_Players!F63</f>
        <v>498.29184466697171</v>
      </c>
      <c r="E101" s="31">
        <f>Raw_Players!G63</f>
        <v>12.36950986771595</v>
      </c>
      <c r="F101" s="31">
        <f>Raw_Players!H63</f>
        <v>40.283879474278812</v>
      </c>
      <c r="G101" s="31" t="str">
        <f>IFERROR(IF(INDEX(Overrides!$B$8:$B$47,MATCH(B101,Overrides!$A$8:$A$47,0))="","",INDEX(Overrides!$B$8:$B$47,MATCH(B101,Overrides!$A$8:$A$47,0))),"")</f>
        <v/>
      </c>
      <c r="H101" s="31" t="str">
        <f>IFERROR(IF(INDEX(Overrides!$C$8:$C$47,MATCH(B101,Overrides!$A$8:$A$47,0))="","",INDEX(Overrides!$C$8:$C$47,MATCH(B101,Overrides!$A$8:$A$47,0))),"")</f>
        <v/>
      </c>
      <c r="I101" s="36">
        <f>IFERROR(IF(INDEX(Overrides!$D$8:$D$47,MATCH(B101,Overrides!$A$8:$A$47,0))="",0,INDEX(Overrides!$D$8:$D$47,MATCH(B101,Overrides!$A$8:$A$47,0))),0)</f>
        <v>0</v>
      </c>
      <c r="J101" s="38">
        <f t="shared" si="11"/>
        <v>498.29184466697171</v>
      </c>
      <c r="K101" s="18">
        <f t="shared" si="12"/>
        <v>1.0000000000000002</v>
      </c>
      <c r="L101" s="38">
        <f t="shared" si="13"/>
        <v>498.29184466697183</v>
      </c>
      <c r="M101" s="23">
        <f t="shared" si="14"/>
        <v>-2.0235359444174001</v>
      </c>
      <c r="N101" s="23">
        <f t="shared" si="15"/>
        <v>0.12659853777108024</v>
      </c>
      <c r="O101" s="6"/>
      <c r="P101" s="18">
        <f t="shared" si="16"/>
        <v>-0.25617669169046475</v>
      </c>
    </row>
    <row r="102" spans="1:16" ht="15" customHeight="1" x14ac:dyDescent="0.3">
      <c r="A102" s="7" t="str">
        <f>Raw_Players!A64</f>
        <v>BOS</v>
      </c>
      <c r="B102" s="7" t="str">
        <f>Raw_Players!B64</f>
        <v>Amari Williams</v>
      </c>
      <c r="C102" s="37">
        <f>Raw_Players!E64</f>
        <v>-2.1432777895404409</v>
      </c>
      <c r="D102" s="31">
        <f>Raw_Players!F64</f>
        <v>403.54323043117751</v>
      </c>
      <c r="E102" s="31">
        <f>Raw_Players!G64</f>
        <v>8.5061784403436267</v>
      </c>
      <c r="F102" s="31">
        <f>Raw_Players!H64</f>
        <v>47.441190337276232</v>
      </c>
      <c r="G102" s="31" t="str">
        <f>IFERROR(IF(INDEX(Overrides!$B$8:$B$47,MATCH(B102,Overrides!$A$8:$A$47,0))="","",INDEX(Overrides!$B$8:$B$47,MATCH(B102,Overrides!$A$8:$A$47,0))),"")</f>
        <v/>
      </c>
      <c r="H102" s="31" t="str">
        <f>IFERROR(IF(INDEX(Overrides!$C$8:$C$47,MATCH(B102,Overrides!$A$8:$A$47,0))="","",INDEX(Overrides!$C$8:$C$47,MATCH(B102,Overrides!$A$8:$A$47,0))),"")</f>
        <v/>
      </c>
      <c r="I102" s="36">
        <f>IFERROR(IF(INDEX(Overrides!$D$8:$D$47,MATCH(B102,Overrides!$A$8:$A$47,0))="",0,INDEX(Overrides!$D$8:$D$47,MATCH(B102,Overrides!$A$8:$A$47,0))),0)</f>
        <v>0</v>
      </c>
      <c r="J102" s="38">
        <f t="shared" si="11"/>
        <v>403.54323043117751</v>
      </c>
      <c r="K102" s="18">
        <f t="shared" si="12"/>
        <v>1.0000000000000002</v>
      </c>
      <c r="L102" s="38">
        <f t="shared" si="13"/>
        <v>403.54323043117762</v>
      </c>
      <c r="M102" s="23">
        <f t="shared" si="14"/>
        <v>-2.1432777895404409</v>
      </c>
      <c r="N102" s="23">
        <f t="shared" si="15"/>
        <v>0.10252622724369351</v>
      </c>
      <c r="O102" s="6"/>
      <c r="P102" s="18">
        <f t="shared" si="16"/>
        <v>-0.21974218569678436</v>
      </c>
    </row>
    <row r="103" spans="1:16" ht="15" customHeight="1" x14ac:dyDescent="0.3">
      <c r="A103" s="7" t="str">
        <f>Raw_Players!A65</f>
        <v>BOS</v>
      </c>
      <c r="B103" s="7" t="str">
        <f>Raw_Players!B65</f>
        <v>Tucker DeVries</v>
      </c>
      <c r="C103" s="37">
        <f>Raw_Players!E65</f>
        <v>-3.1867960702466678</v>
      </c>
      <c r="D103" s="31">
        <f>Raw_Players!F65</f>
        <v>375.39108109994442</v>
      </c>
      <c r="E103" s="31">
        <f>Raw_Players!G65</f>
        <v>12.37350547134576</v>
      </c>
      <c r="F103" s="31">
        <f>Raw_Players!H65</f>
        <v>30.338296772023529</v>
      </c>
      <c r="G103" s="31" t="str">
        <f>IFERROR(IF(INDEX(Overrides!$B$8:$B$47,MATCH(B103,Overrides!$A$8:$A$47,0))="","",INDEX(Overrides!$B$8:$B$47,MATCH(B103,Overrides!$A$8:$A$47,0))),"")</f>
        <v/>
      </c>
      <c r="H103" s="31" t="str">
        <f>IFERROR(IF(INDEX(Overrides!$C$8:$C$47,MATCH(B103,Overrides!$A$8:$A$47,0))="","",INDEX(Overrides!$C$8:$C$47,MATCH(B103,Overrides!$A$8:$A$47,0))),"")</f>
        <v/>
      </c>
      <c r="I103" s="36">
        <f>IFERROR(IF(INDEX(Overrides!$D$8:$D$47,MATCH(B103,Overrides!$A$8:$A$47,0))="",0,INDEX(Overrides!$D$8:$D$47,MATCH(B103,Overrides!$A$8:$A$47,0))),0)</f>
        <v>0</v>
      </c>
      <c r="J103" s="38">
        <f t="shared" si="11"/>
        <v>375.39108109994442</v>
      </c>
      <c r="K103" s="18">
        <f t="shared" si="12"/>
        <v>1.0000000000000002</v>
      </c>
      <c r="L103" s="38">
        <f t="shared" si="13"/>
        <v>375.39108109994447</v>
      </c>
      <c r="M103" s="23">
        <f t="shared" si="14"/>
        <v>-3.1867960702466678</v>
      </c>
      <c r="N103" s="23">
        <f t="shared" si="15"/>
        <v>9.5373750279457437E-2</v>
      </c>
      <c r="O103" s="6"/>
      <c r="P103" s="18">
        <f t="shared" si="16"/>
        <v>-0.30393669259526201</v>
      </c>
    </row>
    <row r="104" spans="1:16" ht="15" customHeight="1" x14ac:dyDescent="0.3">
      <c r="A104" s="7" t="str">
        <f>Raw_Players!A66</f>
        <v>BOS</v>
      </c>
      <c r="B104" s="7" t="str">
        <f>Raw_Players!B66</f>
        <v>Gabe McGlothan</v>
      </c>
      <c r="C104" s="37">
        <f>Raw_Players!E66</f>
        <v>-3.1867960702466678</v>
      </c>
      <c r="D104" s="31">
        <f>Raw_Players!F66</f>
        <v>375.39108109994442</v>
      </c>
      <c r="E104" s="31">
        <f>Raw_Players!G66</f>
        <v>12.37350547134576</v>
      </c>
      <c r="F104" s="31">
        <f>Raw_Players!H66</f>
        <v>30.338296772023529</v>
      </c>
      <c r="G104" s="31" t="str">
        <f>IFERROR(IF(INDEX(Overrides!$B$8:$B$47,MATCH(B104,Overrides!$A$8:$A$47,0))="","",INDEX(Overrides!$B$8:$B$47,MATCH(B104,Overrides!$A$8:$A$47,0))),"")</f>
        <v/>
      </c>
      <c r="H104" s="31" t="str">
        <f>IFERROR(IF(INDEX(Overrides!$C$8:$C$47,MATCH(B104,Overrides!$A$8:$A$47,0))="","",INDEX(Overrides!$C$8:$C$47,MATCH(B104,Overrides!$A$8:$A$47,0))),"")</f>
        <v/>
      </c>
      <c r="I104" s="36">
        <f>IFERROR(IF(INDEX(Overrides!$D$8:$D$47,MATCH(B104,Overrides!$A$8:$A$47,0))="",0,INDEX(Overrides!$D$8:$D$47,MATCH(B104,Overrides!$A$8:$A$47,0))),0)</f>
        <v>0</v>
      </c>
      <c r="J104" s="38">
        <f t="shared" si="11"/>
        <v>375.39108109994442</v>
      </c>
      <c r="K104" s="18">
        <f t="shared" si="12"/>
        <v>1.0000000000000002</v>
      </c>
      <c r="L104" s="38">
        <f t="shared" si="13"/>
        <v>375.39108109994447</v>
      </c>
      <c r="M104" s="23">
        <f t="shared" si="14"/>
        <v>-3.1867960702466678</v>
      </c>
      <c r="N104" s="23">
        <f t="shared" si="15"/>
        <v>9.5373750279457437E-2</v>
      </c>
      <c r="O104" s="6"/>
      <c r="P104" s="18">
        <f t="shared" si="16"/>
        <v>-0.30393669259526201</v>
      </c>
    </row>
    <row r="105" spans="1:16" ht="15" customHeight="1" x14ac:dyDescent="0.3">
      <c r="A105" s="7" t="str">
        <f>Raw_Players!A67</f>
        <v>BOS</v>
      </c>
      <c r="B105" s="7" t="str">
        <f>Raw_Players!B67</f>
        <v>Milos Uzan</v>
      </c>
      <c r="C105" s="37">
        <f>Raw_Players!E67</f>
        <v>-3.1867960702466678</v>
      </c>
      <c r="D105" s="31">
        <f>Raw_Players!F67</f>
        <v>375.39108109994442</v>
      </c>
      <c r="E105" s="31">
        <f>Raw_Players!G67</f>
        <v>12.37350547134576</v>
      </c>
      <c r="F105" s="31">
        <f>Raw_Players!H67</f>
        <v>30.338296772023529</v>
      </c>
      <c r="G105" s="31" t="str">
        <f>IFERROR(IF(INDEX(Overrides!$B$8:$B$47,MATCH(B105,Overrides!$A$8:$A$47,0))="","",INDEX(Overrides!$B$8:$B$47,MATCH(B105,Overrides!$A$8:$A$47,0))),"")</f>
        <v/>
      </c>
      <c r="H105" s="31" t="str">
        <f>IFERROR(IF(INDEX(Overrides!$C$8:$C$47,MATCH(B105,Overrides!$A$8:$A$47,0))="","",INDEX(Overrides!$C$8:$C$47,MATCH(B105,Overrides!$A$8:$A$47,0))),"")</f>
        <v/>
      </c>
      <c r="I105" s="36">
        <f>IFERROR(IF(INDEX(Overrides!$D$8:$D$47,MATCH(B105,Overrides!$A$8:$A$47,0))="",0,INDEX(Overrides!$D$8:$D$47,MATCH(B105,Overrides!$A$8:$A$47,0))),0)</f>
        <v>0</v>
      </c>
      <c r="J105" s="38">
        <f t="shared" si="11"/>
        <v>375.39108109994442</v>
      </c>
      <c r="K105" s="18">
        <f t="shared" si="12"/>
        <v>1.0000000000000002</v>
      </c>
      <c r="L105" s="38">
        <f t="shared" si="13"/>
        <v>375.39108109994447</v>
      </c>
      <c r="M105" s="23">
        <f t="shared" si="14"/>
        <v>-3.1867960702466678</v>
      </c>
      <c r="N105" s="23">
        <f t="shared" si="15"/>
        <v>9.5373750279457437E-2</v>
      </c>
      <c r="O105" s="6"/>
      <c r="P105" s="18">
        <f t="shared" si="16"/>
        <v>-0.30393669259526201</v>
      </c>
    </row>
    <row r="106" spans="1:16" ht="15" customHeight="1" x14ac:dyDescent="0.3">
      <c r="A106" s="7" t="str">
        <f>Raw_Players!A68</f>
        <v>CHA</v>
      </c>
      <c r="B106" s="7" t="str">
        <f>Raw_Players!B68</f>
        <v>Kon Knueppel</v>
      </c>
      <c r="C106" s="37">
        <f>Raw_Players!E68</f>
        <v>1.760149149025922</v>
      </c>
      <c r="D106" s="31">
        <f>Raw_Players!F68</f>
        <v>1669.114077050534</v>
      </c>
      <c r="E106" s="31">
        <f>Raw_Players!G68</f>
        <v>24.582952530364739</v>
      </c>
      <c r="F106" s="31">
        <f>Raw_Players!H68</f>
        <v>67.897217593730943</v>
      </c>
      <c r="G106" s="31" t="str">
        <f>IFERROR(IF(INDEX(Overrides!$B$8:$B$47,MATCH(B106,Overrides!$A$8:$A$47,0))="","",INDEX(Overrides!$B$8:$B$47,MATCH(B106,Overrides!$A$8:$A$47,0))),"")</f>
        <v/>
      </c>
      <c r="H106" s="31" t="str">
        <f>IFERROR(IF(INDEX(Overrides!$C$8:$C$47,MATCH(B106,Overrides!$A$8:$A$47,0))="","",INDEX(Overrides!$C$8:$C$47,MATCH(B106,Overrides!$A$8:$A$47,0))),"")</f>
        <v/>
      </c>
      <c r="I106" s="36">
        <f>IFERROR(IF(INDEX(Overrides!$D$8:$D$47,MATCH(B106,Overrides!$A$8:$A$47,0))="",0,INDEX(Overrides!$D$8:$D$47,MATCH(B106,Overrides!$A$8:$A$47,0))),0)</f>
        <v>0</v>
      </c>
      <c r="J106" s="38">
        <f t="shared" si="11"/>
        <v>1669.114077050534</v>
      </c>
      <c r="K106" s="18">
        <f t="shared" si="12"/>
        <v>1</v>
      </c>
      <c r="L106" s="38">
        <f t="shared" si="13"/>
        <v>1669.114077050534</v>
      </c>
      <c r="M106" s="23">
        <f t="shared" si="14"/>
        <v>1.760149149025922</v>
      </c>
      <c r="N106" s="23">
        <f t="shared" si="15"/>
        <v>0.42406353583600964</v>
      </c>
      <c r="O106" s="6"/>
      <c r="P106" s="18">
        <f t="shared" si="16"/>
        <v>0.74641507173467592</v>
      </c>
    </row>
    <row r="107" spans="1:16" ht="15" customHeight="1" x14ac:dyDescent="0.3">
      <c r="A107" s="7" t="str">
        <f>Raw_Players!A69</f>
        <v>CHA</v>
      </c>
      <c r="B107" s="7" t="str">
        <f>Raw_Players!B69</f>
        <v>Brandon Miller</v>
      </c>
      <c r="C107" s="37">
        <f>Raw_Players!E69</f>
        <v>1.2268064422126781</v>
      </c>
      <c r="D107" s="31">
        <f>Raw_Players!F69</f>
        <v>1511.184760350621</v>
      </c>
      <c r="E107" s="31">
        <f>Raw_Players!G69</f>
        <v>25.701326241059331</v>
      </c>
      <c r="F107" s="31">
        <f>Raw_Players!H69</f>
        <v>58.797929187654823</v>
      </c>
      <c r="G107" s="31" t="str">
        <f>IFERROR(IF(INDEX(Overrides!$B$8:$B$47,MATCH(B107,Overrides!$A$8:$A$47,0))="","",INDEX(Overrides!$B$8:$B$47,MATCH(B107,Overrides!$A$8:$A$47,0))),"")</f>
        <v/>
      </c>
      <c r="H107" s="31" t="str">
        <f>IFERROR(IF(INDEX(Overrides!$C$8:$C$47,MATCH(B107,Overrides!$A$8:$A$47,0))="","",INDEX(Overrides!$C$8:$C$47,MATCH(B107,Overrides!$A$8:$A$47,0))),"")</f>
        <v/>
      </c>
      <c r="I107" s="36">
        <f>IFERROR(IF(INDEX(Overrides!$D$8:$D$47,MATCH(B107,Overrides!$A$8:$A$47,0))="",0,INDEX(Overrides!$D$8:$D$47,MATCH(B107,Overrides!$A$8:$A$47,0))),0)</f>
        <v>0</v>
      </c>
      <c r="J107" s="38">
        <f t="shared" si="11"/>
        <v>1511.184760350621</v>
      </c>
      <c r="K107" s="18">
        <f t="shared" si="12"/>
        <v>1</v>
      </c>
      <c r="L107" s="38">
        <f t="shared" si="13"/>
        <v>1511.184760350621</v>
      </c>
      <c r="M107" s="23">
        <f t="shared" si="14"/>
        <v>1.2268064422126781</v>
      </c>
      <c r="N107" s="23">
        <f t="shared" si="15"/>
        <v>0.38393921756875532</v>
      </c>
      <c r="O107" s="6"/>
      <c r="P107" s="18">
        <f t="shared" si="16"/>
        <v>0.47101910553144405</v>
      </c>
    </row>
    <row r="108" spans="1:16" ht="15" customHeight="1" x14ac:dyDescent="0.3">
      <c r="A108" s="7" t="str">
        <f>Raw_Players!A70</f>
        <v>CHA</v>
      </c>
      <c r="B108" s="7" t="str">
        <f>Raw_Players!B70</f>
        <v>Coby White</v>
      </c>
      <c r="C108" s="37">
        <f>Raw_Players!E70</f>
        <v>4.5699990566648398E-2</v>
      </c>
      <c r="D108" s="31">
        <f>Raw_Players!F70</f>
        <v>1494.956389087406</v>
      </c>
      <c r="E108" s="31">
        <f>Raw_Players!G70</f>
        <v>25.31873731577382</v>
      </c>
      <c r="F108" s="31">
        <f>Raw_Players!H70</f>
        <v>59.045455957870139</v>
      </c>
      <c r="G108" s="31" t="str">
        <f>IFERROR(IF(INDEX(Overrides!$B$8:$B$47,MATCH(B108,Overrides!$A$8:$A$47,0))="","",INDEX(Overrides!$B$8:$B$47,MATCH(B108,Overrides!$A$8:$A$47,0))),"")</f>
        <v/>
      </c>
      <c r="H108" s="31" t="str">
        <f>IFERROR(IF(INDEX(Overrides!$C$8:$C$47,MATCH(B108,Overrides!$A$8:$A$47,0))="","",INDEX(Overrides!$C$8:$C$47,MATCH(B108,Overrides!$A$8:$A$47,0))),"")</f>
        <v/>
      </c>
      <c r="I108" s="36">
        <f>IFERROR(IF(INDEX(Overrides!$D$8:$D$47,MATCH(B108,Overrides!$A$8:$A$47,0))="",0,INDEX(Overrides!$D$8:$D$47,MATCH(B108,Overrides!$A$8:$A$47,0))),0)</f>
        <v>0</v>
      </c>
      <c r="J108" s="38">
        <f t="shared" si="11"/>
        <v>1494.956389087406</v>
      </c>
      <c r="K108" s="18">
        <f t="shared" si="12"/>
        <v>1</v>
      </c>
      <c r="L108" s="38">
        <f t="shared" si="13"/>
        <v>1494.956389087406</v>
      </c>
      <c r="M108" s="23">
        <f t="shared" si="14"/>
        <v>4.5699990566648398E-2</v>
      </c>
      <c r="N108" s="23">
        <f t="shared" si="15"/>
        <v>0.37981615576407673</v>
      </c>
      <c r="O108" s="6"/>
      <c r="P108" s="18">
        <f t="shared" si="16"/>
        <v>1.7357594735478966E-2</v>
      </c>
    </row>
    <row r="109" spans="1:16" ht="15" customHeight="1" x14ac:dyDescent="0.3">
      <c r="A109" s="7" t="str">
        <f>Raw_Players!A71</f>
        <v>CHA</v>
      </c>
      <c r="B109" s="7" t="str">
        <f>Raw_Players!B71</f>
        <v>Naz Reid</v>
      </c>
      <c r="C109" s="37">
        <f>Raw_Players!E71</f>
        <v>1.1734173509657591</v>
      </c>
      <c r="D109" s="31">
        <f>Raw_Players!F71</f>
        <v>1448.6179468811631</v>
      </c>
      <c r="E109" s="31">
        <f>Raw_Players!G71</f>
        <v>21.886811495029161</v>
      </c>
      <c r="F109" s="31">
        <f>Raw_Players!H71</f>
        <v>66.186796884971898</v>
      </c>
      <c r="G109" s="31" t="str">
        <f>IFERROR(IF(INDEX(Overrides!$B$8:$B$47,MATCH(B109,Overrides!$A$8:$A$47,0))="","",INDEX(Overrides!$B$8:$B$47,MATCH(B109,Overrides!$A$8:$A$47,0))),"")</f>
        <v/>
      </c>
      <c r="H109" s="31" t="str">
        <f>IFERROR(IF(INDEX(Overrides!$C$8:$C$47,MATCH(B109,Overrides!$A$8:$A$47,0))="","",INDEX(Overrides!$C$8:$C$47,MATCH(B109,Overrides!$A$8:$A$47,0))),"")</f>
        <v/>
      </c>
      <c r="I109" s="36">
        <f>IFERROR(IF(INDEX(Overrides!$D$8:$D$47,MATCH(B109,Overrides!$A$8:$A$47,0))="",0,INDEX(Overrides!$D$8:$D$47,MATCH(B109,Overrides!$A$8:$A$47,0))),0)</f>
        <v>0</v>
      </c>
      <c r="J109" s="38">
        <f t="shared" si="11"/>
        <v>1448.6179468811631</v>
      </c>
      <c r="K109" s="18">
        <f t="shared" si="12"/>
        <v>1</v>
      </c>
      <c r="L109" s="38">
        <f t="shared" si="13"/>
        <v>1448.6179468811631</v>
      </c>
      <c r="M109" s="23">
        <f t="shared" si="14"/>
        <v>1.1734173509657591</v>
      </c>
      <c r="N109" s="23">
        <f t="shared" si="15"/>
        <v>0.36804317756127114</v>
      </c>
      <c r="O109" s="6"/>
      <c r="P109" s="18">
        <f t="shared" si="16"/>
        <v>0.4318682504549673</v>
      </c>
    </row>
    <row r="110" spans="1:16" ht="15" customHeight="1" x14ac:dyDescent="0.3">
      <c r="A110" s="7" t="str">
        <f>Raw_Players!A72</f>
        <v>CHA</v>
      </c>
      <c r="B110" s="7" t="str">
        <f>Raw_Players!B72</f>
        <v>Royce O'Neale</v>
      </c>
      <c r="C110" s="37">
        <f>Raw_Players!E72</f>
        <v>-0.81565579815330014</v>
      </c>
      <c r="D110" s="31">
        <f>Raw_Players!F72</f>
        <v>1415.8201125398209</v>
      </c>
      <c r="E110" s="31">
        <f>Raw_Players!G72</f>
        <v>22.168120544652918</v>
      </c>
      <c r="F110" s="31">
        <f>Raw_Players!H72</f>
        <v>63.867395058952113</v>
      </c>
      <c r="G110" s="31" t="str">
        <f>IFERROR(IF(INDEX(Overrides!$B$8:$B$47,MATCH(B110,Overrides!$A$8:$A$47,0))="","",INDEX(Overrides!$B$8:$B$47,MATCH(B110,Overrides!$A$8:$A$47,0))),"")</f>
        <v/>
      </c>
      <c r="H110" s="31" t="str">
        <f>IFERROR(IF(INDEX(Overrides!$C$8:$C$47,MATCH(B110,Overrides!$A$8:$A$47,0))="","",INDEX(Overrides!$C$8:$C$47,MATCH(B110,Overrides!$A$8:$A$47,0))),"")</f>
        <v/>
      </c>
      <c r="I110" s="36">
        <f>IFERROR(IF(INDEX(Overrides!$D$8:$D$47,MATCH(B110,Overrides!$A$8:$A$47,0))="",0,INDEX(Overrides!$D$8:$D$47,MATCH(B110,Overrides!$A$8:$A$47,0))),0)</f>
        <v>0</v>
      </c>
      <c r="J110" s="38">
        <f t="shared" ref="J110:J173" si="17">IF(AND(G110="",H110=""),D110,IF(H110="",F110,H110)*IF(G110="",E110,G110))</f>
        <v>1415.8201125398209</v>
      </c>
      <c r="K110" s="18">
        <f t="shared" ref="K110:K173" si="18">A_teamminutes/SUMIF($A$46:$A$672,A110,$J$46:$J$672)</f>
        <v>1</v>
      </c>
      <c r="L110" s="38">
        <f t="shared" ref="L110:L173" si="19">J110*K110</f>
        <v>1415.8201125398209</v>
      </c>
      <c r="M110" s="23">
        <f t="shared" ref="M110:M173" si="20">C110+I110</f>
        <v>-0.81565579815330014</v>
      </c>
      <c r="N110" s="23">
        <f t="shared" ref="N110:N173" si="21">L110/(A_teamminutes/5)</f>
        <v>0.35971039444609271</v>
      </c>
      <c r="O110" s="6"/>
      <c r="P110" s="18">
        <f t="shared" ref="P110:P173" si="22">N110*M110</f>
        <v>-0.29339986888596614</v>
      </c>
    </row>
    <row r="111" spans="1:16" ht="15" customHeight="1" x14ac:dyDescent="0.3">
      <c r="A111" s="7" t="str">
        <f>Raw_Players!A73</f>
        <v>CHA</v>
      </c>
      <c r="B111" s="7" t="str">
        <f>Raw_Players!B73</f>
        <v>Dennis Schroder</v>
      </c>
      <c r="C111" s="37">
        <f>Raw_Players!E73</f>
        <v>-2.4333559358752042</v>
      </c>
      <c r="D111" s="31">
        <f>Raw_Players!F73</f>
        <v>1383.475064988568</v>
      </c>
      <c r="E111" s="31">
        <f>Raw_Players!G73</f>
        <v>22.365904828096209</v>
      </c>
      <c r="F111" s="31">
        <f>Raw_Players!H73</f>
        <v>61.85643172596518</v>
      </c>
      <c r="G111" s="31" t="str">
        <f>IFERROR(IF(INDEX(Overrides!$B$8:$B$47,MATCH(B111,Overrides!$A$8:$A$47,0))="","",INDEX(Overrides!$B$8:$B$47,MATCH(B111,Overrides!$A$8:$A$47,0))),"")</f>
        <v/>
      </c>
      <c r="H111" s="31" t="str">
        <f>IFERROR(IF(INDEX(Overrides!$C$8:$C$47,MATCH(B111,Overrides!$A$8:$A$47,0))="","",INDEX(Overrides!$C$8:$C$47,MATCH(B111,Overrides!$A$8:$A$47,0))),"")</f>
        <v/>
      </c>
      <c r="I111" s="36">
        <f>IFERROR(IF(INDEX(Overrides!$D$8:$D$47,MATCH(B111,Overrides!$A$8:$A$47,0))="",0,INDEX(Overrides!$D$8:$D$47,MATCH(B111,Overrides!$A$8:$A$47,0))),0)</f>
        <v>0</v>
      </c>
      <c r="J111" s="38">
        <f t="shared" si="17"/>
        <v>1383.475064988568</v>
      </c>
      <c r="K111" s="18">
        <f t="shared" si="18"/>
        <v>1</v>
      </c>
      <c r="L111" s="38">
        <f t="shared" si="19"/>
        <v>1383.475064988568</v>
      </c>
      <c r="M111" s="23">
        <f t="shared" si="20"/>
        <v>-2.4333559358752042</v>
      </c>
      <c r="N111" s="23">
        <f t="shared" si="21"/>
        <v>0.35149264862514429</v>
      </c>
      <c r="O111" s="6"/>
      <c r="P111" s="18">
        <f t="shared" si="22"/>
        <v>-0.8553067229484923</v>
      </c>
    </row>
    <row r="112" spans="1:16" ht="15" customHeight="1" x14ac:dyDescent="0.3">
      <c r="A112" s="7" t="str">
        <f>Raw_Players!A74</f>
        <v>CHA</v>
      </c>
      <c r="B112" s="7" t="str">
        <f>Raw_Players!B74</f>
        <v>Grayson Allen</v>
      </c>
      <c r="C112" s="37">
        <f>Raw_Players!E74</f>
        <v>0.57474171747912728</v>
      </c>
      <c r="D112" s="31">
        <f>Raw_Players!F74</f>
        <v>1334.8984065881741</v>
      </c>
      <c r="E112" s="31">
        <f>Raw_Players!G74</f>
        <v>23.45173564822603</v>
      </c>
      <c r="F112" s="31">
        <f>Raw_Players!H74</f>
        <v>56.921092178913</v>
      </c>
      <c r="G112" s="31" t="str">
        <f>IFERROR(IF(INDEX(Overrides!$B$8:$B$47,MATCH(B112,Overrides!$A$8:$A$47,0))="","",INDEX(Overrides!$B$8:$B$47,MATCH(B112,Overrides!$A$8:$A$47,0))),"")</f>
        <v/>
      </c>
      <c r="H112" s="31" t="str">
        <f>IFERROR(IF(INDEX(Overrides!$C$8:$C$47,MATCH(B112,Overrides!$A$8:$A$47,0))="","",INDEX(Overrides!$C$8:$C$47,MATCH(B112,Overrides!$A$8:$A$47,0))),"")</f>
        <v/>
      </c>
      <c r="I112" s="36">
        <f>IFERROR(IF(INDEX(Overrides!$D$8:$D$47,MATCH(B112,Overrides!$A$8:$A$47,0))="",0,INDEX(Overrides!$D$8:$D$47,MATCH(B112,Overrides!$A$8:$A$47,0))),0)</f>
        <v>0</v>
      </c>
      <c r="J112" s="38">
        <f t="shared" si="17"/>
        <v>1334.8984065881741</v>
      </c>
      <c r="K112" s="18">
        <f t="shared" si="18"/>
        <v>1</v>
      </c>
      <c r="L112" s="38">
        <f t="shared" si="19"/>
        <v>1334.8984065881741</v>
      </c>
      <c r="M112" s="23">
        <f t="shared" si="20"/>
        <v>0.57474171747912728</v>
      </c>
      <c r="N112" s="23">
        <f t="shared" si="21"/>
        <v>0.33915101793398733</v>
      </c>
      <c r="O112" s="6"/>
      <c r="P112" s="18">
        <f t="shared" si="22"/>
        <v>0.19492423853217417</v>
      </c>
    </row>
    <row r="113" spans="1:16" ht="15" customHeight="1" x14ac:dyDescent="0.3">
      <c r="A113" s="7" t="str">
        <f>Raw_Players!A75</f>
        <v>CHA</v>
      </c>
      <c r="B113" s="7" t="str">
        <f>Raw_Players!B75</f>
        <v>Sion James</v>
      </c>
      <c r="C113" s="37">
        <f>Raw_Players!E75</f>
        <v>-1.319803756032385</v>
      </c>
      <c r="D113" s="31">
        <f>Raw_Players!F75</f>
        <v>1229.183647302398</v>
      </c>
      <c r="E113" s="31">
        <f>Raw_Players!G75</f>
        <v>18.022196638884878</v>
      </c>
      <c r="F113" s="31">
        <f>Raw_Players!H75</f>
        <v>68.203875028768607</v>
      </c>
      <c r="G113" s="31" t="str">
        <f>IFERROR(IF(INDEX(Overrides!$B$8:$B$47,MATCH(B113,Overrides!$A$8:$A$47,0))="","",INDEX(Overrides!$B$8:$B$47,MATCH(B113,Overrides!$A$8:$A$47,0))),"")</f>
        <v/>
      </c>
      <c r="H113" s="31" t="str">
        <f>IFERROR(IF(INDEX(Overrides!$C$8:$C$47,MATCH(B113,Overrides!$A$8:$A$47,0))="","",INDEX(Overrides!$C$8:$C$47,MATCH(B113,Overrides!$A$8:$A$47,0))),"")</f>
        <v/>
      </c>
      <c r="I113" s="36">
        <f>IFERROR(IF(INDEX(Overrides!$D$8:$D$47,MATCH(B113,Overrides!$A$8:$A$47,0))="",0,INDEX(Overrides!$D$8:$D$47,MATCH(B113,Overrides!$A$8:$A$47,0))),0)</f>
        <v>0</v>
      </c>
      <c r="J113" s="38">
        <f t="shared" si="17"/>
        <v>1229.183647302398</v>
      </c>
      <c r="K113" s="18">
        <f t="shared" si="18"/>
        <v>1</v>
      </c>
      <c r="L113" s="38">
        <f t="shared" si="19"/>
        <v>1229.183647302398</v>
      </c>
      <c r="M113" s="23">
        <f t="shared" si="20"/>
        <v>-1.319803756032385</v>
      </c>
      <c r="N113" s="23">
        <f t="shared" si="21"/>
        <v>0.31229259331869869</v>
      </c>
      <c r="O113" s="6"/>
      <c r="P113" s="18">
        <f t="shared" si="22"/>
        <v>-0.41216493764311263</v>
      </c>
    </row>
    <row r="114" spans="1:16" ht="15" customHeight="1" x14ac:dyDescent="0.3">
      <c r="A114" s="7" t="str">
        <f>Raw_Players!A76</f>
        <v>CHA</v>
      </c>
      <c r="B114" s="7" t="str">
        <f>Raw_Players!B76</f>
        <v>Moussa Diabate</v>
      </c>
      <c r="C114" s="37">
        <f>Raw_Players!E76</f>
        <v>1.4290370493403719</v>
      </c>
      <c r="D114" s="31">
        <f>Raw_Players!F76</f>
        <v>1198.642666687409</v>
      </c>
      <c r="E114" s="31">
        <f>Raw_Players!G76</f>
        <v>18.487927189140649</v>
      </c>
      <c r="F114" s="31">
        <f>Raw_Players!H76</f>
        <v>64.833805024473577</v>
      </c>
      <c r="G114" s="31" t="str">
        <f>IFERROR(IF(INDEX(Overrides!$B$8:$B$47,MATCH(B114,Overrides!$A$8:$A$47,0))="","",INDEX(Overrides!$B$8:$B$47,MATCH(B114,Overrides!$A$8:$A$47,0))),"")</f>
        <v/>
      </c>
      <c r="H114" s="31" t="str">
        <f>IFERROR(IF(INDEX(Overrides!$C$8:$C$47,MATCH(B114,Overrides!$A$8:$A$47,0))="","",INDEX(Overrides!$C$8:$C$47,MATCH(B114,Overrides!$A$8:$A$47,0))),"")</f>
        <v/>
      </c>
      <c r="I114" s="36">
        <f>IFERROR(IF(INDEX(Overrides!$D$8:$D$47,MATCH(B114,Overrides!$A$8:$A$47,0))="",0,INDEX(Overrides!$D$8:$D$47,MATCH(B114,Overrides!$A$8:$A$47,0))),0)</f>
        <v>0</v>
      </c>
      <c r="J114" s="38">
        <f t="shared" si="17"/>
        <v>1198.642666687409</v>
      </c>
      <c r="K114" s="18">
        <f t="shared" si="18"/>
        <v>1</v>
      </c>
      <c r="L114" s="38">
        <f t="shared" si="19"/>
        <v>1198.642666687409</v>
      </c>
      <c r="M114" s="23">
        <f t="shared" si="20"/>
        <v>1.4290370493403719</v>
      </c>
      <c r="N114" s="23">
        <f t="shared" si="21"/>
        <v>0.30453319783724825</v>
      </c>
      <c r="O114" s="6"/>
      <c r="P114" s="18">
        <f t="shared" si="22"/>
        <v>0.43518922246352898</v>
      </c>
    </row>
    <row r="115" spans="1:16" ht="15" customHeight="1" x14ac:dyDescent="0.3">
      <c r="A115" s="7" t="str">
        <f>Raw_Players!A77</f>
        <v>CHA</v>
      </c>
      <c r="B115" s="7" t="str">
        <f>Raw_Players!B77</f>
        <v>Ryan Kalkbrenner</v>
      </c>
      <c r="C115" s="37">
        <f>Raw_Players!E77</f>
        <v>1.183409668512982</v>
      </c>
      <c r="D115" s="31">
        <f>Raw_Players!F77</f>
        <v>1086.1562904524151</v>
      </c>
      <c r="E115" s="31">
        <f>Raw_Players!G77</f>
        <v>17.066744048909388</v>
      </c>
      <c r="F115" s="31">
        <f>Raw_Players!H77</f>
        <v>63.64168158494315</v>
      </c>
      <c r="G115" s="31" t="str">
        <f>IFERROR(IF(INDEX(Overrides!$B$8:$B$47,MATCH(B115,Overrides!$A$8:$A$47,0))="","",INDEX(Overrides!$B$8:$B$47,MATCH(B115,Overrides!$A$8:$A$47,0))),"")</f>
        <v/>
      </c>
      <c r="H115" s="31" t="str">
        <f>IFERROR(IF(INDEX(Overrides!$C$8:$C$47,MATCH(B115,Overrides!$A$8:$A$47,0))="","",INDEX(Overrides!$C$8:$C$47,MATCH(B115,Overrides!$A$8:$A$47,0))),"")</f>
        <v/>
      </c>
      <c r="I115" s="36">
        <f>IFERROR(IF(INDEX(Overrides!$D$8:$D$47,MATCH(B115,Overrides!$A$8:$A$47,0))="",0,INDEX(Overrides!$D$8:$D$47,MATCH(B115,Overrides!$A$8:$A$47,0))),0)</f>
        <v>0</v>
      </c>
      <c r="J115" s="38">
        <f t="shared" si="17"/>
        <v>1086.1562904524151</v>
      </c>
      <c r="K115" s="18">
        <f t="shared" si="18"/>
        <v>1</v>
      </c>
      <c r="L115" s="38">
        <f t="shared" si="19"/>
        <v>1086.1562904524151</v>
      </c>
      <c r="M115" s="23">
        <f t="shared" si="20"/>
        <v>1.183409668512982</v>
      </c>
      <c r="N115" s="23">
        <f t="shared" si="21"/>
        <v>0.27595434208648756</v>
      </c>
      <c r="O115" s="6"/>
      <c r="P115" s="18">
        <f t="shared" si="22"/>
        <v>0.32656703649328828</v>
      </c>
    </row>
    <row r="116" spans="1:16" ht="15" customHeight="1" x14ac:dyDescent="0.3">
      <c r="A116" s="7" t="str">
        <f>Raw_Players!A78</f>
        <v>CHA</v>
      </c>
      <c r="B116" s="7" t="str">
        <f>Raw_Players!B78</f>
        <v>Grant Williams</v>
      </c>
      <c r="C116" s="37">
        <f>Raw_Players!E78</f>
        <v>0.38324750839542188</v>
      </c>
      <c r="D116" s="31">
        <f>Raw_Players!F78</f>
        <v>988.26600295501044</v>
      </c>
      <c r="E116" s="31">
        <f>Raw_Players!G78</f>
        <v>19.801726298739752</v>
      </c>
      <c r="F116" s="31">
        <f>Raw_Players!H78</f>
        <v>49.908073066230962</v>
      </c>
      <c r="G116" s="31" t="str">
        <f>IFERROR(IF(INDEX(Overrides!$B$8:$B$47,MATCH(B116,Overrides!$A$8:$A$47,0))="","",INDEX(Overrides!$B$8:$B$47,MATCH(B116,Overrides!$A$8:$A$47,0))),"")</f>
        <v/>
      </c>
      <c r="H116" s="31" t="str">
        <f>IFERROR(IF(INDEX(Overrides!$C$8:$C$47,MATCH(B116,Overrides!$A$8:$A$47,0))="","",INDEX(Overrides!$C$8:$C$47,MATCH(B116,Overrides!$A$8:$A$47,0))),"")</f>
        <v/>
      </c>
      <c r="I116" s="36">
        <f>IFERROR(IF(INDEX(Overrides!$D$8:$D$47,MATCH(B116,Overrides!$A$8:$A$47,0))="",0,INDEX(Overrides!$D$8:$D$47,MATCH(B116,Overrides!$A$8:$A$47,0))),0)</f>
        <v>0</v>
      </c>
      <c r="J116" s="38">
        <f t="shared" si="17"/>
        <v>988.26600295501044</v>
      </c>
      <c r="K116" s="18">
        <f t="shared" si="18"/>
        <v>1</v>
      </c>
      <c r="L116" s="38">
        <f t="shared" si="19"/>
        <v>988.26600295501044</v>
      </c>
      <c r="M116" s="23">
        <f t="shared" si="20"/>
        <v>0.38324750839542188</v>
      </c>
      <c r="N116" s="23">
        <f t="shared" si="21"/>
        <v>0.25108384221417945</v>
      </c>
      <c r="O116" s="6"/>
      <c r="P116" s="18">
        <f t="shared" si="22"/>
        <v>9.6227256926933527E-2</v>
      </c>
    </row>
    <row r="117" spans="1:16" ht="15" customHeight="1" x14ac:dyDescent="0.3">
      <c r="A117" s="7" t="str">
        <f>Raw_Players!A79</f>
        <v>CHA</v>
      </c>
      <c r="B117" s="7" t="str">
        <f>Raw_Players!B79</f>
        <v>Hannes Steinbach</v>
      </c>
      <c r="C117" s="37">
        <f>Raw_Players!E79</f>
        <v>-1.788005977362622</v>
      </c>
      <c r="D117" s="31">
        <f>Raw_Players!F79</f>
        <v>852.63176554305676</v>
      </c>
      <c r="E117" s="31">
        <f>Raw_Players!G79</f>
        <v>16.96481357748733</v>
      </c>
      <c r="F117" s="31">
        <f>Raw_Players!H79</f>
        <v>50.258834949681827</v>
      </c>
      <c r="G117" s="31" t="str">
        <f>IFERROR(IF(INDEX(Overrides!$B$8:$B$47,MATCH(B117,Overrides!$A$8:$A$47,0))="","",INDEX(Overrides!$B$8:$B$47,MATCH(B117,Overrides!$A$8:$A$47,0))),"")</f>
        <v/>
      </c>
      <c r="H117" s="31" t="str">
        <f>IFERROR(IF(INDEX(Overrides!$C$8:$C$47,MATCH(B117,Overrides!$A$8:$A$47,0))="","",INDEX(Overrides!$C$8:$C$47,MATCH(B117,Overrides!$A$8:$A$47,0))),"")</f>
        <v/>
      </c>
      <c r="I117" s="36">
        <f>IFERROR(IF(INDEX(Overrides!$D$8:$D$47,MATCH(B117,Overrides!$A$8:$A$47,0))="",0,INDEX(Overrides!$D$8:$D$47,MATCH(B117,Overrides!$A$8:$A$47,0))),0)</f>
        <v>0</v>
      </c>
      <c r="J117" s="38">
        <f t="shared" si="17"/>
        <v>852.63176554305676</v>
      </c>
      <c r="K117" s="18">
        <f t="shared" si="18"/>
        <v>1</v>
      </c>
      <c r="L117" s="38">
        <f t="shared" si="19"/>
        <v>852.63176554305676</v>
      </c>
      <c r="M117" s="23">
        <f t="shared" si="20"/>
        <v>-1.788005977362622</v>
      </c>
      <c r="N117" s="23">
        <f t="shared" si="21"/>
        <v>0.21662392417252457</v>
      </c>
      <c r="O117" s="6"/>
      <c r="P117" s="18">
        <f t="shared" si="22"/>
        <v>-0.3873248712602213</v>
      </c>
    </row>
    <row r="118" spans="1:16" ht="15" customHeight="1" x14ac:dyDescent="0.3">
      <c r="A118" s="7" t="str">
        <f>Raw_Players!A80</f>
        <v>CHA</v>
      </c>
      <c r="B118" s="7" t="str">
        <f>Raw_Players!B80</f>
        <v>Tidjane Salaun</v>
      </c>
      <c r="C118" s="37">
        <f>Raw_Players!E80</f>
        <v>-1.745200790394132</v>
      </c>
      <c r="D118" s="31">
        <f>Raw_Players!F80</f>
        <v>819.64388878216778</v>
      </c>
      <c r="E118" s="31">
        <f>Raw_Players!G80</f>
        <v>14.93596936180529</v>
      </c>
      <c r="F118" s="31">
        <f>Raw_Players!H80</f>
        <v>54.877180645414683</v>
      </c>
      <c r="G118" s="31" t="str">
        <f>IFERROR(IF(INDEX(Overrides!$B$8:$B$47,MATCH(B118,Overrides!$A$8:$A$47,0))="","",INDEX(Overrides!$B$8:$B$47,MATCH(B118,Overrides!$A$8:$A$47,0))),"")</f>
        <v/>
      </c>
      <c r="H118" s="31" t="str">
        <f>IFERROR(IF(INDEX(Overrides!$C$8:$C$47,MATCH(B118,Overrides!$A$8:$A$47,0))="","",INDEX(Overrides!$C$8:$C$47,MATCH(B118,Overrides!$A$8:$A$47,0))),"")</f>
        <v/>
      </c>
      <c r="I118" s="36">
        <f>IFERROR(IF(INDEX(Overrides!$D$8:$D$47,MATCH(B118,Overrides!$A$8:$A$47,0))="",0,INDEX(Overrides!$D$8:$D$47,MATCH(B118,Overrides!$A$8:$A$47,0))),0)</f>
        <v>0</v>
      </c>
      <c r="J118" s="38">
        <f t="shared" si="17"/>
        <v>819.64388878216778</v>
      </c>
      <c r="K118" s="18">
        <f t="shared" si="18"/>
        <v>1</v>
      </c>
      <c r="L118" s="38">
        <f t="shared" si="19"/>
        <v>819.64388878216778</v>
      </c>
      <c r="M118" s="23">
        <f t="shared" si="20"/>
        <v>-1.745200790394132</v>
      </c>
      <c r="N118" s="23">
        <f t="shared" si="21"/>
        <v>0.20824285792229871</v>
      </c>
      <c r="O118" s="6"/>
      <c r="P118" s="18">
        <f t="shared" si="22"/>
        <v>-0.36342560023992865</v>
      </c>
    </row>
    <row r="119" spans="1:16" ht="15" customHeight="1" x14ac:dyDescent="0.3">
      <c r="A119" s="7" t="str">
        <f>Raw_Players!A81</f>
        <v>CHA</v>
      </c>
      <c r="B119" s="7" t="str">
        <f>Raw_Players!B81</f>
        <v>Christian Anderson</v>
      </c>
      <c r="C119" s="37">
        <f>Raw_Players!E81</f>
        <v>-2.5676003732653059</v>
      </c>
      <c r="D119" s="31">
        <f>Raw_Players!F81</f>
        <v>747.80543358279238</v>
      </c>
      <c r="E119" s="31">
        <f>Raw_Players!G81</f>
        <v>15.959181770623291</v>
      </c>
      <c r="F119" s="31">
        <f>Raw_Players!H81</f>
        <v>46.857379302446937</v>
      </c>
      <c r="G119" s="31" t="str">
        <f>IFERROR(IF(INDEX(Overrides!$B$8:$B$47,MATCH(B119,Overrides!$A$8:$A$47,0))="","",INDEX(Overrides!$B$8:$B$47,MATCH(B119,Overrides!$A$8:$A$47,0))),"")</f>
        <v/>
      </c>
      <c r="H119" s="31" t="str">
        <f>IFERROR(IF(INDEX(Overrides!$C$8:$C$47,MATCH(B119,Overrides!$A$8:$A$47,0))="","",INDEX(Overrides!$C$8:$C$47,MATCH(B119,Overrides!$A$8:$A$47,0))),"")</f>
        <v/>
      </c>
      <c r="I119" s="36">
        <f>IFERROR(IF(INDEX(Overrides!$D$8:$D$47,MATCH(B119,Overrides!$A$8:$A$47,0))="",0,INDEX(Overrides!$D$8:$D$47,MATCH(B119,Overrides!$A$8:$A$47,0))),0)</f>
        <v>0</v>
      </c>
      <c r="J119" s="38">
        <f t="shared" si="17"/>
        <v>747.80543358279238</v>
      </c>
      <c r="K119" s="18">
        <f t="shared" si="18"/>
        <v>1</v>
      </c>
      <c r="L119" s="38">
        <f t="shared" si="19"/>
        <v>747.80543358279238</v>
      </c>
      <c r="M119" s="23">
        <f t="shared" si="20"/>
        <v>-2.5676003732653059</v>
      </c>
      <c r="N119" s="23">
        <f t="shared" si="21"/>
        <v>0.18999121788180701</v>
      </c>
      <c r="O119" s="6"/>
      <c r="P119" s="18">
        <f t="shared" si="22"/>
        <v>-0.48782152195045775</v>
      </c>
    </row>
    <row r="120" spans="1:16" ht="15" customHeight="1" x14ac:dyDescent="0.3">
      <c r="A120" s="7" t="str">
        <f>Raw_Players!A82</f>
        <v>CHA</v>
      </c>
      <c r="B120" s="7" t="str">
        <f>Raw_Players!B82</f>
        <v>Pat Connaughton</v>
      </c>
      <c r="C120" s="37">
        <f>Raw_Players!E82</f>
        <v>-2.1652561357282738</v>
      </c>
      <c r="D120" s="31">
        <f>Raw_Players!F82</f>
        <v>593.98058275331334</v>
      </c>
      <c r="E120" s="31">
        <f>Raw_Players!G82</f>
        <v>11.501188082254791</v>
      </c>
      <c r="F120" s="31">
        <f>Raw_Players!H82</f>
        <v>51.645149918882488</v>
      </c>
      <c r="G120" s="31" t="str">
        <f>IFERROR(IF(INDEX(Overrides!$B$8:$B$47,MATCH(B120,Overrides!$A$8:$A$47,0))="","",INDEX(Overrides!$B$8:$B$47,MATCH(B120,Overrides!$A$8:$A$47,0))),"")</f>
        <v/>
      </c>
      <c r="H120" s="31" t="str">
        <f>IFERROR(IF(INDEX(Overrides!$C$8:$C$47,MATCH(B120,Overrides!$A$8:$A$47,0))="","",INDEX(Overrides!$C$8:$C$47,MATCH(B120,Overrides!$A$8:$A$47,0))),"")</f>
        <v/>
      </c>
      <c r="I120" s="36">
        <f>IFERROR(IF(INDEX(Overrides!$D$8:$D$47,MATCH(B120,Overrides!$A$8:$A$47,0))="",0,INDEX(Overrides!$D$8:$D$47,MATCH(B120,Overrides!$A$8:$A$47,0))),0)</f>
        <v>0</v>
      </c>
      <c r="J120" s="38">
        <f t="shared" si="17"/>
        <v>593.98058275331334</v>
      </c>
      <c r="K120" s="18">
        <f t="shared" si="18"/>
        <v>1</v>
      </c>
      <c r="L120" s="38">
        <f t="shared" si="19"/>
        <v>593.98058275331334</v>
      </c>
      <c r="M120" s="23">
        <f t="shared" si="20"/>
        <v>-2.1652561357282738</v>
      </c>
      <c r="N120" s="23">
        <f t="shared" si="21"/>
        <v>0.1509097009027727</v>
      </c>
      <c r="O120" s="6"/>
      <c r="P120" s="18">
        <f t="shared" si="22"/>
        <v>-0.32675815582064721</v>
      </c>
    </row>
    <row r="121" spans="1:16" ht="15" customHeight="1" x14ac:dyDescent="0.3">
      <c r="A121" s="7" t="str">
        <f>Raw_Players!A83</f>
        <v>CHA</v>
      </c>
      <c r="B121" s="7" t="str">
        <f>Raw_Players!B83</f>
        <v>Liam McNeeley</v>
      </c>
      <c r="C121" s="37">
        <f>Raw_Players!E83</f>
        <v>-1.0763379681384231</v>
      </c>
      <c r="D121" s="31">
        <f>Raw_Players!F83</f>
        <v>521.54792960074917</v>
      </c>
      <c r="E121" s="31">
        <f>Raw_Players!G83</f>
        <v>10.29452475377253</v>
      </c>
      <c r="F121" s="31">
        <f>Raw_Players!H83</f>
        <v>50.662652436638481</v>
      </c>
      <c r="G121" s="31" t="str">
        <f>IFERROR(IF(INDEX(Overrides!$B$8:$B$47,MATCH(B121,Overrides!$A$8:$A$47,0))="","",INDEX(Overrides!$B$8:$B$47,MATCH(B121,Overrides!$A$8:$A$47,0))),"")</f>
        <v/>
      </c>
      <c r="H121" s="31" t="str">
        <f>IFERROR(IF(INDEX(Overrides!$C$8:$C$47,MATCH(B121,Overrides!$A$8:$A$47,0))="","",INDEX(Overrides!$C$8:$C$47,MATCH(B121,Overrides!$A$8:$A$47,0))),"")</f>
        <v/>
      </c>
      <c r="I121" s="36">
        <f>IFERROR(IF(INDEX(Overrides!$D$8:$D$47,MATCH(B121,Overrides!$A$8:$A$47,0))="",0,INDEX(Overrides!$D$8:$D$47,MATCH(B121,Overrides!$A$8:$A$47,0))),0)</f>
        <v>0</v>
      </c>
      <c r="J121" s="38">
        <f t="shared" si="17"/>
        <v>521.54792960074917</v>
      </c>
      <c r="K121" s="18">
        <f t="shared" si="18"/>
        <v>1</v>
      </c>
      <c r="L121" s="38">
        <f t="shared" si="19"/>
        <v>521.54792960074917</v>
      </c>
      <c r="M121" s="23">
        <f t="shared" si="20"/>
        <v>-1.0763379681384231</v>
      </c>
      <c r="N121" s="23">
        <f t="shared" si="21"/>
        <v>0.1325070959351497</v>
      </c>
      <c r="O121" s="6"/>
      <c r="P121" s="18">
        <f t="shared" si="22"/>
        <v>-0.14262241840276213</v>
      </c>
    </row>
    <row r="122" spans="1:16" ht="15" customHeight="1" x14ac:dyDescent="0.3">
      <c r="A122" s="7" t="str">
        <f>Raw_Players!A84</f>
        <v>CHA</v>
      </c>
      <c r="B122" s="7" t="str">
        <f>Raw_Players!B84</f>
        <v>PJ Hall</v>
      </c>
      <c r="C122" s="37">
        <f>Raw_Players!E84</f>
        <v>-1.721157994512619</v>
      </c>
      <c r="D122" s="31">
        <f>Raw_Players!F84</f>
        <v>376.0526715325214</v>
      </c>
      <c r="E122" s="31">
        <f>Raw_Players!G84</f>
        <v>8.1033406183978673</v>
      </c>
      <c r="F122" s="31">
        <f>Raw_Players!H84</f>
        <v>46.407116427850681</v>
      </c>
      <c r="G122" s="31" t="str">
        <f>IFERROR(IF(INDEX(Overrides!$B$8:$B$47,MATCH(B122,Overrides!$A$8:$A$47,0))="","",INDEX(Overrides!$B$8:$B$47,MATCH(B122,Overrides!$A$8:$A$47,0))),"")</f>
        <v/>
      </c>
      <c r="H122" s="31" t="str">
        <f>IFERROR(IF(INDEX(Overrides!$C$8:$C$47,MATCH(B122,Overrides!$A$8:$A$47,0))="","",INDEX(Overrides!$C$8:$C$47,MATCH(B122,Overrides!$A$8:$A$47,0))),"")</f>
        <v/>
      </c>
      <c r="I122" s="36">
        <f>IFERROR(IF(INDEX(Overrides!$D$8:$D$47,MATCH(B122,Overrides!$A$8:$A$47,0))="",0,INDEX(Overrides!$D$8:$D$47,MATCH(B122,Overrides!$A$8:$A$47,0))),0)</f>
        <v>0</v>
      </c>
      <c r="J122" s="38">
        <f t="shared" si="17"/>
        <v>376.0526715325214</v>
      </c>
      <c r="K122" s="18">
        <f t="shared" si="18"/>
        <v>1</v>
      </c>
      <c r="L122" s="38">
        <f t="shared" si="19"/>
        <v>376.0526715325214</v>
      </c>
      <c r="M122" s="23">
        <f t="shared" si="20"/>
        <v>-1.721157994512619</v>
      </c>
      <c r="N122" s="23">
        <f t="shared" si="21"/>
        <v>9.5541837279604011E-2</v>
      </c>
      <c r="O122" s="6"/>
      <c r="P122" s="18">
        <f t="shared" si="22"/>
        <v>-0.16444259704421421</v>
      </c>
    </row>
    <row r="123" spans="1:16" ht="15" customHeight="1" x14ac:dyDescent="0.3">
      <c r="A123" s="7" t="str">
        <f>Raw_Players!A85</f>
        <v>CHA</v>
      </c>
      <c r="B123" s="7" t="str">
        <f>Raw_Players!B85</f>
        <v>Kylan Boswell</v>
      </c>
      <c r="C123" s="37">
        <f>Raw_Players!E85</f>
        <v>-3.1867960702466678</v>
      </c>
      <c r="D123" s="31">
        <f>Raw_Players!F85</f>
        <v>336.00745444062733</v>
      </c>
      <c r="E123" s="31">
        <f>Raw_Players!G85</f>
        <v>11.075356568812939</v>
      </c>
      <c r="F123" s="31">
        <f>Raw_Players!H85</f>
        <v>30.338296772023529</v>
      </c>
      <c r="G123" s="31" t="str">
        <f>IFERROR(IF(INDEX(Overrides!$B$8:$B$47,MATCH(B123,Overrides!$A$8:$A$47,0))="","",INDEX(Overrides!$B$8:$B$47,MATCH(B123,Overrides!$A$8:$A$47,0))),"")</f>
        <v/>
      </c>
      <c r="H123" s="31" t="str">
        <f>IFERROR(IF(INDEX(Overrides!$C$8:$C$47,MATCH(B123,Overrides!$A$8:$A$47,0))="","",INDEX(Overrides!$C$8:$C$47,MATCH(B123,Overrides!$A$8:$A$47,0))),"")</f>
        <v/>
      </c>
      <c r="I123" s="36">
        <f>IFERROR(IF(INDEX(Overrides!$D$8:$D$47,MATCH(B123,Overrides!$A$8:$A$47,0))="",0,INDEX(Overrides!$D$8:$D$47,MATCH(B123,Overrides!$A$8:$A$47,0))),0)</f>
        <v>0</v>
      </c>
      <c r="J123" s="38">
        <f t="shared" si="17"/>
        <v>336.00745444062733</v>
      </c>
      <c r="K123" s="18">
        <f t="shared" si="18"/>
        <v>1</v>
      </c>
      <c r="L123" s="38">
        <f t="shared" si="19"/>
        <v>336.00745444062733</v>
      </c>
      <c r="M123" s="23">
        <f t="shared" si="20"/>
        <v>-3.1867960702466678</v>
      </c>
      <c r="N123" s="23">
        <f t="shared" si="21"/>
        <v>8.53677475712976E-2</v>
      </c>
      <c r="O123" s="6"/>
      <c r="P123" s="18">
        <f t="shared" si="22"/>
        <v>-0.27204960248602073</v>
      </c>
    </row>
    <row r="124" spans="1:16" ht="15" customHeight="1" x14ac:dyDescent="0.3">
      <c r="A124" s="7" t="str">
        <f>Raw_Players!A86</f>
        <v>CHA</v>
      </c>
      <c r="B124" s="7" t="str">
        <f>Raw_Players!B86</f>
        <v>Wyatt Fricks</v>
      </c>
      <c r="C124" s="37">
        <f>Raw_Players!E86</f>
        <v>-3.1867960702466678</v>
      </c>
      <c r="D124" s="31">
        <f>Raw_Players!F86</f>
        <v>336.00745444062733</v>
      </c>
      <c r="E124" s="31">
        <f>Raw_Players!G86</f>
        <v>11.075356568812939</v>
      </c>
      <c r="F124" s="31">
        <f>Raw_Players!H86</f>
        <v>30.338296772023529</v>
      </c>
      <c r="G124" s="31" t="str">
        <f>IFERROR(IF(INDEX(Overrides!$B$8:$B$47,MATCH(B124,Overrides!$A$8:$A$47,0))="","",INDEX(Overrides!$B$8:$B$47,MATCH(B124,Overrides!$A$8:$A$47,0))),"")</f>
        <v/>
      </c>
      <c r="H124" s="31" t="str">
        <f>IFERROR(IF(INDEX(Overrides!$C$8:$C$47,MATCH(B124,Overrides!$A$8:$A$47,0))="","",INDEX(Overrides!$C$8:$C$47,MATCH(B124,Overrides!$A$8:$A$47,0))),"")</f>
        <v/>
      </c>
      <c r="I124" s="36">
        <f>IFERROR(IF(INDEX(Overrides!$D$8:$D$47,MATCH(B124,Overrides!$A$8:$A$47,0))="",0,INDEX(Overrides!$D$8:$D$47,MATCH(B124,Overrides!$A$8:$A$47,0))),0)</f>
        <v>0</v>
      </c>
      <c r="J124" s="38">
        <f t="shared" si="17"/>
        <v>336.00745444062733</v>
      </c>
      <c r="K124" s="18">
        <f t="shared" si="18"/>
        <v>1</v>
      </c>
      <c r="L124" s="38">
        <f t="shared" si="19"/>
        <v>336.00745444062733</v>
      </c>
      <c r="M124" s="23">
        <f t="shared" si="20"/>
        <v>-3.1867960702466678</v>
      </c>
      <c r="N124" s="23">
        <f t="shared" si="21"/>
        <v>8.53677475712976E-2</v>
      </c>
      <c r="O124" s="6"/>
      <c r="P124" s="18">
        <f t="shared" si="22"/>
        <v>-0.27204960248602073</v>
      </c>
    </row>
    <row r="125" spans="1:16" ht="15" customHeight="1" x14ac:dyDescent="0.3">
      <c r="A125" s="7" t="str">
        <f>Raw_Players!A87</f>
        <v>CHA</v>
      </c>
      <c r="B125" s="7" t="str">
        <f>Raw_Players!B87</f>
        <v>Jarkel Joiner</v>
      </c>
      <c r="C125" s="37">
        <f>Raw_Players!E87</f>
        <v>-3.1867960702466678</v>
      </c>
      <c r="D125" s="31">
        <f>Raw_Players!F87</f>
        <v>336.00745444062733</v>
      </c>
      <c r="E125" s="31">
        <f>Raw_Players!G87</f>
        <v>11.075356568812939</v>
      </c>
      <c r="F125" s="31">
        <f>Raw_Players!H87</f>
        <v>30.338296772023529</v>
      </c>
      <c r="G125" s="31" t="str">
        <f>IFERROR(IF(INDEX(Overrides!$B$8:$B$47,MATCH(B125,Overrides!$A$8:$A$47,0))="","",INDEX(Overrides!$B$8:$B$47,MATCH(B125,Overrides!$A$8:$A$47,0))),"")</f>
        <v/>
      </c>
      <c r="H125" s="31" t="str">
        <f>IFERROR(IF(INDEX(Overrides!$C$8:$C$47,MATCH(B125,Overrides!$A$8:$A$47,0))="","",INDEX(Overrides!$C$8:$C$47,MATCH(B125,Overrides!$A$8:$A$47,0))),"")</f>
        <v/>
      </c>
      <c r="I125" s="36">
        <f>IFERROR(IF(INDEX(Overrides!$D$8:$D$47,MATCH(B125,Overrides!$A$8:$A$47,0))="",0,INDEX(Overrides!$D$8:$D$47,MATCH(B125,Overrides!$A$8:$A$47,0))),0)</f>
        <v>0</v>
      </c>
      <c r="J125" s="38">
        <f t="shared" si="17"/>
        <v>336.00745444062733</v>
      </c>
      <c r="K125" s="18">
        <f t="shared" si="18"/>
        <v>1</v>
      </c>
      <c r="L125" s="38">
        <f t="shared" si="19"/>
        <v>336.00745444062733</v>
      </c>
      <c r="M125" s="23">
        <f t="shared" si="20"/>
        <v>-3.1867960702466678</v>
      </c>
      <c r="N125" s="23">
        <f t="shared" si="21"/>
        <v>8.53677475712976E-2</v>
      </c>
      <c r="O125" s="6"/>
      <c r="P125" s="18">
        <f t="shared" si="22"/>
        <v>-0.27204960248602073</v>
      </c>
    </row>
    <row r="126" spans="1:16" ht="15" customHeight="1" x14ac:dyDescent="0.3">
      <c r="A126" s="7" t="str">
        <f>Raw_Players!A88</f>
        <v>CHI</v>
      </c>
      <c r="B126" s="7" t="str">
        <f>Raw_Players!B88</f>
        <v>Nic Claxton</v>
      </c>
      <c r="C126" s="37">
        <f>Raw_Players!E88</f>
        <v>-0.67187244868913798</v>
      </c>
      <c r="D126" s="31">
        <f>Raw_Players!F88</f>
        <v>1622.8553093029541</v>
      </c>
      <c r="E126" s="31">
        <f>Raw_Players!G88</f>
        <v>24.679834437382532</v>
      </c>
      <c r="F126" s="31">
        <f>Raw_Players!H88</f>
        <v>65.756328853033793</v>
      </c>
      <c r="G126" s="31" t="str">
        <f>IFERROR(IF(INDEX(Overrides!$B$8:$B$47,MATCH(B126,Overrides!$A$8:$A$47,0))="","",INDEX(Overrides!$B$8:$B$47,MATCH(B126,Overrides!$A$8:$A$47,0))),"")</f>
        <v/>
      </c>
      <c r="H126" s="31" t="str">
        <f>IFERROR(IF(INDEX(Overrides!$C$8:$C$47,MATCH(B126,Overrides!$A$8:$A$47,0))="","",INDEX(Overrides!$C$8:$C$47,MATCH(B126,Overrides!$A$8:$A$47,0))),"")</f>
        <v/>
      </c>
      <c r="I126" s="36">
        <f>IFERROR(IF(INDEX(Overrides!$D$8:$D$47,MATCH(B126,Overrides!$A$8:$A$47,0))="",0,INDEX(Overrides!$D$8:$D$47,MATCH(B126,Overrides!$A$8:$A$47,0))),0)</f>
        <v>0</v>
      </c>
      <c r="J126" s="38">
        <f t="shared" si="17"/>
        <v>1622.8553093029541</v>
      </c>
      <c r="K126" s="18">
        <f t="shared" si="18"/>
        <v>1.0000000000000002</v>
      </c>
      <c r="L126" s="38">
        <f t="shared" si="19"/>
        <v>1622.8553093029545</v>
      </c>
      <c r="M126" s="23">
        <f t="shared" si="20"/>
        <v>-0.67187244868913798</v>
      </c>
      <c r="N126" s="23">
        <f t="shared" si="21"/>
        <v>0.41231080012778315</v>
      </c>
      <c r="O126" s="6"/>
      <c r="P126" s="18">
        <f t="shared" si="22"/>
        <v>-0.27702026690283144</v>
      </c>
    </row>
    <row r="127" spans="1:16" ht="15" customHeight="1" x14ac:dyDescent="0.3">
      <c r="A127" s="7" t="str">
        <f>Raw_Players!A89</f>
        <v>CHI</v>
      </c>
      <c r="B127" s="7" t="str">
        <f>Raw_Players!B89</f>
        <v>Josh Giddey</v>
      </c>
      <c r="C127" s="37">
        <f>Raw_Players!E89</f>
        <v>1.578169725693102</v>
      </c>
      <c r="D127" s="31">
        <f>Raw_Players!F89</f>
        <v>1534.592283614106</v>
      </c>
      <c r="E127" s="31">
        <f>Raw_Players!G89</f>
        <v>25.591702755494541</v>
      </c>
      <c r="F127" s="31">
        <f>Raw_Players!H89</f>
        <v>59.964446222111143</v>
      </c>
      <c r="G127" s="31" t="str">
        <f>IFERROR(IF(INDEX(Overrides!$B$8:$B$47,MATCH(B127,Overrides!$A$8:$A$47,0))="","",INDEX(Overrides!$B$8:$B$47,MATCH(B127,Overrides!$A$8:$A$47,0))),"")</f>
        <v/>
      </c>
      <c r="H127" s="31" t="str">
        <f>IFERROR(IF(INDEX(Overrides!$C$8:$C$47,MATCH(B127,Overrides!$A$8:$A$47,0))="","",INDEX(Overrides!$C$8:$C$47,MATCH(B127,Overrides!$A$8:$A$47,0))),"")</f>
        <v/>
      </c>
      <c r="I127" s="36">
        <f>IFERROR(IF(INDEX(Overrides!$D$8:$D$47,MATCH(B127,Overrides!$A$8:$A$47,0))="",0,INDEX(Overrides!$D$8:$D$47,MATCH(B127,Overrides!$A$8:$A$47,0))),0)</f>
        <v>0</v>
      </c>
      <c r="J127" s="38">
        <f t="shared" si="17"/>
        <v>1534.592283614106</v>
      </c>
      <c r="K127" s="18">
        <f t="shared" si="18"/>
        <v>1.0000000000000002</v>
      </c>
      <c r="L127" s="38">
        <f t="shared" si="19"/>
        <v>1534.5922836141062</v>
      </c>
      <c r="M127" s="23">
        <f t="shared" si="20"/>
        <v>1.578169725693102</v>
      </c>
      <c r="N127" s="23">
        <f t="shared" si="21"/>
        <v>0.38988625091821805</v>
      </c>
      <c r="O127" s="6"/>
      <c r="P127" s="18">
        <f t="shared" si="22"/>
        <v>0.61530667766311609</v>
      </c>
    </row>
    <row r="128" spans="1:16" ht="15" customHeight="1" x14ac:dyDescent="0.3">
      <c r="A128" s="7" t="str">
        <f>Raw_Players!A90</f>
        <v>CHI</v>
      </c>
      <c r="B128" s="7" t="str">
        <f>Raw_Players!B90</f>
        <v>Caleb Wilson</v>
      </c>
      <c r="C128" s="37">
        <f>Raw_Players!E90</f>
        <v>-0.38198568613208689</v>
      </c>
      <c r="D128" s="31">
        <f>Raw_Players!F90</f>
        <v>1528.2468602317649</v>
      </c>
      <c r="E128" s="31">
        <f>Raw_Players!G90</f>
        <v>22.73684334382277</v>
      </c>
      <c r="F128" s="31">
        <f>Raw_Players!H90</f>
        <v>67.214557320990878</v>
      </c>
      <c r="G128" s="31" t="str">
        <f>IFERROR(IF(INDEX(Overrides!$B$8:$B$47,MATCH(B128,Overrides!$A$8:$A$47,0))="","",INDEX(Overrides!$B$8:$B$47,MATCH(B128,Overrides!$A$8:$A$47,0))),"")</f>
        <v/>
      </c>
      <c r="H128" s="31" t="str">
        <f>IFERROR(IF(INDEX(Overrides!$C$8:$C$47,MATCH(B128,Overrides!$A$8:$A$47,0))="","",INDEX(Overrides!$C$8:$C$47,MATCH(B128,Overrides!$A$8:$A$47,0))),"")</f>
        <v/>
      </c>
      <c r="I128" s="36">
        <f>IFERROR(IF(INDEX(Overrides!$D$8:$D$47,MATCH(B128,Overrides!$A$8:$A$47,0))="",0,INDEX(Overrides!$D$8:$D$47,MATCH(B128,Overrides!$A$8:$A$47,0))),0)</f>
        <v>0</v>
      </c>
      <c r="J128" s="38">
        <f t="shared" si="17"/>
        <v>1528.2468602317649</v>
      </c>
      <c r="K128" s="18">
        <f t="shared" si="18"/>
        <v>1.0000000000000002</v>
      </c>
      <c r="L128" s="38">
        <f t="shared" si="19"/>
        <v>1528.2468602317651</v>
      </c>
      <c r="M128" s="23">
        <f t="shared" si="20"/>
        <v>-0.38198568613208689</v>
      </c>
      <c r="N128" s="23">
        <f t="shared" si="21"/>
        <v>0.38827410066863954</v>
      </c>
      <c r="O128" s="6"/>
      <c r="P128" s="18">
        <f t="shared" si="22"/>
        <v>-0.14831514875122925</v>
      </c>
    </row>
    <row r="129" spans="1:16" ht="15" customHeight="1" x14ac:dyDescent="0.3">
      <c r="A129" s="7" t="str">
        <f>Raw_Players!A91</f>
        <v>CHI</v>
      </c>
      <c r="B129" s="7" t="str">
        <f>Raw_Players!B91</f>
        <v>Norman Powell</v>
      </c>
      <c r="C129" s="37">
        <f>Raw_Players!E91</f>
        <v>0.56657576419090638</v>
      </c>
      <c r="D129" s="31">
        <f>Raw_Players!F91</f>
        <v>1461.3797731435361</v>
      </c>
      <c r="E129" s="31">
        <f>Raw_Players!G91</f>
        <v>25.44177160184487</v>
      </c>
      <c r="F129" s="31">
        <f>Raw_Players!H91</f>
        <v>57.440173428707539</v>
      </c>
      <c r="G129" s="31" t="str">
        <f>IFERROR(IF(INDEX(Overrides!$B$8:$B$47,MATCH(B129,Overrides!$A$8:$A$47,0))="","",INDEX(Overrides!$B$8:$B$47,MATCH(B129,Overrides!$A$8:$A$47,0))),"")</f>
        <v/>
      </c>
      <c r="H129" s="31" t="str">
        <f>IFERROR(IF(INDEX(Overrides!$C$8:$C$47,MATCH(B129,Overrides!$A$8:$A$47,0))="","",INDEX(Overrides!$C$8:$C$47,MATCH(B129,Overrides!$A$8:$A$47,0))),"")</f>
        <v/>
      </c>
      <c r="I129" s="36">
        <f>IFERROR(IF(INDEX(Overrides!$D$8:$D$47,MATCH(B129,Overrides!$A$8:$A$47,0))="",0,INDEX(Overrides!$D$8:$D$47,MATCH(B129,Overrides!$A$8:$A$47,0))),0)</f>
        <v>0</v>
      </c>
      <c r="J129" s="38">
        <f t="shared" si="17"/>
        <v>1461.3797731435361</v>
      </c>
      <c r="K129" s="18">
        <f t="shared" si="18"/>
        <v>1.0000000000000002</v>
      </c>
      <c r="L129" s="38">
        <f t="shared" si="19"/>
        <v>1461.3797731435363</v>
      </c>
      <c r="M129" s="23">
        <f t="shared" si="20"/>
        <v>0.56657576419090638</v>
      </c>
      <c r="N129" s="23">
        <f t="shared" si="21"/>
        <v>0.37128551146939437</v>
      </c>
      <c r="O129" s="6"/>
      <c r="P129" s="18">
        <f t="shared" si="22"/>
        <v>0.21036137239378366</v>
      </c>
    </row>
    <row r="130" spans="1:16" ht="15" customHeight="1" x14ac:dyDescent="0.3">
      <c r="A130" s="7" t="str">
        <f>Raw_Players!A92</f>
        <v>CHI</v>
      </c>
      <c r="B130" s="7" t="str">
        <f>Raw_Players!B92</f>
        <v>Matas Buzelis</v>
      </c>
      <c r="C130" s="37">
        <f>Raw_Players!E92</f>
        <v>-0.85347772169757063</v>
      </c>
      <c r="D130" s="31">
        <f>Raw_Players!F92</f>
        <v>1438.1641862729291</v>
      </c>
      <c r="E130" s="31">
        <f>Raw_Players!G92</f>
        <v>21.52936274418542</v>
      </c>
      <c r="F130" s="31">
        <f>Raw_Players!H92</f>
        <v>66.800127962976688</v>
      </c>
      <c r="G130" s="31" t="str">
        <f>IFERROR(IF(INDEX(Overrides!$B$8:$B$47,MATCH(B130,Overrides!$A$8:$A$47,0))="","",INDEX(Overrides!$B$8:$B$47,MATCH(B130,Overrides!$A$8:$A$47,0))),"")</f>
        <v/>
      </c>
      <c r="H130" s="31" t="str">
        <f>IFERROR(IF(INDEX(Overrides!$C$8:$C$47,MATCH(B130,Overrides!$A$8:$A$47,0))="","",INDEX(Overrides!$C$8:$C$47,MATCH(B130,Overrides!$A$8:$A$47,0))),"")</f>
        <v/>
      </c>
      <c r="I130" s="36">
        <f>IFERROR(IF(INDEX(Overrides!$D$8:$D$47,MATCH(B130,Overrides!$A$8:$A$47,0))="",0,INDEX(Overrides!$D$8:$D$47,MATCH(B130,Overrides!$A$8:$A$47,0))),0)</f>
        <v>0</v>
      </c>
      <c r="J130" s="38">
        <f t="shared" si="17"/>
        <v>1438.1641862729291</v>
      </c>
      <c r="K130" s="18">
        <f t="shared" si="18"/>
        <v>1.0000000000000002</v>
      </c>
      <c r="L130" s="38">
        <f t="shared" si="19"/>
        <v>1438.1641862729293</v>
      </c>
      <c r="M130" s="23">
        <f t="shared" si="20"/>
        <v>-0.85347772169757063</v>
      </c>
      <c r="N130" s="23">
        <f t="shared" si="21"/>
        <v>0.36538724244739057</v>
      </c>
      <c r="O130" s="6"/>
      <c r="P130" s="18">
        <f t="shared" si="22"/>
        <v>-0.31184987122135677</v>
      </c>
    </row>
    <row r="131" spans="1:16" ht="15" customHeight="1" x14ac:dyDescent="0.3">
      <c r="A131" s="7" t="str">
        <f>Raw_Players!A93</f>
        <v>CHI</v>
      </c>
      <c r="B131" s="7" t="str">
        <f>Raw_Players!B93</f>
        <v>Tre Jones</v>
      </c>
      <c r="C131" s="37">
        <f>Raw_Players!E93</f>
        <v>0.3630603816063</v>
      </c>
      <c r="D131" s="31">
        <f>Raw_Players!F93</f>
        <v>1317.2977695103759</v>
      </c>
      <c r="E131" s="31">
        <f>Raw_Players!G93</f>
        <v>21.880922384396332</v>
      </c>
      <c r="F131" s="31">
        <f>Raw_Players!H93</f>
        <v>60.203027384703113</v>
      </c>
      <c r="G131" s="31" t="str">
        <f>IFERROR(IF(INDEX(Overrides!$B$8:$B$47,MATCH(B131,Overrides!$A$8:$A$47,0))="","",INDEX(Overrides!$B$8:$B$47,MATCH(B131,Overrides!$A$8:$A$47,0))),"")</f>
        <v/>
      </c>
      <c r="H131" s="31" t="str">
        <f>IFERROR(IF(INDEX(Overrides!$C$8:$C$47,MATCH(B131,Overrides!$A$8:$A$47,0))="","",INDEX(Overrides!$C$8:$C$47,MATCH(B131,Overrides!$A$8:$A$47,0))),"")</f>
        <v/>
      </c>
      <c r="I131" s="36">
        <f>IFERROR(IF(INDEX(Overrides!$D$8:$D$47,MATCH(B131,Overrides!$A$8:$A$47,0))="",0,INDEX(Overrides!$D$8:$D$47,MATCH(B131,Overrides!$A$8:$A$47,0))),0)</f>
        <v>0</v>
      </c>
      <c r="J131" s="38">
        <f t="shared" si="17"/>
        <v>1317.2977695103759</v>
      </c>
      <c r="K131" s="18">
        <f t="shared" si="18"/>
        <v>1.0000000000000002</v>
      </c>
      <c r="L131" s="38">
        <f t="shared" si="19"/>
        <v>1317.2977695103762</v>
      </c>
      <c r="M131" s="23">
        <f t="shared" si="20"/>
        <v>0.3630603816063</v>
      </c>
      <c r="N131" s="23">
        <f t="shared" si="21"/>
        <v>0.33467931135934353</v>
      </c>
      <c r="O131" s="6"/>
      <c r="P131" s="18">
        <f t="shared" si="22"/>
        <v>0.12150879849785695</v>
      </c>
    </row>
    <row r="132" spans="1:16" ht="15" customHeight="1" x14ac:dyDescent="0.3">
      <c r="A132" s="7" t="str">
        <f>Raw_Players!A94</f>
        <v>CHI</v>
      </c>
      <c r="B132" s="7" t="str">
        <f>Raw_Players!B94</f>
        <v>Isaac Okoro</v>
      </c>
      <c r="C132" s="37">
        <f>Raw_Players!E94</f>
        <v>-2.058778835292014</v>
      </c>
      <c r="D132" s="31">
        <f>Raw_Players!F94</f>
        <v>1298.145915999462</v>
      </c>
      <c r="E132" s="31">
        <f>Raw_Players!G94</f>
        <v>21.384743851719069</v>
      </c>
      <c r="F132" s="31">
        <f>Raw_Players!H94</f>
        <v>60.704300458343234</v>
      </c>
      <c r="G132" s="31" t="str">
        <f>IFERROR(IF(INDEX(Overrides!$B$8:$B$47,MATCH(B132,Overrides!$A$8:$A$47,0))="","",INDEX(Overrides!$B$8:$B$47,MATCH(B132,Overrides!$A$8:$A$47,0))),"")</f>
        <v/>
      </c>
      <c r="H132" s="31" t="str">
        <f>IFERROR(IF(INDEX(Overrides!$C$8:$C$47,MATCH(B132,Overrides!$A$8:$A$47,0))="","",INDEX(Overrides!$C$8:$C$47,MATCH(B132,Overrides!$A$8:$A$47,0))),"")</f>
        <v/>
      </c>
      <c r="I132" s="36">
        <f>IFERROR(IF(INDEX(Overrides!$D$8:$D$47,MATCH(B132,Overrides!$A$8:$A$47,0))="",0,INDEX(Overrides!$D$8:$D$47,MATCH(B132,Overrides!$A$8:$A$47,0))),0)</f>
        <v>0</v>
      </c>
      <c r="J132" s="38">
        <f t="shared" si="17"/>
        <v>1298.145915999462</v>
      </c>
      <c r="K132" s="18">
        <f t="shared" si="18"/>
        <v>1.0000000000000002</v>
      </c>
      <c r="L132" s="38">
        <f t="shared" si="19"/>
        <v>1298.1459159994622</v>
      </c>
      <c r="M132" s="23">
        <f t="shared" si="20"/>
        <v>-2.058778835292014</v>
      </c>
      <c r="N132" s="23">
        <f t="shared" si="21"/>
        <v>0.32981349491856254</v>
      </c>
      <c r="O132" s="6"/>
      <c r="P132" s="18">
        <f t="shared" si="22"/>
        <v>-0.6790130429320268</v>
      </c>
    </row>
    <row r="133" spans="1:16" ht="15" customHeight="1" x14ac:dyDescent="0.3">
      <c r="A133" s="7" t="str">
        <f>Raw_Players!A95</f>
        <v>CHI</v>
      </c>
      <c r="B133" s="7" t="str">
        <f>Raw_Players!B95</f>
        <v>Patrick Williams</v>
      </c>
      <c r="C133" s="37">
        <f>Raw_Players!E95</f>
        <v>-3.1435272698061252</v>
      </c>
      <c r="D133" s="31">
        <f>Raw_Players!F95</f>
        <v>1244.9184256181379</v>
      </c>
      <c r="E133" s="31">
        <f>Raw_Players!G95</f>
        <v>19.539410988851959</v>
      </c>
      <c r="F133" s="31">
        <f>Raw_Players!H95</f>
        <v>63.713201300101389</v>
      </c>
      <c r="G133" s="31" t="str">
        <f>IFERROR(IF(INDEX(Overrides!$B$8:$B$47,MATCH(B133,Overrides!$A$8:$A$47,0))="","",INDEX(Overrides!$B$8:$B$47,MATCH(B133,Overrides!$A$8:$A$47,0))),"")</f>
        <v/>
      </c>
      <c r="H133" s="31" t="str">
        <f>IFERROR(IF(INDEX(Overrides!$C$8:$C$47,MATCH(B133,Overrides!$A$8:$A$47,0))="","",INDEX(Overrides!$C$8:$C$47,MATCH(B133,Overrides!$A$8:$A$47,0))),"")</f>
        <v/>
      </c>
      <c r="I133" s="36">
        <f>IFERROR(IF(INDEX(Overrides!$D$8:$D$47,MATCH(B133,Overrides!$A$8:$A$47,0))="",0,INDEX(Overrides!$D$8:$D$47,MATCH(B133,Overrides!$A$8:$A$47,0))),0)</f>
        <v>0</v>
      </c>
      <c r="J133" s="38">
        <f t="shared" si="17"/>
        <v>1244.9184256181379</v>
      </c>
      <c r="K133" s="18">
        <f t="shared" si="18"/>
        <v>1.0000000000000002</v>
      </c>
      <c r="L133" s="38">
        <f t="shared" si="19"/>
        <v>1244.9184256181381</v>
      </c>
      <c r="M133" s="23">
        <f t="shared" si="20"/>
        <v>-3.1435272698061252</v>
      </c>
      <c r="N133" s="23">
        <f t="shared" si="21"/>
        <v>0.31629025041111231</v>
      </c>
      <c r="O133" s="6"/>
      <c r="P133" s="18">
        <f t="shared" si="22"/>
        <v>-0.99426702734113948</v>
      </c>
    </row>
    <row r="134" spans="1:16" ht="15" customHeight="1" x14ac:dyDescent="0.3">
      <c r="A134" s="7" t="str">
        <f>Raw_Players!A96</f>
        <v>CHI</v>
      </c>
      <c r="B134" s="7" t="str">
        <f>Raw_Players!B96</f>
        <v>Buddy Hield</v>
      </c>
      <c r="C134" s="37">
        <f>Raw_Players!E96</f>
        <v>-1.0351675059327159</v>
      </c>
      <c r="D134" s="31">
        <f>Raw_Players!F96</f>
        <v>1044.6480561243709</v>
      </c>
      <c r="E134" s="31">
        <f>Raw_Players!G96</f>
        <v>18.09426975051937</v>
      </c>
      <c r="F134" s="31">
        <f>Raw_Players!H96</f>
        <v>57.733640015750602</v>
      </c>
      <c r="G134" s="31" t="str">
        <f>IFERROR(IF(INDEX(Overrides!$B$8:$B$47,MATCH(B134,Overrides!$A$8:$A$47,0))="","",INDEX(Overrides!$B$8:$B$47,MATCH(B134,Overrides!$A$8:$A$47,0))),"")</f>
        <v/>
      </c>
      <c r="H134" s="31" t="str">
        <f>IFERROR(IF(INDEX(Overrides!$C$8:$C$47,MATCH(B134,Overrides!$A$8:$A$47,0))="","",INDEX(Overrides!$C$8:$C$47,MATCH(B134,Overrides!$A$8:$A$47,0))),"")</f>
        <v/>
      </c>
      <c r="I134" s="36">
        <f>IFERROR(IF(INDEX(Overrides!$D$8:$D$47,MATCH(B134,Overrides!$A$8:$A$47,0))="",0,INDEX(Overrides!$D$8:$D$47,MATCH(B134,Overrides!$A$8:$A$47,0))),0)</f>
        <v>0</v>
      </c>
      <c r="J134" s="38">
        <f t="shared" si="17"/>
        <v>1044.6480561243709</v>
      </c>
      <c r="K134" s="18">
        <f t="shared" si="18"/>
        <v>1.0000000000000002</v>
      </c>
      <c r="L134" s="38">
        <f t="shared" si="19"/>
        <v>1044.6480561243711</v>
      </c>
      <c r="M134" s="23">
        <f t="shared" si="20"/>
        <v>-1.0351675059327159</v>
      </c>
      <c r="N134" s="23">
        <f t="shared" si="21"/>
        <v>0.26540855084460646</v>
      </c>
      <c r="O134" s="6"/>
      <c r="P134" s="18">
        <f t="shared" si="22"/>
        <v>-0.27474230763102769</v>
      </c>
    </row>
    <row r="135" spans="1:16" ht="15" customHeight="1" x14ac:dyDescent="0.3">
      <c r="A135" s="7" t="str">
        <f>Raw_Players!A97</f>
        <v>CHI</v>
      </c>
      <c r="B135" s="7" t="str">
        <f>Raw_Players!B97</f>
        <v>Jalen Smith</v>
      </c>
      <c r="C135" s="37">
        <f>Raw_Players!E97</f>
        <v>0.98575853418177561</v>
      </c>
      <c r="D135" s="31">
        <f>Raw_Players!F97</f>
        <v>926.42178130667457</v>
      </c>
      <c r="E135" s="31">
        <f>Raw_Players!G97</f>
        <v>15.73771178294462</v>
      </c>
      <c r="F135" s="31">
        <f>Raw_Players!H97</f>
        <v>58.866358342555401</v>
      </c>
      <c r="G135" s="31" t="str">
        <f>IFERROR(IF(INDEX(Overrides!$B$8:$B$47,MATCH(B135,Overrides!$A$8:$A$47,0))="","",INDEX(Overrides!$B$8:$B$47,MATCH(B135,Overrides!$A$8:$A$47,0))),"")</f>
        <v/>
      </c>
      <c r="H135" s="31" t="str">
        <f>IFERROR(IF(INDEX(Overrides!$C$8:$C$47,MATCH(B135,Overrides!$A$8:$A$47,0))="","",INDEX(Overrides!$C$8:$C$47,MATCH(B135,Overrides!$A$8:$A$47,0))),"")</f>
        <v/>
      </c>
      <c r="I135" s="36">
        <f>IFERROR(IF(INDEX(Overrides!$D$8:$D$47,MATCH(B135,Overrides!$A$8:$A$47,0))="",0,INDEX(Overrides!$D$8:$D$47,MATCH(B135,Overrides!$A$8:$A$47,0))),0)</f>
        <v>0</v>
      </c>
      <c r="J135" s="38">
        <f t="shared" si="17"/>
        <v>926.42178130667457</v>
      </c>
      <c r="K135" s="18">
        <f t="shared" si="18"/>
        <v>1.0000000000000002</v>
      </c>
      <c r="L135" s="38">
        <f t="shared" si="19"/>
        <v>926.4217813066748</v>
      </c>
      <c r="M135" s="23">
        <f t="shared" si="20"/>
        <v>0.98575853418177561</v>
      </c>
      <c r="N135" s="23">
        <f t="shared" si="21"/>
        <v>0.23537138752710235</v>
      </c>
      <c r="O135" s="6"/>
      <c r="P135" s="18">
        <f t="shared" si="22"/>
        <v>0.23201935395704706</v>
      </c>
    </row>
    <row r="136" spans="1:16" ht="15" customHeight="1" x14ac:dyDescent="0.3">
      <c r="A136" s="7" t="str">
        <f>Raw_Players!A98</f>
        <v>CHI</v>
      </c>
      <c r="B136" s="7" t="str">
        <f>Raw_Players!B98</f>
        <v>Jordan Hawkins</v>
      </c>
      <c r="C136" s="37">
        <f>Raw_Players!E98</f>
        <v>-3.8966004549214941</v>
      </c>
      <c r="D136" s="31">
        <f>Raw_Players!F98</f>
        <v>883.12054453929784</v>
      </c>
      <c r="E136" s="31">
        <f>Raw_Players!G98</f>
        <v>15.25150154947362</v>
      </c>
      <c r="F136" s="31">
        <f>Raw_Players!H98</f>
        <v>57.903842560982291</v>
      </c>
      <c r="G136" s="31" t="str">
        <f>IFERROR(IF(INDEX(Overrides!$B$8:$B$47,MATCH(B136,Overrides!$A$8:$A$47,0))="","",INDEX(Overrides!$B$8:$B$47,MATCH(B136,Overrides!$A$8:$A$47,0))),"")</f>
        <v/>
      </c>
      <c r="H136" s="31" t="str">
        <f>IFERROR(IF(INDEX(Overrides!$C$8:$C$47,MATCH(B136,Overrides!$A$8:$A$47,0))="","",INDEX(Overrides!$C$8:$C$47,MATCH(B136,Overrides!$A$8:$A$47,0))),"")</f>
        <v/>
      </c>
      <c r="I136" s="36">
        <f>IFERROR(IF(INDEX(Overrides!$D$8:$D$47,MATCH(B136,Overrides!$A$8:$A$47,0))="",0,INDEX(Overrides!$D$8:$D$47,MATCH(B136,Overrides!$A$8:$A$47,0))),0)</f>
        <v>0</v>
      </c>
      <c r="J136" s="38">
        <f t="shared" si="17"/>
        <v>883.12054453929784</v>
      </c>
      <c r="K136" s="18">
        <f t="shared" si="18"/>
        <v>1.0000000000000002</v>
      </c>
      <c r="L136" s="38">
        <f t="shared" si="19"/>
        <v>883.12054453929807</v>
      </c>
      <c r="M136" s="23">
        <f t="shared" si="20"/>
        <v>-3.8966004549214941</v>
      </c>
      <c r="N136" s="23">
        <f t="shared" si="21"/>
        <v>0.22437005704758589</v>
      </c>
      <c r="O136" s="6"/>
      <c r="P136" s="18">
        <f t="shared" si="22"/>
        <v>-0.87428046636238477</v>
      </c>
    </row>
    <row r="137" spans="1:16" ht="15" customHeight="1" x14ac:dyDescent="0.3">
      <c r="A137" s="7" t="str">
        <f>Raw_Players!A99</f>
        <v>CHI</v>
      </c>
      <c r="B137" s="7" t="str">
        <f>Raw_Players!B99</f>
        <v>Dailyn Swain</v>
      </c>
      <c r="C137" s="37">
        <f>Raw_Players!E99</f>
        <v>-1.5776792238184141</v>
      </c>
      <c r="D137" s="31">
        <f>Raw_Players!F99</f>
        <v>851.60520692818568</v>
      </c>
      <c r="E137" s="31">
        <f>Raw_Players!G99</f>
        <v>17.265170190538509</v>
      </c>
      <c r="F137" s="31">
        <f>Raw_Players!H99</f>
        <v>49.325039807303718</v>
      </c>
      <c r="G137" s="31" t="str">
        <f>IFERROR(IF(INDEX(Overrides!$B$8:$B$47,MATCH(B137,Overrides!$A$8:$A$47,0))="","",INDEX(Overrides!$B$8:$B$47,MATCH(B137,Overrides!$A$8:$A$47,0))),"")</f>
        <v/>
      </c>
      <c r="H137" s="31" t="str">
        <f>IFERROR(IF(INDEX(Overrides!$C$8:$C$47,MATCH(B137,Overrides!$A$8:$A$47,0))="","",INDEX(Overrides!$C$8:$C$47,MATCH(B137,Overrides!$A$8:$A$47,0))),"")</f>
        <v/>
      </c>
      <c r="I137" s="36">
        <f>IFERROR(IF(INDEX(Overrides!$D$8:$D$47,MATCH(B137,Overrides!$A$8:$A$47,0))="",0,INDEX(Overrides!$D$8:$D$47,MATCH(B137,Overrides!$A$8:$A$47,0))),0)</f>
        <v>0</v>
      </c>
      <c r="J137" s="38">
        <f t="shared" si="17"/>
        <v>851.60520692818568</v>
      </c>
      <c r="K137" s="18">
        <f t="shared" si="18"/>
        <v>1.0000000000000002</v>
      </c>
      <c r="L137" s="38">
        <f t="shared" si="19"/>
        <v>851.60520692818591</v>
      </c>
      <c r="M137" s="23">
        <f t="shared" si="20"/>
        <v>-1.5776792238184141</v>
      </c>
      <c r="N137" s="23">
        <f t="shared" si="21"/>
        <v>0.21636311151630738</v>
      </c>
      <c r="O137" s="6"/>
      <c r="P137" s="18">
        <f t="shared" si="22"/>
        <v>-0.34135158583998482</v>
      </c>
    </row>
    <row r="138" spans="1:16" ht="15" customHeight="1" x14ac:dyDescent="0.3">
      <c r="A138" s="7" t="str">
        <f>Raw_Players!A100</f>
        <v>CHI</v>
      </c>
      <c r="B138" s="7" t="str">
        <f>Raw_Players!B100</f>
        <v>Zach Collins</v>
      </c>
      <c r="C138" s="37">
        <f>Raw_Players!E100</f>
        <v>-0.59951247816129916</v>
      </c>
      <c r="D138" s="31">
        <f>Raw_Players!F100</f>
        <v>742.4549753243266</v>
      </c>
      <c r="E138" s="31">
        <f>Raw_Players!G100</f>
        <v>15.59622105670751</v>
      </c>
      <c r="F138" s="31">
        <f>Raw_Players!H100</f>
        <v>47.604799433451021</v>
      </c>
      <c r="G138" s="31" t="str">
        <f>IFERROR(IF(INDEX(Overrides!$B$8:$B$47,MATCH(B138,Overrides!$A$8:$A$47,0))="","",INDEX(Overrides!$B$8:$B$47,MATCH(B138,Overrides!$A$8:$A$47,0))),"")</f>
        <v/>
      </c>
      <c r="H138" s="31" t="str">
        <f>IFERROR(IF(INDEX(Overrides!$C$8:$C$47,MATCH(B138,Overrides!$A$8:$A$47,0))="","",INDEX(Overrides!$C$8:$C$47,MATCH(B138,Overrides!$A$8:$A$47,0))),"")</f>
        <v/>
      </c>
      <c r="I138" s="36">
        <f>IFERROR(IF(INDEX(Overrides!$D$8:$D$47,MATCH(B138,Overrides!$A$8:$A$47,0))="",0,INDEX(Overrides!$D$8:$D$47,MATCH(B138,Overrides!$A$8:$A$47,0))),0)</f>
        <v>0</v>
      </c>
      <c r="J138" s="38">
        <f t="shared" si="17"/>
        <v>742.4549753243266</v>
      </c>
      <c r="K138" s="18">
        <f t="shared" si="18"/>
        <v>1.0000000000000002</v>
      </c>
      <c r="L138" s="38">
        <f t="shared" si="19"/>
        <v>742.45497532432671</v>
      </c>
      <c r="M138" s="23">
        <f t="shared" si="20"/>
        <v>-0.59951247816129916</v>
      </c>
      <c r="N138" s="23">
        <f t="shared" si="21"/>
        <v>0.18863185348687161</v>
      </c>
      <c r="O138" s="6"/>
      <c r="P138" s="18">
        <f t="shared" si="22"/>
        <v>-0.1130871499440735</v>
      </c>
    </row>
    <row r="139" spans="1:16" ht="15" customHeight="1" x14ac:dyDescent="0.3">
      <c r="A139" s="7" t="str">
        <f>Raw_Players!A101</f>
        <v>CHI</v>
      </c>
      <c r="B139" s="7" t="str">
        <f>Raw_Players!B101</f>
        <v>Leonard Miller</v>
      </c>
      <c r="C139" s="37">
        <f>Raw_Players!E101</f>
        <v>-0.55356217485127746</v>
      </c>
      <c r="D139" s="31">
        <f>Raw_Players!F101</f>
        <v>590.84897252740757</v>
      </c>
      <c r="E139" s="31">
        <f>Raw_Players!G101</f>
        <v>11.19983586884802</v>
      </c>
      <c r="F139" s="31">
        <f>Raw_Players!H101</f>
        <v>52.75514565091396</v>
      </c>
      <c r="G139" s="31" t="str">
        <f>IFERROR(IF(INDEX(Overrides!$B$8:$B$47,MATCH(B139,Overrides!$A$8:$A$47,0))="","",INDEX(Overrides!$B$8:$B$47,MATCH(B139,Overrides!$A$8:$A$47,0))),"")</f>
        <v/>
      </c>
      <c r="H139" s="31" t="str">
        <f>IFERROR(IF(INDEX(Overrides!$C$8:$C$47,MATCH(B139,Overrides!$A$8:$A$47,0))="","",INDEX(Overrides!$C$8:$C$47,MATCH(B139,Overrides!$A$8:$A$47,0))),"")</f>
        <v/>
      </c>
      <c r="I139" s="36">
        <f>IFERROR(IF(INDEX(Overrides!$D$8:$D$47,MATCH(B139,Overrides!$A$8:$A$47,0))="",0,INDEX(Overrides!$D$8:$D$47,MATCH(B139,Overrides!$A$8:$A$47,0))),0)</f>
        <v>0</v>
      </c>
      <c r="J139" s="38">
        <f t="shared" si="17"/>
        <v>590.84897252740757</v>
      </c>
      <c r="K139" s="18">
        <f t="shared" si="18"/>
        <v>1.0000000000000002</v>
      </c>
      <c r="L139" s="38">
        <f t="shared" si="19"/>
        <v>590.84897252740768</v>
      </c>
      <c r="M139" s="23">
        <f t="shared" si="20"/>
        <v>-0.55356217485127746</v>
      </c>
      <c r="N139" s="23">
        <f t="shared" si="21"/>
        <v>0.15011406822342674</v>
      </c>
      <c r="O139" s="6"/>
      <c r="P139" s="18">
        <f t="shared" si="22"/>
        <v>-8.3097470081533148E-2</v>
      </c>
    </row>
    <row r="140" spans="1:16" ht="15" customHeight="1" x14ac:dyDescent="0.3">
      <c r="A140" s="7" t="str">
        <f>Raw_Players!A102</f>
        <v>CHI</v>
      </c>
      <c r="B140" s="7" t="str">
        <f>Raw_Players!B102</f>
        <v>Orlando Robinson</v>
      </c>
      <c r="C140" s="37">
        <f>Raw_Players!E102</f>
        <v>-2.009533803441558</v>
      </c>
      <c r="D140" s="31">
        <f>Raw_Players!F102</f>
        <v>538.85074645016107</v>
      </c>
      <c r="E140" s="31">
        <f>Raw_Players!G102</f>
        <v>12.059469519846861</v>
      </c>
      <c r="F140" s="31">
        <f>Raw_Players!H102</f>
        <v>44.682790197640777</v>
      </c>
      <c r="G140" s="31" t="str">
        <f>IFERROR(IF(INDEX(Overrides!$B$8:$B$47,MATCH(B140,Overrides!$A$8:$A$47,0))="","",INDEX(Overrides!$B$8:$B$47,MATCH(B140,Overrides!$A$8:$A$47,0))),"")</f>
        <v/>
      </c>
      <c r="H140" s="31" t="str">
        <f>IFERROR(IF(INDEX(Overrides!$C$8:$C$47,MATCH(B140,Overrides!$A$8:$A$47,0))="","",INDEX(Overrides!$C$8:$C$47,MATCH(B140,Overrides!$A$8:$A$47,0))),"")</f>
        <v/>
      </c>
      <c r="I140" s="36">
        <f>IFERROR(IF(INDEX(Overrides!$D$8:$D$47,MATCH(B140,Overrides!$A$8:$A$47,0))="",0,INDEX(Overrides!$D$8:$D$47,MATCH(B140,Overrides!$A$8:$A$47,0))),0)</f>
        <v>0</v>
      </c>
      <c r="J140" s="38">
        <f t="shared" si="17"/>
        <v>538.85074645016107</v>
      </c>
      <c r="K140" s="18">
        <f t="shared" si="18"/>
        <v>1.0000000000000002</v>
      </c>
      <c r="L140" s="38">
        <f t="shared" si="19"/>
        <v>538.85074645016118</v>
      </c>
      <c r="M140" s="23">
        <f t="shared" si="20"/>
        <v>-2.009533803441558</v>
      </c>
      <c r="N140" s="23">
        <f t="shared" si="21"/>
        <v>0.1369031368013621</v>
      </c>
      <c r="O140" s="6"/>
      <c r="P140" s="18">
        <f t="shared" si="22"/>
        <v>-0.27511148119952111</v>
      </c>
    </row>
    <row r="141" spans="1:16" ht="15" customHeight="1" x14ac:dyDescent="0.3">
      <c r="A141" s="7" t="str">
        <f>Raw_Players!A103</f>
        <v>CHI</v>
      </c>
      <c r="B141" s="7" t="str">
        <f>Raw_Players!B103</f>
        <v>Brandon Boston Jr.</v>
      </c>
      <c r="C141" s="37">
        <f>Raw_Players!E103</f>
        <v>-2.1654442026815519</v>
      </c>
      <c r="D141" s="31">
        <f>Raw_Players!F103</f>
        <v>536.72949028642836</v>
      </c>
      <c r="E141" s="31">
        <f>Raw_Players!G103</f>
        <v>16.38285696680822</v>
      </c>
      <c r="F141" s="31">
        <f>Raw_Players!H103</f>
        <v>32.761653927263467</v>
      </c>
      <c r="G141" s="31" t="str">
        <f>IFERROR(IF(INDEX(Overrides!$B$8:$B$47,MATCH(B141,Overrides!$A$8:$A$47,0))="","",INDEX(Overrides!$B$8:$B$47,MATCH(B141,Overrides!$A$8:$A$47,0))),"")</f>
        <v/>
      </c>
      <c r="H141" s="31" t="str">
        <f>IFERROR(IF(INDEX(Overrides!$C$8:$C$47,MATCH(B141,Overrides!$A$8:$A$47,0))="","",INDEX(Overrides!$C$8:$C$47,MATCH(B141,Overrides!$A$8:$A$47,0))),"")</f>
        <v/>
      </c>
      <c r="I141" s="36">
        <f>IFERROR(IF(INDEX(Overrides!$D$8:$D$47,MATCH(B141,Overrides!$A$8:$A$47,0))="",0,INDEX(Overrides!$D$8:$D$47,MATCH(B141,Overrides!$A$8:$A$47,0))),0)</f>
        <v>0</v>
      </c>
      <c r="J141" s="38">
        <f t="shared" si="17"/>
        <v>536.72949028642836</v>
      </c>
      <c r="K141" s="18">
        <f t="shared" si="18"/>
        <v>1.0000000000000002</v>
      </c>
      <c r="L141" s="38">
        <f t="shared" si="19"/>
        <v>536.72949028642847</v>
      </c>
      <c r="M141" s="23">
        <f t="shared" si="20"/>
        <v>-2.1654442026815519</v>
      </c>
      <c r="N141" s="23">
        <f t="shared" si="21"/>
        <v>0.13636419976789341</v>
      </c>
      <c r="O141" s="6"/>
      <c r="P141" s="18">
        <f t="shared" si="22"/>
        <v>-0.29528906584069381</v>
      </c>
    </row>
    <row r="142" spans="1:16" ht="15" customHeight="1" x14ac:dyDescent="0.3">
      <c r="A142" s="7" t="str">
        <f>Raw_Players!A104</f>
        <v>CHI</v>
      </c>
      <c r="B142" s="7" t="str">
        <f>Raw_Players!B104</f>
        <v>Isaiah Stevens</v>
      </c>
      <c r="C142" s="37">
        <f>Raw_Players!E104</f>
        <v>-1.501657359004859</v>
      </c>
      <c r="D142" s="31">
        <f>Raw_Players!F104</f>
        <v>413.50305983215088</v>
      </c>
      <c r="E142" s="31">
        <f>Raw_Players!G104</f>
        <v>10.142488428285541</v>
      </c>
      <c r="F142" s="31">
        <f>Raw_Players!H104</f>
        <v>40.769389361980132</v>
      </c>
      <c r="G142" s="31" t="str">
        <f>IFERROR(IF(INDEX(Overrides!$B$8:$B$47,MATCH(B142,Overrides!$A$8:$A$47,0))="","",INDEX(Overrides!$B$8:$B$47,MATCH(B142,Overrides!$A$8:$A$47,0))),"")</f>
        <v/>
      </c>
      <c r="H142" s="31" t="str">
        <f>IFERROR(IF(INDEX(Overrides!$C$8:$C$47,MATCH(B142,Overrides!$A$8:$A$47,0))="","",INDEX(Overrides!$C$8:$C$47,MATCH(B142,Overrides!$A$8:$A$47,0))),"")</f>
        <v/>
      </c>
      <c r="I142" s="36">
        <f>IFERROR(IF(INDEX(Overrides!$D$8:$D$47,MATCH(B142,Overrides!$A$8:$A$47,0))="",0,INDEX(Overrides!$D$8:$D$47,MATCH(B142,Overrides!$A$8:$A$47,0))),0)</f>
        <v>0</v>
      </c>
      <c r="J142" s="38">
        <f t="shared" si="17"/>
        <v>413.50305983215088</v>
      </c>
      <c r="K142" s="18">
        <f t="shared" si="18"/>
        <v>1.0000000000000002</v>
      </c>
      <c r="L142" s="38">
        <f t="shared" si="19"/>
        <v>413.503059832151</v>
      </c>
      <c r="M142" s="23">
        <f t="shared" si="20"/>
        <v>-1.501657359004859</v>
      </c>
      <c r="N142" s="23">
        <f t="shared" si="21"/>
        <v>0.10505667170532292</v>
      </c>
      <c r="O142" s="6"/>
      <c r="P142" s="18">
        <f t="shared" si="22"/>
        <v>-0.15775912417885571</v>
      </c>
    </row>
    <row r="143" spans="1:16" ht="15" customHeight="1" x14ac:dyDescent="0.3">
      <c r="A143" s="7" t="str">
        <f>Raw_Players!A105</f>
        <v>CHI</v>
      </c>
      <c r="B143" s="7" t="str">
        <f>Raw_Players!B105</f>
        <v>Noa Essengue</v>
      </c>
      <c r="C143" s="37">
        <f>Raw_Players!E105</f>
        <v>-1.219256590382763</v>
      </c>
      <c r="D143" s="31">
        <f>Raw_Players!F105</f>
        <v>396.52065455496421</v>
      </c>
      <c r="E143" s="31">
        <f>Raw_Players!G105</f>
        <v>9.7812628358455207</v>
      </c>
      <c r="F143" s="31">
        <f>Raw_Players!H105</f>
        <v>40.538799663150847</v>
      </c>
      <c r="G143" s="31" t="str">
        <f>IFERROR(IF(INDEX(Overrides!$B$8:$B$47,MATCH(B143,Overrides!$A$8:$A$47,0))="","",INDEX(Overrides!$B$8:$B$47,MATCH(B143,Overrides!$A$8:$A$47,0))),"")</f>
        <v/>
      </c>
      <c r="H143" s="31" t="str">
        <f>IFERROR(IF(INDEX(Overrides!$C$8:$C$47,MATCH(B143,Overrides!$A$8:$A$47,0))="","",INDEX(Overrides!$C$8:$C$47,MATCH(B143,Overrides!$A$8:$A$47,0))),"")</f>
        <v/>
      </c>
      <c r="I143" s="36">
        <f>IFERROR(IF(INDEX(Overrides!$D$8:$D$47,MATCH(B143,Overrides!$A$8:$A$47,0))="",0,INDEX(Overrides!$D$8:$D$47,MATCH(B143,Overrides!$A$8:$A$47,0))),0)</f>
        <v>0</v>
      </c>
      <c r="J143" s="38">
        <f t="shared" si="17"/>
        <v>396.52065455496421</v>
      </c>
      <c r="K143" s="18">
        <f t="shared" si="18"/>
        <v>1.0000000000000002</v>
      </c>
      <c r="L143" s="38">
        <f t="shared" si="19"/>
        <v>396.52065455496432</v>
      </c>
      <c r="M143" s="23">
        <f t="shared" si="20"/>
        <v>-1.219256590382763</v>
      </c>
      <c r="N143" s="23">
        <f t="shared" si="21"/>
        <v>0.1007420362182328</v>
      </c>
      <c r="O143" s="6"/>
      <c r="P143" s="18">
        <f t="shared" si="22"/>
        <v>-0.12283039158765935</v>
      </c>
    </row>
    <row r="144" spans="1:16" ht="15" customHeight="1" x14ac:dyDescent="0.3">
      <c r="A144" s="7" t="str">
        <f>Raw_Players!A106</f>
        <v>CHI</v>
      </c>
      <c r="B144" s="7" t="str">
        <f>Raw_Players!B106</f>
        <v>Drew Peterson</v>
      </c>
      <c r="C144" s="37">
        <f>Raw_Players!E106</f>
        <v>-2.0900469046191379</v>
      </c>
      <c r="D144" s="31">
        <f>Raw_Players!F106</f>
        <v>366.83373999286772</v>
      </c>
      <c r="E144" s="31">
        <f>Raw_Players!G106</f>
        <v>8.4499693892403336</v>
      </c>
      <c r="F144" s="31">
        <f>Raw_Players!H106</f>
        <v>43.412434187036347</v>
      </c>
      <c r="G144" s="31" t="str">
        <f>IFERROR(IF(INDEX(Overrides!$B$8:$B$47,MATCH(B144,Overrides!$A$8:$A$47,0))="","",INDEX(Overrides!$B$8:$B$47,MATCH(B144,Overrides!$A$8:$A$47,0))),"")</f>
        <v/>
      </c>
      <c r="H144" s="31" t="str">
        <f>IFERROR(IF(INDEX(Overrides!$C$8:$C$47,MATCH(B144,Overrides!$A$8:$A$47,0))="","",INDEX(Overrides!$C$8:$C$47,MATCH(B144,Overrides!$A$8:$A$47,0))),"")</f>
        <v/>
      </c>
      <c r="I144" s="36">
        <f>IFERROR(IF(INDEX(Overrides!$D$8:$D$47,MATCH(B144,Overrides!$A$8:$A$47,0))="",0,INDEX(Overrides!$D$8:$D$47,MATCH(B144,Overrides!$A$8:$A$47,0))),0)</f>
        <v>0</v>
      </c>
      <c r="J144" s="38">
        <f t="shared" si="17"/>
        <v>366.83373999286772</v>
      </c>
      <c r="K144" s="18">
        <f t="shared" si="18"/>
        <v>1.0000000000000002</v>
      </c>
      <c r="L144" s="38">
        <f t="shared" si="19"/>
        <v>366.83373999286778</v>
      </c>
      <c r="M144" s="23">
        <f t="shared" si="20"/>
        <v>-2.0900469046191379</v>
      </c>
      <c r="N144" s="23">
        <f t="shared" si="21"/>
        <v>9.3199629063228595E-2</v>
      </c>
      <c r="O144" s="6"/>
      <c r="P144" s="18">
        <f t="shared" si="22"/>
        <v>-0.19479159623525277</v>
      </c>
    </row>
    <row r="145" spans="1:16" ht="15" customHeight="1" x14ac:dyDescent="0.3">
      <c r="A145" s="7" t="str">
        <f>Raw_Players!A107</f>
        <v>CHI</v>
      </c>
      <c r="B145" s="7" t="str">
        <f>Raw_Players!B107</f>
        <v>Tobe Awaka</v>
      </c>
      <c r="C145" s="37">
        <f>Raw_Players!E107</f>
        <v>-3.1867960702466678</v>
      </c>
      <c r="D145" s="31">
        <f>Raw_Players!F107</f>
        <v>347.61318694236581</v>
      </c>
      <c r="E145" s="31">
        <f>Raw_Players!G107</f>
        <v>11.457900539193</v>
      </c>
      <c r="F145" s="31">
        <f>Raw_Players!H107</f>
        <v>30.338296772023529</v>
      </c>
      <c r="G145" s="31" t="str">
        <f>IFERROR(IF(INDEX(Overrides!$B$8:$B$47,MATCH(B145,Overrides!$A$8:$A$47,0))="","",INDEX(Overrides!$B$8:$B$47,MATCH(B145,Overrides!$A$8:$A$47,0))),"")</f>
        <v/>
      </c>
      <c r="H145" s="31" t="str">
        <f>IFERROR(IF(INDEX(Overrides!$C$8:$C$47,MATCH(B145,Overrides!$A$8:$A$47,0))="","",INDEX(Overrides!$C$8:$C$47,MATCH(B145,Overrides!$A$8:$A$47,0))),"")</f>
        <v/>
      </c>
      <c r="I145" s="36">
        <f>IFERROR(IF(INDEX(Overrides!$D$8:$D$47,MATCH(B145,Overrides!$A$8:$A$47,0))="",0,INDEX(Overrides!$D$8:$D$47,MATCH(B145,Overrides!$A$8:$A$47,0))),0)</f>
        <v>0</v>
      </c>
      <c r="J145" s="38">
        <f t="shared" si="17"/>
        <v>347.61318694236581</v>
      </c>
      <c r="K145" s="18">
        <f t="shared" si="18"/>
        <v>1.0000000000000002</v>
      </c>
      <c r="L145" s="38">
        <f t="shared" si="19"/>
        <v>347.61318694236587</v>
      </c>
      <c r="M145" s="23">
        <f t="shared" si="20"/>
        <v>-3.1867960702466678</v>
      </c>
      <c r="N145" s="23">
        <f t="shared" si="21"/>
        <v>8.8316358471129536E-2</v>
      </c>
      <c r="O145" s="6"/>
      <c r="P145" s="18">
        <f t="shared" si="22"/>
        <v>-0.2814462241142916</v>
      </c>
    </row>
    <row r="146" spans="1:16" ht="15" customHeight="1" x14ac:dyDescent="0.3">
      <c r="A146" s="7" t="str">
        <f>Raw_Players!A108</f>
        <v>CHI</v>
      </c>
      <c r="B146" s="7" t="str">
        <f>Raw_Players!B108</f>
        <v>Jaylin Sellers</v>
      </c>
      <c r="C146" s="37">
        <f>Raw_Players!E108</f>
        <v>-3.1867960702466678</v>
      </c>
      <c r="D146" s="31">
        <f>Raw_Players!F108</f>
        <v>347.61318694236581</v>
      </c>
      <c r="E146" s="31">
        <f>Raw_Players!G108</f>
        <v>11.457900539193</v>
      </c>
      <c r="F146" s="31">
        <f>Raw_Players!H108</f>
        <v>30.338296772023529</v>
      </c>
      <c r="G146" s="31" t="str">
        <f>IFERROR(IF(INDEX(Overrides!$B$8:$B$47,MATCH(B146,Overrides!$A$8:$A$47,0))="","",INDEX(Overrides!$B$8:$B$47,MATCH(B146,Overrides!$A$8:$A$47,0))),"")</f>
        <v/>
      </c>
      <c r="H146" s="31" t="str">
        <f>IFERROR(IF(INDEX(Overrides!$C$8:$C$47,MATCH(B146,Overrides!$A$8:$A$47,0))="","",INDEX(Overrides!$C$8:$C$47,MATCH(B146,Overrides!$A$8:$A$47,0))),"")</f>
        <v/>
      </c>
      <c r="I146" s="36">
        <f>IFERROR(IF(INDEX(Overrides!$D$8:$D$47,MATCH(B146,Overrides!$A$8:$A$47,0))="",0,INDEX(Overrides!$D$8:$D$47,MATCH(B146,Overrides!$A$8:$A$47,0))),0)</f>
        <v>0</v>
      </c>
      <c r="J146" s="38">
        <f t="shared" si="17"/>
        <v>347.61318694236581</v>
      </c>
      <c r="K146" s="18">
        <f t="shared" si="18"/>
        <v>1.0000000000000002</v>
      </c>
      <c r="L146" s="38">
        <f t="shared" si="19"/>
        <v>347.61318694236587</v>
      </c>
      <c r="M146" s="23">
        <f t="shared" si="20"/>
        <v>-3.1867960702466678</v>
      </c>
      <c r="N146" s="23">
        <f t="shared" si="21"/>
        <v>8.8316358471129536E-2</v>
      </c>
      <c r="O146" s="6"/>
      <c r="P146" s="18">
        <f t="shared" si="22"/>
        <v>-0.2814462241142916</v>
      </c>
    </row>
    <row r="147" spans="1:16" ht="15" customHeight="1" x14ac:dyDescent="0.3">
      <c r="A147" s="7" t="str">
        <f>Raw_Players!A109</f>
        <v>CHI</v>
      </c>
      <c r="B147" s="7" t="str">
        <f>Raw_Players!B109</f>
        <v>Jalen Bridges</v>
      </c>
      <c r="C147" s="37">
        <f>Raw_Players!E109</f>
        <v>-1.8143772633667989</v>
      </c>
      <c r="D147" s="31">
        <f>Raw_Players!F109</f>
        <v>247.63587455516441</v>
      </c>
      <c r="E147" s="31">
        <f>Raw_Players!G109</f>
        <v>8.1624844142048847</v>
      </c>
      <c r="F147" s="31">
        <f>Raw_Players!H109</f>
        <v>30.338296772023529</v>
      </c>
      <c r="G147" s="31" t="str">
        <f>IFERROR(IF(INDEX(Overrides!$B$8:$B$47,MATCH(B147,Overrides!$A$8:$A$47,0))="","",INDEX(Overrides!$B$8:$B$47,MATCH(B147,Overrides!$A$8:$A$47,0))),"")</f>
        <v/>
      </c>
      <c r="H147" s="31" t="str">
        <f>IFERROR(IF(INDEX(Overrides!$C$8:$C$47,MATCH(B147,Overrides!$A$8:$A$47,0))="","",INDEX(Overrides!$C$8:$C$47,MATCH(B147,Overrides!$A$8:$A$47,0))),"")</f>
        <v/>
      </c>
      <c r="I147" s="36">
        <f>IFERROR(IF(INDEX(Overrides!$D$8:$D$47,MATCH(B147,Overrides!$A$8:$A$47,0))="",0,INDEX(Overrides!$D$8:$D$47,MATCH(B147,Overrides!$A$8:$A$47,0))),0)</f>
        <v>0</v>
      </c>
      <c r="J147" s="38">
        <f t="shared" si="17"/>
        <v>247.63587455516441</v>
      </c>
      <c r="K147" s="18">
        <f t="shared" si="18"/>
        <v>1.0000000000000002</v>
      </c>
      <c r="L147" s="38">
        <f t="shared" si="19"/>
        <v>247.63587455516446</v>
      </c>
      <c r="M147" s="23">
        <f t="shared" si="20"/>
        <v>-1.8143772633667989</v>
      </c>
      <c r="N147" s="23">
        <f t="shared" si="21"/>
        <v>6.2915618535356821E-2</v>
      </c>
      <c r="O147" s="6"/>
      <c r="P147" s="18">
        <f t="shared" si="22"/>
        <v>-0.11415266778121017</v>
      </c>
    </row>
    <row r="148" spans="1:16" ht="15" customHeight="1" x14ac:dyDescent="0.3">
      <c r="A148" s="7" t="str">
        <f>Raw_Players!A110</f>
        <v>CLE</v>
      </c>
      <c r="B148" s="7" t="str">
        <f>Raw_Players!B110</f>
        <v>James Harden</v>
      </c>
      <c r="C148" s="37">
        <f>Raw_Players!E110</f>
        <v>3.1776273101488139</v>
      </c>
      <c r="D148" s="31">
        <f>Raw_Players!F110</f>
        <v>1913.0093482198729</v>
      </c>
      <c r="E148" s="31">
        <f>Raw_Players!G110</f>
        <v>31.884688809247471</v>
      </c>
      <c r="F148" s="31">
        <f>Raw_Players!H110</f>
        <v>59.997742479614402</v>
      </c>
      <c r="G148" s="31" t="str">
        <f>IFERROR(IF(INDEX(Overrides!$B$8:$B$47,MATCH(B148,Overrides!$A$8:$A$47,0))="","",INDEX(Overrides!$B$8:$B$47,MATCH(B148,Overrides!$A$8:$A$47,0))),"")</f>
        <v/>
      </c>
      <c r="H148" s="31" t="str">
        <f>IFERROR(IF(INDEX(Overrides!$C$8:$C$47,MATCH(B148,Overrides!$A$8:$A$47,0))="","",INDEX(Overrides!$C$8:$C$47,MATCH(B148,Overrides!$A$8:$A$47,0))),"")</f>
        <v/>
      </c>
      <c r="I148" s="36">
        <f>IFERROR(IF(INDEX(Overrides!$D$8:$D$47,MATCH(B148,Overrides!$A$8:$A$47,0))="",0,INDEX(Overrides!$D$8:$D$47,MATCH(B148,Overrides!$A$8:$A$47,0))),0)</f>
        <v>0</v>
      </c>
      <c r="J148" s="38">
        <f t="shared" si="17"/>
        <v>1913.0093482198729</v>
      </c>
      <c r="K148" s="18">
        <f t="shared" si="18"/>
        <v>0.99999999999999978</v>
      </c>
      <c r="L148" s="38">
        <f t="shared" si="19"/>
        <v>1913.0093482198724</v>
      </c>
      <c r="M148" s="23">
        <f t="shared" si="20"/>
        <v>3.1776273101488139</v>
      </c>
      <c r="N148" s="23">
        <f t="shared" si="21"/>
        <v>0.48602879782008956</v>
      </c>
      <c r="O148" s="6"/>
      <c r="P148" s="18">
        <f t="shared" si="22"/>
        <v>1.544418381471913</v>
      </c>
    </row>
    <row r="149" spans="1:16" ht="15" customHeight="1" x14ac:dyDescent="0.3">
      <c r="A149" s="7" t="str">
        <f>Raw_Players!A111</f>
        <v>CLE</v>
      </c>
      <c r="B149" s="7" t="str">
        <f>Raw_Players!B111</f>
        <v>Donovan Mitchell</v>
      </c>
      <c r="C149" s="37">
        <f>Raw_Players!E111</f>
        <v>4.4639709651762534</v>
      </c>
      <c r="D149" s="31">
        <f>Raw_Players!F111</f>
        <v>1889.149462881225</v>
      </c>
      <c r="E149" s="31">
        <f>Raw_Players!G111</f>
        <v>30.119502932560572</v>
      </c>
      <c r="F149" s="31">
        <f>Raw_Players!H111</f>
        <v>62.72180079170456</v>
      </c>
      <c r="G149" s="31" t="str">
        <f>IFERROR(IF(INDEX(Overrides!$B$8:$B$47,MATCH(B149,Overrides!$A$8:$A$47,0))="","",INDEX(Overrides!$B$8:$B$47,MATCH(B149,Overrides!$A$8:$A$47,0))),"")</f>
        <v/>
      </c>
      <c r="H149" s="31" t="str">
        <f>IFERROR(IF(INDEX(Overrides!$C$8:$C$47,MATCH(B149,Overrides!$A$8:$A$47,0))="","",INDEX(Overrides!$C$8:$C$47,MATCH(B149,Overrides!$A$8:$A$47,0))),"")</f>
        <v/>
      </c>
      <c r="I149" s="36">
        <f>IFERROR(IF(INDEX(Overrides!$D$8:$D$47,MATCH(B149,Overrides!$A$8:$A$47,0))="",0,INDEX(Overrides!$D$8:$D$47,MATCH(B149,Overrides!$A$8:$A$47,0))),0)</f>
        <v>0</v>
      </c>
      <c r="J149" s="38">
        <f t="shared" si="17"/>
        <v>1889.149462881225</v>
      </c>
      <c r="K149" s="18">
        <f t="shared" si="18"/>
        <v>0.99999999999999978</v>
      </c>
      <c r="L149" s="38">
        <f t="shared" si="19"/>
        <v>1889.1494628812245</v>
      </c>
      <c r="M149" s="23">
        <f t="shared" si="20"/>
        <v>4.4639709651762534</v>
      </c>
      <c r="N149" s="23">
        <f t="shared" si="21"/>
        <v>0.47996683508161192</v>
      </c>
      <c r="O149" s="6"/>
      <c r="P149" s="18">
        <f t="shared" si="22"/>
        <v>2.1425580160518547</v>
      </c>
    </row>
    <row r="150" spans="1:16" ht="15" customHeight="1" x14ac:dyDescent="0.3">
      <c r="A150" s="7" t="str">
        <f>Raw_Players!A112</f>
        <v>CLE</v>
      </c>
      <c r="B150" s="7" t="str">
        <f>Raw_Players!B112</f>
        <v>Evan Mobley</v>
      </c>
      <c r="C150" s="37">
        <f>Raw_Players!E112</f>
        <v>3.1791295525346479</v>
      </c>
      <c r="D150" s="31">
        <f>Raw_Players!F112</f>
        <v>1782.8844292746501</v>
      </c>
      <c r="E150" s="31">
        <f>Raw_Players!G112</f>
        <v>28.435078781563249</v>
      </c>
      <c r="F150" s="31">
        <f>Raw_Players!H112</f>
        <v>62.7001754758857</v>
      </c>
      <c r="G150" s="31" t="str">
        <f>IFERROR(IF(INDEX(Overrides!$B$8:$B$47,MATCH(B150,Overrides!$A$8:$A$47,0))="","",INDEX(Overrides!$B$8:$B$47,MATCH(B150,Overrides!$A$8:$A$47,0))),"")</f>
        <v/>
      </c>
      <c r="H150" s="31" t="str">
        <f>IFERROR(IF(INDEX(Overrides!$C$8:$C$47,MATCH(B150,Overrides!$A$8:$A$47,0))="","",INDEX(Overrides!$C$8:$C$47,MATCH(B150,Overrides!$A$8:$A$47,0))),"")</f>
        <v/>
      </c>
      <c r="I150" s="36">
        <f>IFERROR(IF(INDEX(Overrides!$D$8:$D$47,MATCH(B150,Overrides!$A$8:$A$47,0))="",0,INDEX(Overrides!$D$8:$D$47,MATCH(B150,Overrides!$A$8:$A$47,0))),0)</f>
        <v>0</v>
      </c>
      <c r="J150" s="38">
        <f t="shared" si="17"/>
        <v>1782.8844292746501</v>
      </c>
      <c r="K150" s="18">
        <f t="shared" si="18"/>
        <v>0.99999999999999978</v>
      </c>
      <c r="L150" s="38">
        <f t="shared" si="19"/>
        <v>1782.8844292746496</v>
      </c>
      <c r="M150" s="23">
        <f t="shared" si="20"/>
        <v>3.1791295525346479</v>
      </c>
      <c r="N150" s="23">
        <f t="shared" si="21"/>
        <v>0.45296860499864067</v>
      </c>
      <c r="O150" s="6"/>
      <c r="P150" s="18">
        <f t="shared" si="22"/>
        <v>1.4400458785215722</v>
      </c>
    </row>
    <row r="151" spans="1:16" ht="15" customHeight="1" x14ac:dyDescent="0.3">
      <c r="A151" s="7" t="str">
        <f>Raw_Players!A113</f>
        <v>CLE</v>
      </c>
      <c r="B151" s="7" t="str">
        <f>Raw_Players!B113</f>
        <v>Jarrett Allen</v>
      </c>
      <c r="C151" s="37">
        <f>Raw_Players!E113</f>
        <v>3.2151110314364528</v>
      </c>
      <c r="D151" s="31">
        <f>Raw_Players!F113</f>
        <v>1586.14826483108</v>
      </c>
      <c r="E151" s="31">
        <f>Raw_Players!G113</f>
        <v>26.067550493461191</v>
      </c>
      <c r="F151" s="31">
        <f>Raw_Players!H113</f>
        <v>60.84761455545857</v>
      </c>
      <c r="G151" s="31" t="str">
        <f>IFERROR(IF(INDEX(Overrides!$B$8:$B$47,MATCH(B151,Overrides!$A$8:$A$47,0))="","",INDEX(Overrides!$B$8:$B$47,MATCH(B151,Overrides!$A$8:$A$47,0))),"")</f>
        <v/>
      </c>
      <c r="H151" s="31" t="str">
        <f>IFERROR(IF(INDEX(Overrides!$C$8:$C$47,MATCH(B151,Overrides!$A$8:$A$47,0))="","",INDEX(Overrides!$C$8:$C$47,MATCH(B151,Overrides!$A$8:$A$47,0))),"")</f>
        <v/>
      </c>
      <c r="I151" s="36">
        <f>IFERROR(IF(INDEX(Overrides!$D$8:$D$47,MATCH(B151,Overrides!$A$8:$A$47,0))="",0,INDEX(Overrides!$D$8:$D$47,MATCH(B151,Overrides!$A$8:$A$47,0))),0)</f>
        <v>0</v>
      </c>
      <c r="J151" s="38">
        <f t="shared" si="17"/>
        <v>1586.14826483108</v>
      </c>
      <c r="K151" s="18">
        <f t="shared" si="18"/>
        <v>0.99999999999999978</v>
      </c>
      <c r="L151" s="38">
        <f t="shared" si="19"/>
        <v>1586.1482648310796</v>
      </c>
      <c r="M151" s="23">
        <f t="shared" si="20"/>
        <v>3.2151110314364528</v>
      </c>
      <c r="N151" s="23">
        <f t="shared" si="21"/>
        <v>0.40298482338187996</v>
      </c>
      <c r="O151" s="6"/>
      <c r="P151" s="18">
        <f t="shared" si="22"/>
        <v>1.2956409511565528</v>
      </c>
    </row>
    <row r="152" spans="1:16" ht="15" customHeight="1" x14ac:dyDescent="0.3">
      <c r="A152" s="7" t="str">
        <f>Raw_Players!A114</f>
        <v>CLE</v>
      </c>
      <c r="B152" s="7" t="str">
        <f>Raw_Players!B114</f>
        <v>Mario Hezonja</v>
      </c>
      <c r="C152" s="37">
        <f>Raw_Players!E114</f>
        <v>-3.1867960702466678</v>
      </c>
      <c r="D152" s="31">
        <f>Raw_Players!F114</f>
        <v>1493.6492607831051</v>
      </c>
      <c r="E152" s="31">
        <f>Raw_Players!G114</f>
        <v>23.267599836805921</v>
      </c>
      <c r="F152" s="31">
        <f>Raw_Players!H114</f>
        <v>64.194384949855134</v>
      </c>
      <c r="G152" s="31" t="str">
        <f>IFERROR(IF(INDEX(Overrides!$B$8:$B$47,MATCH(B152,Overrides!$A$8:$A$47,0))="","",INDEX(Overrides!$B$8:$B$47,MATCH(B152,Overrides!$A$8:$A$47,0))),"")</f>
        <v/>
      </c>
      <c r="H152" s="31" t="str">
        <f>IFERROR(IF(INDEX(Overrides!$C$8:$C$47,MATCH(B152,Overrides!$A$8:$A$47,0))="","",INDEX(Overrides!$C$8:$C$47,MATCH(B152,Overrides!$A$8:$A$47,0))),"")</f>
        <v/>
      </c>
      <c r="I152" s="36">
        <f>IFERROR(IF(INDEX(Overrides!$D$8:$D$47,MATCH(B152,Overrides!$A$8:$A$47,0))="",0,INDEX(Overrides!$D$8:$D$47,MATCH(B152,Overrides!$A$8:$A$47,0))),0)</f>
        <v>0</v>
      </c>
      <c r="J152" s="38">
        <f t="shared" si="17"/>
        <v>1493.6492607831051</v>
      </c>
      <c r="K152" s="18">
        <f t="shared" si="18"/>
        <v>0.99999999999999978</v>
      </c>
      <c r="L152" s="38">
        <f t="shared" si="19"/>
        <v>1493.6492607831049</v>
      </c>
      <c r="M152" s="23">
        <f t="shared" si="20"/>
        <v>-3.1867960702466678</v>
      </c>
      <c r="N152" s="23">
        <f t="shared" si="21"/>
        <v>0.37948406015830916</v>
      </c>
      <c r="O152" s="6"/>
      <c r="P152" s="18">
        <f t="shared" si="22"/>
        <v>-1.2093383116337497</v>
      </c>
    </row>
    <row r="153" spans="1:16" ht="15" customHeight="1" x14ac:dyDescent="0.3">
      <c r="A153" s="7" t="str">
        <f>Raw_Players!A115</f>
        <v>CLE</v>
      </c>
      <c r="B153" s="7" t="str">
        <f>Raw_Players!B115</f>
        <v>Peyton Watson</v>
      </c>
      <c r="C153" s="37">
        <f>Raw_Players!E115</f>
        <v>-0.75886214741334856</v>
      </c>
      <c r="D153" s="31">
        <f>Raw_Players!F115</f>
        <v>1389.879559393213</v>
      </c>
      <c r="E153" s="31">
        <f>Raw_Players!G115</f>
        <v>23.250762924511179</v>
      </c>
      <c r="F153" s="31">
        <f>Raw_Players!H115</f>
        <v>59.777804449074168</v>
      </c>
      <c r="G153" s="31" t="str">
        <f>IFERROR(IF(INDEX(Overrides!$B$8:$B$47,MATCH(B153,Overrides!$A$8:$A$47,0))="","",INDEX(Overrides!$B$8:$B$47,MATCH(B153,Overrides!$A$8:$A$47,0))),"")</f>
        <v/>
      </c>
      <c r="H153" s="31" t="str">
        <f>IFERROR(IF(INDEX(Overrides!$C$8:$C$47,MATCH(B153,Overrides!$A$8:$A$47,0))="","",INDEX(Overrides!$C$8:$C$47,MATCH(B153,Overrides!$A$8:$A$47,0))),"")</f>
        <v/>
      </c>
      <c r="I153" s="36">
        <f>IFERROR(IF(INDEX(Overrides!$D$8:$D$47,MATCH(B153,Overrides!$A$8:$A$47,0))="",0,INDEX(Overrides!$D$8:$D$47,MATCH(B153,Overrides!$A$8:$A$47,0))),0)</f>
        <v>0</v>
      </c>
      <c r="J153" s="38">
        <f t="shared" si="17"/>
        <v>1389.879559393213</v>
      </c>
      <c r="K153" s="18">
        <f t="shared" si="18"/>
        <v>0.99999999999999978</v>
      </c>
      <c r="L153" s="38">
        <f t="shared" si="19"/>
        <v>1389.8795593932127</v>
      </c>
      <c r="M153" s="23">
        <f t="shared" si="20"/>
        <v>-0.75886214741334856</v>
      </c>
      <c r="N153" s="23">
        <f t="shared" si="21"/>
        <v>0.3531198067564057</v>
      </c>
      <c r="O153" s="6"/>
      <c r="P153" s="18">
        <f t="shared" si="22"/>
        <v>-0.26796925484935269</v>
      </c>
    </row>
    <row r="154" spans="1:16" ht="15" customHeight="1" x14ac:dyDescent="0.3">
      <c r="A154" s="7" t="str">
        <f>Raw_Players!A116</f>
        <v>CLE</v>
      </c>
      <c r="B154" s="7" t="str">
        <f>Raw_Players!B116</f>
        <v>Jaylon Tyson</v>
      </c>
      <c r="C154" s="37">
        <f>Raw_Players!E116</f>
        <v>-0.4811305470171286</v>
      </c>
      <c r="D154" s="31">
        <f>Raw_Players!F116</f>
        <v>1197.0390909545299</v>
      </c>
      <c r="E154" s="31">
        <f>Raw_Players!G116</f>
        <v>19.65074275294916</v>
      </c>
      <c r="F154" s="31">
        <f>Raw_Players!H116</f>
        <v>60.915717334647837</v>
      </c>
      <c r="G154" s="31" t="str">
        <f>IFERROR(IF(INDEX(Overrides!$B$8:$B$47,MATCH(B154,Overrides!$A$8:$A$47,0))="","",INDEX(Overrides!$B$8:$B$47,MATCH(B154,Overrides!$A$8:$A$47,0))),"")</f>
        <v/>
      </c>
      <c r="H154" s="31" t="str">
        <f>IFERROR(IF(INDEX(Overrides!$C$8:$C$47,MATCH(B154,Overrides!$A$8:$A$47,0))="","",INDEX(Overrides!$C$8:$C$47,MATCH(B154,Overrides!$A$8:$A$47,0))),"")</f>
        <v/>
      </c>
      <c r="I154" s="36">
        <f>IFERROR(IF(INDEX(Overrides!$D$8:$D$47,MATCH(B154,Overrides!$A$8:$A$47,0))="",0,INDEX(Overrides!$D$8:$D$47,MATCH(B154,Overrides!$A$8:$A$47,0))),0)</f>
        <v>0</v>
      </c>
      <c r="J154" s="38">
        <f t="shared" si="17"/>
        <v>1197.0390909545299</v>
      </c>
      <c r="K154" s="18">
        <f t="shared" si="18"/>
        <v>0.99999999999999978</v>
      </c>
      <c r="L154" s="38">
        <f t="shared" si="19"/>
        <v>1197.0390909545297</v>
      </c>
      <c r="M154" s="23">
        <f t="shared" si="20"/>
        <v>-0.4811305470171286</v>
      </c>
      <c r="N154" s="23">
        <f t="shared" si="21"/>
        <v>0.30412578530348822</v>
      </c>
      <c r="O154" s="6"/>
      <c r="P154" s="18">
        <f t="shared" si="22"/>
        <v>-0.1463242054450811</v>
      </c>
    </row>
    <row r="155" spans="1:16" ht="15" customHeight="1" x14ac:dyDescent="0.3">
      <c r="A155" s="7" t="str">
        <f>Raw_Players!A117</f>
        <v>CLE</v>
      </c>
      <c r="B155" s="7" t="str">
        <f>Raw_Players!B117</f>
        <v>Sam Merrill</v>
      </c>
      <c r="C155" s="37">
        <f>Raw_Players!E117</f>
        <v>0.12565145935225239</v>
      </c>
      <c r="D155" s="31">
        <f>Raw_Players!F117</f>
        <v>1195.876334236802</v>
      </c>
      <c r="E155" s="31">
        <f>Raw_Players!G117</f>
        <v>20.548715487868321</v>
      </c>
      <c r="F155" s="31">
        <f>Raw_Players!H117</f>
        <v>58.197133292483947</v>
      </c>
      <c r="G155" s="31" t="str">
        <f>IFERROR(IF(INDEX(Overrides!$B$8:$B$47,MATCH(B155,Overrides!$A$8:$A$47,0))="","",INDEX(Overrides!$B$8:$B$47,MATCH(B155,Overrides!$A$8:$A$47,0))),"")</f>
        <v/>
      </c>
      <c r="H155" s="31" t="str">
        <f>IFERROR(IF(INDEX(Overrides!$C$8:$C$47,MATCH(B155,Overrides!$A$8:$A$47,0))="","",INDEX(Overrides!$C$8:$C$47,MATCH(B155,Overrides!$A$8:$A$47,0))),"")</f>
        <v/>
      </c>
      <c r="I155" s="36">
        <f>IFERROR(IF(INDEX(Overrides!$D$8:$D$47,MATCH(B155,Overrides!$A$8:$A$47,0))="",0,INDEX(Overrides!$D$8:$D$47,MATCH(B155,Overrides!$A$8:$A$47,0))),0)</f>
        <v>0</v>
      </c>
      <c r="J155" s="38">
        <f t="shared" si="17"/>
        <v>1195.876334236802</v>
      </c>
      <c r="K155" s="18">
        <f t="shared" si="18"/>
        <v>0.99999999999999978</v>
      </c>
      <c r="L155" s="38">
        <f t="shared" si="19"/>
        <v>1195.8763342368018</v>
      </c>
      <c r="M155" s="23">
        <f t="shared" si="20"/>
        <v>0.12565145935225239</v>
      </c>
      <c r="N155" s="23">
        <f t="shared" si="21"/>
        <v>0.30383036947073216</v>
      </c>
      <c r="O155" s="6"/>
      <c r="P155" s="18">
        <f t="shared" si="22"/>
        <v>3.8176729319531526E-2</v>
      </c>
    </row>
    <row r="156" spans="1:16" ht="15" customHeight="1" x14ac:dyDescent="0.3">
      <c r="A156" s="7" t="str">
        <f>Raw_Players!A118</f>
        <v>CLE</v>
      </c>
      <c r="B156" s="7" t="str">
        <f>Raw_Players!B118</f>
        <v>Craig Porter Jr.</v>
      </c>
      <c r="C156" s="37">
        <f>Raw_Players!E118</f>
        <v>0.3189276064687141</v>
      </c>
      <c r="D156" s="31">
        <f>Raw_Players!F118</f>
        <v>847.57643361067346</v>
      </c>
      <c r="E156" s="31">
        <f>Raw_Players!G118</f>
        <v>14.028481024798969</v>
      </c>
      <c r="F156" s="31">
        <f>Raw_Players!H118</f>
        <v>60.418261400672158</v>
      </c>
      <c r="G156" s="31" t="str">
        <f>IFERROR(IF(INDEX(Overrides!$B$8:$B$47,MATCH(B156,Overrides!$A$8:$A$47,0))="","",INDEX(Overrides!$B$8:$B$47,MATCH(B156,Overrides!$A$8:$A$47,0))),"")</f>
        <v/>
      </c>
      <c r="H156" s="31" t="str">
        <f>IFERROR(IF(INDEX(Overrides!$C$8:$C$47,MATCH(B156,Overrides!$A$8:$A$47,0))="","",INDEX(Overrides!$C$8:$C$47,MATCH(B156,Overrides!$A$8:$A$47,0))),"")</f>
        <v/>
      </c>
      <c r="I156" s="36">
        <f>IFERROR(IF(INDEX(Overrides!$D$8:$D$47,MATCH(B156,Overrides!$A$8:$A$47,0))="",0,INDEX(Overrides!$D$8:$D$47,MATCH(B156,Overrides!$A$8:$A$47,0))),0)</f>
        <v>0</v>
      </c>
      <c r="J156" s="38">
        <f t="shared" si="17"/>
        <v>847.57643361067346</v>
      </c>
      <c r="K156" s="18">
        <f t="shared" si="18"/>
        <v>0.99999999999999978</v>
      </c>
      <c r="L156" s="38">
        <f t="shared" si="19"/>
        <v>847.57643361067323</v>
      </c>
      <c r="M156" s="23">
        <f t="shared" si="20"/>
        <v>0.3189276064687141</v>
      </c>
      <c r="N156" s="23">
        <f t="shared" si="21"/>
        <v>0.21533954105962227</v>
      </c>
      <c r="O156" s="6"/>
      <c r="P156" s="18">
        <f t="shared" si="22"/>
        <v>6.867772440821672E-2</v>
      </c>
    </row>
    <row r="157" spans="1:16" ht="15" customHeight="1" x14ac:dyDescent="0.3">
      <c r="A157" s="7" t="str">
        <f>Raw_Players!A119</f>
        <v>CLE</v>
      </c>
      <c r="B157" s="7" t="str">
        <f>Raw_Players!B119</f>
        <v>Nae'Qwan Tomlin</v>
      </c>
      <c r="C157" s="37">
        <f>Raw_Players!E119</f>
        <v>-1.128079351674488</v>
      </c>
      <c r="D157" s="31">
        <f>Raw_Players!F119</f>
        <v>800.62686148179137</v>
      </c>
      <c r="E157" s="31">
        <f>Raw_Players!G119</f>
        <v>14.22334647724556</v>
      </c>
      <c r="F157" s="31">
        <f>Raw_Players!H119</f>
        <v>56.289626549042453</v>
      </c>
      <c r="G157" s="31" t="str">
        <f>IFERROR(IF(INDEX(Overrides!$B$8:$B$47,MATCH(B157,Overrides!$A$8:$A$47,0))="","",INDEX(Overrides!$B$8:$B$47,MATCH(B157,Overrides!$A$8:$A$47,0))),"")</f>
        <v/>
      </c>
      <c r="H157" s="31" t="str">
        <f>IFERROR(IF(INDEX(Overrides!$C$8:$C$47,MATCH(B157,Overrides!$A$8:$A$47,0))="","",INDEX(Overrides!$C$8:$C$47,MATCH(B157,Overrides!$A$8:$A$47,0))),"")</f>
        <v/>
      </c>
      <c r="I157" s="36">
        <f>IFERROR(IF(INDEX(Overrides!$D$8:$D$47,MATCH(B157,Overrides!$A$8:$A$47,0))="",0,INDEX(Overrides!$D$8:$D$47,MATCH(B157,Overrides!$A$8:$A$47,0))),0)</f>
        <v>0</v>
      </c>
      <c r="J157" s="38">
        <f t="shared" si="17"/>
        <v>800.62686148179137</v>
      </c>
      <c r="K157" s="18">
        <f t="shared" si="18"/>
        <v>0.99999999999999978</v>
      </c>
      <c r="L157" s="38">
        <f t="shared" si="19"/>
        <v>800.62686148179114</v>
      </c>
      <c r="M157" s="23">
        <f t="shared" si="20"/>
        <v>-1.128079351674488</v>
      </c>
      <c r="N157" s="23">
        <f t="shared" si="21"/>
        <v>0.20341129610817865</v>
      </c>
      <c r="O157" s="6"/>
      <c r="P157" s="18">
        <f t="shared" si="22"/>
        <v>-0.22946408303698149</v>
      </c>
    </row>
    <row r="158" spans="1:16" ht="15" customHeight="1" x14ac:dyDescent="0.3">
      <c r="A158" s="7" t="str">
        <f>Raw_Players!A120</f>
        <v>CLE</v>
      </c>
      <c r="B158" s="7" t="str">
        <f>Raw_Players!B120</f>
        <v>Thomas Bryant</v>
      </c>
      <c r="C158" s="37">
        <f>Raw_Players!E120</f>
        <v>-0.53034271175600056</v>
      </c>
      <c r="D158" s="31">
        <f>Raw_Players!F120</f>
        <v>738.00138546768051</v>
      </c>
      <c r="E158" s="31">
        <f>Raw_Players!G120</f>
        <v>12.285391809572159</v>
      </c>
      <c r="F158" s="31">
        <f>Raw_Players!H120</f>
        <v>60.071456971577177</v>
      </c>
      <c r="G158" s="31" t="str">
        <f>IFERROR(IF(INDEX(Overrides!$B$8:$B$47,MATCH(B158,Overrides!$A$8:$A$47,0))="","",INDEX(Overrides!$B$8:$B$47,MATCH(B158,Overrides!$A$8:$A$47,0))),"")</f>
        <v/>
      </c>
      <c r="H158" s="31" t="str">
        <f>IFERROR(IF(INDEX(Overrides!$C$8:$C$47,MATCH(B158,Overrides!$A$8:$A$47,0))="","",INDEX(Overrides!$C$8:$C$47,MATCH(B158,Overrides!$A$8:$A$47,0))),"")</f>
        <v/>
      </c>
      <c r="I158" s="36">
        <f>IFERROR(IF(INDEX(Overrides!$D$8:$D$47,MATCH(B158,Overrides!$A$8:$A$47,0))="",0,INDEX(Overrides!$D$8:$D$47,MATCH(B158,Overrides!$A$8:$A$47,0))),0)</f>
        <v>0</v>
      </c>
      <c r="J158" s="38">
        <f t="shared" si="17"/>
        <v>738.00138546768051</v>
      </c>
      <c r="K158" s="18">
        <f t="shared" si="18"/>
        <v>0.99999999999999978</v>
      </c>
      <c r="L158" s="38">
        <f t="shared" si="19"/>
        <v>738.00138546768039</v>
      </c>
      <c r="M158" s="23">
        <f t="shared" si="20"/>
        <v>-0.53034271175600056</v>
      </c>
      <c r="N158" s="23">
        <f t="shared" si="21"/>
        <v>0.18750035199890253</v>
      </c>
      <c r="O158" s="6"/>
      <c r="P158" s="18">
        <f t="shared" si="22"/>
        <v>-9.9439445134302612E-2</v>
      </c>
    </row>
    <row r="159" spans="1:16" ht="15" customHeight="1" x14ac:dyDescent="0.3">
      <c r="A159" s="7" t="str">
        <f>Raw_Players!A121</f>
        <v>CLE</v>
      </c>
      <c r="B159" s="7" t="str">
        <f>Raw_Players!B121</f>
        <v>Tyrese Proctor</v>
      </c>
      <c r="C159" s="37">
        <f>Raw_Players!E121</f>
        <v>-1.40147518473634</v>
      </c>
      <c r="D159" s="31">
        <f>Raw_Players!F121</f>
        <v>608.53890789911861</v>
      </c>
      <c r="E159" s="31">
        <f>Raw_Players!G121</f>
        <v>10.63628176283129</v>
      </c>
      <c r="F159" s="31">
        <f>Raw_Players!H121</f>
        <v>57.213500118591291</v>
      </c>
      <c r="G159" s="31" t="str">
        <f>IFERROR(IF(INDEX(Overrides!$B$8:$B$47,MATCH(B159,Overrides!$A$8:$A$47,0))="","",INDEX(Overrides!$B$8:$B$47,MATCH(B159,Overrides!$A$8:$A$47,0))),"")</f>
        <v/>
      </c>
      <c r="H159" s="31" t="str">
        <f>IFERROR(IF(INDEX(Overrides!$C$8:$C$47,MATCH(B159,Overrides!$A$8:$A$47,0))="","",INDEX(Overrides!$C$8:$C$47,MATCH(B159,Overrides!$A$8:$A$47,0))),"")</f>
        <v/>
      </c>
      <c r="I159" s="36">
        <f>IFERROR(IF(INDEX(Overrides!$D$8:$D$47,MATCH(B159,Overrides!$A$8:$A$47,0))="",0,INDEX(Overrides!$D$8:$D$47,MATCH(B159,Overrides!$A$8:$A$47,0))),0)</f>
        <v>0</v>
      </c>
      <c r="J159" s="38">
        <f t="shared" si="17"/>
        <v>608.53890789911861</v>
      </c>
      <c r="K159" s="18">
        <f t="shared" si="18"/>
        <v>0.99999999999999978</v>
      </c>
      <c r="L159" s="38">
        <f t="shared" si="19"/>
        <v>608.5389078991185</v>
      </c>
      <c r="M159" s="23">
        <f t="shared" si="20"/>
        <v>-1.40147518473634</v>
      </c>
      <c r="N159" s="23">
        <f t="shared" si="21"/>
        <v>0.15460846237274353</v>
      </c>
      <c r="O159" s="6"/>
      <c r="P159" s="18">
        <f t="shared" si="22"/>
        <v>-0.21667992336564221</v>
      </c>
    </row>
    <row r="160" spans="1:16" ht="15" customHeight="1" x14ac:dyDescent="0.3">
      <c r="A160" s="7" t="str">
        <f>Raw_Players!A122</f>
        <v>CLE</v>
      </c>
      <c r="B160" s="7" t="str">
        <f>Raw_Players!B122</f>
        <v>Meleek Thomas</v>
      </c>
      <c r="C160" s="37">
        <f>Raw_Players!E122</f>
        <v>-3.4369231898983159</v>
      </c>
      <c r="D160" s="31">
        <f>Raw_Players!F122</f>
        <v>566.20615768413461</v>
      </c>
      <c r="E160" s="31">
        <f>Raw_Players!G122</f>
        <v>14.80297397443608</v>
      </c>
      <c r="F160" s="31">
        <f>Raw_Players!H122</f>
        <v>38.249486803255976</v>
      </c>
      <c r="G160" s="31" t="str">
        <f>IFERROR(IF(INDEX(Overrides!$B$8:$B$47,MATCH(B160,Overrides!$A$8:$A$47,0))="","",INDEX(Overrides!$B$8:$B$47,MATCH(B160,Overrides!$A$8:$A$47,0))),"")</f>
        <v/>
      </c>
      <c r="H160" s="31" t="str">
        <f>IFERROR(IF(INDEX(Overrides!$C$8:$C$47,MATCH(B160,Overrides!$A$8:$A$47,0))="","",INDEX(Overrides!$C$8:$C$47,MATCH(B160,Overrides!$A$8:$A$47,0))),"")</f>
        <v/>
      </c>
      <c r="I160" s="36">
        <f>IFERROR(IF(INDEX(Overrides!$D$8:$D$47,MATCH(B160,Overrides!$A$8:$A$47,0))="",0,INDEX(Overrides!$D$8:$D$47,MATCH(B160,Overrides!$A$8:$A$47,0))),0)</f>
        <v>0</v>
      </c>
      <c r="J160" s="38">
        <f t="shared" si="17"/>
        <v>566.20615768413461</v>
      </c>
      <c r="K160" s="18">
        <f t="shared" si="18"/>
        <v>0.99999999999999978</v>
      </c>
      <c r="L160" s="38">
        <f t="shared" si="19"/>
        <v>566.2061576841345</v>
      </c>
      <c r="M160" s="23">
        <f t="shared" si="20"/>
        <v>-3.4369231898983159</v>
      </c>
      <c r="N160" s="23">
        <f t="shared" si="21"/>
        <v>0.1438531904685301</v>
      </c>
      <c r="O160" s="6"/>
      <c r="P160" s="18">
        <f t="shared" si="22"/>
        <v>-0.49441236626215046</v>
      </c>
    </row>
    <row r="161" spans="1:16" ht="15" customHeight="1" x14ac:dyDescent="0.3">
      <c r="A161" s="7" t="str">
        <f>Raw_Players!A123</f>
        <v>CLE</v>
      </c>
      <c r="B161" s="7" t="str">
        <f>Raw_Players!B123</f>
        <v>Kadary Richmond</v>
      </c>
      <c r="C161" s="37">
        <f>Raw_Players!E123</f>
        <v>-0.8967324132723733</v>
      </c>
      <c r="D161" s="31">
        <f>Raw_Players!F123</f>
        <v>533.4869969373143</v>
      </c>
      <c r="E161" s="31">
        <f>Raw_Players!G123</f>
        <v>13.08547921090088</v>
      </c>
      <c r="F161" s="31">
        <f>Raw_Players!H123</f>
        <v>40.769389361980132</v>
      </c>
      <c r="G161" s="31" t="str">
        <f>IFERROR(IF(INDEX(Overrides!$B$8:$B$47,MATCH(B161,Overrides!$A$8:$A$47,0))="","",INDEX(Overrides!$B$8:$B$47,MATCH(B161,Overrides!$A$8:$A$47,0))),"")</f>
        <v/>
      </c>
      <c r="H161" s="31" t="str">
        <f>IFERROR(IF(INDEX(Overrides!$C$8:$C$47,MATCH(B161,Overrides!$A$8:$A$47,0))="","",INDEX(Overrides!$C$8:$C$47,MATCH(B161,Overrides!$A$8:$A$47,0))),"")</f>
        <v/>
      </c>
      <c r="I161" s="36">
        <f>IFERROR(IF(INDEX(Overrides!$D$8:$D$47,MATCH(B161,Overrides!$A$8:$A$47,0))="",0,INDEX(Overrides!$D$8:$D$47,MATCH(B161,Overrides!$A$8:$A$47,0))),0)</f>
        <v>0</v>
      </c>
      <c r="J161" s="38">
        <f t="shared" si="17"/>
        <v>533.4869969373143</v>
      </c>
      <c r="K161" s="18">
        <f t="shared" si="18"/>
        <v>0.99999999999999978</v>
      </c>
      <c r="L161" s="38">
        <f t="shared" si="19"/>
        <v>533.48699693731419</v>
      </c>
      <c r="M161" s="23">
        <f t="shared" si="20"/>
        <v>-0.8967324132723733</v>
      </c>
      <c r="N161" s="23">
        <f t="shared" si="21"/>
        <v>0.13554039556334202</v>
      </c>
      <c r="O161" s="6"/>
      <c r="P161" s="18">
        <f t="shared" si="22"/>
        <v>-0.12154346600940777</v>
      </c>
    </row>
    <row r="162" spans="1:16" ht="15" customHeight="1" x14ac:dyDescent="0.3">
      <c r="A162" s="7" t="str">
        <f>Raw_Players!A124</f>
        <v>CLE</v>
      </c>
      <c r="B162" s="7" t="str">
        <f>Raw_Players!B124</f>
        <v>Tristan Enaruna</v>
      </c>
      <c r="C162" s="37">
        <f>Raw_Players!E124</f>
        <v>-1.5016175090954991</v>
      </c>
      <c r="D162" s="31">
        <f>Raw_Players!F124</f>
        <v>451.04960857250848</v>
      </c>
      <c r="E162" s="31">
        <f>Raw_Players!G124</f>
        <v>10.5293076646419</v>
      </c>
      <c r="F162" s="31">
        <f>Raw_Players!H124</f>
        <v>42.83753718083122</v>
      </c>
      <c r="G162" s="31" t="str">
        <f>IFERROR(IF(INDEX(Overrides!$B$8:$B$47,MATCH(B162,Overrides!$A$8:$A$47,0))="","",INDEX(Overrides!$B$8:$B$47,MATCH(B162,Overrides!$A$8:$A$47,0))),"")</f>
        <v/>
      </c>
      <c r="H162" s="31" t="str">
        <f>IFERROR(IF(INDEX(Overrides!$C$8:$C$47,MATCH(B162,Overrides!$A$8:$A$47,0))="","",INDEX(Overrides!$C$8:$C$47,MATCH(B162,Overrides!$A$8:$A$47,0))),"")</f>
        <v/>
      </c>
      <c r="I162" s="36">
        <f>IFERROR(IF(INDEX(Overrides!$D$8:$D$47,MATCH(B162,Overrides!$A$8:$A$47,0))="",0,INDEX(Overrides!$D$8:$D$47,MATCH(B162,Overrides!$A$8:$A$47,0))),0)</f>
        <v>0</v>
      </c>
      <c r="J162" s="38">
        <f t="shared" si="17"/>
        <v>451.04960857250848</v>
      </c>
      <c r="K162" s="18">
        <f t="shared" si="18"/>
        <v>0.99999999999999978</v>
      </c>
      <c r="L162" s="38">
        <f t="shared" si="19"/>
        <v>451.04960857250836</v>
      </c>
      <c r="M162" s="23">
        <f t="shared" si="20"/>
        <v>-1.5016175090954991</v>
      </c>
      <c r="N162" s="23">
        <f t="shared" si="21"/>
        <v>0.11459593713732429</v>
      </c>
      <c r="O162" s="6"/>
      <c r="P162" s="18">
        <f t="shared" si="22"/>
        <v>-0.1720792656766133</v>
      </c>
    </row>
    <row r="163" spans="1:16" ht="15" customHeight="1" x14ac:dyDescent="0.3">
      <c r="A163" s="7" t="str">
        <f>Raw_Players!A125</f>
        <v>CLE</v>
      </c>
      <c r="B163" s="7" t="str">
        <f>Raw_Players!B125</f>
        <v>Curtis Jones</v>
      </c>
      <c r="C163" s="37">
        <f>Raw_Players!E125</f>
        <v>-1.99460156557302</v>
      </c>
      <c r="D163" s="31">
        <f>Raw_Players!F125</f>
        <v>441.43322730204102</v>
      </c>
      <c r="E163" s="31">
        <f>Raw_Players!G125</f>
        <v>10.222567079090821</v>
      </c>
      <c r="F163" s="31">
        <f>Raw_Players!H125</f>
        <v>43.18222848397307</v>
      </c>
      <c r="G163" s="31" t="str">
        <f>IFERROR(IF(INDEX(Overrides!$B$8:$B$47,MATCH(B163,Overrides!$A$8:$A$47,0))="","",INDEX(Overrides!$B$8:$B$47,MATCH(B163,Overrides!$A$8:$A$47,0))),"")</f>
        <v/>
      </c>
      <c r="H163" s="31" t="str">
        <f>IFERROR(IF(INDEX(Overrides!$C$8:$C$47,MATCH(B163,Overrides!$A$8:$A$47,0))="","",INDEX(Overrides!$C$8:$C$47,MATCH(B163,Overrides!$A$8:$A$47,0))),"")</f>
        <v/>
      </c>
      <c r="I163" s="36">
        <f>IFERROR(IF(INDEX(Overrides!$D$8:$D$47,MATCH(B163,Overrides!$A$8:$A$47,0))="",0,INDEX(Overrides!$D$8:$D$47,MATCH(B163,Overrides!$A$8:$A$47,0))),0)</f>
        <v>0</v>
      </c>
      <c r="J163" s="38">
        <f t="shared" si="17"/>
        <v>441.43322730204102</v>
      </c>
      <c r="K163" s="18">
        <f t="shared" si="18"/>
        <v>0.99999999999999978</v>
      </c>
      <c r="L163" s="38">
        <f t="shared" si="19"/>
        <v>441.4332273020409</v>
      </c>
      <c r="M163" s="23">
        <f t="shared" si="20"/>
        <v>-1.99460156557302</v>
      </c>
      <c r="N163" s="23">
        <f t="shared" si="21"/>
        <v>0.11215275083893315</v>
      </c>
      <c r="O163" s="6"/>
      <c r="P163" s="18">
        <f t="shared" si="22"/>
        <v>-0.22370005240665691</v>
      </c>
    </row>
    <row r="164" spans="1:16" ht="15" customHeight="1" x14ac:dyDescent="0.3">
      <c r="A164" s="7" t="str">
        <f>Raw_Players!A126</f>
        <v>CLE</v>
      </c>
      <c r="B164" s="7" t="str">
        <f>Raw_Players!B126</f>
        <v>Riley Minix</v>
      </c>
      <c r="C164" s="37">
        <f>Raw_Players!E126</f>
        <v>-1.44118514782416</v>
      </c>
      <c r="D164" s="31">
        <f>Raw_Players!F126</f>
        <v>391.48396516851648</v>
      </c>
      <c r="E164" s="31">
        <f>Raw_Players!G126</f>
        <v>9.3373105705314963</v>
      </c>
      <c r="F164" s="31">
        <f>Raw_Players!H126</f>
        <v>41.926844160462849</v>
      </c>
      <c r="G164" s="31" t="str">
        <f>IFERROR(IF(INDEX(Overrides!$B$8:$B$47,MATCH(B164,Overrides!$A$8:$A$47,0))="","",INDEX(Overrides!$B$8:$B$47,MATCH(B164,Overrides!$A$8:$A$47,0))),"")</f>
        <v/>
      </c>
      <c r="H164" s="31" t="str">
        <f>IFERROR(IF(INDEX(Overrides!$C$8:$C$47,MATCH(B164,Overrides!$A$8:$A$47,0))="","",INDEX(Overrides!$C$8:$C$47,MATCH(B164,Overrides!$A$8:$A$47,0))),"")</f>
        <v/>
      </c>
      <c r="I164" s="36">
        <f>IFERROR(IF(INDEX(Overrides!$D$8:$D$47,MATCH(B164,Overrides!$A$8:$A$47,0))="",0,INDEX(Overrides!$D$8:$D$47,MATCH(B164,Overrides!$A$8:$A$47,0))),0)</f>
        <v>0</v>
      </c>
      <c r="J164" s="38">
        <f t="shared" si="17"/>
        <v>391.48396516851648</v>
      </c>
      <c r="K164" s="18">
        <f t="shared" si="18"/>
        <v>0.99999999999999978</v>
      </c>
      <c r="L164" s="38">
        <f t="shared" si="19"/>
        <v>391.48396516851636</v>
      </c>
      <c r="M164" s="23">
        <f t="shared" si="20"/>
        <v>-1.44118514782416</v>
      </c>
      <c r="N164" s="23">
        <f t="shared" si="21"/>
        <v>9.9462389524521438E-2</v>
      </c>
      <c r="O164" s="6"/>
      <c r="P164" s="18">
        <f t="shared" si="22"/>
        <v>-0.1433437185498416</v>
      </c>
    </row>
    <row r="165" spans="1:16" ht="15" customHeight="1" x14ac:dyDescent="0.3">
      <c r="A165" s="7" t="str">
        <f>Raw_Players!A127</f>
        <v>CLE</v>
      </c>
      <c r="B165" s="7" t="str">
        <f>Raw_Players!B127</f>
        <v>Rashaun Agee</v>
      </c>
      <c r="C165" s="37">
        <f>Raw_Players!E127</f>
        <v>-3.1867960702466678</v>
      </c>
      <c r="D165" s="31">
        <f>Raw_Players!F127</f>
        <v>370.79214106034732</v>
      </c>
      <c r="E165" s="31">
        <f>Raw_Players!G127</f>
        <v>12.221916867866931</v>
      </c>
      <c r="F165" s="31">
        <f>Raw_Players!H127</f>
        <v>30.338296772023529</v>
      </c>
      <c r="G165" s="31" t="str">
        <f>IFERROR(IF(INDEX(Overrides!$B$8:$B$47,MATCH(B165,Overrides!$A$8:$A$47,0))="","",INDEX(Overrides!$B$8:$B$47,MATCH(B165,Overrides!$A$8:$A$47,0))),"")</f>
        <v/>
      </c>
      <c r="H165" s="31" t="str">
        <f>IFERROR(IF(INDEX(Overrides!$C$8:$C$47,MATCH(B165,Overrides!$A$8:$A$47,0))="","",INDEX(Overrides!$C$8:$C$47,MATCH(B165,Overrides!$A$8:$A$47,0))),"")</f>
        <v/>
      </c>
      <c r="I165" s="36">
        <f>IFERROR(IF(INDEX(Overrides!$D$8:$D$47,MATCH(B165,Overrides!$A$8:$A$47,0))="",0,INDEX(Overrides!$D$8:$D$47,MATCH(B165,Overrides!$A$8:$A$47,0))),0)</f>
        <v>0</v>
      </c>
      <c r="J165" s="38">
        <f t="shared" si="17"/>
        <v>370.79214106034732</v>
      </c>
      <c r="K165" s="18">
        <f t="shared" si="18"/>
        <v>0.99999999999999978</v>
      </c>
      <c r="L165" s="38">
        <f t="shared" si="19"/>
        <v>370.79214106034726</v>
      </c>
      <c r="M165" s="23">
        <f t="shared" si="20"/>
        <v>-3.1867960702466678</v>
      </c>
      <c r="N165" s="23">
        <f t="shared" si="21"/>
        <v>9.4205320391348393E-2</v>
      </c>
      <c r="O165" s="6"/>
      <c r="P165" s="18">
        <f t="shared" si="22"/>
        <v>-0.30021314481947736</v>
      </c>
    </row>
    <row r="166" spans="1:16" ht="15" customHeight="1" x14ac:dyDescent="0.3">
      <c r="A166" s="7" t="str">
        <f>Raw_Players!A128</f>
        <v>CLE</v>
      </c>
      <c r="B166" s="7" t="str">
        <f>Raw_Players!B128</f>
        <v>Zack Austin</v>
      </c>
      <c r="C166" s="37">
        <f>Raw_Players!E128</f>
        <v>-3.1867960702466678</v>
      </c>
      <c r="D166" s="31">
        <f>Raw_Players!F128</f>
        <v>370.79214106034732</v>
      </c>
      <c r="E166" s="31">
        <f>Raw_Players!G128</f>
        <v>12.221916867866931</v>
      </c>
      <c r="F166" s="31">
        <f>Raw_Players!H128</f>
        <v>30.338296772023529</v>
      </c>
      <c r="G166" s="31" t="str">
        <f>IFERROR(IF(INDEX(Overrides!$B$8:$B$47,MATCH(B166,Overrides!$A$8:$A$47,0))="","",INDEX(Overrides!$B$8:$B$47,MATCH(B166,Overrides!$A$8:$A$47,0))),"")</f>
        <v/>
      </c>
      <c r="H166" s="31" t="str">
        <f>IFERROR(IF(INDEX(Overrides!$C$8:$C$47,MATCH(B166,Overrides!$A$8:$A$47,0))="","",INDEX(Overrides!$C$8:$C$47,MATCH(B166,Overrides!$A$8:$A$47,0))),"")</f>
        <v/>
      </c>
      <c r="I166" s="36">
        <f>IFERROR(IF(INDEX(Overrides!$D$8:$D$47,MATCH(B166,Overrides!$A$8:$A$47,0))="",0,INDEX(Overrides!$D$8:$D$47,MATCH(B166,Overrides!$A$8:$A$47,0))),0)</f>
        <v>0</v>
      </c>
      <c r="J166" s="38">
        <f t="shared" si="17"/>
        <v>370.79214106034732</v>
      </c>
      <c r="K166" s="18">
        <f t="shared" si="18"/>
        <v>0.99999999999999978</v>
      </c>
      <c r="L166" s="38">
        <f t="shared" si="19"/>
        <v>370.79214106034726</v>
      </c>
      <c r="M166" s="23">
        <f t="shared" si="20"/>
        <v>-3.1867960702466678</v>
      </c>
      <c r="N166" s="23">
        <f t="shared" si="21"/>
        <v>9.4205320391348393E-2</v>
      </c>
      <c r="O166" s="6"/>
      <c r="P166" s="18">
        <f t="shared" si="22"/>
        <v>-0.30021314481947736</v>
      </c>
    </row>
    <row r="167" spans="1:16" ht="15" customHeight="1" x14ac:dyDescent="0.3">
      <c r="A167" s="7" t="str">
        <f>Raw_Players!A129</f>
        <v>CLE</v>
      </c>
      <c r="B167" s="7" t="str">
        <f>Raw_Players!B129</f>
        <v>Khalifa Diop</v>
      </c>
      <c r="C167" s="37">
        <f>Raw_Players!E129</f>
        <v>-3.1867960702466678</v>
      </c>
      <c r="D167" s="31">
        <f>Raw_Players!F129</f>
        <v>370.79214106034732</v>
      </c>
      <c r="E167" s="31">
        <f>Raw_Players!G129</f>
        <v>12.221916867866931</v>
      </c>
      <c r="F167" s="31">
        <f>Raw_Players!H129</f>
        <v>30.338296772023529</v>
      </c>
      <c r="G167" s="31" t="str">
        <f>IFERROR(IF(INDEX(Overrides!$B$8:$B$47,MATCH(B167,Overrides!$A$8:$A$47,0))="","",INDEX(Overrides!$B$8:$B$47,MATCH(B167,Overrides!$A$8:$A$47,0))),"")</f>
        <v/>
      </c>
      <c r="H167" s="31" t="str">
        <f>IFERROR(IF(INDEX(Overrides!$C$8:$C$47,MATCH(B167,Overrides!$A$8:$A$47,0))="","",INDEX(Overrides!$C$8:$C$47,MATCH(B167,Overrides!$A$8:$A$47,0))),"")</f>
        <v/>
      </c>
      <c r="I167" s="36">
        <f>IFERROR(IF(INDEX(Overrides!$D$8:$D$47,MATCH(B167,Overrides!$A$8:$A$47,0))="",0,INDEX(Overrides!$D$8:$D$47,MATCH(B167,Overrides!$A$8:$A$47,0))),0)</f>
        <v>0</v>
      </c>
      <c r="J167" s="38">
        <f t="shared" si="17"/>
        <v>370.79214106034732</v>
      </c>
      <c r="K167" s="18">
        <f t="shared" si="18"/>
        <v>0.99999999999999978</v>
      </c>
      <c r="L167" s="38">
        <f t="shared" si="19"/>
        <v>370.79214106034726</v>
      </c>
      <c r="M167" s="23">
        <f t="shared" si="20"/>
        <v>-3.1867960702466678</v>
      </c>
      <c r="N167" s="23">
        <f t="shared" si="21"/>
        <v>9.4205320391348393E-2</v>
      </c>
      <c r="O167" s="6"/>
      <c r="P167" s="18">
        <f t="shared" si="22"/>
        <v>-0.30021314481947736</v>
      </c>
    </row>
    <row r="168" spans="1:16" ht="15" customHeight="1" x14ac:dyDescent="0.3">
      <c r="A168" s="7" t="str">
        <f>Raw_Players!A130</f>
        <v>CLE</v>
      </c>
      <c r="B168" s="7" t="str">
        <f>Raw_Players!B130</f>
        <v>Ernest Udeh Jr.</v>
      </c>
      <c r="C168" s="37">
        <f>Raw_Players!E130</f>
        <v>-3.1867960702466678</v>
      </c>
      <c r="D168" s="31">
        <f>Raw_Players!F130</f>
        <v>370.79214106034732</v>
      </c>
      <c r="E168" s="31">
        <f>Raw_Players!G130</f>
        <v>12.221916867866931</v>
      </c>
      <c r="F168" s="31">
        <f>Raw_Players!H130</f>
        <v>30.338296772023529</v>
      </c>
      <c r="G168" s="31" t="str">
        <f>IFERROR(IF(INDEX(Overrides!$B$8:$B$47,MATCH(B168,Overrides!$A$8:$A$47,0))="","",INDEX(Overrides!$B$8:$B$47,MATCH(B168,Overrides!$A$8:$A$47,0))),"")</f>
        <v/>
      </c>
      <c r="H168" s="31" t="str">
        <f>IFERROR(IF(INDEX(Overrides!$C$8:$C$47,MATCH(B168,Overrides!$A$8:$A$47,0))="","",INDEX(Overrides!$C$8:$C$47,MATCH(B168,Overrides!$A$8:$A$47,0))),"")</f>
        <v/>
      </c>
      <c r="I168" s="36">
        <f>IFERROR(IF(INDEX(Overrides!$D$8:$D$47,MATCH(B168,Overrides!$A$8:$A$47,0))="",0,INDEX(Overrides!$D$8:$D$47,MATCH(B168,Overrides!$A$8:$A$47,0))),0)</f>
        <v>0</v>
      </c>
      <c r="J168" s="38">
        <f t="shared" si="17"/>
        <v>370.79214106034732</v>
      </c>
      <c r="K168" s="18">
        <f t="shared" si="18"/>
        <v>0.99999999999999978</v>
      </c>
      <c r="L168" s="38">
        <f t="shared" si="19"/>
        <v>370.79214106034726</v>
      </c>
      <c r="M168" s="23">
        <f t="shared" si="20"/>
        <v>-3.1867960702466678</v>
      </c>
      <c r="N168" s="23">
        <f t="shared" si="21"/>
        <v>9.4205320391348393E-2</v>
      </c>
      <c r="O168" s="6"/>
      <c r="P168" s="18">
        <f t="shared" si="22"/>
        <v>-0.30021314481947736</v>
      </c>
    </row>
    <row r="169" spans="1:16" ht="15" customHeight="1" x14ac:dyDescent="0.3">
      <c r="A169" s="7" t="str">
        <f>Raw_Players!A131</f>
        <v>CLE</v>
      </c>
      <c r="B169" s="7" t="str">
        <f>Raw_Players!B131</f>
        <v>Noam Yaacov</v>
      </c>
      <c r="C169" s="37">
        <f>Raw_Players!E131</f>
        <v>-3.1867960702466678</v>
      </c>
      <c r="D169" s="31">
        <f>Raw_Players!F131</f>
        <v>370.79214106034732</v>
      </c>
      <c r="E169" s="31">
        <f>Raw_Players!G131</f>
        <v>12.221916867866931</v>
      </c>
      <c r="F169" s="31">
        <f>Raw_Players!H131</f>
        <v>30.338296772023529</v>
      </c>
      <c r="G169" s="31" t="str">
        <f>IFERROR(IF(INDEX(Overrides!$B$8:$B$47,MATCH(B169,Overrides!$A$8:$A$47,0))="","",INDEX(Overrides!$B$8:$B$47,MATCH(B169,Overrides!$A$8:$A$47,0))),"")</f>
        <v/>
      </c>
      <c r="H169" s="31" t="str">
        <f>IFERROR(IF(INDEX(Overrides!$C$8:$C$47,MATCH(B169,Overrides!$A$8:$A$47,0))="","",INDEX(Overrides!$C$8:$C$47,MATCH(B169,Overrides!$A$8:$A$47,0))),"")</f>
        <v/>
      </c>
      <c r="I169" s="36">
        <f>IFERROR(IF(INDEX(Overrides!$D$8:$D$47,MATCH(B169,Overrides!$A$8:$A$47,0))="",0,INDEX(Overrides!$D$8:$D$47,MATCH(B169,Overrides!$A$8:$A$47,0))),0)</f>
        <v>0</v>
      </c>
      <c r="J169" s="38">
        <f t="shared" si="17"/>
        <v>370.79214106034732</v>
      </c>
      <c r="K169" s="18">
        <f t="shared" si="18"/>
        <v>0.99999999999999978</v>
      </c>
      <c r="L169" s="38">
        <f t="shared" si="19"/>
        <v>370.79214106034726</v>
      </c>
      <c r="M169" s="23">
        <f t="shared" si="20"/>
        <v>-3.1867960702466678</v>
      </c>
      <c r="N169" s="23">
        <f t="shared" si="21"/>
        <v>9.4205320391348393E-2</v>
      </c>
      <c r="O169" s="6"/>
      <c r="P169" s="18">
        <f t="shared" si="22"/>
        <v>-0.30021314481947736</v>
      </c>
    </row>
    <row r="170" spans="1:16" ht="15" customHeight="1" x14ac:dyDescent="0.3">
      <c r="A170" s="7" t="str">
        <f>Raw_Players!A132</f>
        <v>DAL</v>
      </c>
      <c r="B170" s="7" t="str">
        <f>Raw_Players!B132</f>
        <v>Cooper Flagg</v>
      </c>
      <c r="C170" s="37">
        <f>Raw_Players!E132</f>
        <v>1.2613184947074489</v>
      </c>
      <c r="D170" s="31">
        <f>Raw_Players!F132</f>
        <v>1739.4724848469291</v>
      </c>
      <c r="E170" s="31">
        <f>Raw_Players!G132</f>
        <v>27.188685134714099</v>
      </c>
      <c r="F170" s="31">
        <f>Raw_Players!H132</f>
        <v>63.977808276796623</v>
      </c>
      <c r="G170" s="31" t="str">
        <f>IFERROR(IF(INDEX(Overrides!$B$8:$B$47,MATCH(B170,Overrides!$A$8:$A$47,0))="","",INDEX(Overrides!$B$8:$B$47,MATCH(B170,Overrides!$A$8:$A$47,0))),"")</f>
        <v/>
      </c>
      <c r="H170" s="31" t="str">
        <f>IFERROR(IF(INDEX(Overrides!$C$8:$C$47,MATCH(B170,Overrides!$A$8:$A$47,0))="","",INDEX(Overrides!$C$8:$C$47,MATCH(B170,Overrides!$A$8:$A$47,0))),"")</f>
        <v/>
      </c>
      <c r="I170" s="36">
        <f>IFERROR(IF(INDEX(Overrides!$D$8:$D$47,MATCH(B170,Overrides!$A$8:$A$47,0))="",0,INDEX(Overrides!$D$8:$D$47,MATCH(B170,Overrides!$A$8:$A$47,0))),0)</f>
        <v>0</v>
      </c>
      <c r="J170" s="38">
        <f t="shared" si="17"/>
        <v>1739.4724848469291</v>
      </c>
      <c r="K170" s="18">
        <f t="shared" si="18"/>
        <v>0.99999999999999978</v>
      </c>
      <c r="L170" s="38">
        <f t="shared" si="19"/>
        <v>1739.4724848469286</v>
      </c>
      <c r="M170" s="23">
        <f t="shared" si="20"/>
        <v>1.2613184947074489</v>
      </c>
      <c r="N170" s="23">
        <f t="shared" si="21"/>
        <v>0.44193914757289854</v>
      </c>
      <c r="O170" s="6"/>
      <c r="P170" s="18">
        <f t="shared" si="22"/>
        <v>0.55742602036894151</v>
      </c>
    </row>
    <row r="171" spans="1:16" ht="15" customHeight="1" x14ac:dyDescent="0.3">
      <c r="A171" s="7" t="str">
        <f>Raw_Players!A133</f>
        <v>DAL</v>
      </c>
      <c r="B171" s="7" t="str">
        <f>Raw_Players!B133</f>
        <v>P.J. Washington</v>
      </c>
      <c r="C171" s="37">
        <f>Raw_Players!E133</f>
        <v>-1.3950261748934969</v>
      </c>
      <c r="D171" s="31">
        <f>Raw_Players!F133</f>
        <v>1595.8632121578401</v>
      </c>
      <c r="E171" s="31">
        <f>Raw_Players!G133</f>
        <v>27.272910002573688</v>
      </c>
      <c r="F171" s="31">
        <f>Raw_Players!H133</f>
        <v>58.514592392496503</v>
      </c>
      <c r="G171" s="31" t="str">
        <f>IFERROR(IF(INDEX(Overrides!$B$8:$B$47,MATCH(B171,Overrides!$A$8:$A$47,0))="","",INDEX(Overrides!$B$8:$B$47,MATCH(B171,Overrides!$A$8:$A$47,0))),"")</f>
        <v/>
      </c>
      <c r="H171" s="31" t="str">
        <f>IFERROR(IF(INDEX(Overrides!$C$8:$C$47,MATCH(B171,Overrides!$A$8:$A$47,0))="","",INDEX(Overrides!$C$8:$C$47,MATCH(B171,Overrides!$A$8:$A$47,0))),"")</f>
        <v/>
      </c>
      <c r="I171" s="36">
        <f>IFERROR(IF(INDEX(Overrides!$D$8:$D$47,MATCH(B171,Overrides!$A$8:$A$47,0))="",0,INDEX(Overrides!$D$8:$D$47,MATCH(B171,Overrides!$A$8:$A$47,0))),0)</f>
        <v>0</v>
      </c>
      <c r="J171" s="38">
        <f t="shared" si="17"/>
        <v>1595.8632121578401</v>
      </c>
      <c r="K171" s="18">
        <f t="shared" si="18"/>
        <v>0.99999999999999978</v>
      </c>
      <c r="L171" s="38">
        <f t="shared" si="19"/>
        <v>1595.8632121578396</v>
      </c>
      <c r="M171" s="23">
        <f t="shared" si="20"/>
        <v>-1.3950261748934969</v>
      </c>
      <c r="N171" s="23">
        <f t="shared" si="21"/>
        <v>0.40545305186936981</v>
      </c>
      <c r="O171" s="6"/>
      <c r="P171" s="18">
        <f t="shared" si="22"/>
        <v>-0.56561762004822158</v>
      </c>
    </row>
    <row r="172" spans="1:16" ht="15" customHeight="1" x14ac:dyDescent="0.3">
      <c r="A172" s="7" t="str">
        <f>Raw_Players!A134</f>
        <v>DAL</v>
      </c>
      <c r="B172" s="7" t="str">
        <f>Raw_Players!B134</f>
        <v>Naji Marshall</v>
      </c>
      <c r="C172" s="37">
        <f>Raw_Players!E134</f>
        <v>-1.1199178141088491</v>
      </c>
      <c r="D172" s="31">
        <f>Raw_Players!F134</f>
        <v>1539.1786720890609</v>
      </c>
      <c r="E172" s="31">
        <f>Raw_Players!G134</f>
        <v>23.990025101280452</v>
      </c>
      <c r="F172" s="31">
        <f>Raw_Players!H134</f>
        <v>64.159110529938886</v>
      </c>
      <c r="G172" s="31" t="str">
        <f>IFERROR(IF(INDEX(Overrides!$B$8:$B$47,MATCH(B172,Overrides!$A$8:$A$47,0))="","",INDEX(Overrides!$B$8:$B$47,MATCH(B172,Overrides!$A$8:$A$47,0))),"")</f>
        <v/>
      </c>
      <c r="H172" s="31" t="str">
        <f>IFERROR(IF(INDEX(Overrides!$C$8:$C$47,MATCH(B172,Overrides!$A$8:$A$47,0))="","",INDEX(Overrides!$C$8:$C$47,MATCH(B172,Overrides!$A$8:$A$47,0))),"")</f>
        <v/>
      </c>
      <c r="I172" s="36">
        <f>IFERROR(IF(INDEX(Overrides!$D$8:$D$47,MATCH(B172,Overrides!$A$8:$A$47,0))="",0,INDEX(Overrides!$D$8:$D$47,MATCH(B172,Overrides!$A$8:$A$47,0))),0)</f>
        <v>0</v>
      </c>
      <c r="J172" s="38">
        <f t="shared" si="17"/>
        <v>1539.1786720890609</v>
      </c>
      <c r="K172" s="18">
        <f t="shared" si="18"/>
        <v>0.99999999999999978</v>
      </c>
      <c r="L172" s="38">
        <f t="shared" si="19"/>
        <v>1539.1786720890605</v>
      </c>
      <c r="M172" s="23">
        <f t="shared" si="20"/>
        <v>-1.1199178141088491</v>
      </c>
      <c r="N172" s="23">
        <f t="shared" si="21"/>
        <v>0.39105149189254584</v>
      </c>
      <c r="O172" s="6"/>
      <c r="P172" s="18">
        <f t="shared" si="22"/>
        <v>-0.43794553200430425</v>
      </c>
    </row>
    <row r="173" spans="1:16" ht="15" customHeight="1" x14ac:dyDescent="0.3">
      <c r="A173" s="7" t="str">
        <f>Raw_Players!A135</f>
        <v>DAL</v>
      </c>
      <c r="B173" s="7" t="str">
        <f>Raw_Players!B135</f>
        <v>Max Christie</v>
      </c>
      <c r="C173" s="37">
        <f>Raw_Players!E135</f>
        <v>-1.411368595326121</v>
      </c>
      <c r="D173" s="31">
        <f>Raw_Players!F135</f>
        <v>1536.309871828184</v>
      </c>
      <c r="E173" s="31">
        <f>Raw_Players!G135</f>
        <v>23.076815057769242</v>
      </c>
      <c r="F173" s="31">
        <f>Raw_Players!H135</f>
        <v>66.573739399577846</v>
      </c>
      <c r="G173" s="31" t="str">
        <f>IFERROR(IF(INDEX(Overrides!$B$8:$B$47,MATCH(B173,Overrides!$A$8:$A$47,0))="","",INDEX(Overrides!$B$8:$B$47,MATCH(B173,Overrides!$A$8:$A$47,0))),"")</f>
        <v/>
      </c>
      <c r="H173" s="31" t="str">
        <f>IFERROR(IF(INDEX(Overrides!$C$8:$C$47,MATCH(B173,Overrides!$A$8:$A$47,0))="","",INDEX(Overrides!$C$8:$C$47,MATCH(B173,Overrides!$A$8:$A$47,0))),"")</f>
        <v/>
      </c>
      <c r="I173" s="36">
        <f>IFERROR(IF(INDEX(Overrides!$D$8:$D$47,MATCH(B173,Overrides!$A$8:$A$47,0))="",0,INDEX(Overrides!$D$8:$D$47,MATCH(B173,Overrides!$A$8:$A$47,0))),0)</f>
        <v>0</v>
      </c>
      <c r="J173" s="38">
        <f t="shared" si="17"/>
        <v>1536.309871828184</v>
      </c>
      <c r="K173" s="18">
        <f t="shared" si="18"/>
        <v>0.99999999999999978</v>
      </c>
      <c r="L173" s="38">
        <f t="shared" si="19"/>
        <v>1536.3098718281835</v>
      </c>
      <c r="M173" s="23">
        <f t="shared" si="20"/>
        <v>-1.411368595326121</v>
      </c>
      <c r="N173" s="23">
        <f t="shared" si="21"/>
        <v>0.39032263003764828</v>
      </c>
      <c r="O173" s="6"/>
      <c r="P173" s="18">
        <f t="shared" si="22"/>
        <v>-0.5508891020802329</v>
      </c>
    </row>
    <row r="174" spans="1:16" ht="15" customHeight="1" x14ac:dyDescent="0.3">
      <c r="A174" s="7" t="str">
        <f>Raw_Players!A136</f>
        <v>DAL</v>
      </c>
      <c r="B174" s="7" t="str">
        <f>Raw_Players!B136</f>
        <v>Santi Aldama</v>
      </c>
      <c r="C174" s="37">
        <f>Raw_Players!E136</f>
        <v>1.0886324226576569</v>
      </c>
      <c r="D174" s="31">
        <f>Raw_Players!F136</f>
        <v>1515.694619475511</v>
      </c>
      <c r="E174" s="31">
        <f>Raw_Players!G136</f>
        <v>23.719848853786399</v>
      </c>
      <c r="F174" s="31">
        <f>Raw_Players!H136</f>
        <v>63.899843073138364</v>
      </c>
      <c r="G174" s="31" t="str">
        <f>IFERROR(IF(INDEX(Overrides!$B$8:$B$47,MATCH(B174,Overrides!$A$8:$A$47,0))="","",INDEX(Overrides!$B$8:$B$47,MATCH(B174,Overrides!$A$8:$A$47,0))),"")</f>
        <v/>
      </c>
      <c r="H174" s="31" t="str">
        <f>IFERROR(IF(INDEX(Overrides!$C$8:$C$47,MATCH(B174,Overrides!$A$8:$A$47,0))="","",INDEX(Overrides!$C$8:$C$47,MATCH(B174,Overrides!$A$8:$A$47,0))),"")</f>
        <v/>
      </c>
      <c r="I174" s="36">
        <f>IFERROR(IF(INDEX(Overrides!$D$8:$D$47,MATCH(B174,Overrides!$A$8:$A$47,0))="",0,INDEX(Overrides!$D$8:$D$47,MATCH(B174,Overrides!$A$8:$A$47,0))),0)</f>
        <v>0</v>
      </c>
      <c r="J174" s="38">
        <f t="shared" ref="J174:J237" si="23">IF(AND(G174="",H174=""),D174,IF(H174="",F174,H174)*IF(G174="",E174,G174))</f>
        <v>1515.694619475511</v>
      </c>
      <c r="K174" s="18">
        <f t="shared" ref="K174:K237" si="24">A_teamminutes/SUMIF($A$46:$A$672,A174,$J$46:$J$672)</f>
        <v>0.99999999999999978</v>
      </c>
      <c r="L174" s="38">
        <f t="shared" ref="L174:L237" si="25">J174*K174</f>
        <v>1515.6946194755108</v>
      </c>
      <c r="M174" s="23">
        <f t="shared" ref="M174:M237" si="26">C174+I174</f>
        <v>1.0886324226576569</v>
      </c>
      <c r="N174" s="23">
        <f t="shared" ref="N174:N237" si="27">L174/(A_teamminutes/5)</f>
        <v>0.38508501511064808</v>
      </c>
      <c r="O174" s="6"/>
      <c r="P174" s="18">
        <f t="shared" ref="P174:P237" si="28">N174*M174</f>
        <v>0.41921603292906523</v>
      </c>
    </row>
    <row r="175" spans="1:16" ht="15" customHeight="1" x14ac:dyDescent="0.3">
      <c r="A175" s="7" t="str">
        <f>Raw_Players!A137</f>
        <v>DAL</v>
      </c>
      <c r="B175" s="7" t="str">
        <f>Raw_Players!B137</f>
        <v>Zaccharie Risacher</v>
      </c>
      <c r="C175" s="37">
        <f>Raw_Players!E137</f>
        <v>-1.8574848143046709</v>
      </c>
      <c r="D175" s="31">
        <f>Raw_Players!F137</f>
        <v>1298.0365817833549</v>
      </c>
      <c r="E175" s="31">
        <f>Raw_Players!G137</f>
        <v>20.33962858119633</v>
      </c>
      <c r="F175" s="31">
        <f>Raw_Players!H137</f>
        <v>63.818106441892922</v>
      </c>
      <c r="G175" s="31" t="str">
        <f>IFERROR(IF(INDEX(Overrides!$B$8:$B$47,MATCH(B175,Overrides!$A$8:$A$47,0))="","",INDEX(Overrides!$B$8:$B$47,MATCH(B175,Overrides!$A$8:$A$47,0))),"")</f>
        <v/>
      </c>
      <c r="H175" s="31" t="str">
        <f>IFERROR(IF(INDEX(Overrides!$C$8:$C$47,MATCH(B175,Overrides!$A$8:$A$47,0))="","",INDEX(Overrides!$C$8:$C$47,MATCH(B175,Overrides!$A$8:$A$47,0))),"")</f>
        <v/>
      </c>
      <c r="I175" s="36">
        <f>IFERROR(IF(INDEX(Overrides!$D$8:$D$47,MATCH(B175,Overrides!$A$8:$A$47,0))="",0,INDEX(Overrides!$D$8:$D$47,MATCH(B175,Overrides!$A$8:$A$47,0))),0)</f>
        <v>0</v>
      </c>
      <c r="J175" s="38">
        <f t="shared" si="23"/>
        <v>1298.0365817833549</v>
      </c>
      <c r="K175" s="18">
        <f t="shared" si="24"/>
        <v>0.99999999999999978</v>
      </c>
      <c r="L175" s="38">
        <f t="shared" si="25"/>
        <v>1298.0365817833547</v>
      </c>
      <c r="M175" s="23">
        <f t="shared" si="26"/>
        <v>-1.8574848143046709</v>
      </c>
      <c r="N175" s="23">
        <f t="shared" si="27"/>
        <v>0.32978571691650271</v>
      </c>
      <c r="O175" s="6"/>
      <c r="P175" s="18">
        <f t="shared" si="28"/>
        <v>-0.61257196114698287</v>
      </c>
    </row>
    <row r="176" spans="1:16" ht="15" customHeight="1" x14ac:dyDescent="0.3">
      <c r="A176" s="7" t="str">
        <f>Raw_Players!A138</f>
        <v>DAL</v>
      </c>
      <c r="B176" s="7" t="str">
        <f>Raw_Players!B138</f>
        <v>Daniel Gafford</v>
      </c>
      <c r="C176" s="37">
        <f>Raw_Players!E138</f>
        <v>0.7941746016976361</v>
      </c>
      <c r="D176" s="31">
        <f>Raw_Players!F138</f>
        <v>1148.9658801007649</v>
      </c>
      <c r="E176" s="31">
        <f>Raw_Players!G138</f>
        <v>19.720259902148101</v>
      </c>
      <c r="F176" s="31">
        <f>Raw_Players!H138</f>
        <v>58.26322197587313</v>
      </c>
      <c r="G176" s="31" t="str">
        <f>IFERROR(IF(INDEX(Overrides!$B$8:$B$47,MATCH(B176,Overrides!$A$8:$A$47,0))="","",INDEX(Overrides!$B$8:$B$47,MATCH(B176,Overrides!$A$8:$A$47,0))),"")</f>
        <v/>
      </c>
      <c r="H176" s="31" t="str">
        <f>IFERROR(IF(INDEX(Overrides!$C$8:$C$47,MATCH(B176,Overrides!$A$8:$A$47,0))="","",INDEX(Overrides!$C$8:$C$47,MATCH(B176,Overrides!$A$8:$A$47,0))),"")</f>
        <v/>
      </c>
      <c r="I176" s="36">
        <f>IFERROR(IF(INDEX(Overrides!$D$8:$D$47,MATCH(B176,Overrides!$A$8:$A$47,0))="",0,INDEX(Overrides!$D$8:$D$47,MATCH(B176,Overrides!$A$8:$A$47,0))),0)</f>
        <v>0</v>
      </c>
      <c r="J176" s="38">
        <f t="shared" si="23"/>
        <v>1148.9658801007649</v>
      </c>
      <c r="K176" s="18">
        <f t="shared" si="24"/>
        <v>0.99999999999999978</v>
      </c>
      <c r="L176" s="38">
        <f t="shared" si="25"/>
        <v>1148.9658801007647</v>
      </c>
      <c r="M176" s="23">
        <f t="shared" si="26"/>
        <v>0.7941746016976361</v>
      </c>
      <c r="N176" s="23">
        <f t="shared" si="27"/>
        <v>0.29191206303373085</v>
      </c>
      <c r="O176" s="6"/>
      <c r="P176" s="18">
        <f t="shared" si="28"/>
        <v>0.23182914639054844</v>
      </c>
    </row>
    <row r="177" spans="1:16" ht="15" customHeight="1" x14ac:dyDescent="0.3">
      <c r="A177" s="7" t="str">
        <f>Raw_Players!A139</f>
        <v>DAL</v>
      </c>
      <c r="B177" s="7" t="str">
        <f>Raw_Players!B139</f>
        <v>Morez Johnson Jr.</v>
      </c>
      <c r="C177" s="37">
        <f>Raw_Players!E139</f>
        <v>-0.85698915585069502</v>
      </c>
      <c r="D177" s="31">
        <f>Raw_Players!F139</f>
        <v>1116.281446889124</v>
      </c>
      <c r="E177" s="31">
        <f>Raw_Players!G139</f>
        <v>19.848923329497559</v>
      </c>
      <c r="F177" s="31">
        <f>Raw_Players!H139</f>
        <v>56.238891569005858</v>
      </c>
      <c r="G177" s="31" t="str">
        <f>IFERROR(IF(INDEX(Overrides!$B$8:$B$47,MATCH(B177,Overrides!$A$8:$A$47,0))="","",INDEX(Overrides!$B$8:$B$47,MATCH(B177,Overrides!$A$8:$A$47,0))),"")</f>
        <v/>
      </c>
      <c r="H177" s="31" t="str">
        <f>IFERROR(IF(INDEX(Overrides!$C$8:$C$47,MATCH(B177,Overrides!$A$8:$A$47,0))="","",INDEX(Overrides!$C$8:$C$47,MATCH(B177,Overrides!$A$8:$A$47,0))),"")</f>
        <v/>
      </c>
      <c r="I177" s="36">
        <f>IFERROR(IF(INDEX(Overrides!$D$8:$D$47,MATCH(B177,Overrides!$A$8:$A$47,0))="",0,INDEX(Overrides!$D$8:$D$47,MATCH(B177,Overrides!$A$8:$A$47,0))),0)</f>
        <v>0</v>
      </c>
      <c r="J177" s="38">
        <f t="shared" si="23"/>
        <v>1116.281446889124</v>
      </c>
      <c r="K177" s="18">
        <f t="shared" si="24"/>
        <v>0.99999999999999978</v>
      </c>
      <c r="L177" s="38">
        <f t="shared" si="25"/>
        <v>1116.2814468891238</v>
      </c>
      <c r="M177" s="23">
        <f t="shared" si="26"/>
        <v>-0.85698915585069502</v>
      </c>
      <c r="N177" s="23">
        <f t="shared" si="27"/>
        <v>0.2836080911811798</v>
      </c>
      <c r="O177" s="6"/>
      <c r="P177" s="18">
        <f t="shared" si="28"/>
        <v>-0.24304905865378623</v>
      </c>
    </row>
    <row r="178" spans="1:16" ht="15" customHeight="1" x14ac:dyDescent="0.3">
      <c r="A178" s="7" t="str">
        <f>Raw_Players!A140</f>
        <v>DAL</v>
      </c>
      <c r="B178" s="7" t="str">
        <f>Raw_Players!B140</f>
        <v>Caleb Martin</v>
      </c>
      <c r="C178" s="37">
        <f>Raw_Players!E140</f>
        <v>-2.3747087389030361</v>
      </c>
      <c r="D178" s="31">
        <f>Raw_Players!F140</f>
        <v>1037.0290606783681</v>
      </c>
      <c r="E178" s="31">
        <f>Raw_Players!G140</f>
        <v>17.233437542155649</v>
      </c>
      <c r="F178" s="31">
        <f>Raw_Players!H140</f>
        <v>60.175403667529153</v>
      </c>
      <c r="G178" s="31" t="str">
        <f>IFERROR(IF(INDEX(Overrides!$B$8:$B$47,MATCH(B178,Overrides!$A$8:$A$47,0))="","",INDEX(Overrides!$B$8:$B$47,MATCH(B178,Overrides!$A$8:$A$47,0))),"")</f>
        <v/>
      </c>
      <c r="H178" s="31" t="str">
        <f>IFERROR(IF(INDEX(Overrides!$C$8:$C$47,MATCH(B178,Overrides!$A$8:$A$47,0))="","",INDEX(Overrides!$C$8:$C$47,MATCH(B178,Overrides!$A$8:$A$47,0))),"")</f>
        <v/>
      </c>
      <c r="I178" s="36">
        <f>IFERROR(IF(INDEX(Overrides!$D$8:$D$47,MATCH(B178,Overrides!$A$8:$A$47,0))="",0,INDEX(Overrides!$D$8:$D$47,MATCH(B178,Overrides!$A$8:$A$47,0))),0)</f>
        <v>0</v>
      </c>
      <c r="J178" s="38">
        <f t="shared" si="23"/>
        <v>1037.0290606783681</v>
      </c>
      <c r="K178" s="18">
        <f t="shared" si="24"/>
        <v>0.99999999999999978</v>
      </c>
      <c r="L178" s="38">
        <f t="shared" si="25"/>
        <v>1037.0290606783678</v>
      </c>
      <c r="M178" s="23">
        <f t="shared" si="26"/>
        <v>-2.3747087389030361</v>
      </c>
      <c r="N178" s="23">
        <f t="shared" si="27"/>
        <v>0.2634728304569024</v>
      </c>
      <c r="O178" s="6"/>
      <c r="P178" s="18">
        <f t="shared" si="28"/>
        <v>-0.62567123294952409</v>
      </c>
    </row>
    <row r="179" spans="1:16" ht="15" customHeight="1" x14ac:dyDescent="0.3">
      <c r="A179" s="7" t="str">
        <f>Raw_Players!A141</f>
        <v>DAL</v>
      </c>
      <c r="B179" s="7" t="str">
        <f>Raw_Players!B141</f>
        <v>Kyrie Irving</v>
      </c>
      <c r="C179" s="37">
        <f>Raw_Players!E141</f>
        <v>1.422609944881932</v>
      </c>
      <c r="D179" s="31">
        <f>Raw_Players!F141</f>
        <v>909.86450979414201</v>
      </c>
      <c r="E179" s="31">
        <f>Raw_Players!G141</f>
        <v>29.990625928386791</v>
      </c>
      <c r="F179" s="31">
        <f>Raw_Players!H141</f>
        <v>30.338296772023529</v>
      </c>
      <c r="G179" s="31" t="str">
        <f>IFERROR(IF(INDEX(Overrides!$B$8:$B$47,MATCH(B179,Overrides!$A$8:$A$47,0))="","",INDEX(Overrides!$B$8:$B$47,MATCH(B179,Overrides!$A$8:$A$47,0))),"")</f>
        <v/>
      </c>
      <c r="H179" s="31" t="str">
        <f>IFERROR(IF(INDEX(Overrides!$C$8:$C$47,MATCH(B179,Overrides!$A$8:$A$47,0))="","",INDEX(Overrides!$C$8:$C$47,MATCH(B179,Overrides!$A$8:$A$47,0))),"")</f>
        <v/>
      </c>
      <c r="I179" s="36">
        <f>IFERROR(IF(INDEX(Overrides!$D$8:$D$47,MATCH(B179,Overrides!$A$8:$A$47,0))="",0,INDEX(Overrides!$D$8:$D$47,MATCH(B179,Overrides!$A$8:$A$47,0))),0)</f>
        <v>0</v>
      </c>
      <c r="J179" s="38">
        <f t="shared" si="23"/>
        <v>909.86450979414201</v>
      </c>
      <c r="K179" s="18">
        <f t="shared" si="24"/>
        <v>0.99999999999999978</v>
      </c>
      <c r="L179" s="38">
        <f t="shared" si="25"/>
        <v>909.86450979414178</v>
      </c>
      <c r="M179" s="23">
        <f t="shared" si="26"/>
        <v>1.422609944881932</v>
      </c>
      <c r="N179" s="23">
        <f t="shared" si="27"/>
        <v>0.23116476366721081</v>
      </c>
      <c r="O179" s="6"/>
      <c r="P179" s="18">
        <f t="shared" si="28"/>
        <v>0.32885729169925559</v>
      </c>
    </row>
    <row r="180" spans="1:16" ht="15" customHeight="1" x14ac:dyDescent="0.3">
      <c r="A180" s="7" t="str">
        <f>Raw_Players!A142</f>
        <v>DAL</v>
      </c>
      <c r="B180" s="7" t="str">
        <f>Raw_Players!B142</f>
        <v>Dereck Lively II</v>
      </c>
      <c r="C180" s="37">
        <f>Raw_Players!E142</f>
        <v>1.433777861439625</v>
      </c>
      <c r="D180" s="31">
        <f>Raw_Players!F142</f>
        <v>865.3512468053575</v>
      </c>
      <c r="E180" s="31">
        <f>Raw_Players!G142</f>
        <v>19.188206034189861</v>
      </c>
      <c r="F180" s="31">
        <f>Raw_Players!H142</f>
        <v>45.098079792527777</v>
      </c>
      <c r="G180" s="31" t="str">
        <f>IFERROR(IF(INDEX(Overrides!$B$8:$B$47,MATCH(B180,Overrides!$A$8:$A$47,0))="","",INDEX(Overrides!$B$8:$B$47,MATCH(B180,Overrides!$A$8:$A$47,0))),"")</f>
        <v/>
      </c>
      <c r="H180" s="31" t="str">
        <f>IFERROR(IF(INDEX(Overrides!$C$8:$C$47,MATCH(B180,Overrides!$A$8:$A$47,0))="","",INDEX(Overrides!$C$8:$C$47,MATCH(B180,Overrides!$A$8:$A$47,0))),"")</f>
        <v/>
      </c>
      <c r="I180" s="36">
        <f>IFERROR(IF(INDEX(Overrides!$D$8:$D$47,MATCH(B180,Overrides!$A$8:$A$47,0))="",0,INDEX(Overrides!$D$8:$D$47,MATCH(B180,Overrides!$A$8:$A$47,0))),0)</f>
        <v>0</v>
      </c>
      <c r="J180" s="38">
        <f t="shared" si="23"/>
        <v>865.3512468053575</v>
      </c>
      <c r="K180" s="18">
        <f t="shared" si="24"/>
        <v>0.99999999999999978</v>
      </c>
      <c r="L180" s="38">
        <f t="shared" si="25"/>
        <v>865.35124680535728</v>
      </c>
      <c r="M180" s="23">
        <f t="shared" si="26"/>
        <v>1.433777861439625</v>
      </c>
      <c r="N180" s="23">
        <f t="shared" si="27"/>
        <v>0.21985549969648305</v>
      </c>
      <c r="O180" s="6"/>
      <c r="P180" s="18">
        <f t="shared" si="28"/>
        <v>0.3152239481805636</v>
      </c>
    </row>
    <row r="181" spans="1:16" ht="15" customHeight="1" x14ac:dyDescent="0.3">
      <c r="A181" s="7" t="str">
        <f>Raw_Players!A143</f>
        <v>DAL</v>
      </c>
      <c r="B181" s="7" t="str">
        <f>Raw_Players!B143</f>
        <v>Marcus Sasser</v>
      </c>
      <c r="C181" s="37">
        <f>Raw_Players!E143</f>
        <v>-0.92632496143237342</v>
      </c>
      <c r="D181" s="31">
        <f>Raw_Players!F143</f>
        <v>718.30001378637814</v>
      </c>
      <c r="E181" s="31">
        <f>Raw_Players!G143</f>
        <v>13.19372322029986</v>
      </c>
      <c r="F181" s="31">
        <f>Raw_Players!H143</f>
        <v>54.44255588757553</v>
      </c>
      <c r="G181" s="31" t="str">
        <f>IFERROR(IF(INDEX(Overrides!$B$8:$B$47,MATCH(B181,Overrides!$A$8:$A$47,0))="","",INDEX(Overrides!$B$8:$B$47,MATCH(B181,Overrides!$A$8:$A$47,0))),"")</f>
        <v/>
      </c>
      <c r="H181" s="31" t="str">
        <f>IFERROR(IF(INDEX(Overrides!$C$8:$C$47,MATCH(B181,Overrides!$A$8:$A$47,0))="","",INDEX(Overrides!$C$8:$C$47,MATCH(B181,Overrides!$A$8:$A$47,0))),"")</f>
        <v/>
      </c>
      <c r="I181" s="36">
        <f>IFERROR(IF(INDEX(Overrides!$D$8:$D$47,MATCH(B181,Overrides!$A$8:$A$47,0))="",0,INDEX(Overrides!$D$8:$D$47,MATCH(B181,Overrides!$A$8:$A$47,0))),0)</f>
        <v>0</v>
      </c>
      <c r="J181" s="38">
        <f t="shared" si="23"/>
        <v>718.30001378637814</v>
      </c>
      <c r="K181" s="18">
        <f t="shared" si="24"/>
        <v>0.99999999999999978</v>
      </c>
      <c r="L181" s="38">
        <f t="shared" si="25"/>
        <v>718.30001378637803</v>
      </c>
      <c r="M181" s="23">
        <f t="shared" si="26"/>
        <v>-0.92632496143237342</v>
      </c>
      <c r="N181" s="23">
        <f t="shared" si="27"/>
        <v>0.1824949222018237</v>
      </c>
      <c r="O181" s="6"/>
      <c r="P181" s="18">
        <f t="shared" si="28"/>
        <v>-0.16904960177020834</v>
      </c>
    </row>
    <row r="182" spans="1:16" ht="15" customHeight="1" x14ac:dyDescent="0.3">
      <c r="A182" s="7" t="str">
        <f>Raw_Players!A144</f>
        <v>DAL</v>
      </c>
      <c r="B182" s="7" t="str">
        <f>Raw_Players!B144</f>
        <v>Dwight Powell</v>
      </c>
      <c r="C182" s="37">
        <f>Raw_Players!E144</f>
        <v>-0.2777732285876004</v>
      </c>
      <c r="D182" s="31">
        <f>Raw_Players!F144</f>
        <v>673.85278591780332</v>
      </c>
      <c r="E182" s="31">
        <f>Raw_Players!G144</f>
        <v>11.78118807108433</v>
      </c>
      <c r="F182" s="31">
        <f>Raw_Players!H144</f>
        <v>57.197354108258672</v>
      </c>
      <c r="G182" s="31" t="str">
        <f>IFERROR(IF(INDEX(Overrides!$B$8:$B$47,MATCH(B182,Overrides!$A$8:$A$47,0))="","",INDEX(Overrides!$B$8:$B$47,MATCH(B182,Overrides!$A$8:$A$47,0))),"")</f>
        <v/>
      </c>
      <c r="H182" s="31" t="str">
        <f>IFERROR(IF(INDEX(Overrides!$C$8:$C$47,MATCH(B182,Overrides!$A$8:$A$47,0))="","",INDEX(Overrides!$C$8:$C$47,MATCH(B182,Overrides!$A$8:$A$47,0))),"")</f>
        <v/>
      </c>
      <c r="I182" s="36">
        <f>IFERROR(IF(INDEX(Overrides!$D$8:$D$47,MATCH(B182,Overrides!$A$8:$A$47,0))="",0,INDEX(Overrides!$D$8:$D$47,MATCH(B182,Overrides!$A$8:$A$47,0))),0)</f>
        <v>0</v>
      </c>
      <c r="J182" s="38">
        <f t="shared" si="23"/>
        <v>673.85278591780332</v>
      </c>
      <c r="K182" s="18">
        <f t="shared" si="24"/>
        <v>0.99999999999999978</v>
      </c>
      <c r="L182" s="38">
        <f t="shared" si="25"/>
        <v>673.8527859178032</v>
      </c>
      <c r="M182" s="23">
        <f t="shared" si="26"/>
        <v>-0.2777732285876004</v>
      </c>
      <c r="N182" s="23">
        <f t="shared" si="27"/>
        <v>0.17120243544659633</v>
      </c>
      <c r="O182" s="6"/>
      <c r="P182" s="18">
        <f t="shared" si="28"/>
        <v>-4.75554532360613E-2</v>
      </c>
    </row>
    <row r="183" spans="1:16" ht="15" customHeight="1" x14ac:dyDescent="0.3">
      <c r="A183" s="7" t="str">
        <f>Raw_Players!A145</f>
        <v>DAL</v>
      </c>
      <c r="B183" s="7" t="str">
        <f>Raw_Players!B145</f>
        <v>Sergio de Larrea</v>
      </c>
      <c r="C183" s="37">
        <f>Raw_Players!E145</f>
        <v>-2.8763566757298662</v>
      </c>
      <c r="D183" s="31">
        <f>Raw_Players!F145</f>
        <v>658.10384192418348</v>
      </c>
      <c r="E183" s="31">
        <f>Raw_Players!G145</f>
        <v>15.51722251252602</v>
      </c>
      <c r="F183" s="31">
        <f>Raw_Players!H145</f>
        <v>42.411188045601577</v>
      </c>
      <c r="G183" s="31" t="str">
        <f>IFERROR(IF(INDEX(Overrides!$B$8:$B$47,MATCH(B183,Overrides!$A$8:$A$47,0))="","",INDEX(Overrides!$B$8:$B$47,MATCH(B183,Overrides!$A$8:$A$47,0))),"")</f>
        <v/>
      </c>
      <c r="H183" s="31" t="str">
        <f>IFERROR(IF(INDEX(Overrides!$C$8:$C$47,MATCH(B183,Overrides!$A$8:$A$47,0))="","",INDEX(Overrides!$C$8:$C$47,MATCH(B183,Overrides!$A$8:$A$47,0))),"")</f>
        <v/>
      </c>
      <c r="I183" s="36">
        <f>IFERROR(IF(INDEX(Overrides!$D$8:$D$47,MATCH(B183,Overrides!$A$8:$A$47,0))="",0,INDEX(Overrides!$D$8:$D$47,MATCH(B183,Overrides!$A$8:$A$47,0))),0)</f>
        <v>0</v>
      </c>
      <c r="J183" s="38">
        <f t="shared" si="23"/>
        <v>658.10384192418348</v>
      </c>
      <c r="K183" s="18">
        <f t="shared" si="24"/>
        <v>0.99999999999999978</v>
      </c>
      <c r="L183" s="38">
        <f t="shared" si="25"/>
        <v>658.10384192418337</v>
      </c>
      <c r="M183" s="23">
        <f t="shared" si="26"/>
        <v>-2.8763566757298662</v>
      </c>
      <c r="N183" s="23">
        <f t="shared" si="27"/>
        <v>0.16720117935065634</v>
      </c>
      <c r="O183" s="6"/>
      <c r="P183" s="18">
        <f t="shared" si="28"/>
        <v>-0.48093022841516703</v>
      </c>
    </row>
    <row r="184" spans="1:16" ht="15" customHeight="1" x14ac:dyDescent="0.3">
      <c r="A184" s="7" t="str">
        <f>Raw_Players!A146</f>
        <v>DAL</v>
      </c>
      <c r="B184" s="7" t="str">
        <f>Raw_Players!B146</f>
        <v>Jett Howard</v>
      </c>
      <c r="C184" s="37">
        <f>Raw_Players!E146</f>
        <v>-2.1142919847444732</v>
      </c>
      <c r="D184" s="31">
        <f>Raw_Players!F146</f>
        <v>637.20743436396629</v>
      </c>
      <c r="E184" s="31">
        <f>Raw_Players!G146</f>
        <v>10.733936862542199</v>
      </c>
      <c r="F184" s="31">
        <f>Raw_Players!H146</f>
        <v>59.363814276531087</v>
      </c>
      <c r="G184" s="31" t="str">
        <f>IFERROR(IF(INDEX(Overrides!$B$8:$B$47,MATCH(B184,Overrides!$A$8:$A$47,0))="","",INDEX(Overrides!$B$8:$B$47,MATCH(B184,Overrides!$A$8:$A$47,0))),"")</f>
        <v/>
      </c>
      <c r="H184" s="31" t="str">
        <f>IFERROR(IF(INDEX(Overrides!$C$8:$C$47,MATCH(B184,Overrides!$A$8:$A$47,0))="","",INDEX(Overrides!$C$8:$C$47,MATCH(B184,Overrides!$A$8:$A$47,0))),"")</f>
        <v/>
      </c>
      <c r="I184" s="36">
        <f>IFERROR(IF(INDEX(Overrides!$D$8:$D$47,MATCH(B184,Overrides!$A$8:$A$47,0))="",0,INDEX(Overrides!$D$8:$D$47,MATCH(B184,Overrides!$A$8:$A$47,0))),0)</f>
        <v>0</v>
      </c>
      <c r="J184" s="38">
        <f t="shared" si="23"/>
        <v>637.20743436396629</v>
      </c>
      <c r="K184" s="18">
        <f t="shared" si="24"/>
        <v>0.99999999999999978</v>
      </c>
      <c r="L184" s="38">
        <f t="shared" si="25"/>
        <v>637.20743436396617</v>
      </c>
      <c r="M184" s="23">
        <f t="shared" si="26"/>
        <v>-2.1142919847444732</v>
      </c>
      <c r="N184" s="23">
        <f t="shared" si="27"/>
        <v>0.16189213271442229</v>
      </c>
      <c r="O184" s="6"/>
      <c r="P184" s="18">
        <f t="shared" si="28"/>
        <v>-0.34228723859129156</v>
      </c>
    </row>
    <row r="185" spans="1:16" ht="15" customHeight="1" x14ac:dyDescent="0.3">
      <c r="A185" s="7" t="str">
        <f>Raw_Players!A147</f>
        <v>DAL</v>
      </c>
      <c r="B185" s="7" t="str">
        <f>Raw_Players!B147</f>
        <v>John Poulakidas</v>
      </c>
      <c r="C185" s="37">
        <f>Raw_Players!E147</f>
        <v>-1.377776405098172</v>
      </c>
      <c r="D185" s="31">
        <f>Raw_Players!F147</f>
        <v>628.96707501583501</v>
      </c>
      <c r="E185" s="31">
        <f>Raw_Players!G147</f>
        <v>14.15949111929976</v>
      </c>
      <c r="F185" s="31">
        <f>Raw_Players!H147</f>
        <v>44.420175111981003</v>
      </c>
      <c r="G185" s="31" t="str">
        <f>IFERROR(IF(INDEX(Overrides!$B$8:$B$47,MATCH(B185,Overrides!$A$8:$A$47,0))="","",INDEX(Overrides!$B$8:$B$47,MATCH(B185,Overrides!$A$8:$A$47,0))),"")</f>
        <v/>
      </c>
      <c r="H185" s="31" t="str">
        <f>IFERROR(IF(INDEX(Overrides!$C$8:$C$47,MATCH(B185,Overrides!$A$8:$A$47,0))="","",INDEX(Overrides!$C$8:$C$47,MATCH(B185,Overrides!$A$8:$A$47,0))),"")</f>
        <v/>
      </c>
      <c r="I185" s="36">
        <f>IFERROR(IF(INDEX(Overrides!$D$8:$D$47,MATCH(B185,Overrides!$A$8:$A$47,0))="",0,INDEX(Overrides!$D$8:$D$47,MATCH(B185,Overrides!$A$8:$A$47,0))),0)</f>
        <v>0</v>
      </c>
      <c r="J185" s="38">
        <f t="shared" si="23"/>
        <v>628.96707501583501</v>
      </c>
      <c r="K185" s="18">
        <f t="shared" si="24"/>
        <v>0.99999999999999978</v>
      </c>
      <c r="L185" s="38">
        <f t="shared" si="25"/>
        <v>628.96707501583489</v>
      </c>
      <c r="M185" s="23">
        <f t="shared" si="26"/>
        <v>-1.377776405098172</v>
      </c>
      <c r="N185" s="23">
        <f t="shared" si="27"/>
        <v>0.15979854548166536</v>
      </c>
      <c r="O185" s="6"/>
      <c r="P185" s="18">
        <f t="shared" si="28"/>
        <v>-0.22016666553364564</v>
      </c>
    </row>
    <row r="186" spans="1:16" ht="15" customHeight="1" x14ac:dyDescent="0.3">
      <c r="A186" s="7" t="str">
        <f>Raw_Players!A148</f>
        <v>DAL</v>
      </c>
      <c r="B186" s="7" t="str">
        <f>Raw_Players!B148</f>
        <v>Moussa Cisse</v>
      </c>
      <c r="C186" s="37">
        <f>Raw_Players!E148</f>
        <v>-1.330855301556088</v>
      </c>
      <c r="D186" s="31">
        <f>Raw_Players!F148</f>
        <v>618.91021571302792</v>
      </c>
      <c r="E186" s="31">
        <f>Raw_Players!G148</f>
        <v>10.97296976656024</v>
      </c>
      <c r="F186" s="31">
        <f>Raw_Players!H148</f>
        <v>56.403164218964321</v>
      </c>
      <c r="G186" s="31" t="str">
        <f>IFERROR(IF(INDEX(Overrides!$B$8:$B$47,MATCH(B186,Overrides!$A$8:$A$47,0))="","",INDEX(Overrides!$B$8:$B$47,MATCH(B186,Overrides!$A$8:$A$47,0))),"")</f>
        <v/>
      </c>
      <c r="H186" s="31" t="str">
        <f>IFERROR(IF(INDEX(Overrides!$C$8:$C$47,MATCH(B186,Overrides!$A$8:$A$47,0))="","",INDEX(Overrides!$C$8:$C$47,MATCH(B186,Overrides!$A$8:$A$47,0))),"")</f>
        <v/>
      </c>
      <c r="I186" s="36">
        <f>IFERROR(IF(INDEX(Overrides!$D$8:$D$47,MATCH(B186,Overrides!$A$8:$A$47,0))="",0,INDEX(Overrides!$D$8:$D$47,MATCH(B186,Overrides!$A$8:$A$47,0))),0)</f>
        <v>0</v>
      </c>
      <c r="J186" s="38">
        <f t="shared" si="23"/>
        <v>618.91021571302792</v>
      </c>
      <c r="K186" s="18">
        <f t="shared" si="24"/>
        <v>0.99999999999999978</v>
      </c>
      <c r="L186" s="38">
        <f t="shared" si="25"/>
        <v>618.91021571302781</v>
      </c>
      <c r="M186" s="23">
        <f t="shared" si="26"/>
        <v>-1.330855301556088</v>
      </c>
      <c r="N186" s="23">
        <f t="shared" si="27"/>
        <v>0.15724344911408228</v>
      </c>
      <c r="O186" s="6"/>
      <c r="P186" s="18">
        <f t="shared" si="28"/>
        <v>-0.20926827788844135</v>
      </c>
    </row>
    <row r="187" spans="1:16" ht="15" customHeight="1" x14ac:dyDescent="0.3">
      <c r="A187" s="7" t="str">
        <f>Raw_Players!A149</f>
        <v>DAL</v>
      </c>
      <c r="B187" s="7" t="str">
        <f>Raw_Players!B149</f>
        <v>Tobi Lawal</v>
      </c>
      <c r="C187" s="37">
        <f>Raw_Players!E149</f>
        <v>-3.951142873938235</v>
      </c>
      <c r="D187" s="31">
        <f>Raw_Players!F149</f>
        <v>428.22084366199812</v>
      </c>
      <c r="E187" s="31">
        <f>Raw_Players!G149</f>
        <v>12.751427875534899</v>
      </c>
      <c r="F187" s="31">
        <f>Raw_Players!H149</f>
        <v>33.582187645321618</v>
      </c>
      <c r="G187" s="31" t="str">
        <f>IFERROR(IF(INDEX(Overrides!$B$8:$B$47,MATCH(B187,Overrides!$A$8:$A$47,0))="","",INDEX(Overrides!$B$8:$B$47,MATCH(B187,Overrides!$A$8:$A$47,0))),"")</f>
        <v/>
      </c>
      <c r="H187" s="31" t="str">
        <f>IFERROR(IF(INDEX(Overrides!$C$8:$C$47,MATCH(B187,Overrides!$A$8:$A$47,0))="","",INDEX(Overrides!$C$8:$C$47,MATCH(B187,Overrides!$A$8:$A$47,0))),"")</f>
        <v/>
      </c>
      <c r="I187" s="36">
        <f>IFERROR(IF(INDEX(Overrides!$D$8:$D$47,MATCH(B187,Overrides!$A$8:$A$47,0))="",0,INDEX(Overrides!$D$8:$D$47,MATCH(B187,Overrides!$A$8:$A$47,0))),0)</f>
        <v>0</v>
      </c>
      <c r="J187" s="38">
        <f t="shared" si="23"/>
        <v>428.22084366199812</v>
      </c>
      <c r="K187" s="18">
        <f t="shared" si="24"/>
        <v>0.99999999999999978</v>
      </c>
      <c r="L187" s="38">
        <f t="shared" si="25"/>
        <v>428.220843661998</v>
      </c>
      <c r="M187" s="23">
        <f t="shared" si="26"/>
        <v>-3.951142873938235</v>
      </c>
      <c r="N187" s="23">
        <f t="shared" si="27"/>
        <v>0.10879594605233689</v>
      </c>
      <c r="O187" s="6"/>
      <c r="P187" s="18">
        <f t="shared" si="28"/>
        <v>-0.42986832695805954</v>
      </c>
    </row>
    <row r="188" spans="1:16" ht="15" customHeight="1" x14ac:dyDescent="0.3">
      <c r="A188" s="7" t="str">
        <f>Raw_Players!A150</f>
        <v>DAL</v>
      </c>
      <c r="B188" s="7" t="str">
        <f>Raw_Players!B150</f>
        <v>Tarik Biberovic</v>
      </c>
      <c r="C188" s="37">
        <f>Raw_Players!E150</f>
        <v>-3.1867960702466678</v>
      </c>
      <c r="D188" s="31">
        <f>Raw_Players!F150</f>
        <v>356.02714975701218</v>
      </c>
      <c r="E188" s="31">
        <f>Raw_Players!G150</f>
        <v>11.73523854791093</v>
      </c>
      <c r="F188" s="31">
        <f>Raw_Players!H150</f>
        <v>30.338296772023529</v>
      </c>
      <c r="G188" s="31" t="str">
        <f>IFERROR(IF(INDEX(Overrides!$B$8:$B$47,MATCH(B188,Overrides!$A$8:$A$47,0))="","",INDEX(Overrides!$B$8:$B$47,MATCH(B188,Overrides!$A$8:$A$47,0))),"")</f>
        <v/>
      </c>
      <c r="H188" s="31" t="str">
        <f>IFERROR(IF(INDEX(Overrides!$C$8:$C$47,MATCH(B188,Overrides!$A$8:$A$47,0))="","",INDEX(Overrides!$C$8:$C$47,MATCH(B188,Overrides!$A$8:$A$47,0))),"")</f>
        <v/>
      </c>
      <c r="I188" s="36">
        <f>IFERROR(IF(INDEX(Overrides!$D$8:$D$47,MATCH(B188,Overrides!$A$8:$A$47,0))="",0,INDEX(Overrides!$D$8:$D$47,MATCH(B188,Overrides!$A$8:$A$47,0))),0)</f>
        <v>0</v>
      </c>
      <c r="J188" s="38">
        <f t="shared" si="23"/>
        <v>356.02714975701218</v>
      </c>
      <c r="K188" s="18">
        <f t="shared" si="24"/>
        <v>0.99999999999999978</v>
      </c>
      <c r="L188" s="38">
        <f t="shared" si="25"/>
        <v>356.02714975701213</v>
      </c>
      <c r="M188" s="23">
        <f t="shared" si="26"/>
        <v>-3.1867960702466678</v>
      </c>
      <c r="N188" s="23">
        <f t="shared" si="27"/>
        <v>9.0454052275663652E-2</v>
      </c>
      <c r="O188" s="6"/>
      <c r="P188" s="18">
        <f t="shared" si="28"/>
        <v>-0.28825861832997157</v>
      </c>
    </row>
    <row r="189" spans="1:16" ht="15" customHeight="1" x14ac:dyDescent="0.3">
      <c r="A189" s="7" t="str">
        <f>Raw_Players!A151</f>
        <v>DAL</v>
      </c>
      <c r="B189" s="7" t="str">
        <f>Raw_Players!B151</f>
        <v>Jorge Diaz Graham</v>
      </c>
      <c r="C189" s="37">
        <f>Raw_Players!E151</f>
        <v>-3.1867960702466678</v>
      </c>
      <c r="D189" s="31">
        <f>Raw_Players!F151</f>
        <v>356.02714975701218</v>
      </c>
      <c r="E189" s="31">
        <f>Raw_Players!G151</f>
        <v>11.73523854791093</v>
      </c>
      <c r="F189" s="31">
        <f>Raw_Players!H151</f>
        <v>30.338296772023529</v>
      </c>
      <c r="G189" s="31" t="str">
        <f>IFERROR(IF(INDEX(Overrides!$B$8:$B$47,MATCH(B189,Overrides!$A$8:$A$47,0))="","",INDEX(Overrides!$B$8:$B$47,MATCH(B189,Overrides!$A$8:$A$47,0))),"")</f>
        <v/>
      </c>
      <c r="H189" s="31" t="str">
        <f>IFERROR(IF(INDEX(Overrides!$C$8:$C$47,MATCH(B189,Overrides!$A$8:$A$47,0))="","",INDEX(Overrides!$C$8:$C$47,MATCH(B189,Overrides!$A$8:$A$47,0))),"")</f>
        <v/>
      </c>
      <c r="I189" s="36">
        <f>IFERROR(IF(INDEX(Overrides!$D$8:$D$47,MATCH(B189,Overrides!$A$8:$A$47,0))="",0,INDEX(Overrides!$D$8:$D$47,MATCH(B189,Overrides!$A$8:$A$47,0))),0)</f>
        <v>0</v>
      </c>
      <c r="J189" s="38">
        <f t="shared" si="23"/>
        <v>356.02714975701218</v>
      </c>
      <c r="K189" s="18">
        <f t="shared" si="24"/>
        <v>0.99999999999999978</v>
      </c>
      <c r="L189" s="38">
        <f t="shared" si="25"/>
        <v>356.02714975701213</v>
      </c>
      <c r="M189" s="23">
        <f t="shared" si="26"/>
        <v>-3.1867960702466678</v>
      </c>
      <c r="N189" s="23">
        <f t="shared" si="27"/>
        <v>9.0454052275663652E-2</v>
      </c>
      <c r="O189" s="6"/>
      <c r="P189" s="18">
        <f t="shared" si="28"/>
        <v>-0.28825861832997157</v>
      </c>
    </row>
    <row r="190" spans="1:16" ht="15" customHeight="1" x14ac:dyDescent="0.3">
      <c r="A190" s="7" t="str">
        <f>Raw_Players!A152</f>
        <v>DAL</v>
      </c>
      <c r="B190" s="7" t="str">
        <f>Raw_Players!B152</f>
        <v>Seth Lundy</v>
      </c>
      <c r="C190" s="37">
        <f>Raw_Players!E152</f>
        <v>-1.953291264118461</v>
      </c>
      <c r="D190" s="31">
        <f>Raw_Players!F152</f>
        <v>302.3359036541458</v>
      </c>
      <c r="E190" s="31">
        <f>Raw_Players!G152</f>
        <v>8.8510444871989247</v>
      </c>
      <c r="F190" s="31">
        <f>Raw_Players!H152</f>
        <v>34.15821760826168</v>
      </c>
      <c r="G190" s="31" t="str">
        <f>IFERROR(IF(INDEX(Overrides!$B$8:$B$47,MATCH(B190,Overrides!$A$8:$A$47,0))="","",INDEX(Overrides!$B$8:$B$47,MATCH(B190,Overrides!$A$8:$A$47,0))),"")</f>
        <v/>
      </c>
      <c r="H190" s="31" t="str">
        <f>IFERROR(IF(INDEX(Overrides!$C$8:$C$47,MATCH(B190,Overrides!$A$8:$A$47,0))="","",INDEX(Overrides!$C$8:$C$47,MATCH(B190,Overrides!$A$8:$A$47,0))),"")</f>
        <v/>
      </c>
      <c r="I190" s="36">
        <f>IFERROR(IF(INDEX(Overrides!$D$8:$D$47,MATCH(B190,Overrides!$A$8:$A$47,0))="",0,INDEX(Overrides!$D$8:$D$47,MATCH(B190,Overrides!$A$8:$A$47,0))),0)</f>
        <v>0</v>
      </c>
      <c r="J190" s="38">
        <f t="shared" si="23"/>
        <v>302.3359036541458</v>
      </c>
      <c r="K190" s="18">
        <f t="shared" si="24"/>
        <v>0.99999999999999978</v>
      </c>
      <c r="L190" s="38">
        <f t="shared" si="25"/>
        <v>302.33590365414574</v>
      </c>
      <c r="M190" s="23">
        <f t="shared" si="26"/>
        <v>-1.953291264118461</v>
      </c>
      <c r="N190" s="23">
        <f t="shared" si="27"/>
        <v>7.6812983651967925E-2</v>
      </c>
      <c r="O190" s="6"/>
      <c r="P190" s="18">
        <f t="shared" si="28"/>
        <v>-0.1500381299382631</v>
      </c>
    </row>
    <row r="191" spans="1:16" ht="15" customHeight="1" x14ac:dyDescent="0.3">
      <c r="A191" s="7" t="str">
        <f>Raw_Players!A153</f>
        <v>DEN</v>
      </c>
      <c r="B191" s="7" t="str">
        <f>Raw_Players!B153</f>
        <v>Jamal Murray</v>
      </c>
      <c r="C191" s="37">
        <f>Raw_Players!E153</f>
        <v>3.1248112005372</v>
      </c>
      <c r="D191" s="31">
        <f>Raw_Players!F153</f>
        <v>1888.0550434502529</v>
      </c>
      <c r="E191" s="31">
        <f>Raw_Players!G153</f>
        <v>29.530698006165</v>
      </c>
      <c r="F191" s="31">
        <f>Raw_Players!H153</f>
        <v>63.93533410744616</v>
      </c>
      <c r="G191" s="31" t="str">
        <f>IFERROR(IF(INDEX(Overrides!$B$8:$B$47,MATCH(B191,Overrides!$A$8:$A$47,0))="","",INDEX(Overrides!$B$8:$B$47,MATCH(B191,Overrides!$A$8:$A$47,0))),"")</f>
        <v/>
      </c>
      <c r="H191" s="31" t="str">
        <f>IFERROR(IF(INDEX(Overrides!$C$8:$C$47,MATCH(B191,Overrides!$A$8:$A$47,0))="","",INDEX(Overrides!$C$8:$C$47,MATCH(B191,Overrides!$A$8:$A$47,0))),"")</f>
        <v/>
      </c>
      <c r="I191" s="36">
        <f>IFERROR(IF(INDEX(Overrides!$D$8:$D$47,MATCH(B191,Overrides!$A$8:$A$47,0))="",0,INDEX(Overrides!$D$8:$D$47,MATCH(B191,Overrides!$A$8:$A$47,0))),0)</f>
        <v>0</v>
      </c>
      <c r="J191" s="38">
        <f t="shared" si="23"/>
        <v>1888.0550434502529</v>
      </c>
      <c r="K191" s="18">
        <f t="shared" si="24"/>
        <v>1.0000000000000004</v>
      </c>
      <c r="L191" s="38">
        <f t="shared" si="25"/>
        <v>1888.0550434502538</v>
      </c>
      <c r="M191" s="23">
        <f t="shared" si="26"/>
        <v>3.1248112005372</v>
      </c>
      <c r="N191" s="23">
        <f t="shared" si="27"/>
        <v>0.47968878136439375</v>
      </c>
      <c r="O191" s="6"/>
      <c r="P191" s="18">
        <f t="shared" si="28"/>
        <v>1.4989368767794977</v>
      </c>
    </row>
    <row r="192" spans="1:16" ht="15" customHeight="1" x14ac:dyDescent="0.3">
      <c r="A192" s="7" t="str">
        <f>Raw_Players!A154</f>
        <v>DEN</v>
      </c>
      <c r="B192" s="7" t="str">
        <f>Raw_Players!B154</f>
        <v>Nikola Jokic</v>
      </c>
      <c r="C192" s="37">
        <f>Raw_Players!E154</f>
        <v>10.421075024166109</v>
      </c>
      <c r="D192" s="31">
        <f>Raw_Players!F154</f>
        <v>1826.795577797071</v>
      </c>
      <c r="E192" s="31">
        <f>Raw_Players!G154</f>
        <v>29.947368665182118</v>
      </c>
      <c r="F192" s="31">
        <f>Raw_Players!H154</f>
        <v>61.00020333075102</v>
      </c>
      <c r="G192" s="31" t="str">
        <f>IFERROR(IF(INDEX(Overrides!$B$8:$B$47,MATCH(B192,Overrides!$A$8:$A$47,0))="","",INDEX(Overrides!$B$8:$B$47,MATCH(B192,Overrides!$A$8:$A$47,0))),"")</f>
        <v/>
      </c>
      <c r="H192" s="31" t="str">
        <f>IFERROR(IF(INDEX(Overrides!$C$8:$C$47,MATCH(B192,Overrides!$A$8:$A$47,0))="","",INDEX(Overrides!$C$8:$C$47,MATCH(B192,Overrides!$A$8:$A$47,0))),"")</f>
        <v/>
      </c>
      <c r="I192" s="36">
        <f>IFERROR(IF(INDEX(Overrides!$D$8:$D$47,MATCH(B192,Overrides!$A$8:$A$47,0))="",0,INDEX(Overrides!$D$8:$D$47,MATCH(B192,Overrides!$A$8:$A$47,0))),0)</f>
        <v>0</v>
      </c>
      <c r="J192" s="38">
        <f t="shared" si="23"/>
        <v>1826.795577797071</v>
      </c>
      <c r="K192" s="18">
        <f t="shared" si="24"/>
        <v>1.0000000000000004</v>
      </c>
      <c r="L192" s="38">
        <f t="shared" si="25"/>
        <v>1826.7955777970719</v>
      </c>
      <c r="M192" s="23">
        <f t="shared" si="26"/>
        <v>10.421075024166109</v>
      </c>
      <c r="N192" s="23">
        <f t="shared" si="27"/>
        <v>0.4641248927329959</v>
      </c>
      <c r="O192" s="6"/>
      <c r="P192" s="18">
        <f t="shared" si="28"/>
        <v>4.8366803277535979</v>
      </c>
    </row>
    <row r="193" spans="1:16" ht="15" customHeight="1" x14ac:dyDescent="0.3">
      <c r="A193" s="7" t="str">
        <f>Raw_Players!A155</f>
        <v>DEN</v>
      </c>
      <c r="B193" s="7" t="str">
        <f>Raw_Players!B155</f>
        <v>DeMar DeRozan</v>
      </c>
      <c r="C193" s="37">
        <f>Raw_Players!E155</f>
        <v>-1.330347957507267</v>
      </c>
      <c r="D193" s="31">
        <f>Raw_Players!F155</f>
        <v>1774.9023201470129</v>
      </c>
      <c r="E193" s="31">
        <f>Raw_Players!G155</f>
        <v>28.827063911550471</v>
      </c>
      <c r="F193" s="31">
        <f>Raw_Players!H155</f>
        <v>61.570693622940993</v>
      </c>
      <c r="G193" s="31" t="str">
        <f>IFERROR(IF(INDEX(Overrides!$B$8:$B$47,MATCH(B193,Overrides!$A$8:$A$47,0))="","",INDEX(Overrides!$B$8:$B$47,MATCH(B193,Overrides!$A$8:$A$47,0))),"")</f>
        <v/>
      </c>
      <c r="H193" s="31" t="str">
        <f>IFERROR(IF(INDEX(Overrides!$C$8:$C$47,MATCH(B193,Overrides!$A$8:$A$47,0))="","",INDEX(Overrides!$C$8:$C$47,MATCH(B193,Overrides!$A$8:$A$47,0))),"")</f>
        <v/>
      </c>
      <c r="I193" s="36">
        <f>IFERROR(IF(INDEX(Overrides!$D$8:$D$47,MATCH(B193,Overrides!$A$8:$A$47,0))="",0,INDEX(Overrides!$D$8:$D$47,MATCH(B193,Overrides!$A$8:$A$47,0))),0)</f>
        <v>0</v>
      </c>
      <c r="J193" s="38">
        <f t="shared" si="23"/>
        <v>1774.9023201470129</v>
      </c>
      <c r="K193" s="18">
        <f t="shared" si="24"/>
        <v>1.0000000000000004</v>
      </c>
      <c r="L193" s="38">
        <f t="shared" si="25"/>
        <v>1774.9023201470136</v>
      </c>
      <c r="M193" s="23">
        <f t="shared" si="26"/>
        <v>-1.330347957507267</v>
      </c>
      <c r="N193" s="23">
        <f t="shared" si="27"/>
        <v>0.45094063011865182</v>
      </c>
      <c r="O193" s="6"/>
      <c r="P193" s="18">
        <f t="shared" si="28"/>
        <v>-0.59990794623538846</v>
      </c>
    </row>
    <row r="194" spans="1:16" ht="15" customHeight="1" x14ac:dyDescent="0.3">
      <c r="A194" s="7" t="str">
        <f>Raw_Players!A156</f>
        <v>DEN</v>
      </c>
      <c r="B194" s="7" t="str">
        <f>Raw_Players!B156</f>
        <v>Christian Braun</v>
      </c>
      <c r="C194" s="37">
        <f>Raw_Players!E156</f>
        <v>0.382328297698104</v>
      </c>
      <c r="D194" s="31">
        <f>Raw_Players!F156</f>
        <v>1469.415190304114</v>
      </c>
      <c r="E194" s="31">
        <f>Raw_Players!G156</f>
        <v>25.261588919940621</v>
      </c>
      <c r="F194" s="31">
        <f>Raw_Players!H156</f>
        <v>58.167963818942873</v>
      </c>
      <c r="G194" s="31" t="str">
        <f>IFERROR(IF(INDEX(Overrides!$B$8:$B$47,MATCH(B194,Overrides!$A$8:$A$47,0))="","",INDEX(Overrides!$B$8:$B$47,MATCH(B194,Overrides!$A$8:$A$47,0))),"")</f>
        <v/>
      </c>
      <c r="H194" s="31" t="str">
        <f>IFERROR(IF(INDEX(Overrides!$C$8:$C$47,MATCH(B194,Overrides!$A$8:$A$47,0))="","",INDEX(Overrides!$C$8:$C$47,MATCH(B194,Overrides!$A$8:$A$47,0))),"")</f>
        <v/>
      </c>
      <c r="I194" s="36">
        <f>IFERROR(IF(INDEX(Overrides!$D$8:$D$47,MATCH(B194,Overrides!$A$8:$A$47,0))="",0,INDEX(Overrides!$D$8:$D$47,MATCH(B194,Overrides!$A$8:$A$47,0))),0)</f>
        <v>0</v>
      </c>
      <c r="J194" s="38">
        <f t="shared" si="23"/>
        <v>1469.415190304114</v>
      </c>
      <c r="K194" s="18">
        <f t="shared" si="24"/>
        <v>1.0000000000000004</v>
      </c>
      <c r="L194" s="38">
        <f t="shared" si="25"/>
        <v>1469.4151903041147</v>
      </c>
      <c r="M194" s="23">
        <f t="shared" si="26"/>
        <v>0.382328297698104</v>
      </c>
      <c r="N194" s="23">
        <f t="shared" si="27"/>
        <v>0.37332703005693973</v>
      </c>
      <c r="O194" s="6"/>
      <c r="P194" s="18">
        <f t="shared" si="28"/>
        <v>0.14273348788635867</v>
      </c>
    </row>
    <row r="195" spans="1:16" ht="15" customHeight="1" x14ac:dyDescent="0.3">
      <c r="A195" s="7" t="str">
        <f>Raw_Players!A157</f>
        <v>DEN</v>
      </c>
      <c r="B195" s="7" t="str">
        <f>Raw_Players!B157</f>
        <v>Cameron Johnson</v>
      </c>
      <c r="C195" s="37">
        <f>Raw_Players!E157</f>
        <v>0.61597408014013888</v>
      </c>
      <c r="D195" s="31">
        <f>Raw_Players!F157</f>
        <v>1461.4605000398551</v>
      </c>
      <c r="E195" s="31">
        <f>Raw_Players!G157</f>
        <v>25.463920340336781</v>
      </c>
      <c r="F195" s="31">
        <f>Raw_Players!H157</f>
        <v>57.393381714471928</v>
      </c>
      <c r="G195" s="31" t="str">
        <f>IFERROR(IF(INDEX(Overrides!$B$8:$B$47,MATCH(B195,Overrides!$A$8:$A$47,0))="","",INDEX(Overrides!$B$8:$B$47,MATCH(B195,Overrides!$A$8:$A$47,0))),"")</f>
        <v/>
      </c>
      <c r="H195" s="31" t="str">
        <f>IFERROR(IF(INDEX(Overrides!$C$8:$C$47,MATCH(B195,Overrides!$A$8:$A$47,0))="","",INDEX(Overrides!$C$8:$C$47,MATCH(B195,Overrides!$A$8:$A$47,0))),"")</f>
        <v/>
      </c>
      <c r="I195" s="36">
        <f>IFERROR(IF(INDEX(Overrides!$D$8:$D$47,MATCH(B195,Overrides!$A$8:$A$47,0))="",0,INDEX(Overrides!$D$8:$D$47,MATCH(B195,Overrides!$A$8:$A$47,0))),0)</f>
        <v>0</v>
      </c>
      <c r="J195" s="38">
        <f t="shared" si="23"/>
        <v>1461.4605000398551</v>
      </c>
      <c r="K195" s="18">
        <f t="shared" si="24"/>
        <v>1.0000000000000004</v>
      </c>
      <c r="L195" s="38">
        <f t="shared" si="25"/>
        <v>1461.4605000398558</v>
      </c>
      <c r="M195" s="23">
        <f t="shared" si="26"/>
        <v>0.61597408014013888</v>
      </c>
      <c r="N195" s="23">
        <f t="shared" si="27"/>
        <v>0.37130602135158935</v>
      </c>
      <c r="O195" s="6"/>
      <c r="P195" s="18">
        <f t="shared" si="28"/>
        <v>0.22871488495254003</v>
      </c>
    </row>
    <row r="196" spans="1:16" ht="15" customHeight="1" x14ac:dyDescent="0.3">
      <c r="A196" s="7" t="str">
        <f>Raw_Players!A158</f>
        <v>DEN</v>
      </c>
      <c r="B196" s="7" t="str">
        <f>Raw_Players!B158</f>
        <v>Aaron Gordon</v>
      </c>
      <c r="C196" s="37">
        <f>Raw_Players!E158</f>
        <v>2.1087697789249642</v>
      </c>
      <c r="D196" s="31">
        <f>Raw_Players!F158</f>
        <v>1268.34501559049</v>
      </c>
      <c r="E196" s="31">
        <f>Raw_Players!G158</f>
        <v>24.420665740842409</v>
      </c>
      <c r="F196" s="31">
        <f>Raw_Players!H158</f>
        <v>51.937364404822219</v>
      </c>
      <c r="G196" s="31" t="str">
        <f>IFERROR(IF(INDEX(Overrides!$B$8:$B$47,MATCH(B196,Overrides!$A$8:$A$47,0))="","",INDEX(Overrides!$B$8:$B$47,MATCH(B196,Overrides!$A$8:$A$47,0))),"")</f>
        <v/>
      </c>
      <c r="H196" s="31" t="str">
        <f>IFERROR(IF(INDEX(Overrides!$C$8:$C$47,MATCH(B196,Overrides!$A$8:$A$47,0))="","",INDEX(Overrides!$C$8:$C$47,MATCH(B196,Overrides!$A$8:$A$47,0))),"")</f>
        <v/>
      </c>
      <c r="I196" s="36">
        <f>IFERROR(IF(INDEX(Overrides!$D$8:$D$47,MATCH(B196,Overrides!$A$8:$A$47,0))="",0,INDEX(Overrides!$D$8:$D$47,MATCH(B196,Overrides!$A$8:$A$47,0))),0)</f>
        <v>0</v>
      </c>
      <c r="J196" s="38">
        <f t="shared" si="23"/>
        <v>1268.34501559049</v>
      </c>
      <c r="K196" s="18">
        <f t="shared" si="24"/>
        <v>1.0000000000000004</v>
      </c>
      <c r="L196" s="38">
        <f t="shared" si="25"/>
        <v>1268.3450155904904</v>
      </c>
      <c r="M196" s="23">
        <f t="shared" si="26"/>
        <v>2.1087697789249642</v>
      </c>
      <c r="N196" s="23">
        <f t="shared" si="27"/>
        <v>0.32224212794473844</v>
      </c>
      <c r="O196" s="6"/>
      <c r="P196" s="18">
        <f t="shared" si="28"/>
        <v>0.67953446090633607</v>
      </c>
    </row>
    <row r="197" spans="1:16" ht="15" customHeight="1" x14ac:dyDescent="0.3">
      <c r="A197" s="7" t="str">
        <f>Raw_Players!A159</f>
        <v>DEN</v>
      </c>
      <c r="B197" s="7" t="str">
        <f>Raw_Players!B159</f>
        <v>Tyus Jones</v>
      </c>
      <c r="C197" s="37">
        <f>Raw_Players!E159</f>
        <v>-1.209275710028018</v>
      </c>
      <c r="D197" s="31">
        <f>Raw_Players!F159</f>
        <v>1155.2958051827759</v>
      </c>
      <c r="E197" s="31">
        <f>Raw_Players!G159</f>
        <v>18.366920575713959</v>
      </c>
      <c r="F197" s="31">
        <f>Raw_Players!H159</f>
        <v>62.900898407019291</v>
      </c>
      <c r="G197" s="31" t="str">
        <f>IFERROR(IF(INDEX(Overrides!$B$8:$B$47,MATCH(B197,Overrides!$A$8:$A$47,0))="","",INDEX(Overrides!$B$8:$B$47,MATCH(B197,Overrides!$A$8:$A$47,0))),"")</f>
        <v/>
      </c>
      <c r="H197" s="31" t="str">
        <f>IFERROR(IF(INDEX(Overrides!$C$8:$C$47,MATCH(B197,Overrides!$A$8:$A$47,0))="","",INDEX(Overrides!$C$8:$C$47,MATCH(B197,Overrides!$A$8:$A$47,0))),"")</f>
        <v/>
      </c>
      <c r="I197" s="36">
        <f>IFERROR(IF(INDEX(Overrides!$D$8:$D$47,MATCH(B197,Overrides!$A$8:$A$47,0))="",0,INDEX(Overrides!$D$8:$D$47,MATCH(B197,Overrides!$A$8:$A$47,0))),0)</f>
        <v>0</v>
      </c>
      <c r="J197" s="38">
        <f t="shared" si="23"/>
        <v>1155.2958051827759</v>
      </c>
      <c r="K197" s="18">
        <f t="shared" si="24"/>
        <v>1.0000000000000004</v>
      </c>
      <c r="L197" s="38">
        <f t="shared" si="25"/>
        <v>1155.2958051827763</v>
      </c>
      <c r="M197" s="23">
        <f t="shared" si="26"/>
        <v>-1.209275710028018</v>
      </c>
      <c r="N197" s="23">
        <f t="shared" si="27"/>
        <v>0.29352027570700617</v>
      </c>
      <c r="O197" s="6"/>
      <c r="P197" s="18">
        <f t="shared" si="28"/>
        <v>-0.35494693981320952</v>
      </c>
    </row>
    <row r="198" spans="1:16" ht="15" customHeight="1" x14ac:dyDescent="0.3">
      <c r="A198" s="7" t="str">
        <f>Raw_Players!A160</f>
        <v>DEN</v>
      </c>
      <c r="B198" s="7" t="str">
        <f>Raw_Players!B160</f>
        <v>Ryan Nembhard</v>
      </c>
      <c r="C198" s="37">
        <f>Raw_Players!E160</f>
        <v>-2.4502033780567301</v>
      </c>
      <c r="D198" s="31">
        <f>Raw_Players!F160</f>
        <v>965.91761321360957</v>
      </c>
      <c r="E198" s="31">
        <f>Raw_Players!G160</f>
        <v>15.93380065278483</v>
      </c>
      <c r="F198" s="31">
        <f>Raw_Players!H160</f>
        <v>60.620666359647927</v>
      </c>
      <c r="G198" s="31" t="str">
        <f>IFERROR(IF(INDEX(Overrides!$B$8:$B$47,MATCH(B198,Overrides!$A$8:$A$47,0))="","",INDEX(Overrides!$B$8:$B$47,MATCH(B198,Overrides!$A$8:$A$47,0))),"")</f>
        <v/>
      </c>
      <c r="H198" s="31" t="str">
        <f>IFERROR(IF(INDEX(Overrides!$C$8:$C$47,MATCH(B198,Overrides!$A$8:$A$47,0))="","",INDEX(Overrides!$C$8:$C$47,MATCH(B198,Overrides!$A$8:$A$47,0))),"")</f>
        <v/>
      </c>
      <c r="I198" s="36">
        <f>IFERROR(IF(INDEX(Overrides!$D$8:$D$47,MATCH(B198,Overrides!$A$8:$A$47,0))="",0,INDEX(Overrides!$D$8:$D$47,MATCH(B198,Overrides!$A$8:$A$47,0))),0)</f>
        <v>0</v>
      </c>
      <c r="J198" s="38">
        <f t="shared" si="23"/>
        <v>965.91761321360957</v>
      </c>
      <c r="K198" s="18">
        <f t="shared" si="24"/>
        <v>1.0000000000000004</v>
      </c>
      <c r="L198" s="38">
        <f t="shared" si="25"/>
        <v>965.91761321361003</v>
      </c>
      <c r="M198" s="23">
        <f t="shared" si="26"/>
        <v>-2.4502033780567301</v>
      </c>
      <c r="N198" s="23">
        <f t="shared" si="27"/>
        <v>0.24540589766605947</v>
      </c>
      <c r="O198" s="6"/>
      <c r="P198" s="18">
        <f t="shared" si="28"/>
        <v>-0.60129435945642307</v>
      </c>
    </row>
    <row r="199" spans="1:16" ht="15" customHeight="1" x14ac:dyDescent="0.3">
      <c r="A199" s="7" t="str">
        <f>Raw_Players!A161</f>
        <v>DEN</v>
      </c>
      <c r="B199" s="7" t="str">
        <f>Raw_Players!B161</f>
        <v>Spencer Jones</v>
      </c>
      <c r="C199" s="37">
        <f>Raw_Players!E161</f>
        <v>-1.4741056052880279</v>
      </c>
      <c r="D199" s="31">
        <f>Raw_Players!F161</f>
        <v>942.78491257724238</v>
      </c>
      <c r="E199" s="31">
        <f>Raw_Players!G161</f>
        <v>16.34241752183032</v>
      </c>
      <c r="F199" s="31">
        <f>Raw_Players!H161</f>
        <v>57.689439846819702</v>
      </c>
      <c r="G199" s="31" t="str">
        <f>IFERROR(IF(INDEX(Overrides!$B$8:$B$47,MATCH(B199,Overrides!$A$8:$A$47,0))="","",INDEX(Overrides!$B$8:$B$47,MATCH(B199,Overrides!$A$8:$A$47,0))),"")</f>
        <v/>
      </c>
      <c r="H199" s="31" t="str">
        <f>IFERROR(IF(INDEX(Overrides!$C$8:$C$47,MATCH(B199,Overrides!$A$8:$A$47,0))="","",INDEX(Overrides!$C$8:$C$47,MATCH(B199,Overrides!$A$8:$A$47,0))),"")</f>
        <v/>
      </c>
      <c r="I199" s="36">
        <f>IFERROR(IF(INDEX(Overrides!$D$8:$D$47,MATCH(B199,Overrides!$A$8:$A$47,0))="",0,INDEX(Overrides!$D$8:$D$47,MATCH(B199,Overrides!$A$8:$A$47,0))),0)</f>
        <v>0</v>
      </c>
      <c r="J199" s="38">
        <f t="shared" si="23"/>
        <v>942.78491257724238</v>
      </c>
      <c r="K199" s="18">
        <f t="shared" si="24"/>
        <v>1.0000000000000004</v>
      </c>
      <c r="L199" s="38">
        <f t="shared" si="25"/>
        <v>942.78491257724284</v>
      </c>
      <c r="M199" s="23">
        <f t="shared" si="26"/>
        <v>-1.4741056052880279</v>
      </c>
      <c r="N199" s="23">
        <f t="shared" si="27"/>
        <v>0.23952868713852715</v>
      </c>
      <c r="O199" s="6"/>
      <c r="P199" s="18">
        <f t="shared" si="28"/>
        <v>-0.35309058033818524</v>
      </c>
    </row>
    <row r="200" spans="1:16" ht="15" customHeight="1" x14ac:dyDescent="0.3">
      <c r="A200" s="7" t="str">
        <f>Raw_Players!A162</f>
        <v>DEN</v>
      </c>
      <c r="B200" s="7" t="str">
        <f>Raw_Players!B162</f>
        <v>Marvin Bagley III</v>
      </c>
      <c r="C200" s="37">
        <f>Raw_Players!E162</f>
        <v>-0.72773654142209221</v>
      </c>
      <c r="D200" s="31">
        <f>Raw_Players!F162</f>
        <v>883.85091314610361</v>
      </c>
      <c r="E200" s="31">
        <f>Raw_Players!G162</f>
        <v>15.41400324877533</v>
      </c>
      <c r="F200" s="31">
        <f>Raw_Players!H162</f>
        <v>57.340776362969002</v>
      </c>
      <c r="G200" s="31" t="str">
        <f>IFERROR(IF(INDEX(Overrides!$B$8:$B$47,MATCH(B200,Overrides!$A$8:$A$47,0))="","",INDEX(Overrides!$B$8:$B$47,MATCH(B200,Overrides!$A$8:$A$47,0))),"")</f>
        <v/>
      </c>
      <c r="H200" s="31" t="str">
        <f>IFERROR(IF(INDEX(Overrides!$C$8:$C$47,MATCH(B200,Overrides!$A$8:$A$47,0))="","",INDEX(Overrides!$C$8:$C$47,MATCH(B200,Overrides!$A$8:$A$47,0))),"")</f>
        <v/>
      </c>
      <c r="I200" s="36">
        <f>IFERROR(IF(INDEX(Overrides!$D$8:$D$47,MATCH(B200,Overrides!$A$8:$A$47,0))="",0,INDEX(Overrides!$D$8:$D$47,MATCH(B200,Overrides!$A$8:$A$47,0))),0)</f>
        <v>0</v>
      </c>
      <c r="J200" s="38">
        <f t="shared" si="23"/>
        <v>883.85091314610361</v>
      </c>
      <c r="K200" s="18">
        <f t="shared" si="24"/>
        <v>1.0000000000000004</v>
      </c>
      <c r="L200" s="38">
        <f t="shared" si="25"/>
        <v>883.85091314610395</v>
      </c>
      <c r="M200" s="23">
        <f t="shared" si="26"/>
        <v>-0.72773654142209221</v>
      </c>
      <c r="N200" s="23">
        <f t="shared" si="27"/>
        <v>0.2245556181773638</v>
      </c>
      <c r="O200" s="6"/>
      <c r="P200" s="18">
        <f t="shared" si="28"/>
        <v>-0.16341732892929464</v>
      </c>
    </row>
    <row r="201" spans="1:16" ht="15" customHeight="1" x14ac:dyDescent="0.3">
      <c r="A201" s="7" t="str">
        <f>Raw_Players!A163</f>
        <v>DEN</v>
      </c>
      <c r="B201" s="7" t="str">
        <f>Raw_Players!B163</f>
        <v>Julian Strawther</v>
      </c>
      <c r="C201" s="37">
        <f>Raw_Players!E163</f>
        <v>-2.0923752489244678</v>
      </c>
      <c r="D201" s="31">
        <f>Raw_Players!F163</f>
        <v>862.98778371967069</v>
      </c>
      <c r="E201" s="31">
        <f>Raw_Players!G163</f>
        <v>14.322984404430921</v>
      </c>
      <c r="F201" s="31">
        <f>Raw_Players!H163</f>
        <v>60.25195303938883</v>
      </c>
      <c r="G201" s="31" t="str">
        <f>IFERROR(IF(INDEX(Overrides!$B$8:$B$47,MATCH(B201,Overrides!$A$8:$A$47,0))="","",INDEX(Overrides!$B$8:$B$47,MATCH(B201,Overrides!$A$8:$A$47,0))),"")</f>
        <v/>
      </c>
      <c r="H201" s="31" t="str">
        <f>IFERROR(IF(INDEX(Overrides!$C$8:$C$47,MATCH(B201,Overrides!$A$8:$A$47,0))="","",INDEX(Overrides!$C$8:$C$47,MATCH(B201,Overrides!$A$8:$A$47,0))),"")</f>
        <v/>
      </c>
      <c r="I201" s="36">
        <f>IFERROR(IF(INDEX(Overrides!$D$8:$D$47,MATCH(B201,Overrides!$A$8:$A$47,0))="",0,INDEX(Overrides!$D$8:$D$47,MATCH(B201,Overrides!$A$8:$A$47,0))),0)</f>
        <v>0</v>
      </c>
      <c r="J201" s="38">
        <f t="shared" si="23"/>
        <v>862.98778371967069</v>
      </c>
      <c r="K201" s="18">
        <f t="shared" si="24"/>
        <v>1.0000000000000004</v>
      </c>
      <c r="L201" s="38">
        <f t="shared" si="25"/>
        <v>862.98778371967103</v>
      </c>
      <c r="M201" s="23">
        <f t="shared" si="26"/>
        <v>-2.0923752489244678</v>
      </c>
      <c r="N201" s="23">
        <f t="shared" si="27"/>
        <v>0.21925502635154243</v>
      </c>
      <c r="O201" s="6"/>
      <c r="P201" s="18">
        <f t="shared" si="28"/>
        <v>-0.45876379034024933</v>
      </c>
    </row>
    <row r="202" spans="1:16" ht="15" customHeight="1" x14ac:dyDescent="0.3">
      <c r="A202" s="7" t="str">
        <f>Raw_Players!A164</f>
        <v>DEN</v>
      </c>
      <c r="B202" s="7" t="str">
        <f>Raw_Players!B164</f>
        <v>Cam Whitmore</v>
      </c>
      <c r="C202" s="37">
        <f>Raw_Players!E164</f>
        <v>-1.1549566874055639</v>
      </c>
      <c r="D202" s="31">
        <f>Raw_Players!F164</f>
        <v>777.30435056931003</v>
      </c>
      <c r="E202" s="31">
        <f>Raw_Players!G164</f>
        <v>14.58770558166251</v>
      </c>
      <c r="F202" s="31">
        <f>Raw_Players!H164</f>
        <v>53.28489433913591</v>
      </c>
      <c r="G202" s="31" t="str">
        <f>IFERROR(IF(INDEX(Overrides!$B$8:$B$47,MATCH(B202,Overrides!$A$8:$A$47,0))="","",INDEX(Overrides!$B$8:$B$47,MATCH(B202,Overrides!$A$8:$A$47,0))),"")</f>
        <v/>
      </c>
      <c r="H202" s="31" t="str">
        <f>IFERROR(IF(INDEX(Overrides!$C$8:$C$47,MATCH(B202,Overrides!$A$8:$A$47,0))="","",INDEX(Overrides!$C$8:$C$47,MATCH(B202,Overrides!$A$8:$A$47,0))),"")</f>
        <v/>
      </c>
      <c r="I202" s="36">
        <f>IFERROR(IF(INDEX(Overrides!$D$8:$D$47,MATCH(B202,Overrides!$A$8:$A$47,0))="",0,INDEX(Overrides!$D$8:$D$47,MATCH(B202,Overrides!$A$8:$A$47,0))),0)</f>
        <v>0</v>
      </c>
      <c r="J202" s="38">
        <f t="shared" si="23"/>
        <v>777.30435056931003</v>
      </c>
      <c r="K202" s="18">
        <f t="shared" si="24"/>
        <v>1.0000000000000004</v>
      </c>
      <c r="L202" s="38">
        <f t="shared" si="25"/>
        <v>777.30435056931037</v>
      </c>
      <c r="M202" s="23">
        <f t="shared" si="26"/>
        <v>-1.1549566874055639</v>
      </c>
      <c r="N202" s="23">
        <f t="shared" si="27"/>
        <v>0.19748586142512967</v>
      </c>
      <c r="O202" s="6"/>
      <c r="P202" s="18">
        <f t="shared" si="28"/>
        <v>-0.228087616321002</v>
      </c>
    </row>
    <row r="203" spans="1:16" ht="15" customHeight="1" x14ac:dyDescent="0.3">
      <c r="A203" s="7" t="str">
        <f>Raw_Players!A165</f>
        <v>DEN</v>
      </c>
      <c r="B203" s="7" t="str">
        <f>Raw_Players!B165</f>
        <v>Lonnie Walker IV</v>
      </c>
      <c r="C203" s="37">
        <f>Raw_Players!E165</f>
        <v>-1.6728267517573101</v>
      </c>
      <c r="D203" s="31">
        <f>Raw_Players!F165</f>
        <v>767.61215276392431</v>
      </c>
      <c r="E203" s="31">
        <f>Raw_Players!G165</f>
        <v>16.381884010398309</v>
      </c>
      <c r="F203" s="31">
        <f>Raw_Players!H165</f>
        <v>46.857379302446937</v>
      </c>
      <c r="G203" s="31" t="str">
        <f>IFERROR(IF(INDEX(Overrides!$B$8:$B$47,MATCH(B203,Overrides!$A$8:$A$47,0))="","",INDEX(Overrides!$B$8:$B$47,MATCH(B203,Overrides!$A$8:$A$47,0))),"")</f>
        <v/>
      </c>
      <c r="H203" s="31" t="str">
        <f>IFERROR(IF(INDEX(Overrides!$C$8:$C$47,MATCH(B203,Overrides!$A$8:$A$47,0))="","",INDEX(Overrides!$C$8:$C$47,MATCH(B203,Overrides!$A$8:$A$47,0))),"")</f>
        <v/>
      </c>
      <c r="I203" s="36">
        <f>IFERROR(IF(INDEX(Overrides!$D$8:$D$47,MATCH(B203,Overrides!$A$8:$A$47,0))="",0,INDEX(Overrides!$D$8:$D$47,MATCH(B203,Overrides!$A$8:$A$47,0))),0)</f>
        <v>0</v>
      </c>
      <c r="J203" s="38">
        <f t="shared" si="23"/>
        <v>767.61215276392431</v>
      </c>
      <c r="K203" s="18">
        <f t="shared" si="24"/>
        <v>1.0000000000000004</v>
      </c>
      <c r="L203" s="38">
        <f t="shared" si="25"/>
        <v>767.61215276392466</v>
      </c>
      <c r="M203" s="23">
        <f t="shared" si="26"/>
        <v>-1.6728267517573101</v>
      </c>
      <c r="N203" s="23">
        <f t="shared" si="27"/>
        <v>0.19502341279571256</v>
      </c>
      <c r="O203" s="6"/>
      <c r="P203" s="18">
        <f t="shared" si="28"/>
        <v>-0.32624038214367684</v>
      </c>
    </row>
    <row r="204" spans="1:16" ht="15" customHeight="1" x14ac:dyDescent="0.3">
      <c r="A204" s="7" t="str">
        <f>Raw_Players!A166</f>
        <v>DEN</v>
      </c>
      <c r="B204" s="7" t="str">
        <f>Raw_Players!B166</f>
        <v>Zeke Nnaji</v>
      </c>
      <c r="C204" s="37">
        <f>Raw_Players!E166</f>
        <v>-2.0647273365218881</v>
      </c>
      <c r="D204" s="31">
        <f>Raw_Players!F166</f>
        <v>578.74403192045179</v>
      </c>
      <c r="E204" s="31">
        <f>Raw_Players!G166</f>
        <v>9.9567379435953463</v>
      </c>
      <c r="F204" s="31">
        <f>Raw_Players!H166</f>
        <v>58.125867648523162</v>
      </c>
      <c r="G204" s="31" t="str">
        <f>IFERROR(IF(INDEX(Overrides!$B$8:$B$47,MATCH(B204,Overrides!$A$8:$A$47,0))="","",INDEX(Overrides!$B$8:$B$47,MATCH(B204,Overrides!$A$8:$A$47,0))),"")</f>
        <v/>
      </c>
      <c r="H204" s="31" t="str">
        <f>IFERROR(IF(INDEX(Overrides!$C$8:$C$47,MATCH(B204,Overrides!$A$8:$A$47,0))="","",INDEX(Overrides!$C$8:$C$47,MATCH(B204,Overrides!$A$8:$A$47,0))),"")</f>
        <v/>
      </c>
      <c r="I204" s="36">
        <f>IFERROR(IF(INDEX(Overrides!$D$8:$D$47,MATCH(B204,Overrides!$A$8:$A$47,0))="",0,INDEX(Overrides!$D$8:$D$47,MATCH(B204,Overrides!$A$8:$A$47,0))),0)</f>
        <v>0</v>
      </c>
      <c r="J204" s="38">
        <f t="shared" si="23"/>
        <v>578.74403192045179</v>
      </c>
      <c r="K204" s="18">
        <f t="shared" si="24"/>
        <v>1.0000000000000004</v>
      </c>
      <c r="L204" s="38">
        <f t="shared" si="25"/>
        <v>578.74403192045202</v>
      </c>
      <c r="M204" s="23">
        <f t="shared" si="26"/>
        <v>-2.0647273365218881</v>
      </c>
      <c r="N204" s="23">
        <f t="shared" si="27"/>
        <v>0.1470386259960498</v>
      </c>
      <c r="O204" s="6"/>
      <c r="P204" s="18">
        <f t="shared" si="28"/>
        <v>-0.30359467061866197</v>
      </c>
    </row>
    <row r="205" spans="1:16" ht="15" customHeight="1" x14ac:dyDescent="0.3">
      <c r="A205" s="7" t="str">
        <f>Raw_Players!A167</f>
        <v>DEN</v>
      </c>
      <c r="B205" s="7" t="str">
        <f>Raw_Players!B167</f>
        <v>Trevon Brazile</v>
      </c>
      <c r="C205" s="37">
        <f>Raw_Players!E167</f>
        <v>-1.6221542480154669</v>
      </c>
      <c r="D205" s="31">
        <f>Raw_Players!F167</f>
        <v>515.32988616133946</v>
      </c>
      <c r="E205" s="31">
        <f>Raw_Players!G167</f>
        <v>13.61248487840259</v>
      </c>
      <c r="F205" s="31">
        <f>Raw_Players!H167</f>
        <v>37.857150311987191</v>
      </c>
      <c r="G205" s="31" t="str">
        <f>IFERROR(IF(INDEX(Overrides!$B$8:$B$47,MATCH(B205,Overrides!$A$8:$A$47,0))="","",INDEX(Overrides!$B$8:$B$47,MATCH(B205,Overrides!$A$8:$A$47,0))),"")</f>
        <v/>
      </c>
      <c r="H205" s="31" t="str">
        <f>IFERROR(IF(INDEX(Overrides!$C$8:$C$47,MATCH(B205,Overrides!$A$8:$A$47,0))="","",INDEX(Overrides!$C$8:$C$47,MATCH(B205,Overrides!$A$8:$A$47,0))),"")</f>
        <v/>
      </c>
      <c r="I205" s="36">
        <f>IFERROR(IF(INDEX(Overrides!$D$8:$D$47,MATCH(B205,Overrides!$A$8:$A$47,0))="",0,INDEX(Overrides!$D$8:$D$47,MATCH(B205,Overrides!$A$8:$A$47,0))),0)</f>
        <v>0</v>
      </c>
      <c r="J205" s="38">
        <f t="shared" si="23"/>
        <v>515.32988616133946</v>
      </c>
      <c r="K205" s="18">
        <f t="shared" si="24"/>
        <v>1.0000000000000004</v>
      </c>
      <c r="L205" s="38">
        <f t="shared" si="25"/>
        <v>515.32988616133969</v>
      </c>
      <c r="M205" s="23">
        <f t="shared" si="26"/>
        <v>-1.6221542480154669</v>
      </c>
      <c r="N205" s="23">
        <f t="shared" si="27"/>
        <v>0.13092730847595013</v>
      </c>
      <c r="O205" s="6"/>
      <c r="P205" s="18">
        <f t="shared" si="28"/>
        <v>-0.21238428962549397</v>
      </c>
    </row>
    <row r="206" spans="1:16" ht="15" customHeight="1" x14ac:dyDescent="0.3">
      <c r="A206" s="7" t="str">
        <f>Raw_Players!A168</f>
        <v>DEN</v>
      </c>
      <c r="B206" s="7" t="str">
        <f>Raw_Players!B168</f>
        <v>DaRon Holmes II</v>
      </c>
      <c r="C206" s="37">
        <f>Raw_Players!E168</f>
        <v>-0.73549600933872061</v>
      </c>
      <c r="D206" s="31">
        <f>Raw_Players!F168</f>
        <v>418.07104950253341</v>
      </c>
      <c r="E206" s="31">
        <f>Raw_Players!G168</f>
        <v>8.6244202274973407</v>
      </c>
      <c r="F206" s="31">
        <f>Raw_Players!H168</f>
        <v>48.475264246701776</v>
      </c>
      <c r="G206" s="31" t="str">
        <f>IFERROR(IF(INDEX(Overrides!$B$8:$B$47,MATCH(B206,Overrides!$A$8:$A$47,0))="","",INDEX(Overrides!$B$8:$B$47,MATCH(B206,Overrides!$A$8:$A$47,0))),"")</f>
        <v/>
      </c>
      <c r="H206" s="31" t="str">
        <f>IFERROR(IF(INDEX(Overrides!$C$8:$C$47,MATCH(B206,Overrides!$A$8:$A$47,0))="","",INDEX(Overrides!$C$8:$C$47,MATCH(B206,Overrides!$A$8:$A$47,0))),"")</f>
        <v/>
      </c>
      <c r="I206" s="36">
        <f>IFERROR(IF(INDEX(Overrides!$D$8:$D$47,MATCH(B206,Overrides!$A$8:$A$47,0))="",0,INDEX(Overrides!$D$8:$D$47,MATCH(B206,Overrides!$A$8:$A$47,0))),0)</f>
        <v>0</v>
      </c>
      <c r="J206" s="38">
        <f t="shared" si="23"/>
        <v>418.07104950253341</v>
      </c>
      <c r="K206" s="18">
        <f t="shared" si="24"/>
        <v>1.0000000000000004</v>
      </c>
      <c r="L206" s="38">
        <f t="shared" si="25"/>
        <v>418.07104950253358</v>
      </c>
      <c r="M206" s="23">
        <f t="shared" si="26"/>
        <v>-0.73549600933872061</v>
      </c>
      <c r="N206" s="23">
        <f t="shared" si="27"/>
        <v>0.10621723818661931</v>
      </c>
      <c r="O206" s="6"/>
      <c r="P206" s="18">
        <f t="shared" si="28"/>
        <v>-7.8122354809238861E-2</v>
      </c>
    </row>
    <row r="207" spans="1:16" ht="15" customHeight="1" x14ac:dyDescent="0.3">
      <c r="A207" s="7" t="str">
        <f>Raw_Players!A169</f>
        <v>DEN</v>
      </c>
      <c r="B207" s="7" t="str">
        <f>Raw_Players!B169</f>
        <v>Bryce Hopkins</v>
      </c>
      <c r="C207" s="37">
        <f>Raw_Players!E169</f>
        <v>-2.79648059905099</v>
      </c>
      <c r="D207" s="31">
        <f>Raw_Players!F169</f>
        <v>407.43973637485749</v>
      </c>
      <c r="E207" s="31">
        <f>Raw_Players!G169</f>
        <v>12.23428397018515</v>
      </c>
      <c r="F207" s="31">
        <f>Raw_Players!H169</f>
        <v>33.303112578372783</v>
      </c>
      <c r="G207" s="31" t="str">
        <f>IFERROR(IF(INDEX(Overrides!$B$8:$B$47,MATCH(B207,Overrides!$A$8:$A$47,0))="","",INDEX(Overrides!$B$8:$B$47,MATCH(B207,Overrides!$A$8:$A$47,0))),"")</f>
        <v/>
      </c>
      <c r="H207" s="31" t="str">
        <f>IFERROR(IF(INDEX(Overrides!$C$8:$C$47,MATCH(B207,Overrides!$A$8:$A$47,0))="","",INDEX(Overrides!$C$8:$C$47,MATCH(B207,Overrides!$A$8:$A$47,0))),"")</f>
        <v/>
      </c>
      <c r="I207" s="36">
        <f>IFERROR(IF(INDEX(Overrides!$D$8:$D$47,MATCH(B207,Overrides!$A$8:$A$47,0))="",0,INDEX(Overrides!$D$8:$D$47,MATCH(B207,Overrides!$A$8:$A$47,0))),0)</f>
        <v>0</v>
      </c>
      <c r="J207" s="38">
        <f t="shared" si="23"/>
        <v>407.43973637485749</v>
      </c>
      <c r="K207" s="18">
        <f t="shared" si="24"/>
        <v>1.0000000000000004</v>
      </c>
      <c r="L207" s="38">
        <f t="shared" si="25"/>
        <v>407.43973637485766</v>
      </c>
      <c r="M207" s="23">
        <f t="shared" si="26"/>
        <v>-2.79648059905099</v>
      </c>
      <c r="N207" s="23">
        <f t="shared" si="27"/>
        <v>0.10351619318466912</v>
      </c>
      <c r="O207" s="6"/>
      <c r="P207" s="18">
        <f t="shared" si="28"/>
        <v>-0.28948102592854152</v>
      </c>
    </row>
    <row r="208" spans="1:16" ht="15" customHeight="1" x14ac:dyDescent="0.3">
      <c r="A208" s="7" t="str">
        <f>Raw_Players!A170</f>
        <v>DEN</v>
      </c>
      <c r="B208" s="7" t="str">
        <f>Raw_Players!B170</f>
        <v>Steven Crowl</v>
      </c>
      <c r="C208" s="37">
        <f>Raw_Players!E170</f>
        <v>-3.1867960702466678</v>
      </c>
      <c r="D208" s="31">
        <f>Raw_Players!F170</f>
        <v>343.94629123897693</v>
      </c>
      <c r="E208" s="31">
        <f>Raw_Players!G170</f>
        <v>11.3370336450841</v>
      </c>
      <c r="F208" s="31">
        <f>Raw_Players!H170</f>
        <v>30.338296772023529</v>
      </c>
      <c r="G208" s="31" t="str">
        <f>IFERROR(IF(INDEX(Overrides!$B$8:$B$47,MATCH(B208,Overrides!$A$8:$A$47,0))="","",INDEX(Overrides!$B$8:$B$47,MATCH(B208,Overrides!$A$8:$A$47,0))),"")</f>
        <v/>
      </c>
      <c r="H208" s="31" t="str">
        <f>IFERROR(IF(INDEX(Overrides!$C$8:$C$47,MATCH(B208,Overrides!$A$8:$A$47,0))="","",INDEX(Overrides!$C$8:$C$47,MATCH(B208,Overrides!$A$8:$A$47,0))),"")</f>
        <v/>
      </c>
      <c r="I208" s="36">
        <f>IFERROR(IF(INDEX(Overrides!$D$8:$D$47,MATCH(B208,Overrides!$A$8:$A$47,0))="",0,INDEX(Overrides!$D$8:$D$47,MATCH(B208,Overrides!$A$8:$A$47,0))),0)</f>
        <v>0</v>
      </c>
      <c r="J208" s="38">
        <f t="shared" si="23"/>
        <v>343.94629123897693</v>
      </c>
      <c r="K208" s="18">
        <f t="shared" si="24"/>
        <v>1.0000000000000004</v>
      </c>
      <c r="L208" s="38">
        <f t="shared" si="25"/>
        <v>343.9462912389771</v>
      </c>
      <c r="M208" s="23">
        <f t="shared" si="26"/>
        <v>-3.1867960702466678</v>
      </c>
      <c r="N208" s="23">
        <f t="shared" si="27"/>
        <v>8.7384728465187272E-2</v>
      </c>
      <c r="O208" s="6"/>
      <c r="P208" s="18">
        <f t="shared" si="28"/>
        <v>-0.27847730927243092</v>
      </c>
    </row>
    <row r="209" spans="1:16" ht="15" customHeight="1" x14ac:dyDescent="0.3">
      <c r="A209" s="7" t="str">
        <f>Raw_Players!A171</f>
        <v>DEN</v>
      </c>
      <c r="B209" s="7" t="str">
        <f>Raw_Players!B171</f>
        <v>Alpha Diallo</v>
      </c>
      <c r="C209" s="37">
        <f>Raw_Players!E171</f>
        <v>-3.1867960702466678</v>
      </c>
      <c r="D209" s="31">
        <f>Raw_Players!F171</f>
        <v>343.94629123897693</v>
      </c>
      <c r="E209" s="31">
        <f>Raw_Players!G171</f>
        <v>11.3370336450841</v>
      </c>
      <c r="F209" s="31">
        <f>Raw_Players!H171</f>
        <v>30.338296772023529</v>
      </c>
      <c r="G209" s="31" t="str">
        <f>IFERROR(IF(INDEX(Overrides!$B$8:$B$47,MATCH(B209,Overrides!$A$8:$A$47,0))="","",INDEX(Overrides!$B$8:$B$47,MATCH(B209,Overrides!$A$8:$A$47,0))),"")</f>
        <v/>
      </c>
      <c r="H209" s="31" t="str">
        <f>IFERROR(IF(INDEX(Overrides!$C$8:$C$47,MATCH(B209,Overrides!$A$8:$A$47,0))="","",INDEX(Overrides!$C$8:$C$47,MATCH(B209,Overrides!$A$8:$A$47,0))),"")</f>
        <v/>
      </c>
      <c r="I209" s="36">
        <f>IFERROR(IF(INDEX(Overrides!$D$8:$D$47,MATCH(B209,Overrides!$A$8:$A$47,0))="",0,INDEX(Overrides!$D$8:$D$47,MATCH(B209,Overrides!$A$8:$A$47,0))),0)</f>
        <v>0</v>
      </c>
      <c r="J209" s="38">
        <f t="shared" si="23"/>
        <v>343.94629123897693</v>
      </c>
      <c r="K209" s="18">
        <f t="shared" si="24"/>
        <v>1.0000000000000004</v>
      </c>
      <c r="L209" s="38">
        <f t="shared" si="25"/>
        <v>343.9462912389771</v>
      </c>
      <c r="M209" s="23">
        <f t="shared" si="26"/>
        <v>-3.1867960702466678</v>
      </c>
      <c r="N209" s="23">
        <f t="shared" si="27"/>
        <v>8.7384728465187272E-2</v>
      </c>
      <c r="O209" s="6"/>
      <c r="P209" s="18">
        <f t="shared" si="28"/>
        <v>-0.27847730927243092</v>
      </c>
    </row>
    <row r="210" spans="1:16" ht="15" customHeight="1" x14ac:dyDescent="0.3">
      <c r="A210" s="7" t="str">
        <f>Raw_Players!A172</f>
        <v>DEN</v>
      </c>
      <c r="B210" s="7" t="str">
        <f>Raw_Players!B172</f>
        <v>Dane Goodwin</v>
      </c>
      <c r="C210" s="37">
        <f>Raw_Players!E172</f>
        <v>-3.1867960702466678</v>
      </c>
      <c r="D210" s="31">
        <f>Raw_Players!F172</f>
        <v>343.94629123897693</v>
      </c>
      <c r="E210" s="31">
        <f>Raw_Players!G172</f>
        <v>11.3370336450841</v>
      </c>
      <c r="F210" s="31">
        <f>Raw_Players!H172</f>
        <v>30.338296772023529</v>
      </c>
      <c r="G210" s="31" t="str">
        <f>IFERROR(IF(INDEX(Overrides!$B$8:$B$47,MATCH(B210,Overrides!$A$8:$A$47,0))="","",INDEX(Overrides!$B$8:$B$47,MATCH(B210,Overrides!$A$8:$A$47,0))),"")</f>
        <v/>
      </c>
      <c r="H210" s="31" t="str">
        <f>IFERROR(IF(INDEX(Overrides!$C$8:$C$47,MATCH(B210,Overrides!$A$8:$A$47,0))="","",INDEX(Overrides!$C$8:$C$47,MATCH(B210,Overrides!$A$8:$A$47,0))),"")</f>
        <v/>
      </c>
      <c r="I210" s="36">
        <f>IFERROR(IF(INDEX(Overrides!$D$8:$D$47,MATCH(B210,Overrides!$A$8:$A$47,0))="",0,INDEX(Overrides!$D$8:$D$47,MATCH(B210,Overrides!$A$8:$A$47,0))),0)</f>
        <v>0</v>
      </c>
      <c r="J210" s="38">
        <f t="shared" si="23"/>
        <v>343.94629123897693</v>
      </c>
      <c r="K210" s="18">
        <f t="shared" si="24"/>
        <v>1.0000000000000004</v>
      </c>
      <c r="L210" s="38">
        <f t="shared" si="25"/>
        <v>343.9462912389771</v>
      </c>
      <c r="M210" s="23">
        <f t="shared" si="26"/>
        <v>-3.1867960702466678</v>
      </c>
      <c r="N210" s="23">
        <f t="shared" si="27"/>
        <v>8.7384728465187272E-2</v>
      </c>
      <c r="O210" s="6"/>
      <c r="P210" s="18">
        <f t="shared" si="28"/>
        <v>-0.27847730927243092</v>
      </c>
    </row>
    <row r="211" spans="1:16" ht="15" customHeight="1" x14ac:dyDescent="0.3">
      <c r="A211" s="7" t="str">
        <f>Raw_Players!A173</f>
        <v>DEN</v>
      </c>
      <c r="B211" s="7" t="str">
        <f>Raw_Players!B173</f>
        <v>Coleman Hawkins</v>
      </c>
      <c r="C211" s="37">
        <f>Raw_Players!E173</f>
        <v>-3.1867960702466678</v>
      </c>
      <c r="D211" s="31">
        <f>Raw_Players!F173</f>
        <v>343.94629123897693</v>
      </c>
      <c r="E211" s="31">
        <f>Raw_Players!G173</f>
        <v>11.3370336450841</v>
      </c>
      <c r="F211" s="31">
        <f>Raw_Players!H173</f>
        <v>30.338296772023529</v>
      </c>
      <c r="G211" s="31" t="str">
        <f>IFERROR(IF(INDEX(Overrides!$B$8:$B$47,MATCH(B211,Overrides!$A$8:$A$47,0))="","",INDEX(Overrides!$B$8:$B$47,MATCH(B211,Overrides!$A$8:$A$47,0))),"")</f>
        <v/>
      </c>
      <c r="H211" s="31" t="str">
        <f>IFERROR(IF(INDEX(Overrides!$C$8:$C$47,MATCH(B211,Overrides!$A$8:$A$47,0))="","",INDEX(Overrides!$C$8:$C$47,MATCH(B211,Overrides!$A$8:$A$47,0))),"")</f>
        <v/>
      </c>
      <c r="I211" s="36">
        <f>IFERROR(IF(INDEX(Overrides!$D$8:$D$47,MATCH(B211,Overrides!$A$8:$A$47,0))="",0,INDEX(Overrides!$D$8:$D$47,MATCH(B211,Overrides!$A$8:$A$47,0))),0)</f>
        <v>0</v>
      </c>
      <c r="J211" s="38">
        <f t="shared" si="23"/>
        <v>343.94629123897693</v>
      </c>
      <c r="K211" s="18">
        <f t="shared" si="24"/>
        <v>1.0000000000000004</v>
      </c>
      <c r="L211" s="38">
        <f t="shared" si="25"/>
        <v>343.9462912389771</v>
      </c>
      <c r="M211" s="23">
        <f t="shared" si="26"/>
        <v>-3.1867960702466678</v>
      </c>
      <c r="N211" s="23">
        <f t="shared" si="27"/>
        <v>8.7384728465187272E-2</v>
      </c>
      <c r="O211" s="6"/>
      <c r="P211" s="18">
        <f t="shared" si="28"/>
        <v>-0.27847730927243092</v>
      </c>
    </row>
    <row r="212" spans="1:16" ht="15" customHeight="1" x14ac:dyDescent="0.3">
      <c r="A212" s="7" t="str">
        <f>Raw_Players!A174</f>
        <v>DEN</v>
      </c>
      <c r="B212" s="7" t="str">
        <f>Raw_Players!B174</f>
        <v>Emanuel Miller</v>
      </c>
      <c r="C212" s="37">
        <f>Raw_Players!E174</f>
        <v>-1.6803755698199121</v>
      </c>
      <c r="D212" s="31">
        <f>Raw_Players!F174</f>
        <v>339.90295258347322</v>
      </c>
      <c r="E212" s="31">
        <f>Raw_Players!G174</f>
        <v>8.2126032715400576</v>
      </c>
      <c r="F212" s="31">
        <f>Raw_Players!H174</f>
        <v>41.387966926561802</v>
      </c>
      <c r="G212" s="31" t="str">
        <f>IFERROR(IF(INDEX(Overrides!$B$8:$B$47,MATCH(B212,Overrides!$A$8:$A$47,0))="","",INDEX(Overrides!$B$8:$B$47,MATCH(B212,Overrides!$A$8:$A$47,0))),"")</f>
        <v/>
      </c>
      <c r="H212" s="31" t="str">
        <f>IFERROR(IF(INDEX(Overrides!$C$8:$C$47,MATCH(B212,Overrides!$A$8:$A$47,0))="","",INDEX(Overrides!$C$8:$C$47,MATCH(B212,Overrides!$A$8:$A$47,0))),"")</f>
        <v/>
      </c>
      <c r="I212" s="36">
        <f>IFERROR(IF(INDEX(Overrides!$D$8:$D$47,MATCH(B212,Overrides!$A$8:$A$47,0))="",0,INDEX(Overrides!$D$8:$D$47,MATCH(B212,Overrides!$A$8:$A$47,0))),0)</f>
        <v>0</v>
      </c>
      <c r="J212" s="38">
        <f t="shared" si="23"/>
        <v>339.90295258347322</v>
      </c>
      <c r="K212" s="18">
        <f t="shared" si="24"/>
        <v>1.0000000000000004</v>
      </c>
      <c r="L212" s="38">
        <f t="shared" si="25"/>
        <v>339.90295258347339</v>
      </c>
      <c r="M212" s="23">
        <f t="shared" si="26"/>
        <v>-1.6803755698199121</v>
      </c>
      <c r="N212" s="23">
        <f t="shared" si="27"/>
        <v>8.6357457465313356E-2</v>
      </c>
      <c r="O212" s="6"/>
      <c r="P212" s="18">
        <f t="shared" si="28"/>
        <v>-0.14511296179647476</v>
      </c>
    </row>
    <row r="213" spans="1:16" ht="15" customHeight="1" x14ac:dyDescent="0.3">
      <c r="A213" s="7" t="str">
        <f>Raw_Players!A175</f>
        <v>DET</v>
      </c>
      <c r="B213" s="7" t="str">
        <f>Raw_Players!B175</f>
        <v>Cade Cunningham</v>
      </c>
      <c r="C213" s="37">
        <f>Raw_Players!E175</f>
        <v>4.5475318536945242</v>
      </c>
      <c r="D213" s="31">
        <f>Raw_Players!F175</f>
        <v>1943.023868398843</v>
      </c>
      <c r="E213" s="31">
        <f>Raw_Players!G175</f>
        <v>31.16043270574357</v>
      </c>
      <c r="F213" s="31">
        <f>Raw_Players!H175</f>
        <v>62.355484172743843</v>
      </c>
      <c r="G213" s="31" t="str">
        <f>IFERROR(IF(INDEX(Overrides!$B$8:$B$47,MATCH(B213,Overrides!$A$8:$A$47,0))="","",INDEX(Overrides!$B$8:$B$47,MATCH(B213,Overrides!$A$8:$A$47,0))),"")</f>
        <v/>
      </c>
      <c r="H213" s="31" t="str">
        <f>IFERROR(IF(INDEX(Overrides!$C$8:$C$47,MATCH(B213,Overrides!$A$8:$A$47,0))="","",INDEX(Overrides!$C$8:$C$47,MATCH(B213,Overrides!$A$8:$A$47,0))),"")</f>
        <v/>
      </c>
      <c r="I213" s="36">
        <f>IFERROR(IF(INDEX(Overrides!$D$8:$D$47,MATCH(B213,Overrides!$A$8:$A$47,0))="",0,INDEX(Overrides!$D$8:$D$47,MATCH(B213,Overrides!$A$8:$A$47,0))),0)</f>
        <v>0</v>
      </c>
      <c r="J213" s="38">
        <f t="shared" si="23"/>
        <v>1943.023868398843</v>
      </c>
      <c r="K213" s="18">
        <f t="shared" si="24"/>
        <v>1</v>
      </c>
      <c r="L213" s="38">
        <f t="shared" si="25"/>
        <v>1943.023868398843</v>
      </c>
      <c r="M213" s="23">
        <f t="shared" si="26"/>
        <v>4.5475318536945242</v>
      </c>
      <c r="N213" s="23">
        <f t="shared" si="27"/>
        <v>0.49365443810946213</v>
      </c>
      <c r="O213" s="6"/>
      <c r="P213" s="18">
        <f t="shared" si="28"/>
        <v>2.2449092820204513</v>
      </c>
    </row>
    <row r="214" spans="1:16" ht="15" customHeight="1" x14ac:dyDescent="0.3">
      <c r="A214" s="7" t="str">
        <f>Raw_Players!A176</f>
        <v>DET</v>
      </c>
      <c r="B214" s="7" t="str">
        <f>Raw_Players!B176</f>
        <v>Jalen Duren</v>
      </c>
      <c r="C214" s="37">
        <f>Raw_Players!E176</f>
        <v>3.2734134469876168</v>
      </c>
      <c r="D214" s="31">
        <f>Raw_Players!F176</f>
        <v>1647.236439484037</v>
      </c>
      <c r="E214" s="31">
        <f>Raw_Players!G176</f>
        <v>25.399191264207129</v>
      </c>
      <c r="F214" s="31">
        <f>Raw_Players!H176</f>
        <v>64.853893273576148</v>
      </c>
      <c r="G214" s="31" t="str">
        <f>IFERROR(IF(INDEX(Overrides!$B$8:$B$47,MATCH(B214,Overrides!$A$8:$A$47,0))="","",INDEX(Overrides!$B$8:$B$47,MATCH(B214,Overrides!$A$8:$A$47,0))),"")</f>
        <v/>
      </c>
      <c r="H214" s="31" t="str">
        <f>IFERROR(IF(INDEX(Overrides!$C$8:$C$47,MATCH(B214,Overrides!$A$8:$A$47,0))="","",INDEX(Overrides!$C$8:$C$47,MATCH(B214,Overrides!$A$8:$A$47,0))),"")</f>
        <v/>
      </c>
      <c r="I214" s="36">
        <f>IFERROR(IF(INDEX(Overrides!$D$8:$D$47,MATCH(B214,Overrides!$A$8:$A$47,0))="",0,INDEX(Overrides!$D$8:$D$47,MATCH(B214,Overrides!$A$8:$A$47,0))),0)</f>
        <v>0</v>
      </c>
      <c r="J214" s="38">
        <f t="shared" si="23"/>
        <v>1647.236439484037</v>
      </c>
      <c r="K214" s="18">
        <f t="shared" si="24"/>
        <v>1</v>
      </c>
      <c r="L214" s="38">
        <f t="shared" si="25"/>
        <v>1647.236439484037</v>
      </c>
      <c r="M214" s="23">
        <f t="shared" si="26"/>
        <v>3.2734134469876168</v>
      </c>
      <c r="N214" s="23">
        <f t="shared" si="27"/>
        <v>0.41850519295834271</v>
      </c>
      <c r="O214" s="6"/>
      <c r="P214" s="18">
        <f t="shared" si="28"/>
        <v>1.3699405262639863</v>
      </c>
    </row>
    <row r="215" spans="1:16" ht="15" customHeight="1" x14ac:dyDescent="0.3">
      <c r="A215" s="7" t="str">
        <f>Raw_Players!A177</f>
        <v>DET</v>
      </c>
      <c r="B215" s="7" t="str">
        <f>Raw_Players!B177</f>
        <v>Duncan Robinson</v>
      </c>
      <c r="C215" s="37">
        <f>Raw_Players!E177</f>
        <v>0.30580256321347349</v>
      </c>
      <c r="D215" s="31">
        <f>Raw_Players!F177</f>
        <v>1563.9867157502861</v>
      </c>
      <c r="E215" s="31">
        <f>Raw_Players!G177</f>
        <v>24.44605952684168</v>
      </c>
      <c r="F215" s="31">
        <f>Raw_Players!H177</f>
        <v>63.977047672367583</v>
      </c>
      <c r="G215" s="31" t="str">
        <f>IFERROR(IF(INDEX(Overrides!$B$8:$B$47,MATCH(B215,Overrides!$A$8:$A$47,0))="","",INDEX(Overrides!$B$8:$B$47,MATCH(B215,Overrides!$A$8:$A$47,0))),"")</f>
        <v/>
      </c>
      <c r="H215" s="31" t="str">
        <f>IFERROR(IF(INDEX(Overrides!$C$8:$C$47,MATCH(B215,Overrides!$A$8:$A$47,0))="","",INDEX(Overrides!$C$8:$C$47,MATCH(B215,Overrides!$A$8:$A$47,0))),"")</f>
        <v/>
      </c>
      <c r="I215" s="36">
        <f>IFERROR(IF(INDEX(Overrides!$D$8:$D$47,MATCH(B215,Overrides!$A$8:$A$47,0))="",0,INDEX(Overrides!$D$8:$D$47,MATCH(B215,Overrides!$A$8:$A$47,0))),0)</f>
        <v>0</v>
      </c>
      <c r="J215" s="38">
        <f t="shared" si="23"/>
        <v>1563.9867157502861</v>
      </c>
      <c r="K215" s="18">
        <f t="shared" si="24"/>
        <v>1</v>
      </c>
      <c r="L215" s="38">
        <f t="shared" si="25"/>
        <v>1563.9867157502861</v>
      </c>
      <c r="M215" s="23">
        <f t="shared" si="26"/>
        <v>0.30580256321347349</v>
      </c>
      <c r="N215" s="23">
        <f t="shared" si="27"/>
        <v>0.3973543485137922</v>
      </c>
      <c r="O215" s="6"/>
      <c r="P215" s="18">
        <f t="shared" si="28"/>
        <v>0.12151197827953751</v>
      </c>
    </row>
    <row r="216" spans="1:16" ht="15" customHeight="1" x14ac:dyDescent="0.3">
      <c r="A216" s="7" t="str">
        <f>Raw_Players!A178</f>
        <v>DET</v>
      </c>
      <c r="B216" s="7" t="str">
        <f>Raw_Players!B178</f>
        <v>John Collins</v>
      </c>
      <c r="C216" s="37">
        <f>Raw_Players!E178</f>
        <v>1.5169134775489699E-2</v>
      </c>
      <c r="D216" s="31">
        <f>Raw_Players!F178</f>
        <v>1529.8105611281021</v>
      </c>
      <c r="E216" s="31">
        <f>Raw_Players!G178</f>
        <v>25.536233316289341</v>
      </c>
      <c r="F216" s="31">
        <f>Raw_Players!H178</f>
        <v>59.907447671706912</v>
      </c>
      <c r="G216" s="31" t="str">
        <f>IFERROR(IF(INDEX(Overrides!$B$8:$B$47,MATCH(B216,Overrides!$A$8:$A$47,0))="","",INDEX(Overrides!$B$8:$B$47,MATCH(B216,Overrides!$A$8:$A$47,0))),"")</f>
        <v/>
      </c>
      <c r="H216" s="31" t="str">
        <f>IFERROR(IF(INDEX(Overrides!$C$8:$C$47,MATCH(B216,Overrides!$A$8:$A$47,0))="","",INDEX(Overrides!$C$8:$C$47,MATCH(B216,Overrides!$A$8:$A$47,0))),"")</f>
        <v/>
      </c>
      <c r="I216" s="36">
        <f>IFERROR(IF(INDEX(Overrides!$D$8:$D$47,MATCH(B216,Overrides!$A$8:$A$47,0))="",0,INDEX(Overrides!$D$8:$D$47,MATCH(B216,Overrides!$A$8:$A$47,0))),0)</f>
        <v>0</v>
      </c>
      <c r="J216" s="38">
        <f t="shared" si="23"/>
        <v>1529.8105611281021</v>
      </c>
      <c r="K216" s="18">
        <f t="shared" si="24"/>
        <v>1</v>
      </c>
      <c r="L216" s="38">
        <f t="shared" si="25"/>
        <v>1529.8105611281021</v>
      </c>
      <c r="M216" s="23">
        <f t="shared" si="26"/>
        <v>1.5169134775489699E-2</v>
      </c>
      <c r="N216" s="23">
        <f t="shared" si="27"/>
        <v>0.38867138240043242</v>
      </c>
      <c r="O216" s="6"/>
      <c r="P216" s="18">
        <f t="shared" si="28"/>
        <v>5.8958085830080548E-3</v>
      </c>
    </row>
    <row r="217" spans="1:16" ht="15" customHeight="1" x14ac:dyDescent="0.3">
      <c r="A217" s="7" t="str">
        <f>Raw_Players!A179</f>
        <v>DET</v>
      </c>
      <c r="B217" s="7" t="str">
        <f>Raw_Players!B179</f>
        <v>Ausar Thompson</v>
      </c>
      <c r="C217" s="37">
        <f>Raw_Players!E179</f>
        <v>1.8161341380536009</v>
      </c>
      <c r="D217" s="31">
        <f>Raw_Players!F179</f>
        <v>1460.24650452328</v>
      </c>
      <c r="E217" s="31">
        <f>Raw_Players!G179</f>
        <v>22.889612380768021</v>
      </c>
      <c r="F217" s="31">
        <f>Raw_Players!H179</f>
        <v>63.795160889233209</v>
      </c>
      <c r="G217" s="31" t="str">
        <f>IFERROR(IF(INDEX(Overrides!$B$8:$B$47,MATCH(B217,Overrides!$A$8:$A$47,0))="","",INDEX(Overrides!$B$8:$B$47,MATCH(B217,Overrides!$A$8:$A$47,0))),"")</f>
        <v/>
      </c>
      <c r="H217" s="31" t="str">
        <f>IFERROR(IF(INDEX(Overrides!$C$8:$C$47,MATCH(B217,Overrides!$A$8:$A$47,0))="","",INDEX(Overrides!$C$8:$C$47,MATCH(B217,Overrides!$A$8:$A$47,0))),"")</f>
        <v/>
      </c>
      <c r="I217" s="36">
        <f>IFERROR(IF(INDEX(Overrides!$D$8:$D$47,MATCH(B217,Overrides!$A$8:$A$47,0))="",0,INDEX(Overrides!$D$8:$D$47,MATCH(B217,Overrides!$A$8:$A$47,0))),0)</f>
        <v>0</v>
      </c>
      <c r="J217" s="38">
        <f t="shared" si="23"/>
        <v>1460.24650452328</v>
      </c>
      <c r="K217" s="18">
        <f t="shared" si="24"/>
        <v>1</v>
      </c>
      <c r="L217" s="38">
        <f t="shared" si="25"/>
        <v>1460.24650452328</v>
      </c>
      <c r="M217" s="23">
        <f t="shared" si="26"/>
        <v>1.8161341380536009</v>
      </c>
      <c r="N217" s="23">
        <f t="shared" si="27"/>
        <v>0.37099758753132112</v>
      </c>
      <c r="O217" s="6"/>
      <c r="P217" s="18">
        <f t="shared" si="28"/>
        <v>0.67378138385116126</v>
      </c>
    </row>
    <row r="218" spans="1:16" ht="15" customHeight="1" x14ac:dyDescent="0.3">
      <c r="A218" s="7" t="str">
        <f>Raw_Players!A180</f>
        <v>DET</v>
      </c>
      <c r="B218" s="7" t="str">
        <f>Raw_Players!B180</f>
        <v>Kevin Huerter</v>
      </c>
      <c r="C218" s="37">
        <f>Raw_Players!E180</f>
        <v>-0.40605268081621648</v>
      </c>
      <c r="D218" s="31">
        <f>Raw_Players!F180</f>
        <v>1356.6546562470371</v>
      </c>
      <c r="E218" s="31">
        <f>Raw_Players!G180</f>
        <v>21.567662111750099</v>
      </c>
      <c r="F218" s="31">
        <f>Raw_Players!H180</f>
        <v>62.902258446822053</v>
      </c>
      <c r="G218" s="31" t="str">
        <f>IFERROR(IF(INDEX(Overrides!$B$8:$B$47,MATCH(B218,Overrides!$A$8:$A$47,0))="","",INDEX(Overrides!$B$8:$B$47,MATCH(B218,Overrides!$A$8:$A$47,0))),"")</f>
        <v/>
      </c>
      <c r="H218" s="31" t="str">
        <f>IFERROR(IF(INDEX(Overrides!$C$8:$C$47,MATCH(B218,Overrides!$A$8:$A$47,0))="","",INDEX(Overrides!$C$8:$C$47,MATCH(B218,Overrides!$A$8:$A$47,0))),"")</f>
        <v/>
      </c>
      <c r="I218" s="36">
        <f>IFERROR(IF(INDEX(Overrides!$D$8:$D$47,MATCH(B218,Overrides!$A$8:$A$47,0))="",0,INDEX(Overrides!$D$8:$D$47,MATCH(B218,Overrides!$A$8:$A$47,0))),0)</f>
        <v>0</v>
      </c>
      <c r="J218" s="38">
        <f t="shared" si="23"/>
        <v>1356.6546562470371</v>
      </c>
      <c r="K218" s="18">
        <f t="shared" si="24"/>
        <v>1</v>
      </c>
      <c r="L218" s="38">
        <f t="shared" si="25"/>
        <v>1356.6546562470371</v>
      </c>
      <c r="M218" s="23">
        <f t="shared" si="26"/>
        <v>-0.40605268081621648</v>
      </c>
      <c r="N218" s="23">
        <f t="shared" si="27"/>
        <v>0.34467852038796676</v>
      </c>
      <c r="O218" s="6"/>
      <c r="P218" s="18">
        <f t="shared" si="28"/>
        <v>-0.13995763722330082</v>
      </c>
    </row>
    <row r="219" spans="1:16" ht="15" customHeight="1" x14ac:dyDescent="0.3">
      <c r="A219" s="7" t="str">
        <f>Raw_Players!A181</f>
        <v>DET</v>
      </c>
      <c r="B219" s="7" t="str">
        <f>Raw_Players!B181</f>
        <v>Isaiah Joe</v>
      </c>
      <c r="C219" s="37">
        <f>Raw_Players!E181</f>
        <v>1.29020246619781</v>
      </c>
      <c r="D219" s="31">
        <f>Raw_Players!F181</f>
        <v>1241.683746957422</v>
      </c>
      <c r="E219" s="31">
        <f>Raw_Players!G181</f>
        <v>19.365407179383428</v>
      </c>
      <c r="F219" s="31">
        <f>Raw_Players!H181</f>
        <v>64.118649066120796</v>
      </c>
      <c r="G219" s="31" t="str">
        <f>IFERROR(IF(INDEX(Overrides!$B$8:$B$47,MATCH(B219,Overrides!$A$8:$A$47,0))="","",INDEX(Overrides!$B$8:$B$47,MATCH(B219,Overrides!$A$8:$A$47,0))),"")</f>
        <v/>
      </c>
      <c r="H219" s="31" t="str">
        <f>IFERROR(IF(INDEX(Overrides!$C$8:$C$47,MATCH(B219,Overrides!$A$8:$A$47,0))="","",INDEX(Overrides!$C$8:$C$47,MATCH(B219,Overrides!$A$8:$A$47,0))),"")</f>
        <v/>
      </c>
      <c r="I219" s="36">
        <f>IFERROR(IF(INDEX(Overrides!$D$8:$D$47,MATCH(B219,Overrides!$A$8:$A$47,0))="",0,INDEX(Overrides!$D$8:$D$47,MATCH(B219,Overrides!$A$8:$A$47,0))),0)</f>
        <v>0</v>
      </c>
      <c r="J219" s="38">
        <f t="shared" si="23"/>
        <v>1241.683746957422</v>
      </c>
      <c r="K219" s="18">
        <f t="shared" si="24"/>
        <v>1</v>
      </c>
      <c r="L219" s="38">
        <f t="shared" si="25"/>
        <v>1241.683746957422</v>
      </c>
      <c r="M219" s="23">
        <f t="shared" si="26"/>
        <v>1.29020246619781</v>
      </c>
      <c r="N219" s="23">
        <f t="shared" si="27"/>
        <v>0.3154684316456865</v>
      </c>
      <c r="O219" s="6"/>
      <c r="P219" s="18">
        <f t="shared" si="28"/>
        <v>0.40701814851681994</v>
      </c>
    </row>
    <row r="220" spans="1:16" ht="15" customHeight="1" x14ac:dyDescent="0.3">
      <c r="A220" s="7" t="str">
        <f>Raw_Players!A182</f>
        <v>DET</v>
      </c>
      <c r="B220" s="7" t="str">
        <f>Raw_Players!B182</f>
        <v>Taurean Prince</v>
      </c>
      <c r="C220" s="37">
        <f>Raw_Players!E182</f>
        <v>-1.837539728430216</v>
      </c>
      <c r="D220" s="31">
        <f>Raw_Players!F182</f>
        <v>1238.8113506157929</v>
      </c>
      <c r="E220" s="31">
        <f>Raw_Players!G182</f>
        <v>23.953620522430519</v>
      </c>
      <c r="F220" s="31">
        <f>Raw_Players!H182</f>
        <v>51.717081743686791</v>
      </c>
      <c r="G220" s="31" t="str">
        <f>IFERROR(IF(INDEX(Overrides!$B$8:$B$47,MATCH(B220,Overrides!$A$8:$A$47,0))="","",INDEX(Overrides!$B$8:$B$47,MATCH(B220,Overrides!$A$8:$A$47,0))),"")</f>
        <v/>
      </c>
      <c r="H220" s="31" t="str">
        <f>IFERROR(IF(INDEX(Overrides!$C$8:$C$47,MATCH(B220,Overrides!$A$8:$A$47,0))="","",INDEX(Overrides!$C$8:$C$47,MATCH(B220,Overrides!$A$8:$A$47,0))),"")</f>
        <v/>
      </c>
      <c r="I220" s="36">
        <f>IFERROR(IF(INDEX(Overrides!$D$8:$D$47,MATCH(B220,Overrides!$A$8:$A$47,0))="",0,INDEX(Overrides!$D$8:$D$47,MATCH(B220,Overrides!$A$8:$A$47,0))),0)</f>
        <v>0</v>
      </c>
      <c r="J220" s="38">
        <f t="shared" si="23"/>
        <v>1238.8113506157929</v>
      </c>
      <c r="K220" s="18">
        <f t="shared" si="24"/>
        <v>1</v>
      </c>
      <c r="L220" s="38">
        <f t="shared" si="25"/>
        <v>1238.8113506157929</v>
      </c>
      <c r="M220" s="23">
        <f t="shared" si="26"/>
        <v>-1.837539728430216</v>
      </c>
      <c r="N220" s="23">
        <f t="shared" si="27"/>
        <v>0.31473865615238639</v>
      </c>
      <c r="O220" s="6"/>
      <c r="P220" s="18">
        <f t="shared" si="28"/>
        <v>-0.5783447847527472</v>
      </c>
    </row>
    <row r="221" spans="1:16" ht="15" customHeight="1" x14ac:dyDescent="0.3">
      <c r="A221" s="7" t="str">
        <f>Raw_Players!A183</f>
        <v>DET</v>
      </c>
      <c r="B221" s="7" t="str">
        <f>Raw_Players!B183</f>
        <v>Ronald Holland II</v>
      </c>
      <c r="C221" s="37">
        <f>Raw_Players!E183</f>
        <v>-0.41340037078487168</v>
      </c>
      <c r="D221" s="31">
        <f>Raw_Players!F183</f>
        <v>1135.655997638725</v>
      </c>
      <c r="E221" s="31">
        <f>Raw_Players!G183</f>
        <v>16.913962720501431</v>
      </c>
      <c r="F221" s="31">
        <f>Raw_Players!H183</f>
        <v>67.14310634386085</v>
      </c>
      <c r="G221" s="31" t="str">
        <f>IFERROR(IF(INDEX(Overrides!$B$8:$B$47,MATCH(B221,Overrides!$A$8:$A$47,0))="","",INDEX(Overrides!$B$8:$B$47,MATCH(B221,Overrides!$A$8:$A$47,0))),"")</f>
        <v/>
      </c>
      <c r="H221" s="31" t="str">
        <f>IFERROR(IF(INDEX(Overrides!$C$8:$C$47,MATCH(B221,Overrides!$A$8:$A$47,0))="","",INDEX(Overrides!$C$8:$C$47,MATCH(B221,Overrides!$A$8:$A$47,0))),"")</f>
        <v/>
      </c>
      <c r="I221" s="36">
        <f>IFERROR(IF(INDEX(Overrides!$D$8:$D$47,MATCH(B221,Overrides!$A$8:$A$47,0))="",0,INDEX(Overrides!$D$8:$D$47,MATCH(B221,Overrides!$A$8:$A$47,0))),0)</f>
        <v>0</v>
      </c>
      <c r="J221" s="38">
        <f t="shared" si="23"/>
        <v>1135.655997638725</v>
      </c>
      <c r="K221" s="18">
        <f t="shared" si="24"/>
        <v>1</v>
      </c>
      <c r="L221" s="38">
        <f t="shared" si="25"/>
        <v>1135.655997638725</v>
      </c>
      <c r="M221" s="23">
        <f t="shared" si="26"/>
        <v>-0.41340037078487168</v>
      </c>
      <c r="N221" s="23">
        <f t="shared" si="27"/>
        <v>0.28853048720496061</v>
      </c>
      <c r="O221" s="6"/>
      <c r="P221" s="18">
        <f t="shared" si="28"/>
        <v>-0.1192786103932704</v>
      </c>
    </row>
    <row r="222" spans="1:16" ht="15" customHeight="1" x14ac:dyDescent="0.3">
      <c r="A222" s="7" t="str">
        <f>Raw_Players!A184</f>
        <v>DET</v>
      </c>
      <c r="B222" s="7" t="str">
        <f>Raw_Players!B184</f>
        <v>Javonte Green</v>
      </c>
      <c r="C222" s="37">
        <f>Raw_Players!E184</f>
        <v>0.38278680574062279</v>
      </c>
      <c r="D222" s="31">
        <f>Raw_Players!F184</f>
        <v>1078.748197682542</v>
      </c>
      <c r="E222" s="31">
        <f>Raw_Players!G184</f>
        <v>16.79779514380224</v>
      </c>
      <c r="F222" s="31">
        <f>Raw_Players!H184</f>
        <v>64.219630519816192</v>
      </c>
      <c r="G222" s="31" t="str">
        <f>IFERROR(IF(INDEX(Overrides!$B$8:$B$47,MATCH(B222,Overrides!$A$8:$A$47,0))="","",INDEX(Overrides!$B$8:$B$47,MATCH(B222,Overrides!$A$8:$A$47,0))),"")</f>
        <v/>
      </c>
      <c r="H222" s="31" t="str">
        <f>IFERROR(IF(INDEX(Overrides!$C$8:$C$47,MATCH(B222,Overrides!$A$8:$A$47,0))="","",INDEX(Overrides!$C$8:$C$47,MATCH(B222,Overrides!$A$8:$A$47,0))),"")</f>
        <v/>
      </c>
      <c r="I222" s="36">
        <f>IFERROR(IF(INDEX(Overrides!$D$8:$D$47,MATCH(B222,Overrides!$A$8:$A$47,0))="",0,INDEX(Overrides!$D$8:$D$47,MATCH(B222,Overrides!$A$8:$A$47,0))),0)</f>
        <v>0</v>
      </c>
      <c r="J222" s="38">
        <f t="shared" si="23"/>
        <v>1078.748197682542</v>
      </c>
      <c r="K222" s="18">
        <f t="shared" si="24"/>
        <v>1</v>
      </c>
      <c r="L222" s="38">
        <f t="shared" si="25"/>
        <v>1078.748197682542</v>
      </c>
      <c r="M222" s="23">
        <f t="shared" si="26"/>
        <v>0.38278680574062279</v>
      </c>
      <c r="N222" s="23">
        <f t="shared" si="27"/>
        <v>0.27407220469576776</v>
      </c>
      <c r="O222" s="6"/>
      <c r="P222" s="18">
        <f t="shared" si="28"/>
        <v>0.10491122377778306</v>
      </c>
    </row>
    <row r="223" spans="1:16" ht="15" customHeight="1" x14ac:dyDescent="0.3">
      <c r="A223" s="7" t="str">
        <f>Raw_Players!A185</f>
        <v>DET</v>
      </c>
      <c r="B223" s="7" t="str">
        <f>Raw_Players!B185</f>
        <v>Daniss Jenkins</v>
      </c>
      <c r="C223" s="37">
        <f>Raw_Players!E185</f>
        <v>-0.92622780698914242</v>
      </c>
      <c r="D223" s="31">
        <f>Raw_Players!F185</f>
        <v>1011.71989124609</v>
      </c>
      <c r="E223" s="31">
        <f>Raw_Players!G185</f>
        <v>17.29813264564817</v>
      </c>
      <c r="F223" s="31">
        <f>Raw_Players!H185</f>
        <v>58.487231655066338</v>
      </c>
      <c r="G223" s="31" t="str">
        <f>IFERROR(IF(INDEX(Overrides!$B$8:$B$47,MATCH(B223,Overrides!$A$8:$A$47,0))="","",INDEX(Overrides!$B$8:$B$47,MATCH(B223,Overrides!$A$8:$A$47,0))),"")</f>
        <v/>
      </c>
      <c r="H223" s="31" t="str">
        <f>IFERROR(IF(INDEX(Overrides!$C$8:$C$47,MATCH(B223,Overrides!$A$8:$A$47,0))="","",INDEX(Overrides!$C$8:$C$47,MATCH(B223,Overrides!$A$8:$A$47,0))),"")</f>
        <v/>
      </c>
      <c r="I223" s="36">
        <f>IFERROR(IF(INDEX(Overrides!$D$8:$D$47,MATCH(B223,Overrides!$A$8:$A$47,0))="",0,INDEX(Overrides!$D$8:$D$47,MATCH(B223,Overrides!$A$8:$A$47,0))),0)</f>
        <v>0</v>
      </c>
      <c r="J223" s="38">
        <f t="shared" si="23"/>
        <v>1011.71989124609</v>
      </c>
      <c r="K223" s="18">
        <f t="shared" si="24"/>
        <v>1</v>
      </c>
      <c r="L223" s="38">
        <f t="shared" si="25"/>
        <v>1011.71989124609</v>
      </c>
      <c r="M223" s="23">
        <f t="shared" si="26"/>
        <v>-0.92622780698914242</v>
      </c>
      <c r="N223" s="23">
        <f t="shared" si="27"/>
        <v>0.25704265529626269</v>
      </c>
      <c r="O223" s="6"/>
      <c r="P223" s="18">
        <f t="shared" si="28"/>
        <v>-0.23808005491772347</v>
      </c>
    </row>
    <row r="224" spans="1:16" ht="15" customHeight="1" x14ac:dyDescent="0.3">
      <c r="A224" s="7" t="str">
        <f>Raw_Players!A186</f>
        <v>DET</v>
      </c>
      <c r="B224" s="7" t="str">
        <f>Raw_Players!B186</f>
        <v>Ebuka Okorie</v>
      </c>
      <c r="C224" s="37">
        <f>Raw_Players!E186</f>
        <v>-3.1501062271017939</v>
      </c>
      <c r="D224" s="31">
        <f>Raw_Players!F186</f>
        <v>852.0543677164045</v>
      </c>
      <c r="E224" s="31">
        <f>Raw_Players!G186</f>
        <v>17.88865201982243</v>
      </c>
      <c r="F224" s="31">
        <f>Raw_Players!H186</f>
        <v>47.630999069814891</v>
      </c>
      <c r="G224" s="31" t="str">
        <f>IFERROR(IF(INDEX(Overrides!$B$8:$B$47,MATCH(B224,Overrides!$A$8:$A$47,0))="","",INDEX(Overrides!$B$8:$B$47,MATCH(B224,Overrides!$A$8:$A$47,0))),"")</f>
        <v/>
      </c>
      <c r="H224" s="31" t="str">
        <f>IFERROR(IF(INDEX(Overrides!$C$8:$C$47,MATCH(B224,Overrides!$A$8:$A$47,0))="","",INDEX(Overrides!$C$8:$C$47,MATCH(B224,Overrides!$A$8:$A$47,0))),"")</f>
        <v/>
      </c>
      <c r="I224" s="36">
        <f>IFERROR(IF(INDEX(Overrides!$D$8:$D$47,MATCH(B224,Overrides!$A$8:$A$47,0))="",0,INDEX(Overrides!$D$8:$D$47,MATCH(B224,Overrides!$A$8:$A$47,0))),0)</f>
        <v>0</v>
      </c>
      <c r="J224" s="38">
        <f t="shared" si="23"/>
        <v>852.0543677164045</v>
      </c>
      <c r="K224" s="18">
        <f t="shared" si="24"/>
        <v>1</v>
      </c>
      <c r="L224" s="38">
        <f t="shared" si="25"/>
        <v>852.0543677164045</v>
      </c>
      <c r="M224" s="23">
        <f t="shared" si="26"/>
        <v>-3.1501062271017939</v>
      </c>
      <c r="N224" s="23">
        <f t="shared" si="27"/>
        <v>0.21647722757022472</v>
      </c>
      <c r="O224" s="6"/>
      <c r="P224" s="18">
        <f t="shared" si="28"/>
        <v>-0.68192626259469702</v>
      </c>
    </row>
    <row r="225" spans="1:16" ht="15" customHeight="1" x14ac:dyDescent="0.3">
      <c r="A225" s="7" t="str">
        <f>Raw_Players!A187</f>
        <v>DET</v>
      </c>
      <c r="B225" s="7" t="str">
        <f>Raw_Players!B187</f>
        <v>Paul Reed</v>
      </c>
      <c r="C225" s="37">
        <f>Raw_Players!E187</f>
        <v>2.475043028649075</v>
      </c>
      <c r="D225" s="31">
        <f>Raw_Players!F187</f>
        <v>807.81433907437167</v>
      </c>
      <c r="E225" s="31">
        <f>Raw_Players!G187</f>
        <v>13.48512134913218</v>
      </c>
      <c r="F225" s="31">
        <f>Raw_Players!H187</f>
        <v>59.904120857344587</v>
      </c>
      <c r="G225" s="31" t="str">
        <f>IFERROR(IF(INDEX(Overrides!$B$8:$B$47,MATCH(B225,Overrides!$A$8:$A$47,0))="","",INDEX(Overrides!$B$8:$B$47,MATCH(B225,Overrides!$A$8:$A$47,0))),"")</f>
        <v/>
      </c>
      <c r="H225" s="31" t="str">
        <f>IFERROR(IF(INDEX(Overrides!$C$8:$C$47,MATCH(B225,Overrides!$A$8:$A$47,0))="","",INDEX(Overrides!$C$8:$C$47,MATCH(B225,Overrides!$A$8:$A$47,0))),"")</f>
        <v/>
      </c>
      <c r="I225" s="36">
        <f>IFERROR(IF(INDEX(Overrides!$D$8:$D$47,MATCH(B225,Overrides!$A$8:$A$47,0))="",0,INDEX(Overrides!$D$8:$D$47,MATCH(B225,Overrides!$A$8:$A$47,0))),0)</f>
        <v>0</v>
      </c>
      <c r="J225" s="38">
        <f t="shared" si="23"/>
        <v>807.81433907437167</v>
      </c>
      <c r="K225" s="18">
        <f t="shared" si="24"/>
        <v>1</v>
      </c>
      <c r="L225" s="38">
        <f t="shared" si="25"/>
        <v>807.81433907437167</v>
      </c>
      <c r="M225" s="23">
        <f t="shared" si="26"/>
        <v>2.475043028649075</v>
      </c>
      <c r="N225" s="23">
        <f t="shared" si="27"/>
        <v>0.2052373828949115</v>
      </c>
      <c r="O225" s="6"/>
      <c r="P225" s="18">
        <f t="shared" si="28"/>
        <v>0.50797135375223157</v>
      </c>
    </row>
    <row r="226" spans="1:16" ht="15" customHeight="1" x14ac:dyDescent="0.3">
      <c r="A226" s="7" t="str">
        <f>Raw_Players!A188</f>
        <v>DET</v>
      </c>
      <c r="B226" s="7" t="str">
        <f>Raw_Players!B188</f>
        <v>Elijah Harkless</v>
      </c>
      <c r="C226" s="37">
        <f>Raw_Players!E188</f>
        <v>-2.5466117307146519</v>
      </c>
      <c r="D226" s="31">
        <f>Raw_Players!F188</f>
        <v>780.61442176892285</v>
      </c>
      <c r="E226" s="31">
        <f>Raw_Players!G188</f>
        <v>16.594684031539241</v>
      </c>
      <c r="F226" s="31">
        <f>Raw_Players!H188</f>
        <v>47.040029221726442</v>
      </c>
      <c r="G226" s="31" t="str">
        <f>IFERROR(IF(INDEX(Overrides!$B$8:$B$47,MATCH(B226,Overrides!$A$8:$A$47,0))="","",INDEX(Overrides!$B$8:$B$47,MATCH(B226,Overrides!$A$8:$A$47,0))),"")</f>
        <v/>
      </c>
      <c r="H226" s="31" t="str">
        <f>IFERROR(IF(INDEX(Overrides!$C$8:$C$47,MATCH(B226,Overrides!$A$8:$A$47,0))="","",INDEX(Overrides!$C$8:$C$47,MATCH(B226,Overrides!$A$8:$A$47,0))),"")</f>
        <v/>
      </c>
      <c r="I226" s="36">
        <f>IFERROR(IF(INDEX(Overrides!$D$8:$D$47,MATCH(B226,Overrides!$A$8:$A$47,0))="",0,INDEX(Overrides!$D$8:$D$47,MATCH(B226,Overrides!$A$8:$A$47,0))),0)</f>
        <v>0</v>
      </c>
      <c r="J226" s="38">
        <f t="shared" si="23"/>
        <v>780.61442176892285</v>
      </c>
      <c r="K226" s="18">
        <f t="shared" si="24"/>
        <v>1</v>
      </c>
      <c r="L226" s="38">
        <f t="shared" si="25"/>
        <v>780.61442176892285</v>
      </c>
      <c r="M226" s="23">
        <f t="shared" si="26"/>
        <v>-2.5466117307146519</v>
      </c>
      <c r="N226" s="23">
        <f t="shared" si="27"/>
        <v>0.19832683479901494</v>
      </c>
      <c r="O226" s="6"/>
      <c r="P226" s="18">
        <f t="shared" si="28"/>
        <v>-0.50506144401467834</v>
      </c>
    </row>
    <row r="227" spans="1:16" ht="15" customHeight="1" x14ac:dyDescent="0.3">
      <c r="A227" s="7" t="str">
        <f>Raw_Players!A189</f>
        <v>DET</v>
      </c>
      <c r="B227" s="7" t="str">
        <f>Raw_Players!B189</f>
        <v>Tolu Smith</v>
      </c>
      <c r="C227" s="37">
        <f>Raw_Players!E189</f>
        <v>-1.016317657437305</v>
      </c>
      <c r="D227" s="31">
        <f>Raw_Players!F189</f>
        <v>446.9537714748277</v>
      </c>
      <c r="E227" s="31">
        <f>Raw_Players!G189</f>
        <v>10.29015967608367</v>
      </c>
      <c r="F227" s="31">
        <f>Raw_Players!H189</f>
        <v>43.435066660203049</v>
      </c>
      <c r="G227" s="31" t="str">
        <f>IFERROR(IF(INDEX(Overrides!$B$8:$B$47,MATCH(B227,Overrides!$A$8:$A$47,0))="","",INDEX(Overrides!$B$8:$B$47,MATCH(B227,Overrides!$A$8:$A$47,0))),"")</f>
        <v/>
      </c>
      <c r="H227" s="31" t="str">
        <f>IFERROR(IF(INDEX(Overrides!$C$8:$C$47,MATCH(B227,Overrides!$A$8:$A$47,0))="","",INDEX(Overrides!$C$8:$C$47,MATCH(B227,Overrides!$A$8:$A$47,0))),"")</f>
        <v/>
      </c>
      <c r="I227" s="36">
        <f>IFERROR(IF(INDEX(Overrides!$D$8:$D$47,MATCH(B227,Overrides!$A$8:$A$47,0))="",0,INDEX(Overrides!$D$8:$D$47,MATCH(B227,Overrides!$A$8:$A$47,0))),0)</f>
        <v>0</v>
      </c>
      <c r="J227" s="38">
        <f t="shared" si="23"/>
        <v>446.9537714748277</v>
      </c>
      <c r="K227" s="18">
        <f t="shared" si="24"/>
        <v>1</v>
      </c>
      <c r="L227" s="38">
        <f t="shared" si="25"/>
        <v>446.9537714748277</v>
      </c>
      <c r="M227" s="23">
        <f t="shared" si="26"/>
        <v>-1.016317657437305</v>
      </c>
      <c r="N227" s="23">
        <f t="shared" si="27"/>
        <v>0.1135553281186046</v>
      </c>
      <c r="O227" s="6"/>
      <c r="P227" s="18">
        <f t="shared" si="28"/>
        <v>-0.11540828506302475</v>
      </c>
    </row>
    <row r="228" spans="1:16" ht="15" customHeight="1" x14ac:dyDescent="0.3">
      <c r="A228" s="7" t="str">
        <f>Raw_Players!A190</f>
        <v>DET</v>
      </c>
      <c r="B228" s="7" t="str">
        <f>Raw_Players!B190</f>
        <v>Chaz Lanier</v>
      </c>
      <c r="C228" s="37">
        <f>Raw_Players!E190</f>
        <v>-2.7420471786670082</v>
      </c>
      <c r="D228" s="31">
        <f>Raw_Players!F190</f>
        <v>444.28026664317201</v>
      </c>
      <c r="E228" s="31">
        <f>Raw_Players!G190</f>
        <v>8.6138410634962685</v>
      </c>
      <c r="F228" s="31">
        <f>Raw_Players!H190</f>
        <v>51.577485974978423</v>
      </c>
      <c r="G228" s="31" t="str">
        <f>IFERROR(IF(INDEX(Overrides!$B$8:$B$47,MATCH(B228,Overrides!$A$8:$A$47,0))="","",INDEX(Overrides!$B$8:$B$47,MATCH(B228,Overrides!$A$8:$A$47,0))),"")</f>
        <v/>
      </c>
      <c r="H228" s="31" t="str">
        <f>IFERROR(IF(INDEX(Overrides!$C$8:$C$47,MATCH(B228,Overrides!$A$8:$A$47,0))="","",INDEX(Overrides!$C$8:$C$47,MATCH(B228,Overrides!$A$8:$A$47,0))),"")</f>
        <v/>
      </c>
      <c r="I228" s="36">
        <f>IFERROR(IF(INDEX(Overrides!$D$8:$D$47,MATCH(B228,Overrides!$A$8:$A$47,0))="",0,INDEX(Overrides!$D$8:$D$47,MATCH(B228,Overrides!$A$8:$A$47,0))),0)</f>
        <v>0</v>
      </c>
      <c r="J228" s="38">
        <f t="shared" si="23"/>
        <v>444.28026664317201</v>
      </c>
      <c r="K228" s="18">
        <f t="shared" si="24"/>
        <v>1</v>
      </c>
      <c r="L228" s="38">
        <f t="shared" si="25"/>
        <v>444.28026664317201</v>
      </c>
      <c r="M228" s="23">
        <f t="shared" si="26"/>
        <v>-2.7420471786670082</v>
      </c>
      <c r="N228" s="23">
        <f t="shared" si="27"/>
        <v>0.11287608400487094</v>
      </c>
      <c r="O228" s="6"/>
      <c r="P228" s="18">
        <f t="shared" si="28"/>
        <v>-0.30951154768453659</v>
      </c>
    </row>
    <row r="229" spans="1:16" ht="15" customHeight="1" x14ac:dyDescent="0.3">
      <c r="A229" s="7" t="str">
        <f>Raw_Players!A191</f>
        <v>DET</v>
      </c>
      <c r="B229" s="7" t="str">
        <f>Raw_Players!B191</f>
        <v>Ugonna Onyenso</v>
      </c>
      <c r="C229" s="37">
        <f>Raw_Players!E191</f>
        <v>-0.23262307568325941</v>
      </c>
      <c r="D229" s="31">
        <f>Raw_Players!F191</f>
        <v>414.63916841432132</v>
      </c>
      <c r="E229" s="31">
        <f>Raw_Players!G191</f>
        <v>12.860607177089969</v>
      </c>
      <c r="F229" s="31">
        <f>Raw_Players!H191</f>
        <v>32.241025847750343</v>
      </c>
      <c r="G229" s="31" t="str">
        <f>IFERROR(IF(INDEX(Overrides!$B$8:$B$47,MATCH(B229,Overrides!$A$8:$A$47,0))="","",INDEX(Overrides!$B$8:$B$47,MATCH(B229,Overrides!$A$8:$A$47,0))),"")</f>
        <v/>
      </c>
      <c r="H229" s="31" t="str">
        <f>IFERROR(IF(INDEX(Overrides!$C$8:$C$47,MATCH(B229,Overrides!$A$8:$A$47,0))="","",INDEX(Overrides!$C$8:$C$47,MATCH(B229,Overrides!$A$8:$A$47,0))),"")</f>
        <v/>
      </c>
      <c r="I229" s="36">
        <f>IFERROR(IF(INDEX(Overrides!$D$8:$D$47,MATCH(B229,Overrides!$A$8:$A$47,0))="",0,INDEX(Overrides!$D$8:$D$47,MATCH(B229,Overrides!$A$8:$A$47,0))),0)</f>
        <v>0</v>
      </c>
      <c r="J229" s="38">
        <f t="shared" si="23"/>
        <v>414.63916841432132</v>
      </c>
      <c r="K229" s="18">
        <f t="shared" si="24"/>
        <v>1</v>
      </c>
      <c r="L229" s="38">
        <f t="shared" si="25"/>
        <v>414.63916841432132</v>
      </c>
      <c r="M229" s="23">
        <f t="shared" si="26"/>
        <v>-0.23262307568325941</v>
      </c>
      <c r="N229" s="23">
        <f t="shared" si="27"/>
        <v>0.10534531717843529</v>
      </c>
      <c r="O229" s="6"/>
      <c r="P229" s="18">
        <f t="shared" si="28"/>
        <v>-2.4505751690876119E-2</v>
      </c>
    </row>
    <row r="230" spans="1:16" ht="15" customHeight="1" x14ac:dyDescent="0.3">
      <c r="A230" s="7" t="str">
        <f>Raw_Players!A192</f>
        <v>DET</v>
      </c>
      <c r="B230" s="7" t="str">
        <f>Raw_Players!B192</f>
        <v>Brice Williams</v>
      </c>
      <c r="C230" s="37">
        <f>Raw_Players!E192</f>
        <v>-3.1867960702466678</v>
      </c>
      <c r="D230" s="31">
        <f>Raw_Players!F192</f>
        <v>371.30944962199771</v>
      </c>
      <c r="E230" s="31">
        <f>Raw_Players!G192</f>
        <v>12.23896820616512</v>
      </c>
      <c r="F230" s="31">
        <f>Raw_Players!H192</f>
        <v>30.338296772023529</v>
      </c>
      <c r="G230" s="31" t="str">
        <f>IFERROR(IF(INDEX(Overrides!$B$8:$B$47,MATCH(B230,Overrides!$A$8:$A$47,0))="","",INDEX(Overrides!$B$8:$B$47,MATCH(B230,Overrides!$A$8:$A$47,0))),"")</f>
        <v/>
      </c>
      <c r="H230" s="31" t="str">
        <f>IFERROR(IF(INDEX(Overrides!$C$8:$C$47,MATCH(B230,Overrides!$A$8:$A$47,0))="","",INDEX(Overrides!$C$8:$C$47,MATCH(B230,Overrides!$A$8:$A$47,0))),"")</f>
        <v/>
      </c>
      <c r="I230" s="36">
        <f>IFERROR(IF(INDEX(Overrides!$D$8:$D$47,MATCH(B230,Overrides!$A$8:$A$47,0))="",0,INDEX(Overrides!$D$8:$D$47,MATCH(B230,Overrides!$A$8:$A$47,0))),0)</f>
        <v>0</v>
      </c>
      <c r="J230" s="38">
        <f t="shared" si="23"/>
        <v>371.30944962199771</v>
      </c>
      <c r="K230" s="18">
        <f t="shared" si="24"/>
        <v>1</v>
      </c>
      <c r="L230" s="38">
        <f t="shared" si="25"/>
        <v>371.30944962199771</v>
      </c>
      <c r="M230" s="23">
        <f t="shared" si="26"/>
        <v>-3.1867960702466678</v>
      </c>
      <c r="N230" s="23">
        <f t="shared" si="27"/>
        <v>9.4336750412092912E-2</v>
      </c>
      <c r="O230" s="6"/>
      <c r="P230" s="18">
        <f t="shared" si="28"/>
        <v>-0.30063198549309839</v>
      </c>
    </row>
    <row r="231" spans="1:16" ht="15" customHeight="1" x14ac:dyDescent="0.3">
      <c r="A231" s="7" t="str">
        <f>Raw_Players!A193</f>
        <v>DET</v>
      </c>
      <c r="B231" s="7" t="str">
        <f>Raw_Players!B193</f>
        <v>Isaac Jones</v>
      </c>
      <c r="C231" s="37">
        <f>Raw_Players!E193</f>
        <v>-2.6095053601436322</v>
      </c>
      <c r="D231" s="31">
        <f>Raw_Players!F193</f>
        <v>354.75628561382672</v>
      </c>
      <c r="E231" s="31">
        <f>Raw_Players!G193</f>
        <v>7.8723436362732517</v>
      </c>
      <c r="F231" s="31">
        <f>Raw_Players!H193</f>
        <v>45.063617901436963</v>
      </c>
      <c r="G231" s="31" t="str">
        <f>IFERROR(IF(INDEX(Overrides!$B$8:$B$47,MATCH(B231,Overrides!$A$8:$A$47,0))="","",INDEX(Overrides!$B$8:$B$47,MATCH(B231,Overrides!$A$8:$A$47,0))),"")</f>
        <v/>
      </c>
      <c r="H231" s="31" t="str">
        <f>IFERROR(IF(INDEX(Overrides!$C$8:$C$47,MATCH(B231,Overrides!$A$8:$A$47,0))="","",INDEX(Overrides!$C$8:$C$47,MATCH(B231,Overrides!$A$8:$A$47,0))),"")</f>
        <v/>
      </c>
      <c r="I231" s="36">
        <f>IFERROR(IF(INDEX(Overrides!$D$8:$D$47,MATCH(B231,Overrides!$A$8:$A$47,0))="",0,INDEX(Overrides!$D$8:$D$47,MATCH(B231,Overrides!$A$8:$A$47,0))),0)</f>
        <v>0</v>
      </c>
      <c r="J231" s="38">
        <f t="shared" si="23"/>
        <v>354.75628561382672</v>
      </c>
      <c r="K231" s="18">
        <f t="shared" si="24"/>
        <v>1</v>
      </c>
      <c r="L231" s="38">
        <f t="shared" si="25"/>
        <v>354.75628561382672</v>
      </c>
      <c r="M231" s="23">
        <f t="shared" si="26"/>
        <v>-2.6095053601436322</v>
      </c>
      <c r="N231" s="23">
        <f t="shared" si="27"/>
        <v>9.0131170125464108E-2</v>
      </c>
      <c r="O231" s="6"/>
      <c r="P231" s="18">
        <f t="shared" si="28"/>
        <v>-0.2351977715584162</v>
      </c>
    </row>
    <row r="232" spans="1:16" ht="15" customHeight="1" x14ac:dyDescent="0.3">
      <c r="A232" s="7" t="str">
        <f>Raw_Players!A194</f>
        <v>GSW</v>
      </c>
      <c r="B232" s="7" t="str">
        <f>Raw_Players!B194</f>
        <v>Brandin Podziemski</v>
      </c>
      <c r="C232" s="37">
        <f>Raw_Players!E194</f>
        <v>0.93253836234967125</v>
      </c>
      <c r="D232" s="31">
        <f>Raw_Players!F194</f>
        <v>1719.5191242167959</v>
      </c>
      <c r="E232" s="31">
        <f>Raw_Players!G194</f>
        <v>25.848063306656979</v>
      </c>
      <c r="F232" s="31">
        <f>Raw_Players!H194</f>
        <v>66.524099071435913</v>
      </c>
      <c r="G232" s="31" t="str">
        <f>IFERROR(IF(INDEX(Overrides!$B$8:$B$47,MATCH(B232,Overrides!$A$8:$A$47,0))="","",INDEX(Overrides!$B$8:$B$47,MATCH(B232,Overrides!$A$8:$A$47,0))),"")</f>
        <v/>
      </c>
      <c r="H232" s="31" t="str">
        <f>IFERROR(IF(INDEX(Overrides!$C$8:$C$47,MATCH(B232,Overrides!$A$8:$A$47,0))="","",INDEX(Overrides!$C$8:$C$47,MATCH(B232,Overrides!$A$8:$A$47,0))),"")</f>
        <v/>
      </c>
      <c r="I232" s="36">
        <f>IFERROR(IF(INDEX(Overrides!$D$8:$D$47,MATCH(B232,Overrides!$A$8:$A$47,0))="",0,INDEX(Overrides!$D$8:$D$47,MATCH(B232,Overrides!$A$8:$A$47,0))),0)</f>
        <v>0</v>
      </c>
      <c r="J232" s="38">
        <f t="shared" si="23"/>
        <v>1719.5191242167959</v>
      </c>
      <c r="K232" s="18">
        <f t="shared" si="24"/>
        <v>1.0000000000000002</v>
      </c>
      <c r="L232" s="38">
        <f t="shared" si="25"/>
        <v>1719.5191242167964</v>
      </c>
      <c r="M232" s="23">
        <f t="shared" si="26"/>
        <v>0.93253836234967125</v>
      </c>
      <c r="N232" s="23">
        <f t="shared" si="27"/>
        <v>0.43686969619329175</v>
      </c>
      <c r="O232" s="6"/>
      <c r="P232" s="18">
        <f t="shared" si="28"/>
        <v>0.40739775104829068</v>
      </c>
    </row>
    <row r="233" spans="1:16" ht="15" customHeight="1" x14ac:dyDescent="0.3">
      <c r="A233" s="7" t="str">
        <f>Raw_Players!A195</f>
        <v>GSW</v>
      </c>
      <c r="B233" s="7" t="str">
        <f>Raw_Players!B195</f>
        <v>Draymond Green</v>
      </c>
      <c r="C233" s="37">
        <f>Raw_Players!E195</f>
        <v>-0.41682999556332889</v>
      </c>
      <c r="D233" s="31">
        <f>Raw_Players!F195</f>
        <v>1533.5646169898421</v>
      </c>
      <c r="E233" s="31">
        <f>Raw_Players!G195</f>
        <v>25.95362215927841</v>
      </c>
      <c r="F233" s="31">
        <f>Raw_Players!H195</f>
        <v>59.088654661699842</v>
      </c>
      <c r="G233" s="31" t="str">
        <f>IFERROR(IF(INDEX(Overrides!$B$8:$B$47,MATCH(B233,Overrides!$A$8:$A$47,0))="","",INDEX(Overrides!$B$8:$B$47,MATCH(B233,Overrides!$A$8:$A$47,0))),"")</f>
        <v/>
      </c>
      <c r="H233" s="31" t="str">
        <f>IFERROR(IF(INDEX(Overrides!$C$8:$C$47,MATCH(B233,Overrides!$A$8:$A$47,0))="","",INDEX(Overrides!$C$8:$C$47,MATCH(B233,Overrides!$A$8:$A$47,0))),"")</f>
        <v/>
      </c>
      <c r="I233" s="36">
        <f>IFERROR(IF(INDEX(Overrides!$D$8:$D$47,MATCH(B233,Overrides!$A$8:$A$47,0))="",0,INDEX(Overrides!$D$8:$D$47,MATCH(B233,Overrides!$A$8:$A$47,0))),0)</f>
        <v>0</v>
      </c>
      <c r="J233" s="38">
        <f t="shared" si="23"/>
        <v>1533.5646169898421</v>
      </c>
      <c r="K233" s="18">
        <f t="shared" si="24"/>
        <v>1.0000000000000002</v>
      </c>
      <c r="L233" s="38">
        <f t="shared" si="25"/>
        <v>1533.5646169898423</v>
      </c>
      <c r="M233" s="23">
        <f t="shared" si="26"/>
        <v>-0.41682999556332889</v>
      </c>
      <c r="N233" s="23">
        <f t="shared" si="27"/>
        <v>0.38962515675554937</v>
      </c>
      <c r="O233" s="6"/>
      <c r="P233" s="18">
        <f t="shared" si="28"/>
        <v>-0.16240745236177698</v>
      </c>
    </row>
    <row r="234" spans="1:16" ht="15" customHeight="1" x14ac:dyDescent="0.3">
      <c r="A234" s="7" t="str">
        <f>Raw_Players!A196</f>
        <v>GSW</v>
      </c>
      <c r="B234" s="7" t="str">
        <f>Raw_Players!B196</f>
        <v>Stephen Curry</v>
      </c>
      <c r="C234" s="37">
        <f>Raw_Players!E196</f>
        <v>3.383199184550453</v>
      </c>
      <c r="D234" s="31">
        <f>Raw_Players!F196</f>
        <v>1519.770590163035</v>
      </c>
      <c r="E234" s="31">
        <f>Raw_Players!G196</f>
        <v>29.39071332669409</v>
      </c>
      <c r="F234" s="31">
        <f>Raw_Players!H196</f>
        <v>51.709210772462093</v>
      </c>
      <c r="G234" s="31" t="str">
        <f>IFERROR(IF(INDEX(Overrides!$B$8:$B$47,MATCH(B234,Overrides!$A$8:$A$47,0))="","",INDEX(Overrides!$B$8:$B$47,MATCH(B234,Overrides!$A$8:$A$47,0))),"")</f>
        <v/>
      </c>
      <c r="H234" s="31" t="str">
        <f>IFERROR(IF(INDEX(Overrides!$C$8:$C$47,MATCH(B234,Overrides!$A$8:$A$47,0))="","",INDEX(Overrides!$C$8:$C$47,MATCH(B234,Overrides!$A$8:$A$47,0))),"")</f>
        <v/>
      </c>
      <c r="I234" s="36">
        <f>IFERROR(IF(INDEX(Overrides!$D$8:$D$47,MATCH(B234,Overrides!$A$8:$A$47,0))="",0,INDEX(Overrides!$D$8:$D$47,MATCH(B234,Overrides!$A$8:$A$47,0))),0)</f>
        <v>0</v>
      </c>
      <c r="J234" s="38">
        <f t="shared" si="23"/>
        <v>1519.770590163035</v>
      </c>
      <c r="K234" s="18">
        <f t="shared" si="24"/>
        <v>1.0000000000000002</v>
      </c>
      <c r="L234" s="38">
        <f t="shared" si="25"/>
        <v>1519.7705901630352</v>
      </c>
      <c r="M234" s="23">
        <f t="shared" si="26"/>
        <v>3.383199184550453</v>
      </c>
      <c r="N234" s="23">
        <f t="shared" si="27"/>
        <v>0.38612057676906381</v>
      </c>
      <c r="O234" s="6"/>
      <c r="P234" s="18">
        <f t="shared" si="28"/>
        <v>1.3063228204632473</v>
      </c>
    </row>
    <row r="235" spans="1:16" ht="15" customHeight="1" x14ac:dyDescent="0.3">
      <c r="A235" s="7" t="str">
        <f>Raw_Players!A197</f>
        <v>GSW</v>
      </c>
      <c r="B235" s="7" t="str">
        <f>Raw_Players!B197</f>
        <v>Al Horford</v>
      </c>
      <c r="C235" s="37">
        <f>Raw_Players!E197</f>
        <v>-0.21247803337691851</v>
      </c>
      <c r="D235" s="31">
        <f>Raw_Players!F197</f>
        <v>1147.644826207201</v>
      </c>
      <c r="E235" s="31">
        <f>Raw_Players!G197</f>
        <v>23.03070407969653</v>
      </c>
      <c r="F235" s="31">
        <f>Raw_Players!H197</f>
        <v>49.831078643355283</v>
      </c>
      <c r="G235" s="31" t="str">
        <f>IFERROR(IF(INDEX(Overrides!$B$8:$B$47,MATCH(B235,Overrides!$A$8:$A$47,0))="","",INDEX(Overrides!$B$8:$B$47,MATCH(B235,Overrides!$A$8:$A$47,0))),"")</f>
        <v/>
      </c>
      <c r="H235" s="31" t="str">
        <f>IFERROR(IF(INDEX(Overrides!$C$8:$C$47,MATCH(B235,Overrides!$A$8:$A$47,0))="","",INDEX(Overrides!$C$8:$C$47,MATCH(B235,Overrides!$A$8:$A$47,0))),"")</f>
        <v/>
      </c>
      <c r="I235" s="36">
        <f>IFERROR(IF(INDEX(Overrides!$D$8:$D$47,MATCH(B235,Overrides!$A$8:$A$47,0))="",0,INDEX(Overrides!$D$8:$D$47,MATCH(B235,Overrides!$A$8:$A$47,0))),0)</f>
        <v>0</v>
      </c>
      <c r="J235" s="38">
        <f t="shared" si="23"/>
        <v>1147.644826207201</v>
      </c>
      <c r="K235" s="18">
        <f t="shared" si="24"/>
        <v>1.0000000000000002</v>
      </c>
      <c r="L235" s="38">
        <f t="shared" si="25"/>
        <v>1147.6448262072013</v>
      </c>
      <c r="M235" s="23">
        <f t="shared" si="26"/>
        <v>-0.21247803337691851</v>
      </c>
      <c r="N235" s="23">
        <f t="shared" si="27"/>
        <v>0.29157642942256129</v>
      </c>
      <c r="O235" s="6"/>
      <c r="P235" s="18">
        <f t="shared" si="28"/>
        <v>-6.1953586302769703E-2</v>
      </c>
    </row>
    <row r="236" spans="1:16" ht="15" customHeight="1" x14ac:dyDescent="0.3">
      <c r="A236" s="7" t="str">
        <f>Raw_Players!A198</f>
        <v>GSW</v>
      </c>
      <c r="B236" s="7" t="str">
        <f>Raw_Players!B198</f>
        <v>Will Richard</v>
      </c>
      <c r="C236" s="37">
        <f>Raw_Players!E198</f>
        <v>-0.72609884605924369</v>
      </c>
      <c r="D236" s="31">
        <f>Raw_Players!F198</f>
        <v>1144.078593408984</v>
      </c>
      <c r="E236" s="31">
        <f>Raw_Players!G198</f>
        <v>17.95396642773612</v>
      </c>
      <c r="F236" s="31">
        <f>Raw_Players!H198</f>
        <v>63.722888087924566</v>
      </c>
      <c r="G236" s="31" t="str">
        <f>IFERROR(IF(INDEX(Overrides!$B$8:$B$47,MATCH(B236,Overrides!$A$8:$A$47,0))="","",INDEX(Overrides!$B$8:$B$47,MATCH(B236,Overrides!$A$8:$A$47,0))),"")</f>
        <v/>
      </c>
      <c r="H236" s="31" t="str">
        <f>IFERROR(IF(INDEX(Overrides!$C$8:$C$47,MATCH(B236,Overrides!$A$8:$A$47,0))="","",INDEX(Overrides!$C$8:$C$47,MATCH(B236,Overrides!$A$8:$A$47,0))),"")</f>
        <v/>
      </c>
      <c r="I236" s="36">
        <f>IFERROR(IF(INDEX(Overrides!$D$8:$D$47,MATCH(B236,Overrides!$A$8:$A$47,0))="",0,INDEX(Overrides!$D$8:$D$47,MATCH(B236,Overrides!$A$8:$A$47,0))),0)</f>
        <v>0</v>
      </c>
      <c r="J236" s="38">
        <f t="shared" si="23"/>
        <v>1144.078593408984</v>
      </c>
      <c r="K236" s="18">
        <f t="shared" si="24"/>
        <v>1.0000000000000002</v>
      </c>
      <c r="L236" s="38">
        <f t="shared" si="25"/>
        <v>1144.0785934089843</v>
      </c>
      <c r="M236" s="23">
        <f t="shared" si="26"/>
        <v>-0.72609884605924369</v>
      </c>
      <c r="N236" s="23">
        <f t="shared" si="27"/>
        <v>0.2906703743417135</v>
      </c>
      <c r="O236" s="6"/>
      <c r="P236" s="18">
        <f t="shared" si="28"/>
        <v>-0.21105542339312658</v>
      </c>
    </row>
    <row r="237" spans="1:16" ht="15" customHeight="1" x14ac:dyDescent="0.3">
      <c r="A237" s="7" t="str">
        <f>Raw_Players!A199</f>
        <v>GSW</v>
      </c>
      <c r="B237" s="7" t="str">
        <f>Raw_Players!B199</f>
        <v>De'Anthony Melton</v>
      </c>
      <c r="C237" s="37">
        <f>Raw_Players!E199</f>
        <v>-0.37718572756968372</v>
      </c>
      <c r="D237" s="31">
        <f>Raw_Players!F199</f>
        <v>1108.5366898323809</v>
      </c>
      <c r="E237" s="31">
        <f>Raw_Players!G199</f>
        <v>21.319803201371801</v>
      </c>
      <c r="F237" s="31">
        <f>Raw_Players!H199</f>
        <v>51.995634263690292</v>
      </c>
      <c r="G237" s="31" t="str">
        <f>IFERROR(IF(INDEX(Overrides!$B$8:$B$47,MATCH(B237,Overrides!$A$8:$A$47,0))="","",INDEX(Overrides!$B$8:$B$47,MATCH(B237,Overrides!$A$8:$A$47,0))),"")</f>
        <v/>
      </c>
      <c r="H237" s="31" t="str">
        <f>IFERROR(IF(INDEX(Overrides!$C$8:$C$47,MATCH(B237,Overrides!$A$8:$A$47,0))="","",INDEX(Overrides!$C$8:$C$47,MATCH(B237,Overrides!$A$8:$A$47,0))),"")</f>
        <v/>
      </c>
      <c r="I237" s="36">
        <f>IFERROR(IF(INDEX(Overrides!$D$8:$D$47,MATCH(B237,Overrides!$A$8:$A$47,0))="",0,INDEX(Overrides!$D$8:$D$47,MATCH(B237,Overrides!$A$8:$A$47,0))),0)</f>
        <v>0</v>
      </c>
      <c r="J237" s="38">
        <f t="shared" si="23"/>
        <v>1108.5366898323809</v>
      </c>
      <c r="K237" s="18">
        <f t="shared" si="24"/>
        <v>1.0000000000000002</v>
      </c>
      <c r="L237" s="38">
        <f t="shared" si="25"/>
        <v>1108.5366898323812</v>
      </c>
      <c r="M237" s="23">
        <f t="shared" si="26"/>
        <v>-0.37718572756968372</v>
      </c>
      <c r="N237" s="23">
        <f t="shared" si="27"/>
        <v>0.28164041916473098</v>
      </c>
      <c r="O237" s="6"/>
      <c r="P237" s="18">
        <f t="shared" si="28"/>
        <v>-0.10623074641567976</v>
      </c>
    </row>
    <row r="238" spans="1:16" ht="15" customHeight="1" x14ac:dyDescent="0.3">
      <c r="A238" s="7" t="str">
        <f>Raw_Players!A200</f>
        <v>GSW</v>
      </c>
      <c r="B238" s="7" t="str">
        <f>Raw_Players!B200</f>
        <v>Kristaps Porzingis</v>
      </c>
      <c r="C238" s="37">
        <f>Raw_Players!E200</f>
        <v>2.156508395288236</v>
      </c>
      <c r="D238" s="31">
        <f>Raw_Players!F200</f>
        <v>1094.914378442352</v>
      </c>
      <c r="E238" s="31">
        <f>Raw_Players!G200</f>
        <v>24.715335193255129</v>
      </c>
      <c r="F238" s="31">
        <f>Raw_Players!H200</f>
        <v>44.301012706522251</v>
      </c>
      <c r="G238" s="31" t="str">
        <f>IFERROR(IF(INDEX(Overrides!$B$8:$B$47,MATCH(B238,Overrides!$A$8:$A$47,0))="","",INDEX(Overrides!$B$8:$B$47,MATCH(B238,Overrides!$A$8:$A$47,0))),"")</f>
        <v/>
      </c>
      <c r="H238" s="31" t="str">
        <f>IFERROR(IF(INDEX(Overrides!$C$8:$C$47,MATCH(B238,Overrides!$A$8:$A$47,0))="","",INDEX(Overrides!$C$8:$C$47,MATCH(B238,Overrides!$A$8:$A$47,0))),"")</f>
        <v/>
      </c>
      <c r="I238" s="36">
        <f>IFERROR(IF(INDEX(Overrides!$D$8:$D$47,MATCH(B238,Overrides!$A$8:$A$47,0))="",0,INDEX(Overrides!$D$8:$D$47,MATCH(B238,Overrides!$A$8:$A$47,0))),0)</f>
        <v>0</v>
      </c>
      <c r="J238" s="38">
        <f t="shared" ref="J238:J301" si="29">IF(AND(G238="",H238=""),D238,IF(H238="",F238,H238)*IF(G238="",E238,G238))</f>
        <v>1094.914378442352</v>
      </c>
      <c r="K238" s="18">
        <f t="shared" ref="K238:K301" si="30">A_teamminutes/SUMIF($A$46:$A$672,A238,$J$46:$J$672)</f>
        <v>1.0000000000000002</v>
      </c>
      <c r="L238" s="38">
        <f t="shared" ref="L238:L301" si="31">J238*K238</f>
        <v>1094.9143784423522</v>
      </c>
      <c r="M238" s="23">
        <f t="shared" ref="M238:M301" si="32">C238+I238</f>
        <v>2.156508395288236</v>
      </c>
      <c r="N238" s="23">
        <f t="shared" ref="N238:N301" si="33">L238/(A_teamminutes/5)</f>
        <v>0.2781794660676708</v>
      </c>
      <c r="O238" s="6"/>
      <c r="P238" s="18">
        <f t="shared" ref="P238:P301" si="34">N238*M238</f>
        <v>0.59989635397173102</v>
      </c>
    </row>
    <row r="239" spans="1:16" ht="15" customHeight="1" x14ac:dyDescent="0.3">
      <c r="A239" s="7" t="str">
        <f>Raw_Players!A201</f>
        <v>GSW</v>
      </c>
      <c r="B239" s="7" t="str">
        <f>Raw_Players!B201</f>
        <v>Yaxel Lendeborg</v>
      </c>
      <c r="C239" s="37">
        <f>Raw_Players!E201</f>
        <v>0.54566877530516367</v>
      </c>
      <c r="D239" s="31">
        <f>Raw_Players!F201</f>
        <v>1075.679627314694</v>
      </c>
      <c r="E239" s="31">
        <f>Raw_Players!G201</f>
        <v>20.097565627618089</v>
      </c>
      <c r="F239" s="31">
        <f>Raw_Players!H201</f>
        <v>53.522881688541133</v>
      </c>
      <c r="G239" s="31" t="str">
        <f>IFERROR(IF(INDEX(Overrides!$B$8:$B$47,MATCH(B239,Overrides!$A$8:$A$47,0))="","",INDEX(Overrides!$B$8:$B$47,MATCH(B239,Overrides!$A$8:$A$47,0))),"")</f>
        <v/>
      </c>
      <c r="H239" s="31" t="str">
        <f>IFERROR(IF(INDEX(Overrides!$C$8:$C$47,MATCH(B239,Overrides!$A$8:$A$47,0))="","",INDEX(Overrides!$C$8:$C$47,MATCH(B239,Overrides!$A$8:$A$47,0))),"")</f>
        <v/>
      </c>
      <c r="I239" s="36">
        <f>IFERROR(IF(INDEX(Overrides!$D$8:$D$47,MATCH(B239,Overrides!$A$8:$A$47,0))="",0,INDEX(Overrides!$D$8:$D$47,MATCH(B239,Overrides!$A$8:$A$47,0))),0)</f>
        <v>0</v>
      </c>
      <c r="J239" s="38">
        <f t="shared" si="29"/>
        <v>1075.679627314694</v>
      </c>
      <c r="K239" s="18">
        <f t="shared" si="30"/>
        <v>1.0000000000000002</v>
      </c>
      <c r="L239" s="38">
        <f t="shared" si="31"/>
        <v>1075.6796273146942</v>
      </c>
      <c r="M239" s="23">
        <f t="shared" si="32"/>
        <v>0.54566877530516367</v>
      </c>
      <c r="N239" s="23">
        <f t="shared" si="33"/>
        <v>0.27329258824052194</v>
      </c>
      <c r="O239" s="6"/>
      <c r="P239" s="18">
        <f t="shared" si="34"/>
        <v>0.14912723192518398</v>
      </c>
    </row>
    <row r="240" spans="1:16" ht="15" customHeight="1" x14ac:dyDescent="0.3">
      <c r="A240" s="7" t="str">
        <f>Raw_Players!A202</f>
        <v>GSW</v>
      </c>
      <c r="B240" s="7" t="str">
        <f>Raw_Players!B202</f>
        <v>Brandon Williams</v>
      </c>
      <c r="C240" s="37">
        <f>Raw_Players!E202</f>
        <v>0.1566299086809769</v>
      </c>
      <c r="D240" s="31">
        <f>Raw_Players!F202</f>
        <v>1071.570748571208</v>
      </c>
      <c r="E240" s="31">
        <f>Raw_Players!G202</f>
        <v>18.088260758956011</v>
      </c>
      <c r="F240" s="31">
        <f>Raw_Players!H202</f>
        <v>59.241226276586211</v>
      </c>
      <c r="G240" s="31" t="str">
        <f>IFERROR(IF(INDEX(Overrides!$B$8:$B$47,MATCH(B240,Overrides!$A$8:$A$47,0))="","",INDEX(Overrides!$B$8:$B$47,MATCH(B240,Overrides!$A$8:$A$47,0))),"")</f>
        <v/>
      </c>
      <c r="H240" s="31" t="str">
        <f>IFERROR(IF(INDEX(Overrides!$C$8:$C$47,MATCH(B240,Overrides!$A$8:$A$47,0))="","",INDEX(Overrides!$C$8:$C$47,MATCH(B240,Overrides!$A$8:$A$47,0))),"")</f>
        <v/>
      </c>
      <c r="I240" s="36">
        <f>IFERROR(IF(INDEX(Overrides!$D$8:$D$47,MATCH(B240,Overrides!$A$8:$A$47,0))="",0,INDEX(Overrides!$D$8:$D$47,MATCH(B240,Overrides!$A$8:$A$47,0))),0)</f>
        <v>0</v>
      </c>
      <c r="J240" s="38">
        <f t="shared" si="29"/>
        <v>1071.570748571208</v>
      </c>
      <c r="K240" s="18">
        <f t="shared" si="30"/>
        <v>1.0000000000000002</v>
      </c>
      <c r="L240" s="38">
        <f t="shared" si="31"/>
        <v>1071.5707485712082</v>
      </c>
      <c r="M240" s="23">
        <f t="shared" si="32"/>
        <v>0.1566299086809769</v>
      </c>
      <c r="N240" s="23">
        <f t="shared" si="33"/>
        <v>0.27224866579553053</v>
      </c>
      <c r="O240" s="6"/>
      <c r="P240" s="18">
        <f t="shared" si="34"/>
        <v>4.2642283662071748E-2</v>
      </c>
    </row>
    <row r="241" spans="1:16" ht="15" customHeight="1" x14ac:dyDescent="0.3">
      <c r="A241" s="7" t="str">
        <f>Raw_Players!A203</f>
        <v>GSW</v>
      </c>
      <c r="B241" s="7" t="str">
        <f>Raw_Players!B203</f>
        <v>Gui Santos</v>
      </c>
      <c r="C241" s="37">
        <f>Raw_Players!E203</f>
        <v>0.2012070053538956</v>
      </c>
      <c r="D241" s="31">
        <f>Raw_Players!F203</f>
        <v>1022.493352922717</v>
      </c>
      <c r="E241" s="31">
        <f>Raw_Players!G203</f>
        <v>16.44484385714744</v>
      </c>
      <c r="F241" s="31">
        <f>Raw_Players!H203</f>
        <v>62.177139643579508</v>
      </c>
      <c r="G241" s="31" t="str">
        <f>IFERROR(IF(INDEX(Overrides!$B$8:$B$47,MATCH(B241,Overrides!$A$8:$A$47,0))="","",INDEX(Overrides!$B$8:$B$47,MATCH(B241,Overrides!$A$8:$A$47,0))),"")</f>
        <v/>
      </c>
      <c r="H241" s="31" t="str">
        <f>IFERROR(IF(INDEX(Overrides!$C$8:$C$47,MATCH(B241,Overrides!$A$8:$A$47,0))="","",INDEX(Overrides!$C$8:$C$47,MATCH(B241,Overrides!$A$8:$A$47,0))),"")</f>
        <v/>
      </c>
      <c r="I241" s="36">
        <f>IFERROR(IF(INDEX(Overrides!$D$8:$D$47,MATCH(B241,Overrides!$A$8:$A$47,0))="",0,INDEX(Overrides!$D$8:$D$47,MATCH(B241,Overrides!$A$8:$A$47,0))),0)</f>
        <v>0</v>
      </c>
      <c r="J241" s="38">
        <f t="shared" si="29"/>
        <v>1022.493352922717</v>
      </c>
      <c r="K241" s="18">
        <f t="shared" si="30"/>
        <v>1.0000000000000002</v>
      </c>
      <c r="L241" s="38">
        <f t="shared" si="31"/>
        <v>1022.4933529227172</v>
      </c>
      <c r="M241" s="23">
        <f t="shared" si="32"/>
        <v>0.2012070053538956</v>
      </c>
      <c r="N241" s="23">
        <f t="shared" si="33"/>
        <v>0.25977981527508059</v>
      </c>
      <c r="O241" s="6"/>
      <c r="P241" s="18">
        <f t="shared" si="34"/>
        <v>5.2269518682887151E-2</v>
      </c>
    </row>
    <row r="242" spans="1:16" ht="15" customHeight="1" x14ac:dyDescent="0.3">
      <c r="A242" s="7" t="str">
        <f>Raw_Players!A204</f>
        <v>GSW</v>
      </c>
      <c r="B242" s="7" t="str">
        <f>Raw_Players!B204</f>
        <v>Moses Moody</v>
      </c>
      <c r="C242" s="37">
        <f>Raw_Players!E204</f>
        <v>0.5146099560322317</v>
      </c>
      <c r="D242" s="31">
        <f>Raw_Players!F204</f>
        <v>1007.804519500524</v>
      </c>
      <c r="E242" s="31">
        <f>Raw_Players!G204</f>
        <v>21.519879152586281</v>
      </c>
      <c r="F242" s="31">
        <f>Raw_Players!H204</f>
        <v>46.831328017908731</v>
      </c>
      <c r="G242" s="31" t="str">
        <f>IFERROR(IF(INDEX(Overrides!$B$8:$B$47,MATCH(B242,Overrides!$A$8:$A$47,0))="","",INDEX(Overrides!$B$8:$B$47,MATCH(B242,Overrides!$A$8:$A$47,0))),"")</f>
        <v/>
      </c>
      <c r="H242" s="31" t="str">
        <f>IFERROR(IF(INDEX(Overrides!$C$8:$C$47,MATCH(B242,Overrides!$A$8:$A$47,0))="","",INDEX(Overrides!$C$8:$C$47,MATCH(B242,Overrides!$A$8:$A$47,0))),"")</f>
        <v/>
      </c>
      <c r="I242" s="36">
        <f>IFERROR(IF(INDEX(Overrides!$D$8:$D$47,MATCH(B242,Overrides!$A$8:$A$47,0))="",0,INDEX(Overrides!$D$8:$D$47,MATCH(B242,Overrides!$A$8:$A$47,0))),0)</f>
        <v>0</v>
      </c>
      <c r="J242" s="38">
        <f t="shared" si="29"/>
        <v>1007.804519500524</v>
      </c>
      <c r="K242" s="18">
        <f t="shared" si="30"/>
        <v>1.0000000000000002</v>
      </c>
      <c r="L242" s="38">
        <f t="shared" si="31"/>
        <v>1007.8045195005242</v>
      </c>
      <c r="M242" s="23">
        <f t="shared" si="32"/>
        <v>0.5146099560322317</v>
      </c>
      <c r="N242" s="23">
        <f t="shared" si="33"/>
        <v>0.25604789621456409</v>
      </c>
      <c r="O242" s="6"/>
      <c r="P242" s="18">
        <f t="shared" si="34"/>
        <v>0.13176479661312224</v>
      </c>
    </row>
    <row r="243" spans="1:16" ht="15" customHeight="1" x14ac:dyDescent="0.3">
      <c r="A243" s="7" t="str">
        <f>Raw_Players!A205</f>
        <v>GSW</v>
      </c>
      <c r="B243" s="7" t="str">
        <f>Raw_Players!B205</f>
        <v>Gary Payton II</v>
      </c>
      <c r="C243" s="37">
        <f>Raw_Players!E205</f>
        <v>0.44799757663414652</v>
      </c>
      <c r="D243" s="31">
        <f>Raw_Players!F205</f>
        <v>901.07393603507035</v>
      </c>
      <c r="E243" s="31">
        <f>Raw_Players!G205</f>
        <v>14.67609955831424</v>
      </c>
      <c r="F243" s="31">
        <f>Raw_Players!H205</f>
        <v>61.397371451094997</v>
      </c>
      <c r="G243" s="31" t="str">
        <f>IFERROR(IF(INDEX(Overrides!$B$8:$B$47,MATCH(B243,Overrides!$A$8:$A$47,0))="","",INDEX(Overrides!$B$8:$B$47,MATCH(B243,Overrides!$A$8:$A$47,0))),"")</f>
        <v/>
      </c>
      <c r="H243" s="31" t="str">
        <f>IFERROR(IF(INDEX(Overrides!$C$8:$C$47,MATCH(B243,Overrides!$A$8:$A$47,0))="","",INDEX(Overrides!$C$8:$C$47,MATCH(B243,Overrides!$A$8:$A$47,0))),"")</f>
        <v/>
      </c>
      <c r="I243" s="36">
        <f>IFERROR(IF(INDEX(Overrides!$D$8:$D$47,MATCH(B243,Overrides!$A$8:$A$47,0))="",0,INDEX(Overrides!$D$8:$D$47,MATCH(B243,Overrides!$A$8:$A$47,0))),0)</f>
        <v>0</v>
      </c>
      <c r="J243" s="38">
        <f t="shared" si="29"/>
        <v>901.07393603507035</v>
      </c>
      <c r="K243" s="18">
        <f t="shared" si="30"/>
        <v>1.0000000000000002</v>
      </c>
      <c r="L243" s="38">
        <f t="shared" si="31"/>
        <v>901.07393603507057</v>
      </c>
      <c r="M243" s="23">
        <f t="shared" si="32"/>
        <v>0.44799757663414652</v>
      </c>
      <c r="N243" s="23">
        <f t="shared" si="33"/>
        <v>0.22893138618777201</v>
      </c>
      <c r="O243" s="6"/>
      <c r="P243" s="18">
        <f t="shared" si="34"/>
        <v>0.10256070622761779</v>
      </c>
    </row>
    <row r="244" spans="1:16" ht="15" customHeight="1" x14ac:dyDescent="0.3">
      <c r="A244" s="7" t="str">
        <f>Raw_Players!A206</f>
        <v>GSW</v>
      </c>
      <c r="B244" s="7" t="str">
        <f>Raw_Players!B206</f>
        <v>Jimmy Butler III</v>
      </c>
      <c r="C244" s="37">
        <f>Raw_Players!E206</f>
        <v>3.09127377729311</v>
      </c>
      <c r="D244" s="31">
        <f>Raw_Players!F206</f>
        <v>833.00513172864476</v>
      </c>
      <c r="E244" s="31">
        <f>Raw_Players!G206</f>
        <v>29.280482987740509</v>
      </c>
      <c r="F244" s="31">
        <f>Raw_Players!H206</f>
        <v>28.449159533243261</v>
      </c>
      <c r="G244" s="31" t="str">
        <f>IFERROR(IF(INDEX(Overrides!$B$8:$B$47,MATCH(B244,Overrides!$A$8:$A$47,0))="","",INDEX(Overrides!$B$8:$B$47,MATCH(B244,Overrides!$A$8:$A$47,0))),"")</f>
        <v/>
      </c>
      <c r="H244" s="31" t="str">
        <f>IFERROR(IF(INDEX(Overrides!$C$8:$C$47,MATCH(B244,Overrides!$A$8:$A$47,0))="","",INDEX(Overrides!$C$8:$C$47,MATCH(B244,Overrides!$A$8:$A$47,0))),"")</f>
        <v/>
      </c>
      <c r="I244" s="36">
        <f>IFERROR(IF(INDEX(Overrides!$D$8:$D$47,MATCH(B244,Overrides!$A$8:$A$47,0))="",0,INDEX(Overrides!$D$8:$D$47,MATCH(B244,Overrides!$A$8:$A$47,0))),0)</f>
        <v>0</v>
      </c>
      <c r="J244" s="38">
        <f t="shared" si="29"/>
        <v>833.00513172864476</v>
      </c>
      <c r="K244" s="18">
        <f t="shared" si="30"/>
        <v>1.0000000000000002</v>
      </c>
      <c r="L244" s="38">
        <f t="shared" si="31"/>
        <v>833.00513172864498</v>
      </c>
      <c r="M244" s="23">
        <f t="shared" si="32"/>
        <v>3.09127377729311</v>
      </c>
      <c r="N244" s="23">
        <f t="shared" si="33"/>
        <v>0.21163748265463542</v>
      </c>
      <c r="O244" s="6"/>
      <c r="P244" s="18">
        <f t="shared" si="34"/>
        <v>0.65422940042259992</v>
      </c>
    </row>
    <row r="245" spans="1:16" ht="15" customHeight="1" x14ac:dyDescent="0.3">
      <c r="A245" s="7" t="str">
        <f>Raw_Players!A207</f>
        <v>GSW</v>
      </c>
      <c r="B245" s="7" t="str">
        <f>Raw_Players!B207</f>
        <v>Tyler Burton</v>
      </c>
      <c r="C245" s="37">
        <f>Raw_Players!E207</f>
        <v>-2.8271124761075819</v>
      </c>
      <c r="D245" s="31">
        <f>Raw_Players!F207</f>
        <v>763.61086325756685</v>
      </c>
      <c r="E245" s="31">
        <f>Raw_Players!G207</f>
        <v>17.470940284636391</v>
      </c>
      <c r="F245" s="31">
        <f>Raw_Players!H207</f>
        <v>43.707485162036271</v>
      </c>
      <c r="G245" s="31" t="str">
        <f>IFERROR(IF(INDEX(Overrides!$B$8:$B$47,MATCH(B245,Overrides!$A$8:$A$47,0))="","",INDEX(Overrides!$B$8:$B$47,MATCH(B245,Overrides!$A$8:$A$47,0))),"")</f>
        <v/>
      </c>
      <c r="H245" s="31" t="str">
        <f>IFERROR(IF(INDEX(Overrides!$C$8:$C$47,MATCH(B245,Overrides!$A$8:$A$47,0))="","",INDEX(Overrides!$C$8:$C$47,MATCH(B245,Overrides!$A$8:$A$47,0))),"")</f>
        <v/>
      </c>
      <c r="I245" s="36">
        <f>IFERROR(IF(INDEX(Overrides!$D$8:$D$47,MATCH(B245,Overrides!$A$8:$A$47,0))="",0,INDEX(Overrides!$D$8:$D$47,MATCH(B245,Overrides!$A$8:$A$47,0))),0)</f>
        <v>0</v>
      </c>
      <c r="J245" s="38">
        <f t="shared" si="29"/>
        <v>763.61086325756685</v>
      </c>
      <c r="K245" s="18">
        <f t="shared" si="30"/>
        <v>1.0000000000000002</v>
      </c>
      <c r="L245" s="38">
        <f t="shared" si="31"/>
        <v>763.61086325756696</v>
      </c>
      <c r="M245" s="23">
        <f t="shared" si="32"/>
        <v>-2.8271124761075819</v>
      </c>
      <c r="N245" s="23">
        <f t="shared" si="33"/>
        <v>0.19400682501462574</v>
      </c>
      <c r="O245" s="6"/>
      <c r="P245" s="18">
        <f t="shared" si="34"/>
        <v>-0.54847911544886896</v>
      </c>
    </row>
    <row r="246" spans="1:16" ht="15" customHeight="1" x14ac:dyDescent="0.3">
      <c r="A246" s="7" t="str">
        <f>Raw_Players!A208</f>
        <v>GSW</v>
      </c>
      <c r="B246" s="7" t="str">
        <f>Raw_Players!B208</f>
        <v>Dalen Terry</v>
      </c>
      <c r="C246" s="37">
        <f>Raw_Players!E208</f>
        <v>-1.3840738617421311</v>
      </c>
      <c r="D246" s="31">
        <f>Raw_Players!F208</f>
        <v>697.52372502560866</v>
      </c>
      <c r="E246" s="31">
        <f>Raw_Players!G208</f>
        <v>11.875536496190399</v>
      </c>
      <c r="F246" s="31">
        <f>Raw_Players!H208</f>
        <v>58.736186381926387</v>
      </c>
      <c r="G246" s="31" t="str">
        <f>IFERROR(IF(INDEX(Overrides!$B$8:$B$47,MATCH(B246,Overrides!$A$8:$A$47,0))="","",INDEX(Overrides!$B$8:$B$47,MATCH(B246,Overrides!$A$8:$A$47,0))),"")</f>
        <v/>
      </c>
      <c r="H246" s="31" t="str">
        <f>IFERROR(IF(INDEX(Overrides!$C$8:$C$47,MATCH(B246,Overrides!$A$8:$A$47,0))="","",INDEX(Overrides!$C$8:$C$47,MATCH(B246,Overrides!$A$8:$A$47,0))),"")</f>
        <v/>
      </c>
      <c r="I246" s="36">
        <f>IFERROR(IF(INDEX(Overrides!$D$8:$D$47,MATCH(B246,Overrides!$A$8:$A$47,0))="",0,INDEX(Overrides!$D$8:$D$47,MATCH(B246,Overrides!$A$8:$A$47,0))),0)</f>
        <v>0</v>
      </c>
      <c r="J246" s="38">
        <f t="shared" si="29"/>
        <v>697.52372502560866</v>
      </c>
      <c r="K246" s="18">
        <f t="shared" si="30"/>
        <v>1.0000000000000002</v>
      </c>
      <c r="L246" s="38">
        <f t="shared" si="31"/>
        <v>697.52372502560877</v>
      </c>
      <c r="M246" s="23">
        <f t="shared" si="32"/>
        <v>-1.3840738617421311</v>
      </c>
      <c r="N246" s="23">
        <f t="shared" si="33"/>
        <v>0.17721639355325425</v>
      </c>
      <c r="O246" s="6"/>
      <c r="P246" s="18">
        <f t="shared" si="34"/>
        <v>-0.24528057818926591</v>
      </c>
    </row>
    <row r="247" spans="1:16" ht="15" customHeight="1" x14ac:dyDescent="0.3">
      <c r="A247" s="7" t="str">
        <f>Raw_Players!A209</f>
        <v>GSW</v>
      </c>
      <c r="B247" s="7" t="str">
        <f>Raw_Players!B209</f>
        <v>Georges Niang</v>
      </c>
      <c r="C247" s="37">
        <f>Raw_Players!E209</f>
        <v>-2.787386640472862</v>
      </c>
      <c r="D247" s="31">
        <f>Raw_Players!F209</f>
        <v>670.91839397887873</v>
      </c>
      <c r="E247" s="31">
        <f>Raw_Players!G209</f>
        <v>20.312593997806559</v>
      </c>
      <c r="F247" s="31">
        <f>Raw_Players!H209</f>
        <v>33.02967577904267</v>
      </c>
      <c r="G247" s="31" t="str">
        <f>IFERROR(IF(INDEX(Overrides!$B$8:$B$47,MATCH(B247,Overrides!$A$8:$A$47,0))="","",INDEX(Overrides!$B$8:$B$47,MATCH(B247,Overrides!$A$8:$A$47,0))),"")</f>
        <v/>
      </c>
      <c r="H247" s="31" t="str">
        <f>IFERROR(IF(INDEX(Overrides!$C$8:$C$47,MATCH(B247,Overrides!$A$8:$A$47,0))="","",INDEX(Overrides!$C$8:$C$47,MATCH(B247,Overrides!$A$8:$A$47,0))),"")</f>
        <v/>
      </c>
      <c r="I247" s="36">
        <f>IFERROR(IF(INDEX(Overrides!$D$8:$D$47,MATCH(B247,Overrides!$A$8:$A$47,0))="",0,INDEX(Overrides!$D$8:$D$47,MATCH(B247,Overrides!$A$8:$A$47,0))),0)</f>
        <v>0</v>
      </c>
      <c r="J247" s="38">
        <f t="shared" si="29"/>
        <v>670.91839397887873</v>
      </c>
      <c r="K247" s="18">
        <f t="shared" si="30"/>
        <v>1.0000000000000002</v>
      </c>
      <c r="L247" s="38">
        <f t="shared" si="31"/>
        <v>670.91839397887884</v>
      </c>
      <c r="M247" s="23">
        <f t="shared" si="32"/>
        <v>-2.787386640472862</v>
      </c>
      <c r="N247" s="23">
        <f t="shared" si="33"/>
        <v>0.17045690903934929</v>
      </c>
      <c r="O247" s="6"/>
      <c r="P247" s="18">
        <f t="shared" si="34"/>
        <v>-0.47512931103258005</v>
      </c>
    </row>
    <row r="248" spans="1:16" ht="15" customHeight="1" x14ac:dyDescent="0.3">
      <c r="A248" s="7" t="str">
        <f>Raw_Players!A210</f>
        <v>GSW</v>
      </c>
      <c r="B248" s="7" t="str">
        <f>Raw_Players!B210</f>
        <v>LJ Cryer</v>
      </c>
      <c r="C248" s="37">
        <f>Raw_Players!E210</f>
        <v>-2.248595225295142</v>
      </c>
      <c r="D248" s="31">
        <f>Raw_Players!F210</f>
        <v>636.45521988896508</v>
      </c>
      <c r="E248" s="31">
        <f>Raw_Players!G210</f>
        <v>13.85412625147198</v>
      </c>
      <c r="F248" s="31">
        <f>Raw_Players!H210</f>
        <v>45.939758909107873</v>
      </c>
      <c r="G248" s="31" t="str">
        <f>IFERROR(IF(INDEX(Overrides!$B$8:$B$47,MATCH(B248,Overrides!$A$8:$A$47,0))="","",INDEX(Overrides!$B$8:$B$47,MATCH(B248,Overrides!$A$8:$A$47,0))),"")</f>
        <v/>
      </c>
      <c r="H248" s="31" t="str">
        <f>IFERROR(IF(INDEX(Overrides!$C$8:$C$47,MATCH(B248,Overrides!$A$8:$A$47,0))="","",INDEX(Overrides!$C$8:$C$47,MATCH(B248,Overrides!$A$8:$A$47,0))),"")</f>
        <v/>
      </c>
      <c r="I248" s="36">
        <f>IFERROR(IF(INDEX(Overrides!$D$8:$D$47,MATCH(B248,Overrides!$A$8:$A$47,0))="",0,INDEX(Overrides!$D$8:$D$47,MATCH(B248,Overrides!$A$8:$A$47,0))),0)</f>
        <v>0</v>
      </c>
      <c r="J248" s="38">
        <f t="shared" si="29"/>
        <v>636.45521988896508</v>
      </c>
      <c r="K248" s="18">
        <f t="shared" si="30"/>
        <v>1.0000000000000002</v>
      </c>
      <c r="L248" s="38">
        <f t="shared" si="31"/>
        <v>636.45521988896519</v>
      </c>
      <c r="M248" s="23">
        <f t="shared" si="32"/>
        <v>-2.248595225295142</v>
      </c>
      <c r="N248" s="23">
        <f t="shared" si="33"/>
        <v>0.16170102131325334</v>
      </c>
      <c r="O248" s="6"/>
      <c r="P248" s="18">
        <f t="shared" si="34"/>
        <v>-0.36360014445032945</v>
      </c>
    </row>
    <row r="249" spans="1:16" ht="15" customHeight="1" x14ac:dyDescent="0.3">
      <c r="A249" s="7" t="str">
        <f>Raw_Players!A211</f>
        <v>GSW</v>
      </c>
      <c r="B249" s="7" t="str">
        <f>Raw_Players!B211</f>
        <v>Charles Bassey</v>
      </c>
      <c r="C249" s="37">
        <f>Raw_Players!E211</f>
        <v>-8.6842934611084006E-3</v>
      </c>
      <c r="D249" s="31">
        <f>Raw_Players!F211</f>
        <v>499.04505295110158</v>
      </c>
      <c r="E249" s="31">
        <f>Raw_Players!G211</f>
        <v>10.76393821477915</v>
      </c>
      <c r="F249" s="31">
        <f>Raw_Players!H211</f>
        <v>46.362682783323727</v>
      </c>
      <c r="G249" s="31" t="str">
        <f>IFERROR(IF(INDEX(Overrides!$B$8:$B$47,MATCH(B249,Overrides!$A$8:$A$47,0))="","",INDEX(Overrides!$B$8:$B$47,MATCH(B249,Overrides!$A$8:$A$47,0))),"")</f>
        <v/>
      </c>
      <c r="H249" s="31" t="str">
        <f>IFERROR(IF(INDEX(Overrides!$C$8:$C$47,MATCH(B249,Overrides!$A$8:$A$47,0))="","",INDEX(Overrides!$C$8:$C$47,MATCH(B249,Overrides!$A$8:$A$47,0))),"")</f>
        <v/>
      </c>
      <c r="I249" s="36">
        <f>IFERROR(IF(INDEX(Overrides!$D$8:$D$47,MATCH(B249,Overrides!$A$8:$A$47,0))="",0,INDEX(Overrides!$D$8:$D$47,MATCH(B249,Overrides!$A$8:$A$47,0))),0)</f>
        <v>0</v>
      </c>
      <c r="J249" s="38">
        <f t="shared" si="29"/>
        <v>499.04505295110158</v>
      </c>
      <c r="K249" s="18">
        <f t="shared" si="30"/>
        <v>1.0000000000000002</v>
      </c>
      <c r="L249" s="38">
        <f t="shared" si="31"/>
        <v>499.0450529511017</v>
      </c>
      <c r="M249" s="23">
        <f t="shared" si="32"/>
        <v>-8.6842934611084006E-3</v>
      </c>
      <c r="N249" s="23">
        <f t="shared" si="33"/>
        <v>0.12678990166440593</v>
      </c>
      <c r="O249" s="6"/>
      <c r="P249" s="18">
        <f t="shared" si="34"/>
        <v>-1.1010807139587775E-3</v>
      </c>
    </row>
    <row r="250" spans="1:16" ht="15" customHeight="1" x14ac:dyDescent="0.3">
      <c r="A250" s="7" t="str">
        <f>Raw_Players!A212</f>
        <v>GSW</v>
      </c>
      <c r="B250" s="7" t="str">
        <f>Raw_Players!B212</f>
        <v>Malevy Leons</v>
      </c>
      <c r="C250" s="37">
        <f>Raw_Players!E212</f>
        <v>-2.1762964870122641</v>
      </c>
      <c r="D250" s="31">
        <f>Raw_Players!F212</f>
        <v>479.52799221712507</v>
      </c>
      <c r="E250" s="31">
        <f>Raw_Players!G212</f>
        <v>10.377194879683531</v>
      </c>
      <c r="F250" s="31">
        <f>Raw_Players!H212</f>
        <v>46.209789618189092</v>
      </c>
      <c r="G250" s="31" t="str">
        <f>IFERROR(IF(INDEX(Overrides!$B$8:$B$47,MATCH(B250,Overrides!$A$8:$A$47,0))="","",INDEX(Overrides!$B$8:$B$47,MATCH(B250,Overrides!$A$8:$A$47,0))),"")</f>
        <v/>
      </c>
      <c r="H250" s="31" t="str">
        <f>IFERROR(IF(INDEX(Overrides!$C$8:$C$47,MATCH(B250,Overrides!$A$8:$A$47,0))="","",INDEX(Overrides!$C$8:$C$47,MATCH(B250,Overrides!$A$8:$A$47,0))),"")</f>
        <v/>
      </c>
      <c r="I250" s="36">
        <f>IFERROR(IF(INDEX(Overrides!$D$8:$D$47,MATCH(B250,Overrides!$A$8:$A$47,0))="",0,INDEX(Overrides!$D$8:$D$47,MATCH(B250,Overrides!$A$8:$A$47,0))),0)</f>
        <v>0</v>
      </c>
      <c r="J250" s="38">
        <f t="shared" si="29"/>
        <v>479.52799221712507</v>
      </c>
      <c r="K250" s="18">
        <f t="shared" si="30"/>
        <v>1.0000000000000002</v>
      </c>
      <c r="L250" s="38">
        <f t="shared" si="31"/>
        <v>479.52799221712519</v>
      </c>
      <c r="M250" s="23">
        <f t="shared" si="32"/>
        <v>-2.1762964870122641</v>
      </c>
      <c r="N250" s="23">
        <f t="shared" si="33"/>
        <v>0.12183129883565172</v>
      </c>
      <c r="O250" s="6"/>
      <c r="P250" s="18">
        <f t="shared" si="34"/>
        <v>-0.26514102766417019</v>
      </c>
    </row>
    <row r="251" spans="1:16" ht="15" customHeight="1" x14ac:dyDescent="0.3">
      <c r="A251" s="7" t="str">
        <f>Raw_Players!A213</f>
        <v>GSW</v>
      </c>
      <c r="B251" s="7" t="str">
        <f>Raw_Players!B213</f>
        <v>Graham Ike</v>
      </c>
      <c r="C251" s="37">
        <f>Raw_Players!E213</f>
        <v>-3.1867960702466678</v>
      </c>
      <c r="D251" s="31">
        <f>Raw_Players!F213</f>
        <v>376.63130867365169</v>
      </c>
      <c r="E251" s="31">
        <f>Raw_Players!G213</f>
        <v>12.41438540547742</v>
      </c>
      <c r="F251" s="31">
        <f>Raw_Players!H213</f>
        <v>30.338296772023529</v>
      </c>
      <c r="G251" s="31" t="str">
        <f>IFERROR(IF(INDEX(Overrides!$B$8:$B$47,MATCH(B251,Overrides!$A$8:$A$47,0))="","",INDEX(Overrides!$B$8:$B$47,MATCH(B251,Overrides!$A$8:$A$47,0))),"")</f>
        <v/>
      </c>
      <c r="H251" s="31" t="str">
        <f>IFERROR(IF(INDEX(Overrides!$C$8:$C$47,MATCH(B251,Overrides!$A$8:$A$47,0))="","",INDEX(Overrides!$C$8:$C$47,MATCH(B251,Overrides!$A$8:$A$47,0))),"")</f>
        <v/>
      </c>
      <c r="I251" s="36">
        <f>IFERROR(IF(INDEX(Overrides!$D$8:$D$47,MATCH(B251,Overrides!$A$8:$A$47,0))="",0,INDEX(Overrides!$D$8:$D$47,MATCH(B251,Overrides!$A$8:$A$47,0))),0)</f>
        <v>0</v>
      </c>
      <c r="J251" s="38">
        <f t="shared" si="29"/>
        <v>376.63130867365169</v>
      </c>
      <c r="K251" s="18">
        <f t="shared" si="30"/>
        <v>1.0000000000000002</v>
      </c>
      <c r="L251" s="38">
        <f t="shared" si="31"/>
        <v>376.63130867365174</v>
      </c>
      <c r="M251" s="23">
        <f t="shared" si="32"/>
        <v>-3.1867960702466678</v>
      </c>
      <c r="N251" s="23">
        <f t="shared" si="33"/>
        <v>9.5688848748387137E-2</v>
      </c>
      <c r="O251" s="6"/>
      <c r="P251" s="18">
        <f t="shared" si="34"/>
        <v>-0.30494084715778791</v>
      </c>
    </row>
    <row r="252" spans="1:16" ht="15" customHeight="1" x14ac:dyDescent="0.3">
      <c r="A252" s="7" t="str">
        <f>Raw_Players!A214</f>
        <v>GSW</v>
      </c>
      <c r="B252" s="7" t="str">
        <f>Raw_Players!B214</f>
        <v>Alex Toohey</v>
      </c>
      <c r="C252" s="37">
        <f>Raw_Players!E214</f>
        <v>-3.1867960702466678</v>
      </c>
      <c r="D252" s="31">
        <f>Raw_Players!F214</f>
        <v>376.63130867365169</v>
      </c>
      <c r="E252" s="31">
        <f>Raw_Players!G214</f>
        <v>12.41438540547742</v>
      </c>
      <c r="F252" s="31">
        <f>Raw_Players!H214</f>
        <v>30.338296772023529</v>
      </c>
      <c r="G252" s="31" t="str">
        <f>IFERROR(IF(INDEX(Overrides!$B$8:$B$47,MATCH(B252,Overrides!$A$8:$A$47,0))="","",INDEX(Overrides!$B$8:$B$47,MATCH(B252,Overrides!$A$8:$A$47,0))),"")</f>
        <v/>
      </c>
      <c r="H252" s="31" t="str">
        <f>IFERROR(IF(INDEX(Overrides!$C$8:$C$47,MATCH(B252,Overrides!$A$8:$A$47,0))="","",INDEX(Overrides!$C$8:$C$47,MATCH(B252,Overrides!$A$8:$A$47,0))),"")</f>
        <v/>
      </c>
      <c r="I252" s="36">
        <f>IFERROR(IF(INDEX(Overrides!$D$8:$D$47,MATCH(B252,Overrides!$A$8:$A$47,0))="",0,INDEX(Overrides!$D$8:$D$47,MATCH(B252,Overrides!$A$8:$A$47,0))),0)</f>
        <v>0</v>
      </c>
      <c r="J252" s="38">
        <f t="shared" si="29"/>
        <v>376.63130867365169</v>
      </c>
      <c r="K252" s="18">
        <f t="shared" si="30"/>
        <v>1.0000000000000002</v>
      </c>
      <c r="L252" s="38">
        <f t="shared" si="31"/>
        <v>376.63130867365174</v>
      </c>
      <c r="M252" s="23">
        <f t="shared" si="32"/>
        <v>-3.1867960702466678</v>
      </c>
      <c r="N252" s="23">
        <f t="shared" si="33"/>
        <v>9.5688848748387137E-2</v>
      </c>
      <c r="O252" s="6"/>
      <c r="P252" s="18">
        <f t="shared" si="34"/>
        <v>-0.30494084715778791</v>
      </c>
    </row>
    <row r="253" spans="1:16" ht="15" customHeight="1" x14ac:dyDescent="0.3">
      <c r="A253" s="7" t="str">
        <f>Raw_Players!A215</f>
        <v>HOU</v>
      </c>
      <c r="B253" s="7" t="str">
        <f>Raw_Players!B215</f>
        <v>Amen Thompson</v>
      </c>
      <c r="C253" s="37">
        <f>Raw_Players!E215</f>
        <v>2.596874011367809</v>
      </c>
      <c r="D253" s="31">
        <f>Raw_Players!F215</f>
        <v>2051.8118595148499</v>
      </c>
      <c r="E253" s="31">
        <f>Raw_Players!G215</f>
        <v>30.977014210540709</v>
      </c>
      <c r="F253" s="31">
        <f>Raw_Players!H215</f>
        <v>66.236592254158239</v>
      </c>
      <c r="G253" s="31" t="str">
        <f>IFERROR(IF(INDEX(Overrides!$B$8:$B$47,MATCH(B253,Overrides!$A$8:$A$47,0))="","",INDEX(Overrides!$B$8:$B$47,MATCH(B253,Overrides!$A$8:$A$47,0))),"")</f>
        <v/>
      </c>
      <c r="H253" s="31" t="str">
        <f>IFERROR(IF(INDEX(Overrides!$C$8:$C$47,MATCH(B253,Overrides!$A$8:$A$47,0))="","",INDEX(Overrides!$C$8:$C$47,MATCH(B253,Overrides!$A$8:$A$47,0))),"")</f>
        <v/>
      </c>
      <c r="I253" s="36">
        <f>IFERROR(IF(INDEX(Overrides!$D$8:$D$47,MATCH(B253,Overrides!$A$8:$A$47,0))="",0,INDEX(Overrides!$D$8:$D$47,MATCH(B253,Overrides!$A$8:$A$47,0))),0)</f>
        <v>0</v>
      </c>
      <c r="J253" s="38">
        <f t="shared" si="29"/>
        <v>2051.8118595148499</v>
      </c>
      <c r="K253" s="18">
        <f t="shared" si="30"/>
        <v>1.0000000000000004</v>
      </c>
      <c r="L253" s="38">
        <f t="shared" si="31"/>
        <v>2051.8118595148508</v>
      </c>
      <c r="M253" s="23">
        <f t="shared" si="32"/>
        <v>2.596874011367809</v>
      </c>
      <c r="N253" s="23">
        <f t="shared" si="33"/>
        <v>0.52129366349462669</v>
      </c>
      <c r="O253" s="6"/>
      <c r="P253" s="18">
        <f t="shared" si="34"/>
        <v>1.353733967019912</v>
      </c>
    </row>
    <row r="254" spans="1:16" ht="15" customHeight="1" x14ac:dyDescent="0.3">
      <c r="A254" s="7" t="str">
        <f>Raw_Players!A216</f>
        <v>HOU</v>
      </c>
      <c r="B254" s="7" t="str">
        <f>Raw_Players!B216</f>
        <v>Kevin Durant</v>
      </c>
      <c r="C254" s="37">
        <f>Raw_Players!E216</f>
        <v>3.3934289381047562</v>
      </c>
      <c r="D254" s="31">
        <f>Raw_Players!F216</f>
        <v>2017.30798754224</v>
      </c>
      <c r="E254" s="31">
        <f>Raw_Players!G216</f>
        <v>33.756483513246437</v>
      </c>
      <c r="F254" s="31">
        <f>Raw_Players!H216</f>
        <v>59.760608262132067</v>
      </c>
      <c r="G254" s="31" t="str">
        <f>IFERROR(IF(INDEX(Overrides!$B$8:$B$47,MATCH(B254,Overrides!$A$8:$A$47,0))="","",INDEX(Overrides!$B$8:$B$47,MATCH(B254,Overrides!$A$8:$A$47,0))),"")</f>
        <v/>
      </c>
      <c r="H254" s="31" t="str">
        <f>IFERROR(IF(INDEX(Overrides!$C$8:$C$47,MATCH(B254,Overrides!$A$8:$A$47,0))="","",INDEX(Overrides!$C$8:$C$47,MATCH(B254,Overrides!$A$8:$A$47,0))),"")</f>
        <v/>
      </c>
      <c r="I254" s="36">
        <f>IFERROR(IF(INDEX(Overrides!$D$8:$D$47,MATCH(B254,Overrides!$A$8:$A$47,0))="",0,INDEX(Overrides!$D$8:$D$47,MATCH(B254,Overrides!$A$8:$A$47,0))),0)</f>
        <v>0</v>
      </c>
      <c r="J254" s="38">
        <f t="shared" si="29"/>
        <v>2017.30798754224</v>
      </c>
      <c r="K254" s="18">
        <f t="shared" si="30"/>
        <v>1.0000000000000004</v>
      </c>
      <c r="L254" s="38">
        <f t="shared" si="31"/>
        <v>2017.3079875422409</v>
      </c>
      <c r="M254" s="23">
        <f t="shared" si="32"/>
        <v>3.3934289381047562</v>
      </c>
      <c r="N254" s="23">
        <f t="shared" si="33"/>
        <v>0.51252743585930916</v>
      </c>
      <c r="O254" s="6"/>
      <c r="P254" s="18">
        <f t="shared" si="34"/>
        <v>1.7392254324176091</v>
      </c>
    </row>
    <row r="255" spans="1:16" ht="15" customHeight="1" x14ac:dyDescent="0.3">
      <c r="A255" s="7" t="str">
        <f>Raw_Players!A217</f>
        <v>HOU</v>
      </c>
      <c r="B255" s="7" t="str">
        <f>Raw_Players!B217</f>
        <v>Jabari Smith Jr.</v>
      </c>
      <c r="C255" s="37">
        <f>Raw_Players!E217</f>
        <v>0.45758195389950129</v>
      </c>
      <c r="D255" s="31">
        <f>Raw_Players!F217</f>
        <v>1984.3802198379749</v>
      </c>
      <c r="E255" s="31">
        <f>Raw_Players!G217</f>
        <v>30.711303986760662</v>
      </c>
      <c r="F255" s="31">
        <f>Raw_Players!H217</f>
        <v>64.614000782689715</v>
      </c>
      <c r="G255" s="31" t="str">
        <f>IFERROR(IF(INDEX(Overrides!$B$8:$B$47,MATCH(B255,Overrides!$A$8:$A$47,0))="","",INDEX(Overrides!$B$8:$B$47,MATCH(B255,Overrides!$A$8:$A$47,0))),"")</f>
        <v/>
      </c>
      <c r="H255" s="31" t="str">
        <f>IFERROR(IF(INDEX(Overrides!$C$8:$C$47,MATCH(B255,Overrides!$A$8:$A$47,0))="","",INDEX(Overrides!$C$8:$C$47,MATCH(B255,Overrides!$A$8:$A$47,0))),"")</f>
        <v/>
      </c>
      <c r="I255" s="36">
        <f>IFERROR(IF(INDEX(Overrides!$D$8:$D$47,MATCH(B255,Overrides!$A$8:$A$47,0))="",0,INDEX(Overrides!$D$8:$D$47,MATCH(B255,Overrides!$A$8:$A$47,0))),0)</f>
        <v>0</v>
      </c>
      <c r="J255" s="38">
        <f t="shared" si="29"/>
        <v>1984.3802198379749</v>
      </c>
      <c r="K255" s="18">
        <f t="shared" si="30"/>
        <v>1.0000000000000004</v>
      </c>
      <c r="L255" s="38">
        <f t="shared" si="31"/>
        <v>1984.3802198379758</v>
      </c>
      <c r="M255" s="23">
        <f t="shared" si="32"/>
        <v>0.45758195389950129</v>
      </c>
      <c r="N255" s="23">
        <f t="shared" si="33"/>
        <v>0.50416164121899787</v>
      </c>
      <c r="O255" s="6"/>
      <c r="P255" s="18">
        <f t="shared" si="34"/>
        <v>0.23069526887016839</v>
      </c>
    </row>
    <row r="256" spans="1:16" ht="15" customHeight="1" x14ac:dyDescent="0.3">
      <c r="A256" s="7" t="str">
        <f>Raw_Players!A218</f>
        <v>HOU</v>
      </c>
      <c r="B256" s="7" t="str">
        <f>Raw_Players!B218</f>
        <v>Alperen Sengun</v>
      </c>
      <c r="C256" s="37">
        <f>Raw_Players!E218</f>
        <v>3.6083491842932438</v>
      </c>
      <c r="D256" s="31">
        <f>Raw_Players!F218</f>
        <v>1959.3453727482411</v>
      </c>
      <c r="E256" s="31">
        <f>Raw_Players!G218</f>
        <v>30.121050236115959</v>
      </c>
      <c r="F256" s="31">
        <f>Raw_Players!H218</f>
        <v>65.049039040442636</v>
      </c>
      <c r="G256" s="31" t="str">
        <f>IFERROR(IF(INDEX(Overrides!$B$8:$B$47,MATCH(B256,Overrides!$A$8:$A$47,0))="","",INDEX(Overrides!$B$8:$B$47,MATCH(B256,Overrides!$A$8:$A$47,0))),"")</f>
        <v/>
      </c>
      <c r="H256" s="31" t="str">
        <f>IFERROR(IF(INDEX(Overrides!$C$8:$C$47,MATCH(B256,Overrides!$A$8:$A$47,0))="","",INDEX(Overrides!$C$8:$C$47,MATCH(B256,Overrides!$A$8:$A$47,0))),"")</f>
        <v/>
      </c>
      <c r="I256" s="36">
        <f>IFERROR(IF(INDEX(Overrides!$D$8:$D$47,MATCH(B256,Overrides!$A$8:$A$47,0))="",0,INDEX(Overrides!$D$8:$D$47,MATCH(B256,Overrides!$A$8:$A$47,0))),0)</f>
        <v>0</v>
      </c>
      <c r="J256" s="38">
        <f t="shared" si="29"/>
        <v>1959.3453727482411</v>
      </c>
      <c r="K256" s="18">
        <f t="shared" si="30"/>
        <v>1.0000000000000004</v>
      </c>
      <c r="L256" s="38">
        <f t="shared" si="31"/>
        <v>1959.345372748242</v>
      </c>
      <c r="M256" s="23">
        <f t="shared" si="32"/>
        <v>3.6083491842932438</v>
      </c>
      <c r="N256" s="23">
        <f t="shared" si="33"/>
        <v>0.49780116177546796</v>
      </c>
      <c r="O256" s="6"/>
      <c r="P256" s="18">
        <f t="shared" si="34"/>
        <v>1.796240416032739</v>
      </c>
    </row>
    <row r="257" spans="1:16" ht="15" customHeight="1" x14ac:dyDescent="0.3">
      <c r="A257" s="7" t="str">
        <f>Raw_Players!A219</f>
        <v>HOU</v>
      </c>
      <c r="B257" s="7" t="str">
        <f>Raw_Players!B219</f>
        <v>Tari Eason</v>
      </c>
      <c r="C257" s="37">
        <f>Raw_Players!E219</f>
        <v>0.9438417592291044</v>
      </c>
      <c r="D257" s="31">
        <f>Raw_Players!F219</f>
        <v>1387.5971947524511</v>
      </c>
      <c r="E257" s="31">
        <f>Raw_Players!G219</f>
        <v>23.073999279727371</v>
      </c>
      <c r="F257" s="31">
        <f>Raw_Players!H219</f>
        <v>60.136830981510101</v>
      </c>
      <c r="G257" s="31" t="str">
        <f>IFERROR(IF(INDEX(Overrides!$B$8:$B$47,MATCH(B257,Overrides!$A$8:$A$47,0))="","",INDEX(Overrides!$B$8:$B$47,MATCH(B257,Overrides!$A$8:$A$47,0))),"")</f>
        <v/>
      </c>
      <c r="H257" s="31" t="str">
        <f>IFERROR(IF(INDEX(Overrides!$C$8:$C$47,MATCH(B257,Overrides!$A$8:$A$47,0))="","",INDEX(Overrides!$C$8:$C$47,MATCH(B257,Overrides!$A$8:$A$47,0))),"")</f>
        <v/>
      </c>
      <c r="I257" s="36">
        <f>IFERROR(IF(INDEX(Overrides!$D$8:$D$47,MATCH(B257,Overrides!$A$8:$A$47,0))="",0,INDEX(Overrides!$D$8:$D$47,MATCH(B257,Overrides!$A$8:$A$47,0))),0)</f>
        <v>0</v>
      </c>
      <c r="J257" s="38">
        <f t="shared" si="29"/>
        <v>1387.5971947524511</v>
      </c>
      <c r="K257" s="18">
        <f t="shared" si="30"/>
        <v>1.0000000000000004</v>
      </c>
      <c r="L257" s="38">
        <f t="shared" si="31"/>
        <v>1387.5971947524517</v>
      </c>
      <c r="M257" s="23">
        <f t="shared" si="32"/>
        <v>0.9438417592291044</v>
      </c>
      <c r="N257" s="23">
        <f t="shared" si="33"/>
        <v>0.3525399376911717</v>
      </c>
      <c r="O257" s="6"/>
      <c r="P257" s="18">
        <f t="shared" si="34"/>
        <v>0.33274191498895433</v>
      </c>
    </row>
    <row r="258" spans="1:16" ht="15" customHeight="1" x14ac:dyDescent="0.3">
      <c r="A258" s="7" t="str">
        <f>Raw_Players!A220</f>
        <v>HOU</v>
      </c>
      <c r="B258" s="7" t="str">
        <f>Raw_Players!B220</f>
        <v>Marcus Smart</v>
      </c>
      <c r="C258" s="37">
        <f>Raw_Players!E220</f>
        <v>-0.5519181517395032</v>
      </c>
      <c r="D258" s="31">
        <f>Raw_Players!F220</f>
        <v>1364.293915370002</v>
      </c>
      <c r="E258" s="31">
        <f>Raw_Players!G220</f>
        <v>24.158059047590228</v>
      </c>
      <c r="F258" s="31">
        <f>Raw_Players!H220</f>
        <v>56.473655962277761</v>
      </c>
      <c r="G258" s="31" t="str">
        <f>IFERROR(IF(INDEX(Overrides!$B$8:$B$47,MATCH(B258,Overrides!$A$8:$A$47,0))="","",INDEX(Overrides!$B$8:$B$47,MATCH(B258,Overrides!$A$8:$A$47,0))),"")</f>
        <v/>
      </c>
      <c r="H258" s="31" t="str">
        <f>IFERROR(IF(INDEX(Overrides!$C$8:$C$47,MATCH(B258,Overrides!$A$8:$A$47,0))="","",INDEX(Overrides!$C$8:$C$47,MATCH(B258,Overrides!$A$8:$A$47,0))),"")</f>
        <v/>
      </c>
      <c r="I258" s="36">
        <f>IFERROR(IF(INDEX(Overrides!$D$8:$D$47,MATCH(B258,Overrides!$A$8:$A$47,0))="",0,INDEX(Overrides!$D$8:$D$47,MATCH(B258,Overrides!$A$8:$A$47,0))),0)</f>
        <v>0</v>
      </c>
      <c r="J258" s="38">
        <f t="shared" si="29"/>
        <v>1364.293915370002</v>
      </c>
      <c r="K258" s="18">
        <f t="shared" si="30"/>
        <v>1.0000000000000004</v>
      </c>
      <c r="L258" s="38">
        <f t="shared" si="31"/>
        <v>1364.2939153700027</v>
      </c>
      <c r="M258" s="23">
        <f t="shared" si="32"/>
        <v>-0.5519181517395032</v>
      </c>
      <c r="N258" s="23">
        <f t="shared" si="33"/>
        <v>0.346619389067582</v>
      </c>
      <c r="O258" s="6"/>
      <c r="P258" s="18">
        <f t="shared" si="34"/>
        <v>-0.19130553257125563</v>
      </c>
    </row>
    <row r="259" spans="1:16" ht="15" customHeight="1" x14ac:dyDescent="0.3">
      <c r="A259" s="7" t="str">
        <f>Raw_Players!A221</f>
        <v>HOU</v>
      </c>
      <c r="B259" s="7" t="str">
        <f>Raw_Players!B221</f>
        <v>Reed Sheppard</v>
      </c>
      <c r="C259" s="37">
        <f>Raw_Players!E221</f>
        <v>1.829726395638172</v>
      </c>
      <c r="D259" s="31">
        <f>Raw_Players!F221</f>
        <v>1350.003521637758</v>
      </c>
      <c r="E259" s="31">
        <f>Raw_Players!G221</f>
        <v>20.628378769140671</v>
      </c>
      <c r="F259" s="31">
        <f>Raw_Players!H221</f>
        <v>65.443995223575982</v>
      </c>
      <c r="G259" s="31" t="str">
        <f>IFERROR(IF(INDEX(Overrides!$B$8:$B$47,MATCH(B259,Overrides!$A$8:$A$47,0))="","",INDEX(Overrides!$B$8:$B$47,MATCH(B259,Overrides!$A$8:$A$47,0))),"")</f>
        <v/>
      </c>
      <c r="H259" s="31" t="str">
        <f>IFERROR(IF(INDEX(Overrides!$C$8:$C$47,MATCH(B259,Overrides!$A$8:$A$47,0))="","",INDEX(Overrides!$C$8:$C$47,MATCH(B259,Overrides!$A$8:$A$47,0))),"")</f>
        <v/>
      </c>
      <c r="I259" s="36">
        <f>IFERROR(IF(INDEX(Overrides!$D$8:$D$47,MATCH(B259,Overrides!$A$8:$A$47,0))="",0,INDEX(Overrides!$D$8:$D$47,MATCH(B259,Overrides!$A$8:$A$47,0))),0)</f>
        <v>0</v>
      </c>
      <c r="J259" s="38">
        <f t="shared" si="29"/>
        <v>1350.003521637758</v>
      </c>
      <c r="K259" s="18">
        <f t="shared" si="30"/>
        <v>1.0000000000000004</v>
      </c>
      <c r="L259" s="38">
        <f t="shared" si="31"/>
        <v>1350.0035216377587</v>
      </c>
      <c r="M259" s="23">
        <f t="shared" si="32"/>
        <v>1.829726395638172</v>
      </c>
      <c r="N259" s="23">
        <f t="shared" si="33"/>
        <v>0.34298869960308909</v>
      </c>
      <c r="O259" s="6"/>
      <c r="P259" s="18">
        <f t="shared" si="34"/>
        <v>0.62757547706938388</v>
      </c>
    </row>
    <row r="260" spans="1:16" ht="15" customHeight="1" x14ac:dyDescent="0.3">
      <c r="A260" s="7" t="str">
        <f>Raw_Players!A222</f>
        <v>HOU</v>
      </c>
      <c r="B260" s="7" t="str">
        <f>Raw_Players!B222</f>
        <v>Bogdan Bogdanovic</v>
      </c>
      <c r="C260" s="37">
        <f>Raw_Players!E222</f>
        <v>-1.275978992529526</v>
      </c>
      <c r="D260" s="31">
        <f>Raw_Players!F222</f>
        <v>1109.9160179031719</v>
      </c>
      <c r="E260" s="31">
        <f>Raw_Players!G222</f>
        <v>23.324188304497401</v>
      </c>
      <c r="F260" s="31">
        <f>Raw_Players!H222</f>
        <v>47.586479898601951</v>
      </c>
      <c r="G260" s="31" t="str">
        <f>IFERROR(IF(INDEX(Overrides!$B$8:$B$47,MATCH(B260,Overrides!$A$8:$A$47,0))="","",INDEX(Overrides!$B$8:$B$47,MATCH(B260,Overrides!$A$8:$A$47,0))),"")</f>
        <v/>
      </c>
      <c r="H260" s="31" t="str">
        <f>IFERROR(IF(INDEX(Overrides!$C$8:$C$47,MATCH(B260,Overrides!$A$8:$A$47,0))="","",INDEX(Overrides!$C$8:$C$47,MATCH(B260,Overrides!$A$8:$A$47,0))),"")</f>
        <v/>
      </c>
      <c r="I260" s="36">
        <f>IFERROR(IF(INDEX(Overrides!$D$8:$D$47,MATCH(B260,Overrides!$A$8:$A$47,0))="",0,INDEX(Overrides!$D$8:$D$47,MATCH(B260,Overrides!$A$8:$A$47,0))),0)</f>
        <v>0</v>
      </c>
      <c r="J260" s="38">
        <f t="shared" si="29"/>
        <v>1109.9160179031719</v>
      </c>
      <c r="K260" s="18">
        <f t="shared" si="30"/>
        <v>1.0000000000000004</v>
      </c>
      <c r="L260" s="38">
        <f t="shared" si="31"/>
        <v>1109.9160179031724</v>
      </c>
      <c r="M260" s="23">
        <f t="shared" si="32"/>
        <v>-1.275978992529526</v>
      </c>
      <c r="N260" s="23">
        <f t="shared" si="33"/>
        <v>0.28199085820710679</v>
      </c>
      <c r="O260" s="6"/>
      <c r="P260" s="18">
        <f t="shared" si="34"/>
        <v>-0.35981441115764051</v>
      </c>
    </row>
    <row r="261" spans="1:16" ht="15" customHeight="1" x14ac:dyDescent="0.3">
      <c r="A261" s="7" t="str">
        <f>Raw_Players!A223</f>
        <v>HOU</v>
      </c>
      <c r="B261" s="7" t="str">
        <f>Raw_Players!B223</f>
        <v>Clint Capela</v>
      </c>
      <c r="C261" s="37">
        <f>Raw_Players!E223</f>
        <v>0.29047544389061281</v>
      </c>
      <c r="D261" s="31">
        <f>Raw_Players!F223</f>
        <v>1002.4745150873759</v>
      </c>
      <c r="E261" s="31">
        <f>Raw_Players!G223</f>
        <v>16.247242398718459</v>
      </c>
      <c r="F261" s="31">
        <f>Raw_Players!H223</f>
        <v>61.701209995269657</v>
      </c>
      <c r="G261" s="31" t="str">
        <f>IFERROR(IF(INDEX(Overrides!$B$8:$B$47,MATCH(B261,Overrides!$A$8:$A$47,0))="","",INDEX(Overrides!$B$8:$B$47,MATCH(B261,Overrides!$A$8:$A$47,0))),"")</f>
        <v/>
      </c>
      <c r="H261" s="31" t="str">
        <f>IFERROR(IF(INDEX(Overrides!$C$8:$C$47,MATCH(B261,Overrides!$A$8:$A$47,0))="","",INDEX(Overrides!$C$8:$C$47,MATCH(B261,Overrides!$A$8:$A$47,0))),"")</f>
        <v/>
      </c>
      <c r="I261" s="36">
        <f>IFERROR(IF(INDEX(Overrides!$D$8:$D$47,MATCH(B261,Overrides!$A$8:$A$47,0))="",0,INDEX(Overrides!$D$8:$D$47,MATCH(B261,Overrides!$A$8:$A$47,0))),0)</f>
        <v>0</v>
      </c>
      <c r="J261" s="38">
        <f t="shared" si="29"/>
        <v>1002.4745150873759</v>
      </c>
      <c r="K261" s="18">
        <f t="shared" si="30"/>
        <v>1.0000000000000004</v>
      </c>
      <c r="L261" s="38">
        <f t="shared" si="31"/>
        <v>1002.4745150873764</v>
      </c>
      <c r="M261" s="23">
        <f t="shared" si="32"/>
        <v>0.29047544389061281</v>
      </c>
      <c r="N261" s="23">
        <f t="shared" si="33"/>
        <v>0.25469372842667082</v>
      </c>
      <c r="O261" s="6"/>
      <c r="P261" s="18">
        <f t="shared" si="34"/>
        <v>7.3982273820892397E-2</v>
      </c>
    </row>
    <row r="262" spans="1:16" ht="15" customHeight="1" x14ac:dyDescent="0.3">
      <c r="A262" s="7" t="str">
        <f>Raw_Players!A224</f>
        <v>HOU</v>
      </c>
      <c r="B262" s="7" t="str">
        <f>Raw_Players!B224</f>
        <v>Fred VanVleet</v>
      </c>
      <c r="C262" s="37">
        <f>Raw_Players!E224</f>
        <v>1.1682044299539991</v>
      </c>
      <c r="D262" s="31">
        <f>Raw_Players!F224</f>
        <v>978.56074474580043</v>
      </c>
      <c r="E262" s="31">
        <f>Raw_Players!G224</f>
        <v>32.254966457055048</v>
      </c>
      <c r="F262" s="31">
        <f>Raw_Players!H224</f>
        <v>30.338296772023529</v>
      </c>
      <c r="G262" s="31" t="str">
        <f>IFERROR(IF(INDEX(Overrides!$B$8:$B$47,MATCH(B262,Overrides!$A$8:$A$47,0))="","",INDEX(Overrides!$B$8:$B$47,MATCH(B262,Overrides!$A$8:$A$47,0))),"")</f>
        <v/>
      </c>
      <c r="H262" s="31" t="str">
        <f>IFERROR(IF(INDEX(Overrides!$C$8:$C$47,MATCH(B262,Overrides!$A$8:$A$47,0))="","",INDEX(Overrides!$C$8:$C$47,MATCH(B262,Overrides!$A$8:$A$47,0))),"")</f>
        <v/>
      </c>
      <c r="I262" s="36">
        <f>IFERROR(IF(INDEX(Overrides!$D$8:$D$47,MATCH(B262,Overrides!$A$8:$A$47,0))="",0,INDEX(Overrides!$D$8:$D$47,MATCH(B262,Overrides!$A$8:$A$47,0))),0)</f>
        <v>0</v>
      </c>
      <c r="J262" s="38">
        <f t="shared" si="29"/>
        <v>978.56074474580043</v>
      </c>
      <c r="K262" s="18">
        <f t="shared" si="30"/>
        <v>1.0000000000000004</v>
      </c>
      <c r="L262" s="38">
        <f t="shared" si="31"/>
        <v>978.56074474580089</v>
      </c>
      <c r="M262" s="23">
        <f t="shared" si="32"/>
        <v>1.1682044299539991</v>
      </c>
      <c r="N262" s="23">
        <f t="shared" si="33"/>
        <v>0.24861807539273398</v>
      </c>
      <c r="O262" s="6"/>
      <c r="P262" s="18">
        <f t="shared" si="34"/>
        <v>0.29043673704042916</v>
      </c>
    </row>
    <row r="263" spans="1:16" ht="15" customHeight="1" x14ac:dyDescent="0.3">
      <c r="A263" s="7" t="str">
        <f>Raw_Players!A225</f>
        <v>HOU</v>
      </c>
      <c r="B263" s="7" t="str">
        <f>Raw_Players!B225</f>
        <v>Steven Adams</v>
      </c>
      <c r="C263" s="37">
        <f>Raw_Players!E225</f>
        <v>0.56403356284531259</v>
      </c>
      <c r="D263" s="31">
        <f>Raw_Players!F225</f>
        <v>841.29426575073057</v>
      </c>
      <c r="E263" s="31">
        <f>Raw_Players!G225</f>
        <v>16.587718578477372</v>
      </c>
      <c r="F263" s="31">
        <f>Raw_Players!H225</f>
        <v>50.717900823463047</v>
      </c>
      <c r="G263" s="31" t="str">
        <f>IFERROR(IF(INDEX(Overrides!$B$8:$B$47,MATCH(B263,Overrides!$A$8:$A$47,0))="","",INDEX(Overrides!$B$8:$B$47,MATCH(B263,Overrides!$A$8:$A$47,0))),"")</f>
        <v/>
      </c>
      <c r="H263" s="31" t="str">
        <f>IFERROR(IF(INDEX(Overrides!$C$8:$C$47,MATCH(B263,Overrides!$A$8:$A$47,0))="","",INDEX(Overrides!$C$8:$C$47,MATCH(B263,Overrides!$A$8:$A$47,0))),"")</f>
        <v/>
      </c>
      <c r="I263" s="36">
        <f>IFERROR(IF(INDEX(Overrides!$D$8:$D$47,MATCH(B263,Overrides!$A$8:$A$47,0))="",0,INDEX(Overrides!$D$8:$D$47,MATCH(B263,Overrides!$A$8:$A$47,0))),0)</f>
        <v>0</v>
      </c>
      <c r="J263" s="38">
        <f t="shared" si="29"/>
        <v>841.29426575073057</v>
      </c>
      <c r="K263" s="18">
        <f t="shared" si="30"/>
        <v>1.0000000000000004</v>
      </c>
      <c r="L263" s="38">
        <f t="shared" si="31"/>
        <v>841.29426575073091</v>
      </c>
      <c r="M263" s="23">
        <f t="shared" si="32"/>
        <v>0.56403356284531259</v>
      </c>
      <c r="N263" s="23">
        <f t="shared" si="33"/>
        <v>0.21374346182691334</v>
      </c>
      <c r="O263" s="6"/>
      <c r="P263" s="18">
        <f t="shared" si="34"/>
        <v>0.120558486309125</v>
      </c>
    </row>
    <row r="264" spans="1:16" ht="15" customHeight="1" x14ac:dyDescent="0.3">
      <c r="A264" s="7" t="str">
        <f>Raw_Players!A226</f>
        <v>HOU</v>
      </c>
      <c r="B264" s="7" t="str">
        <f>Raw_Players!B226</f>
        <v>Oscar Tshiebwe</v>
      </c>
      <c r="C264" s="37">
        <f>Raw_Players!E226</f>
        <v>-0.54997239929207109</v>
      </c>
      <c r="D264" s="31">
        <f>Raw_Players!F226</f>
        <v>695.97385463906471</v>
      </c>
      <c r="E264" s="31">
        <f>Raw_Players!G226</f>
        <v>14.601457686107119</v>
      </c>
      <c r="F264" s="31">
        <f>Raw_Players!H226</f>
        <v>47.664683184423737</v>
      </c>
      <c r="G264" s="31" t="str">
        <f>IFERROR(IF(INDEX(Overrides!$B$8:$B$47,MATCH(B264,Overrides!$A$8:$A$47,0))="","",INDEX(Overrides!$B$8:$B$47,MATCH(B264,Overrides!$A$8:$A$47,0))),"")</f>
        <v/>
      </c>
      <c r="H264" s="31" t="str">
        <f>IFERROR(IF(INDEX(Overrides!$C$8:$C$47,MATCH(B264,Overrides!$A$8:$A$47,0))="","",INDEX(Overrides!$C$8:$C$47,MATCH(B264,Overrides!$A$8:$A$47,0))),"")</f>
        <v/>
      </c>
      <c r="I264" s="36">
        <f>IFERROR(IF(INDEX(Overrides!$D$8:$D$47,MATCH(B264,Overrides!$A$8:$A$47,0))="",0,INDEX(Overrides!$D$8:$D$47,MATCH(B264,Overrides!$A$8:$A$47,0))),0)</f>
        <v>0</v>
      </c>
      <c r="J264" s="38">
        <f t="shared" si="29"/>
        <v>695.97385463906471</v>
      </c>
      <c r="K264" s="18">
        <f t="shared" si="30"/>
        <v>1.0000000000000004</v>
      </c>
      <c r="L264" s="38">
        <f t="shared" si="31"/>
        <v>695.97385463906505</v>
      </c>
      <c r="M264" s="23">
        <f t="shared" si="32"/>
        <v>-0.54997239929207109</v>
      </c>
      <c r="N264" s="23">
        <f t="shared" si="33"/>
        <v>0.17682262567049417</v>
      </c>
      <c r="O264" s="6"/>
      <c r="P264" s="18">
        <f t="shared" si="34"/>
        <v>-9.7247563689125446E-2</v>
      </c>
    </row>
    <row r="265" spans="1:16" ht="15" customHeight="1" x14ac:dyDescent="0.3">
      <c r="A265" s="7" t="str">
        <f>Raw_Players!A227</f>
        <v>HOU</v>
      </c>
      <c r="B265" s="7" t="str">
        <f>Raw_Players!B227</f>
        <v>Julian Phillips</v>
      </c>
      <c r="C265" s="37">
        <f>Raw_Players!E227</f>
        <v>-1.311631503884084</v>
      </c>
      <c r="D265" s="31">
        <f>Raw_Players!F227</f>
        <v>640.18337417364171</v>
      </c>
      <c r="E265" s="31">
        <f>Raw_Players!G227</f>
        <v>10.77440250934959</v>
      </c>
      <c r="F265" s="31">
        <f>Raw_Players!H227</f>
        <v>59.417064994380567</v>
      </c>
      <c r="G265" s="31" t="str">
        <f>IFERROR(IF(INDEX(Overrides!$B$8:$B$47,MATCH(B265,Overrides!$A$8:$A$47,0))="","",INDEX(Overrides!$B$8:$B$47,MATCH(B265,Overrides!$A$8:$A$47,0))),"")</f>
        <v/>
      </c>
      <c r="H265" s="31" t="str">
        <f>IFERROR(IF(INDEX(Overrides!$C$8:$C$47,MATCH(B265,Overrides!$A$8:$A$47,0))="","",INDEX(Overrides!$C$8:$C$47,MATCH(B265,Overrides!$A$8:$A$47,0))),"")</f>
        <v/>
      </c>
      <c r="I265" s="36">
        <f>IFERROR(IF(INDEX(Overrides!$D$8:$D$47,MATCH(B265,Overrides!$A$8:$A$47,0))="",0,INDEX(Overrides!$D$8:$D$47,MATCH(B265,Overrides!$A$8:$A$47,0))),0)</f>
        <v>0</v>
      </c>
      <c r="J265" s="38">
        <f t="shared" si="29"/>
        <v>640.18337417364171</v>
      </c>
      <c r="K265" s="18">
        <f t="shared" si="30"/>
        <v>1.0000000000000004</v>
      </c>
      <c r="L265" s="38">
        <f t="shared" si="31"/>
        <v>640.18337417364205</v>
      </c>
      <c r="M265" s="23">
        <f t="shared" si="32"/>
        <v>-1.311631503884084</v>
      </c>
      <c r="N265" s="23">
        <f t="shared" si="33"/>
        <v>0.16264821498314078</v>
      </c>
      <c r="O265" s="6"/>
      <c r="P265" s="18">
        <f t="shared" si="34"/>
        <v>-0.21333452282239873</v>
      </c>
    </row>
    <row r="266" spans="1:16" ht="15" customHeight="1" x14ac:dyDescent="0.3">
      <c r="A266" s="7" t="str">
        <f>Raw_Players!A228</f>
        <v>HOU</v>
      </c>
      <c r="B266" s="7" t="str">
        <f>Raw_Players!B228</f>
        <v>Bruce Thornton</v>
      </c>
      <c r="C266" s="37">
        <f>Raw_Players!E228</f>
        <v>-1.7733909993183341</v>
      </c>
      <c r="D266" s="31">
        <f>Raw_Players!F228</f>
        <v>607.83835368200914</v>
      </c>
      <c r="E266" s="31">
        <f>Raw_Players!G228</f>
        <v>15.388418562492401</v>
      </c>
      <c r="F266" s="31">
        <f>Raw_Players!H228</f>
        <v>39.499728397273323</v>
      </c>
      <c r="G266" s="31" t="str">
        <f>IFERROR(IF(INDEX(Overrides!$B$8:$B$47,MATCH(B266,Overrides!$A$8:$A$47,0))="","",INDEX(Overrides!$B$8:$B$47,MATCH(B266,Overrides!$A$8:$A$47,0))),"")</f>
        <v/>
      </c>
      <c r="H266" s="31" t="str">
        <f>IFERROR(IF(INDEX(Overrides!$C$8:$C$47,MATCH(B266,Overrides!$A$8:$A$47,0))="","",INDEX(Overrides!$C$8:$C$47,MATCH(B266,Overrides!$A$8:$A$47,0))),"")</f>
        <v/>
      </c>
      <c r="I266" s="36">
        <f>IFERROR(IF(INDEX(Overrides!$D$8:$D$47,MATCH(B266,Overrides!$A$8:$A$47,0))="",0,INDEX(Overrides!$D$8:$D$47,MATCH(B266,Overrides!$A$8:$A$47,0))),0)</f>
        <v>0</v>
      </c>
      <c r="J266" s="38">
        <f t="shared" si="29"/>
        <v>607.83835368200914</v>
      </c>
      <c r="K266" s="18">
        <f t="shared" si="30"/>
        <v>1.0000000000000004</v>
      </c>
      <c r="L266" s="38">
        <f t="shared" si="31"/>
        <v>607.83835368200937</v>
      </c>
      <c r="M266" s="23">
        <f t="shared" si="32"/>
        <v>-1.7733909993183341</v>
      </c>
      <c r="N266" s="23">
        <f t="shared" si="33"/>
        <v>0.15443047603709587</v>
      </c>
      <c r="O266" s="6"/>
      <c r="P266" s="18">
        <f t="shared" si="34"/>
        <v>-0.27386561622463146</v>
      </c>
    </row>
    <row r="267" spans="1:16" ht="15" customHeight="1" x14ac:dyDescent="0.3">
      <c r="A267" s="7" t="str">
        <f>Raw_Players!A229</f>
        <v>HOU</v>
      </c>
      <c r="B267" s="7" t="str">
        <f>Raw_Players!B229</f>
        <v>Jae'Sean Tate</v>
      </c>
      <c r="C267" s="37">
        <f>Raw_Players!E229</f>
        <v>-1.9586555682654461</v>
      </c>
      <c r="D267" s="31">
        <f>Raw_Players!F229</f>
        <v>598.0149820590683</v>
      </c>
      <c r="E267" s="31">
        <f>Raw_Players!G229</f>
        <v>10.88966800374863</v>
      </c>
      <c r="F267" s="31">
        <f>Raw_Players!H229</f>
        <v>54.915813948892577</v>
      </c>
      <c r="G267" s="31" t="str">
        <f>IFERROR(IF(INDEX(Overrides!$B$8:$B$47,MATCH(B267,Overrides!$A$8:$A$47,0))="","",INDEX(Overrides!$B$8:$B$47,MATCH(B267,Overrides!$A$8:$A$47,0))),"")</f>
        <v/>
      </c>
      <c r="H267" s="31" t="str">
        <f>IFERROR(IF(INDEX(Overrides!$C$8:$C$47,MATCH(B267,Overrides!$A$8:$A$47,0))="","",INDEX(Overrides!$C$8:$C$47,MATCH(B267,Overrides!$A$8:$A$47,0))),"")</f>
        <v/>
      </c>
      <c r="I267" s="36">
        <f>IFERROR(IF(INDEX(Overrides!$D$8:$D$47,MATCH(B267,Overrides!$A$8:$A$47,0))="",0,INDEX(Overrides!$D$8:$D$47,MATCH(B267,Overrides!$A$8:$A$47,0))),0)</f>
        <v>0</v>
      </c>
      <c r="J267" s="38">
        <f t="shared" si="29"/>
        <v>598.0149820590683</v>
      </c>
      <c r="K267" s="18">
        <f t="shared" si="30"/>
        <v>1.0000000000000004</v>
      </c>
      <c r="L267" s="38">
        <f t="shared" si="31"/>
        <v>598.01498205906853</v>
      </c>
      <c r="M267" s="23">
        <f t="shared" si="32"/>
        <v>-1.9586555682654461</v>
      </c>
      <c r="N267" s="23">
        <f t="shared" si="33"/>
        <v>0.15193470072638937</v>
      </c>
      <c r="O267" s="6"/>
      <c r="P267" s="18">
        <f t="shared" si="34"/>
        <v>-0.29758774759048667</v>
      </c>
    </row>
    <row r="268" spans="1:16" ht="15" customHeight="1" x14ac:dyDescent="0.3">
      <c r="A268" s="7" t="str">
        <f>Raw_Players!A230</f>
        <v>HOU</v>
      </c>
      <c r="B268" s="7" t="str">
        <f>Raw_Players!B230</f>
        <v>Sean Pedulla</v>
      </c>
      <c r="C268" s="37">
        <f>Raw_Players!E230</f>
        <v>-2.4543626032593679</v>
      </c>
      <c r="D268" s="31">
        <f>Raw_Players!F230</f>
        <v>391.11598647570321</v>
      </c>
      <c r="E268" s="31">
        <f>Raw_Players!G230</f>
        <v>9.2526234211864544</v>
      </c>
      <c r="F268" s="31">
        <f>Raw_Players!H230</f>
        <v>42.270820790148477</v>
      </c>
      <c r="G268" s="31" t="str">
        <f>IFERROR(IF(INDEX(Overrides!$B$8:$B$47,MATCH(B268,Overrides!$A$8:$A$47,0))="","",INDEX(Overrides!$B$8:$B$47,MATCH(B268,Overrides!$A$8:$A$47,0))),"")</f>
        <v/>
      </c>
      <c r="H268" s="31" t="str">
        <f>IFERROR(IF(INDEX(Overrides!$C$8:$C$47,MATCH(B268,Overrides!$A$8:$A$47,0))="","",INDEX(Overrides!$C$8:$C$47,MATCH(B268,Overrides!$A$8:$A$47,0))),"")</f>
        <v/>
      </c>
      <c r="I268" s="36">
        <f>IFERROR(IF(INDEX(Overrides!$D$8:$D$47,MATCH(B268,Overrides!$A$8:$A$47,0))="",0,INDEX(Overrides!$D$8:$D$47,MATCH(B268,Overrides!$A$8:$A$47,0))),0)</f>
        <v>0</v>
      </c>
      <c r="J268" s="38">
        <f t="shared" si="29"/>
        <v>391.11598647570321</v>
      </c>
      <c r="K268" s="18">
        <f t="shared" si="30"/>
        <v>1.0000000000000004</v>
      </c>
      <c r="L268" s="38">
        <f t="shared" si="31"/>
        <v>391.11598647570338</v>
      </c>
      <c r="M268" s="23">
        <f t="shared" si="32"/>
        <v>-2.4543626032593679</v>
      </c>
      <c r="N268" s="23">
        <f t="shared" si="33"/>
        <v>9.9368899002973424E-2</v>
      </c>
      <c r="O268" s="6"/>
      <c r="P268" s="18">
        <f t="shared" si="34"/>
        <v>-0.24388730963995506</v>
      </c>
    </row>
    <row r="269" spans="1:16" ht="15" customHeight="1" x14ac:dyDescent="0.3">
      <c r="A269" s="7" t="str">
        <f>Raw_Players!A231</f>
        <v>HOU</v>
      </c>
      <c r="B269" s="7" t="str">
        <f>Raw_Players!B231</f>
        <v>Quadir Copeland</v>
      </c>
      <c r="C269" s="37">
        <f>Raw_Players!E231</f>
        <v>-3.1867960702466678</v>
      </c>
      <c r="D269" s="31">
        <f>Raw_Players!F231</f>
        <v>375.12019841320171</v>
      </c>
      <c r="E269" s="31">
        <f>Raw_Players!G231</f>
        <v>12.364576733889651</v>
      </c>
      <c r="F269" s="31">
        <f>Raw_Players!H231</f>
        <v>30.338296772023529</v>
      </c>
      <c r="G269" s="31" t="str">
        <f>IFERROR(IF(INDEX(Overrides!$B$8:$B$47,MATCH(B269,Overrides!$A$8:$A$47,0))="","",INDEX(Overrides!$B$8:$B$47,MATCH(B269,Overrides!$A$8:$A$47,0))),"")</f>
        <v/>
      </c>
      <c r="H269" s="31" t="str">
        <f>IFERROR(IF(INDEX(Overrides!$C$8:$C$47,MATCH(B269,Overrides!$A$8:$A$47,0))="","",INDEX(Overrides!$C$8:$C$47,MATCH(B269,Overrides!$A$8:$A$47,0))),"")</f>
        <v/>
      </c>
      <c r="I269" s="36">
        <f>IFERROR(IF(INDEX(Overrides!$D$8:$D$47,MATCH(B269,Overrides!$A$8:$A$47,0))="",0,INDEX(Overrides!$D$8:$D$47,MATCH(B269,Overrides!$A$8:$A$47,0))),0)</f>
        <v>0</v>
      </c>
      <c r="J269" s="38">
        <f t="shared" si="29"/>
        <v>375.12019841320171</v>
      </c>
      <c r="K269" s="18">
        <f t="shared" si="30"/>
        <v>1.0000000000000004</v>
      </c>
      <c r="L269" s="38">
        <f t="shared" si="31"/>
        <v>375.12019841320188</v>
      </c>
      <c r="M269" s="23">
        <f t="shared" si="32"/>
        <v>-3.1867960702466678</v>
      </c>
      <c r="N269" s="23">
        <f t="shared" si="33"/>
        <v>9.5304928458638694E-2</v>
      </c>
      <c r="O269" s="6"/>
      <c r="P269" s="18">
        <f t="shared" si="34"/>
        <v>-0.30371737148712963</v>
      </c>
    </row>
    <row r="270" spans="1:16" ht="15" customHeight="1" x14ac:dyDescent="0.3">
      <c r="A270" s="7" t="str">
        <f>Raw_Players!A232</f>
        <v>HOU</v>
      </c>
      <c r="B270" s="7" t="str">
        <f>Raw_Players!B232</f>
        <v>Isaiah Crawford</v>
      </c>
      <c r="C270" s="37">
        <f>Raw_Players!E232</f>
        <v>-1.6515910989700739</v>
      </c>
      <c r="D270" s="31">
        <f>Raw_Players!F232</f>
        <v>324.76763566671582</v>
      </c>
      <c r="E270" s="31">
        <f>Raw_Players!G232</f>
        <v>7.2530043311101391</v>
      </c>
      <c r="F270" s="31">
        <f>Raw_Players!H232</f>
        <v>44.776980798659913</v>
      </c>
      <c r="G270" s="31" t="str">
        <f>IFERROR(IF(INDEX(Overrides!$B$8:$B$47,MATCH(B270,Overrides!$A$8:$A$47,0))="","",INDEX(Overrides!$B$8:$B$47,MATCH(B270,Overrides!$A$8:$A$47,0))),"")</f>
        <v/>
      </c>
      <c r="H270" s="31" t="str">
        <f>IFERROR(IF(INDEX(Overrides!$C$8:$C$47,MATCH(B270,Overrides!$A$8:$A$47,0))="","",INDEX(Overrides!$C$8:$C$47,MATCH(B270,Overrides!$A$8:$A$47,0))),"")</f>
        <v/>
      </c>
      <c r="I270" s="36">
        <f>IFERROR(IF(INDEX(Overrides!$D$8:$D$47,MATCH(B270,Overrides!$A$8:$A$47,0))="",0,INDEX(Overrides!$D$8:$D$47,MATCH(B270,Overrides!$A$8:$A$47,0))),0)</f>
        <v>0</v>
      </c>
      <c r="J270" s="38">
        <f t="shared" si="29"/>
        <v>324.76763566671582</v>
      </c>
      <c r="K270" s="18">
        <f t="shared" si="30"/>
        <v>1.0000000000000004</v>
      </c>
      <c r="L270" s="38">
        <f t="shared" si="31"/>
        <v>324.76763566671599</v>
      </c>
      <c r="M270" s="23">
        <f t="shared" si="32"/>
        <v>-1.6515910989700739</v>
      </c>
      <c r="N270" s="23">
        <f t="shared" si="33"/>
        <v>8.2512102557600608E-2</v>
      </c>
      <c r="O270" s="6"/>
      <c r="P270" s="18">
        <f t="shared" si="34"/>
        <v>-0.13627625414143904</v>
      </c>
    </row>
    <row r="271" spans="1:16" ht="15" customHeight="1" x14ac:dyDescent="0.3">
      <c r="A271" s="7" t="str">
        <f>Raw_Players!A233</f>
        <v>IND</v>
      </c>
      <c r="B271" s="7" t="str">
        <f>Raw_Players!B233</f>
        <v>Pascal Siakam</v>
      </c>
      <c r="C271" s="37">
        <f>Raw_Players!E233</f>
        <v>0.97321224406976925</v>
      </c>
      <c r="D271" s="31">
        <f>Raw_Players!F233</f>
        <v>2013.5460343043401</v>
      </c>
      <c r="E271" s="31">
        <f>Raw_Players!G233</f>
        <v>31.290375607690709</v>
      </c>
      <c r="F271" s="31">
        <f>Raw_Players!H233</f>
        <v>64.350331218441511</v>
      </c>
      <c r="G271" s="31" t="str">
        <f>IFERROR(IF(INDEX(Overrides!$B$8:$B$47,MATCH(B271,Overrides!$A$8:$A$47,0))="","",INDEX(Overrides!$B$8:$B$47,MATCH(B271,Overrides!$A$8:$A$47,0))),"")</f>
        <v/>
      </c>
      <c r="H271" s="31" t="str">
        <f>IFERROR(IF(INDEX(Overrides!$C$8:$C$47,MATCH(B271,Overrides!$A$8:$A$47,0))="","",INDEX(Overrides!$C$8:$C$47,MATCH(B271,Overrides!$A$8:$A$47,0))),"")</f>
        <v/>
      </c>
      <c r="I271" s="36">
        <f>IFERROR(IF(INDEX(Overrides!$D$8:$D$47,MATCH(B271,Overrides!$A$8:$A$47,0))="",0,INDEX(Overrides!$D$8:$D$47,MATCH(B271,Overrides!$A$8:$A$47,0))),0)</f>
        <v>0</v>
      </c>
      <c r="J271" s="38">
        <f t="shared" si="29"/>
        <v>2013.5460343043401</v>
      </c>
      <c r="K271" s="18">
        <f t="shared" si="30"/>
        <v>1</v>
      </c>
      <c r="L271" s="38">
        <f t="shared" si="31"/>
        <v>2013.5460343043401</v>
      </c>
      <c r="M271" s="23">
        <f t="shared" si="32"/>
        <v>0.97321224406976925</v>
      </c>
      <c r="N271" s="23">
        <f t="shared" si="33"/>
        <v>0.51157165505699698</v>
      </c>
      <c r="O271" s="6"/>
      <c r="P271" s="18">
        <f t="shared" si="34"/>
        <v>0.49786779842050594</v>
      </c>
    </row>
    <row r="272" spans="1:16" ht="15" customHeight="1" x14ac:dyDescent="0.3">
      <c r="A272" s="7" t="str">
        <f>Raw_Players!A234</f>
        <v>IND</v>
      </c>
      <c r="B272" s="7" t="str">
        <f>Raw_Players!B234</f>
        <v>Kelly Oubre Jr.</v>
      </c>
      <c r="C272" s="37">
        <f>Raw_Players!E234</f>
        <v>-1.0446404108021241</v>
      </c>
      <c r="D272" s="31">
        <f>Raw_Players!F234</f>
        <v>1691.762268425362</v>
      </c>
      <c r="E272" s="31">
        <f>Raw_Players!G234</f>
        <v>29.8539981498269</v>
      </c>
      <c r="F272" s="31">
        <f>Raw_Players!H234</f>
        <v>56.667862707533921</v>
      </c>
      <c r="G272" s="31" t="str">
        <f>IFERROR(IF(INDEX(Overrides!$B$8:$B$47,MATCH(B272,Overrides!$A$8:$A$47,0))="","",INDEX(Overrides!$B$8:$B$47,MATCH(B272,Overrides!$A$8:$A$47,0))),"")</f>
        <v/>
      </c>
      <c r="H272" s="31" t="str">
        <f>IFERROR(IF(INDEX(Overrides!$C$8:$C$47,MATCH(B272,Overrides!$A$8:$A$47,0))="","",INDEX(Overrides!$C$8:$C$47,MATCH(B272,Overrides!$A$8:$A$47,0))),"")</f>
        <v/>
      </c>
      <c r="I272" s="36">
        <f>IFERROR(IF(INDEX(Overrides!$D$8:$D$47,MATCH(B272,Overrides!$A$8:$A$47,0))="",0,INDEX(Overrides!$D$8:$D$47,MATCH(B272,Overrides!$A$8:$A$47,0))),0)</f>
        <v>0</v>
      </c>
      <c r="J272" s="38">
        <f t="shared" si="29"/>
        <v>1691.762268425362</v>
      </c>
      <c r="K272" s="18">
        <f t="shared" si="30"/>
        <v>1</v>
      </c>
      <c r="L272" s="38">
        <f t="shared" si="31"/>
        <v>1691.762268425362</v>
      </c>
      <c r="M272" s="23">
        <f t="shared" si="32"/>
        <v>-1.0446404108021241</v>
      </c>
      <c r="N272" s="23">
        <f t="shared" si="33"/>
        <v>0.42981764949831353</v>
      </c>
      <c r="O272" s="6"/>
      <c r="P272" s="18">
        <f t="shared" si="34"/>
        <v>-0.44900488594192162</v>
      </c>
    </row>
    <row r="273" spans="1:16" ht="15" customHeight="1" x14ac:dyDescent="0.3">
      <c r="A273" s="7" t="str">
        <f>Raw_Players!A235</f>
        <v>IND</v>
      </c>
      <c r="B273" s="7" t="str">
        <f>Raw_Players!B235</f>
        <v>Ivica Zubac</v>
      </c>
      <c r="C273" s="37">
        <f>Raw_Players!E235</f>
        <v>1.171513597336584</v>
      </c>
      <c r="D273" s="31">
        <f>Raw_Players!F235</f>
        <v>1655.014036987619</v>
      </c>
      <c r="E273" s="31">
        <f>Raw_Players!G235</f>
        <v>28.357974224180939</v>
      </c>
      <c r="F273" s="31">
        <f>Raw_Players!H235</f>
        <v>58.361504383355538</v>
      </c>
      <c r="G273" s="31" t="str">
        <f>IFERROR(IF(INDEX(Overrides!$B$8:$B$47,MATCH(B273,Overrides!$A$8:$A$47,0))="","",INDEX(Overrides!$B$8:$B$47,MATCH(B273,Overrides!$A$8:$A$47,0))),"")</f>
        <v/>
      </c>
      <c r="H273" s="31" t="str">
        <f>IFERROR(IF(INDEX(Overrides!$C$8:$C$47,MATCH(B273,Overrides!$A$8:$A$47,0))="","",INDEX(Overrides!$C$8:$C$47,MATCH(B273,Overrides!$A$8:$A$47,0))),"")</f>
        <v/>
      </c>
      <c r="I273" s="36">
        <f>IFERROR(IF(INDEX(Overrides!$D$8:$D$47,MATCH(B273,Overrides!$A$8:$A$47,0))="",0,INDEX(Overrides!$D$8:$D$47,MATCH(B273,Overrides!$A$8:$A$47,0))),0)</f>
        <v>0</v>
      </c>
      <c r="J273" s="38">
        <f t="shared" si="29"/>
        <v>1655.014036987619</v>
      </c>
      <c r="K273" s="18">
        <f t="shared" si="30"/>
        <v>1</v>
      </c>
      <c r="L273" s="38">
        <f t="shared" si="31"/>
        <v>1655.014036987619</v>
      </c>
      <c r="M273" s="23">
        <f t="shared" si="32"/>
        <v>1.171513597336584</v>
      </c>
      <c r="N273" s="23">
        <f t="shared" si="33"/>
        <v>0.42048120858425281</v>
      </c>
      <c r="O273" s="6"/>
      <c r="P273" s="18">
        <f t="shared" si="34"/>
        <v>0.49259945328097254</v>
      </c>
    </row>
    <row r="274" spans="1:16" ht="15" customHeight="1" x14ac:dyDescent="0.3">
      <c r="A274" s="7" t="str">
        <f>Raw_Players!A236</f>
        <v>IND</v>
      </c>
      <c r="B274" s="7" t="str">
        <f>Raw_Players!B236</f>
        <v>Andrew Nembhard</v>
      </c>
      <c r="C274" s="37">
        <f>Raw_Players!E236</f>
        <v>-0.7180571146884378</v>
      </c>
      <c r="D274" s="31">
        <f>Raw_Players!F236</f>
        <v>1635.0358180467649</v>
      </c>
      <c r="E274" s="31">
        <f>Raw_Players!G236</f>
        <v>27.26642926705842</v>
      </c>
      <c r="F274" s="31">
        <f>Raw_Players!H236</f>
        <v>59.965160895567372</v>
      </c>
      <c r="G274" s="31" t="str">
        <f>IFERROR(IF(INDEX(Overrides!$B$8:$B$47,MATCH(B274,Overrides!$A$8:$A$47,0))="","",INDEX(Overrides!$B$8:$B$47,MATCH(B274,Overrides!$A$8:$A$47,0))),"")</f>
        <v/>
      </c>
      <c r="H274" s="31" t="str">
        <f>IFERROR(IF(INDEX(Overrides!$C$8:$C$47,MATCH(B274,Overrides!$A$8:$A$47,0))="","",INDEX(Overrides!$C$8:$C$47,MATCH(B274,Overrides!$A$8:$A$47,0))),"")</f>
        <v/>
      </c>
      <c r="I274" s="36">
        <f>IFERROR(IF(INDEX(Overrides!$D$8:$D$47,MATCH(B274,Overrides!$A$8:$A$47,0))="",0,INDEX(Overrides!$D$8:$D$47,MATCH(B274,Overrides!$A$8:$A$47,0))),0)</f>
        <v>0</v>
      </c>
      <c r="J274" s="38">
        <f t="shared" si="29"/>
        <v>1635.0358180467649</v>
      </c>
      <c r="K274" s="18">
        <f t="shared" si="30"/>
        <v>1</v>
      </c>
      <c r="L274" s="38">
        <f t="shared" si="31"/>
        <v>1635.0358180467649</v>
      </c>
      <c r="M274" s="23">
        <f t="shared" si="32"/>
        <v>-0.7180571146884378</v>
      </c>
      <c r="N274" s="23">
        <f t="shared" si="33"/>
        <v>0.415405441576922</v>
      </c>
      <c r="O274" s="6"/>
      <c r="P274" s="18">
        <f t="shared" si="34"/>
        <v>-0.29828483280460105</v>
      </c>
    </row>
    <row r="275" spans="1:16" ht="15" customHeight="1" x14ac:dyDescent="0.3">
      <c r="A275" s="7" t="str">
        <f>Raw_Players!A237</f>
        <v>IND</v>
      </c>
      <c r="B275" s="7" t="str">
        <f>Raw_Players!B237</f>
        <v>Tyrese Haliburton</v>
      </c>
      <c r="C275" s="37">
        <f>Raw_Players!E237</f>
        <v>4.4255491298696477</v>
      </c>
      <c r="D275" s="31">
        <f>Raw_Players!F237</f>
        <v>1584.0202743265879</v>
      </c>
      <c r="E275" s="31">
        <f>Raw_Players!G237</f>
        <v>30.261034551294308</v>
      </c>
      <c r="F275" s="31">
        <f>Raw_Players!H237</f>
        <v>52.345212178439454</v>
      </c>
      <c r="G275" s="31" t="str">
        <f>IFERROR(IF(INDEX(Overrides!$B$8:$B$47,MATCH(B275,Overrides!$A$8:$A$47,0))="","",INDEX(Overrides!$B$8:$B$47,MATCH(B275,Overrides!$A$8:$A$47,0))),"")</f>
        <v/>
      </c>
      <c r="H275" s="31" t="str">
        <f>IFERROR(IF(INDEX(Overrides!$C$8:$C$47,MATCH(B275,Overrides!$A$8:$A$47,0))="","",INDEX(Overrides!$C$8:$C$47,MATCH(B275,Overrides!$A$8:$A$47,0))),"")</f>
        <v/>
      </c>
      <c r="I275" s="36">
        <f>IFERROR(IF(INDEX(Overrides!$D$8:$D$47,MATCH(B275,Overrides!$A$8:$A$47,0))="",0,INDEX(Overrides!$D$8:$D$47,MATCH(B275,Overrides!$A$8:$A$47,0))),0)</f>
        <v>0</v>
      </c>
      <c r="J275" s="38">
        <f t="shared" si="29"/>
        <v>1584.0202743265879</v>
      </c>
      <c r="K275" s="18">
        <f t="shared" si="30"/>
        <v>1</v>
      </c>
      <c r="L275" s="38">
        <f t="shared" si="31"/>
        <v>1584.0202743265879</v>
      </c>
      <c r="M275" s="23">
        <f t="shared" si="32"/>
        <v>4.4255491298696477</v>
      </c>
      <c r="N275" s="23">
        <f t="shared" si="33"/>
        <v>0.4024441753878526</v>
      </c>
      <c r="O275" s="6"/>
      <c r="P275" s="18">
        <f t="shared" si="34"/>
        <v>1.7810364702088188</v>
      </c>
    </row>
    <row r="276" spans="1:16" ht="15" customHeight="1" x14ac:dyDescent="0.3">
      <c r="A276" s="7" t="str">
        <f>Raw_Players!A238</f>
        <v>IND</v>
      </c>
      <c r="B276" s="7" t="str">
        <f>Raw_Players!B238</f>
        <v>Aaron Nesmith</v>
      </c>
      <c r="C276" s="37">
        <f>Raw_Players!E238</f>
        <v>-0.80228749849536274</v>
      </c>
      <c r="D276" s="31">
        <f>Raw_Players!F238</f>
        <v>1421.5066373227769</v>
      </c>
      <c r="E276" s="31">
        <f>Raw_Players!G238</f>
        <v>25.806959488983509</v>
      </c>
      <c r="F276" s="31">
        <f>Raw_Players!H238</f>
        <v>55.082298165717297</v>
      </c>
      <c r="G276" s="31" t="str">
        <f>IFERROR(IF(INDEX(Overrides!$B$8:$B$47,MATCH(B276,Overrides!$A$8:$A$47,0))="","",INDEX(Overrides!$B$8:$B$47,MATCH(B276,Overrides!$A$8:$A$47,0))),"")</f>
        <v/>
      </c>
      <c r="H276" s="31" t="str">
        <f>IFERROR(IF(INDEX(Overrides!$C$8:$C$47,MATCH(B276,Overrides!$A$8:$A$47,0))="","",INDEX(Overrides!$C$8:$C$47,MATCH(B276,Overrides!$A$8:$A$47,0))),"")</f>
        <v/>
      </c>
      <c r="I276" s="36">
        <f>IFERROR(IF(INDEX(Overrides!$D$8:$D$47,MATCH(B276,Overrides!$A$8:$A$47,0))="",0,INDEX(Overrides!$D$8:$D$47,MATCH(B276,Overrides!$A$8:$A$47,0))),0)</f>
        <v>0</v>
      </c>
      <c r="J276" s="38">
        <f t="shared" si="29"/>
        <v>1421.5066373227769</v>
      </c>
      <c r="K276" s="18">
        <f t="shared" si="30"/>
        <v>1</v>
      </c>
      <c r="L276" s="38">
        <f t="shared" si="31"/>
        <v>1421.5066373227769</v>
      </c>
      <c r="M276" s="23">
        <f t="shared" si="32"/>
        <v>-0.80228749849536274</v>
      </c>
      <c r="N276" s="23">
        <f t="shared" si="33"/>
        <v>0.36115514159623396</v>
      </c>
      <c r="O276" s="6"/>
      <c r="P276" s="18">
        <f t="shared" si="34"/>
        <v>-0.28975025511998109</v>
      </c>
    </row>
    <row r="277" spans="1:16" ht="15" customHeight="1" x14ac:dyDescent="0.3">
      <c r="A277" s="7" t="str">
        <f>Raw_Players!A239</f>
        <v>IND</v>
      </c>
      <c r="B277" s="7" t="str">
        <f>Raw_Players!B239</f>
        <v>Jarace Walker</v>
      </c>
      <c r="C277" s="37">
        <f>Raw_Players!E239</f>
        <v>-1.6663051931730291</v>
      </c>
      <c r="D277" s="31">
        <f>Raw_Players!F239</f>
        <v>1305.675540387783</v>
      </c>
      <c r="E277" s="31">
        <f>Raw_Players!G239</f>
        <v>19.770259944710372</v>
      </c>
      <c r="F277" s="31">
        <f>Raw_Players!H239</f>
        <v>66.042406323399035</v>
      </c>
      <c r="G277" s="31" t="str">
        <f>IFERROR(IF(INDEX(Overrides!$B$8:$B$47,MATCH(B277,Overrides!$A$8:$A$47,0))="","",INDEX(Overrides!$B$8:$B$47,MATCH(B277,Overrides!$A$8:$A$47,0))),"")</f>
        <v/>
      </c>
      <c r="H277" s="31" t="str">
        <f>IFERROR(IF(INDEX(Overrides!$C$8:$C$47,MATCH(B277,Overrides!$A$8:$A$47,0))="","",INDEX(Overrides!$C$8:$C$47,MATCH(B277,Overrides!$A$8:$A$47,0))),"")</f>
        <v/>
      </c>
      <c r="I277" s="36">
        <f>IFERROR(IF(INDEX(Overrides!$D$8:$D$47,MATCH(B277,Overrides!$A$8:$A$47,0))="",0,INDEX(Overrides!$D$8:$D$47,MATCH(B277,Overrides!$A$8:$A$47,0))),0)</f>
        <v>0</v>
      </c>
      <c r="J277" s="38">
        <f t="shared" si="29"/>
        <v>1305.675540387783</v>
      </c>
      <c r="K277" s="18">
        <f t="shared" si="30"/>
        <v>1</v>
      </c>
      <c r="L277" s="38">
        <f t="shared" si="31"/>
        <v>1305.675540387783</v>
      </c>
      <c r="M277" s="23">
        <f t="shared" si="32"/>
        <v>-1.6663051931730291</v>
      </c>
      <c r="N277" s="23">
        <f t="shared" si="33"/>
        <v>0.33172650924486358</v>
      </c>
      <c r="O277" s="6"/>
      <c r="P277" s="18">
        <f t="shared" si="34"/>
        <v>-0.55275760506787697</v>
      </c>
    </row>
    <row r="278" spans="1:16" ht="15" customHeight="1" x14ac:dyDescent="0.3">
      <c r="A278" s="7" t="str">
        <f>Raw_Players!A240</f>
        <v>IND</v>
      </c>
      <c r="B278" s="7" t="str">
        <f>Raw_Players!B240</f>
        <v>Ben Sheppard</v>
      </c>
      <c r="C278" s="37">
        <f>Raw_Players!E240</f>
        <v>-1.690040425914427</v>
      </c>
      <c r="D278" s="31">
        <f>Raw_Players!F240</f>
        <v>1149.6465591425231</v>
      </c>
      <c r="E278" s="31">
        <f>Raw_Players!G240</f>
        <v>18.5565714271502</v>
      </c>
      <c r="F278" s="31">
        <f>Raw_Players!H240</f>
        <v>61.95360838373783</v>
      </c>
      <c r="G278" s="31" t="str">
        <f>IFERROR(IF(INDEX(Overrides!$B$8:$B$47,MATCH(B278,Overrides!$A$8:$A$47,0))="","",INDEX(Overrides!$B$8:$B$47,MATCH(B278,Overrides!$A$8:$A$47,0))),"")</f>
        <v/>
      </c>
      <c r="H278" s="31" t="str">
        <f>IFERROR(IF(INDEX(Overrides!$C$8:$C$47,MATCH(B278,Overrides!$A$8:$A$47,0))="","",INDEX(Overrides!$C$8:$C$47,MATCH(B278,Overrides!$A$8:$A$47,0))),"")</f>
        <v/>
      </c>
      <c r="I278" s="36">
        <f>IFERROR(IF(INDEX(Overrides!$D$8:$D$47,MATCH(B278,Overrides!$A$8:$A$47,0))="",0,INDEX(Overrides!$D$8:$D$47,MATCH(B278,Overrides!$A$8:$A$47,0))),0)</f>
        <v>0</v>
      </c>
      <c r="J278" s="38">
        <f t="shared" si="29"/>
        <v>1149.6465591425231</v>
      </c>
      <c r="K278" s="18">
        <f t="shared" si="30"/>
        <v>1</v>
      </c>
      <c r="L278" s="38">
        <f t="shared" si="31"/>
        <v>1149.6465591425231</v>
      </c>
      <c r="M278" s="23">
        <f t="shared" si="32"/>
        <v>-1.690040425914427</v>
      </c>
      <c r="N278" s="23">
        <f t="shared" si="33"/>
        <v>0.29208499978214508</v>
      </c>
      <c r="O278" s="6"/>
      <c r="P278" s="18">
        <f t="shared" si="34"/>
        <v>-0.49363545743503179</v>
      </c>
    </row>
    <row r="279" spans="1:16" ht="15" customHeight="1" x14ac:dyDescent="0.3">
      <c r="A279" s="7" t="str">
        <f>Raw_Players!A241</f>
        <v>IND</v>
      </c>
      <c r="B279" s="7" t="str">
        <f>Raw_Players!B241</f>
        <v>Jay Huff</v>
      </c>
      <c r="C279" s="37">
        <f>Raw_Players!E241</f>
        <v>0.21608799113452559</v>
      </c>
      <c r="D279" s="31">
        <f>Raw_Players!F241</f>
        <v>1063.990528602317</v>
      </c>
      <c r="E279" s="31">
        <f>Raw_Players!G241</f>
        <v>16.265246628854388</v>
      </c>
      <c r="F279" s="31">
        <f>Raw_Players!H241</f>
        <v>65.41496436425426</v>
      </c>
      <c r="G279" s="31" t="str">
        <f>IFERROR(IF(INDEX(Overrides!$B$8:$B$47,MATCH(B279,Overrides!$A$8:$A$47,0))="","",INDEX(Overrides!$B$8:$B$47,MATCH(B279,Overrides!$A$8:$A$47,0))),"")</f>
        <v/>
      </c>
      <c r="H279" s="31" t="str">
        <f>IFERROR(IF(INDEX(Overrides!$C$8:$C$47,MATCH(B279,Overrides!$A$8:$A$47,0))="","",INDEX(Overrides!$C$8:$C$47,MATCH(B279,Overrides!$A$8:$A$47,0))),"")</f>
        <v/>
      </c>
      <c r="I279" s="36">
        <f>IFERROR(IF(INDEX(Overrides!$D$8:$D$47,MATCH(B279,Overrides!$A$8:$A$47,0))="",0,INDEX(Overrides!$D$8:$D$47,MATCH(B279,Overrides!$A$8:$A$47,0))),0)</f>
        <v>0</v>
      </c>
      <c r="J279" s="38">
        <f t="shared" si="29"/>
        <v>1063.990528602317</v>
      </c>
      <c r="K279" s="18">
        <f t="shared" si="30"/>
        <v>1</v>
      </c>
      <c r="L279" s="38">
        <f t="shared" si="31"/>
        <v>1063.990528602317</v>
      </c>
      <c r="M279" s="23">
        <f t="shared" si="32"/>
        <v>0.21608799113452559</v>
      </c>
      <c r="N279" s="23">
        <f t="shared" si="33"/>
        <v>0.2703227969009952</v>
      </c>
      <c r="O279" s="6"/>
      <c r="P279" s="18">
        <f t="shared" si="34"/>
        <v>5.8413510140202414E-2</v>
      </c>
    </row>
    <row r="280" spans="1:16" ht="15" customHeight="1" x14ac:dyDescent="0.3">
      <c r="A280" s="7" t="str">
        <f>Raw_Players!A242</f>
        <v>IND</v>
      </c>
      <c r="B280" s="7" t="str">
        <f>Raw_Players!B242</f>
        <v>T.J. McConnell</v>
      </c>
      <c r="C280" s="37">
        <f>Raw_Players!E242</f>
        <v>0.1673774669374411</v>
      </c>
      <c r="D280" s="31">
        <f>Raw_Players!F242</f>
        <v>979.11192468247918</v>
      </c>
      <c r="E280" s="31">
        <f>Raw_Players!G242</f>
        <v>16.818973396453181</v>
      </c>
      <c r="F280" s="31">
        <f>Raw_Players!H242</f>
        <v>58.214725810135128</v>
      </c>
      <c r="G280" s="31" t="str">
        <f>IFERROR(IF(INDEX(Overrides!$B$8:$B$47,MATCH(B280,Overrides!$A$8:$A$47,0))="","",INDEX(Overrides!$B$8:$B$47,MATCH(B280,Overrides!$A$8:$A$47,0))),"")</f>
        <v/>
      </c>
      <c r="H280" s="31" t="str">
        <f>IFERROR(IF(INDEX(Overrides!$C$8:$C$47,MATCH(B280,Overrides!$A$8:$A$47,0))="","",INDEX(Overrides!$C$8:$C$47,MATCH(B280,Overrides!$A$8:$A$47,0))),"")</f>
        <v/>
      </c>
      <c r="I280" s="36">
        <f>IFERROR(IF(INDEX(Overrides!$D$8:$D$47,MATCH(B280,Overrides!$A$8:$A$47,0))="",0,INDEX(Overrides!$D$8:$D$47,MATCH(B280,Overrides!$A$8:$A$47,0))),0)</f>
        <v>0</v>
      </c>
      <c r="J280" s="38">
        <f t="shared" si="29"/>
        <v>979.11192468247918</v>
      </c>
      <c r="K280" s="18">
        <f t="shared" si="30"/>
        <v>1</v>
      </c>
      <c r="L280" s="38">
        <f t="shared" si="31"/>
        <v>979.11192468247918</v>
      </c>
      <c r="M280" s="23">
        <f t="shared" si="32"/>
        <v>0.1673774669374411</v>
      </c>
      <c r="N280" s="23">
        <f t="shared" si="33"/>
        <v>0.24875811094575181</v>
      </c>
      <c r="O280" s="6"/>
      <c r="P280" s="18">
        <f t="shared" si="34"/>
        <v>4.163650249024288E-2</v>
      </c>
    </row>
    <row r="281" spans="1:16" ht="15" customHeight="1" x14ac:dyDescent="0.3">
      <c r="A281" s="7" t="str">
        <f>Raw_Players!A243</f>
        <v>IND</v>
      </c>
      <c r="B281" s="7" t="str">
        <f>Raw_Players!B243</f>
        <v>Obi Toppin</v>
      </c>
      <c r="C281" s="37">
        <f>Raw_Players!E243</f>
        <v>0.60738753180448868</v>
      </c>
      <c r="D281" s="31">
        <f>Raw_Players!F243</f>
        <v>971.38541712728556</v>
      </c>
      <c r="E281" s="31">
        <f>Raw_Players!G243</f>
        <v>18.494195844279648</v>
      </c>
      <c r="F281" s="31">
        <f>Raw_Players!H243</f>
        <v>52.523798563955403</v>
      </c>
      <c r="G281" s="31" t="str">
        <f>IFERROR(IF(INDEX(Overrides!$B$8:$B$47,MATCH(B281,Overrides!$A$8:$A$47,0))="","",INDEX(Overrides!$B$8:$B$47,MATCH(B281,Overrides!$A$8:$A$47,0))),"")</f>
        <v/>
      </c>
      <c r="H281" s="31" t="str">
        <f>IFERROR(IF(INDEX(Overrides!$C$8:$C$47,MATCH(B281,Overrides!$A$8:$A$47,0))="","",INDEX(Overrides!$C$8:$C$47,MATCH(B281,Overrides!$A$8:$A$47,0))),"")</f>
        <v/>
      </c>
      <c r="I281" s="36">
        <f>IFERROR(IF(INDEX(Overrides!$D$8:$D$47,MATCH(B281,Overrides!$A$8:$A$47,0))="",0,INDEX(Overrides!$D$8:$D$47,MATCH(B281,Overrides!$A$8:$A$47,0))),0)</f>
        <v>0</v>
      </c>
      <c r="J281" s="38">
        <f t="shared" si="29"/>
        <v>971.38541712728556</v>
      </c>
      <c r="K281" s="18">
        <f t="shared" si="30"/>
        <v>1</v>
      </c>
      <c r="L281" s="38">
        <f t="shared" si="31"/>
        <v>971.38541712728556</v>
      </c>
      <c r="M281" s="23">
        <f t="shared" si="32"/>
        <v>0.60738753180448868</v>
      </c>
      <c r="N281" s="23">
        <f t="shared" si="33"/>
        <v>0.24679507548965587</v>
      </c>
      <c r="O281" s="6"/>
      <c r="P281" s="18">
        <f t="shared" si="34"/>
        <v>0.14990025176316454</v>
      </c>
    </row>
    <row r="282" spans="1:16" ht="15" customHeight="1" x14ac:dyDescent="0.3">
      <c r="A282" s="7" t="str">
        <f>Raw_Players!A244</f>
        <v>IND</v>
      </c>
      <c r="B282" s="7" t="str">
        <f>Raw_Players!B244</f>
        <v>Quenton Jackson</v>
      </c>
      <c r="C282" s="37">
        <f>Raw_Players!E244</f>
        <v>-1.249901719594791</v>
      </c>
      <c r="D282" s="31">
        <f>Raw_Players!F244</f>
        <v>848.32381165921277</v>
      </c>
      <c r="E282" s="31">
        <f>Raw_Players!G244</f>
        <v>15.695546969455989</v>
      </c>
      <c r="F282" s="31">
        <f>Raw_Players!H244</f>
        <v>54.048693767096921</v>
      </c>
      <c r="G282" s="31" t="str">
        <f>IFERROR(IF(INDEX(Overrides!$B$8:$B$47,MATCH(B282,Overrides!$A$8:$A$47,0))="","",INDEX(Overrides!$B$8:$B$47,MATCH(B282,Overrides!$A$8:$A$47,0))),"")</f>
        <v/>
      </c>
      <c r="H282" s="31" t="str">
        <f>IFERROR(IF(INDEX(Overrides!$C$8:$C$47,MATCH(B282,Overrides!$A$8:$A$47,0))="","",INDEX(Overrides!$C$8:$C$47,MATCH(B282,Overrides!$A$8:$A$47,0))),"")</f>
        <v/>
      </c>
      <c r="I282" s="36">
        <f>IFERROR(IF(INDEX(Overrides!$D$8:$D$47,MATCH(B282,Overrides!$A$8:$A$47,0))="",0,INDEX(Overrides!$D$8:$D$47,MATCH(B282,Overrides!$A$8:$A$47,0))),0)</f>
        <v>0</v>
      </c>
      <c r="J282" s="38">
        <f t="shared" si="29"/>
        <v>848.32381165921277</v>
      </c>
      <c r="K282" s="18">
        <f t="shared" si="30"/>
        <v>1</v>
      </c>
      <c r="L282" s="38">
        <f t="shared" si="31"/>
        <v>848.32381165921277</v>
      </c>
      <c r="M282" s="23">
        <f t="shared" si="32"/>
        <v>-1.249901719594791</v>
      </c>
      <c r="N282" s="23">
        <f t="shared" si="33"/>
        <v>0.21552942369390568</v>
      </c>
      <c r="O282" s="6"/>
      <c r="P282" s="18">
        <f t="shared" si="34"/>
        <v>-0.26939059729828702</v>
      </c>
    </row>
    <row r="283" spans="1:16" ht="15" customHeight="1" x14ac:dyDescent="0.3">
      <c r="A283" s="7" t="str">
        <f>Raw_Players!A245</f>
        <v>IND</v>
      </c>
      <c r="B283" s="7" t="str">
        <f>Raw_Players!B245</f>
        <v>Larry Nance Jr.</v>
      </c>
      <c r="C283" s="37">
        <f>Raw_Players!E245</f>
        <v>-1.7541800598686961</v>
      </c>
      <c r="D283" s="31">
        <f>Raw_Players!F245</f>
        <v>745.01498400048354</v>
      </c>
      <c r="E283" s="31">
        <f>Raw_Players!G245</f>
        <v>15.42502767554436</v>
      </c>
      <c r="F283" s="31">
        <f>Raw_Players!H245</f>
        <v>48.299101931704719</v>
      </c>
      <c r="G283" s="31" t="str">
        <f>IFERROR(IF(INDEX(Overrides!$B$8:$B$47,MATCH(B283,Overrides!$A$8:$A$47,0))="","",INDEX(Overrides!$B$8:$B$47,MATCH(B283,Overrides!$A$8:$A$47,0))),"")</f>
        <v/>
      </c>
      <c r="H283" s="31" t="str">
        <f>IFERROR(IF(INDEX(Overrides!$C$8:$C$47,MATCH(B283,Overrides!$A$8:$A$47,0))="","",INDEX(Overrides!$C$8:$C$47,MATCH(B283,Overrides!$A$8:$A$47,0))),"")</f>
        <v/>
      </c>
      <c r="I283" s="36">
        <f>IFERROR(IF(INDEX(Overrides!$D$8:$D$47,MATCH(B283,Overrides!$A$8:$A$47,0))="",0,INDEX(Overrides!$D$8:$D$47,MATCH(B283,Overrides!$A$8:$A$47,0))),0)</f>
        <v>0</v>
      </c>
      <c r="J283" s="38">
        <f t="shared" si="29"/>
        <v>745.01498400048354</v>
      </c>
      <c r="K283" s="18">
        <f t="shared" si="30"/>
        <v>1</v>
      </c>
      <c r="L283" s="38">
        <f t="shared" si="31"/>
        <v>745.01498400048354</v>
      </c>
      <c r="M283" s="23">
        <f t="shared" si="32"/>
        <v>-1.7541800598686961</v>
      </c>
      <c r="N283" s="23">
        <f t="shared" si="33"/>
        <v>0.1892822621952448</v>
      </c>
      <c r="O283" s="6"/>
      <c r="P283" s="18">
        <f t="shared" si="34"/>
        <v>-0.33203517002973676</v>
      </c>
    </row>
    <row r="284" spans="1:16" ht="15" customHeight="1" x14ac:dyDescent="0.3">
      <c r="A284" s="7" t="str">
        <f>Raw_Players!A246</f>
        <v>IND</v>
      </c>
      <c r="B284" s="7" t="str">
        <f>Raw_Players!B246</f>
        <v>Kobe Brown</v>
      </c>
      <c r="C284" s="37">
        <f>Raw_Players!E246</f>
        <v>-1.6614578678949541</v>
      </c>
      <c r="D284" s="31">
        <f>Raw_Players!F246</f>
        <v>714.98055714286511</v>
      </c>
      <c r="E284" s="31">
        <f>Raw_Players!G246</f>
        <v>12.193205527041719</v>
      </c>
      <c r="F284" s="31">
        <f>Raw_Players!H246</f>
        <v>58.637620399098751</v>
      </c>
      <c r="G284" s="31" t="str">
        <f>IFERROR(IF(INDEX(Overrides!$B$8:$B$47,MATCH(B284,Overrides!$A$8:$A$47,0))="","",INDEX(Overrides!$B$8:$B$47,MATCH(B284,Overrides!$A$8:$A$47,0))),"")</f>
        <v/>
      </c>
      <c r="H284" s="31" t="str">
        <f>IFERROR(IF(INDEX(Overrides!$C$8:$C$47,MATCH(B284,Overrides!$A$8:$A$47,0))="","",INDEX(Overrides!$C$8:$C$47,MATCH(B284,Overrides!$A$8:$A$47,0))),"")</f>
        <v/>
      </c>
      <c r="I284" s="36">
        <f>IFERROR(IF(INDEX(Overrides!$D$8:$D$47,MATCH(B284,Overrides!$A$8:$A$47,0))="",0,INDEX(Overrides!$D$8:$D$47,MATCH(B284,Overrides!$A$8:$A$47,0))),0)</f>
        <v>0</v>
      </c>
      <c r="J284" s="38">
        <f t="shared" si="29"/>
        <v>714.98055714286511</v>
      </c>
      <c r="K284" s="18">
        <f t="shared" si="30"/>
        <v>1</v>
      </c>
      <c r="L284" s="38">
        <f t="shared" si="31"/>
        <v>714.98055714286511</v>
      </c>
      <c r="M284" s="23">
        <f t="shared" si="32"/>
        <v>-1.6614578678949541</v>
      </c>
      <c r="N284" s="23">
        <f t="shared" si="33"/>
        <v>0.18165156431475232</v>
      </c>
      <c r="O284" s="6"/>
      <c r="P284" s="18">
        <f t="shared" si="34"/>
        <v>-0.30180642074617153</v>
      </c>
    </row>
    <row r="285" spans="1:16" ht="15" customHeight="1" x14ac:dyDescent="0.3">
      <c r="A285" s="7" t="str">
        <f>Raw_Players!A247</f>
        <v>IND</v>
      </c>
      <c r="B285" s="7" t="str">
        <f>Raw_Players!B247</f>
        <v>Jalen Slawson</v>
      </c>
      <c r="C285" s="37">
        <f>Raw_Players!E247</f>
        <v>-0.72135507787220243</v>
      </c>
      <c r="D285" s="31">
        <f>Raw_Players!F247</f>
        <v>695.10730203449236</v>
      </c>
      <c r="E285" s="31">
        <f>Raw_Players!G247</f>
        <v>15.779181820538501</v>
      </c>
      <c r="F285" s="31">
        <f>Raw_Players!H247</f>
        <v>44.052176465178121</v>
      </c>
      <c r="G285" s="31" t="str">
        <f>IFERROR(IF(INDEX(Overrides!$B$8:$B$47,MATCH(B285,Overrides!$A$8:$A$47,0))="","",INDEX(Overrides!$B$8:$B$47,MATCH(B285,Overrides!$A$8:$A$47,0))),"")</f>
        <v/>
      </c>
      <c r="H285" s="31" t="str">
        <f>IFERROR(IF(INDEX(Overrides!$C$8:$C$47,MATCH(B285,Overrides!$A$8:$A$47,0))="","",INDEX(Overrides!$C$8:$C$47,MATCH(B285,Overrides!$A$8:$A$47,0))),"")</f>
        <v/>
      </c>
      <c r="I285" s="36">
        <f>IFERROR(IF(INDEX(Overrides!$D$8:$D$47,MATCH(B285,Overrides!$A$8:$A$47,0))="",0,INDEX(Overrides!$D$8:$D$47,MATCH(B285,Overrides!$A$8:$A$47,0))),0)</f>
        <v>0</v>
      </c>
      <c r="J285" s="38">
        <f t="shared" si="29"/>
        <v>695.10730203449236</v>
      </c>
      <c r="K285" s="18">
        <f t="shared" si="30"/>
        <v>1</v>
      </c>
      <c r="L285" s="38">
        <f t="shared" si="31"/>
        <v>695.10730203449236</v>
      </c>
      <c r="M285" s="23">
        <f t="shared" si="32"/>
        <v>-0.72135507787220243</v>
      </c>
      <c r="N285" s="23">
        <f t="shared" si="33"/>
        <v>0.1766024649477877</v>
      </c>
      <c r="O285" s="6"/>
      <c r="P285" s="18">
        <f t="shared" si="34"/>
        <v>-0.1273930848548343</v>
      </c>
    </row>
    <row r="286" spans="1:16" ht="15" customHeight="1" x14ac:dyDescent="0.3">
      <c r="A286" s="7" t="str">
        <f>Raw_Players!A248</f>
        <v>IND</v>
      </c>
      <c r="B286" s="7" t="str">
        <f>Raw_Players!B248</f>
        <v>Braden Smith</v>
      </c>
      <c r="C286" s="37">
        <f>Raw_Players!E248</f>
        <v>-2.726623496280141</v>
      </c>
      <c r="D286" s="31">
        <f>Raw_Players!F248</f>
        <v>537.03210581084772</v>
      </c>
      <c r="E286" s="31">
        <f>Raw_Players!G248</f>
        <v>14.61547071636484</v>
      </c>
      <c r="F286" s="31">
        <f>Raw_Players!H248</f>
        <v>36.74408551272569</v>
      </c>
      <c r="G286" s="31" t="str">
        <f>IFERROR(IF(INDEX(Overrides!$B$8:$B$47,MATCH(B286,Overrides!$A$8:$A$47,0))="","",INDEX(Overrides!$B$8:$B$47,MATCH(B286,Overrides!$A$8:$A$47,0))),"")</f>
        <v/>
      </c>
      <c r="H286" s="31" t="str">
        <f>IFERROR(IF(INDEX(Overrides!$C$8:$C$47,MATCH(B286,Overrides!$A$8:$A$47,0))="","",INDEX(Overrides!$C$8:$C$47,MATCH(B286,Overrides!$A$8:$A$47,0))),"")</f>
        <v/>
      </c>
      <c r="I286" s="36">
        <f>IFERROR(IF(INDEX(Overrides!$D$8:$D$47,MATCH(B286,Overrides!$A$8:$A$47,0))="",0,INDEX(Overrides!$D$8:$D$47,MATCH(B286,Overrides!$A$8:$A$47,0))),0)</f>
        <v>0</v>
      </c>
      <c r="J286" s="38">
        <f t="shared" si="29"/>
        <v>537.03210581084772</v>
      </c>
      <c r="K286" s="18">
        <f t="shared" si="30"/>
        <v>1</v>
      </c>
      <c r="L286" s="38">
        <f t="shared" si="31"/>
        <v>537.03210581084772</v>
      </c>
      <c r="M286" s="23">
        <f t="shared" si="32"/>
        <v>-2.726623496280141</v>
      </c>
      <c r="N286" s="23">
        <f t="shared" si="33"/>
        <v>0.13644108379340644</v>
      </c>
      <c r="O286" s="6"/>
      <c r="P286" s="18">
        <f t="shared" si="34"/>
        <v>-0.37202346492902955</v>
      </c>
    </row>
    <row r="287" spans="1:16" ht="15" customHeight="1" x14ac:dyDescent="0.3">
      <c r="A287" s="7" t="str">
        <f>Raw_Players!A249</f>
        <v>IND</v>
      </c>
      <c r="B287" s="7" t="str">
        <f>Raw_Players!B249</f>
        <v>Johnny Furphy</v>
      </c>
      <c r="C287" s="37">
        <f>Raw_Players!E249</f>
        <v>-1.1943613821090029</v>
      </c>
      <c r="D287" s="31">
        <f>Raw_Players!F249</f>
        <v>456.54592683354957</v>
      </c>
      <c r="E287" s="31">
        <f>Raw_Players!G249</f>
        <v>13.62567431185512</v>
      </c>
      <c r="F287" s="31">
        <f>Raw_Players!H249</f>
        <v>33.506299679886538</v>
      </c>
      <c r="G287" s="31" t="str">
        <f>IFERROR(IF(INDEX(Overrides!$B$8:$B$47,MATCH(B287,Overrides!$A$8:$A$47,0))="","",INDEX(Overrides!$B$8:$B$47,MATCH(B287,Overrides!$A$8:$A$47,0))),"")</f>
        <v/>
      </c>
      <c r="H287" s="31" t="str">
        <f>IFERROR(IF(INDEX(Overrides!$C$8:$C$47,MATCH(B287,Overrides!$A$8:$A$47,0))="","",INDEX(Overrides!$C$8:$C$47,MATCH(B287,Overrides!$A$8:$A$47,0))),"")</f>
        <v/>
      </c>
      <c r="I287" s="36">
        <f>IFERROR(IF(INDEX(Overrides!$D$8:$D$47,MATCH(B287,Overrides!$A$8:$A$47,0))="",0,INDEX(Overrides!$D$8:$D$47,MATCH(B287,Overrides!$A$8:$A$47,0))),0)</f>
        <v>0</v>
      </c>
      <c r="J287" s="38">
        <f t="shared" si="29"/>
        <v>456.54592683354957</v>
      </c>
      <c r="K287" s="18">
        <f t="shared" si="30"/>
        <v>1</v>
      </c>
      <c r="L287" s="38">
        <f t="shared" si="31"/>
        <v>456.54592683354957</v>
      </c>
      <c r="M287" s="23">
        <f t="shared" si="32"/>
        <v>-1.1943613821090029</v>
      </c>
      <c r="N287" s="23">
        <f t="shared" si="33"/>
        <v>0.11599235945974329</v>
      </c>
      <c r="O287" s="6"/>
      <c r="P287" s="18">
        <f t="shared" si="34"/>
        <v>-0.13853679475842326</v>
      </c>
    </row>
    <row r="288" spans="1:16" ht="15" customHeight="1" x14ac:dyDescent="0.3">
      <c r="A288" s="7" t="str">
        <f>Raw_Players!A250</f>
        <v>IND</v>
      </c>
      <c r="B288" s="7" t="str">
        <f>Raw_Players!B250</f>
        <v>James Johnson</v>
      </c>
      <c r="C288" s="37">
        <f>Raw_Players!E250</f>
        <v>-3.1950332429307209</v>
      </c>
      <c r="D288" s="31">
        <f>Raw_Players!F250</f>
        <v>212.30027316270991</v>
      </c>
      <c r="E288" s="31">
        <f>Raw_Players!G250</f>
        <v>6.9977650610393756</v>
      </c>
      <c r="F288" s="31">
        <f>Raw_Players!H250</f>
        <v>30.338296772023529</v>
      </c>
      <c r="G288" s="31" t="str">
        <f>IFERROR(IF(INDEX(Overrides!$B$8:$B$47,MATCH(B288,Overrides!$A$8:$A$47,0))="","",INDEX(Overrides!$B$8:$B$47,MATCH(B288,Overrides!$A$8:$A$47,0))),"")</f>
        <v/>
      </c>
      <c r="H288" s="31" t="str">
        <f>IFERROR(IF(INDEX(Overrides!$C$8:$C$47,MATCH(B288,Overrides!$A$8:$A$47,0))="","",INDEX(Overrides!$C$8:$C$47,MATCH(B288,Overrides!$A$8:$A$47,0))),"")</f>
        <v/>
      </c>
      <c r="I288" s="36">
        <f>IFERROR(IF(INDEX(Overrides!$D$8:$D$47,MATCH(B288,Overrides!$A$8:$A$47,0))="",0,INDEX(Overrides!$D$8:$D$47,MATCH(B288,Overrides!$A$8:$A$47,0))),0)</f>
        <v>0</v>
      </c>
      <c r="J288" s="38">
        <f t="shared" si="29"/>
        <v>212.30027316270991</v>
      </c>
      <c r="K288" s="18">
        <f t="shared" si="30"/>
        <v>1</v>
      </c>
      <c r="L288" s="38">
        <f t="shared" si="31"/>
        <v>212.30027316270991</v>
      </c>
      <c r="M288" s="23">
        <f t="shared" si="32"/>
        <v>-3.1950332429307209</v>
      </c>
      <c r="N288" s="23">
        <f t="shared" si="33"/>
        <v>5.3938077531176298E-2</v>
      </c>
      <c r="O288" s="6"/>
      <c r="P288" s="18">
        <f t="shared" si="34"/>
        <v>-0.17233395077188285</v>
      </c>
    </row>
    <row r="289" spans="1:16" ht="15" customHeight="1" x14ac:dyDescent="0.3">
      <c r="A289" s="7" t="str">
        <f>Raw_Players!A251</f>
        <v>LAC</v>
      </c>
      <c r="B289" s="7" t="str">
        <f>Raw_Players!B251</f>
        <v>Rui Hachimura</v>
      </c>
      <c r="C289" s="37">
        <f>Raw_Players!E251</f>
        <v>-1.261970516050227</v>
      </c>
      <c r="D289" s="31">
        <f>Raw_Players!F251</f>
        <v>1539.844771486908</v>
      </c>
      <c r="E289" s="31">
        <f>Raw_Players!G251</f>
        <v>24.949816524530078</v>
      </c>
      <c r="F289" s="31">
        <f>Raw_Players!H251</f>
        <v>61.717679165013863</v>
      </c>
      <c r="G289" s="31" t="str">
        <f>IFERROR(IF(INDEX(Overrides!$B$8:$B$47,MATCH(B289,Overrides!$A$8:$A$47,0))="","",INDEX(Overrides!$B$8:$B$47,MATCH(B289,Overrides!$A$8:$A$47,0))),"")</f>
        <v/>
      </c>
      <c r="H289" s="31" t="str">
        <f>IFERROR(IF(INDEX(Overrides!$C$8:$C$47,MATCH(B289,Overrides!$A$8:$A$47,0))="","",INDEX(Overrides!$C$8:$C$47,MATCH(B289,Overrides!$A$8:$A$47,0))),"")</f>
        <v/>
      </c>
      <c r="I289" s="36">
        <f>IFERROR(IF(INDEX(Overrides!$D$8:$D$47,MATCH(B289,Overrides!$A$8:$A$47,0))="",0,INDEX(Overrides!$D$8:$D$47,MATCH(B289,Overrides!$A$8:$A$47,0))),0)</f>
        <v>0</v>
      </c>
      <c r="J289" s="38">
        <f t="shared" si="29"/>
        <v>1539.844771486908</v>
      </c>
      <c r="K289" s="18">
        <f t="shared" si="30"/>
        <v>1</v>
      </c>
      <c r="L289" s="38">
        <f t="shared" si="31"/>
        <v>1539.844771486908</v>
      </c>
      <c r="M289" s="23">
        <f t="shared" si="32"/>
        <v>-1.261970516050227</v>
      </c>
      <c r="N289" s="23">
        <f t="shared" si="33"/>
        <v>0.39122072446313721</v>
      </c>
      <c r="O289" s="6"/>
      <c r="P289" s="18">
        <f t="shared" si="34"/>
        <v>-0.49370901954028895</v>
      </c>
    </row>
    <row r="290" spans="1:16" ht="15" customHeight="1" x14ac:dyDescent="0.3">
      <c r="A290" s="7" t="str">
        <f>Raw_Players!A252</f>
        <v>LAC</v>
      </c>
      <c r="B290" s="7" t="str">
        <f>Raw_Players!B252</f>
        <v>Darius Garland</v>
      </c>
      <c r="C290" s="37">
        <f>Raw_Players!E252</f>
        <v>1.14359563966302</v>
      </c>
      <c r="D290" s="31">
        <f>Raw_Players!F252</f>
        <v>1527.716837709934</v>
      </c>
      <c r="E290" s="31">
        <f>Raw_Players!G252</f>
        <v>26.39367719734355</v>
      </c>
      <c r="F290" s="31">
        <f>Raw_Players!H252</f>
        <v>57.88192476127179</v>
      </c>
      <c r="G290" s="31" t="str">
        <f>IFERROR(IF(INDEX(Overrides!$B$8:$B$47,MATCH(B290,Overrides!$A$8:$A$47,0))="","",INDEX(Overrides!$B$8:$B$47,MATCH(B290,Overrides!$A$8:$A$47,0))),"")</f>
        <v/>
      </c>
      <c r="H290" s="31" t="str">
        <f>IFERROR(IF(INDEX(Overrides!$C$8:$C$47,MATCH(B290,Overrides!$A$8:$A$47,0))="","",INDEX(Overrides!$C$8:$C$47,MATCH(B290,Overrides!$A$8:$A$47,0))),"")</f>
        <v/>
      </c>
      <c r="I290" s="36">
        <f>IFERROR(IF(INDEX(Overrides!$D$8:$D$47,MATCH(B290,Overrides!$A$8:$A$47,0))="",0,INDEX(Overrides!$D$8:$D$47,MATCH(B290,Overrides!$A$8:$A$47,0))),0)</f>
        <v>0</v>
      </c>
      <c r="J290" s="38">
        <f t="shared" si="29"/>
        <v>1527.716837709934</v>
      </c>
      <c r="K290" s="18">
        <f t="shared" si="30"/>
        <v>1</v>
      </c>
      <c r="L290" s="38">
        <f t="shared" si="31"/>
        <v>1527.716837709934</v>
      </c>
      <c r="M290" s="23">
        <f t="shared" si="32"/>
        <v>1.14359563966302</v>
      </c>
      <c r="N290" s="23">
        <f t="shared" si="33"/>
        <v>0.38813944047508486</v>
      </c>
      <c r="O290" s="6"/>
      <c r="P290" s="18">
        <f t="shared" si="34"/>
        <v>0.44387457170855138</v>
      </c>
    </row>
    <row r="291" spans="1:16" ht="15" customHeight="1" x14ac:dyDescent="0.3">
      <c r="A291" s="7" t="str">
        <f>Raw_Players!A253</f>
        <v>LAC</v>
      </c>
      <c r="B291" s="7" t="str">
        <f>Raw_Players!B253</f>
        <v>Brandon Ingram</v>
      </c>
      <c r="C291" s="37">
        <f>Raw_Players!E253</f>
        <v>0.45658623730627529</v>
      </c>
      <c r="D291" s="31">
        <f>Raw_Players!F253</f>
        <v>1517.3796038303781</v>
      </c>
      <c r="E291" s="31">
        <f>Raw_Players!G253</f>
        <v>28.473711971688271</v>
      </c>
      <c r="F291" s="31">
        <f>Raw_Players!H253</f>
        <v>53.290544110972448</v>
      </c>
      <c r="G291" s="31" t="str">
        <f>IFERROR(IF(INDEX(Overrides!$B$8:$B$47,MATCH(B291,Overrides!$A$8:$A$47,0))="","",INDEX(Overrides!$B$8:$B$47,MATCH(B291,Overrides!$A$8:$A$47,0))),"")</f>
        <v/>
      </c>
      <c r="H291" s="31" t="str">
        <f>IFERROR(IF(INDEX(Overrides!$C$8:$C$47,MATCH(B291,Overrides!$A$8:$A$47,0))="","",INDEX(Overrides!$C$8:$C$47,MATCH(B291,Overrides!$A$8:$A$47,0))),"")</f>
        <v/>
      </c>
      <c r="I291" s="36">
        <f>IFERROR(IF(INDEX(Overrides!$D$8:$D$47,MATCH(B291,Overrides!$A$8:$A$47,0))="",0,INDEX(Overrides!$D$8:$D$47,MATCH(B291,Overrides!$A$8:$A$47,0))),0)</f>
        <v>0</v>
      </c>
      <c r="J291" s="38">
        <f t="shared" si="29"/>
        <v>1517.3796038303781</v>
      </c>
      <c r="K291" s="18">
        <f t="shared" si="30"/>
        <v>1</v>
      </c>
      <c r="L291" s="38">
        <f t="shared" si="31"/>
        <v>1517.3796038303781</v>
      </c>
      <c r="M291" s="23">
        <f t="shared" si="32"/>
        <v>0.45658623730627529</v>
      </c>
      <c r="N291" s="23">
        <f t="shared" si="33"/>
        <v>0.3855131107292627</v>
      </c>
      <c r="O291" s="6"/>
      <c r="P291" s="18">
        <f t="shared" si="34"/>
        <v>0.17601998066011151</v>
      </c>
    </row>
    <row r="292" spans="1:16" ht="15" customHeight="1" x14ac:dyDescent="0.3">
      <c r="A292" s="7" t="str">
        <f>Raw_Players!A254</f>
        <v>LAC</v>
      </c>
      <c r="B292" s="7" t="str">
        <f>Raw_Players!B254</f>
        <v>Kris Dunn</v>
      </c>
      <c r="C292" s="37">
        <f>Raw_Players!E254</f>
        <v>-6.2313176271374102E-2</v>
      </c>
      <c r="D292" s="31">
        <f>Raw_Players!F254</f>
        <v>1415.5574457815351</v>
      </c>
      <c r="E292" s="31">
        <f>Raw_Players!G254</f>
        <v>21.699721327215691</v>
      </c>
      <c r="F292" s="31">
        <f>Raw_Players!H254</f>
        <v>65.233899755484401</v>
      </c>
      <c r="G292" s="31" t="str">
        <f>IFERROR(IF(INDEX(Overrides!$B$8:$B$47,MATCH(B292,Overrides!$A$8:$A$47,0))="","",INDEX(Overrides!$B$8:$B$47,MATCH(B292,Overrides!$A$8:$A$47,0))),"")</f>
        <v/>
      </c>
      <c r="H292" s="31" t="str">
        <f>IFERROR(IF(INDEX(Overrides!$C$8:$C$47,MATCH(B292,Overrides!$A$8:$A$47,0))="","",INDEX(Overrides!$C$8:$C$47,MATCH(B292,Overrides!$A$8:$A$47,0))),"")</f>
        <v/>
      </c>
      <c r="I292" s="36">
        <f>IFERROR(IF(INDEX(Overrides!$D$8:$D$47,MATCH(B292,Overrides!$A$8:$A$47,0))="",0,INDEX(Overrides!$D$8:$D$47,MATCH(B292,Overrides!$A$8:$A$47,0))),0)</f>
        <v>0</v>
      </c>
      <c r="J292" s="38">
        <f t="shared" si="29"/>
        <v>1415.5574457815351</v>
      </c>
      <c r="K292" s="18">
        <f t="shared" si="30"/>
        <v>1</v>
      </c>
      <c r="L292" s="38">
        <f t="shared" si="31"/>
        <v>1415.5574457815351</v>
      </c>
      <c r="M292" s="23">
        <f t="shared" si="32"/>
        <v>-6.2313176271374102E-2</v>
      </c>
      <c r="N292" s="23">
        <f t="shared" si="33"/>
        <v>0.35964366000547132</v>
      </c>
      <c r="O292" s="6"/>
      <c r="P292" s="18">
        <f t="shared" si="34"/>
        <v>-2.2410538780803072E-2</v>
      </c>
    </row>
    <row r="293" spans="1:16" ht="15" customHeight="1" x14ac:dyDescent="0.3">
      <c r="A293" s="7" t="str">
        <f>Raw_Players!A255</f>
        <v>LAC</v>
      </c>
      <c r="B293" s="7" t="str">
        <f>Raw_Players!B255</f>
        <v>Keaton Wagler</v>
      </c>
      <c r="C293" s="37">
        <f>Raw_Players!E255</f>
        <v>-1.108497288831308</v>
      </c>
      <c r="D293" s="31">
        <f>Raw_Players!F255</f>
        <v>1407.481170559339</v>
      </c>
      <c r="E293" s="31">
        <f>Raw_Players!G255</f>
        <v>21.92530034610941</v>
      </c>
      <c r="F293" s="31">
        <f>Raw_Players!H255</f>
        <v>64.194384949855134</v>
      </c>
      <c r="G293" s="31" t="str">
        <f>IFERROR(IF(INDEX(Overrides!$B$8:$B$47,MATCH(B293,Overrides!$A$8:$A$47,0))="","",INDEX(Overrides!$B$8:$B$47,MATCH(B293,Overrides!$A$8:$A$47,0))),"")</f>
        <v/>
      </c>
      <c r="H293" s="31" t="str">
        <f>IFERROR(IF(INDEX(Overrides!$C$8:$C$47,MATCH(B293,Overrides!$A$8:$A$47,0))="","",INDEX(Overrides!$C$8:$C$47,MATCH(B293,Overrides!$A$8:$A$47,0))),"")</f>
        <v/>
      </c>
      <c r="I293" s="36">
        <f>IFERROR(IF(INDEX(Overrides!$D$8:$D$47,MATCH(B293,Overrides!$A$8:$A$47,0))="",0,INDEX(Overrides!$D$8:$D$47,MATCH(B293,Overrides!$A$8:$A$47,0))),0)</f>
        <v>0</v>
      </c>
      <c r="J293" s="38">
        <f t="shared" si="29"/>
        <v>1407.481170559339</v>
      </c>
      <c r="K293" s="18">
        <f t="shared" si="30"/>
        <v>1</v>
      </c>
      <c r="L293" s="38">
        <f t="shared" si="31"/>
        <v>1407.481170559339</v>
      </c>
      <c r="M293" s="23">
        <f t="shared" si="32"/>
        <v>-1.108497288831308</v>
      </c>
      <c r="N293" s="23">
        <f t="shared" si="33"/>
        <v>0.35759176081284022</v>
      </c>
      <c r="O293" s="6"/>
      <c r="P293" s="18">
        <f t="shared" si="34"/>
        <v>-0.39638949736944695</v>
      </c>
    </row>
    <row r="294" spans="1:16" ht="15" customHeight="1" x14ac:dyDescent="0.3">
      <c r="A294" s="7" t="str">
        <f>Raw_Players!A256</f>
        <v>LAC</v>
      </c>
      <c r="B294" s="7" t="str">
        <f>Raw_Players!B256</f>
        <v>Brook Lopez</v>
      </c>
      <c r="C294" s="37">
        <f>Raw_Players!E256</f>
        <v>-0.8163860008915671</v>
      </c>
      <c r="D294" s="31">
        <f>Raw_Players!F256</f>
        <v>1403.3468939647701</v>
      </c>
      <c r="E294" s="31">
        <f>Raw_Players!G256</f>
        <v>23.12461822573751</v>
      </c>
      <c r="F294" s="31">
        <f>Raw_Players!H256</f>
        <v>60.686272969594661</v>
      </c>
      <c r="G294" s="31" t="str">
        <f>IFERROR(IF(INDEX(Overrides!$B$8:$B$47,MATCH(B294,Overrides!$A$8:$A$47,0))="","",INDEX(Overrides!$B$8:$B$47,MATCH(B294,Overrides!$A$8:$A$47,0))),"")</f>
        <v/>
      </c>
      <c r="H294" s="31" t="str">
        <f>IFERROR(IF(INDEX(Overrides!$C$8:$C$47,MATCH(B294,Overrides!$A$8:$A$47,0))="","",INDEX(Overrides!$C$8:$C$47,MATCH(B294,Overrides!$A$8:$A$47,0))),"")</f>
        <v/>
      </c>
      <c r="I294" s="36">
        <f>IFERROR(IF(INDEX(Overrides!$D$8:$D$47,MATCH(B294,Overrides!$A$8:$A$47,0))="",0,INDEX(Overrides!$D$8:$D$47,MATCH(B294,Overrides!$A$8:$A$47,0))),0)</f>
        <v>0</v>
      </c>
      <c r="J294" s="38">
        <f t="shared" si="29"/>
        <v>1403.3468939647701</v>
      </c>
      <c r="K294" s="18">
        <f t="shared" si="30"/>
        <v>1</v>
      </c>
      <c r="L294" s="38">
        <f t="shared" si="31"/>
        <v>1403.3468939647701</v>
      </c>
      <c r="M294" s="23">
        <f t="shared" si="32"/>
        <v>-0.8163860008915671</v>
      </c>
      <c r="N294" s="23">
        <f t="shared" si="33"/>
        <v>0.35654138566178101</v>
      </c>
      <c r="O294" s="6"/>
      <c r="P294" s="18">
        <f t="shared" si="34"/>
        <v>-0.29107539599275933</v>
      </c>
    </row>
    <row r="295" spans="1:16" ht="15" customHeight="1" x14ac:dyDescent="0.3">
      <c r="A295" s="7" t="str">
        <f>Raw_Players!A257</f>
        <v>LAC</v>
      </c>
      <c r="B295" s="7" t="str">
        <f>Raw_Players!B257</f>
        <v>Derrick Jones Jr.</v>
      </c>
      <c r="C295" s="37">
        <f>Raw_Players!E257</f>
        <v>0.39435777867143179</v>
      </c>
      <c r="D295" s="31">
        <f>Raw_Players!F257</f>
        <v>1279.5699321812169</v>
      </c>
      <c r="E295" s="31">
        <f>Raw_Players!G257</f>
        <v>21.84152261206285</v>
      </c>
      <c r="F295" s="31">
        <f>Raw_Players!H257</f>
        <v>58.584282557046834</v>
      </c>
      <c r="G295" s="31" t="str">
        <f>IFERROR(IF(INDEX(Overrides!$B$8:$B$47,MATCH(B295,Overrides!$A$8:$A$47,0))="","",INDEX(Overrides!$B$8:$B$47,MATCH(B295,Overrides!$A$8:$A$47,0))),"")</f>
        <v/>
      </c>
      <c r="H295" s="31" t="str">
        <f>IFERROR(IF(INDEX(Overrides!$C$8:$C$47,MATCH(B295,Overrides!$A$8:$A$47,0))="","",INDEX(Overrides!$C$8:$C$47,MATCH(B295,Overrides!$A$8:$A$47,0))),"")</f>
        <v/>
      </c>
      <c r="I295" s="36">
        <f>IFERROR(IF(INDEX(Overrides!$D$8:$D$47,MATCH(B295,Overrides!$A$8:$A$47,0))="",0,INDEX(Overrides!$D$8:$D$47,MATCH(B295,Overrides!$A$8:$A$47,0))),0)</f>
        <v>0</v>
      </c>
      <c r="J295" s="38">
        <f t="shared" si="29"/>
        <v>1279.5699321812169</v>
      </c>
      <c r="K295" s="18">
        <f t="shared" si="30"/>
        <v>1</v>
      </c>
      <c r="L295" s="38">
        <f t="shared" si="31"/>
        <v>1279.5699321812169</v>
      </c>
      <c r="M295" s="23">
        <f t="shared" si="32"/>
        <v>0.39435777867143179</v>
      </c>
      <c r="N295" s="23">
        <f t="shared" si="33"/>
        <v>0.32509398683465879</v>
      </c>
      <c r="O295" s="6"/>
      <c r="P295" s="18">
        <f t="shared" si="34"/>
        <v>0.12820334250755572</v>
      </c>
    </row>
    <row r="296" spans="1:16" ht="15" customHeight="1" x14ac:dyDescent="0.3">
      <c r="A296" s="7" t="str">
        <f>Raw_Players!A258</f>
        <v>LAC</v>
      </c>
      <c r="B296" s="7" t="str">
        <f>Raw_Players!B258</f>
        <v>Gradey Dick</v>
      </c>
      <c r="C296" s="37">
        <f>Raw_Players!E258</f>
        <v>-2.087873095311918</v>
      </c>
      <c r="D296" s="31">
        <f>Raw_Players!F258</f>
        <v>1067.590239053616</v>
      </c>
      <c r="E296" s="31">
        <f>Raw_Players!G258</f>
        <v>16.64925201944293</v>
      </c>
      <c r="F296" s="31">
        <f>Raw_Players!H258</f>
        <v>64.12241449687275</v>
      </c>
      <c r="G296" s="31" t="str">
        <f>IFERROR(IF(INDEX(Overrides!$B$8:$B$47,MATCH(B296,Overrides!$A$8:$A$47,0))="","",INDEX(Overrides!$B$8:$B$47,MATCH(B296,Overrides!$A$8:$A$47,0))),"")</f>
        <v/>
      </c>
      <c r="H296" s="31" t="str">
        <f>IFERROR(IF(INDEX(Overrides!$C$8:$C$47,MATCH(B296,Overrides!$A$8:$A$47,0))="","",INDEX(Overrides!$C$8:$C$47,MATCH(B296,Overrides!$A$8:$A$47,0))),"")</f>
        <v/>
      </c>
      <c r="I296" s="36">
        <f>IFERROR(IF(INDEX(Overrides!$D$8:$D$47,MATCH(B296,Overrides!$A$8:$A$47,0))="",0,INDEX(Overrides!$D$8:$D$47,MATCH(B296,Overrides!$A$8:$A$47,0))),0)</f>
        <v>0</v>
      </c>
      <c r="J296" s="38">
        <f t="shared" si="29"/>
        <v>1067.590239053616</v>
      </c>
      <c r="K296" s="18">
        <f t="shared" si="30"/>
        <v>1</v>
      </c>
      <c r="L296" s="38">
        <f t="shared" si="31"/>
        <v>1067.590239053616</v>
      </c>
      <c r="M296" s="23">
        <f t="shared" si="32"/>
        <v>-2.087873095311918</v>
      </c>
      <c r="N296" s="23">
        <f t="shared" si="33"/>
        <v>0.27123735748313416</v>
      </c>
      <c r="O296" s="6"/>
      <c r="P296" s="18">
        <f t="shared" si="34"/>
        <v>-0.56630918113253659</v>
      </c>
    </row>
    <row r="297" spans="1:16" ht="15" customHeight="1" x14ac:dyDescent="0.3">
      <c r="A297" s="7" t="str">
        <f>Raw_Players!A259</f>
        <v>LAC</v>
      </c>
      <c r="B297" s="7" t="str">
        <f>Raw_Players!B259</f>
        <v>Kobe Sanders</v>
      </c>
      <c r="C297" s="37">
        <f>Raw_Players!E259</f>
        <v>-1.5254775196568511</v>
      </c>
      <c r="D297" s="31">
        <f>Raw_Players!F259</f>
        <v>1049.154160993794</v>
      </c>
      <c r="E297" s="31">
        <f>Raw_Players!G259</f>
        <v>16.575103434190289</v>
      </c>
      <c r="F297" s="31">
        <f>Raw_Players!H259</f>
        <v>63.2969902818013</v>
      </c>
      <c r="G297" s="31" t="str">
        <f>IFERROR(IF(INDEX(Overrides!$B$8:$B$47,MATCH(B297,Overrides!$A$8:$A$47,0))="","",INDEX(Overrides!$B$8:$B$47,MATCH(B297,Overrides!$A$8:$A$47,0))),"")</f>
        <v/>
      </c>
      <c r="H297" s="31" t="str">
        <f>IFERROR(IF(INDEX(Overrides!$C$8:$C$47,MATCH(B297,Overrides!$A$8:$A$47,0))="","",INDEX(Overrides!$C$8:$C$47,MATCH(B297,Overrides!$A$8:$A$47,0))),"")</f>
        <v/>
      </c>
      <c r="I297" s="36">
        <f>IFERROR(IF(INDEX(Overrides!$D$8:$D$47,MATCH(B297,Overrides!$A$8:$A$47,0))="",0,INDEX(Overrides!$D$8:$D$47,MATCH(B297,Overrides!$A$8:$A$47,0))),0)</f>
        <v>0</v>
      </c>
      <c r="J297" s="38">
        <f t="shared" si="29"/>
        <v>1049.154160993794</v>
      </c>
      <c r="K297" s="18">
        <f t="shared" si="30"/>
        <v>1</v>
      </c>
      <c r="L297" s="38">
        <f t="shared" si="31"/>
        <v>1049.154160993794</v>
      </c>
      <c r="M297" s="23">
        <f t="shared" si="32"/>
        <v>-1.5254775196568511</v>
      </c>
      <c r="N297" s="23">
        <f t="shared" si="33"/>
        <v>0.2665533945614314</v>
      </c>
      <c r="O297" s="6"/>
      <c r="P297" s="18">
        <f t="shared" si="34"/>
        <v>-0.40662121119168637</v>
      </c>
    </row>
    <row r="298" spans="1:16" ht="15" customHeight="1" x14ac:dyDescent="0.3">
      <c r="A298" s="7" t="str">
        <f>Raw_Players!A260</f>
        <v>LAC</v>
      </c>
      <c r="B298" s="7" t="str">
        <f>Raw_Players!B260</f>
        <v>Bradley Beal</v>
      </c>
      <c r="C298" s="37">
        <f>Raw_Players!E260</f>
        <v>-1.7972504309695609</v>
      </c>
      <c r="D298" s="31">
        <f>Raw_Players!F260</f>
        <v>1013.690711967373</v>
      </c>
      <c r="E298" s="31">
        <f>Raw_Players!G260</f>
        <v>26.049161887516679</v>
      </c>
      <c r="F298" s="31">
        <f>Raw_Players!H260</f>
        <v>38.914523098463121</v>
      </c>
      <c r="G298" s="31" t="str">
        <f>IFERROR(IF(INDEX(Overrides!$B$8:$B$47,MATCH(B298,Overrides!$A$8:$A$47,0))="","",INDEX(Overrides!$B$8:$B$47,MATCH(B298,Overrides!$A$8:$A$47,0))),"")</f>
        <v/>
      </c>
      <c r="H298" s="31" t="str">
        <f>IFERROR(IF(INDEX(Overrides!$C$8:$C$47,MATCH(B298,Overrides!$A$8:$A$47,0))="","",INDEX(Overrides!$C$8:$C$47,MATCH(B298,Overrides!$A$8:$A$47,0))),"")</f>
        <v/>
      </c>
      <c r="I298" s="36">
        <f>IFERROR(IF(INDEX(Overrides!$D$8:$D$47,MATCH(B298,Overrides!$A$8:$A$47,0))="",0,INDEX(Overrides!$D$8:$D$47,MATCH(B298,Overrides!$A$8:$A$47,0))),0)</f>
        <v>0</v>
      </c>
      <c r="J298" s="38">
        <f t="shared" si="29"/>
        <v>1013.690711967373</v>
      </c>
      <c r="K298" s="18">
        <f t="shared" si="30"/>
        <v>1</v>
      </c>
      <c r="L298" s="38">
        <f t="shared" si="31"/>
        <v>1013.690711967373</v>
      </c>
      <c r="M298" s="23">
        <f t="shared" si="32"/>
        <v>-1.7972504309695609</v>
      </c>
      <c r="N298" s="23">
        <f t="shared" si="33"/>
        <v>0.25754337194293014</v>
      </c>
      <c r="O298" s="6"/>
      <c r="P298" s="18">
        <f t="shared" si="34"/>
        <v>-0.46286993621778511</v>
      </c>
    </row>
    <row r="299" spans="1:16" ht="15" customHeight="1" x14ac:dyDescent="0.3">
      <c r="A299" s="7" t="str">
        <f>Raw_Players!A261</f>
        <v>LAC</v>
      </c>
      <c r="B299" s="7" t="str">
        <f>Raw_Players!B261</f>
        <v>Max Strus</v>
      </c>
      <c r="C299" s="37">
        <f>Raw_Players!E261</f>
        <v>-0.1162874639834148</v>
      </c>
      <c r="D299" s="31">
        <f>Raw_Players!F261</f>
        <v>962.31495816193717</v>
      </c>
      <c r="E299" s="31">
        <f>Raw_Players!G261</f>
        <v>23.408007410829619</v>
      </c>
      <c r="F299" s="31">
        <f>Raw_Players!H261</f>
        <v>41.110502969027863</v>
      </c>
      <c r="G299" s="31" t="str">
        <f>IFERROR(IF(INDEX(Overrides!$B$8:$B$47,MATCH(B299,Overrides!$A$8:$A$47,0))="","",INDEX(Overrides!$B$8:$B$47,MATCH(B299,Overrides!$A$8:$A$47,0))),"")</f>
        <v/>
      </c>
      <c r="H299" s="31" t="str">
        <f>IFERROR(IF(INDEX(Overrides!$C$8:$C$47,MATCH(B299,Overrides!$A$8:$A$47,0))="","",INDEX(Overrides!$C$8:$C$47,MATCH(B299,Overrides!$A$8:$A$47,0))),"")</f>
        <v/>
      </c>
      <c r="I299" s="36">
        <f>IFERROR(IF(INDEX(Overrides!$D$8:$D$47,MATCH(B299,Overrides!$A$8:$A$47,0))="",0,INDEX(Overrides!$D$8:$D$47,MATCH(B299,Overrides!$A$8:$A$47,0))),0)</f>
        <v>0</v>
      </c>
      <c r="J299" s="38">
        <f t="shared" si="29"/>
        <v>962.31495816193717</v>
      </c>
      <c r="K299" s="18">
        <f t="shared" si="30"/>
        <v>1</v>
      </c>
      <c r="L299" s="38">
        <f t="shared" si="31"/>
        <v>962.31495816193717</v>
      </c>
      <c r="M299" s="23">
        <f t="shared" si="32"/>
        <v>-0.1162874639834148</v>
      </c>
      <c r="N299" s="23">
        <f t="shared" si="33"/>
        <v>0.2444905889639068</v>
      </c>
      <c r="O299" s="6"/>
      <c r="P299" s="18">
        <f t="shared" si="34"/>
        <v>-2.8431190558424184E-2</v>
      </c>
    </row>
    <row r="300" spans="1:16" ht="15" customHeight="1" x14ac:dyDescent="0.3">
      <c r="A300" s="7" t="str">
        <f>Raw_Players!A262</f>
        <v>LAC</v>
      </c>
      <c r="B300" s="7" t="str">
        <f>Raw_Players!B262</f>
        <v>Isaiah Jackson</v>
      </c>
      <c r="C300" s="37">
        <f>Raw_Players!E262</f>
        <v>-0.13474927674679149</v>
      </c>
      <c r="D300" s="31">
        <f>Raw_Players!F262</f>
        <v>739.36116667294391</v>
      </c>
      <c r="E300" s="31">
        <f>Raw_Players!G262</f>
        <v>13.6539561639868</v>
      </c>
      <c r="F300" s="31">
        <f>Raw_Players!H262</f>
        <v>54.149959015033112</v>
      </c>
      <c r="G300" s="31" t="str">
        <f>IFERROR(IF(INDEX(Overrides!$B$8:$B$47,MATCH(B300,Overrides!$A$8:$A$47,0))="","",INDEX(Overrides!$B$8:$B$47,MATCH(B300,Overrides!$A$8:$A$47,0))),"")</f>
        <v/>
      </c>
      <c r="H300" s="31" t="str">
        <f>IFERROR(IF(INDEX(Overrides!$C$8:$C$47,MATCH(B300,Overrides!$A$8:$A$47,0))="","",INDEX(Overrides!$C$8:$C$47,MATCH(B300,Overrides!$A$8:$A$47,0))),"")</f>
        <v/>
      </c>
      <c r="I300" s="36">
        <f>IFERROR(IF(INDEX(Overrides!$D$8:$D$47,MATCH(B300,Overrides!$A$8:$A$47,0))="",0,INDEX(Overrides!$D$8:$D$47,MATCH(B300,Overrides!$A$8:$A$47,0))),0)</f>
        <v>0</v>
      </c>
      <c r="J300" s="38">
        <f t="shared" si="29"/>
        <v>739.36116667294391</v>
      </c>
      <c r="K300" s="18">
        <f t="shared" si="30"/>
        <v>1</v>
      </c>
      <c r="L300" s="38">
        <f t="shared" si="31"/>
        <v>739.36116667294391</v>
      </c>
      <c r="M300" s="23">
        <f t="shared" si="32"/>
        <v>-0.13474927674679149</v>
      </c>
      <c r="N300" s="23">
        <f t="shared" si="33"/>
        <v>0.18784582486609347</v>
      </c>
      <c r="O300" s="6"/>
      <c r="P300" s="18">
        <f t="shared" si="34"/>
        <v>-2.5312089040610556E-2</v>
      </c>
    </row>
    <row r="301" spans="1:16" ht="15" customHeight="1" x14ac:dyDescent="0.3">
      <c r="A301" s="7" t="str">
        <f>Raw_Players!A263</f>
        <v>LAC</v>
      </c>
      <c r="B301" s="7" t="str">
        <f>Raw_Players!B263</f>
        <v>Jalen Pickett</v>
      </c>
      <c r="C301" s="37">
        <f>Raw_Players!E263</f>
        <v>-1.912027703295389</v>
      </c>
      <c r="D301" s="31">
        <f>Raw_Players!F263</f>
        <v>704.06162920323652</v>
      </c>
      <c r="E301" s="31">
        <f>Raw_Players!G263</f>
        <v>12.414590277493099</v>
      </c>
      <c r="F301" s="31">
        <f>Raw_Players!H263</f>
        <v>56.712433794908073</v>
      </c>
      <c r="G301" s="31" t="str">
        <f>IFERROR(IF(INDEX(Overrides!$B$8:$B$47,MATCH(B301,Overrides!$A$8:$A$47,0))="","",INDEX(Overrides!$B$8:$B$47,MATCH(B301,Overrides!$A$8:$A$47,0))),"")</f>
        <v/>
      </c>
      <c r="H301" s="31" t="str">
        <f>IFERROR(IF(INDEX(Overrides!$C$8:$C$47,MATCH(B301,Overrides!$A$8:$A$47,0))="","",INDEX(Overrides!$C$8:$C$47,MATCH(B301,Overrides!$A$8:$A$47,0))),"")</f>
        <v/>
      </c>
      <c r="I301" s="36">
        <f>IFERROR(IF(INDEX(Overrides!$D$8:$D$47,MATCH(B301,Overrides!$A$8:$A$47,0))="",0,INDEX(Overrides!$D$8:$D$47,MATCH(B301,Overrides!$A$8:$A$47,0))),0)</f>
        <v>0</v>
      </c>
      <c r="J301" s="38">
        <f t="shared" si="29"/>
        <v>704.06162920323652</v>
      </c>
      <c r="K301" s="18">
        <f t="shared" si="30"/>
        <v>1</v>
      </c>
      <c r="L301" s="38">
        <f t="shared" si="31"/>
        <v>704.06162920323652</v>
      </c>
      <c r="M301" s="23">
        <f t="shared" si="32"/>
        <v>-1.912027703295389</v>
      </c>
      <c r="N301" s="23">
        <f t="shared" si="33"/>
        <v>0.17887744644391171</v>
      </c>
      <c r="O301" s="6"/>
      <c r="P301" s="18">
        <f t="shared" si="34"/>
        <v>-0.34201863309549646</v>
      </c>
    </row>
    <row r="302" spans="1:16" ht="15" customHeight="1" x14ac:dyDescent="0.3">
      <c r="A302" s="7" t="str">
        <f>Raw_Players!A264</f>
        <v>LAC</v>
      </c>
      <c r="B302" s="7" t="str">
        <f>Raw_Players!B264</f>
        <v>Blake Wesley</v>
      </c>
      <c r="C302" s="37">
        <f>Raw_Players!E264</f>
        <v>-2.4623143591145178</v>
      </c>
      <c r="D302" s="31">
        <f>Raw_Players!F264</f>
        <v>589.40014448697821</v>
      </c>
      <c r="E302" s="31">
        <f>Raw_Players!G264</f>
        <v>11.09056547026862</v>
      </c>
      <c r="F302" s="31">
        <f>Raw_Players!H264</f>
        <v>53.144282504533329</v>
      </c>
      <c r="G302" s="31" t="str">
        <f>IFERROR(IF(INDEX(Overrides!$B$8:$B$47,MATCH(B302,Overrides!$A$8:$A$47,0))="","",INDEX(Overrides!$B$8:$B$47,MATCH(B302,Overrides!$A$8:$A$47,0))),"")</f>
        <v/>
      </c>
      <c r="H302" s="31" t="str">
        <f>IFERROR(IF(INDEX(Overrides!$C$8:$C$47,MATCH(B302,Overrides!$A$8:$A$47,0))="","",INDEX(Overrides!$C$8:$C$47,MATCH(B302,Overrides!$A$8:$A$47,0))),"")</f>
        <v/>
      </c>
      <c r="I302" s="36">
        <f>IFERROR(IF(INDEX(Overrides!$D$8:$D$47,MATCH(B302,Overrides!$A$8:$A$47,0))="",0,INDEX(Overrides!$D$8:$D$47,MATCH(B302,Overrides!$A$8:$A$47,0))),0)</f>
        <v>0</v>
      </c>
      <c r="J302" s="38">
        <f t="shared" ref="J302:J365" si="35">IF(AND(G302="",H302=""),D302,IF(H302="",F302,H302)*IF(G302="",E302,G302))</f>
        <v>589.40014448697821</v>
      </c>
      <c r="K302" s="18">
        <f t="shared" ref="K302:K365" si="36">A_teamminutes/SUMIF($A$46:$A$672,A302,$J$46:$J$672)</f>
        <v>1</v>
      </c>
      <c r="L302" s="38">
        <f t="shared" ref="L302:L365" si="37">J302*K302</f>
        <v>589.40014448697821</v>
      </c>
      <c r="M302" s="23">
        <f t="shared" ref="M302:M365" si="38">C302+I302</f>
        <v>-2.4623143591145178</v>
      </c>
      <c r="N302" s="23">
        <f t="shared" ref="N302:N365" si="39">L302/(A_teamminutes/5)</f>
        <v>0.14974597166843959</v>
      </c>
      <c r="O302" s="6"/>
      <c r="P302" s="18">
        <f t="shared" ref="P302:P365" si="40">N302*M302</f>
        <v>-0.36872165625875458</v>
      </c>
    </row>
    <row r="303" spans="1:16" ht="15" customHeight="1" x14ac:dyDescent="0.3">
      <c r="A303" s="7" t="str">
        <f>Raw_Players!A265</f>
        <v>LAC</v>
      </c>
      <c r="B303" s="7" t="str">
        <f>Raw_Players!B265</f>
        <v>Baba Miller</v>
      </c>
      <c r="C303" s="37">
        <f>Raw_Players!E265</f>
        <v>-1.4375139482733601</v>
      </c>
      <c r="D303" s="31">
        <f>Raw_Players!F265</f>
        <v>513.83760393835462</v>
      </c>
      <c r="E303" s="31">
        <f>Raw_Players!G265</f>
        <v>13.71115986312706</v>
      </c>
      <c r="F303" s="31">
        <f>Raw_Players!H265</f>
        <v>37.475867035888029</v>
      </c>
      <c r="G303" s="31" t="str">
        <f>IFERROR(IF(INDEX(Overrides!$B$8:$B$47,MATCH(B303,Overrides!$A$8:$A$47,0))="","",INDEX(Overrides!$B$8:$B$47,MATCH(B303,Overrides!$A$8:$A$47,0))),"")</f>
        <v/>
      </c>
      <c r="H303" s="31" t="str">
        <f>IFERROR(IF(INDEX(Overrides!$C$8:$C$47,MATCH(B303,Overrides!$A$8:$A$47,0))="","",INDEX(Overrides!$C$8:$C$47,MATCH(B303,Overrides!$A$8:$A$47,0))),"")</f>
        <v/>
      </c>
      <c r="I303" s="36">
        <f>IFERROR(IF(INDEX(Overrides!$D$8:$D$47,MATCH(B303,Overrides!$A$8:$A$47,0))="",0,INDEX(Overrides!$D$8:$D$47,MATCH(B303,Overrides!$A$8:$A$47,0))),0)</f>
        <v>0</v>
      </c>
      <c r="J303" s="38">
        <f t="shared" si="35"/>
        <v>513.83760393835462</v>
      </c>
      <c r="K303" s="18">
        <f t="shared" si="36"/>
        <v>1</v>
      </c>
      <c r="L303" s="38">
        <f t="shared" si="37"/>
        <v>513.83760393835462</v>
      </c>
      <c r="M303" s="23">
        <f t="shared" si="38"/>
        <v>-1.4375139482733601</v>
      </c>
      <c r="N303" s="23">
        <f t="shared" si="39"/>
        <v>0.13054817173230554</v>
      </c>
      <c r="O303" s="6"/>
      <c r="P303" s="18">
        <f t="shared" si="40"/>
        <v>-0.18766481778677518</v>
      </c>
    </row>
    <row r="304" spans="1:16" ht="15" customHeight="1" x14ac:dyDescent="0.3">
      <c r="A304" s="7" t="str">
        <f>Raw_Players!A266</f>
        <v>LAC</v>
      </c>
      <c r="B304" s="7" t="str">
        <f>Raw_Players!B266</f>
        <v>Yanic Konan Niederhauser</v>
      </c>
      <c r="C304" s="37">
        <f>Raw_Players!E266</f>
        <v>-1.060849943875974</v>
      </c>
      <c r="D304" s="31">
        <f>Raw_Players!F266</f>
        <v>466.49967934134099</v>
      </c>
      <c r="E304" s="31">
        <f>Raw_Players!G266</f>
        <v>9.6918807194507295</v>
      </c>
      <c r="F304" s="31">
        <f>Raw_Players!H266</f>
        <v>48.133039690131383</v>
      </c>
      <c r="G304" s="31" t="str">
        <f>IFERROR(IF(INDEX(Overrides!$B$8:$B$47,MATCH(B304,Overrides!$A$8:$A$47,0))="","",INDEX(Overrides!$B$8:$B$47,MATCH(B304,Overrides!$A$8:$A$47,0))),"")</f>
        <v/>
      </c>
      <c r="H304" s="31" t="str">
        <f>IFERROR(IF(INDEX(Overrides!$C$8:$C$47,MATCH(B304,Overrides!$A$8:$A$47,0))="","",INDEX(Overrides!$C$8:$C$47,MATCH(B304,Overrides!$A$8:$A$47,0))),"")</f>
        <v/>
      </c>
      <c r="I304" s="36">
        <f>IFERROR(IF(INDEX(Overrides!$D$8:$D$47,MATCH(B304,Overrides!$A$8:$A$47,0))="",0,INDEX(Overrides!$D$8:$D$47,MATCH(B304,Overrides!$A$8:$A$47,0))),0)</f>
        <v>0</v>
      </c>
      <c r="J304" s="38">
        <f t="shared" si="35"/>
        <v>466.49967934134099</v>
      </c>
      <c r="K304" s="18">
        <f t="shared" si="36"/>
        <v>1</v>
      </c>
      <c r="L304" s="38">
        <f t="shared" si="37"/>
        <v>466.49967934134099</v>
      </c>
      <c r="M304" s="23">
        <f t="shared" si="38"/>
        <v>-1.060849943875974</v>
      </c>
      <c r="N304" s="23">
        <f t="shared" si="39"/>
        <v>0.11852125999525939</v>
      </c>
      <c r="O304" s="6"/>
      <c r="P304" s="18">
        <f t="shared" si="40"/>
        <v>-0.12573327201408063</v>
      </c>
    </row>
    <row r="305" spans="1:16" ht="15" customHeight="1" x14ac:dyDescent="0.3">
      <c r="A305" s="7" t="str">
        <f>Raw_Players!A267</f>
        <v>LAC</v>
      </c>
      <c r="B305" s="7" t="str">
        <f>Raw_Players!B267</f>
        <v>Cam Christie</v>
      </c>
      <c r="C305" s="37">
        <f>Raw_Players!E267</f>
        <v>-2.2582443949911322</v>
      </c>
      <c r="D305" s="31">
        <f>Raw_Players!F267</f>
        <v>439.61202444862562</v>
      </c>
      <c r="E305" s="31">
        <f>Raw_Players!G267</f>
        <v>7.9906552719262729</v>
      </c>
      <c r="F305" s="31">
        <f>Raw_Players!H267</f>
        <v>55.015766478266578</v>
      </c>
      <c r="G305" s="31" t="str">
        <f>IFERROR(IF(INDEX(Overrides!$B$8:$B$47,MATCH(B305,Overrides!$A$8:$A$47,0))="","",INDEX(Overrides!$B$8:$B$47,MATCH(B305,Overrides!$A$8:$A$47,0))),"")</f>
        <v/>
      </c>
      <c r="H305" s="31" t="str">
        <f>IFERROR(IF(INDEX(Overrides!$C$8:$C$47,MATCH(B305,Overrides!$A$8:$A$47,0))="","",INDEX(Overrides!$C$8:$C$47,MATCH(B305,Overrides!$A$8:$A$47,0))),"")</f>
        <v/>
      </c>
      <c r="I305" s="36">
        <f>IFERROR(IF(INDEX(Overrides!$D$8:$D$47,MATCH(B305,Overrides!$A$8:$A$47,0))="",0,INDEX(Overrides!$D$8:$D$47,MATCH(B305,Overrides!$A$8:$A$47,0))),0)</f>
        <v>0</v>
      </c>
      <c r="J305" s="38">
        <f t="shared" si="35"/>
        <v>439.61202444862562</v>
      </c>
      <c r="K305" s="18">
        <f t="shared" si="36"/>
        <v>1</v>
      </c>
      <c r="L305" s="38">
        <f t="shared" si="37"/>
        <v>439.61202444862562</v>
      </c>
      <c r="M305" s="23">
        <f t="shared" si="38"/>
        <v>-2.2582443949911322</v>
      </c>
      <c r="N305" s="23">
        <f t="shared" si="39"/>
        <v>0.11169004686194757</v>
      </c>
      <c r="O305" s="6"/>
      <c r="P305" s="18">
        <f t="shared" si="40"/>
        <v>-0.25222342230229</v>
      </c>
    </row>
    <row r="306" spans="1:16" ht="15" customHeight="1" x14ac:dyDescent="0.3">
      <c r="A306" s="7" t="str">
        <f>Raw_Players!A268</f>
        <v>LAC</v>
      </c>
      <c r="B306" s="7" t="str">
        <f>Raw_Players!B268</f>
        <v>Yuki Kawamura</v>
      </c>
      <c r="C306" s="37">
        <f>Raw_Players!E268</f>
        <v>-1.106981649761273</v>
      </c>
      <c r="D306" s="31">
        <f>Raw_Players!F268</f>
        <v>393.0742600641974</v>
      </c>
      <c r="E306" s="31">
        <f>Raw_Players!G268</f>
        <v>8.4873340041217205</v>
      </c>
      <c r="F306" s="31">
        <f>Raw_Players!H268</f>
        <v>46.313042455181801</v>
      </c>
      <c r="G306" s="31" t="str">
        <f>IFERROR(IF(INDEX(Overrides!$B$8:$B$47,MATCH(B306,Overrides!$A$8:$A$47,0))="","",INDEX(Overrides!$B$8:$B$47,MATCH(B306,Overrides!$A$8:$A$47,0))),"")</f>
        <v/>
      </c>
      <c r="H306" s="31" t="str">
        <f>IFERROR(IF(INDEX(Overrides!$C$8:$C$47,MATCH(B306,Overrides!$A$8:$A$47,0))="","",INDEX(Overrides!$C$8:$C$47,MATCH(B306,Overrides!$A$8:$A$47,0))),"")</f>
        <v/>
      </c>
      <c r="I306" s="36">
        <f>IFERROR(IF(INDEX(Overrides!$D$8:$D$47,MATCH(B306,Overrides!$A$8:$A$47,0))="",0,INDEX(Overrides!$D$8:$D$47,MATCH(B306,Overrides!$A$8:$A$47,0))),0)</f>
        <v>0</v>
      </c>
      <c r="J306" s="38">
        <f t="shared" si="35"/>
        <v>393.0742600641974</v>
      </c>
      <c r="K306" s="18">
        <f t="shared" si="36"/>
        <v>1</v>
      </c>
      <c r="L306" s="38">
        <f t="shared" si="37"/>
        <v>393.0742600641974</v>
      </c>
      <c r="M306" s="23">
        <f t="shared" si="38"/>
        <v>-1.106981649761273</v>
      </c>
      <c r="N306" s="23">
        <f t="shared" si="39"/>
        <v>9.9866427861838775E-2</v>
      </c>
      <c r="O306" s="6"/>
      <c r="P306" s="18">
        <f t="shared" si="40"/>
        <v>-0.11055030307026345</v>
      </c>
    </row>
    <row r="307" spans="1:16" ht="15" customHeight="1" x14ac:dyDescent="0.3">
      <c r="A307" s="7" t="str">
        <f>Raw_Players!A269</f>
        <v>LAC</v>
      </c>
      <c r="B307" s="7" t="str">
        <f>Raw_Players!B269</f>
        <v>Nick Martinelli</v>
      </c>
      <c r="C307" s="37">
        <f>Raw_Players!E269</f>
        <v>-3.0501330301565641</v>
      </c>
      <c r="D307" s="31">
        <f>Raw_Players!F269</f>
        <v>379.2153137389638</v>
      </c>
      <c r="E307" s="31">
        <f>Raw_Players!G269</f>
        <v>11.947671072231021</v>
      </c>
      <c r="F307" s="31">
        <f>Raw_Players!H269</f>
        <v>31.739684784287579</v>
      </c>
      <c r="G307" s="31" t="str">
        <f>IFERROR(IF(INDEX(Overrides!$B$8:$B$47,MATCH(B307,Overrides!$A$8:$A$47,0))="","",INDEX(Overrides!$B$8:$B$47,MATCH(B307,Overrides!$A$8:$A$47,0))),"")</f>
        <v/>
      </c>
      <c r="H307" s="31" t="str">
        <f>IFERROR(IF(INDEX(Overrides!$C$8:$C$47,MATCH(B307,Overrides!$A$8:$A$47,0))="","",INDEX(Overrides!$C$8:$C$47,MATCH(B307,Overrides!$A$8:$A$47,0))),"")</f>
        <v/>
      </c>
      <c r="I307" s="36">
        <f>IFERROR(IF(INDEX(Overrides!$D$8:$D$47,MATCH(B307,Overrides!$A$8:$A$47,0))="",0,INDEX(Overrides!$D$8:$D$47,MATCH(B307,Overrides!$A$8:$A$47,0))),0)</f>
        <v>0</v>
      </c>
      <c r="J307" s="38">
        <f t="shared" si="35"/>
        <v>379.2153137389638</v>
      </c>
      <c r="K307" s="18">
        <f t="shared" si="36"/>
        <v>1</v>
      </c>
      <c r="L307" s="38">
        <f t="shared" si="37"/>
        <v>379.2153137389638</v>
      </c>
      <c r="M307" s="23">
        <f t="shared" si="38"/>
        <v>-3.0501330301565641</v>
      </c>
      <c r="N307" s="23">
        <f t="shared" si="39"/>
        <v>9.6345354100346489E-2</v>
      </c>
      <c r="O307" s="6"/>
      <c r="P307" s="18">
        <f t="shared" si="40"/>
        <v>-0.29386614684359696</v>
      </c>
    </row>
    <row r="308" spans="1:16" ht="15" customHeight="1" x14ac:dyDescent="0.3">
      <c r="A308" s="7" t="str">
        <f>Raw_Players!A270</f>
        <v>LAC</v>
      </c>
      <c r="B308" s="7" t="str">
        <f>Raw_Players!B270</f>
        <v>Jahmyl Telfort</v>
      </c>
      <c r="C308" s="37">
        <f>Raw_Players!E270</f>
        <v>-2.1527719131350622</v>
      </c>
      <c r="D308" s="31">
        <f>Raw_Players!F270</f>
        <v>351.95163893811019</v>
      </c>
      <c r="E308" s="31">
        <f>Raw_Players!G270</f>
        <v>8.282609264419742</v>
      </c>
      <c r="F308" s="31">
        <f>Raw_Players!H270</f>
        <v>42.492845877689383</v>
      </c>
      <c r="G308" s="31" t="str">
        <f>IFERROR(IF(INDEX(Overrides!$B$8:$B$47,MATCH(B308,Overrides!$A$8:$A$47,0))="","",INDEX(Overrides!$B$8:$B$47,MATCH(B308,Overrides!$A$8:$A$47,0))),"")</f>
        <v/>
      </c>
      <c r="H308" s="31" t="str">
        <f>IFERROR(IF(INDEX(Overrides!$C$8:$C$47,MATCH(B308,Overrides!$A$8:$A$47,0))="","",INDEX(Overrides!$C$8:$C$47,MATCH(B308,Overrides!$A$8:$A$47,0))),"")</f>
        <v/>
      </c>
      <c r="I308" s="36">
        <f>IFERROR(IF(INDEX(Overrides!$D$8:$D$47,MATCH(B308,Overrides!$A$8:$A$47,0))="",0,INDEX(Overrides!$D$8:$D$47,MATCH(B308,Overrides!$A$8:$A$47,0))),0)</f>
        <v>0</v>
      </c>
      <c r="J308" s="38">
        <f t="shared" si="35"/>
        <v>351.95163893811019</v>
      </c>
      <c r="K308" s="18">
        <f t="shared" si="36"/>
        <v>1</v>
      </c>
      <c r="L308" s="38">
        <f t="shared" si="37"/>
        <v>351.95163893811019</v>
      </c>
      <c r="M308" s="23">
        <f t="shared" si="38"/>
        <v>-2.1527719131350622</v>
      </c>
      <c r="N308" s="23">
        <f t="shared" si="39"/>
        <v>8.9418607453788157E-2</v>
      </c>
      <c r="O308" s="6"/>
      <c r="P308" s="18">
        <f t="shared" si="40"/>
        <v>-0.19249786663816468</v>
      </c>
    </row>
    <row r="309" spans="1:16" ht="15" customHeight="1" x14ac:dyDescent="0.3">
      <c r="A309" s="7" t="str">
        <f>Raw_Players!A271</f>
        <v>LAC</v>
      </c>
      <c r="B309" s="7" t="str">
        <f>Raw_Players!B271</f>
        <v>Fletcher Loyer</v>
      </c>
      <c r="C309" s="37">
        <f>Raw_Players!E271</f>
        <v>-3.1867960702466678</v>
      </c>
      <c r="D309" s="31">
        <f>Raw_Players!F271</f>
        <v>349.40127541066988</v>
      </c>
      <c r="E309" s="31">
        <f>Raw_Players!G271</f>
        <v>11.51683886660607</v>
      </c>
      <c r="F309" s="31">
        <f>Raw_Players!H271</f>
        <v>30.338296772023529</v>
      </c>
      <c r="G309" s="31" t="str">
        <f>IFERROR(IF(INDEX(Overrides!$B$8:$B$47,MATCH(B309,Overrides!$A$8:$A$47,0))="","",INDEX(Overrides!$B$8:$B$47,MATCH(B309,Overrides!$A$8:$A$47,0))),"")</f>
        <v/>
      </c>
      <c r="H309" s="31" t="str">
        <f>IFERROR(IF(INDEX(Overrides!$C$8:$C$47,MATCH(B309,Overrides!$A$8:$A$47,0))="","",INDEX(Overrides!$C$8:$C$47,MATCH(B309,Overrides!$A$8:$A$47,0))),"")</f>
        <v/>
      </c>
      <c r="I309" s="36">
        <f>IFERROR(IF(INDEX(Overrides!$D$8:$D$47,MATCH(B309,Overrides!$A$8:$A$47,0))="",0,INDEX(Overrides!$D$8:$D$47,MATCH(B309,Overrides!$A$8:$A$47,0))),0)</f>
        <v>0</v>
      </c>
      <c r="J309" s="38">
        <f t="shared" si="35"/>
        <v>349.40127541066988</v>
      </c>
      <c r="K309" s="18">
        <f t="shared" si="36"/>
        <v>1</v>
      </c>
      <c r="L309" s="38">
        <f t="shared" si="37"/>
        <v>349.40127541066988</v>
      </c>
      <c r="M309" s="23">
        <f t="shared" si="38"/>
        <v>-3.1867960702466678</v>
      </c>
      <c r="N309" s="23">
        <f t="shared" si="39"/>
        <v>8.8770649240515725E-2</v>
      </c>
      <c r="O309" s="6"/>
      <c r="P309" s="18">
        <f t="shared" si="40"/>
        <v>-0.28289395615292084</v>
      </c>
    </row>
    <row r="310" spans="1:16" ht="15" customHeight="1" x14ac:dyDescent="0.3">
      <c r="A310" s="7" t="str">
        <f>Raw_Players!A272</f>
        <v>LAC</v>
      </c>
      <c r="B310" s="7" t="str">
        <f>Raw_Players!B272</f>
        <v>DeAndre Williams</v>
      </c>
      <c r="C310" s="37">
        <f>Raw_Players!E272</f>
        <v>-3.1867960702466678</v>
      </c>
      <c r="D310" s="31">
        <f>Raw_Players!F272</f>
        <v>349.40127541066988</v>
      </c>
      <c r="E310" s="31">
        <f>Raw_Players!G272</f>
        <v>11.51683886660607</v>
      </c>
      <c r="F310" s="31">
        <f>Raw_Players!H272</f>
        <v>30.338296772023529</v>
      </c>
      <c r="G310" s="31" t="str">
        <f>IFERROR(IF(INDEX(Overrides!$B$8:$B$47,MATCH(B310,Overrides!$A$8:$A$47,0))="","",INDEX(Overrides!$B$8:$B$47,MATCH(B310,Overrides!$A$8:$A$47,0))),"")</f>
        <v/>
      </c>
      <c r="H310" s="31" t="str">
        <f>IFERROR(IF(INDEX(Overrides!$C$8:$C$47,MATCH(B310,Overrides!$A$8:$A$47,0))="","",INDEX(Overrides!$C$8:$C$47,MATCH(B310,Overrides!$A$8:$A$47,0))),"")</f>
        <v/>
      </c>
      <c r="I310" s="36">
        <f>IFERROR(IF(INDEX(Overrides!$D$8:$D$47,MATCH(B310,Overrides!$A$8:$A$47,0))="",0,INDEX(Overrides!$D$8:$D$47,MATCH(B310,Overrides!$A$8:$A$47,0))),0)</f>
        <v>0</v>
      </c>
      <c r="J310" s="38">
        <f t="shared" si="35"/>
        <v>349.40127541066988</v>
      </c>
      <c r="K310" s="18">
        <f t="shared" si="36"/>
        <v>1</v>
      </c>
      <c r="L310" s="38">
        <f t="shared" si="37"/>
        <v>349.40127541066988</v>
      </c>
      <c r="M310" s="23">
        <f t="shared" si="38"/>
        <v>-3.1867960702466678</v>
      </c>
      <c r="N310" s="23">
        <f t="shared" si="39"/>
        <v>8.8770649240515725E-2</v>
      </c>
      <c r="O310" s="6"/>
      <c r="P310" s="18">
        <f t="shared" si="40"/>
        <v>-0.28289395615292084</v>
      </c>
    </row>
    <row r="311" spans="1:16" ht="15" customHeight="1" x14ac:dyDescent="0.3">
      <c r="A311" s="7" t="str">
        <f>Raw_Players!A273</f>
        <v>LAC</v>
      </c>
      <c r="B311" s="7" t="str">
        <f>Raw_Players!B273</f>
        <v>Jordan Miller</v>
      </c>
      <c r="C311" s="37">
        <f>Raw_Players!E273</f>
        <v>-0.12468564412140309</v>
      </c>
      <c r="D311" s="31">
        <f>Raw_Players!F273</f>
        <v>220.5372626551061</v>
      </c>
      <c r="E311" s="31">
        <f>Raw_Players!G273</f>
        <v>16.01478449449953</v>
      </c>
      <c r="F311" s="31">
        <f>Raw_Players!H273</f>
        <v>13.77085422103883</v>
      </c>
      <c r="G311" s="31" t="str">
        <f>IFERROR(IF(INDEX(Overrides!$B$8:$B$47,MATCH(B311,Overrides!$A$8:$A$47,0))="","",INDEX(Overrides!$B$8:$B$47,MATCH(B311,Overrides!$A$8:$A$47,0))),"")</f>
        <v/>
      </c>
      <c r="H311" s="31" t="str">
        <f>IFERROR(IF(INDEX(Overrides!$C$8:$C$47,MATCH(B311,Overrides!$A$8:$A$47,0))="","",INDEX(Overrides!$C$8:$C$47,MATCH(B311,Overrides!$A$8:$A$47,0))),"")</f>
        <v/>
      </c>
      <c r="I311" s="36">
        <f>IFERROR(IF(INDEX(Overrides!$D$8:$D$47,MATCH(B311,Overrides!$A$8:$A$47,0))="",0,INDEX(Overrides!$D$8:$D$47,MATCH(B311,Overrides!$A$8:$A$47,0))),0)</f>
        <v>0</v>
      </c>
      <c r="J311" s="38">
        <f t="shared" si="35"/>
        <v>220.5372626551061</v>
      </c>
      <c r="K311" s="18">
        <f t="shared" si="36"/>
        <v>1</v>
      </c>
      <c r="L311" s="38">
        <f t="shared" si="37"/>
        <v>220.5372626551061</v>
      </c>
      <c r="M311" s="23">
        <f t="shared" si="38"/>
        <v>-0.12468564412140309</v>
      </c>
      <c r="N311" s="23">
        <f t="shared" si="39"/>
        <v>5.6030808601398911E-2</v>
      </c>
      <c r="O311" s="6"/>
      <c r="P311" s="18">
        <f t="shared" si="40"/>
        <v>-6.9862374611084762E-3</v>
      </c>
    </row>
    <row r="312" spans="1:16" ht="15" customHeight="1" x14ac:dyDescent="0.3">
      <c r="A312" s="7" t="str">
        <f>Raw_Players!A274</f>
        <v>LAL</v>
      </c>
      <c r="B312" s="7" t="str">
        <f>Raw_Players!B274</f>
        <v>Luka Doncic</v>
      </c>
      <c r="C312" s="37">
        <f>Raw_Players!E274</f>
        <v>6.843036832142964</v>
      </c>
      <c r="D312" s="31">
        <f>Raw_Players!F274</f>
        <v>1991.5097934408161</v>
      </c>
      <c r="E312" s="31">
        <f>Raw_Players!G274</f>
        <v>33.125934196024232</v>
      </c>
      <c r="F312" s="31">
        <f>Raw_Players!H274</f>
        <v>60.11935487331364</v>
      </c>
      <c r="G312" s="31" t="str">
        <f>IFERROR(IF(INDEX(Overrides!$B$8:$B$47,MATCH(B312,Overrides!$A$8:$A$47,0))="","",INDEX(Overrides!$B$8:$B$47,MATCH(B312,Overrides!$A$8:$A$47,0))),"")</f>
        <v/>
      </c>
      <c r="H312" s="31" t="str">
        <f>IFERROR(IF(INDEX(Overrides!$C$8:$C$47,MATCH(B312,Overrides!$A$8:$A$47,0))="","",INDEX(Overrides!$C$8:$C$47,MATCH(B312,Overrides!$A$8:$A$47,0))),"")</f>
        <v/>
      </c>
      <c r="I312" s="36">
        <f>IFERROR(IF(INDEX(Overrides!$D$8:$D$47,MATCH(B312,Overrides!$A$8:$A$47,0))="",0,INDEX(Overrides!$D$8:$D$47,MATCH(B312,Overrides!$A$8:$A$47,0))),0)</f>
        <v>0</v>
      </c>
      <c r="J312" s="38">
        <f t="shared" si="35"/>
        <v>1991.5097934408161</v>
      </c>
      <c r="K312" s="18">
        <f t="shared" si="36"/>
        <v>1</v>
      </c>
      <c r="L312" s="38">
        <f t="shared" si="37"/>
        <v>1991.5097934408161</v>
      </c>
      <c r="M312" s="23">
        <f t="shared" si="38"/>
        <v>6.843036832142964</v>
      </c>
      <c r="N312" s="23">
        <f t="shared" si="39"/>
        <v>0.50597301662622363</v>
      </c>
      <c r="O312" s="6"/>
      <c r="P312" s="18">
        <f t="shared" si="40"/>
        <v>3.4623919888437324</v>
      </c>
    </row>
    <row r="313" spans="1:16" ht="15" customHeight="1" x14ac:dyDescent="0.3">
      <c r="A313" s="7" t="str">
        <f>Raw_Players!A275</f>
        <v>LAL</v>
      </c>
      <c r="B313" s="7" t="str">
        <f>Raw_Players!B275</f>
        <v>Austin Reaves</v>
      </c>
      <c r="C313" s="37">
        <f>Raw_Players!E275</f>
        <v>1.9130942871797769</v>
      </c>
      <c r="D313" s="31">
        <f>Raw_Players!F275</f>
        <v>1853.6321300149441</v>
      </c>
      <c r="E313" s="31">
        <f>Raw_Players!G275</f>
        <v>31.550715559382681</v>
      </c>
      <c r="F313" s="31">
        <f>Raw_Players!H275</f>
        <v>58.750874493675397</v>
      </c>
      <c r="G313" s="31" t="str">
        <f>IFERROR(IF(INDEX(Overrides!$B$8:$B$47,MATCH(B313,Overrides!$A$8:$A$47,0))="","",INDEX(Overrides!$B$8:$B$47,MATCH(B313,Overrides!$A$8:$A$47,0))),"")</f>
        <v/>
      </c>
      <c r="H313" s="31" t="str">
        <f>IFERROR(IF(INDEX(Overrides!$C$8:$C$47,MATCH(B313,Overrides!$A$8:$A$47,0))="","",INDEX(Overrides!$C$8:$C$47,MATCH(B313,Overrides!$A$8:$A$47,0))),"")</f>
        <v/>
      </c>
      <c r="I313" s="36">
        <f>IFERROR(IF(INDEX(Overrides!$D$8:$D$47,MATCH(B313,Overrides!$A$8:$A$47,0))="",0,INDEX(Overrides!$D$8:$D$47,MATCH(B313,Overrides!$A$8:$A$47,0))),0)</f>
        <v>0</v>
      </c>
      <c r="J313" s="38">
        <f t="shared" si="35"/>
        <v>1853.6321300149441</v>
      </c>
      <c r="K313" s="18">
        <f t="shared" si="36"/>
        <v>1</v>
      </c>
      <c r="L313" s="38">
        <f t="shared" si="37"/>
        <v>1853.6321300149441</v>
      </c>
      <c r="M313" s="23">
        <f t="shared" si="38"/>
        <v>1.9130942871797769</v>
      </c>
      <c r="N313" s="23">
        <f t="shared" si="39"/>
        <v>0.47094312246314635</v>
      </c>
      <c r="O313" s="6"/>
      <c r="P313" s="18">
        <f t="shared" si="40"/>
        <v>0.90095859717085136</v>
      </c>
    </row>
    <row r="314" spans="1:16" ht="15" customHeight="1" x14ac:dyDescent="0.3">
      <c r="A314" s="7" t="str">
        <f>Raw_Players!A276</f>
        <v>LAL</v>
      </c>
      <c r="B314" s="7" t="str">
        <f>Raw_Players!B276</f>
        <v>Quentin Grimes</v>
      </c>
      <c r="C314" s="37">
        <f>Raw_Players!E276</f>
        <v>-0.88743929962731116</v>
      </c>
      <c r="D314" s="31">
        <f>Raw_Players!F276</f>
        <v>1663.9939286813831</v>
      </c>
      <c r="E314" s="31">
        <f>Raw_Players!G276</f>
        <v>25.43437294219677</v>
      </c>
      <c r="F314" s="31">
        <f>Raw_Players!H276</f>
        <v>65.423037259972787</v>
      </c>
      <c r="G314" s="31" t="str">
        <f>IFERROR(IF(INDEX(Overrides!$B$8:$B$47,MATCH(B314,Overrides!$A$8:$A$47,0))="","",INDEX(Overrides!$B$8:$B$47,MATCH(B314,Overrides!$A$8:$A$47,0))),"")</f>
        <v/>
      </c>
      <c r="H314" s="31" t="str">
        <f>IFERROR(IF(INDEX(Overrides!$C$8:$C$47,MATCH(B314,Overrides!$A$8:$A$47,0))="","",INDEX(Overrides!$C$8:$C$47,MATCH(B314,Overrides!$A$8:$A$47,0))),"")</f>
        <v/>
      </c>
      <c r="I314" s="36">
        <f>IFERROR(IF(INDEX(Overrides!$D$8:$D$47,MATCH(B314,Overrides!$A$8:$A$47,0))="",0,INDEX(Overrides!$D$8:$D$47,MATCH(B314,Overrides!$A$8:$A$47,0))),0)</f>
        <v>0</v>
      </c>
      <c r="J314" s="38">
        <f t="shared" si="35"/>
        <v>1663.9939286813831</v>
      </c>
      <c r="K314" s="18">
        <f t="shared" si="36"/>
        <v>1</v>
      </c>
      <c r="L314" s="38">
        <f t="shared" si="37"/>
        <v>1663.9939286813831</v>
      </c>
      <c r="M314" s="23">
        <f t="shared" si="38"/>
        <v>-0.88743929962731116</v>
      </c>
      <c r="N314" s="23">
        <f t="shared" si="39"/>
        <v>0.42276268513246523</v>
      </c>
      <c r="O314" s="6"/>
      <c r="P314" s="18">
        <f t="shared" si="40"/>
        <v>-0.37517622120251642</v>
      </c>
    </row>
    <row r="315" spans="1:16" ht="15" customHeight="1" x14ac:dyDescent="0.3">
      <c r="A315" s="7" t="str">
        <f>Raw_Players!A277</f>
        <v>LAL</v>
      </c>
      <c r="B315" s="7" t="str">
        <f>Raw_Players!B277</f>
        <v>Collin Sexton</v>
      </c>
      <c r="C315" s="37">
        <f>Raw_Players!E277</f>
        <v>0.16074786571315261</v>
      </c>
      <c r="D315" s="31">
        <f>Raw_Players!F277</f>
        <v>1484.993783139347</v>
      </c>
      <c r="E315" s="31">
        <f>Raw_Players!G277</f>
        <v>23.82164315551633</v>
      </c>
      <c r="F315" s="31">
        <f>Raw_Players!H277</f>
        <v>62.338008064547381</v>
      </c>
      <c r="G315" s="31" t="str">
        <f>IFERROR(IF(INDEX(Overrides!$B$8:$B$47,MATCH(B315,Overrides!$A$8:$A$47,0))="","",INDEX(Overrides!$B$8:$B$47,MATCH(B315,Overrides!$A$8:$A$47,0))),"")</f>
        <v/>
      </c>
      <c r="H315" s="31" t="str">
        <f>IFERROR(IF(INDEX(Overrides!$C$8:$C$47,MATCH(B315,Overrides!$A$8:$A$47,0))="","",INDEX(Overrides!$C$8:$C$47,MATCH(B315,Overrides!$A$8:$A$47,0))),"")</f>
        <v/>
      </c>
      <c r="I315" s="36">
        <f>IFERROR(IF(INDEX(Overrides!$D$8:$D$47,MATCH(B315,Overrides!$A$8:$A$47,0))="",0,INDEX(Overrides!$D$8:$D$47,MATCH(B315,Overrides!$A$8:$A$47,0))),0)</f>
        <v>0</v>
      </c>
      <c r="J315" s="38">
        <f t="shared" si="35"/>
        <v>1484.993783139347</v>
      </c>
      <c r="K315" s="18">
        <f t="shared" si="36"/>
        <v>1</v>
      </c>
      <c r="L315" s="38">
        <f t="shared" si="37"/>
        <v>1484.993783139347</v>
      </c>
      <c r="M315" s="23">
        <f t="shared" si="38"/>
        <v>0.16074786571315261</v>
      </c>
      <c r="N315" s="23">
        <f t="shared" si="39"/>
        <v>0.37728500587889913</v>
      </c>
      <c r="O315" s="6"/>
      <c r="P315" s="18">
        <f t="shared" si="40"/>
        <v>6.064775946060727E-2</v>
      </c>
    </row>
    <row r="316" spans="1:16" ht="15" customHeight="1" x14ac:dyDescent="0.3">
      <c r="A316" s="7" t="str">
        <f>Raw_Players!A278</f>
        <v>LAL</v>
      </c>
      <c r="B316" s="7" t="str">
        <f>Raw_Players!B278</f>
        <v>Jake LaRavia</v>
      </c>
      <c r="C316" s="37">
        <f>Raw_Players!E278</f>
        <v>-0.33782496324194028</v>
      </c>
      <c r="D316" s="31">
        <f>Raw_Players!F278</f>
        <v>1462.5562610486661</v>
      </c>
      <c r="E316" s="31">
        <f>Raw_Players!G278</f>
        <v>21.950570051303881</v>
      </c>
      <c r="F316" s="31">
        <f>Raw_Players!H278</f>
        <v>66.629534341491464</v>
      </c>
      <c r="G316" s="31" t="str">
        <f>IFERROR(IF(INDEX(Overrides!$B$8:$B$47,MATCH(B316,Overrides!$A$8:$A$47,0))="","",INDEX(Overrides!$B$8:$B$47,MATCH(B316,Overrides!$A$8:$A$47,0))),"")</f>
        <v/>
      </c>
      <c r="H316" s="31" t="str">
        <f>IFERROR(IF(INDEX(Overrides!$C$8:$C$47,MATCH(B316,Overrides!$A$8:$A$47,0))="","",INDEX(Overrides!$C$8:$C$47,MATCH(B316,Overrides!$A$8:$A$47,0))),"")</f>
        <v/>
      </c>
      <c r="I316" s="36">
        <f>IFERROR(IF(INDEX(Overrides!$D$8:$D$47,MATCH(B316,Overrides!$A$8:$A$47,0))="",0,INDEX(Overrides!$D$8:$D$47,MATCH(B316,Overrides!$A$8:$A$47,0))),0)</f>
        <v>0</v>
      </c>
      <c r="J316" s="38">
        <f t="shared" si="35"/>
        <v>1462.5562610486661</v>
      </c>
      <c r="K316" s="18">
        <f t="shared" si="36"/>
        <v>1</v>
      </c>
      <c r="L316" s="38">
        <f t="shared" si="37"/>
        <v>1462.5562610486661</v>
      </c>
      <c r="M316" s="23">
        <f t="shared" si="38"/>
        <v>-0.33782496324194028</v>
      </c>
      <c r="N316" s="23">
        <f t="shared" si="39"/>
        <v>0.37158441591683589</v>
      </c>
      <c r="O316" s="6"/>
      <c r="P316" s="18">
        <f t="shared" si="40"/>
        <v>-0.12553049164838292</v>
      </c>
    </row>
    <row r="317" spans="1:16" ht="15" customHeight="1" x14ac:dyDescent="0.3">
      <c r="A317" s="7" t="str">
        <f>Raw_Players!A279</f>
        <v>LAL</v>
      </c>
      <c r="B317" s="7" t="str">
        <f>Raw_Players!B279</f>
        <v>Ziaire Williams</v>
      </c>
      <c r="C317" s="37">
        <f>Raw_Players!E279</f>
        <v>-1.2692317168606191</v>
      </c>
      <c r="D317" s="31">
        <f>Raw_Players!F279</f>
        <v>1277.2525319672841</v>
      </c>
      <c r="E317" s="31">
        <f>Raw_Players!G279</f>
        <v>21.397642114297138</v>
      </c>
      <c r="F317" s="31">
        <f>Raw_Players!H279</f>
        <v>59.691274634127538</v>
      </c>
      <c r="G317" s="31" t="str">
        <f>IFERROR(IF(INDEX(Overrides!$B$8:$B$47,MATCH(B317,Overrides!$A$8:$A$47,0))="","",INDEX(Overrides!$B$8:$B$47,MATCH(B317,Overrides!$A$8:$A$47,0))),"")</f>
        <v/>
      </c>
      <c r="H317" s="31" t="str">
        <f>IFERROR(IF(INDEX(Overrides!$C$8:$C$47,MATCH(B317,Overrides!$A$8:$A$47,0))="","",INDEX(Overrides!$C$8:$C$47,MATCH(B317,Overrides!$A$8:$A$47,0))),"")</f>
        <v/>
      </c>
      <c r="I317" s="36">
        <f>IFERROR(IF(INDEX(Overrides!$D$8:$D$47,MATCH(B317,Overrides!$A$8:$A$47,0))="",0,INDEX(Overrides!$D$8:$D$47,MATCH(B317,Overrides!$A$8:$A$47,0))),0)</f>
        <v>0</v>
      </c>
      <c r="J317" s="38">
        <f t="shared" si="35"/>
        <v>1277.2525319672841</v>
      </c>
      <c r="K317" s="18">
        <f t="shared" si="36"/>
        <v>1</v>
      </c>
      <c r="L317" s="38">
        <f t="shared" si="37"/>
        <v>1277.2525319672841</v>
      </c>
      <c r="M317" s="23">
        <f t="shared" si="38"/>
        <v>-1.2692317168606191</v>
      </c>
      <c r="N317" s="23">
        <f t="shared" si="39"/>
        <v>0.32450521645510266</v>
      </c>
      <c r="O317" s="6"/>
      <c r="P317" s="18">
        <f t="shared" si="40"/>
        <v>-0.41187231301153676</v>
      </c>
    </row>
    <row r="318" spans="1:16" ht="15" customHeight="1" x14ac:dyDescent="0.3">
      <c r="A318" s="7" t="str">
        <f>Raw_Players!A280</f>
        <v>LAL</v>
      </c>
      <c r="B318" s="7" t="str">
        <f>Raw_Players!B280</f>
        <v>Walker Kessler</v>
      </c>
      <c r="C318" s="37">
        <f>Raw_Players!E280</f>
        <v>1.1394591072579701</v>
      </c>
      <c r="D318" s="31">
        <f>Raw_Players!F280</f>
        <v>1166.4741162012349</v>
      </c>
      <c r="E318" s="31">
        <f>Raw_Players!G280</f>
        <v>25.136939395056341</v>
      </c>
      <c r="F318" s="31">
        <f>Raw_Players!H280</f>
        <v>46.404778953743417</v>
      </c>
      <c r="G318" s="31" t="str">
        <f>IFERROR(IF(INDEX(Overrides!$B$8:$B$47,MATCH(B318,Overrides!$A$8:$A$47,0))="","",INDEX(Overrides!$B$8:$B$47,MATCH(B318,Overrides!$A$8:$A$47,0))),"")</f>
        <v/>
      </c>
      <c r="H318" s="31" t="str">
        <f>IFERROR(IF(INDEX(Overrides!$C$8:$C$47,MATCH(B318,Overrides!$A$8:$A$47,0))="","",INDEX(Overrides!$C$8:$C$47,MATCH(B318,Overrides!$A$8:$A$47,0))),"")</f>
        <v/>
      </c>
      <c r="I318" s="36">
        <f>IFERROR(IF(INDEX(Overrides!$D$8:$D$47,MATCH(B318,Overrides!$A$8:$A$47,0))="",0,INDEX(Overrides!$D$8:$D$47,MATCH(B318,Overrides!$A$8:$A$47,0))),0)</f>
        <v>0</v>
      </c>
      <c r="J318" s="38">
        <f t="shared" si="35"/>
        <v>1166.4741162012349</v>
      </c>
      <c r="K318" s="18">
        <f t="shared" si="36"/>
        <v>1</v>
      </c>
      <c r="L318" s="38">
        <f t="shared" si="37"/>
        <v>1166.4741162012349</v>
      </c>
      <c r="M318" s="23">
        <f t="shared" si="38"/>
        <v>1.1394591072579701</v>
      </c>
      <c r="N318" s="23">
        <f t="shared" si="39"/>
        <v>0.29636029375031375</v>
      </c>
      <c r="O318" s="6"/>
      <c r="P318" s="18">
        <f t="shared" si="40"/>
        <v>0.33769043574344226</v>
      </c>
    </row>
    <row r="319" spans="1:16" ht="15" customHeight="1" x14ac:dyDescent="0.3">
      <c r="A319" s="7" t="str">
        <f>Raw_Players!A281</f>
        <v>LAL</v>
      </c>
      <c r="B319" s="7" t="str">
        <f>Raw_Players!B281</f>
        <v>Sandro Mamukelashvili</v>
      </c>
      <c r="C319" s="37">
        <f>Raw_Players!E281</f>
        <v>2.1346080405109702</v>
      </c>
      <c r="D319" s="31">
        <f>Raw_Players!F281</f>
        <v>1074.5296232174951</v>
      </c>
      <c r="E319" s="31">
        <f>Raw_Players!G281</f>
        <v>16.488656008707238</v>
      </c>
      <c r="F319" s="31">
        <f>Raw_Players!H281</f>
        <v>65.167811290990812</v>
      </c>
      <c r="G319" s="31" t="str">
        <f>IFERROR(IF(INDEX(Overrides!$B$8:$B$47,MATCH(B319,Overrides!$A$8:$A$47,0))="","",INDEX(Overrides!$B$8:$B$47,MATCH(B319,Overrides!$A$8:$A$47,0))),"")</f>
        <v/>
      </c>
      <c r="H319" s="31" t="str">
        <f>IFERROR(IF(INDEX(Overrides!$C$8:$C$47,MATCH(B319,Overrides!$A$8:$A$47,0))="","",INDEX(Overrides!$C$8:$C$47,MATCH(B319,Overrides!$A$8:$A$47,0))),"")</f>
        <v/>
      </c>
      <c r="I319" s="36">
        <f>IFERROR(IF(INDEX(Overrides!$D$8:$D$47,MATCH(B319,Overrides!$A$8:$A$47,0))="",0,INDEX(Overrides!$D$8:$D$47,MATCH(B319,Overrides!$A$8:$A$47,0))),0)</f>
        <v>0</v>
      </c>
      <c r="J319" s="38">
        <f t="shared" si="35"/>
        <v>1074.5296232174951</v>
      </c>
      <c r="K319" s="18">
        <f t="shared" si="36"/>
        <v>1</v>
      </c>
      <c r="L319" s="38">
        <f t="shared" si="37"/>
        <v>1074.5296232174951</v>
      </c>
      <c r="M319" s="23">
        <f t="shared" si="38"/>
        <v>2.1346080405109702</v>
      </c>
      <c r="N319" s="23">
        <f t="shared" si="39"/>
        <v>0.27300041240281886</v>
      </c>
      <c r="O319" s="6"/>
      <c r="P319" s="18">
        <f t="shared" si="40"/>
        <v>0.5827488753778679</v>
      </c>
    </row>
    <row r="320" spans="1:16" ht="15" customHeight="1" x14ac:dyDescent="0.3">
      <c r="A320" s="7" t="str">
        <f>Raw_Players!A282</f>
        <v>LAL</v>
      </c>
      <c r="B320" s="7" t="str">
        <f>Raw_Players!B282</f>
        <v>Jarred Vanderbilt</v>
      </c>
      <c r="C320" s="37">
        <f>Raw_Players!E282</f>
        <v>-0.20803310504509651</v>
      </c>
      <c r="D320" s="31">
        <f>Raw_Players!F282</f>
        <v>961.45421517301963</v>
      </c>
      <c r="E320" s="31">
        <f>Raw_Players!G282</f>
        <v>16.278112290866598</v>
      </c>
      <c r="F320" s="31">
        <f>Raw_Players!H282</f>
        <v>59.064232878678247</v>
      </c>
      <c r="G320" s="31" t="str">
        <f>IFERROR(IF(INDEX(Overrides!$B$8:$B$47,MATCH(B320,Overrides!$A$8:$A$47,0))="","",INDEX(Overrides!$B$8:$B$47,MATCH(B320,Overrides!$A$8:$A$47,0))),"")</f>
        <v/>
      </c>
      <c r="H320" s="31" t="str">
        <f>IFERROR(IF(INDEX(Overrides!$C$8:$C$47,MATCH(B320,Overrides!$A$8:$A$47,0))="","",INDEX(Overrides!$C$8:$C$47,MATCH(B320,Overrides!$A$8:$A$47,0))),"")</f>
        <v/>
      </c>
      <c r="I320" s="36">
        <f>IFERROR(IF(INDEX(Overrides!$D$8:$D$47,MATCH(B320,Overrides!$A$8:$A$47,0))="",0,INDEX(Overrides!$D$8:$D$47,MATCH(B320,Overrides!$A$8:$A$47,0))),0)</f>
        <v>0</v>
      </c>
      <c r="J320" s="38">
        <f t="shared" si="35"/>
        <v>961.45421517301963</v>
      </c>
      <c r="K320" s="18">
        <f t="shared" si="36"/>
        <v>1</v>
      </c>
      <c r="L320" s="38">
        <f t="shared" si="37"/>
        <v>961.45421517301963</v>
      </c>
      <c r="M320" s="23">
        <f t="shared" si="38"/>
        <v>-0.20803310504509651</v>
      </c>
      <c r="N320" s="23">
        <f t="shared" si="39"/>
        <v>0.24427190426143791</v>
      </c>
      <c r="O320" s="6"/>
      <c r="P320" s="18">
        <f t="shared" si="40"/>
        <v>-5.0816642718785471E-2</v>
      </c>
    </row>
    <row r="321" spans="1:16" ht="15" customHeight="1" x14ac:dyDescent="0.3">
      <c r="A321" s="7" t="str">
        <f>Raw_Players!A283</f>
        <v>LAL</v>
      </c>
      <c r="B321" s="7" t="str">
        <f>Raw_Players!B283</f>
        <v>Jaden Hardy</v>
      </c>
      <c r="C321" s="37">
        <f>Raw_Players!E283</f>
        <v>-2.563746002186245</v>
      </c>
      <c r="D321" s="31">
        <f>Raw_Players!F283</f>
        <v>867.55144261523458</v>
      </c>
      <c r="E321" s="31">
        <f>Raw_Players!G283</f>
        <v>14.57937678758068</v>
      </c>
      <c r="F321" s="31">
        <f>Raw_Players!H283</f>
        <v>59.505385947240967</v>
      </c>
      <c r="G321" s="31" t="str">
        <f>IFERROR(IF(INDEX(Overrides!$B$8:$B$47,MATCH(B321,Overrides!$A$8:$A$47,0))="","",INDEX(Overrides!$B$8:$B$47,MATCH(B321,Overrides!$A$8:$A$47,0))),"")</f>
        <v/>
      </c>
      <c r="H321" s="31" t="str">
        <f>IFERROR(IF(INDEX(Overrides!$C$8:$C$47,MATCH(B321,Overrides!$A$8:$A$47,0))="","",INDEX(Overrides!$C$8:$C$47,MATCH(B321,Overrides!$A$8:$A$47,0))),"")</f>
        <v/>
      </c>
      <c r="I321" s="36">
        <f>IFERROR(IF(INDEX(Overrides!$D$8:$D$47,MATCH(B321,Overrides!$A$8:$A$47,0))="",0,INDEX(Overrides!$D$8:$D$47,MATCH(B321,Overrides!$A$8:$A$47,0))),0)</f>
        <v>0</v>
      </c>
      <c r="J321" s="38">
        <f t="shared" si="35"/>
        <v>867.55144261523458</v>
      </c>
      <c r="K321" s="18">
        <f t="shared" si="36"/>
        <v>1</v>
      </c>
      <c r="L321" s="38">
        <f t="shared" si="37"/>
        <v>867.55144261523458</v>
      </c>
      <c r="M321" s="23">
        <f t="shared" si="38"/>
        <v>-2.563746002186245</v>
      </c>
      <c r="N321" s="23">
        <f t="shared" si="39"/>
        <v>0.22041449253435838</v>
      </c>
      <c r="O321" s="6"/>
      <c r="P321" s="18">
        <f t="shared" si="40"/>
        <v>-0.5650867740588712</v>
      </c>
    </row>
    <row r="322" spans="1:16" ht="15" customHeight="1" x14ac:dyDescent="0.3">
      <c r="A322" s="7" t="str">
        <f>Raw_Players!A284</f>
        <v>LAL</v>
      </c>
      <c r="B322" s="7" t="str">
        <f>Raw_Players!B284</f>
        <v>Matisse Thybulle</v>
      </c>
      <c r="C322" s="37">
        <f>Raw_Players!E284</f>
        <v>1.206972072524136</v>
      </c>
      <c r="D322" s="31">
        <f>Raw_Players!F284</f>
        <v>850.80102915724785</v>
      </c>
      <c r="E322" s="31">
        <f>Raw_Players!G284</f>
        <v>17.809997666552469</v>
      </c>
      <c r="F322" s="31">
        <f>Raw_Players!H284</f>
        <v>47.770979260433542</v>
      </c>
      <c r="G322" s="31" t="str">
        <f>IFERROR(IF(INDEX(Overrides!$B$8:$B$47,MATCH(B322,Overrides!$A$8:$A$47,0))="","",INDEX(Overrides!$B$8:$B$47,MATCH(B322,Overrides!$A$8:$A$47,0))),"")</f>
        <v/>
      </c>
      <c r="H322" s="31" t="str">
        <f>IFERROR(IF(INDEX(Overrides!$C$8:$C$47,MATCH(B322,Overrides!$A$8:$A$47,0))="","",INDEX(Overrides!$C$8:$C$47,MATCH(B322,Overrides!$A$8:$A$47,0))),"")</f>
        <v/>
      </c>
      <c r="I322" s="36">
        <f>IFERROR(IF(INDEX(Overrides!$D$8:$D$47,MATCH(B322,Overrides!$A$8:$A$47,0))="",0,INDEX(Overrides!$D$8:$D$47,MATCH(B322,Overrides!$A$8:$A$47,0))),0)</f>
        <v>0</v>
      </c>
      <c r="J322" s="38">
        <f t="shared" si="35"/>
        <v>850.80102915724785</v>
      </c>
      <c r="K322" s="18">
        <f t="shared" si="36"/>
        <v>1</v>
      </c>
      <c r="L322" s="38">
        <f t="shared" si="37"/>
        <v>850.80102915724785</v>
      </c>
      <c r="M322" s="23">
        <f t="shared" si="38"/>
        <v>1.206972072524136</v>
      </c>
      <c r="N322" s="23">
        <f t="shared" si="39"/>
        <v>0.21615879805824387</v>
      </c>
      <c r="O322" s="6"/>
      <c r="P322" s="18">
        <f t="shared" si="40"/>
        <v>0.26089763248668479</v>
      </c>
    </row>
    <row r="323" spans="1:16" ht="15" customHeight="1" x14ac:dyDescent="0.3">
      <c r="A323" s="7" t="str">
        <f>Raw_Players!A285</f>
        <v>LAL</v>
      </c>
      <c r="B323" s="7" t="str">
        <f>Raw_Players!B285</f>
        <v>Dalton Knecht</v>
      </c>
      <c r="C323" s="37">
        <f>Raw_Players!E285</f>
        <v>-1.4097263601169481</v>
      </c>
      <c r="D323" s="31">
        <f>Raw_Players!F285</f>
        <v>829.088728806174</v>
      </c>
      <c r="E323" s="31">
        <f>Raw_Players!G285</f>
        <v>13.68396347660947</v>
      </c>
      <c r="F323" s="31">
        <f>Raw_Players!H285</f>
        <v>60.588347098658041</v>
      </c>
      <c r="G323" s="31" t="str">
        <f>IFERROR(IF(INDEX(Overrides!$B$8:$B$47,MATCH(B323,Overrides!$A$8:$A$47,0))="","",INDEX(Overrides!$B$8:$B$47,MATCH(B323,Overrides!$A$8:$A$47,0))),"")</f>
        <v/>
      </c>
      <c r="H323" s="31" t="str">
        <f>IFERROR(IF(INDEX(Overrides!$C$8:$C$47,MATCH(B323,Overrides!$A$8:$A$47,0))="","",INDEX(Overrides!$C$8:$C$47,MATCH(B323,Overrides!$A$8:$A$47,0))),"")</f>
        <v/>
      </c>
      <c r="I323" s="36">
        <f>IFERROR(IF(INDEX(Overrides!$D$8:$D$47,MATCH(B323,Overrides!$A$8:$A$47,0))="",0,INDEX(Overrides!$D$8:$D$47,MATCH(B323,Overrides!$A$8:$A$47,0))),0)</f>
        <v>0</v>
      </c>
      <c r="J323" s="38">
        <f t="shared" si="35"/>
        <v>829.088728806174</v>
      </c>
      <c r="K323" s="18">
        <f t="shared" si="36"/>
        <v>1</v>
      </c>
      <c r="L323" s="38">
        <f t="shared" si="37"/>
        <v>829.088728806174</v>
      </c>
      <c r="M323" s="23">
        <f t="shared" si="38"/>
        <v>-1.4097263601169481</v>
      </c>
      <c r="N323" s="23">
        <f t="shared" si="39"/>
        <v>0.21064246158693445</v>
      </c>
      <c r="O323" s="6"/>
      <c r="P323" s="18">
        <f t="shared" si="40"/>
        <v>-0.29694823065902315</v>
      </c>
    </row>
    <row r="324" spans="1:16" ht="15" customHeight="1" x14ac:dyDescent="0.3">
      <c r="A324" s="7" t="str">
        <f>Raw_Players!A286</f>
        <v>LAL</v>
      </c>
      <c r="B324" s="7" t="str">
        <f>Raw_Players!B286</f>
        <v>Kevon Looney</v>
      </c>
      <c r="C324" s="37">
        <f>Raw_Players!E286</f>
        <v>-0.52362670639800801</v>
      </c>
      <c r="D324" s="31">
        <f>Raw_Players!F286</f>
        <v>738.78411797744798</v>
      </c>
      <c r="E324" s="31">
        <f>Raw_Players!G286</f>
        <v>14.522624235245379</v>
      </c>
      <c r="F324" s="31">
        <f>Raw_Players!H286</f>
        <v>50.871254809752017</v>
      </c>
      <c r="G324" s="31" t="str">
        <f>IFERROR(IF(INDEX(Overrides!$B$8:$B$47,MATCH(B324,Overrides!$A$8:$A$47,0))="","",INDEX(Overrides!$B$8:$B$47,MATCH(B324,Overrides!$A$8:$A$47,0))),"")</f>
        <v/>
      </c>
      <c r="H324" s="31" t="str">
        <f>IFERROR(IF(INDEX(Overrides!$C$8:$C$47,MATCH(B324,Overrides!$A$8:$A$47,0))="","",INDEX(Overrides!$C$8:$C$47,MATCH(B324,Overrides!$A$8:$A$47,0))),"")</f>
        <v/>
      </c>
      <c r="I324" s="36">
        <f>IFERROR(IF(INDEX(Overrides!$D$8:$D$47,MATCH(B324,Overrides!$A$8:$A$47,0))="",0,INDEX(Overrides!$D$8:$D$47,MATCH(B324,Overrides!$A$8:$A$47,0))),0)</f>
        <v>0</v>
      </c>
      <c r="J324" s="38">
        <f t="shared" si="35"/>
        <v>738.78411797744798</v>
      </c>
      <c r="K324" s="18">
        <f t="shared" si="36"/>
        <v>1</v>
      </c>
      <c r="L324" s="38">
        <f t="shared" si="37"/>
        <v>738.78411797744798</v>
      </c>
      <c r="M324" s="23">
        <f t="shared" si="38"/>
        <v>-0.52362670639800801</v>
      </c>
      <c r="N324" s="23">
        <f t="shared" si="39"/>
        <v>0.18769921696581504</v>
      </c>
      <c r="O324" s="6"/>
      <c r="P324" s="18">
        <f t="shared" si="40"/>
        <v>-9.8284322773294838E-2</v>
      </c>
    </row>
    <row r="325" spans="1:16" ht="15" customHeight="1" x14ac:dyDescent="0.3">
      <c r="A325" s="7" t="str">
        <f>Raw_Players!A287</f>
        <v>LAL</v>
      </c>
      <c r="B325" s="7" t="str">
        <f>Raw_Players!B287</f>
        <v>Cameron Carr</v>
      </c>
      <c r="C325" s="37">
        <f>Raw_Players!E287</f>
        <v>-3.144044869752443</v>
      </c>
      <c r="D325" s="31">
        <f>Raw_Players!F287</f>
        <v>712.67900867920548</v>
      </c>
      <c r="E325" s="31">
        <f>Raw_Players!G287</f>
        <v>16.587933770623231</v>
      </c>
      <c r="F325" s="31">
        <f>Raw_Players!H287</f>
        <v>42.963699911880539</v>
      </c>
      <c r="G325" s="31" t="str">
        <f>IFERROR(IF(INDEX(Overrides!$B$8:$B$47,MATCH(B325,Overrides!$A$8:$A$47,0))="","",INDEX(Overrides!$B$8:$B$47,MATCH(B325,Overrides!$A$8:$A$47,0))),"")</f>
        <v/>
      </c>
      <c r="H325" s="31" t="str">
        <f>IFERROR(IF(INDEX(Overrides!$C$8:$C$47,MATCH(B325,Overrides!$A$8:$A$47,0))="","",INDEX(Overrides!$C$8:$C$47,MATCH(B325,Overrides!$A$8:$A$47,0))),"")</f>
        <v/>
      </c>
      <c r="I325" s="36">
        <f>IFERROR(IF(INDEX(Overrides!$D$8:$D$47,MATCH(B325,Overrides!$A$8:$A$47,0))="",0,INDEX(Overrides!$D$8:$D$47,MATCH(B325,Overrides!$A$8:$A$47,0))),0)</f>
        <v>0</v>
      </c>
      <c r="J325" s="38">
        <f t="shared" si="35"/>
        <v>712.67900867920548</v>
      </c>
      <c r="K325" s="18">
        <f t="shared" si="36"/>
        <v>1</v>
      </c>
      <c r="L325" s="38">
        <f t="shared" si="37"/>
        <v>712.67900867920548</v>
      </c>
      <c r="M325" s="23">
        <f t="shared" si="38"/>
        <v>-3.144044869752443</v>
      </c>
      <c r="N325" s="23">
        <f t="shared" si="39"/>
        <v>0.18106682131077376</v>
      </c>
      <c r="O325" s="6"/>
      <c r="P325" s="18">
        <f t="shared" si="40"/>
        <v>-0.56928221062452056</v>
      </c>
    </row>
    <row r="326" spans="1:16" ht="15" customHeight="1" x14ac:dyDescent="0.3">
      <c r="A326" s="7" t="str">
        <f>Raw_Players!A288</f>
        <v>LAL</v>
      </c>
      <c r="B326" s="7" t="str">
        <f>Raw_Players!B288</f>
        <v>Bronny James</v>
      </c>
      <c r="C326" s="37">
        <f>Raw_Players!E288</f>
        <v>-1.998084004046242</v>
      </c>
      <c r="D326" s="31">
        <f>Raw_Players!F288</f>
        <v>460.60258082867631</v>
      </c>
      <c r="E326" s="31">
        <f>Raw_Players!G288</f>
        <v>8.6814162977359306</v>
      </c>
      <c r="F326" s="31">
        <f>Raw_Players!H288</f>
        <v>53.056156395679253</v>
      </c>
      <c r="G326" s="31" t="str">
        <f>IFERROR(IF(INDEX(Overrides!$B$8:$B$47,MATCH(B326,Overrides!$A$8:$A$47,0))="","",INDEX(Overrides!$B$8:$B$47,MATCH(B326,Overrides!$A$8:$A$47,0))),"")</f>
        <v/>
      </c>
      <c r="H326" s="31" t="str">
        <f>IFERROR(IF(INDEX(Overrides!$C$8:$C$47,MATCH(B326,Overrides!$A$8:$A$47,0))="","",INDEX(Overrides!$C$8:$C$47,MATCH(B326,Overrides!$A$8:$A$47,0))),"")</f>
        <v/>
      </c>
      <c r="I326" s="36">
        <f>IFERROR(IF(INDEX(Overrides!$D$8:$D$47,MATCH(B326,Overrides!$A$8:$A$47,0))="",0,INDEX(Overrides!$D$8:$D$47,MATCH(B326,Overrides!$A$8:$A$47,0))),0)</f>
        <v>0</v>
      </c>
      <c r="J326" s="38">
        <f t="shared" si="35"/>
        <v>460.60258082867631</v>
      </c>
      <c r="K326" s="18">
        <f t="shared" si="36"/>
        <v>1</v>
      </c>
      <c r="L326" s="38">
        <f t="shared" si="37"/>
        <v>460.60258082867631</v>
      </c>
      <c r="M326" s="23">
        <f t="shared" si="38"/>
        <v>-1.998084004046242</v>
      </c>
      <c r="N326" s="23">
        <f t="shared" si="39"/>
        <v>0.1170230134219198</v>
      </c>
      <c r="O326" s="6"/>
      <c r="P326" s="18">
        <f t="shared" si="40"/>
        <v>-0.23382181122362664</v>
      </c>
    </row>
    <row r="327" spans="1:16" ht="15" customHeight="1" x14ac:dyDescent="0.3">
      <c r="A327" s="7" t="str">
        <f>Raw_Players!A289</f>
        <v>LAL</v>
      </c>
      <c r="B327" s="7" t="str">
        <f>Raw_Players!B289</f>
        <v>Chris Manon</v>
      </c>
      <c r="C327" s="37">
        <f>Raw_Players!E289</f>
        <v>-1.0904569982476611</v>
      </c>
      <c r="D327" s="31">
        <f>Raw_Players!F289</f>
        <v>391.59960775267967</v>
      </c>
      <c r="E327" s="31">
        <f>Raw_Players!G289</f>
        <v>9.1154039504664404</v>
      </c>
      <c r="F327" s="31">
        <f>Raw_Players!H289</f>
        <v>42.960203396432178</v>
      </c>
      <c r="G327" s="31" t="str">
        <f>IFERROR(IF(INDEX(Overrides!$B$8:$B$47,MATCH(B327,Overrides!$A$8:$A$47,0))="","",INDEX(Overrides!$B$8:$B$47,MATCH(B327,Overrides!$A$8:$A$47,0))),"")</f>
        <v/>
      </c>
      <c r="H327" s="31" t="str">
        <f>IFERROR(IF(INDEX(Overrides!$C$8:$C$47,MATCH(B327,Overrides!$A$8:$A$47,0))="","",INDEX(Overrides!$C$8:$C$47,MATCH(B327,Overrides!$A$8:$A$47,0))),"")</f>
        <v/>
      </c>
      <c r="I327" s="36">
        <f>IFERROR(IF(INDEX(Overrides!$D$8:$D$47,MATCH(B327,Overrides!$A$8:$A$47,0))="",0,INDEX(Overrides!$D$8:$D$47,MATCH(B327,Overrides!$A$8:$A$47,0))),0)</f>
        <v>0</v>
      </c>
      <c r="J327" s="38">
        <f t="shared" si="35"/>
        <v>391.59960775267967</v>
      </c>
      <c r="K327" s="18">
        <f t="shared" si="36"/>
        <v>1</v>
      </c>
      <c r="L327" s="38">
        <f t="shared" si="37"/>
        <v>391.59960775267967</v>
      </c>
      <c r="M327" s="23">
        <f t="shared" si="38"/>
        <v>-1.0904569982476611</v>
      </c>
      <c r="N327" s="23">
        <f t="shared" si="39"/>
        <v>9.9491770262367801E-2</v>
      </c>
      <c r="O327" s="6"/>
      <c r="P327" s="18">
        <f t="shared" si="40"/>
        <v>-0.1084914971506475</v>
      </c>
    </row>
    <row r="328" spans="1:16" ht="15" customHeight="1" x14ac:dyDescent="0.3">
      <c r="A328" s="7" t="str">
        <f>Raw_Players!A290</f>
        <v>LAL</v>
      </c>
      <c r="B328" s="7" t="str">
        <f>Raw_Players!B290</f>
        <v>Adou Thiero</v>
      </c>
      <c r="C328" s="37">
        <f>Raw_Players!E290</f>
        <v>-1.684579453835751</v>
      </c>
      <c r="D328" s="31">
        <f>Raw_Players!F290</f>
        <v>386.91636225557869</v>
      </c>
      <c r="E328" s="31">
        <f>Raw_Players!G290</f>
        <v>7.9618616806286511</v>
      </c>
      <c r="F328" s="31">
        <f>Raw_Players!H290</f>
        <v>48.59621754004506</v>
      </c>
      <c r="G328" s="31" t="str">
        <f>IFERROR(IF(INDEX(Overrides!$B$8:$B$47,MATCH(B328,Overrides!$A$8:$A$47,0))="","",INDEX(Overrides!$B$8:$B$47,MATCH(B328,Overrides!$A$8:$A$47,0))),"")</f>
        <v/>
      </c>
      <c r="H328" s="31" t="str">
        <f>IFERROR(IF(INDEX(Overrides!$C$8:$C$47,MATCH(B328,Overrides!$A$8:$A$47,0))="","",INDEX(Overrides!$C$8:$C$47,MATCH(B328,Overrides!$A$8:$A$47,0))),"")</f>
        <v/>
      </c>
      <c r="I328" s="36">
        <f>IFERROR(IF(INDEX(Overrides!$D$8:$D$47,MATCH(B328,Overrides!$A$8:$A$47,0))="",0,INDEX(Overrides!$D$8:$D$47,MATCH(B328,Overrides!$A$8:$A$47,0))),0)</f>
        <v>0</v>
      </c>
      <c r="J328" s="38">
        <f t="shared" si="35"/>
        <v>386.91636225557869</v>
      </c>
      <c r="K328" s="18">
        <f t="shared" si="36"/>
        <v>1</v>
      </c>
      <c r="L328" s="38">
        <f t="shared" si="37"/>
        <v>386.91636225557869</v>
      </c>
      <c r="M328" s="23">
        <f t="shared" si="38"/>
        <v>-1.684579453835751</v>
      </c>
      <c r="N328" s="23">
        <f t="shared" si="39"/>
        <v>9.8301921304771014E-2</v>
      </c>
      <c r="O328" s="6"/>
      <c r="P328" s="18">
        <f t="shared" si="40"/>
        <v>-0.16559739690259614</v>
      </c>
    </row>
    <row r="329" spans="1:16" ht="15" customHeight="1" x14ac:dyDescent="0.3">
      <c r="A329" s="7" t="str">
        <f>Raw_Players!A291</f>
        <v>LAL</v>
      </c>
      <c r="B329" s="7" t="str">
        <f>Raw_Players!B291</f>
        <v>Rafael Castro</v>
      </c>
      <c r="C329" s="37">
        <f>Raw_Players!E291</f>
        <v>-3.1867960702466678</v>
      </c>
      <c r="D329" s="31">
        <f>Raw_Players!F291</f>
        <v>376.39518476089279</v>
      </c>
      <c r="E329" s="31">
        <f>Raw_Players!G291</f>
        <v>12.40660237419741</v>
      </c>
      <c r="F329" s="31">
        <f>Raw_Players!H291</f>
        <v>30.338296772023529</v>
      </c>
      <c r="G329" s="31" t="str">
        <f>IFERROR(IF(INDEX(Overrides!$B$8:$B$47,MATCH(B329,Overrides!$A$8:$A$47,0))="","",INDEX(Overrides!$B$8:$B$47,MATCH(B329,Overrides!$A$8:$A$47,0))),"")</f>
        <v/>
      </c>
      <c r="H329" s="31" t="str">
        <f>IFERROR(IF(INDEX(Overrides!$C$8:$C$47,MATCH(B329,Overrides!$A$8:$A$47,0))="","",INDEX(Overrides!$C$8:$C$47,MATCH(B329,Overrides!$A$8:$A$47,0))),"")</f>
        <v/>
      </c>
      <c r="I329" s="36">
        <f>IFERROR(IF(INDEX(Overrides!$D$8:$D$47,MATCH(B329,Overrides!$A$8:$A$47,0))="",0,INDEX(Overrides!$D$8:$D$47,MATCH(B329,Overrides!$A$8:$A$47,0))),0)</f>
        <v>0</v>
      </c>
      <c r="J329" s="38">
        <f t="shared" si="35"/>
        <v>376.39518476089279</v>
      </c>
      <c r="K329" s="18">
        <f t="shared" si="36"/>
        <v>1</v>
      </c>
      <c r="L329" s="38">
        <f t="shared" si="37"/>
        <v>376.39518476089279</v>
      </c>
      <c r="M329" s="23">
        <f t="shared" si="38"/>
        <v>-3.1867960702466678</v>
      </c>
      <c r="N329" s="23">
        <f t="shared" si="39"/>
        <v>9.5628857916893489E-2</v>
      </c>
      <c r="O329" s="6"/>
      <c r="P329" s="18">
        <f t="shared" si="40"/>
        <v>-0.30474966861173314</v>
      </c>
    </row>
    <row r="330" spans="1:16" ht="15" customHeight="1" x14ac:dyDescent="0.3">
      <c r="A330" s="7" t="str">
        <f>Raw_Players!A292</f>
        <v>LAL</v>
      </c>
      <c r="B330" s="7" t="str">
        <f>Raw_Players!B292</f>
        <v>Arthur Kaluma</v>
      </c>
      <c r="C330" s="37">
        <f>Raw_Players!E292</f>
        <v>-3.1867960702466678</v>
      </c>
      <c r="D330" s="31">
        <f>Raw_Players!F292</f>
        <v>376.39518476089279</v>
      </c>
      <c r="E330" s="31">
        <f>Raw_Players!G292</f>
        <v>12.40660237419741</v>
      </c>
      <c r="F330" s="31">
        <f>Raw_Players!H292</f>
        <v>30.338296772023529</v>
      </c>
      <c r="G330" s="31" t="str">
        <f>IFERROR(IF(INDEX(Overrides!$B$8:$B$47,MATCH(B330,Overrides!$A$8:$A$47,0))="","",INDEX(Overrides!$B$8:$B$47,MATCH(B330,Overrides!$A$8:$A$47,0))),"")</f>
        <v/>
      </c>
      <c r="H330" s="31" t="str">
        <f>IFERROR(IF(INDEX(Overrides!$C$8:$C$47,MATCH(B330,Overrides!$A$8:$A$47,0))="","",INDEX(Overrides!$C$8:$C$47,MATCH(B330,Overrides!$A$8:$A$47,0))),"")</f>
        <v/>
      </c>
      <c r="I330" s="36">
        <f>IFERROR(IF(INDEX(Overrides!$D$8:$D$47,MATCH(B330,Overrides!$A$8:$A$47,0))="",0,INDEX(Overrides!$D$8:$D$47,MATCH(B330,Overrides!$A$8:$A$47,0))),0)</f>
        <v>0</v>
      </c>
      <c r="J330" s="38">
        <f t="shared" si="35"/>
        <v>376.39518476089279</v>
      </c>
      <c r="K330" s="18">
        <f t="shared" si="36"/>
        <v>1</v>
      </c>
      <c r="L330" s="38">
        <f t="shared" si="37"/>
        <v>376.39518476089279</v>
      </c>
      <c r="M330" s="23">
        <f t="shared" si="38"/>
        <v>-3.1867960702466678</v>
      </c>
      <c r="N330" s="23">
        <f t="shared" si="39"/>
        <v>9.5628857916893489E-2</v>
      </c>
      <c r="O330" s="6"/>
      <c r="P330" s="18">
        <f t="shared" si="40"/>
        <v>-0.30474966861173314</v>
      </c>
    </row>
    <row r="331" spans="1:16" ht="15" customHeight="1" x14ac:dyDescent="0.3">
      <c r="A331" s="7" t="str">
        <f>Raw_Players!A293</f>
        <v>LAL</v>
      </c>
      <c r="B331" s="7" t="str">
        <f>Raw_Players!B293</f>
        <v>William Kyle III</v>
      </c>
      <c r="C331" s="37">
        <f>Raw_Players!E293</f>
        <v>-3.1867960702466678</v>
      </c>
      <c r="D331" s="31">
        <f>Raw_Players!F293</f>
        <v>376.39518476089279</v>
      </c>
      <c r="E331" s="31">
        <f>Raw_Players!G293</f>
        <v>12.40660237419741</v>
      </c>
      <c r="F331" s="31">
        <f>Raw_Players!H293</f>
        <v>30.338296772023529</v>
      </c>
      <c r="G331" s="31" t="str">
        <f>IFERROR(IF(INDEX(Overrides!$B$8:$B$47,MATCH(B331,Overrides!$A$8:$A$47,0))="","",INDEX(Overrides!$B$8:$B$47,MATCH(B331,Overrides!$A$8:$A$47,0))),"")</f>
        <v/>
      </c>
      <c r="H331" s="31" t="str">
        <f>IFERROR(IF(INDEX(Overrides!$C$8:$C$47,MATCH(B331,Overrides!$A$8:$A$47,0))="","",INDEX(Overrides!$C$8:$C$47,MATCH(B331,Overrides!$A$8:$A$47,0))),"")</f>
        <v/>
      </c>
      <c r="I331" s="36">
        <f>IFERROR(IF(INDEX(Overrides!$D$8:$D$47,MATCH(B331,Overrides!$A$8:$A$47,0))="",0,INDEX(Overrides!$D$8:$D$47,MATCH(B331,Overrides!$A$8:$A$47,0))),0)</f>
        <v>0</v>
      </c>
      <c r="J331" s="38">
        <f t="shared" si="35"/>
        <v>376.39518476089279</v>
      </c>
      <c r="K331" s="18">
        <f t="shared" si="36"/>
        <v>1</v>
      </c>
      <c r="L331" s="38">
        <f t="shared" si="37"/>
        <v>376.39518476089279</v>
      </c>
      <c r="M331" s="23">
        <f t="shared" si="38"/>
        <v>-3.1867960702466678</v>
      </c>
      <c r="N331" s="23">
        <f t="shared" si="39"/>
        <v>9.5628857916893489E-2</v>
      </c>
      <c r="O331" s="6"/>
      <c r="P331" s="18">
        <f t="shared" si="40"/>
        <v>-0.30474966861173314</v>
      </c>
    </row>
    <row r="332" spans="1:16" ht="15" customHeight="1" x14ac:dyDescent="0.3">
      <c r="A332" s="7" t="str">
        <f>Raw_Players!A294</f>
        <v>LAL</v>
      </c>
      <c r="B332" s="7" t="str">
        <f>Raw_Players!B294</f>
        <v>AK Okereke</v>
      </c>
      <c r="C332" s="37">
        <f>Raw_Players!E294</f>
        <v>-3.1867960702466678</v>
      </c>
      <c r="D332" s="31">
        <f>Raw_Players!F294</f>
        <v>376.39518476089279</v>
      </c>
      <c r="E332" s="31">
        <f>Raw_Players!G294</f>
        <v>12.40660237419741</v>
      </c>
      <c r="F332" s="31">
        <f>Raw_Players!H294</f>
        <v>30.338296772023529</v>
      </c>
      <c r="G332" s="31" t="str">
        <f>IFERROR(IF(INDEX(Overrides!$B$8:$B$47,MATCH(B332,Overrides!$A$8:$A$47,0))="","",INDEX(Overrides!$B$8:$B$47,MATCH(B332,Overrides!$A$8:$A$47,0))),"")</f>
        <v/>
      </c>
      <c r="H332" s="31" t="str">
        <f>IFERROR(IF(INDEX(Overrides!$C$8:$C$47,MATCH(B332,Overrides!$A$8:$A$47,0))="","",INDEX(Overrides!$C$8:$C$47,MATCH(B332,Overrides!$A$8:$A$47,0))),"")</f>
        <v/>
      </c>
      <c r="I332" s="36">
        <f>IFERROR(IF(INDEX(Overrides!$D$8:$D$47,MATCH(B332,Overrides!$A$8:$A$47,0))="",0,INDEX(Overrides!$D$8:$D$47,MATCH(B332,Overrides!$A$8:$A$47,0))),0)</f>
        <v>0</v>
      </c>
      <c r="J332" s="38">
        <f t="shared" si="35"/>
        <v>376.39518476089279</v>
      </c>
      <c r="K332" s="18">
        <f t="shared" si="36"/>
        <v>1</v>
      </c>
      <c r="L332" s="38">
        <f t="shared" si="37"/>
        <v>376.39518476089279</v>
      </c>
      <c r="M332" s="23">
        <f t="shared" si="38"/>
        <v>-3.1867960702466678</v>
      </c>
      <c r="N332" s="23">
        <f t="shared" si="39"/>
        <v>9.5628857916893489E-2</v>
      </c>
      <c r="O332" s="6"/>
      <c r="P332" s="18">
        <f t="shared" si="40"/>
        <v>-0.30474966861173314</v>
      </c>
    </row>
    <row r="333" spans="1:16" ht="15" customHeight="1" x14ac:dyDescent="0.3">
      <c r="A333" s="7" t="str">
        <f>Raw_Players!A295</f>
        <v>MEM</v>
      </c>
      <c r="B333" s="7" t="str">
        <f>Raw_Players!B295</f>
        <v>Cameron Boozer</v>
      </c>
      <c r="C333" s="37">
        <f>Raw_Players!E295</f>
        <v>0.76555257577395119</v>
      </c>
      <c r="D333" s="31">
        <f>Raw_Players!F295</f>
        <v>1645.2554736787661</v>
      </c>
      <c r="E333" s="31">
        <f>Raw_Players!G295</f>
        <v>23.137340338680641</v>
      </c>
      <c r="F333" s="31">
        <f>Raw_Players!H295</f>
        <v>71.108236711557282</v>
      </c>
      <c r="G333" s="31" t="str">
        <f>IFERROR(IF(INDEX(Overrides!$B$8:$B$47,MATCH(B333,Overrides!$A$8:$A$47,0))="","",INDEX(Overrides!$B$8:$B$47,MATCH(B333,Overrides!$A$8:$A$47,0))),"")</f>
        <v/>
      </c>
      <c r="H333" s="31" t="str">
        <f>IFERROR(IF(INDEX(Overrides!$C$8:$C$47,MATCH(B333,Overrides!$A$8:$A$47,0))="","",INDEX(Overrides!$C$8:$C$47,MATCH(B333,Overrides!$A$8:$A$47,0))),"")</f>
        <v/>
      </c>
      <c r="I333" s="36">
        <f>IFERROR(IF(INDEX(Overrides!$D$8:$D$47,MATCH(B333,Overrides!$A$8:$A$47,0))="",0,INDEX(Overrides!$D$8:$D$47,MATCH(B333,Overrides!$A$8:$A$47,0))),0)</f>
        <v>0</v>
      </c>
      <c r="J333" s="38">
        <f t="shared" si="35"/>
        <v>1645.2554736787661</v>
      </c>
      <c r="K333" s="18">
        <f t="shared" si="36"/>
        <v>1.0000000000000004</v>
      </c>
      <c r="L333" s="38">
        <f t="shared" si="37"/>
        <v>1645.2554736787667</v>
      </c>
      <c r="M333" s="23">
        <f t="shared" si="38"/>
        <v>0.76555257577395119</v>
      </c>
      <c r="N333" s="23">
        <f t="shared" si="39"/>
        <v>0.4180018988004997</v>
      </c>
      <c r="O333" s="6"/>
      <c r="P333" s="18">
        <f t="shared" si="40"/>
        <v>0.32000243030512504</v>
      </c>
    </row>
    <row r="334" spans="1:16" ht="15" customHeight="1" x14ac:dyDescent="0.3">
      <c r="A334" s="7" t="str">
        <f>Raw_Players!A296</f>
        <v>MEM</v>
      </c>
      <c r="B334" s="7" t="str">
        <f>Raw_Players!B296</f>
        <v>Jaylen Wells</v>
      </c>
      <c r="C334" s="37">
        <f>Raw_Players!E296</f>
        <v>-1.5165375576528941</v>
      </c>
      <c r="D334" s="31">
        <f>Raw_Players!F296</f>
        <v>1483.3175796843079</v>
      </c>
      <c r="E334" s="31">
        <f>Raw_Players!G296</f>
        <v>21.837929058347768</v>
      </c>
      <c r="F334" s="31">
        <f>Raw_Players!H296</f>
        <v>67.92391236921317</v>
      </c>
      <c r="G334" s="31" t="str">
        <f>IFERROR(IF(INDEX(Overrides!$B$8:$B$47,MATCH(B334,Overrides!$A$8:$A$47,0))="","",INDEX(Overrides!$B$8:$B$47,MATCH(B334,Overrides!$A$8:$A$47,0))),"")</f>
        <v/>
      </c>
      <c r="H334" s="31" t="str">
        <f>IFERROR(IF(INDEX(Overrides!$C$8:$C$47,MATCH(B334,Overrides!$A$8:$A$47,0))="","",INDEX(Overrides!$C$8:$C$47,MATCH(B334,Overrides!$A$8:$A$47,0))),"")</f>
        <v/>
      </c>
      <c r="I334" s="36">
        <f>IFERROR(IF(INDEX(Overrides!$D$8:$D$47,MATCH(B334,Overrides!$A$8:$A$47,0))="",0,INDEX(Overrides!$D$8:$D$47,MATCH(B334,Overrides!$A$8:$A$47,0))),0)</f>
        <v>0</v>
      </c>
      <c r="J334" s="38">
        <f t="shared" si="35"/>
        <v>1483.3175796843079</v>
      </c>
      <c r="K334" s="18">
        <f t="shared" si="36"/>
        <v>1.0000000000000004</v>
      </c>
      <c r="L334" s="38">
        <f t="shared" si="37"/>
        <v>1483.3175796843086</v>
      </c>
      <c r="M334" s="23">
        <f t="shared" si="38"/>
        <v>-1.5165375576528941</v>
      </c>
      <c r="N334" s="23">
        <f t="shared" si="39"/>
        <v>0.37685914117995645</v>
      </c>
      <c r="O334" s="6"/>
      <c r="P334" s="18">
        <f t="shared" si="40"/>
        <v>-0.57152104154421834</v>
      </c>
    </row>
    <row r="335" spans="1:16" ht="15" customHeight="1" x14ac:dyDescent="0.3">
      <c r="A335" s="7" t="str">
        <f>Raw_Players!A297</f>
        <v>MEM</v>
      </c>
      <c r="B335" s="7" t="str">
        <f>Raw_Players!B297</f>
        <v>Jerami Grant</v>
      </c>
      <c r="C335" s="37">
        <f>Raw_Players!E297</f>
        <v>-0.77570464252399007</v>
      </c>
      <c r="D335" s="31">
        <f>Raw_Players!F297</f>
        <v>1442.225518658068</v>
      </c>
      <c r="E335" s="31">
        <f>Raw_Players!G297</f>
        <v>25.5577910203796</v>
      </c>
      <c r="F335" s="31">
        <f>Raw_Players!H297</f>
        <v>56.42997540390121</v>
      </c>
      <c r="G335" s="31" t="str">
        <f>IFERROR(IF(INDEX(Overrides!$B$8:$B$47,MATCH(B335,Overrides!$A$8:$A$47,0))="","",INDEX(Overrides!$B$8:$B$47,MATCH(B335,Overrides!$A$8:$A$47,0))),"")</f>
        <v/>
      </c>
      <c r="H335" s="31" t="str">
        <f>IFERROR(IF(INDEX(Overrides!$C$8:$C$47,MATCH(B335,Overrides!$A$8:$A$47,0))="","",INDEX(Overrides!$C$8:$C$47,MATCH(B335,Overrides!$A$8:$A$47,0))),"")</f>
        <v/>
      </c>
      <c r="I335" s="36">
        <f>IFERROR(IF(INDEX(Overrides!$D$8:$D$47,MATCH(B335,Overrides!$A$8:$A$47,0))="",0,INDEX(Overrides!$D$8:$D$47,MATCH(B335,Overrides!$A$8:$A$47,0))),0)</f>
        <v>0</v>
      </c>
      <c r="J335" s="38">
        <f t="shared" si="35"/>
        <v>1442.225518658068</v>
      </c>
      <c r="K335" s="18">
        <f t="shared" si="36"/>
        <v>1.0000000000000004</v>
      </c>
      <c r="L335" s="38">
        <f t="shared" si="37"/>
        <v>1442.2255186580687</v>
      </c>
      <c r="M335" s="23">
        <f t="shared" si="38"/>
        <v>-0.77570464252399007</v>
      </c>
      <c r="N335" s="23">
        <f t="shared" si="39"/>
        <v>0.36641908502491582</v>
      </c>
      <c r="O335" s="6"/>
      <c r="P335" s="18">
        <f t="shared" si="40"/>
        <v>-0.28423298536321984</v>
      </c>
    </row>
    <row r="336" spans="1:16" ht="15" customHeight="1" x14ac:dyDescent="0.3">
      <c r="A336" s="7" t="str">
        <f>Raw_Players!A298</f>
        <v>MEM</v>
      </c>
      <c r="B336" s="7" t="str">
        <f>Raw_Players!B298</f>
        <v>Cedric Coward</v>
      </c>
      <c r="C336" s="37">
        <f>Raw_Players!E298</f>
        <v>7.7862817113619795E-2</v>
      </c>
      <c r="D336" s="31">
        <f>Raw_Players!F298</f>
        <v>1394.8802361601361</v>
      </c>
      <c r="E336" s="31">
        <f>Raw_Players!G298</f>
        <v>20.981820923496851</v>
      </c>
      <c r="F336" s="31">
        <f>Raw_Players!H298</f>
        <v>66.480418513059377</v>
      </c>
      <c r="G336" s="31" t="str">
        <f>IFERROR(IF(INDEX(Overrides!$B$8:$B$47,MATCH(B336,Overrides!$A$8:$A$47,0))="","",INDEX(Overrides!$B$8:$B$47,MATCH(B336,Overrides!$A$8:$A$47,0))),"")</f>
        <v/>
      </c>
      <c r="H336" s="31" t="str">
        <f>IFERROR(IF(INDEX(Overrides!$C$8:$C$47,MATCH(B336,Overrides!$A$8:$A$47,0))="","",INDEX(Overrides!$C$8:$C$47,MATCH(B336,Overrides!$A$8:$A$47,0))),"")</f>
        <v/>
      </c>
      <c r="I336" s="36">
        <f>IFERROR(IF(INDEX(Overrides!$D$8:$D$47,MATCH(B336,Overrides!$A$8:$A$47,0))="",0,INDEX(Overrides!$D$8:$D$47,MATCH(B336,Overrides!$A$8:$A$47,0))),0)</f>
        <v>0</v>
      </c>
      <c r="J336" s="38">
        <f t="shared" si="35"/>
        <v>1394.8802361601361</v>
      </c>
      <c r="K336" s="18">
        <f t="shared" si="36"/>
        <v>1.0000000000000004</v>
      </c>
      <c r="L336" s="38">
        <f t="shared" si="37"/>
        <v>1394.8802361601367</v>
      </c>
      <c r="M336" s="23">
        <f t="shared" si="38"/>
        <v>7.7862817113619795E-2</v>
      </c>
      <c r="N336" s="23">
        <f t="shared" si="39"/>
        <v>0.35439030390247378</v>
      </c>
      <c r="O336" s="6"/>
      <c r="P336" s="18">
        <f t="shared" si="40"/>
        <v>2.7593827419598455E-2</v>
      </c>
    </row>
    <row r="337" spans="1:16" ht="15" customHeight="1" x14ac:dyDescent="0.3">
      <c r="A337" s="7" t="str">
        <f>Raw_Players!A299</f>
        <v>MEM</v>
      </c>
      <c r="B337" s="7" t="str">
        <f>Raw_Players!B299</f>
        <v>Isaiah Stewart</v>
      </c>
      <c r="C337" s="37">
        <f>Raw_Players!E299</f>
        <v>-0.63909402699943607</v>
      </c>
      <c r="D337" s="31">
        <f>Raw_Players!F299</f>
        <v>1140.0451527374439</v>
      </c>
      <c r="E337" s="31">
        <f>Raw_Players!G299</f>
        <v>19.008510534394521</v>
      </c>
      <c r="F337" s="31">
        <f>Raw_Players!H299</f>
        <v>59.975512056802913</v>
      </c>
      <c r="G337" s="31" t="str">
        <f>IFERROR(IF(INDEX(Overrides!$B$8:$B$47,MATCH(B337,Overrides!$A$8:$A$47,0))="","",INDEX(Overrides!$B$8:$B$47,MATCH(B337,Overrides!$A$8:$A$47,0))),"")</f>
        <v/>
      </c>
      <c r="H337" s="31" t="str">
        <f>IFERROR(IF(INDEX(Overrides!$C$8:$C$47,MATCH(B337,Overrides!$A$8:$A$47,0))="","",INDEX(Overrides!$C$8:$C$47,MATCH(B337,Overrides!$A$8:$A$47,0))),"")</f>
        <v/>
      </c>
      <c r="I337" s="36">
        <f>IFERROR(IF(INDEX(Overrides!$D$8:$D$47,MATCH(B337,Overrides!$A$8:$A$47,0))="",0,INDEX(Overrides!$D$8:$D$47,MATCH(B337,Overrides!$A$8:$A$47,0))),0)</f>
        <v>0</v>
      </c>
      <c r="J337" s="38">
        <f t="shared" si="35"/>
        <v>1140.0451527374439</v>
      </c>
      <c r="K337" s="18">
        <f t="shared" si="36"/>
        <v>1.0000000000000004</v>
      </c>
      <c r="L337" s="38">
        <f t="shared" si="37"/>
        <v>1140.0451527374444</v>
      </c>
      <c r="M337" s="23">
        <f t="shared" si="38"/>
        <v>-0.63909402699943607</v>
      </c>
      <c r="N337" s="23">
        <f t="shared" si="39"/>
        <v>0.28964561807353767</v>
      </c>
      <c r="O337" s="6"/>
      <c r="P337" s="18">
        <f t="shared" si="40"/>
        <v>-0.18511078445735782</v>
      </c>
    </row>
    <row r="338" spans="1:16" ht="15" customHeight="1" x14ac:dyDescent="0.3">
      <c r="A338" s="7" t="str">
        <f>Raw_Players!A300</f>
        <v>MEM</v>
      </c>
      <c r="B338" s="7" t="str">
        <f>Raw_Players!B300</f>
        <v>Cam Spencer</v>
      </c>
      <c r="C338" s="37">
        <f>Raw_Players!E300</f>
        <v>0.59012351982215372</v>
      </c>
      <c r="D338" s="31">
        <f>Raw_Players!F300</f>
        <v>1046.468510903102</v>
      </c>
      <c r="E338" s="31">
        <f>Raw_Players!G300</f>
        <v>17.440304224239171</v>
      </c>
      <c r="F338" s="31">
        <f>Raw_Players!H300</f>
        <v>60.002881684178533</v>
      </c>
      <c r="G338" s="31" t="str">
        <f>IFERROR(IF(INDEX(Overrides!$B$8:$B$47,MATCH(B338,Overrides!$A$8:$A$47,0))="","",INDEX(Overrides!$B$8:$B$47,MATCH(B338,Overrides!$A$8:$A$47,0))),"")</f>
        <v/>
      </c>
      <c r="H338" s="31" t="str">
        <f>IFERROR(IF(INDEX(Overrides!$C$8:$C$47,MATCH(B338,Overrides!$A$8:$A$47,0))="","",INDEX(Overrides!$C$8:$C$47,MATCH(B338,Overrides!$A$8:$A$47,0))),"")</f>
        <v/>
      </c>
      <c r="I338" s="36">
        <f>IFERROR(IF(INDEX(Overrides!$D$8:$D$47,MATCH(B338,Overrides!$A$8:$A$47,0))="",0,INDEX(Overrides!$D$8:$D$47,MATCH(B338,Overrides!$A$8:$A$47,0))),0)</f>
        <v>0</v>
      </c>
      <c r="J338" s="38">
        <f t="shared" si="35"/>
        <v>1046.468510903102</v>
      </c>
      <c r="K338" s="18">
        <f t="shared" si="36"/>
        <v>1.0000000000000004</v>
      </c>
      <c r="L338" s="38">
        <f t="shared" si="37"/>
        <v>1046.4685109031025</v>
      </c>
      <c r="M338" s="23">
        <f t="shared" si="38"/>
        <v>0.59012351982215372</v>
      </c>
      <c r="N338" s="23">
        <f t="shared" si="39"/>
        <v>0.26587106476196709</v>
      </c>
      <c r="O338" s="6"/>
      <c r="P338" s="18">
        <f t="shared" si="40"/>
        <v>0.1568967685561958</v>
      </c>
    </row>
    <row r="339" spans="1:16" ht="15" customHeight="1" x14ac:dyDescent="0.3">
      <c r="A339" s="7" t="str">
        <f>Raw_Players!A301</f>
        <v>MEM</v>
      </c>
      <c r="B339" s="7" t="str">
        <f>Raw_Players!B301</f>
        <v>Walter Clayton Jr.</v>
      </c>
      <c r="C339" s="37">
        <f>Raw_Players!E301</f>
        <v>-2.7844034092646921</v>
      </c>
      <c r="D339" s="31">
        <f>Raw_Players!F301</f>
        <v>1042.6908670026389</v>
      </c>
      <c r="E339" s="31">
        <f>Raw_Players!G301</f>
        <v>16.36289406035613</v>
      </c>
      <c r="F339" s="31">
        <f>Raw_Players!H301</f>
        <v>63.722888087924566</v>
      </c>
      <c r="G339" s="31" t="str">
        <f>IFERROR(IF(INDEX(Overrides!$B$8:$B$47,MATCH(B339,Overrides!$A$8:$A$47,0))="","",INDEX(Overrides!$B$8:$B$47,MATCH(B339,Overrides!$A$8:$A$47,0))),"")</f>
        <v/>
      </c>
      <c r="H339" s="31" t="str">
        <f>IFERROR(IF(INDEX(Overrides!$C$8:$C$47,MATCH(B339,Overrides!$A$8:$A$47,0))="","",INDEX(Overrides!$C$8:$C$47,MATCH(B339,Overrides!$A$8:$A$47,0))),"")</f>
        <v/>
      </c>
      <c r="I339" s="36">
        <f>IFERROR(IF(INDEX(Overrides!$D$8:$D$47,MATCH(B339,Overrides!$A$8:$A$47,0))="",0,INDEX(Overrides!$D$8:$D$47,MATCH(B339,Overrides!$A$8:$A$47,0))),0)</f>
        <v>0</v>
      </c>
      <c r="J339" s="38">
        <f t="shared" si="35"/>
        <v>1042.6908670026389</v>
      </c>
      <c r="K339" s="18">
        <f t="shared" si="36"/>
        <v>1.0000000000000004</v>
      </c>
      <c r="L339" s="38">
        <f t="shared" si="37"/>
        <v>1042.6908670026394</v>
      </c>
      <c r="M339" s="23">
        <f t="shared" si="38"/>
        <v>-2.7844034092646921</v>
      </c>
      <c r="N339" s="23">
        <f t="shared" si="39"/>
        <v>0.2649112975108332</v>
      </c>
      <c r="O339" s="6"/>
      <c r="P339" s="18">
        <f t="shared" si="40"/>
        <v>-0.73761991994189713</v>
      </c>
    </row>
    <row r="340" spans="1:16" ht="15" customHeight="1" x14ac:dyDescent="0.3">
      <c r="A340" s="7" t="str">
        <f>Raw_Players!A302</f>
        <v>MEM</v>
      </c>
      <c r="B340" s="7" t="str">
        <f>Raw_Players!B302</f>
        <v>Kris Murray</v>
      </c>
      <c r="C340" s="37">
        <f>Raw_Players!E302</f>
        <v>-0.415539000109242</v>
      </c>
      <c r="D340" s="31">
        <f>Raw_Players!F302</f>
        <v>1023.519805297945</v>
      </c>
      <c r="E340" s="31">
        <f>Raw_Players!G302</f>
        <v>16.96297965201742</v>
      </c>
      <c r="F340" s="31">
        <f>Raw_Players!H302</f>
        <v>60.338444441641293</v>
      </c>
      <c r="G340" s="31" t="str">
        <f>IFERROR(IF(INDEX(Overrides!$B$8:$B$47,MATCH(B340,Overrides!$A$8:$A$47,0))="","",INDEX(Overrides!$B$8:$B$47,MATCH(B340,Overrides!$A$8:$A$47,0))),"")</f>
        <v/>
      </c>
      <c r="H340" s="31" t="str">
        <f>IFERROR(IF(INDEX(Overrides!$C$8:$C$47,MATCH(B340,Overrides!$A$8:$A$47,0))="","",INDEX(Overrides!$C$8:$C$47,MATCH(B340,Overrides!$A$8:$A$47,0))),"")</f>
        <v/>
      </c>
      <c r="I340" s="36">
        <f>IFERROR(IF(INDEX(Overrides!$D$8:$D$47,MATCH(B340,Overrides!$A$8:$A$47,0))="",0,INDEX(Overrides!$D$8:$D$47,MATCH(B340,Overrides!$A$8:$A$47,0))),0)</f>
        <v>0</v>
      </c>
      <c r="J340" s="38">
        <f t="shared" si="35"/>
        <v>1023.519805297945</v>
      </c>
      <c r="K340" s="18">
        <f t="shared" si="36"/>
        <v>1.0000000000000004</v>
      </c>
      <c r="L340" s="38">
        <f t="shared" si="37"/>
        <v>1023.5198052979455</v>
      </c>
      <c r="M340" s="23">
        <f t="shared" si="38"/>
        <v>-0.415539000109242</v>
      </c>
      <c r="N340" s="23">
        <f t="shared" si="39"/>
        <v>0.2600406009395187</v>
      </c>
      <c r="O340" s="6"/>
      <c r="P340" s="18">
        <f t="shared" si="40"/>
        <v>-0.10805701130221401</v>
      </c>
    </row>
    <row r="341" spans="1:16" ht="15" customHeight="1" x14ac:dyDescent="0.3">
      <c r="A341" s="7" t="str">
        <f>Raw_Players!A303</f>
        <v>MEM</v>
      </c>
      <c r="B341" s="7" t="str">
        <f>Raw_Players!B303</f>
        <v>GG Jackson</v>
      </c>
      <c r="C341" s="37">
        <f>Raw_Players!E303</f>
        <v>-0.68985052247516032</v>
      </c>
      <c r="D341" s="31">
        <f>Raw_Players!F303</f>
        <v>987.82324600828383</v>
      </c>
      <c r="E341" s="31">
        <f>Raw_Players!G303</f>
        <v>17.48084344990145</v>
      </c>
      <c r="F341" s="31">
        <f>Raw_Players!H303</f>
        <v>56.508900662562297</v>
      </c>
      <c r="G341" s="31" t="str">
        <f>IFERROR(IF(INDEX(Overrides!$B$8:$B$47,MATCH(B341,Overrides!$A$8:$A$47,0))="","",INDEX(Overrides!$B$8:$B$47,MATCH(B341,Overrides!$A$8:$A$47,0))),"")</f>
        <v/>
      </c>
      <c r="H341" s="31" t="str">
        <f>IFERROR(IF(INDEX(Overrides!$C$8:$C$47,MATCH(B341,Overrides!$A$8:$A$47,0))="","",INDEX(Overrides!$C$8:$C$47,MATCH(B341,Overrides!$A$8:$A$47,0))),"")</f>
        <v/>
      </c>
      <c r="I341" s="36">
        <f>IFERROR(IF(INDEX(Overrides!$D$8:$D$47,MATCH(B341,Overrides!$A$8:$A$47,0))="",0,INDEX(Overrides!$D$8:$D$47,MATCH(B341,Overrides!$A$8:$A$47,0))),0)</f>
        <v>0</v>
      </c>
      <c r="J341" s="38">
        <f t="shared" si="35"/>
        <v>987.82324600828383</v>
      </c>
      <c r="K341" s="18">
        <f t="shared" si="36"/>
        <v>1.0000000000000004</v>
      </c>
      <c r="L341" s="38">
        <f t="shared" si="37"/>
        <v>987.82324600828429</v>
      </c>
      <c r="M341" s="23">
        <f t="shared" si="38"/>
        <v>-0.68985052247516032</v>
      </c>
      <c r="N341" s="23">
        <f t="shared" si="39"/>
        <v>0.25097135315251123</v>
      </c>
      <c r="O341" s="6"/>
      <c r="P341" s="18">
        <f t="shared" si="40"/>
        <v>-0.17313271909855785</v>
      </c>
    </row>
    <row r="342" spans="1:16" ht="15" customHeight="1" x14ac:dyDescent="0.3">
      <c r="A342" s="7" t="str">
        <f>Raw_Players!A304</f>
        <v>MEM</v>
      </c>
      <c r="B342" s="7" t="str">
        <f>Raw_Players!B304</f>
        <v>Taylor Hendricks</v>
      </c>
      <c r="C342" s="37">
        <f>Raw_Players!E304</f>
        <v>-0.6996444442431925</v>
      </c>
      <c r="D342" s="31">
        <f>Raw_Players!F304</f>
        <v>885.47767848460728</v>
      </c>
      <c r="E342" s="31">
        <f>Raw_Players!G304</f>
        <v>16.073364702031579</v>
      </c>
      <c r="F342" s="31">
        <f>Raw_Players!H304</f>
        <v>55.089752201832887</v>
      </c>
      <c r="G342" s="31" t="str">
        <f>IFERROR(IF(INDEX(Overrides!$B$8:$B$47,MATCH(B342,Overrides!$A$8:$A$47,0))="","",INDEX(Overrides!$B$8:$B$47,MATCH(B342,Overrides!$A$8:$A$47,0))),"")</f>
        <v/>
      </c>
      <c r="H342" s="31" t="str">
        <f>IFERROR(IF(INDEX(Overrides!$C$8:$C$47,MATCH(B342,Overrides!$A$8:$A$47,0))="","",INDEX(Overrides!$C$8:$C$47,MATCH(B342,Overrides!$A$8:$A$47,0))),"")</f>
        <v/>
      </c>
      <c r="I342" s="36">
        <f>IFERROR(IF(INDEX(Overrides!$D$8:$D$47,MATCH(B342,Overrides!$A$8:$A$47,0))="",0,INDEX(Overrides!$D$8:$D$47,MATCH(B342,Overrides!$A$8:$A$47,0))),0)</f>
        <v>0</v>
      </c>
      <c r="J342" s="38">
        <f t="shared" si="35"/>
        <v>885.47767848460728</v>
      </c>
      <c r="K342" s="18">
        <f t="shared" si="36"/>
        <v>1.0000000000000004</v>
      </c>
      <c r="L342" s="38">
        <f t="shared" si="37"/>
        <v>885.47767848460762</v>
      </c>
      <c r="M342" s="23">
        <f t="shared" si="38"/>
        <v>-0.6996444442431925</v>
      </c>
      <c r="N342" s="23">
        <f t="shared" si="39"/>
        <v>0.22496892237921942</v>
      </c>
      <c r="O342" s="6"/>
      <c r="P342" s="18">
        <f t="shared" si="40"/>
        <v>-0.15739825666999888</v>
      </c>
    </row>
    <row r="343" spans="1:16" ht="15" customHeight="1" x14ac:dyDescent="0.3">
      <c r="A343" s="7" t="str">
        <f>Raw_Players!A305</f>
        <v>MEM</v>
      </c>
      <c r="B343" s="7" t="str">
        <f>Raw_Players!B305</f>
        <v>Scotty Pippen Jr.</v>
      </c>
      <c r="C343" s="37">
        <f>Raw_Players!E305</f>
        <v>0.3974799965266933</v>
      </c>
      <c r="D343" s="31">
        <f>Raw_Players!F305</f>
        <v>881.9976636218363</v>
      </c>
      <c r="E343" s="31">
        <f>Raw_Players!G305</f>
        <v>17.77455297538749</v>
      </c>
      <c r="F343" s="31">
        <f>Raw_Players!H305</f>
        <v>49.621369653748403</v>
      </c>
      <c r="G343" s="31" t="str">
        <f>IFERROR(IF(INDEX(Overrides!$B$8:$B$47,MATCH(B343,Overrides!$A$8:$A$47,0))="","",INDEX(Overrides!$B$8:$B$47,MATCH(B343,Overrides!$A$8:$A$47,0))),"")</f>
        <v/>
      </c>
      <c r="H343" s="31" t="str">
        <f>IFERROR(IF(INDEX(Overrides!$C$8:$C$47,MATCH(B343,Overrides!$A$8:$A$47,0))="","",INDEX(Overrides!$C$8:$C$47,MATCH(B343,Overrides!$A$8:$A$47,0))),"")</f>
        <v/>
      </c>
      <c r="I343" s="36">
        <f>IFERROR(IF(INDEX(Overrides!$D$8:$D$47,MATCH(B343,Overrides!$A$8:$A$47,0))="",0,INDEX(Overrides!$D$8:$D$47,MATCH(B343,Overrides!$A$8:$A$47,0))),0)</f>
        <v>0</v>
      </c>
      <c r="J343" s="38">
        <f t="shared" si="35"/>
        <v>881.9976636218363</v>
      </c>
      <c r="K343" s="18">
        <f t="shared" si="36"/>
        <v>1.0000000000000004</v>
      </c>
      <c r="L343" s="38">
        <f t="shared" si="37"/>
        <v>881.99766362183664</v>
      </c>
      <c r="M343" s="23">
        <f t="shared" si="38"/>
        <v>0.3974799965266933</v>
      </c>
      <c r="N343" s="23">
        <f t="shared" si="39"/>
        <v>0.2240847722616455</v>
      </c>
      <c r="O343" s="6"/>
      <c r="P343" s="18">
        <f t="shared" si="40"/>
        <v>8.9069214500243715E-2</v>
      </c>
    </row>
    <row r="344" spans="1:16" ht="15" customHeight="1" x14ac:dyDescent="0.3">
      <c r="A344" s="7" t="str">
        <f>Raw_Players!A306</f>
        <v>MEM</v>
      </c>
      <c r="B344" s="7" t="str">
        <f>Raw_Players!B306</f>
        <v>Zach Edey</v>
      </c>
      <c r="C344" s="37">
        <f>Raw_Players!E306</f>
        <v>0.21679348660224529</v>
      </c>
      <c r="D344" s="31">
        <f>Raw_Players!F306</f>
        <v>873.21469723673795</v>
      </c>
      <c r="E344" s="31">
        <f>Raw_Players!G306</f>
        <v>17.900260238399071</v>
      </c>
      <c r="F344" s="31">
        <f>Raw_Players!H306</f>
        <v>48.782234761232438</v>
      </c>
      <c r="G344" s="31" t="str">
        <f>IFERROR(IF(INDEX(Overrides!$B$8:$B$47,MATCH(B344,Overrides!$A$8:$A$47,0))="","",INDEX(Overrides!$B$8:$B$47,MATCH(B344,Overrides!$A$8:$A$47,0))),"")</f>
        <v/>
      </c>
      <c r="H344" s="31" t="str">
        <f>IFERROR(IF(INDEX(Overrides!$C$8:$C$47,MATCH(B344,Overrides!$A$8:$A$47,0))="","",INDEX(Overrides!$C$8:$C$47,MATCH(B344,Overrides!$A$8:$A$47,0))),"")</f>
        <v/>
      </c>
      <c r="I344" s="36">
        <f>IFERROR(IF(INDEX(Overrides!$D$8:$D$47,MATCH(B344,Overrides!$A$8:$A$47,0))="",0,INDEX(Overrides!$D$8:$D$47,MATCH(B344,Overrides!$A$8:$A$47,0))),0)</f>
        <v>0</v>
      </c>
      <c r="J344" s="38">
        <f t="shared" si="35"/>
        <v>873.21469723673795</v>
      </c>
      <c r="K344" s="18">
        <f t="shared" si="36"/>
        <v>1.0000000000000004</v>
      </c>
      <c r="L344" s="38">
        <f t="shared" si="37"/>
        <v>873.21469723673829</v>
      </c>
      <c r="M344" s="23">
        <f t="shared" si="38"/>
        <v>0.21679348660224529</v>
      </c>
      <c r="N344" s="23">
        <f t="shared" si="39"/>
        <v>0.22185332754998432</v>
      </c>
      <c r="O344" s="6"/>
      <c r="P344" s="18">
        <f t="shared" si="40"/>
        <v>4.8096356393871061E-2</v>
      </c>
    </row>
    <row r="345" spans="1:16" ht="15" customHeight="1" x14ac:dyDescent="0.3">
      <c r="A345" s="7" t="str">
        <f>Raw_Players!A307</f>
        <v>MEM</v>
      </c>
      <c r="B345" s="7" t="str">
        <f>Raw_Players!B307</f>
        <v>Quinten Post</v>
      </c>
      <c r="C345" s="37">
        <f>Raw_Players!E307</f>
        <v>-0.60696946490624404</v>
      </c>
      <c r="D345" s="31">
        <f>Raw_Players!F307</f>
        <v>856.67597005059577</v>
      </c>
      <c r="E345" s="31">
        <f>Raw_Players!G307</f>
        <v>14.199248957004031</v>
      </c>
      <c r="F345" s="31">
        <f>Raw_Players!H307</f>
        <v>60.332484671875918</v>
      </c>
      <c r="G345" s="31" t="str">
        <f>IFERROR(IF(INDEX(Overrides!$B$8:$B$47,MATCH(B345,Overrides!$A$8:$A$47,0))="","",INDEX(Overrides!$B$8:$B$47,MATCH(B345,Overrides!$A$8:$A$47,0))),"")</f>
        <v/>
      </c>
      <c r="H345" s="31" t="str">
        <f>IFERROR(IF(INDEX(Overrides!$C$8:$C$47,MATCH(B345,Overrides!$A$8:$A$47,0))="","",INDEX(Overrides!$C$8:$C$47,MATCH(B345,Overrides!$A$8:$A$47,0))),"")</f>
        <v/>
      </c>
      <c r="I345" s="36">
        <f>IFERROR(IF(INDEX(Overrides!$D$8:$D$47,MATCH(B345,Overrides!$A$8:$A$47,0))="",0,INDEX(Overrides!$D$8:$D$47,MATCH(B345,Overrides!$A$8:$A$47,0))),0)</f>
        <v>0</v>
      </c>
      <c r="J345" s="38">
        <f t="shared" si="35"/>
        <v>856.67597005059577</v>
      </c>
      <c r="K345" s="18">
        <f t="shared" si="36"/>
        <v>1.0000000000000004</v>
      </c>
      <c r="L345" s="38">
        <f t="shared" si="37"/>
        <v>856.67597005059611</v>
      </c>
      <c r="M345" s="23">
        <f t="shared" si="38"/>
        <v>-0.60696946490624404</v>
      </c>
      <c r="N345" s="23">
        <f t="shared" si="39"/>
        <v>0.21765141515513112</v>
      </c>
      <c r="O345" s="6"/>
      <c r="P345" s="18">
        <f t="shared" si="40"/>
        <v>-0.1321077629927967</v>
      </c>
    </row>
    <row r="346" spans="1:16" ht="15" customHeight="1" x14ac:dyDescent="0.3">
      <c r="A346" s="7" t="str">
        <f>Raw_Players!A308</f>
        <v>MEM</v>
      </c>
      <c r="B346" s="7" t="str">
        <f>Raw_Players!B308</f>
        <v>Javon Small</v>
      </c>
      <c r="C346" s="37">
        <f>Raw_Players!E308</f>
        <v>0.20080293662730639</v>
      </c>
      <c r="D346" s="31">
        <f>Raw_Players!F308</f>
        <v>843.03246290918685</v>
      </c>
      <c r="E346" s="31">
        <f>Raw_Players!G308</f>
        <v>15.591059434867629</v>
      </c>
      <c r="F346" s="31">
        <f>Raw_Players!H308</f>
        <v>54.071531599952792</v>
      </c>
      <c r="G346" s="31" t="str">
        <f>IFERROR(IF(INDEX(Overrides!$B$8:$B$47,MATCH(B346,Overrides!$A$8:$A$47,0))="","",INDEX(Overrides!$B$8:$B$47,MATCH(B346,Overrides!$A$8:$A$47,0))),"")</f>
        <v/>
      </c>
      <c r="H346" s="31" t="str">
        <f>IFERROR(IF(INDEX(Overrides!$C$8:$C$47,MATCH(B346,Overrides!$A$8:$A$47,0))="","",INDEX(Overrides!$C$8:$C$47,MATCH(B346,Overrides!$A$8:$A$47,0))),"")</f>
        <v/>
      </c>
      <c r="I346" s="36">
        <f>IFERROR(IF(INDEX(Overrides!$D$8:$D$47,MATCH(B346,Overrides!$A$8:$A$47,0))="",0,INDEX(Overrides!$D$8:$D$47,MATCH(B346,Overrides!$A$8:$A$47,0))),0)</f>
        <v>0</v>
      </c>
      <c r="J346" s="38">
        <f t="shared" si="35"/>
        <v>843.03246290918685</v>
      </c>
      <c r="K346" s="18">
        <f t="shared" si="36"/>
        <v>1.0000000000000004</v>
      </c>
      <c r="L346" s="38">
        <f t="shared" si="37"/>
        <v>843.03246290918719</v>
      </c>
      <c r="M346" s="23">
        <f t="shared" si="38"/>
        <v>0.20080293662730639</v>
      </c>
      <c r="N346" s="23">
        <f t="shared" si="39"/>
        <v>0.21418507695863495</v>
      </c>
      <c r="O346" s="6"/>
      <c r="P346" s="18">
        <f t="shared" si="40"/>
        <v>4.3008992435039514E-2</v>
      </c>
    </row>
    <row r="347" spans="1:16" ht="15" customHeight="1" x14ac:dyDescent="0.3">
      <c r="A347" s="7" t="str">
        <f>Raw_Players!A309</f>
        <v>MEM</v>
      </c>
      <c r="B347" s="7" t="str">
        <f>Raw_Players!B309</f>
        <v>Ty Jerome</v>
      </c>
      <c r="C347" s="37">
        <f>Raw_Players!E309</f>
        <v>3.167213195037494</v>
      </c>
      <c r="D347" s="31">
        <f>Raw_Players!F309</f>
        <v>815.69081533601991</v>
      </c>
      <c r="E347" s="31">
        <f>Raw_Players!G309</f>
        <v>16.60166535406233</v>
      </c>
      <c r="F347" s="31">
        <f>Raw_Players!H309</f>
        <v>49.13307176959961</v>
      </c>
      <c r="G347" s="31" t="str">
        <f>IFERROR(IF(INDEX(Overrides!$B$8:$B$47,MATCH(B347,Overrides!$A$8:$A$47,0))="","",INDEX(Overrides!$B$8:$B$47,MATCH(B347,Overrides!$A$8:$A$47,0))),"")</f>
        <v/>
      </c>
      <c r="H347" s="31" t="str">
        <f>IFERROR(IF(INDEX(Overrides!$C$8:$C$47,MATCH(B347,Overrides!$A$8:$A$47,0))="","",INDEX(Overrides!$C$8:$C$47,MATCH(B347,Overrides!$A$8:$A$47,0))),"")</f>
        <v/>
      </c>
      <c r="I347" s="36">
        <f>IFERROR(IF(INDEX(Overrides!$D$8:$D$47,MATCH(B347,Overrides!$A$8:$A$47,0))="",0,INDEX(Overrides!$D$8:$D$47,MATCH(B347,Overrides!$A$8:$A$47,0))),0)</f>
        <v>0</v>
      </c>
      <c r="J347" s="38">
        <f t="shared" si="35"/>
        <v>815.69081533601991</v>
      </c>
      <c r="K347" s="18">
        <f t="shared" si="36"/>
        <v>1.0000000000000004</v>
      </c>
      <c r="L347" s="38">
        <f t="shared" si="37"/>
        <v>815.69081533602025</v>
      </c>
      <c r="M347" s="23">
        <f t="shared" si="38"/>
        <v>3.167213195037494</v>
      </c>
      <c r="N347" s="23">
        <f t="shared" si="39"/>
        <v>0.2072385201565092</v>
      </c>
      <c r="O347" s="6"/>
      <c r="P347" s="18">
        <f t="shared" si="40"/>
        <v>0.6563685755597396</v>
      </c>
    </row>
    <row r="348" spans="1:16" ht="15" customHeight="1" x14ac:dyDescent="0.3">
      <c r="A348" s="7" t="str">
        <f>Raw_Players!A310</f>
        <v>MEM</v>
      </c>
      <c r="B348" s="7" t="str">
        <f>Raw_Players!B310</f>
        <v>Jahmai Mashack</v>
      </c>
      <c r="C348" s="37">
        <f>Raw_Players!E310</f>
        <v>-3.3493129191344342</v>
      </c>
      <c r="D348" s="31">
        <f>Raw_Players!F310</f>
        <v>811.51255620232678</v>
      </c>
      <c r="E348" s="31">
        <f>Raw_Players!G310</f>
        <v>16.029998430580211</v>
      </c>
      <c r="F348" s="31">
        <f>Raw_Players!H310</f>
        <v>50.624618568534302</v>
      </c>
      <c r="G348" s="31" t="str">
        <f>IFERROR(IF(INDEX(Overrides!$B$8:$B$47,MATCH(B348,Overrides!$A$8:$A$47,0))="","",INDEX(Overrides!$B$8:$B$47,MATCH(B348,Overrides!$A$8:$A$47,0))),"")</f>
        <v/>
      </c>
      <c r="H348" s="31" t="str">
        <f>IFERROR(IF(INDEX(Overrides!$C$8:$C$47,MATCH(B348,Overrides!$A$8:$A$47,0))="","",INDEX(Overrides!$C$8:$C$47,MATCH(B348,Overrides!$A$8:$A$47,0))),"")</f>
        <v/>
      </c>
      <c r="I348" s="36">
        <f>IFERROR(IF(INDEX(Overrides!$D$8:$D$47,MATCH(B348,Overrides!$A$8:$A$47,0))="",0,INDEX(Overrides!$D$8:$D$47,MATCH(B348,Overrides!$A$8:$A$47,0))),0)</f>
        <v>0</v>
      </c>
      <c r="J348" s="38">
        <f t="shared" si="35"/>
        <v>811.51255620232678</v>
      </c>
      <c r="K348" s="18">
        <f t="shared" si="36"/>
        <v>1.0000000000000004</v>
      </c>
      <c r="L348" s="38">
        <f t="shared" si="37"/>
        <v>811.51255620232712</v>
      </c>
      <c r="M348" s="23">
        <f t="shared" si="38"/>
        <v>-3.3493129191344342</v>
      </c>
      <c r="N348" s="23">
        <f t="shared" si="39"/>
        <v>0.20617697057985954</v>
      </c>
      <c r="O348" s="6"/>
      <c r="P348" s="18">
        <f t="shared" si="40"/>
        <v>-0.69055119119112374</v>
      </c>
    </row>
    <row r="349" spans="1:16" ht="15" customHeight="1" x14ac:dyDescent="0.3">
      <c r="A349" s="7" t="str">
        <f>Raw_Players!A311</f>
        <v>MEM</v>
      </c>
      <c r="B349" s="7" t="str">
        <f>Raw_Players!B311</f>
        <v>Micah Peavy</v>
      </c>
      <c r="C349" s="37">
        <f>Raw_Players!E311</f>
        <v>-2.366730010578987</v>
      </c>
      <c r="D349" s="31">
        <f>Raw_Players!F311</f>
        <v>755.40043228349646</v>
      </c>
      <c r="E349" s="31">
        <f>Raw_Players!G311</f>
        <v>12.43222467286839</v>
      </c>
      <c r="F349" s="31">
        <f>Raw_Players!H311</f>
        <v>60.761484944207403</v>
      </c>
      <c r="G349" s="31" t="str">
        <f>IFERROR(IF(INDEX(Overrides!$B$8:$B$47,MATCH(B349,Overrides!$A$8:$A$47,0))="","",INDEX(Overrides!$B$8:$B$47,MATCH(B349,Overrides!$A$8:$A$47,0))),"")</f>
        <v/>
      </c>
      <c r="H349" s="31" t="str">
        <f>IFERROR(IF(INDEX(Overrides!$C$8:$C$47,MATCH(B349,Overrides!$A$8:$A$47,0))="","",INDEX(Overrides!$C$8:$C$47,MATCH(B349,Overrides!$A$8:$A$47,0))),"")</f>
        <v/>
      </c>
      <c r="I349" s="36">
        <f>IFERROR(IF(INDEX(Overrides!$D$8:$D$47,MATCH(B349,Overrides!$A$8:$A$47,0))="",0,INDEX(Overrides!$D$8:$D$47,MATCH(B349,Overrides!$A$8:$A$47,0))),0)</f>
        <v>0</v>
      </c>
      <c r="J349" s="38">
        <f t="shared" si="35"/>
        <v>755.40043228349646</v>
      </c>
      <c r="K349" s="18">
        <f t="shared" si="36"/>
        <v>1.0000000000000004</v>
      </c>
      <c r="L349" s="38">
        <f t="shared" si="37"/>
        <v>755.4004322834968</v>
      </c>
      <c r="M349" s="23">
        <f t="shared" si="38"/>
        <v>-2.366730010578987</v>
      </c>
      <c r="N349" s="23">
        <f t="shared" si="39"/>
        <v>0.19192084153544126</v>
      </c>
      <c r="O349" s="6"/>
      <c r="P349" s="18">
        <f t="shared" si="40"/>
        <v>-0.45422481531750297</v>
      </c>
    </row>
    <row r="350" spans="1:16" ht="15" customHeight="1" x14ac:dyDescent="0.3">
      <c r="A350" s="7" t="str">
        <f>Raw_Players!A312</f>
        <v>MEM</v>
      </c>
      <c r="B350" s="7" t="str">
        <f>Raw_Players!B312</f>
        <v>Olivier-Maxence Prosper</v>
      </c>
      <c r="C350" s="37">
        <f>Raw_Players!E312</f>
        <v>-0.18199287317383431</v>
      </c>
      <c r="D350" s="31">
        <f>Raw_Players!F312</f>
        <v>727.49764576801579</v>
      </c>
      <c r="E350" s="31">
        <f>Raw_Players!G312</f>
        <v>12.535865574963401</v>
      </c>
      <c r="F350" s="31">
        <f>Raw_Players!H312</f>
        <v>58.033299848155082</v>
      </c>
      <c r="G350" s="31" t="str">
        <f>IFERROR(IF(INDEX(Overrides!$B$8:$B$47,MATCH(B350,Overrides!$A$8:$A$47,0))="","",INDEX(Overrides!$B$8:$B$47,MATCH(B350,Overrides!$A$8:$A$47,0))),"")</f>
        <v/>
      </c>
      <c r="H350" s="31" t="str">
        <f>IFERROR(IF(INDEX(Overrides!$C$8:$C$47,MATCH(B350,Overrides!$A$8:$A$47,0))="","",INDEX(Overrides!$C$8:$C$47,MATCH(B350,Overrides!$A$8:$A$47,0))),"")</f>
        <v/>
      </c>
      <c r="I350" s="36">
        <f>IFERROR(IF(INDEX(Overrides!$D$8:$D$47,MATCH(B350,Overrides!$A$8:$A$47,0))="",0,INDEX(Overrides!$D$8:$D$47,MATCH(B350,Overrides!$A$8:$A$47,0))),0)</f>
        <v>0</v>
      </c>
      <c r="J350" s="38">
        <f t="shared" si="35"/>
        <v>727.49764576801579</v>
      </c>
      <c r="K350" s="18">
        <f t="shared" si="36"/>
        <v>1.0000000000000004</v>
      </c>
      <c r="L350" s="38">
        <f t="shared" si="37"/>
        <v>727.49764576801613</v>
      </c>
      <c r="M350" s="23">
        <f t="shared" si="38"/>
        <v>-0.18199287317383431</v>
      </c>
      <c r="N350" s="23">
        <f t="shared" si="39"/>
        <v>0.18483171894512604</v>
      </c>
      <c r="O350" s="6"/>
      <c r="P350" s="18">
        <f t="shared" si="40"/>
        <v>-3.3638055584482109E-2</v>
      </c>
    </row>
    <row r="351" spans="1:16" ht="15" customHeight="1" x14ac:dyDescent="0.3">
      <c r="A351" s="7" t="str">
        <f>Raw_Players!A313</f>
        <v>MEM</v>
      </c>
      <c r="B351" s="7" t="str">
        <f>Raw_Players!B313</f>
        <v>Karim Lopez</v>
      </c>
      <c r="C351" s="37">
        <f>Raw_Players!E313</f>
        <v>-2.815676990851474</v>
      </c>
      <c r="D351" s="31">
        <f>Raw_Players!F313</f>
        <v>687.14342336357436</v>
      </c>
      <c r="E351" s="31">
        <f>Raw_Players!G313</f>
        <v>15.3479571940917</v>
      </c>
      <c r="F351" s="31">
        <f>Raw_Players!H313</f>
        <v>44.771002073689331</v>
      </c>
      <c r="G351" s="31" t="str">
        <f>IFERROR(IF(INDEX(Overrides!$B$8:$B$47,MATCH(B351,Overrides!$A$8:$A$47,0))="","",INDEX(Overrides!$B$8:$B$47,MATCH(B351,Overrides!$A$8:$A$47,0))),"")</f>
        <v/>
      </c>
      <c r="H351" s="31" t="str">
        <f>IFERROR(IF(INDEX(Overrides!$C$8:$C$47,MATCH(B351,Overrides!$A$8:$A$47,0))="","",INDEX(Overrides!$C$8:$C$47,MATCH(B351,Overrides!$A$8:$A$47,0))),"")</f>
        <v/>
      </c>
      <c r="I351" s="36">
        <f>IFERROR(IF(INDEX(Overrides!$D$8:$D$47,MATCH(B351,Overrides!$A$8:$A$47,0))="",0,INDEX(Overrides!$D$8:$D$47,MATCH(B351,Overrides!$A$8:$A$47,0))),0)</f>
        <v>0</v>
      </c>
      <c r="J351" s="38">
        <f t="shared" si="35"/>
        <v>687.14342336357436</v>
      </c>
      <c r="K351" s="18">
        <f t="shared" si="36"/>
        <v>1.0000000000000004</v>
      </c>
      <c r="L351" s="38">
        <f t="shared" si="37"/>
        <v>687.1434233635747</v>
      </c>
      <c r="M351" s="23">
        <f t="shared" si="38"/>
        <v>-2.815676990851474</v>
      </c>
      <c r="N351" s="23">
        <f t="shared" si="39"/>
        <v>0.17457912178952609</v>
      </c>
      <c r="O351" s="6"/>
      <c r="P351" s="18">
        <f t="shared" si="40"/>
        <v>-0.49155841630582581</v>
      </c>
    </row>
    <row r="352" spans="1:16" ht="15" customHeight="1" x14ac:dyDescent="0.3">
      <c r="A352" s="7" t="str">
        <f>Raw_Players!A314</f>
        <v>MEM</v>
      </c>
      <c r="B352" s="7" t="str">
        <f>Raw_Players!B314</f>
        <v>Carson Cooper</v>
      </c>
      <c r="C352" s="37">
        <f>Raw_Players!E314</f>
        <v>-3.1867960702466678</v>
      </c>
      <c r="D352" s="31">
        <f>Raw_Players!F314</f>
        <v>336.13026461290781</v>
      </c>
      <c r="E352" s="31">
        <f>Raw_Players!G314</f>
        <v>11.07940459343355</v>
      </c>
      <c r="F352" s="31">
        <f>Raw_Players!H314</f>
        <v>30.338296772023529</v>
      </c>
      <c r="G352" s="31" t="str">
        <f>IFERROR(IF(INDEX(Overrides!$B$8:$B$47,MATCH(B352,Overrides!$A$8:$A$47,0))="","",INDEX(Overrides!$B$8:$B$47,MATCH(B352,Overrides!$A$8:$A$47,0))),"")</f>
        <v/>
      </c>
      <c r="H352" s="31" t="str">
        <f>IFERROR(IF(INDEX(Overrides!$C$8:$C$47,MATCH(B352,Overrides!$A$8:$A$47,0))="","",INDEX(Overrides!$C$8:$C$47,MATCH(B352,Overrides!$A$8:$A$47,0))),"")</f>
        <v/>
      </c>
      <c r="I352" s="36">
        <f>IFERROR(IF(INDEX(Overrides!$D$8:$D$47,MATCH(B352,Overrides!$A$8:$A$47,0))="",0,INDEX(Overrides!$D$8:$D$47,MATCH(B352,Overrides!$A$8:$A$47,0))),0)</f>
        <v>0</v>
      </c>
      <c r="J352" s="38">
        <f t="shared" si="35"/>
        <v>336.13026461290781</v>
      </c>
      <c r="K352" s="18">
        <f t="shared" si="36"/>
        <v>1.0000000000000004</v>
      </c>
      <c r="L352" s="38">
        <f t="shared" si="37"/>
        <v>336.13026461290798</v>
      </c>
      <c r="M352" s="23">
        <f t="shared" si="38"/>
        <v>-3.1867960702466678</v>
      </c>
      <c r="N352" s="23">
        <f t="shared" si="39"/>
        <v>8.5398949342710362E-2</v>
      </c>
      <c r="O352" s="6"/>
      <c r="P352" s="18">
        <f t="shared" si="40"/>
        <v>-0.27214903616854363</v>
      </c>
    </row>
    <row r="353" spans="1:16" ht="15" customHeight="1" x14ac:dyDescent="0.3">
      <c r="A353" s="7" t="str">
        <f>Raw_Players!A315</f>
        <v>MIA</v>
      </c>
      <c r="B353" s="7" t="str">
        <f>Raw_Players!B315</f>
        <v>Bam Adebayo</v>
      </c>
      <c r="C353" s="37">
        <f>Raw_Players!E315</f>
        <v>2.6163095766090909</v>
      </c>
      <c r="D353" s="31">
        <f>Raw_Players!F315</f>
        <v>1741.9229479776459</v>
      </c>
      <c r="E353" s="31">
        <f>Raw_Players!G315</f>
        <v>27.02368363400878</v>
      </c>
      <c r="F353" s="31">
        <f>Raw_Players!H315</f>
        <v>64.459123025902727</v>
      </c>
      <c r="G353" s="31" t="str">
        <f>IFERROR(IF(INDEX(Overrides!$B$8:$B$47,MATCH(B353,Overrides!$A$8:$A$47,0))="","",INDEX(Overrides!$B$8:$B$47,MATCH(B353,Overrides!$A$8:$A$47,0))),"")</f>
        <v/>
      </c>
      <c r="H353" s="31" t="str">
        <f>IFERROR(IF(INDEX(Overrides!$C$8:$C$47,MATCH(B353,Overrides!$A$8:$A$47,0))="","",INDEX(Overrides!$C$8:$C$47,MATCH(B353,Overrides!$A$8:$A$47,0))),"")</f>
        <v/>
      </c>
      <c r="I353" s="36">
        <f>IFERROR(IF(INDEX(Overrides!$D$8:$D$47,MATCH(B353,Overrides!$A$8:$A$47,0))="",0,INDEX(Overrides!$D$8:$D$47,MATCH(B353,Overrides!$A$8:$A$47,0))),0)</f>
        <v>0</v>
      </c>
      <c r="J353" s="38">
        <f t="shared" si="35"/>
        <v>1741.9229479776459</v>
      </c>
      <c r="K353" s="18">
        <f t="shared" si="36"/>
        <v>1</v>
      </c>
      <c r="L353" s="38">
        <f t="shared" si="37"/>
        <v>1741.9229479776459</v>
      </c>
      <c r="M353" s="23">
        <f t="shared" si="38"/>
        <v>2.6163095766090909</v>
      </c>
      <c r="N353" s="23">
        <f t="shared" si="39"/>
        <v>0.44256172458781656</v>
      </c>
      <c r="O353" s="6"/>
      <c r="P353" s="18">
        <f t="shared" si="40"/>
        <v>1.1578784782797396</v>
      </c>
    </row>
    <row r="354" spans="1:16" ht="15" customHeight="1" x14ac:dyDescent="0.3">
      <c r="A354" s="7" t="str">
        <f>Raw_Players!A316</f>
        <v>MIA</v>
      </c>
      <c r="B354" s="7" t="str">
        <f>Raw_Players!B316</f>
        <v>Andrew Wiggins</v>
      </c>
      <c r="C354" s="37">
        <f>Raw_Players!E316</f>
        <v>-0.1985042089225024</v>
      </c>
      <c r="D354" s="31">
        <f>Raw_Players!F316</f>
        <v>1468.580291369374</v>
      </c>
      <c r="E354" s="31">
        <f>Raw_Players!G316</f>
        <v>24.145899258070401</v>
      </c>
      <c r="F354" s="31">
        <f>Raw_Players!H316</f>
        <v>60.821105715436289</v>
      </c>
      <c r="G354" s="31" t="str">
        <f>IFERROR(IF(INDEX(Overrides!$B$8:$B$47,MATCH(B354,Overrides!$A$8:$A$47,0))="","",INDEX(Overrides!$B$8:$B$47,MATCH(B354,Overrides!$A$8:$A$47,0))),"")</f>
        <v/>
      </c>
      <c r="H354" s="31" t="str">
        <f>IFERROR(IF(INDEX(Overrides!$C$8:$C$47,MATCH(B354,Overrides!$A$8:$A$47,0))="","",INDEX(Overrides!$C$8:$C$47,MATCH(B354,Overrides!$A$8:$A$47,0))),"")</f>
        <v/>
      </c>
      <c r="I354" s="36">
        <f>IFERROR(IF(INDEX(Overrides!$D$8:$D$47,MATCH(B354,Overrides!$A$8:$A$47,0))="",0,INDEX(Overrides!$D$8:$D$47,MATCH(B354,Overrides!$A$8:$A$47,0))),0)</f>
        <v>0</v>
      </c>
      <c r="J354" s="38">
        <f t="shared" si="35"/>
        <v>1468.580291369374</v>
      </c>
      <c r="K354" s="18">
        <f t="shared" si="36"/>
        <v>1</v>
      </c>
      <c r="L354" s="38">
        <f t="shared" si="37"/>
        <v>1468.580291369374</v>
      </c>
      <c r="M354" s="23">
        <f t="shared" si="38"/>
        <v>-0.1985042089225024</v>
      </c>
      <c r="N354" s="23">
        <f t="shared" si="39"/>
        <v>0.3731149114251458</v>
      </c>
      <c r="O354" s="6"/>
      <c r="P354" s="18">
        <f t="shared" si="40"/>
        <v>-7.4064880329638122E-2</v>
      </c>
    </row>
    <row r="355" spans="1:16" ht="15" customHeight="1" x14ac:dyDescent="0.3">
      <c r="A355" s="7" t="str">
        <f>Raw_Players!A317</f>
        <v>MIA</v>
      </c>
      <c r="B355" s="7" t="str">
        <f>Raw_Players!B317</f>
        <v>Tim Hardaway Jr.</v>
      </c>
      <c r="C355" s="37">
        <f>Raw_Players!E317</f>
        <v>-1.421820947679491</v>
      </c>
      <c r="D355" s="31">
        <f>Raw_Players!F317</f>
        <v>1416.893362769126</v>
      </c>
      <c r="E355" s="31">
        <f>Raw_Players!G317</f>
        <v>22.117886655478859</v>
      </c>
      <c r="F355" s="31">
        <f>Raw_Players!H317</f>
        <v>64.060974036058951</v>
      </c>
      <c r="G355" s="31" t="str">
        <f>IFERROR(IF(INDEX(Overrides!$B$8:$B$47,MATCH(B355,Overrides!$A$8:$A$47,0))="","",INDEX(Overrides!$B$8:$B$47,MATCH(B355,Overrides!$A$8:$A$47,0))),"")</f>
        <v/>
      </c>
      <c r="H355" s="31" t="str">
        <f>IFERROR(IF(INDEX(Overrides!$C$8:$C$47,MATCH(B355,Overrides!$A$8:$A$47,0))="","",INDEX(Overrides!$C$8:$C$47,MATCH(B355,Overrides!$A$8:$A$47,0))),"")</f>
        <v/>
      </c>
      <c r="I355" s="36">
        <f>IFERROR(IF(INDEX(Overrides!$D$8:$D$47,MATCH(B355,Overrides!$A$8:$A$47,0))="",0,INDEX(Overrides!$D$8:$D$47,MATCH(B355,Overrides!$A$8:$A$47,0))),0)</f>
        <v>0</v>
      </c>
      <c r="J355" s="38">
        <f t="shared" si="35"/>
        <v>1416.893362769126</v>
      </c>
      <c r="K355" s="18">
        <f t="shared" si="36"/>
        <v>1</v>
      </c>
      <c r="L355" s="38">
        <f t="shared" si="37"/>
        <v>1416.893362769126</v>
      </c>
      <c r="M355" s="23">
        <f t="shared" si="38"/>
        <v>-1.421820947679491</v>
      </c>
      <c r="N355" s="23">
        <f t="shared" si="39"/>
        <v>0.35998306980922917</v>
      </c>
      <c r="O355" s="6"/>
      <c r="P355" s="18">
        <f t="shared" si="40"/>
        <v>-0.51183146946473057</v>
      </c>
    </row>
    <row r="356" spans="1:16" ht="15" customHeight="1" x14ac:dyDescent="0.3">
      <c r="A356" s="7" t="str">
        <f>Raw_Players!A318</f>
        <v>MIA</v>
      </c>
      <c r="B356" s="7" t="str">
        <f>Raw_Players!B318</f>
        <v>Giannis Antetokounmpo</v>
      </c>
      <c r="C356" s="37">
        <f>Raw_Players!E318</f>
        <v>6.8259512347007183</v>
      </c>
      <c r="D356" s="31">
        <f>Raw_Players!F318</f>
        <v>1398.6847072438161</v>
      </c>
      <c r="E356" s="31">
        <f>Raw_Players!G318</f>
        <v>26.177646553511341</v>
      </c>
      <c r="F356" s="31">
        <f>Raw_Players!H318</f>
        <v>53.430498589117953</v>
      </c>
      <c r="G356" s="31" t="str">
        <f>IFERROR(IF(INDEX(Overrides!$B$8:$B$47,MATCH(B356,Overrides!$A$8:$A$47,0))="","",INDEX(Overrides!$B$8:$B$47,MATCH(B356,Overrides!$A$8:$A$47,0))),"")</f>
        <v/>
      </c>
      <c r="H356" s="31" t="str">
        <f>IFERROR(IF(INDEX(Overrides!$C$8:$C$47,MATCH(B356,Overrides!$A$8:$A$47,0))="","",INDEX(Overrides!$C$8:$C$47,MATCH(B356,Overrides!$A$8:$A$47,0))),"")</f>
        <v/>
      </c>
      <c r="I356" s="36">
        <f>IFERROR(IF(INDEX(Overrides!$D$8:$D$47,MATCH(B356,Overrides!$A$8:$A$47,0))="",0,INDEX(Overrides!$D$8:$D$47,MATCH(B356,Overrides!$A$8:$A$47,0))),0)</f>
        <v>0</v>
      </c>
      <c r="J356" s="38">
        <f t="shared" si="35"/>
        <v>1398.6847072438161</v>
      </c>
      <c r="K356" s="18">
        <f t="shared" si="36"/>
        <v>1</v>
      </c>
      <c r="L356" s="38">
        <f t="shared" si="37"/>
        <v>1398.6847072438161</v>
      </c>
      <c r="M356" s="23">
        <f t="shared" si="38"/>
        <v>6.8259512347007183</v>
      </c>
      <c r="N356" s="23">
        <f t="shared" si="39"/>
        <v>0.35535688700300205</v>
      </c>
      <c r="O356" s="6"/>
      <c r="P356" s="18">
        <f t="shared" si="40"/>
        <v>2.4256487815975456</v>
      </c>
    </row>
    <row r="357" spans="1:16" ht="15" customHeight="1" x14ac:dyDescent="0.3">
      <c r="A357" s="7" t="str">
        <f>Raw_Players!A319</f>
        <v>MIA</v>
      </c>
      <c r="B357" s="7" t="str">
        <f>Raw_Players!B319</f>
        <v>Davion Mitchell</v>
      </c>
      <c r="C357" s="37">
        <f>Raw_Players!E319</f>
        <v>-0.73281379634658039</v>
      </c>
      <c r="D357" s="31">
        <f>Raw_Players!F319</f>
        <v>1337.616131846552</v>
      </c>
      <c r="E357" s="31">
        <f>Raw_Players!G319</f>
        <v>21.025011423997039</v>
      </c>
      <c r="F357" s="31">
        <f>Raw_Players!H319</f>
        <v>63.620233296037838</v>
      </c>
      <c r="G357" s="31" t="str">
        <f>IFERROR(IF(INDEX(Overrides!$B$8:$B$47,MATCH(B357,Overrides!$A$8:$A$47,0))="","",INDEX(Overrides!$B$8:$B$47,MATCH(B357,Overrides!$A$8:$A$47,0))),"")</f>
        <v/>
      </c>
      <c r="H357" s="31" t="str">
        <f>IFERROR(IF(INDEX(Overrides!$C$8:$C$47,MATCH(B357,Overrides!$A$8:$A$47,0))="","",INDEX(Overrides!$C$8:$C$47,MATCH(B357,Overrides!$A$8:$A$47,0))),"")</f>
        <v/>
      </c>
      <c r="I357" s="36">
        <f>IFERROR(IF(INDEX(Overrides!$D$8:$D$47,MATCH(B357,Overrides!$A$8:$A$47,0))="",0,INDEX(Overrides!$D$8:$D$47,MATCH(B357,Overrides!$A$8:$A$47,0))),0)</f>
        <v>0</v>
      </c>
      <c r="J357" s="38">
        <f t="shared" si="35"/>
        <v>1337.616131846552</v>
      </c>
      <c r="K357" s="18">
        <f t="shared" si="36"/>
        <v>1</v>
      </c>
      <c r="L357" s="38">
        <f t="shared" si="37"/>
        <v>1337.616131846552</v>
      </c>
      <c r="M357" s="23">
        <f t="shared" si="38"/>
        <v>-0.73281379634658039</v>
      </c>
      <c r="N357" s="23">
        <f t="shared" si="39"/>
        <v>0.33984149691223375</v>
      </c>
      <c r="O357" s="6"/>
      <c r="P357" s="18">
        <f t="shared" si="40"/>
        <v>-0.24904053750835869</v>
      </c>
    </row>
    <row r="358" spans="1:16" ht="15" customHeight="1" x14ac:dyDescent="0.3">
      <c r="A358" s="7" t="str">
        <f>Raw_Players!A320</f>
        <v>MIA</v>
      </c>
      <c r="B358" s="7" t="str">
        <f>Raw_Players!B320</f>
        <v>Klay Thompson</v>
      </c>
      <c r="C358" s="37">
        <f>Raw_Players!E320</f>
        <v>-1.5245785992413661</v>
      </c>
      <c r="D358" s="31">
        <f>Raw_Players!F320</f>
        <v>1220.7216946522301</v>
      </c>
      <c r="E358" s="31">
        <f>Raw_Players!G320</f>
        <v>20.44304230955774</v>
      </c>
      <c r="F358" s="31">
        <f>Raw_Players!H320</f>
        <v>59.713308624397143</v>
      </c>
      <c r="G358" s="31" t="str">
        <f>IFERROR(IF(INDEX(Overrides!$B$8:$B$47,MATCH(B358,Overrides!$A$8:$A$47,0))="","",INDEX(Overrides!$B$8:$B$47,MATCH(B358,Overrides!$A$8:$A$47,0))),"")</f>
        <v/>
      </c>
      <c r="H358" s="31" t="str">
        <f>IFERROR(IF(INDEX(Overrides!$C$8:$C$47,MATCH(B358,Overrides!$A$8:$A$47,0))="","",INDEX(Overrides!$C$8:$C$47,MATCH(B358,Overrides!$A$8:$A$47,0))),"")</f>
        <v/>
      </c>
      <c r="I358" s="36">
        <f>IFERROR(IF(INDEX(Overrides!$D$8:$D$47,MATCH(B358,Overrides!$A$8:$A$47,0))="",0,INDEX(Overrides!$D$8:$D$47,MATCH(B358,Overrides!$A$8:$A$47,0))),0)</f>
        <v>0</v>
      </c>
      <c r="J358" s="38">
        <f t="shared" si="35"/>
        <v>1220.7216946522301</v>
      </c>
      <c r="K358" s="18">
        <f t="shared" si="36"/>
        <v>1</v>
      </c>
      <c r="L358" s="38">
        <f t="shared" si="37"/>
        <v>1220.7216946522301</v>
      </c>
      <c r="M358" s="23">
        <f t="shared" si="38"/>
        <v>-1.5245785992413661</v>
      </c>
      <c r="N358" s="23">
        <f t="shared" si="39"/>
        <v>0.31014270697465196</v>
      </c>
      <c r="O358" s="6"/>
      <c r="P358" s="18">
        <f t="shared" si="40"/>
        <v>-0.47283693376434033</v>
      </c>
    </row>
    <row r="359" spans="1:16" ht="15" customHeight="1" x14ac:dyDescent="0.3">
      <c r="A359" s="7" t="str">
        <f>Raw_Players!A321</f>
        <v>MIA</v>
      </c>
      <c r="B359" s="7" t="str">
        <f>Raw_Players!B321</f>
        <v>Bobby Portis</v>
      </c>
      <c r="C359" s="37">
        <f>Raw_Players!E321</f>
        <v>-0.69259435371602618</v>
      </c>
      <c r="D359" s="31">
        <f>Raw_Players!F321</f>
        <v>1190.9970972424171</v>
      </c>
      <c r="E359" s="31">
        <f>Raw_Players!G321</f>
        <v>20.002233442069549</v>
      </c>
      <c r="F359" s="31">
        <f>Raw_Players!H321</f>
        <v>59.543205547109608</v>
      </c>
      <c r="G359" s="31" t="str">
        <f>IFERROR(IF(INDEX(Overrides!$B$8:$B$47,MATCH(B359,Overrides!$A$8:$A$47,0))="","",INDEX(Overrides!$B$8:$B$47,MATCH(B359,Overrides!$A$8:$A$47,0))),"")</f>
        <v/>
      </c>
      <c r="H359" s="31" t="str">
        <f>IFERROR(IF(INDEX(Overrides!$C$8:$C$47,MATCH(B359,Overrides!$A$8:$A$47,0))="","",INDEX(Overrides!$C$8:$C$47,MATCH(B359,Overrides!$A$8:$A$47,0))),"")</f>
        <v/>
      </c>
      <c r="I359" s="36">
        <f>IFERROR(IF(INDEX(Overrides!$D$8:$D$47,MATCH(B359,Overrides!$A$8:$A$47,0))="",0,INDEX(Overrides!$D$8:$D$47,MATCH(B359,Overrides!$A$8:$A$47,0))),0)</f>
        <v>0</v>
      </c>
      <c r="J359" s="38">
        <f t="shared" si="35"/>
        <v>1190.9970972424171</v>
      </c>
      <c r="K359" s="18">
        <f t="shared" si="36"/>
        <v>1</v>
      </c>
      <c r="L359" s="38">
        <f t="shared" si="37"/>
        <v>1190.9970972424171</v>
      </c>
      <c r="M359" s="23">
        <f t="shared" si="38"/>
        <v>-0.69259435371602618</v>
      </c>
      <c r="N359" s="23">
        <f t="shared" si="39"/>
        <v>0.30259072592541086</v>
      </c>
      <c r="O359" s="6"/>
      <c r="P359" s="18">
        <f t="shared" si="40"/>
        <v>-0.20957262826277315</v>
      </c>
    </row>
    <row r="360" spans="1:16" ht="15" customHeight="1" x14ac:dyDescent="0.3">
      <c r="A360" s="7" t="str">
        <f>Raw_Players!A322</f>
        <v>MIA</v>
      </c>
      <c r="B360" s="7" t="str">
        <f>Raw_Players!B322</f>
        <v>Pelle Larsson</v>
      </c>
      <c r="C360" s="37">
        <f>Raw_Players!E322</f>
        <v>-0.75023154167678774</v>
      </c>
      <c r="D360" s="31">
        <f>Raw_Players!F322</f>
        <v>1129.854850296723</v>
      </c>
      <c r="E360" s="31">
        <f>Raw_Players!G322</f>
        <v>18.088127224458759</v>
      </c>
      <c r="F360" s="31">
        <f>Raw_Players!H322</f>
        <v>62.463893374706799</v>
      </c>
      <c r="G360" s="31" t="str">
        <f>IFERROR(IF(INDEX(Overrides!$B$8:$B$47,MATCH(B360,Overrides!$A$8:$A$47,0))="","",INDEX(Overrides!$B$8:$B$47,MATCH(B360,Overrides!$A$8:$A$47,0))),"")</f>
        <v/>
      </c>
      <c r="H360" s="31" t="str">
        <f>IFERROR(IF(INDEX(Overrides!$C$8:$C$47,MATCH(B360,Overrides!$A$8:$A$47,0))="","",INDEX(Overrides!$C$8:$C$47,MATCH(B360,Overrides!$A$8:$A$47,0))),"")</f>
        <v/>
      </c>
      <c r="I360" s="36">
        <f>IFERROR(IF(INDEX(Overrides!$D$8:$D$47,MATCH(B360,Overrides!$A$8:$A$47,0))="",0,INDEX(Overrides!$D$8:$D$47,MATCH(B360,Overrides!$A$8:$A$47,0))),0)</f>
        <v>0</v>
      </c>
      <c r="J360" s="38">
        <f t="shared" si="35"/>
        <v>1129.854850296723</v>
      </c>
      <c r="K360" s="18">
        <f t="shared" si="36"/>
        <v>1</v>
      </c>
      <c r="L360" s="38">
        <f t="shared" si="37"/>
        <v>1129.854850296723</v>
      </c>
      <c r="M360" s="23">
        <f t="shared" si="38"/>
        <v>-0.75023154167678774</v>
      </c>
      <c r="N360" s="23">
        <f t="shared" si="39"/>
        <v>0.28705661846969588</v>
      </c>
      <c r="O360" s="6"/>
      <c r="P360" s="18">
        <f t="shared" si="40"/>
        <v>-0.21535892942304541</v>
      </c>
    </row>
    <row r="361" spans="1:16" ht="15" customHeight="1" x14ac:dyDescent="0.3">
      <c r="A361" s="7" t="str">
        <f>Raw_Players!A323</f>
        <v>MIA</v>
      </c>
      <c r="B361" s="7" t="str">
        <f>Raw_Players!B323</f>
        <v>Simone Fontecchio</v>
      </c>
      <c r="C361" s="37">
        <f>Raw_Players!E323</f>
        <v>-0.42823479791553742</v>
      </c>
      <c r="D361" s="31">
        <f>Raw_Players!F323</f>
        <v>942.90332592437119</v>
      </c>
      <c r="E361" s="31">
        <f>Raw_Players!G323</f>
        <v>14.944164602056061</v>
      </c>
      <c r="F361" s="31">
        <f>Raw_Players!H323</f>
        <v>63.095084337778488</v>
      </c>
      <c r="G361" s="31" t="str">
        <f>IFERROR(IF(INDEX(Overrides!$B$8:$B$47,MATCH(B361,Overrides!$A$8:$A$47,0))="","",INDEX(Overrides!$B$8:$B$47,MATCH(B361,Overrides!$A$8:$A$47,0))),"")</f>
        <v/>
      </c>
      <c r="H361" s="31" t="str">
        <f>IFERROR(IF(INDEX(Overrides!$C$8:$C$47,MATCH(B361,Overrides!$A$8:$A$47,0))="","",INDEX(Overrides!$C$8:$C$47,MATCH(B361,Overrides!$A$8:$A$47,0))),"")</f>
        <v/>
      </c>
      <c r="I361" s="36">
        <f>IFERROR(IF(INDEX(Overrides!$D$8:$D$47,MATCH(B361,Overrides!$A$8:$A$47,0))="",0,INDEX(Overrides!$D$8:$D$47,MATCH(B361,Overrides!$A$8:$A$47,0))),0)</f>
        <v>0</v>
      </c>
      <c r="J361" s="38">
        <f t="shared" si="35"/>
        <v>942.90332592437119</v>
      </c>
      <c r="K361" s="18">
        <f t="shared" si="36"/>
        <v>1</v>
      </c>
      <c r="L361" s="38">
        <f t="shared" si="37"/>
        <v>942.90332592437119</v>
      </c>
      <c r="M361" s="23">
        <f t="shared" si="38"/>
        <v>-0.42823479791553742</v>
      </c>
      <c r="N361" s="23">
        <f t="shared" si="39"/>
        <v>0.23955877183037885</v>
      </c>
      <c r="O361" s="6"/>
      <c r="P361" s="18">
        <f t="shared" si="40"/>
        <v>-0.10258740224367663</v>
      </c>
    </row>
    <row r="362" spans="1:16" ht="15" customHeight="1" x14ac:dyDescent="0.3">
      <c r="A362" s="7" t="str">
        <f>Raw_Players!A324</f>
        <v>MIA</v>
      </c>
      <c r="B362" s="7" t="str">
        <f>Raw_Players!B324</f>
        <v>Nikola Jovic</v>
      </c>
      <c r="C362" s="37">
        <f>Raw_Players!E324</f>
        <v>-1.009506533176149</v>
      </c>
      <c r="D362" s="31">
        <f>Raw_Players!F324</f>
        <v>911.79523487233098</v>
      </c>
      <c r="E362" s="31">
        <f>Raw_Players!G324</f>
        <v>16.268590123426002</v>
      </c>
      <c r="F362" s="31">
        <f>Raw_Players!H324</f>
        <v>56.046358532285403</v>
      </c>
      <c r="G362" s="31" t="str">
        <f>IFERROR(IF(INDEX(Overrides!$B$8:$B$47,MATCH(B362,Overrides!$A$8:$A$47,0))="","",INDEX(Overrides!$B$8:$B$47,MATCH(B362,Overrides!$A$8:$A$47,0))),"")</f>
        <v/>
      </c>
      <c r="H362" s="31" t="str">
        <f>IFERROR(IF(INDEX(Overrides!$C$8:$C$47,MATCH(B362,Overrides!$A$8:$A$47,0))="","",INDEX(Overrides!$C$8:$C$47,MATCH(B362,Overrides!$A$8:$A$47,0))),"")</f>
        <v/>
      </c>
      <c r="I362" s="36">
        <f>IFERROR(IF(INDEX(Overrides!$D$8:$D$47,MATCH(B362,Overrides!$A$8:$A$47,0))="",0,INDEX(Overrides!$D$8:$D$47,MATCH(B362,Overrides!$A$8:$A$47,0))),0)</f>
        <v>0</v>
      </c>
      <c r="J362" s="38">
        <f t="shared" si="35"/>
        <v>911.79523487233098</v>
      </c>
      <c r="K362" s="18">
        <f t="shared" si="36"/>
        <v>1</v>
      </c>
      <c r="L362" s="38">
        <f t="shared" si="37"/>
        <v>911.79523487233098</v>
      </c>
      <c r="M362" s="23">
        <f t="shared" si="38"/>
        <v>-1.009506533176149</v>
      </c>
      <c r="N362" s="23">
        <f t="shared" si="39"/>
        <v>0.2316552934126857</v>
      </c>
      <c r="O362" s="6"/>
      <c r="P362" s="18">
        <f t="shared" si="40"/>
        <v>-0.23385753214494392</v>
      </c>
    </row>
    <row r="363" spans="1:16" ht="15" customHeight="1" x14ac:dyDescent="0.3">
      <c r="A363" s="7" t="str">
        <f>Raw_Players!A325</f>
        <v>MIA</v>
      </c>
      <c r="B363" s="7" t="str">
        <f>Raw_Players!B325</f>
        <v>Nick Richards</v>
      </c>
      <c r="C363" s="37">
        <f>Raw_Players!E325</f>
        <v>-2.5265708640333888</v>
      </c>
      <c r="D363" s="31">
        <f>Raw_Players!F325</f>
        <v>909.40725294054619</v>
      </c>
      <c r="E363" s="31">
        <f>Raw_Players!G325</f>
        <v>16.094669812849709</v>
      </c>
      <c r="F363" s="31">
        <f>Raw_Players!H325</f>
        <v>56.503629059509556</v>
      </c>
      <c r="G363" s="31" t="str">
        <f>IFERROR(IF(INDEX(Overrides!$B$8:$B$47,MATCH(B363,Overrides!$A$8:$A$47,0))="","",INDEX(Overrides!$B$8:$B$47,MATCH(B363,Overrides!$A$8:$A$47,0))),"")</f>
        <v/>
      </c>
      <c r="H363" s="31" t="str">
        <f>IFERROR(IF(INDEX(Overrides!$C$8:$C$47,MATCH(B363,Overrides!$A$8:$A$47,0))="","",INDEX(Overrides!$C$8:$C$47,MATCH(B363,Overrides!$A$8:$A$47,0))),"")</f>
        <v/>
      </c>
      <c r="I363" s="36">
        <f>IFERROR(IF(INDEX(Overrides!$D$8:$D$47,MATCH(B363,Overrides!$A$8:$A$47,0))="",0,INDEX(Overrides!$D$8:$D$47,MATCH(B363,Overrides!$A$8:$A$47,0))),0)</f>
        <v>0</v>
      </c>
      <c r="J363" s="38">
        <f t="shared" si="35"/>
        <v>909.40725294054619</v>
      </c>
      <c r="K363" s="18">
        <f t="shared" si="36"/>
        <v>1</v>
      </c>
      <c r="L363" s="38">
        <f t="shared" si="37"/>
        <v>909.40725294054619</v>
      </c>
      <c r="M363" s="23">
        <f t="shared" si="38"/>
        <v>-2.5265708640333888</v>
      </c>
      <c r="N363" s="23">
        <f t="shared" si="39"/>
        <v>0.23104859068611439</v>
      </c>
      <c r="O363" s="6"/>
      <c r="P363" s="18">
        <f t="shared" si="40"/>
        <v>-0.58376063740351281</v>
      </c>
    </row>
    <row r="364" spans="1:16" ht="15" customHeight="1" x14ac:dyDescent="0.3">
      <c r="A364" s="7" t="str">
        <f>Raw_Players!A326</f>
        <v>MIA</v>
      </c>
      <c r="B364" s="7" t="str">
        <f>Raw_Players!B326</f>
        <v>Bez Mbeng</v>
      </c>
      <c r="C364" s="37">
        <f>Raw_Players!E326</f>
        <v>-2.041267089373036</v>
      </c>
      <c r="D364" s="31">
        <f>Raw_Players!F326</f>
        <v>854.83205141347469</v>
      </c>
      <c r="E364" s="31">
        <f>Raw_Players!G326</f>
        <v>18.950131516526849</v>
      </c>
      <c r="F364" s="31">
        <f>Raw_Players!H326</f>
        <v>45.109557718264703</v>
      </c>
      <c r="G364" s="31" t="str">
        <f>IFERROR(IF(INDEX(Overrides!$B$8:$B$47,MATCH(B364,Overrides!$A$8:$A$47,0))="","",INDEX(Overrides!$B$8:$B$47,MATCH(B364,Overrides!$A$8:$A$47,0))),"")</f>
        <v/>
      </c>
      <c r="H364" s="31" t="str">
        <f>IFERROR(IF(INDEX(Overrides!$C$8:$C$47,MATCH(B364,Overrides!$A$8:$A$47,0))="","",INDEX(Overrides!$C$8:$C$47,MATCH(B364,Overrides!$A$8:$A$47,0))),"")</f>
        <v/>
      </c>
      <c r="I364" s="36">
        <f>IFERROR(IF(INDEX(Overrides!$D$8:$D$47,MATCH(B364,Overrides!$A$8:$A$47,0))="",0,INDEX(Overrides!$D$8:$D$47,MATCH(B364,Overrides!$A$8:$A$47,0))),0)</f>
        <v>0</v>
      </c>
      <c r="J364" s="38">
        <f t="shared" si="35"/>
        <v>854.83205141347469</v>
      </c>
      <c r="K364" s="18">
        <f t="shared" si="36"/>
        <v>1</v>
      </c>
      <c r="L364" s="38">
        <f t="shared" si="37"/>
        <v>854.83205141347469</v>
      </c>
      <c r="M364" s="23">
        <f t="shared" si="38"/>
        <v>-2.041267089373036</v>
      </c>
      <c r="N364" s="23">
        <f t="shared" si="39"/>
        <v>0.21718293989163484</v>
      </c>
      <c r="O364" s="6"/>
      <c r="P364" s="18">
        <f t="shared" si="40"/>
        <v>-0.4433283875740765</v>
      </c>
    </row>
    <row r="365" spans="1:16" ht="15" customHeight="1" x14ac:dyDescent="0.3">
      <c r="A365" s="7" t="str">
        <f>Raw_Players!A327</f>
        <v>MIA</v>
      </c>
      <c r="B365" s="7" t="str">
        <f>Raw_Players!B327</f>
        <v>Dennis Smith Jr.</v>
      </c>
      <c r="C365" s="37">
        <f>Raw_Players!E327</f>
        <v>-1.441792304937741</v>
      </c>
      <c r="D365" s="31">
        <f>Raw_Players!F327</f>
        <v>830.25962724038141</v>
      </c>
      <c r="E365" s="31">
        <f>Raw_Players!G327</f>
        <v>14.7630866127872</v>
      </c>
      <c r="F365" s="31">
        <f>Raw_Players!H327</f>
        <v>56.238891569005858</v>
      </c>
      <c r="G365" s="31" t="str">
        <f>IFERROR(IF(INDEX(Overrides!$B$8:$B$47,MATCH(B365,Overrides!$A$8:$A$47,0))="","",INDEX(Overrides!$B$8:$B$47,MATCH(B365,Overrides!$A$8:$A$47,0))),"")</f>
        <v/>
      </c>
      <c r="H365" s="31" t="str">
        <f>IFERROR(IF(INDEX(Overrides!$C$8:$C$47,MATCH(B365,Overrides!$A$8:$A$47,0))="","",INDEX(Overrides!$C$8:$C$47,MATCH(B365,Overrides!$A$8:$A$47,0))),"")</f>
        <v/>
      </c>
      <c r="I365" s="36">
        <f>IFERROR(IF(INDEX(Overrides!$D$8:$D$47,MATCH(B365,Overrides!$A$8:$A$47,0))="",0,INDEX(Overrides!$D$8:$D$47,MATCH(B365,Overrides!$A$8:$A$47,0))),0)</f>
        <v>0</v>
      </c>
      <c r="J365" s="38">
        <f t="shared" si="35"/>
        <v>830.25962724038141</v>
      </c>
      <c r="K365" s="18">
        <f t="shared" si="36"/>
        <v>1</v>
      </c>
      <c r="L365" s="38">
        <f t="shared" si="37"/>
        <v>830.25962724038141</v>
      </c>
      <c r="M365" s="23">
        <f t="shared" si="38"/>
        <v>-1.441792304937741</v>
      </c>
      <c r="N365" s="23">
        <f t="shared" si="39"/>
        <v>0.21093994594521887</v>
      </c>
      <c r="O365" s="6"/>
      <c r="P365" s="18">
        <f t="shared" si="40"/>
        <v>-0.30413159086779962</v>
      </c>
    </row>
    <row r="366" spans="1:16" ht="15" customHeight="1" x14ac:dyDescent="0.3">
      <c r="A366" s="7" t="str">
        <f>Raw_Players!A328</f>
        <v>MIA</v>
      </c>
      <c r="B366" s="7" t="str">
        <f>Raw_Players!B328</f>
        <v>Dru Smith</v>
      </c>
      <c r="C366" s="37">
        <f>Raw_Players!E328</f>
        <v>0.23181706245965811</v>
      </c>
      <c r="D366" s="31">
        <f>Raw_Players!F328</f>
        <v>780.20891991291217</v>
      </c>
      <c r="E366" s="31">
        <f>Raw_Players!G328</f>
        <v>13.447013795732721</v>
      </c>
      <c r="F366" s="31">
        <f>Raw_Players!H328</f>
        <v>58.02098010492886</v>
      </c>
      <c r="G366" s="31" t="str">
        <f>IFERROR(IF(INDEX(Overrides!$B$8:$B$47,MATCH(B366,Overrides!$A$8:$A$47,0))="","",INDEX(Overrides!$B$8:$B$47,MATCH(B366,Overrides!$A$8:$A$47,0))),"")</f>
        <v/>
      </c>
      <c r="H366" s="31" t="str">
        <f>IFERROR(IF(INDEX(Overrides!$C$8:$C$47,MATCH(B366,Overrides!$A$8:$A$47,0))="","",INDEX(Overrides!$C$8:$C$47,MATCH(B366,Overrides!$A$8:$A$47,0))),"")</f>
        <v/>
      </c>
      <c r="I366" s="36">
        <f>IFERROR(IF(INDEX(Overrides!$D$8:$D$47,MATCH(B366,Overrides!$A$8:$A$47,0))="",0,INDEX(Overrides!$D$8:$D$47,MATCH(B366,Overrides!$A$8:$A$47,0))),0)</f>
        <v>0</v>
      </c>
      <c r="J366" s="38">
        <f t="shared" ref="J366:J429" si="41">IF(AND(G366="",H366=""),D366,IF(H366="",F366,H366)*IF(G366="",E366,G366))</f>
        <v>780.20891991291217</v>
      </c>
      <c r="K366" s="18">
        <f t="shared" ref="K366:K429" si="42">A_teamminutes/SUMIF($A$46:$A$672,A366,$J$46:$J$672)</f>
        <v>1</v>
      </c>
      <c r="L366" s="38">
        <f t="shared" ref="L366:L429" si="43">J366*K366</f>
        <v>780.20891991291217</v>
      </c>
      <c r="M366" s="23">
        <f t="shared" ref="M366:M429" si="44">C366+I366</f>
        <v>0.23181706245965811</v>
      </c>
      <c r="N366" s="23">
        <f t="shared" ref="N366:N429" si="45">L366/(A_teamminutes/5)</f>
        <v>0.19822381095348379</v>
      </c>
      <c r="O366" s="6"/>
      <c r="P366" s="18">
        <f t="shared" ref="P366:P429" si="46">N366*M366</f>
        <v>4.5951661564795215E-2</v>
      </c>
    </row>
    <row r="367" spans="1:16" ht="15" customHeight="1" x14ac:dyDescent="0.3">
      <c r="A367" s="7" t="str">
        <f>Raw_Players!A329</f>
        <v>MIA</v>
      </c>
      <c r="B367" s="7" t="str">
        <f>Raw_Players!B329</f>
        <v>Ryan Conwell</v>
      </c>
      <c r="C367" s="37">
        <f>Raw_Players!E329</f>
        <v>-3.4397714226308529</v>
      </c>
      <c r="D367" s="31">
        <f>Raw_Players!F329</f>
        <v>474.9915053226415</v>
      </c>
      <c r="E367" s="31">
        <f>Raw_Players!G329</f>
        <v>12.80126952950774</v>
      </c>
      <c r="F367" s="31">
        <f>Raw_Players!H329</f>
        <v>37.105031202394088</v>
      </c>
      <c r="G367" s="31" t="str">
        <f>IFERROR(IF(INDEX(Overrides!$B$8:$B$47,MATCH(B367,Overrides!$A$8:$A$47,0))="","",INDEX(Overrides!$B$8:$B$47,MATCH(B367,Overrides!$A$8:$A$47,0))),"")</f>
        <v/>
      </c>
      <c r="H367" s="31" t="str">
        <f>IFERROR(IF(INDEX(Overrides!$C$8:$C$47,MATCH(B367,Overrides!$A$8:$A$47,0))="","",INDEX(Overrides!$C$8:$C$47,MATCH(B367,Overrides!$A$8:$A$47,0))),"")</f>
        <v/>
      </c>
      <c r="I367" s="36">
        <f>IFERROR(IF(INDEX(Overrides!$D$8:$D$47,MATCH(B367,Overrides!$A$8:$A$47,0))="",0,INDEX(Overrides!$D$8:$D$47,MATCH(B367,Overrides!$A$8:$A$47,0))),0)</f>
        <v>0</v>
      </c>
      <c r="J367" s="38">
        <f t="shared" si="41"/>
        <v>474.9915053226415</v>
      </c>
      <c r="K367" s="18">
        <f t="shared" si="42"/>
        <v>1</v>
      </c>
      <c r="L367" s="38">
        <f t="shared" si="43"/>
        <v>474.9915053226415</v>
      </c>
      <c r="M367" s="23">
        <f t="shared" si="44"/>
        <v>-3.4397714226308529</v>
      </c>
      <c r="N367" s="23">
        <f t="shared" si="45"/>
        <v>0.12067873610839469</v>
      </c>
      <c r="O367" s="6"/>
      <c r="P367" s="18">
        <f t="shared" si="46"/>
        <v>-0.41510726778486606</v>
      </c>
    </row>
    <row r="368" spans="1:16" ht="15" customHeight="1" x14ac:dyDescent="0.3">
      <c r="A368" s="7" t="str">
        <f>Raw_Players!A330</f>
        <v>MIA</v>
      </c>
      <c r="B368" s="7" t="str">
        <f>Raw_Players!B330</f>
        <v>Myron Gardner</v>
      </c>
      <c r="C368" s="37">
        <f>Raw_Players!E330</f>
        <v>-0.43267885631285768</v>
      </c>
      <c r="D368" s="31">
        <f>Raw_Players!F330</f>
        <v>460.36745417945082</v>
      </c>
      <c r="E368" s="31">
        <f>Raw_Players!G330</f>
        <v>8.332981939187027</v>
      </c>
      <c r="F368" s="31">
        <f>Raw_Players!H330</f>
        <v>55.246424093937812</v>
      </c>
      <c r="G368" s="31" t="str">
        <f>IFERROR(IF(INDEX(Overrides!$B$8:$B$47,MATCH(B368,Overrides!$A$8:$A$47,0))="","",INDEX(Overrides!$B$8:$B$47,MATCH(B368,Overrides!$A$8:$A$47,0))),"")</f>
        <v/>
      </c>
      <c r="H368" s="31" t="str">
        <f>IFERROR(IF(INDEX(Overrides!$C$8:$C$47,MATCH(B368,Overrides!$A$8:$A$47,0))="","",INDEX(Overrides!$C$8:$C$47,MATCH(B368,Overrides!$A$8:$A$47,0))),"")</f>
        <v/>
      </c>
      <c r="I368" s="36">
        <f>IFERROR(IF(INDEX(Overrides!$D$8:$D$47,MATCH(B368,Overrides!$A$8:$A$47,0))="",0,INDEX(Overrides!$D$8:$D$47,MATCH(B368,Overrides!$A$8:$A$47,0))),0)</f>
        <v>0</v>
      </c>
      <c r="J368" s="38">
        <f t="shared" si="41"/>
        <v>460.36745417945082</v>
      </c>
      <c r="K368" s="18">
        <f t="shared" si="42"/>
        <v>1</v>
      </c>
      <c r="L368" s="38">
        <f t="shared" si="43"/>
        <v>460.36745417945082</v>
      </c>
      <c r="M368" s="23">
        <f t="shared" si="44"/>
        <v>-0.43267885631285768</v>
      </c>
      <c r="N368" s="23">
        <f t="shared" si="45"/>
        <v>0.11696327596022632</v>
      </c>
      <c r="O368" s="6"/>
      <c r="P368" s="18">
        <f t="shared" si="46"/>
        <v>-5.0607536473075886E-2</v>
      </c>
    </row>
    <row r="369" spans="1:16" ht="15" customHeight="1" x14ac:dyDescent="0.3">
      <c r="A369" s="7" t="str">
        <f>Raw_Players!A331</f>
        <v>MIA</v>
      </c>
      <c r="B369" s="7" t="str">
        <f>Raw_Players!B331</f>
        <v>Keshad Johnson</v>
      </c>
      <c r="C369" s="37">
        <f>Raw_Players!E331</f>
        <v>-0.36045261522673949</v>
      </c>
      <c r="D369" s="31">
        <f>Raw_Players!F331</f>
        <v>377.74969278131459</v>
      </c>
      <c r="E369" s="31">
        <f>Raw_Players!G331</f>
        <v>7.6665726994844681</v>
      </c>
      <c r="F369" s="31">
        <f>Raw_Players!H331</f>
        <v>49.272302968798051</v>
      </c>
      <c r="G369" s="31" t="str">
        <f>IFERROR(IF(INDEX(Overrides!$B$8:$B$47,MATCH(B369,Overrides!$A$8:$A$47,0))="","",INDEX(Overrides!$B$8:$B$47,MATCH(B369,Overrides!$A$8:$A$47,0))),"")</f>
        <v/>
      </c>
      <c r="H369" s="31" t="str">
        <f>IFERROR(IF(INDEX(Overrides!$C$8:$C$47,MATCH(B369,Overrides!$A$8:$A$47,0))="","",INDEX(Overrides!$C$8:$C$47,MATCH(B369,Overrides!$A$8:$A$47,0))),"")</f>
        <v/>
      </c>
      <c r="I369" s="36">
        <f>IFERROR(IF(INDEX(Overrides!$D$8:$D$47,MATCH(B369,Overrides!$A$8:$A$47,0))="",0,INDEX(Overrides!$D$8:$D$47,MATCH(B369,Overrides!$A$8:$A$47,0))),0)</f>
        <v>0</v>
      </c>
      <c r="J369" s="38">
        <f t="shared" si="41"/>
        <v>377.74969278131459</v>
      </c>
      <c r="K369" s="18">
        <f t="shared" si="42"/>
        <v>1</v>
      </c>
      <c r="L369" s="38">
        <f t="shared" si="43"/>
        <v>377.74969278131459</v>
      </c>
      <c r="M369" s="23">
        <f t="shared" si="44"/>
        <v>-0.36045261522673949</v>
      </c>
      <c r="N369" s="23">
        <f t="shared" si="45"/>
        <v>9.5972991052163267E-2</v>
      </c>
      <c r="O369" s="6"/>
      <c r="P369" s="18">
        <f t="shared" si="46"/>
        <v>-3.4593715615884715E-2</v>
      </c>
    </row>
    <row r="370" spans="1:16" ht="15" customHeight="1" x14ac:dyDescent="0.3">
      <c r="A370" s="7" t="str">
        <f>Raw_Players!A332</f>
        <v>MIA</v>
      </c>
      <c r="B370" s="7" t="str">
        <f>Raw_Players!B332</f>
        <v>Tre Donaldson</v>
      </c>
      <c r="C370" s="37">
        <f>Raw_Players!E332</f>
        <v>-3.1867960702466678</v>
      </c>
      <c r="D370" s="31">
        <f>Raw_Players!F332</f>
        <v>328.94973970658651</v>
      </c>
      <c r="E370" s="31">
        <f>Raw_Players!G332</f>
        <v>10.84272272034492</v>
      </c>
      <c r="F370" s="31">
        <f>Raw_Players!H332</f>
        <v>30.338296772023529</v>
      </c>
      <c r="G370" s="31" t="str">
        <f>IFERROR(IF(INDEX(Overrides!$B$8:$B$47,MATCH(B370,Overrides!$A$8:$A$47,0))="","",INDEX(Overrides!$B$8:$B$47,MATCH(B370,Overrides!$A$8:$A$47,0))),"")</f>
        <v/>
      </c>
      <c r="H370" s="31" t="str">
        <f>IFERROR(IF(INDEX(Overrides!$C$8:$C$47,MATCH(B370,Overrides!$A$8:$A$47,0))="","",INDEX(Overrides!$C$8:$C$47,MATCH(B370,Overrides!$A$8:$A$47,0))),"")</f>
        <v/>
      </c>
      <c r="I370" s="36">
        <f>IFERROR(IF(INDEX(Overrides!$D$8:$D$47,MATCH(B370,Overrides!$A$8:$A$47,0))="",0,INDEX(Overrides!$D$8:$D$47,MATCH(B370,Overrides!$A$8:$A$47,0))),0)</f>
        <v>0</v>
      </c>
      <c r="J370" s="38">
        <f t="shared" si="41"/>
        <v>328.94973970658651</v>
      </c>
      <c r="K370" s="18">
        <f t="shared" si="42"/>
        <v>1</v>
      </c>
      <c r="L370" s="38">
        <f t="shared" si="43"/>
        <v>328.94973970658651</v>
      </c>
      <c r="M370" s="23">
        <f t="shared" si="44"/>
        <v>-3.1867960702466678</v>
      </c>
      <c r="N370" s="23">
        <f t="shared" si="45"/>
        <v>8.3574628990494546E-2</v>
      </c>
      <c r="O370" s="6"/>
      <c r="P370" s="18">
        <f t="shared" si="46"/>
        <v>-0.26633529923923127</v>
      </c>
    </row>
    <row r="371" spans="1:16" ht="15" customHeight="1" x14ac:dyDescent="0.3">
      <c r="A371" s="7" t="str">
        <f>Raw_Players!A333</f>
        <v>MIA</v>
      </c>
      <c r="B371" s="7" t="str">
        <f>Raw_Players!B333</f>
        <v>J'Vonne Hadley</v>
      </c>
      <c r="C371" s="37">
        <f>Raw_Players!E333</f>
        <v>-3.1867960702466678</v>
      </c>
      <c r="D371" s="31">
        <f>Raw_Players!F333</f>
        <v>328.94973970658651</v>
      </c>
      <c r="E371" s="31">
        <f>Raw_Players!G333</f>
        <v>10.84272272034492</v>
      </c>
      <c r="F371" s="31">
        <f>Raw_Players!H333</f>
        <v>30.338296772023529</v>
      </c>
      <c r="G371" s="31" t="str">
        <f>IFERROR(IF(INDEX(Overrides!$B$8:$B$47,MATCH(B371,Overrides!$A$8:$A$47,0))="","",INDEX(Overrides!$B$8:$B$47,MATCH(B371,Overrides!$A$8:$A$47,0))),"")</f>
        <v/>
      </c>
      <c r="H371" s="31" t="str">
        <f>IFERROR(IF(INDEX(Overrides!$C$8:$C$47,MATCH(B371,Overrides!$A$8:$A$47,0))="","",INDEX(Overrides!$C$8:$C$47,MATCH(B371,Overrides!$A$8:$A$47,0))),"")</f>
        <v/>
      </c>
      <c r="I371" s="36">
        <f>IFERROR(IF(INDEX(Overrides!$D$8:$D$47,MATCH(B371,Overrides!$A$8:$A$47,0))="",0,INDEX(Overrides!$D$8:$D$47,MATCH(B371,Overrides!$A$8:$A$47,0))),0)</f>
        <v>0</v>
      </c>
      <c r="J371" s="38">
        <f t="shared" si="41"/>
        <v>328.94973970658651</v>
      </c>
      <c r="K371" s="18">
        <f t="shared" si="42"/>
        <v>1</v>
      </c>
      <c r="L371" s="38">
        <f t="shared" si="43"/>
        <v>328.94973970658651</v>
      </c>
      <c r="M371" s="23">
        <f t="shared" si="44"/>
        <v>-3.1867960702466678</v>
      </c>
      <c r="N371" s="23">
        <f t="shared" si="45"/>
        <v>8.3574628990494546E-2</v>
      </c>
      <c r="O371" s="6"/>
      <c r="P371" s="18">
        <f t="shared" si="46"/>
        <v>-0.26633529923923127</v>
      </c>
    </row>
    <row r="372" spans="1:16" ht="15" customHeight="1" x14ac:dyDescent="0.3">
      <c r="A372" s="7" t="str">
        <f>Raw_Players!A334</f>
        <v>MIA</v>
      </c>
      <c r="B372" s="7" t="str">
        <f>Raw_Players!B334</f>
        <v>Gabe Madsen</v>
      </c>
      <c r="C372" s="37">
        <f>Raw_Players!E334</f>
        <v>-3.1867960702466678</v>
      </c>
      <c r="D372" s="31">
        <f>Raw_Players!F334</f>
        <v>328.94973970658651</v>
      </c>
      <c r="E372" s="31">
        <f>Raw_Players!G334</f>
        <v>10.84272272034492</v>
      </c>
      <c r="F372" s="31">
        <f>Raw_Players!H334</f>
        <v>30.338296772023529</v>
      </c>
      <c r="G372" s="31" t="str">
        <f>IFERROR(IF(INDEX(Overrides!$B$8:$B$47,MATCH(B372,Overrides!$A$8:$A$47,0))="","",INDEX(Overrides!$B$8:$B$47,MATCH(B372,Overrides!$A$8:$A$47,0))),"")</f>
        <v/>
      </c>
      <c r="H372" s="31" t="str">
        <f>IFERROR(IF(INDEX(Overrides!$C$8:$C$47,MATCH(B372,Overrides!$A$8:$A$47,0))="","",INDEX(Overrides!$C$8:$C$47,MATCH(B372,Overrides!$A$8:$A$47,0))),"")</f>
        <v/>
      </c>
      <c r="I372" s="36">
        <f>IFERROR(IF(INDEX(Overrides!$D$8:$D$47,MATCH(B372,Overrides!$A$8:$A$47,0))="",0,INDEX(Overrides!$D$8:$D$47,MATCH(B372,Overrides!$A$8:$A$47,0))),0)</f>
        <v>0</v>
      </c>
      <c r="J372" s="38">
        <f t="shared" si="41"/>
        <v>328.94973970658651</v>
      </c>
      <c r="K372" s="18">
        <f t="shared" si="42"/>
        <v>1</v>
      </c>
      <c r="L372" s="38">
        <f t="shared" si="43"/>
        <v>328.94973970658651</v>
      </c>
      <c r="M372" s="23">
        <f t="shared" si="44"/>
        <v>-3.1867960702466678</v>
      </c>
      <c r="N372" s="23">
        <f t="shared" si="45"/>
        <v>8.3574628990494546E-2</v>
      </c>
      <c r="O372" s="6"/>
      <c r="P372" s="18">
        <f t="shared" si="46"/>
        <v>-0.26633529923923127</v>
      </c>
    </row>
    <row r="373" spans="1:16" ht="15" customHeight="1" x14ac:dyDescent="0.3">
      <c r="A373" s="7" t="str">
        <f>Raw_Players!A335</f>
        <v>MIA</v>
      </c>
      <c r="B373" s="7" t="str">
        <f>Raw_Players!B335</f>
        <v>Ian Schieffelin</v>
      </c>
      <c r="C373" s="37">
        <f>Raw_Players!E335</f>
        <v>-3.1867960702466678</v>
      </c>
      <c r="D373" s="31">
        <f>Raw_Players!F335</f>
        <v>328.94973970658651</v>
      </c>
      <c r="E373" s="31">
        <f>Raw_Players!G335</f>
        <v>10.84272272034492</v>
      </c>
      <c r="F373" s="31">
        <f>Raw_Players!H335</f>
        <v>30.338296772023529</v>
      </c>
      <c r="G373" s="31" t="str">
        <f>IFERROR(IF(INDEX(Overrides!$B$8:$B$47,MATCH(B373,Overrides!$A$8:$A$47,0))="","",INDEX(Overrides!$B$8:$B$47,MATCH(B373,Overrides!$A$8:$A$47,0))),"")</f>
        <v/>
      </c>
      <c r="H373" s="31" t="str">
        <f>IFERROR(IF(INDEX(Overrides!$C$8:$C$47,MATCH(B373,Overrides!$A$8:$A$47,0))="","",INDEX(Overrides!$C$8:$C$47,MATCH(B373,Overrides!$A$8:$A$47,0))),"")</f>
        <v/>
      </c>
      <c r="I373" s="36">
        <f>IFERROR(IF(INDEX(Overrides!$D$8:$D$47,MATCH(B373,Overrides!$A$8:$A$47,0))="",0,INDEX(Overrides!$D$8:$D$47,MATCH(B373,Overrides!$A$8:$A$47,0))),0)</f>
        <v>0</v>
      </c>
      <c r="J373" s="38">
        <f t="shared" si="41"/>
        <v>328.94973970658651</v>
      </c>
      <c r="K373" s="18">
        <f t="shared" si="42"/>
        <v>1</v>
      </c>
      <c r="L373" s="38">
        <f t="shared" si="43"/>
        <v>328.94973970658651</v>
      </c>
      <c r="M373" s="23">
        <f t="shared" si="44"/>
        <v>-3.1867960702466678</v>
      </c>
      <c r="N373" s="23">
        <f t="shared" si="45"/>
        <v>8.3574628990494546E-2</v>
      </c>
      <c r="O373" s="6"/>
      <c r="P373" s="18">
        <f t="shared" si="46"/>
        <v>-0.26633529923923127</v>
      </c>
    </row>
    <row r="374" spans="1:16" ht="15" customHeight="1" x14ac:dyDescent="0.3">
      <c r="A374" s="7" t="str">
        <f>Raw_Players!A336</f>
        <v>MIA</v>
      </c>
      <c r="B374" s="7" t="str">
        <f>Raw_Players!B336</f>
        <v>Vladislav Goldin</v>
      </c>
      <c r="C374" s="37">
        <f>Raw_Players!E336</f>
        <v>-2.2419180217104162</v>
      </c>
      <c r="D374" s="31">
        <f>Raw_Players!F336</f>
        <v>308.04036558380858</v>
      </c>
      <c r="E374" s="31">
        <f>Raw_Players!G336</f>
        <v>7.1908981201106332</v>
      </c>
      <c r="F374" s="31">
        <f>Raw_Players!H336</f>
        <v>42.83753718083122</v>
      </c>
      <c r="G374" s="31" t="str">
        <f>IFERROR(IF(INDEX(Overrides!$B$8:$B$47,MATCH(B374,Overrides!$A$8:$A$47,0))="","",INDEX(Overrides!$B$8:$B$47,MATCH(B374,Overrides!$A$8:$A$47,0))),"")</f>
        <v/>
      </c>
      <c r="H374" s="31" t="str">
        <f>IFERROR(IF(INDEX(Overrides!$C$8:$C$47,MATCH(B374,Overrides!$A$8:$A$47,0))="","",INDEX(Overrides!$C$8:$C$47,MATCH(B374,Overrides!$A$8:$A$47,0))),"")</f>
        <v/>
      </c>
      <c r="I374" s="36">
        <f>IFERROR(IF(INDEX(Overrides!$D$8:$D$47,MATCH(B374,Overrides!$A$8:$A$47,0))="",0,INDEX(Overrides!$D$8:$D$47,MATCH(B374,Overrides!$A$8:$A$47,0))),0)</f>
        <v>0</v>
      </c>
      <c r="J374" s="38">
        <f t="shared" si="41"/>
        <v>308.04036558380858</v>
      </c>
      <c r="K374" s="18">
        <f t="shared" si="42"/>
        <v>1</v>
      </c>
      <c r="L374" s="38">
        <f t="shared" si="43"/>
        <v>308.04036558380858</v>
      </c>
      <c r="M374" s="23">
        <f t="shared" si="44"/>
        <v>-2.2419180217104162</v>
      </c>
      <c r="N374" s="23">
        <f t="shared" si="45"/>
        <v>7.8262288004016412E-2</v>
      </c>
      <c r="O374" s="6"/>
      <c r="P374" s="18">
        <f t="shared" si="46"/>
        <v>-0.17545763389649532</v>
      </c>
    </row>
    <row r="375" spans="1:16" ht="15" customHeight="1" x14ac:dyDescent="0.3">
      <c r="A375" s="7" t="str">
        <f>Raw_Players!A337</f>
        <v>MIA</v>
      </c>
      <c r="B375" s="7" t="str">
        <f>Raw_Players!B337</f>
        <v>Lester Quinones</v>
      </c>
      <c r="C375" s="37">
        <f>Raw_Players!E337</f>
        <v>-2.2303300036345601</v>
      </c>
      <c r="D375" s="31">
        <f>Raw_Players!F337</f>
        <v>306.3073874464269</v>
      </c>
      <c r="E375" s="31">
        <f>Raw_Players!G337</f>
        <v>10.096393668641561</v>
      </c>
      <c r="F375" s="31">
        <f>Raw_Players!H337</f>
        <v>30.338296772023529</v>
      </c>
      <c r="G375" s="31" t="str">
        <f>IFERROR(IF(INDEX(Overrides!$B$8:$B$47,MATCH(B375,Overrides!$A$8:$A$47,0))="","",INDEX(Overrides!$B$8:$B$47,MATCH(B375,Overrides!$A$8:$A$47,0))),"")</f>
        <v/>
      </c>
      <c r="H375" s="31" t="str">
        <f>IFERROR(IF(INDEX(Overrides!$C$8:$C$47,MATCH(B375,Overrides!$A$8:$A$47,0))="","",INDEX(Overrides!$C$8:$C$47,MATCH(B375,Overrides!$A$8:$A$47,0))),"")</f>
        <v/>
      </c>
      <c r="I375" s="36">
        <f>IFERROR(IF(INDEX(Overrides!$D$8:$D$47,MATCH(B375,Overrides!$A$8:$A$47,0))="",0,INDEX(Overrides!$D$8:$D$47,MATCH(B375,Overrides!$A$8:$A$47,0))),0)</f>
        <v>0</v>
      </c>
      <c r="J375" s="38">
        <f t="shared" si="41"/>
        <v>306.3073874464269</v>
      </c>
      <c r="K375" s="18">
        <f t="shared" si="42"/>
        <v>1</v>
      </c>
      <c r="L375" s="38">
        <f t="shared" si="43"/>
        <v>306.3073874464269</v>
      </c>
      <c r="M375" s="23">
        <f t="shared" si="44"/>
        <v>-2.2303300036345601</v>
      </c>
      <c r="N375" s="23">
        <f t="shared" si="45"/>
        <v>7.7821998843096263E-2</v>
      </c>
      <c r="O375" s="6"/>
      <c r="P375" s="18">
        <f t="shared" si="46"/>
        <v>-0.17356873896257163</v>
      </c>
    </row>
    <row r="376" spans="1:16" ht="15" customHeight="1" x14ac:dyDescent="0.3">
      <c r="A376" s="7" t="str">
        <f>Raw_Players!A338</f>
        <v>MIA</v>
      </c>
      <c r="B376" s="7" t="str">
        <f>Raw_Players!B338</f>
        <v>Kylor Kelley</v>
      </c>
      <c r="C376" s="37">
        <f>Raw_Players!E338</f>
        <v>-2.4222604624793398</v>
      </c>
      <c r="D376" s="31">
        <f>Raw_Players!F338</f>
        <v>302.06714015811121</v>
      </c>
      <c r="E376" s="31">
        <f>Raw_Players!G338</f>
        <v>9.9566281663070324</v>
      </c>
      <c r="F376" s="31">
        <f>Raw_Players!H338</f>
        <v>30.338296772023529</v>
      </c>
      <c r="G376" s="31" t="str">
        <f>IFERROR(IF(INDEX(Overrides!$B$8:$B$47,MATCH(B376,Overrides!$A$8:$A$47,0))="","",INDEX(Overrides!$B$8:$B$47,MATCH(B376,Overrides!$A$8:$A$47,0))),"")</f>
        <v/>
      </c>
      <c r="H376" s="31" t="str">
        <f>IFERROR(IF(INDEX(Overrides!$C$8:$C$47,MATCH(B376,Overrides!$A$8:$A$47,0))="","",INDEX(Overrides!$C$8:$C$47,MATCH(B376,Overrides!$A$8:$A$47,0))),"")</f>
        <v/>
      </c>
      <c r="I376" s="36">
        <f>IFERROR(IF(INDEX(Overrides!$D$8:$D$47,MATCH(B376,Overrides!$A$8:$A$47,0))="",0,INDEX(Overrides!$D$8:$D$47,MATCH(B376,Overrides!$A$8:$A$47,0))),0)</f>
        <v>0</v>
      </c>
      <c r="J376" s="38">
        <f t="shared" si="41"/>
        <v>302.06714015811121</v>
      </c>
      <c r="K376" s="18">
        <f t="shared" si="42"/>
        <v>1</v>
      </c>
      <c r="L376" s="38">
        <f t="shared" si="43"/>
        <v>302.06714015811121</v>
      </c>
      <c r="M376" s="23">
        <f t="shared" si="44"/>
        <v>-2.4222604624793398</v>
      </c>
      <c r="N376" s="23">
        <f t="shared" si="45"/>
        <v>7.6744700243422559E-2</v>
      </c>
      <c r="O376" s="6"/>
      <c r="P376" s="18">
        <f t="shared" si="46"/>
        <v>-0.18589565310447104</v>
      </c>
    </row>
    <row r="377" spans="1:16" ht="15" customHeight="1" x14ac:dyDescent="0.3">
      <c r="A377" s="7" t="str">
        <f>Raw_Players!A339</f>
        <v>MIL</v>
      </c>
      <c r="B377" s="7" t="str">
        <f>Raw_Players!B339</f>
        <v>Tyler Herro</v>
      </c>
      <c r="C377" s="37">
        <f>Raw_Players!E339</f>
        <v>1.600632581337782</v>
      </c>
      <c r="D377" s="31">
        <f>Raw_Players!F339</f>
        <v>1415.706189822401</v>
      </c>
      <c r="E377" s="31">
        <f>Raw_Players!G339</f>
        <v>25.71574265174802</v>
      </c>
      <c r="F377" s="31">
        <f>Raw_Players!H339</f>
        <v>55.052121534828359</v>
      </c>
      <c r="G377" s="31" t="str">
        <f>IFERROR(IF(INDEX(Overrides!$B$8:$B$47,MATCH(B377,Overrides!$A$8:$A$47,0))="","",INDEX(Overrides!$B$8:$B$47,MATCH(B377,Overrides!$A$8:$A$47,0))),"")</f>
        <v/>
      </c>
      <c r="H377" s="31" t="str">
        <f>IFERROR(IF(INDEX(Overrides!$C$8:$C$47,MATCH(B377,Overrides!$A$8:$A$47,0))="","",INDEX(Overrides!$C$8:$C$47,MATCH(B377,Overrides!$A$8:$A$47,0))),"")</f>
        <v/>
      </c>
      <c r="I377" s="36">
        <f>IFERROR(IF(INDEX(Overrides!$D$8:$D$47,MATCH(B377,Overrides!$A$8:$A$47,0))="",0,INDEX(Overrides!$D$8:$D$47,MATCH(B377,Overrides!$A$8:$A$47,0))),0)</f>
        <v>0</v>
      </c>
      <c r="J377" s="38">
        <f t="shared" si="41"/>
        <v>1415.706189822401</v>
      </c>
      <c r="K377" s="18">
        <f t="shared" si="42"/>
        <v>1.0000000000000004</v>
      </c>
      <c r="L377" s="38">
        <f t="shared" si="43"/>
        <v>1415.7061898224017</v>
      </c>
      <c r="M377" s="23">
        <f t="shared" si="44"/>
        <v>1.600632581337782</v>
      </c>
      <c r="N377" s="23">
        <f t="shared" si="45"/>
        <v>0.35968145066626062</v>
      </c>
      <c r="O377" s="6"/>
      <c r="P377" s="18">
        <f t="shared" si="46"/>
        <v>0.57571784883925481</v>
      </c>
    </row>
    <row r="378" spans="1:16" ht="15" customHeight="1" x14ac:dyDescent="0.3">
      <c r="A378" s="7" t="str">
        <f>Raw_Players!A340</f>
        <v>MIL</v>
      </c>
      <c r="B378" s="7" t="str">
        <f>Raw_Players!B340</f>
        <v>Myles Turner</v>
      </c>
      <c r="C378" s="37">
        <f>Raw_Players!E340</f>
        <v>-0.41754310997750821</v>
      </c>
      <c r="D378" s="31">
        <f>Raw_Players!F340</f>
        <v>1376.3747636125429</v>
      </c>
      <c r="E378" s="31">
        <f>Raw_Players!G340</f>
        <v>21.824184569241581</v>
      </c>
      <c r="F378" s="31">
        <f>Raw_Players!H340</f>
        <v>63.06649209484641</v>
      </c>
      <c r="G378" s="31" t="str">
        <f>IFERROR(IF(INDEX(Overrides!$B$8:$B$47,MATCH(B378,Overrides!$A$8:$A$47,0))="","",INDEX(Overrides!$B$8:$B$47,MATCH(B378,Overrides!$A$8:$A$47,0))),"")</f>
        <v/>
      </c>
      <c r="H378" s="31" t="str">
        <f>IFERROR(IF(INDEX(Overrides!$C$8:$C$47,MATCH(B378,Overrides!$A$8:$A$47,0))="","",INDEX(Overrides!$C$8:$C$47,MATCH(B378,Overrides!$A$8:$A$47,0))),"")</f>
        <v/>
      </c>
      <c r="I378" s="36">
        <f>IFERROR(IF(INDEX(Overrides!$D$8:$D$47,MATCH(B378,Overrides!$A$8:$A$47,0))="",0,INDEX(Overrides!$D$8:$D$47,MATCH(B378,Overrides!$A$8:$A$47,0))),0)</f>
        <v>0</v>
      </c>
      <c r="J378" s="38">
        <f t="shared" si="41"/>
        <v>1376.3747636125429</v>
      </c>
      <c r="K378" s="18">
        <f t="shared" si="42"/>
        <v>1.0000000000000004</v>
      </c>
      <c r="L378" s="38">
        <f t="shared" si="43"/>
        <v>1376.3747636125436</v>
      </c>
      <c r="M378" s="23">
        <f t="shared" si="44"/>
        <v>-0.41754310997750821</v>
      </c>
      <c r="N378" s="23">
        <f t="shared" si="45"/>
        <v>0.34968871026741455</v>
      </c>
      <c r="O378" s="6"/>
      <c r="P378" s="18">
        <f t="shared" si="46"/>
        <v>-0.14601011160908009</v>
      </c>
    </row>
    <row r="379" spans="1:16" ht="15" customHeight="1" x14ac:dyDescent="0.3">
      <c r="A379" s="7" t="str">
        <f>Raw_Players!A341</f>
        <v>MIL</v>
      </c>
      <c r="B379" s="7" t="str">
        <f>Raw_Players!B341</f>
        <v>Kyle Kuzma</v>
      </c>
      <c r="C379" s="37">
        <f>Raw_Players!E341</f>
        <v>-3.2125770969029182</v>
      </c>
      <c r="D379" s="31">
        <f>Raw_Players!F341</f>
        <v>1363.254860717647</v>
      </c>
      <c r="E379" s="31">
        <f>Raw_Players!G341</f>
        <v>22.15266864907791</v>
      </c>
      <c r="F379" s="31">
        <f>Raw_Players!H341</f>
        <v>61.539080564652082</v>
      </c>
      <c r="G379" s="31" t="str">
        <f>IFERROR(IF(INDEX(Overrides!$B$8:$B$47,MATCH(B379,Overrides!$A$8:$A$47,0))="","",INDEX(Overrides!$B$8:$B$47,MATCH(B379,Overrides!$A$8:$A$47,0))),"")</f>
        <v/>
      </c>
      <c r="H379" s="31" t="str">
        <f>IFERROR(IF(INDEX(Overrides!$C$8:$C$47,MATCH(B379,Overrides!$A$8:$A$47,0))="","",INDEX(Overrides!$C$8:$C$47,MATCH(B379,Overrides!$A$8:$A$47,0))),"")</f>
        <v/>
      </c>
      <c r="I379" s="36">
        <f>IFERROR(IF(INDEX(Overrides!$D$8:$D$47,MATCH(B379,Overrides!$A$8:$A$47,0))="",0,INDEX(Overrides!$D$8:$D$47,MATCH(B379,Overrides!$A$8:$A$47,0))),0)</f>
        <v>0</v>
      </c>
      <c r="J379" s="38">
        <f t="shared" si="41"/>
        <v>1363.254860717647</v>
      </c>
      <c r="K379" s="18">
        <f t="shared" si="42"/>
        <v>1.0000000000000004</v>
      </c>
      <c r="L379" s="38">
        <f t="shared" si="43"/>
        <v>1363.2548607176477</v>
      </c>
      <c r="M379" s="23">
        <f t="shared" si="44"/>
        <v>-3.2125770969029182</v>
      </c>
      <c r="N379" s="23">
        <f t="shared" si="45"/>
        <v>0.34635540160509343</v>
      </c>
      <c r="O379" s="6"/>
      <c r="P379" s="18">
        <f t="shared" si="46"/>
        <v>-1.1126934305851353</v>
      </c>
    </row>
    <row r="380" spans="1:16" ht="15" customHeight="1" x14ac:dyDescent="0.3">
      <c r="A380" s="7" t="str">
        <f>Raw_Players!A342</f>
        <v>MIL</v>
      </c>
      <c r="B380" s="7" t="str">
        <f>Raw_Players!B342</f>
        <v>Jaime Jaquez Jr.</v>
      </c>
      <c r="C380" s="37">
        <f>Raw_Players!E342</f>
        <v>-0.234459506079785</v>
      </c>
      <c r="D380" s="31">
        <f>Raw_Players!F342</f>
        <v>1324.639655454883</v>
      </c>
      <c r="E380" s="31">
        <f>Raw_Players!G342</f>
        <v>20.458616230076881</v>
      </c>
      <c r="F380" s="31">
        <f>Raw_Players!H342</f>
        <v>64.747275209526947</v>
      </c>
      <c r="G380" s="31" t="str">
        <f>IFERROR(IF(INDEX(Overrides!$B$8:$B$47,MATCH(B380,Overrides!$A$8:$A$47,0))="","",INDEX(Overrides!$B$8:$B$47,MATCH(B380,Overrides!$A$8:$A$47,0))),"")</f>
        <v/>
      </c>
      <c r="H380" s="31" t="str">
        <f>IFERROR(IF(INDEX(Overrides!$C$8:$C$47,MATCH(B380,Overrides!$A$8:$A$47,0))="","",INDEX(Overrides!$C$8:$C$47,MATCH(B380,Overrides!$A$8:$A$47,0))),"")</f>
        <v/>
      </c>
      <c r="I380" s="36">
        <f>IFERROR(IF(INDEX(Overrides!$D$8:$D$47,MATCH(B380,Overrides!$A$8:$A$47,0))="",0,INDEX(Overrides!$D$8:$D$47,MATCH(B380,Overrides!$A$8:$A$47,0))),0)</f>
        <v>0</v>
      </c>
      <c r="J380" s="38">
        <f t="shared" si="41"/>
        <v>1324.639655454883</v>
      </c>
      <c r="K380" s="18">
        <f t="shared" si="42"/>
        <v>1.0000000000000004</v>
      </c>
      <c r="L380" s="38">
        <f t="shared" si="43"/>
        <v>1324.6396554548837</v>
      </c>
      <c r="M380" s="23">
        <f t="shared" si="44"/>
        <v>-0.234459506079785</v>
      </c>
      <c r="N380" s="23">
        <f t="shared" si="45"/>
        <v>0.3365446279102855</v>
      </c>
      <c r="O380" s="6"/>
      <c r="P380" s="18">
        <f t="shared" si="46"/>
        <v>-7.8906087233650557E-2</v>
      </c>
    </row>
    <row r="381" spans="1:16" ht="15" customHeight="1" x14ac:dyDescent="0.3">
      <c r="A381" s="7" t="str">
        <f>Raw_Players!A343</f>
        <v>MIL</v>
      </c>
      <c r="B381" s="7" t="str">
        <f>Raw_Players!B343</f>
        <v>AJ Green</v>
      </c>
      <c r="C381" s="37">
        <f>Raw_Players!E343</f>
        <v>-1.3450132604596681</v>
      </c>
      <c r="D381" s="31">
        <f>Raw_Players!F343</f>
        <v>1264.884088808323</v>
      </c>
      <c r="E381" s="31">
        <f>Raw_Players!G343</f>
        <v>19.227568684974681</v>
      </c>
      <c r="F381" s="31">
        <f>Raw_Players!H343</f>
        <v>65.784921095965871</v>
      </c>
      <c r="G381" s="31" t="str">
        <f>IFERROR(IF(INDEX(Overrides!$B$8:$B$47,MATCH(B381,Overrides!$A$8:$A$47,0))="","",INDEX(Overrides!$B$8:$B$47,MATCH(B381,Overrides!$A$8:$A$47,0))),"")</f>
        <v/>
      </c>
      <c r="H381" s="31" t="str">
        <f>IFERROR(IF(INDEX(Overrides!$C$8:$C$47,MATCH(B381,Overrides!$A$8:$A$47,0))="","",INDEX(Overrides!$C$8:$C$47,MATCH(B381,Overrides!$A$8:$A$47,0))),"")</f>
        <v/>
      </c>
      <c r="I381" s="36">
        <f>IFERROR(IF(INDEX(Overrides!$D$8:$D$47,MATCH(B381,Overrides!$A$8:$A$47,0))="",0,INDEX(Overrides!$D$8:$D$47,MATCH(B381,Overrides!$A$8:$A$47,0))),0)</f>
        <v>0</v>
      </c>
      <c r="J381" s="38">
        <f t="shared" si="41"/>
        <v>1264.884088808323</v>
      </c>
      <c r="K381" s="18">
        <f t="shared" si="42"/>
        <v>1.0000000000000004</v>
      </c>
      <c r="L381" s="38">
        <f t="shared" si="43"/>
        <v>1264.8840888083234</v>
      </c>
      <c r="M381" s="23">
        <f t="shared" si="44"/>
        <v>-1.3450132604596681</v>
      </c>
      <c r="N381" s="23">
        <f t="shared" si="45"/>
        <v>0.32136282744113909</v>
      </c>
      <c r="O381" s="6"/>
      <c r="P381" s="18">
        <f t="shared" si="46"/>
        <v>-0.43223726432714416</v>
      </c>
    </row>
    <row r="382" spans="1:16" ht="15" customHeight="1" x14ac:dyDescent="0.3">
      <c r="A382" s="7" t="str">
        <f>Raw_Players!A344</f>
        <v>MIL</v>
      </c>
      <c r="B382" s="7" t="str">
        <f>Raw_Players!B344</f>
        <v>Ryan Rollins</v>
      </c>
      <c r="C382" s="37">
        <f>Raw_Players!E344</f>
        <v>0.79107643455749033</v>
      </c>
      <c r="D382" s="31">
        <f>Raw_Players!F344</f>
        <v>1264.4440147833941</v>
      </c>
      <c r="E382" s="31">
        <f>Raw_Players!G344</f>
        <v>19.854546982677839</v>
      </c>
      <c r="F382" s="31">
        <f>Raw_Players!H344</f>
        <v>63.685362143319708</v>
      </c>
      <c r="G382" s="31" t="str">
        <f>IFERROR(IF(INDEX(Overrides!$B$8:$B$47,MATCH(B382,Overrides!$A$8:$A$47,0))="","",INDEX(Overrides!$B$8:$B$47,MATCH(B382,Overrides!$A$8:$A$47,0))),"")</f>
        <v/>
      </c>
      <c r="H382" s="31" t="str">
        <f>IFERROR(IF(INDEX(Overrides!$C$8:$C$47,MATCH(B382,Overrides!$A$8:$A$47,0))="","",INDEX(Overrides!$C$8:$C$47,MATCH(B382,Overrides!$A$8:$A$47,0))),"")</f>
        <v/>
      </c>
      <c r="I382" s="36">
        <f>IFERROR(IF(INDEX(Overrides!$D$8:$D$47,MATCH(B382,Overrides!$A$8:$A$47,0))="",0,INDEX(Overrides!$D$8:$D$47,MATCH(B382,Overrides!$A$8:$A$47,0))),0)</f>
        <v>0</v>
      </c>
      <c r="J382" s="38">
        <f t="shared" si="41"/>
        <v>1264.4440147833941</v>
      </c>
      <c r="K382" s="18">
        <f t="shared" si="42"/>
        <v>1.0000000000000004</v>
      </c>
      <c r="L382" s="38">
        <f t="shared" si="43"/>
        <v>1264.4440147833946</v>
      </c>
      <c r="M382" s="23">
        <f t="shared" si="44"/>
        <v>0.79107643455749033</v>
      </c>
      <c r="N382" s="23">
        <f t="shared" si="45"/>
        <v>0.32125102001610634</v>
      </c>
      <c r="O382" s="6"/>
      <c r="P382" s="18">
        <f t="shared" si="46"/>
        <v>0.25413411151229837</v>
      </c>
    </row>
    <row r="383" spans="1:16" ht="15" customHeight="1" x14ac:dyDescent="0.3">
      <c r="A383" s="7" t="str">
        <f>Raw_Players!A345</f>
        <v>MIL</v>
      </c>
      <c r="B383" s="7" t="str">
        <f>Raw_Players!B345</f>
        <v>Gary Trent Jr.</v>
      </c>
      <c r="C383" s="37">
        <f>Raw_Players!E345</f>
        <v>-2.8980591969152272</v>
      </c>
      <c r="D383" s="31">
        <f>Raw_Players!F345</f>
        <v>1174.9669374867631</v>
      </c>
      <c r="E383" s="31">
        <f>Raw_Players!G345</f>
        <v>18.766314205526829</v>
      </c>
      <c r="F383" s="31">
        <f>Raw_Players!H345</f>
        <v>62.610426566380603</v>
      </c>
      <c r="G383" s="31" t="str">
        <f>IFERROR(IF(INDEX(Overrides!$B$8:$B$47,MATCH(B383,Overrides!$A$8:$A$47,0))="","",INDEX(Overrides!$B$8:$B$47,MATCH(B383,Overrides!$A$8:$A$47,0))),"")</f>
        <v/>
      </c>
      <c r="H383" s="31" t="str">
        <f>IFERROR(IF(INDEX(Overrides!$C$8:$C$47,MATCH(B383,Overrides!$A$8:$A$47,0))="","",INDEX(Overrides!$C$8:$C$47,MATCH(B383,Overrides!$A$8:$A$47,0))),"")</f>
        <v/>
      </c>
      <c r="I383" s="36">
        <f>IFERROR(IF(INDEX(Overrides!$D$8:$D$47,MATCH(B383,Overrides!$A$8:$A$47,0))="",0,INDEX(Overrides!$D$8:$D$47,MATCH(B383,Overrides!$A$8:$A$47,0))),0)</f>
        <v>0</v>
      </c>
      <c r="J383" s="38">
        <f t="shared" si="41"/>
        <v>1174.9669374867631</v>
      </c>
      <c r="K383" s="18">
        <f t="shared" si="42"/>
        <v>1.0000000000000004</v>
      </c>
      <c r="L383" s="38">
        <f t="shared" si="43"/>
        <v>1174.9669374867635</v>
      </c>
      <c r="M383" s="23">
        <f t="shared" si="44"/>
        <v>-2.8980591969152272</v>
      </c>
      <c r="N383" s="23">
        <f t="shared" si="45"/>
        <v>0.29851802273545819</v>
      </c>
      <c r="O383" s="6"/>
      <c r="P383" s="18">
        <f t="shared" si="46"/>
        <v>-0.86512290123344349</v>
      </c>
    </row>
    <row r="384" spans="1:16" ht="15" customHeight="1" x14ac:dyDescent="0.3">
      <c r="A384" s="7" t="str">
        <f>Raw_Players!A346</f>
        <v>MIL</v>
      </c>
      <c r="B384" s="7" t="str">
        <f>Raw_Players!B346</f>
        <v>Kel'el Ware</v>
      </c>
      <c r="C384" s="37">
        <f>Raw_Players!E346</f>
        <v>0.78648580540768565</v>
      </c>
      <c r="D384" s="31">
        <f>Raw_Players!F346</f>
        <v>1121.807311609854</v>
      </c>
      <c r="E384" s="31">
        <f>Raw_Players!G346</f>
        <v>17.177445273496289</v>
      </c>
      <c r="F384" s="31">
        <f>Raw_Players!H346</f>
        <v>65.306993778680948</v>
      </c>
      <c r="G384" s="31" t="str">
        <f>IFERROR(IF(INDEX(Overrides!$B$8:$B$47,MATCH(B384,Overrides!$A$8:$A$47,0))="","",INDEX(Overrides!$B$8:$B$47,MATCH(B384,Overrides!$A$8:$A$47,0))),"")</f>
        <v/>
      </c>
      <c r="H384" s="31" t="str">
        <f>IFERROR(IF(INDEX(Overrides!$C$8:$C$47,MATCH(B384,Overrides!$A$8:$A$47,0))="","",INDEX(Overrides!$C$8:$C$47,MATCH(B384,Overrides!$A$8:$A$47,0))),"")</f>
        <v/>
      </c>
      <c r="I384" s="36">
        <f>IFERROR(IF(INDEX(Overrides!$D$8:$D$47,MATCH(B384,Overrides!$A$8:$A$47,0))="",0,INDEX(Overrides!$D$8:$D$47,MATCH(B384,Overrides!$A$8:$A$47,0))),0)</f>
        <v>0</v>
      </c>
      <c r="J384" s="38">
        <f t="shared" si="41"/>
        <v>1121.807311609854</v>
      </c>
      <c r="K384" s="18">
        <f t="shared" si="42"/>
        <v>1.0000000000000004</v>
      </c>
      <c r="L384" s="38">
        <f t="shared" si="43"/>
        <v>1121.8073116098544</v>
      </c>
      <c r="M384" s="23">
        <f t="shared" si="44"/>
        <v>0.78648580540768565</v>
      </c>
      <c r="N384" s="23">
        <f t="shared" si="45"/>
        <v>0.28501202022608091</v>
      </c>
      <c r="O384" s="6"/>
      <c r="P384" s="18">
        <f t="shared" si="46"/>
        <v>0.22415790827838084</v>
      </c>
    </row>
    <row r="385" spans="1:16" ht="15" customHeight="1" x14ac:dyDescent="0.3">
      <c r="A385" s="7" t="str">
        <f>Raw_Players!A347</f>
        <v>MIL</v>
      </c>
      <c r="B385" s="7" t="str">
        <f>Raw_Players!B347</f>
        <v>Kevin Porter Jr.</v>
      </c>
      <c r="C385" s="37">
        <f>Raw_Players!E347</f>
        <v>0.79628055313433421</v>
      </c>
      <c r="D385" s="31">
        <f>Raw_Players!F347</f>
        <v>1104.841585089104</v>
      </c>
      <c r="E385" s="31">
        <f>Raw_Players!G347</f>
        <v>19.686309331235361</v>
      </c>
      <c r="F385" s="31">
        <f>Raw_Players!H347</f>
        <v>56.122331844908217</v>
      </c>
      <c r="G385" s="31" t="str">
        <f>IFERROR(IF(INDEX(Overrides!$B$8:$B$47,MATCH(B385,Overrides!$A$8:$A$47,0))="","",INDEX(Overrides!$B$8:$B$47,MATCH(B385,Overrides!$A$8:$A$47,0))),"")</f>
        <v/>
      </c>
      <c r="H385" s="31" t="str">
        <f>IFERROR(IF(INDEX(Overrides!$C$8:$C$47,MATCH(B385,Overrides!$A$8:$A$47,0))="","",INDEX(Overrides!$C$8:$C$47,MATCH(B385,Overrides!$A$8:$A$47,0))),"")</f>
        <v/>
      </c>
      <c r="I385" s="36">
        <f>IFERROR(IF(INDEX(Overrides!$D$8:$D$47,MATCH(B385,Overrides!$A$8:$A$47,0))="",0,INDEX(Overrides!$D$8:$D$47,MATCH(B385,Overrides!$A$8:$A$47,0))),0)</f>
        <v>0</v>
      </c>
      <c r="J385" s="38">
        <f t="shared" si="41"/>
        <v>1104.841585089104</v>
      </c>
      <c r="K385" s="18">
        <f t="shared" si="42"/>
        <v>1.0000000000000004</v>
      </c>
      <c r="L385" s="38">
        <f t="shared" si="43"/>
        <v>1104.8415850891045</v>
      </c>
      <c r="M385" s="23">
        <f t="shared" si="44"/>
        <v>0.79628055313433421</v>
      </c>
      <c r="N385" s="23">
        <f t="shared" si="45"/>
        <v>0.28070162222792289</v>
      </c>
      <c r="O385" s="6"/>
      <c r="P385" s="18">
        <f t="shared" si="46"/>
        <v>0.22351724301335535</v>
      </c>
    </row>
    <row r="386" spans="1:16" ht="15" customHeight="1" x14ac:dyDescent="0.3">
      <c r="A386" s="7" t="str">
        <f>Raw_Players!A348</f>
        <v>MIL</v>
      </c>
      <c r="B386" s="7" t="str">
        <f>Raw_Players!B348</f>
        <v>Caris LeVert</v>
      </c>
      <c r="C386" s="37">
        <f>Raw_Players!E348</f>
        <v>-1.438284200084055</v>
      </c>
      <c r="D386" s="31">
        <f>Raw_Players!F348</f>
        <v>1054.6436595768489</v>
      </c>
      <c r="E386" s="31">
        <f>Raw_Players!G348</f>
        <v>17.945106997978531</v>
      </c>
      <c r="F386" s="31">
        <f>Raw_Players!H348</f>
        <v>58.770541724585527</v>
      </c>
      <c r="G386" s="31" t="str">
        <f>IFERROR(IF(INDEX(Overrides!$B$8:$B$47,MATCH(B386,Overrides!$A$8:$A$47,0))="","",INDEX(Overrides!$B$8:$B$47,MATCH(B386,Overrides!$A$8:$A$47,0))),"")</f>
        <v/>
      </c>
      <c r="H386" s="31" t="str">
        <f>IFERROR(IF(INDEX(Overrides!$C$8:$C$47,MATCH(B386,Overrides!$A$8:$A$47,0))="","",INDEX(Overrides!$C$8:$C$47,MATCH(B386,Overrides!$A$8:$A$47,0))),"")</f>
        <v/>
      </c>
      <c r="I386" s="36">
        <f>IFERROR(IF(INDEX(Overrides!$D$8:$D$47,MATCH(B386,Overrides!$A$8:$A$47,0))="",0,INDEX(Overrides!$D$8:$D$47,MATCH(B386,Overrides!$A$8:$A$47,0))),0)</f>
        <v>0</v>
      </c>
      <c r="J386" s="38">
        <f t="shared" si="41"/>
        <v>1054.6436595768489</v>
      </c>
      <c r="K386" s="18">
        <f t="shared" si="42"/>
        <v>1.0000000000000004</v>
      </c>
      <c r="L386" s="38">
        <f t="shared" si="43"/>
        <v>1054.6436595768494</v>
      </c>
      <c r="M386" s="23">
        <f t="shared" si="44"/>
        <v>-1.438284200084055</v>
      </c>
      <c r="N386" s="23">
        <f t="shared" si="45"/>
        <v>0.26794808424208572</v>
      </c>
      <c r="O386" s="6"/>
      <c r="P386" s="18">
        <f t="shared" si="46"/>
        <v>-0.38538549600818323</v>
      </c>
    </row>
    <row r="387" spans="1:16" ht="15" customHeight="1" x14ac:dyDescent="0.3">
      <c r="A387" s="7" t="str">
        <f>Raw_Players!A349</f>
        <v>MIL</v>
      </c>
      <c r="B387" s="7" t="str">
        <f>Raw_Players!B349</f>
        <v>Brayden Burries</v>
      </c>
      <c r="C387" s="37">
        <f>Raw_Players!E349</f>
        <v>-1.803446361315866</v>
      </c>
      <c r="D387" s="31">
        <f>Raw_Players!F349</f>
        <v>941.88023129342321</v>
      </c>
      <c r="E387" s="31">
        <f>Raw_Players!G349</f>
        <v>17.183558992346949</v>
      </c>
      <c r="F387" s="31">
        <f>Raw_Players!H349</f>
        <v>54.812872683296227</v>
      </c>
      <c r="G387" s="31" t="str">
        <f>IFERROR(IF(INDEX(Overrides!$B$8:$B$47,MATCH(B387,Overrides!$A$8:$A$47,0))="","",INDEX(Overrides!$B$8:$B$47,MATCH(B387,Overrides!$A$8:$A$47,0))),"")</f>
        <v/>
      </c>
      <c r="H387" s="31" t="str">
        <f>IFERROR(IF(INDEX(Overrides!$C$8:$C$47,MATCH(B387,Overrides!$A$8:$A$47,0))="","",INDEX(Overrides!$C$8:$C$47,MATCH(B387,Overrides!$A$8:$A$47,0))),"")</f>
        <v/>
      </c>
      <c r="I387" s="36">
        <f>IFERROR(IF(INDEX(Overrides!$D$8:$D$47,MATCH(B387,Overrides!$A$8:$A$47,0))="",0,INDEX(Overrides!$D$8:$D$47,MATCH(B387,Overrides!$A$8:$A$47,0))),0)</f>
        <v>0</v>
      </c>
      <c r="J387" s="38">
        <f t="shared" si="41"/>
        <v>941.88023129342321</v>
      </c>
      <c r="K387" s="18">
        <f t="shared" si="42"/>
        <v>1.0000000000000004</v>
      </c>
      <c r="L387" s="38">
        <f t="shared" si="43"/>
        <v>941.88023129342366</v>
      </c>
      <c r="M387" s="23">
        <f t="shared" si="44"/>
        <v>-1.803446361315866</v>
      </c>
      <c r="N387" s="23">
        <f t="shared" si="45"/>
        <v>0.23929883925137796</v>
      </c>
      <c r="O387" s="6"/>
      <c r="P387" s="18">
        <f t="shared" si="46"/>
        <v>-0.43156262091500791</v>
      </c>
    </row>
    <row r="388" spans="1:16" ht="15" customHeight="1" x14ac:dyDescent="0.3">
      <c r="A388" s="7" t="str">
        <f>Raw_Players!A350</f>
        <v>MIL</v>
      </c>
      <c r="B388" s="7" t="str">
        <f>Raw_Players!B350</f>
        <v>Nate Ament</v>
      </c>
      <c r="C388" s="37">
        <f>Raw_Players!E350</f>
        <v>-2.6035338773248271</v>
      </c>
      <c r="D388" s="31">
        <f>Raw_Players!F350</f>
        <v>830.35825338169684</v>
      </c>
      <c r="E388" s="31">
        <f>Raw_Players!G350</f>
        <v>16.198363328741799</v>
      </c>
      <c r="F388" s="31">
        <f>Raw_Players!H350</f>
        <v>51.261861246706239</v>
      </c>
      <c r="G388" s="31" t="str">
        <f>IFERROR(IF(INDEX(Overrides!$B$8:$B$47,MATCH(B388,Overrides!$A$8:$A$47,0))="","",INDEX(Overrides!$B$8:$B$47,MATCH(B388,Overrides!$A$8:$A$47,0))),"")</f>
        <v/>
      </c>
      <c r="H388" s="31" t="str">
        <f>IFERROR(IF(INDEX(Overrides!$C$8:$C$47,MATCH(B388,Overrides!$A$8:$A$47,0))="","",INDEX(Overrides!$C$8:$C$47,MATCH(B388,Overrides!$A$8:$A$47,0))),"")</f>
        <v/>
      </c>
      <c r="I388" s="36">
        <f>IFERROR(IF(INDEX(Overrides!$D$8:$D$47,MATCH(B388,Overrides!$A$8:$A$47,0))="",0,INDEX(Overrides!$D$8:$D$47,MATCH(B388,Overrides!$A$8:$A$47,0))),0)</f>
        <v>0</v>
      </c>
      <c r="J388" s="38">
        <f t="shared" si="41"/>
        <v>830.35825338169684</v>
      </c>
      <c r="K388" s="18">
        <f t="shared" si="42"/>
        <v>1.0000000000000004</v>
      </c>
      <c r="L388" s="38">
        <f t="shared" si="43"/>
        <v>830.35825338169718</v>
      </c>
      <c r="M388" s="23">
        <f t="shared" si="44"/>
        <v>-2.6035338773248271</v>
      </c>
      <c r="N388" s="23">
        <f t="shared" si="45"/>
        <v>0.21096500339982144</v>
      </c>
      <c r="O388" s="6"/>
      <c r="P388" s="18">
        <f t="shared" si="46"/>
        <v>-0.54925453328138241</v>
      </c>
    </row>
    <row r="389" spans="1:16" ht="15" customHeight="1" x14ac:dyDescent="0.3">
      <c r="A389" s="7" t="str">
        <f>Raw_Players!A351</f>
        <v>MIL</v>
      </c>
      <c r="B389" s="7" t="str">
        <f>Raw_Players!B351</f>
        <v>Jericho Sims</v>
      </c>
      <c r="C389" s="37">
        <f>Raw_Players!E351</f>
        <v>-2.3874446317460771</v>
      </c>
      <c r="D389" s="31">
        <f>Raw_Players!F351</f>
        <v>803.7222109622677</v>
      </c>
      <c r="E389" s="31">
        <f>Raw_Players!G351</f>
        <v>13.14271704727572</v>
      </c>
      <c r="F389" s="31">
        <f>Raw_Players!H351</f>
        <v>61.153428782739191</v>
      </c>
      <c r="G389" s="31" t="str">
        <f>IFERROR(IF(INDEX(Overrides!$B$8:$B$47,MATCH(B389,Overrides!$A$8:$A$47,0))="","",INDEX(Overrides!$B$8:$B$47,MATCH(B389,Overrides!$A$8:$A$47,0))),"")</f>
        <v/>
      </c>
      <c r="H389" s="31" t="str">
        <f>IFERROR(IF(INDEX(Overrides!$C$8:$C$47,MATCH(B389,Overrides!$A$8:$A$47,0))="","",INDEX(Overrides!$C$8:$C$47,MATCH(B389,Overrides!$A$8:$A$47,0))),"")</f>
        <v/>
      </c>
      <c r="I389" s="36">
        <f>IFERROR(IF(INDEX(Overrides!$D$8:$D$47,MATCH(B389,Overrides!$A$8:$A$47,0))="",0,INDEX(Overrides!$D$8:$D$47,MATCH(B389,Overrides!$A$8:$A$47,0))),0)</f>
        <v>0</v>
      </c>
      <c r="J389" s="38">
        <f t="shared" si="41"/>
        <v>803.7222109622677</v>
      </c>
      <c r="K389" s="18">
        <f t="shared" si="42"/>
        <v>1.0000000000000004</v>
      </c>
      <c r="L389" s="38">
        <f t="shared" si="43"/>
        <v>803.72221096226804</v>
      </c>
      <c r="M389" s="23">
        <f t="shared" si="44"/>
        <v>-2.3874446317460771</v>
      </c>
      <c r="N389" s="23">
        <f t="shared" si="45"/>
        <v>0.20419771619976321</v>
      </c>
      <c r="O389" s="6"/>
      <c r="P389" s="18">
        <f t="shared" si="46"/>
        <v>-0.48751074135593364</v>
      </c>
    </row>
    <row r="390" spans="1:16" ht="15" customHeight="1" x14ac:dyDescent="0.3">
      <c r="A390" s="7" t="str">
        <f>Raw_Players!A352</f>
        <v>MIL</v>
      </c>
      <c r="B390" s="7" t="str">
        <f>Raw_Players!B352</f>
        <v>Kasparas Jakucionis</v>
      </c>
      <c r="C390" s="37">
        <f>Raw_Players!E352</f>
        <v>0.38315613508019158</v>
      </c>
      <c r="D390" s="31">
        <f>Raw_Players!F352</f>
        <v>780.84792926252953</v>
      </c>
      <c r="E390" s="31">
        <f>Raw_Players!G352</f>
        <v>13.416011352348059</v>
      </c>
      <c r="F390" s="31">
        <f>Raw_Players!H352</f>
        <v>58.202688470881938</v>
      </c>
      <c r="G390" s="31" t="str">
        <f>IFERROR(IF(INDEX(Overrides!$B$8:$B$47,MATCH(B390,Overrides!$A$8:$A$47,0))="","",INDEX(Overrides!$B$8:$B$47,MATCH(B390,Overrides!$A$8:$A$47,0))),"")</f>
        <v/>
      </c>
      <c r="H390" s="31" t="str">
        <f>IFERROR(IF(INDEX(Overrides!$C$8:$C$47,MATCH(B390,Overrides!$A$8:$A$47,0))="","",INDEX(Overrides!$C$8:$C$47,MATCH(B390,Overrides!$A$8:$A$47,0))),"")</f>
        <v/>
      </c>
      <c r="I390" s="36">
        <f>IFERROR(IF(INDEX(Overrides!$D$8:$D$47,MATCH(B390,Overrides!$A$8:$A$47,0))="",0,INDEX(Overrides!$D$8:$D$47,MATCH(B390,Overrides!$A$8:$A$47,0))),0)</f>
        <v>0</v>
      </c>
      <c r="J390" s="38">
        <f t="shared" si="41"/>
        <v>780.84792926252953</v>
      </c>
      <c r="K390" s="18">
        <f t="shared" si="42"/>
        <v>1.0000000000000004</v>
      </c>
      <c r="L390" s="38">
        <f t="shared" si="43"/>
        <v>780.84792926252987</v>
      </c>
      <c r="M390" s="23">
        <f t="shared" si="44"/>
        <v>0.38315613508019158</v>
      </c>
      <c r="N390" s="23">
        <f t="shared" si="45"/>
        <v>0.19838616088987041</v>
      </c>
      <c r="O390" s="6"/>
      <c r="P390" s="18">
        <f t="shared" si="46"/>
        <v>7.6012874659959803E-2</v>
      </c>
    </row>
    <row r="391" spans="1:16" ht="15" customHeight="1" x14ac:dyDescent="0.3">
      <c r="A391" s="7" t="str">
        <f>Raw_Players!A353</f>
        <v>MIL</v>
      </c>
      <c r="B391" s="7" t="str">
        <f>Raw_Players!B353</f>
        <v>Ousmane Dieng</v>
      </c>
      <c r="C391" s="37">
        <f>Raw_Players!E353</f>
        <v>-2.834143062414447</v>
      </c>
      <c r="D391" s="31">
        <f>Raw_Players!F353</f>
        <v>736.53783868888911</v>
      </c>
      <c r="E391" s="31">
        <f>Raw_Players!G353</f>
        <v>12.76049218949364</v>
      </c>
      <c r="F391" s="31">
        <f>Raw_Players!H353</f>
        <v>57.720174719852722</v>
      </c>
      <c r="G391" s="31" t="str">
        <f>IFERROR(IF(INDEX(Overrides!$B$8:$B$47,MATCH(B391,Overrides!$A$8:$A$47,0))="","",INDEX(Overrides!$B$8:$B$47,MATCH(B391,Overrides!$A$8:$A$47,0))),"")</f>
        <v/>
      </c>
      <c r="H391" s="31" t="str">
        <f>IFERROR(IF(INDEX(Overrides!$C$8:$C$47,MATCH(B391,Overrides!$A$8:$A$47,0))="","",INDEX(Overrides!$C$8:$C$47,MATCH(B391,Overrides!$A$8:$A$47,0))),"")</f>
        <v/>
      </c>
      <c r="I391" s="36">
        <f>IFERROR(IF(INDEX(Overrides!$D$8:$D$47,MATCH(B391,Overrides!$A$8:$A$47,0))="",0,INDEX(Overrides!$D$8:$D$47,MATCH(B391,Overrides!$A$8:$A$47,0))),0)</f>
        <v>0</v>
      </c>
      <c r="J391" s="38">
        <f t="shared" si="41"/>
        <v>736.53783868888911</v>
      </c>
      <c r="K391" s="18">
        <f t="shared" si="42"/>
        <v>1.0000000000000004</v>
      </c>
      <c r="L391" s="38">
        <f t="shared" si="43"/>
        <v>736.53783868888945</v>
      </c>
      <c r="M391" s="23">
        <f t="shared" si="44"/>
        <v>-2.834143062414447</v>
      </c>
      <c r="N391" s="23">
        <f t="shared" si="45"/>
        <v>0.18712851592705523</v>
      </c>
      <c r="O391" s="6"/>
      <c r="P391" s="18">
        <f t="shared" si="46"/>
        <v>-0.53034898519457496</v>
      </c>
    </row>
    <row r="392" spans="1:16" ht="15" customHeight="1" x14ac:dyDescent="0.3">
      <c r="A392" s="7" t="str">
        <f>Raw_Players!A354</f>
        <v>MIL</v>
      </c>
      <c r="B392" s="7" t="str">
        <f>Raw_Players!B354</f>
        <v>Kam Jones</v>
      </c>
      <c r="C392" s="37">
        <f>Raw_Players!E354</f>
        <v>-2.8312331607392531</v>
      </c>
      <c r="D392" s="31">
        <f>Raw_Players!F354</f>
        <v>653.08650503981278</v>
      </c>
      <c r="E392" s="31">
        <f>Raw_Players!G354</f>
        <v>12.41336517059651</v>
      </c>
      <c r="F392" s="31">
        <f>Raw_Players!H354</f>
        <v>52.611559884403967</v>
      </c>
      <c r="G392" s="31" t="str">
        <f>IFERROR(IF(INDEX(Overrides!$B$8:$B$47,MATCH(B392,Overrides!$A$8:$A$47,0))="","",INDEX(Overrides!$B$8:$B$47,MATCH(B392,Overrides!$A$8:$A$47,0))),"")</f>
        <v/>
      </c>
      <c r="H392" s="31" t="str">
        <f>IFERROR(IF(INDEX(Overrides!$C$8:$C$47,MATCH(B392,Overrides!$A$8:$A$47,0))="","",INDEX(Overrides!$C$8:$C$47,MATCH(B392,Overrides!$A$8:$A$47,0))),"")</f>
        <v/>
      </c>
      <c r="I392" s="36">
        <f>IFERROR(IF(INDEX(Overrides!$D$8:$D$47,MATCH(B392,Overrides!$A$8:$A$47,0))="",0,INDEX(Overrides!$D$8:$D$47,MATCH(B392,Overrides!$A$8:$A$47,0))),0)</f>
        <v>0</v>
      </c>
      <c r="J392" s="38">
        <f t="shared" si="41"/>
        <v>653.08650503981278</v>
      </c>
      <c r="K392" s="18">
        <f t="shared" si="42"/>
        <v>1.0000000000000004</v>
      </c>
      <c r="L392" s="38">
        <f t="shared" si="43"/>
        <v>653.08650503981312</v>
      </c>
      <c r="M392" s="23">
        <f t="shared" si="44"/>
        <v>-2.8312331607392531</v>
      </c>
      <c r="N392" s="23">
        <f t="shared" si="45"/>
        <v>0.16592644945117202</v>
      </c>
      <c r="O392" s="6"/>
      <c r="P392" s="18">
        <f t="shared" si="46"/>
        <v>-0.46977646592988365</v>
      </c>
    </row>
    <row r="393" spans="1:16" ht="15" customHeight="1" x14ac:dyDescent="0.3">
      <c r="A393" s="7" t="str">
        <f>Raw_Players!A355</f>
        <v>MIL</v>
      </c>
      <c r="B393" s="7" t="str">
        <f>Raw_Players!B355</f>
        <v>Cormac Ryan</v>
      </c>
      <c r="C393" s="37">
        <f>Raw_Players!E355</f>
        <v>-0.74620427178824245</v>
      </c>
      <c r="D393" s="31">
        <f>Raw_Players!F355</f>
        <v>607.06660702194506</v>
      </c>
      <c r="E393" s="31">
        <f>Raw_Players!G355</f>
        <v>14.0664012360277</v>
      </c>
      <c r="F393" s="31">
        <f>Raw_Players!H355</f>
        <v>43.157208218054379</v>
      </c>
      <c r="G393" s="31" t="str">
        <f>IFERROR(IF(INDEX(Overrides!$B$8:$B$47,MATCH(B393,Overrides!$A$8:$A$47,0))="","",INDEX(Overrides!$B$8:$B$47,MATCH(B393,Overrides!$A$8:$A$47,0))),"")</f>
        <v/>
      </c>
      <c r="H393" s="31" t="str">
        <f>IFERROR(IF(INDEX(Overrides!$C$8:$C$47,MATCH(B393,Overrides!$A$8:$A$47,0))="","",INDEX(Overrides!$C$8:$C$47,MATCH(B393,Overrides!$A$8:$A$47,0))),"")</f>
        <v/>
      </c>
      <c r="I393" s="36">
        <f>IFERROR(IF(INDEX(Overrides!$D$8:$D$47,MATCH(B393,Overrides!$A$8:$A$47,0))="",0,INDEX(Overrides!$D$8:$D$47,MATCH(B393,Overrides!$A$8:$A$47,0))),0)</f>
        <v>0</v>
      </c>
      <c r="J393" s="38">
        <f t="shared" si="41"/>
        <v>607.06660702194506</v>
      </c>
      <c r="K393" s="18">
        <f t="shared" si="42"/>
        <v>1.0000000000000004</v>
      </c>
      <c r="L393" s="38">
        <f t="shared" si="43"/>
        <v>607.06660702194529</v>
      </c>
      <c r="M393" s="23">
        <f t="shared" si="44"/>
        <v>-0.74620427178824245</v>
      </c>
      <c r="N393" s="23">
        <f t="shared" si="45"/>
        <v>0.15423440219053489</v>
      </c>
      <c r="O393" s="6"/>
      <c r="P393" s="18">
        <f t="shared" si="46"/>
        <v>-0.11509036977128299</v>
      </c>
    </row>
    <row r="394" spans="1:16" ht="15" customHeight="1" x14ac:dyDescent="0.3">
      <c r="A394" s="7" t="str">
        <f>Raw_Players!A356</f>
        <v>MIL</v>
      </c>
      <c r="B394" s="7" t="str">
        <f>Raw_Players!B356</f>
        <v>Pete Nance</v>
      </c>
      <c r="C394" s="37">
        <f>Raw_Players!E356</f>
        <v>-1.2324611321516481</v>
      </c>
      <c r="D394" s="31">
        <f>Raw_Players!F356</f>
        <v>595.06161942956589</v>
      </c>
      <c r="E394" s="31">
        <f>Raw_Players!G356</f>
        <v>11.313222957457381</v>
      </c>
      <c r="F394" s="31">
        <f>Raw_Players!H356</f>
        <v>52.598770630372577</v>
      </c>
      <c r="G394" s="31" t="str">
        <f>IFERROR(IF(INDEX(Overrides!$B$8:$B$47,MATCH(B394,Overrides!$A$8:$A$47,0))="","",INDEX(Overrides!$B$8:$B$47,MATCH(B394,Overrides!$A$8:$A$47,0))),"")</f>
        <v/>
      </c>
      <c r="H394" s="31" t="str">
        <f>IFERROR(IF(INDEX(Overrides!$C$8:$C$47,MATCH(B394,Overrides!$A$8:$A$47,0))="","",INDEX(Overrides!$C$8:$C$47,MATCH(B394,Overrides!$A$8:$A$47,0))),"")</f>
        <v/>
      </c>
      <c r="I394" s="36">
        <f>IFERROR(IF(INDEX(Overrides!$D$8:$D$47,MATCH(B394,Overrides!$A$8:$A$47,0))="",0,INDEX(Overrides!$D$8:$D$47,MATCH(B394,Overrides!$A$8:$A$47,0))),0)</f>
        <v>0</v>
      </c>
      <c r="J394" s="38">
        <f t="shared" si="41"/>
        <v>595.06161942956589</v>
      </c>
      <c r="K394" s="18">
        <f t="shared" si="42"/>
        <v>1.0000000000000004</v>
      </c>
      <c r="L394" s="38">
        <f t="shared" si="43"/>
        <v>595.06161942956612</v>
      </c>
      <c r="M394" s="23">
        <f t="shared" si="44"/>
        <v>-1.2324611321516481</v>
      </c>
      <c r="N394" s="23">
        <f t="shared" si="45"/>
        <v>0.15118435452986945</v>
      </c>
      <c r="O394" s="6"/>
      <c r="P394" s="18">
        <f t="shared" si="46"/>
        <v>-0.18632884074749906</v>
      </c>
    </row>
    <row r="395" spans="1:16" ht="15" customHeight="1" x14ac:dyDescent="0.3">
      <c r="A395" s="7" t="str">
        <f>Raw_Players!A357</f>
        <v>MIL</v>
      </c>
      <c r="B395" s="7" t="str">
        <f>Raw_Players!B357</f>
        <v>Johni Broome</v>
      </c>
      <c r="C395" s="37">
        <f>Raw_Players!E357</f>
        <v>-2.78171778435956</v>
      </c>
      <c r="D395" s="31">
        <f>Raw_Players!F357</f>
        <v>319.92962032741588</v>
      </c>
      <c r="E395" s="31">
        <f>Raw_Players!G357</f>
        <v>7.3294995354024612</v>
      </c>
      <c r="F395" s="31">
        <f>Raw_Players!H357</f>
        <v>43.649586002715893</v>
      </c>
      <c r="G395" s="31" t="str">
        <f>IFERROR(IF(INDEX(Overrides!$B$8:$B$47,MATCH(B395,Overrides!$A$8:$A$47,0))="","",INDEX(Overrides!$B$8:$B$47,MATCH(B395,Overrides!$A$8:$A$47,0))),"")</f>
        <v/>
      </c>
      <c r="H395" s="31" t="str">
        <f>IFERROR(IF(INDEX(Overrides!$C$8:$C$47,MATCH(B395,Overrides!$A$8:$A$47,0))="","",INDEX(Overrides!$C$8:$C$47,MATCH(B395,Overrides!$A$8:$A$47,0))),"")</f>
        <v/>
      </c>
      <c r="I395" s="36">
        <f>IFERROR(IF(INDEX(Overrides!$D$8:$D$47,MATCH(B395,Overrides!$A$8:$A$47,0))="",0,INDEX(Overrides!$D$8:$D$47,MATCH(B395,Overrides!$A$8:$A$47,0))),0)</f>
        <v>0</v>
      </c>
      <c r="J395" s="38">
        <f t="shared" si="41"/>
        <v>319.92962032741588</v>
      </c>
      <c r="K395" s="18">
        <f t="shared" si="42"/>
        <v>1.0000000000000004</v>
      </c>
      <c r="L395" s="38">
        <f t="shared" si="43"/>
        <v>319.92962032741599</v>
      </c>
      <c r="M395" s="23">
        <f t="shared" si="44"/>
        <v>-2.78171778435956</v>
      </c>
      <c r="N395" s="23">
        <f t="shared" si="45"/>
        <v>8.1282931993754068E-2</v>
      </c>
      <c r="O395" s="6"/>
      <c r="P395" s="18">
        <f t="shared" si="46"/>
        <v>-0.22610617749191436</v>
      </c>
    </row>
    <row r="396" spans="1:16" ht="15" customHeight="1" x14ac:dyDescent="0.3">
      <c r="A396" s="7" t="str">
        <f>Raw_Players!A358</f>
        <v>MIL</v>
      </c>
      <c r="B396" s="7" t="str">
        <f>Raw_Players!B358</f>
        <v>John Butler Jr.</v>
      </c>
      <c r="C396" s="37">
        <f>Raw_Players!E358</f>
        <v>-3.1867960702466678</v>
      </c>
      <c r="D396" s="31">
        <f>Raw_Players!F358</f>
        <v>315.3153725435634</v>
      </c>
      <c r="E396" s="31">
        <f>Raw_Players!G358</f>
        <v>10.39331162566554</v>
      </c>
      <c r="F396" s="31">
        <f>Raw_Players!H358</f>
        <v>30.338296772023529</v>
      </c>
      <c r="G396" s="31" t="str">
        <f>IFERROR(IF(INDEX(Overrides!$B$8:$B$47,MATCH(B396,Overrides!$A$8:$A$47,0))="","",INDEX(Overrides!$B$8:$B$47,MATCH(B396,Overrides!$A$8:$A$47,0))),"")</f>
        <v/>
      </c>
      <c r="H396" s="31" t="str">
        <f>IFERROR(IF(INDEX(Overrides!$C$8:$C$47,MATCH(B396,Overrides!$A$8:$A$47,0))="","",INDEX(Overrides!$C$8:$C$47,MATCH(B396,Overrides!$A$8:$A$47,0))),"")</f>
        <v/>
      </c>
      <c r="I396" s="36">
        <f>IFERROR(IF(INDEX(Overrides!$D$8:$D$47,MATCH(B396,Overrides!$A$8:$A$47,0))="",0,INDEX(Overrides!$D$8:$D$47,MATCH(B396,Overrides!$A$8:$A$47,0))),0)</f>
        <v>0</v>
      </c>
      <c r="J396" s="38">
        <f t="shared" si="41"/>
        <v>315.3153725435634</v>
      </c>
      <c r="K396" s="18">
        <f t="shared" si="42"/>
        <v>1.0000000000000004</v>
      </c>
      <c r="L396" s="38">
        <f t="shared" si="43"/>
        <v>315.31537254356351</v>
      </c>
      <c r="M396" s="23">
        <f t="shared" si="44"/>
        <v>-3.1867960702466678</v>
      </c>
      <c r="N396" s="23">
        <f t="shared" si="45"/>
        <v>8.011061294297854E-2</v>
      </c>
      <c r="O396" s="6"/>
      <c r="P396" s="18">
        <f t="shared" si="46"/>
        <v>-0.25529618651173586</v>
      </c>
    </row>
    <row r="397" spans="1:16" ht="15" customHeight="1" x14ac:dyDescent="0.3">
      <c r="A397" s="7" t="str">
        <f>Raw_Players!A359</f>
        <v>MIL</v>
      </c>
      <c r="B397" s="7" t="str">
        <f>Raw_Players!B359</f>
        <v>Bogoljub Markovic</v>
      </c>
      <c r="C397" s="37">
        <f>Raw_Players!E359</f>
        <v>-3.1867960702466678</v>
      </c>
      <c r="D397" s="31">
        <f>Raw_Players!F359</f>
        <v>315.3153725435634</v>
      </c>
      <c r="E397" s="31">
        <f>Raw_Players!G359</f>
        <v>10.39331162566554</v>
      </c>
      <c r="F397" s="31">
        <f>Raw_Players!H359</f>
        <v>30.338296772023529</v>
      </c>
      <c r="G397" s="31" t="str">
        <f>IFERROR(IF(INDEX(Overrides!$B$8:$B$47,MATCH(B397,Overrides!$A$8:$A$47,0))="","",INDEX(Overrides!$B$8:$B$47,MATCH(B397,Overrides!$A$8:$A$47,0))),"")</f>
        <v/>
      </c>
      <c r="H397" s="31" t="str">
        <f>IFERROR(IF(INDEX(Overrides!$C$8:$C$47,MATCH(B397,Overrides!$A$8:$A$47,0))="","",INDEX(Overrides!$C$8:$C$47,MATCH(B397,Overrides!$A$8:$A$47,0))),"")</f>
        <v/>
      </c>
      <c r="I397" s="36">
        <f>IFERROR(IF(INDEX(Overrides!$D$8:$D$47,MATCH(B397,Overrides!$A$8:$A$47,0))="",0,INDEX(Overrides!$D$8:$D$47,MATCH(B397,Overrides!$A$8:$A$47,0))),0)</f>
        <v>0</v>
      </c>
      <c r="J397" s="38">
        <f t="shared" si="41"/>
        <v>315.3153725435634</v>
      </c>
      <c r="K397" s="18">
        <f t="shared" si="42"/>
        <v>1.0000000000000004</v>
      </c>
      <c r="L397" s="38">
        <f t="shared" si="43"/>
        <v>315.31537254356351</v>
      </c>
      <c r="M397" s="23">
        <f t="shared" si="44"/>
        <v>-3.1867960702466678</v>
      </c>
      <c r="N397" s="23">
        <f t="shared" si="45"/>
        <v>8.011061294297854E-2</v>
      </c>
      <c r="O397" s="6"/>
      <c r="P397" s="18">
        <f t="shared" si="46"/>
        <v>-0.25529618651173586</v>
      </c>
    </row>
    <row r="398" spans="1:16" ht="15" customHeight="1" x14ac:dyDescent="0.3">
      <c r="A398" s="7" t="str">
        <f>Raw_Players!A360</f>
        <v>MIL</v>
      </c>
      <c r="B398" s="7" t="str">
        <f>Raw_Players!B360</f>
        <v>Jake Stephens</v>
      </c>
      <c r="C398" s="37">
        <f>Raw_Players!E360</f>
        <v>-3.1867960702466678</v>
      </c>
      <c r="D398" s="31">
        <f>Raw_Players!F360</f>
        <v>315.3153725435634</v>
      </c>
      <c r="E398" s="31">
        <f>Raw_Players!G360</f>
        <v>10.39331162566554</v>
      </c>
      <c r="F398" s="31">
        <f>Raw_Players!H360</f>
        <v>30.338296772023529</v>
      </c>
      <c r="G398" s="31" t="str">
        <f>IFERROR(IF(INDEX(Overrides!$B$8:$B$47,MATCH(B398,Overrides!$A$8:$A$47,0))="","",INDEX(Overrides!$B$8:$B$47,MATCH(B398,Overrides!$A$8:$A$47,0))),"")</f>
        <v/>
      </c>
      <c r="H398" s="31" t="str">
        <f>IFERROR(IF(INDEX(Overrides!$C$8:$C$47,MATCH(B398,Overrides!$A$8:$A$47,0))="","",INDEX(Overrides!$C$8:$C$47,MATCH(B398,Overrides!$A$8:$A$47,0))),"")</f>
        <v/>
      </c>
      <c r="I398" s="36">
        <f>IFERROR(IF(INDEX(Overrides!$D$8:$D$47,MATCH(B398,Overrides!$A$8:$A$47,0))="",0,INDEX(Overrides!$D$8:$D$47,MATCH(B398,Overrides!$A$8:$A$47,0))),0)</f>
        <v>0</v>
      </c>
      <c r="J398" s="38">
        <f t="shared" si="41"/>
        <v>315.3153725435634</v>
      </c>
      <c r="K398" s="18">
        <f t="shared" si="42"/>
        <v>1.0000000000000004</v>
      </c>
      <c r="L398" s="38">
        <f t="shared" si="43"/>
        <v>315.31537254356351</v>
      </c>
      <c r="M398" s="23">
        <f t="shared" si="44"/>
        <v>-3.1867960702466678</v>
      </c>
      <c r="N398" s="23">
        <f t="shared" si="45"/>
        <v>8.011061294297854E-2</v>
      </c>
      <c r="O398" s="6"/>
      <c r="P398" s="18">
        <f t="shared" si="46"/>
        <v>-0.25529618651173586</v>
      </c>
    </row>
    <row r="399" spans="1:16" ht="15" customHeight="1" x14ac:dyDescent="0.3">
      <c r="A399" s="7" t="str">
        <f>Raw_Players!A361</f>
        <v>MIN</v>
      </c>
      <c r="B399" s="7" t="str">
        <f>Raw_Players!B361</f>
        <v>Anthony Edwards</v>
      </c>
      <c r="C399" s="37">
        <f>Raw_Players!E361</f>
        <v>4.5534227980436466</v>
      </c>
      <c r="D399" s="31">
        <f>Raw_Players!F361</f>
        <v>2098.294478693957</v>
      </c>
      <c r="E399" s="31">
        <f>Raw_Players!G361</f>
        <v>33.60429383389026</v>
      </c>
      <c r="F399" s="31">
        <f>Raw_Players!H361</f>
        <v>62.441260901540097</v>
      </c>
      <c r="G399" s="31" t="str">
        <f>IFERROR(IF(INDEX(Overrides!$B$8:$B$47,MATCH(B399,Overrides!$A$8:$A$47,0))="","",INDEX(Overrides!$B$8:$B$47,MATCH(B399,Overrides!$A$8:$A$47,0))),"")</f>
        <v/>
      </c>
      <c r="H399" s="31" t="str">
        <f>IFERROR(IF(INDEX(Overrides!$C$8:$C$47,MATCH(B399,Overrides!$A$8:$A$47,0))="","",INDEX(Overrides!$C$8:$C$47,MATCH(B399,Overrides!$A$8:$A$47,0))),"")</f>
        <v/>
      </c>
      <c r="I399" s="36">
        <f>IFERROR(IF(INDEX(Overrides!$D$8:$D$47,MATCH(B399,Overrides!$A$8:$A$47,0))="",0,INDEX(Overrides!$D$8:$D$47,MATCH(B399,Overrides!$A$8:$A$47,0))),0)</f>
        <v>0</v>
      </c>
      <c r="J399" s="38">
        <f t="shared" si="41"/>
        <v>2098.294478693957</v>
      </c>
      <c r="K399" s="18">
        <f t="shared" si="42"/>
        <v>1</v>
      </c>
      <c r="L399" s="38">
        <f t="shared" si="43"/>
        <v>2098.294478693957</v>
      </c>
      <c r="M399" s="23">
        <f t="shared" si="44"/>
        <v>4.5534227980436466</v>
      </c>
      <c r="N399" s="23">
        <f t="shared" si="45"/>
        <v>0.53310327202590369</v>
      </c>
      <c r="O399" s="6"/>
      <c r="P399" s="18">
        <f t="shared" si="46"/>
        <v>2.4274445925544135</v>
      </c>
    </row>
    <row r="400" spans="1:16" ht="15" customHeight="1" x14ac:dyDescent="0.3">
      <c r="A400" s="7" t="str">
        <f>Raw_Players!A362</f>
        <v>MIN</v>
      </c>
      <c r="B400" s="7" t="str">
        <f>Raw_Players!B362</f>
        <v>Jaden McDaniels</v>
      </c>
      <c r="C400" s="37">
        <f>Raw_Players!E362</f>
        <v>0.2256001362650018</v>
      </c>
      <c r="D400" s="31">
        <f>Raw_Players!F362</f>
        <v>1954.2832672214529</v>
      </c>
      <c r="E400" s="31">
        <f>Raw_Players!G362</f>
        <v>29.802923386011571</v>
      </c>
      <c r="F400" s="31">
        <f>Raw_Players!H362</f>
        <v>65.573542632355441</v>
      </c>
      <c r="G400" s="31" t="str">
        <f>IFERROR(IF(INDEX(Overrides!$B$8:$B$47,MATCH(B400,Overrides!$A$8:$A$47,0))="","",INDEX(Overrides!$B$8:$B$47,MATCH(B400,Overrides!$A$8:$A$47,0))),"")</f>
        <v/>
      </c>
      <c r="H400" s="31" t="str">
        <f>IFERROR(IF(INDEX(Overrides!$C$8:$C$47,MATCH(B400,Overrides!$A$8:$A$47,0))="","",INDEX(Overrides!$C$8:$C$47,MATCH(B400,Overrides!$A$8:$A$47,0))),"")</f>
        <v/>
      </c>
      <c r="I400" s="36">
        <f>IFERROR(IF(INDEX(Overrides!$D$8:$D$47,MATCH(B400,Overrides!$A$8:$A$47,0))="",0,INDEX(Overrides!$D$8:$D$47,MATCH(B400,Overrides!$A$8:$A$47,0))),0)</f>
        <v>0</v>
      </c>
      <c r="J400" s="38">
        <f t="shared" si="41"/>
        <v>1954.2832672214529</v>
      </c>
      <c r="K400" s="18">
        <f t="shared" si="42"/>
        <v>1</v>
      </c>
      <c r="L400" s="38">
        <f t="shared" si="43"/>
        <v>1954.2832672214529</v>
      </c>
      <c r="M400" s="23">
        <f t="shared" si="44"/>
        <v>0.2256001362650018</v>
      </c>
      <c r="N400" s="23">
        <f t="shared" si="45"/>
        <v>0.49651505772902765</v>
      </c>
      <c r="O400" s="6"/>
      <c r="P400" s="18">
        <f t="shared" si="46"/>
        <v>0.11201386468129387</v>
      </c>
    </row>
    <row r="401" spans="1:16" ht="15" customHeight="1" x14ac:dyDescent="0.3">
      <c r="A401" s="7" t="str">
        <f>Raw_Players!A363</f>
        <v>MIN</v>
      </c>
      <c r="B401" s="7" t="str">
        <f>Raw_Players!B363</f>
        <v>Rudy Gobert</v>
      </c>
      <c r="C401" s="37">
        <f>Raw_Players!E363</f>
        <v>1.7817630903353829</v>
      </c>
      <c r="D401" s="31">
        <f>Raw_Players!F363</f>
        <v>1925.176282046526</v>
      </c>
      <c r="E401" s="31">
        <f>Raw_Players!G363</f>
        <v>30.75907474159272</v>
      </c>
      <c r="F401" s="31">
        <f>Raw_Players!H363</f>
        <v>62.588887936973073</v>
      </c>
      <c r="G401" s="31" t="str">
        <f>IFERROR(IF(INDEX(Overrides!$B$8:$B$47,MATCH(B401,Overrides!$A$8:$A$47,0))="","",INDEX(Overrides!$B$8:$B$47,MATCH(B401,Overrides!$A$8:$A$47,0))),"")</f>
        <v/>
      </c>
      <c r="H401" s="31" t="str">
        <f>IFERROR(IF(INDEX(Overrides!$C$8:$C$47,MATCH(B401,Overrides!$A$8:$A$47,0))="","",INDEX(Overrides!$C$8:$C$47,MATCH(B401,Overrides!$A$8:$A$47,0))),"")</f>
        <v/>
      </c>
      <c r="I401" s="36">
        <f>IFERROR(IF(INDEX(Overrides!$D$8:$D$47,MATCH(B401,Overrides!$A$8:$A$47,0))="",0,INDEX(Overrides!$D$8:$D$47,MATCH(B401,Overrides!$A$8:$A$47,0))),0)</f>
        <v>0</v>
      </c>
      <c r="J401" s="38">
        <f t="shared" si="41"/>
        <v>1925.176282046526</v>
      </c>
      <c r="K401" s="18">
        <f t="shared" si="42"/>
        <v>1</v>
      </c>
      <c r="L401" s="38">
        <f t="shared" si="43"/>
        <v>1925.176282046526</v>
      </c>
      <c r="M401" s="23">
        <f t="shared" si="44"/>
        <v>1.7817630903353829</v>
      </c>
      <c r="N401" s="23">
        <f t="shared" si="45"/>
        <v>0.4891199903573491</v>
      </c>
      <c r="O401" s="6"/>
      <c r="P401" s="18">
        <f t="shared" si="46"/>
        <v>0.87149594556392307</v>
      </c>
    </row>
    <row r="402" spans="1:16" ht="15" customHeight="1" x14ac:dyDescent="0.3">
      <c r="A402" s="7" t="str">
        <f>Raw_Players!A364</f>
        <v>MIN</v>
      </c>
      <c r="B402" s="7" t="str">
        <f>Raw_Players!B364</f>
        <v>LaMelo Ball</v>
      </c>
      <c r="C402" s="37">
        <f>Raw_Players!E364</f>
        <v>3.7394944996552559</v>
      </c>
      <c r="D402" s="31">
        <f>Raw_Players!F364</f>
        <v>1704.340797832406</v>
      </c>
      <c r="E402" s="31">
        <f>Raw_Players!G364</f>
        <v>27.3921401380079</v>
      </c>
      <c r="F402" s="31">
        <f>Raw_Players!H364</f>
        <v>62.220067115805662</v>
      </c>
      <c r="G402" s="31" t="str">
        <f>IFERROR(IF(INDEX(Overrides!$B$8:$B$47,MATCH(B402,Overrides!$A$8:$A$47,0))="","",INDEX(Overrides!$B$8:$B$47,MATCH(B402,Overrides!$A$8:$A$47,0))),"")</f>
        <v/>
      </c>
      <c r="H402" s="31" t="str">
        <f>IFERROR(IF(INDEX(Overrides!$C$8:$C$47,MATCH(B402,Overrides!$A$8:$A$47,0))="","",INDEX(Overrides!$C$8:$C$47,MATCH(B402,Overrides!$A$8:$A$47,0))),"")</f>
        <v/>
      </c>
      <c r="I402" s="36">
        <f>IFERROR(IF(INDEX(Overrides!$D$8:$D$47,MATCH(B402,Overrides!$A$8:$A$47,0))="",0,INDEX(Overrides!$D$8:$D$47,MATCH(B402,Overrides!$A$8:$A$47,0))),0)</f>
        <v>0</v>
      </c>
      <c r="J402" s="38">
        <f t="shared" si="41"/>
        <v>1704.340797832406</v>
      </c>
      <c r="K402" s="18">
        <f t="shared" si="42"/>
        <v>1</v>
      </c>
      <c r="L402" s="38">
        <f t="shared" si="43"/>
        <v>1704.340797832406</v>
      </c>
      <c r="M402" s="23">
        <f t="shared" si="44"/>
        <v>3.7394944996552559</v>
      </c>
      <c r="N402" s="23">
        <f t="shared" si="45"/>
        <v>0.43301341408343647</v>
      </c>
      <c r="O402" s="6"/>
      <c r="P402" s="18">
        <f t="shared" si="46"/>
        <v>1.6192512802419543</v>
      </c>
    </row>
    <row r="403" spans="1:16" ht="15" customHeight="1" x14ac:dyDescent="0.3">
      <c r="A403" s="7" t="str">
        <f>Raw_Players!A365</f>
        <v>MIN</v>
      </c>
      <c r="B403" s="7" t="str">
        <f>Raw_Players!B365</f>
        <v>Ayo Dosunmu</v>
      </c>
      <c r="C403" s="37">
        <f>Raw_Players!E365</f>
        <v>-2.5960987735784199E-2</v>
      </c>
      <c r="D403" s="31">
        <f>Raw_Players!F365</f>
        <v>1643.442820326426</v>
      </c>
      <c r="E403" s="31">
        <f>Raw_Players!G365</f>
        <v>26.84990773017854</v>
      </c>
      <c r="F403" s="31">
        <f>Raw_Players!H365</f>
        <v>61.208509051196579</v>
      </c>
      <c r="G403" s="31" t="str">
        <f>IFERROR(IF(INDEX(Overrides!$B$8:$B$47,MATCH(B403,Overrides!$A$8:$A$47,0))="","",INDEX(Overrides!$B$8:$B$47,MATCH(B403,Overrides!$A$8:$A$47,0))),"")</f>
        <v/>
      </c>
      <c r="H403" s="31" t="str">
        <f>IFERROR(IF(INDEX(Overrides!$C$8:$C$47,MATCH(B403,Overrides!$A$8:$A$47,0))="","",INDEX(Overrides!$C$8:$C$47,MATCH(B403,Overrides!$A$8:$A$47,0))),"")</f>
        <v/>
      </c>
      <c r="I403" s="36">
        <f>IFERROR(IF(INDEX(Overrides!$D$8:$D$47,MATCH(B403,Overrides!$A$8:$A$47,0))="",0,INDEX(Overrides!$D$8:$D$47,MATCH(B403,Overrides!$A$8:$A$47,0))),0)</f>
        <v>0</v>
      </c>
      <c r="J403" s="38">
        <f t="shared" si="41"/>
        <v>1643.442820326426</v>
      </c>
      <c r="K403" s="18">
        <f t="shared" si="42"/>
        <v>1</v>
      </c>
      <c r="L403" s="38">
        <f t="shared" si="43"/>
        <v>1643.442820326426</v>
      </c>
      <c r="M403" s="23">
        <f t="shared" si="44"/>
        <v>-2.5960987735784199E-2</v>
      </c>
      <c r="N403" s="23">
        <f t="shared" si="45"/>
        <v>0.41754136695285216</v>
      </c>
      <c r="O403" s="6"/>
      <c r="P403" s="18">
        <f t="shared" si="46"/>
        <v>-1.0839786306645565E-2</v>
      </c>
    </row>
    <row r="404" spans="1:16" ht="15" customHeight="1" x14ac:dyDescent="0.3">
      <c r="A404" s="7" t="str">
        <f>Raw_Players!A366</f>
        <v>MIN</v>
      </c>
      <c r="B404" s="7" t="str">
        <f>Raw_Players!B366</f>
        <v>Cody Williams</v>
      </c>
      <c r="C404" s="37">
        <f>Raw_Players!E366</f>
        <v>-3.7967512882065471</v>
      </c>
      <c r="D404" s="31">
        <f>Raw_Players!F366</f>
        <v>1342.2557063551301</v>
      </c>
      <c r="E404" s="31">
        <f>Raw_Players!G366</f>
        <v>21.83059065619727</v>
      </c>
      <c r="F404" s="31">
        <f>Raw_Players!H366</f>
        <v>61.485084278930863</v>
      </c>
      <c r="G404" s="31" t="str">
        <f>IFERROR(IF(INDEX(Overrides!$B$8:$B$47,MATCH(B404,Overrides!$A$8:$A$47,0))="","",INDEX(Overrides!$B$8:$B$47,MATCH(B404,Overrides!$A$8:$A$47,0))),"")</f>
        <v/>
      </c>
      <c r="H404" s="31" t="str">
        <f>IFERROR(IF(INDEX(Overrides!$C$8:$C$47,MATCH(B404,Overrides!$A$8:$A$47,0))="","",INDEX(Overrides!$C$8:$C$47,MATCH(B404,Overrides!$A$8:$A$47,0))),"")</f>
        <v/>
      </c>
      <c r="I404" s="36">
        <f>IFERROR(IF(INDEX(Overrides!$D$8:$D$47,MATCH(B404,Overrides!$A$8:$A$47,0))="",0,INDEX(Overrides!$D$8:$D$47,MATCH(B404,Overrides!$A$8:$A$47,0))),0)</f>
        <v>0</v>
      </c>
      <c r="J404" s="38">
        <f t="shared" si="41"/>
        <v>1342.2557063551301</v>
      </c>
      <c r="K404" s="18">
        <f t="shared" si="42"/>
        <v>1</v>
      </c>
      <c r="L404" s="38">
        <f t="shared" si="43"/>
        <v>1342.2557063551301</v>
      </c>
      <c r="M404" s="23">
        <f t="shared" si="44"/>
        <v>-3.7967512882065471</v>
      </c>
      <c r="N404" s="23">
        <f t="shared" si="45"/>
        <v>0.34102025059835622</v>
      </c>
      <c r="O404" s="6"/>
      <c r="P404" s="18">
        <f t="shared" si="46"/>
        <v>-1.2947690757638284</v>
      </c>
    </row>
    <row r="405" spans="1:16" ht="15" customHeight="1" x14ac:dyDescent="0.3">
      <c r="A405" s="7" t="str">
        <f>Raw_Players!A367</f>
        <v>MIN</v>
      </c>
      <c r="B405" s="7" t="str">
        <f>Raw_Players!B367</f>
        <v>Jonathan Kuminga</v>
      </c>
      <c r="C405" s="37">
        <f>Raw_Players!E367</f>
        <v>-0.7599835636695258</v>
      </c>
      <c r="D405" s="31">
        <f>Raw_Players!F367</f>
        <v>1229.565609606366</v>
      </c>
      <c r="E405" s="31">
        <f>Raw_Players!G367</f>
        <v>23.07163078481712</v>
      </c>
      <c r="F405" s="31">
        <f>Raw_Players!H367</f>
        <v>53.293398332965431</v>
      </c>
      <c r="G405" s="31" t="str">
        <f>IFERROR(IF(INDEX(Overrides!$B$8:$B$47,MATCH(B405,Overrides!$A$8:$A$47,0))="","",INDEX(Overrides!$B$8:$B$47,MATCH(B405,Overrides!$A$8:$A$47,0))),"")</f>
        <v/>
      </c>
      <c r="H405" s="31" t="str">
        <f>IFERROR(IF(INDEX(Overrides!$C$8:$C$47,MATCH(B405,Overrides!$A$8:$A$47,0))="","",INDEX(Overrides!$C$8:$C$47,MATCH(B405,Overrides!$A$8:$A$47,0))),"")</f>
        <v/>
      </c>
      <c r="I405" s="36">
        <f>IFERROR(IF(INDEX(Overrides!$D$8:$D$47,MATCH(B405,Overrides!$A$8:$A$47,0))="",0,INDEX(Overrides!$D$8:$D$47,MATCH(B405,Overrides!$A$8:$A$47,0))),0)</f>
        <v>0</v>
      </c>
      <c r="J405" s="38">
        <f t="shared" si="41"/>
        <v>1229.565609606366</v>
      </c>
      <c r="K405" s="18">
        <f t="shared" si="42"/>
        <v>1</v>
      </c>
      <c r="L405" s="38">
        <f t="shared" si="43"/>
        <v>1229.565609606366</v>
      </c>
      <c r="M405" s="23">
        <f t="shared" si="44"/>
        <v>-0.7599835636695258</v>
      </c>
      <c r="N405" s="23">
        <f t="shared" si="45"/>
        <v>0.31238963658698321</v>
      </c>
      <c r="O405" s="6"/>
      <c r="P405" s="18">
        <f t="shared" si="46"/>
        <v>-0.23741098926680357</v>
      </c>
    </row>
    <row r="406" spans="1:16" ht="15" customHeight="1" x14ac:dyDescent="0.3">
      <c r="A406" s="7" t="str">
        <f>Raw_Players!A368</f>
        <v>MIN</v>
      </c>
      <c r="B406" s="7" t="str">
        <f>Raw_Players!B368</f>
        <v>Trey Lyles</v>
      </c>
      <c r="C406" s="37">
        <f>Raw_Players!E368</f>
        <v>-1.280987509303392</v>
      </c>
      <c r="D406" s="31">
        <f>Raw_Players!F368</f>
        <v>977.03025493419955</v>
      </c>
      <c r="E406" s="31">
        <f>Raw_Players!G368</f>
        <v>18.665131236904799</v>
      </c>
      <c r="F406" s="31">
        <f>Raw_Players!H368</f>
        <v>52.345212178439454</v>
      </c>
      <c r="G406" s="31" t="str">
        <f>IFERROR(IF(INDEX(Overrides!$B$8:$B$47,MATCH(B406,Overrides!$A$8:$A$47,0))="","",INDEX(Overrides!$B$8:$B$47,MATCH(B406,Overrides!$A$8:$A$47,0))),"")</f>
        <v/>
      </c>
      <c r="H406" s="31" t="str">
        <f>IFERROR(IF(INDEX(Overrides!$C$8:$C$47,MATCH(B406,Overrides!$A$8:$A$47,0))="","",INDEX(Overrides!$C$8:$C$47,MATCH(B406,Overrides!$A$8:$A$47,0))),"")</f>
        <v/>
      </c>
      <c r="I406" s="36">
        <f>IFERROR(IF(INDEX(Overrides!$D$8:$D$47,MATCH(B406,Overrides!$A$8:$A$47,0))="",0,INDEX(Overrides!$D$8:$D$47,MATCH(B406,Overrides!$A$8:$A$47,0))),0)</f>
        <v>0</v>
      </c>
      <c r="J406" s="38">
        <f t="shared" si="41"/>
        <v>977.03025493419955</v>
      </c>
      <c r="K406" s="18">
        <f t="shared" si="42"/>
        <v>1</v>
      </c>
      <c r="L406" s="38">
        <f t="shared" si="43"/>
        <v>977.03025493419955</v>
      </c>
      <c r="M406" s="23">
        <f t="shared" si="44"/>
        <v>-1.280987509303392</v>
      </c>
      <c r="N406" s="23">
        <f t="shared" si="45"/>
        <v>0.24822923143653444</v>
      </c>
      <c r="O406" s="6"/>
      <c r="P406" s="18">
        <f t="shared" si="46"/>
        <v>-0.31797854491418154</v>
      </c>
    </row>
    <row r="407" spans="1:16" ht="15" customHeight="1" x14ac:dyDescent="0.3">
      <c r="A407" s="7" t="str">
        <f>Raw_Players!A369</f>
        <v>MIN</v>
      </c>
      <c r="B407" s="7" t="str">
        <f>Raw_Players!B369</f>
        <v>Bones Hyland</v>
      </c>
      <c r="C407" s="37">
        <f>Raw_Players!E369</f>
        <v>0.42419741049462328</v>
      </c>
      <c r="D407" s="31">
        <f>Raw_Players!F369</f>
        <v>884.99166928349939</v>
      </c>
      <c r="E407" s="31">
        <f>Raw_Players!G369</f>
        <v>14.83436999397836</v>
      </c>
      <c r="F407" s="31">
        <f>Raw_Players!H369</f>
        <v>59.65819038103669</v>
      </c>
      <c r="G407" s="31" t="str">
        <f>IFERROR(IF(INDEX(Overrides!$B$8:$B$47,MATCH(B407,Overrides!$A$8:$A$47,0))="","",INDEX(Overrides!$B$8:$B$47,MATCH(B407,Overrides!$A$8:$A$47,0))),"")</f>
        <v/>
      </c>
      <c r="H407" s="31" t="str">
        <f>IFERROR(IF(INDEX(Overrides!$C$8:$C$47,MATCH(B407,Overrides!$A$8:$A$47,0))="","",INDEX(Overrides!$C$8:$C$47,MATCH(B407,Overrides!$A$8:$A$47,0))),"")</f>
        <v/>
      </c>
      <c r="I407" s="36">
        <f>IFERROR(IF(INDEX(Overrides!$D$8:$D$47,MATCH(B407,Overrides!$A$8:$A$47,0))="",0,INDEX(Overrides!$D$8:$D$47,MATCH(B407,Overrides!$A$8:$A$47,0))),0)</f>
        <v>0</v>
      </c>
      <c r="J407" s="38">
        <f t="shared" si="41"/>
        <v>884.99166928349939</v>
      </c>
      <c r="K407" s="18">
        <f t="shared" si="42"/>
        <v>1</v>
      </c>
      <c r="L407" s="38">
        <f t="shared" si="43"/>
        <v>884.99166928349939</v>
      </c>
      <c r="M407" s="23">
        <f t="shared" si="44"/>
        <v>0.42419741049462328</v>
      </c>
      <c r="N407" s="23">
        <f t="shared" si="45"/>
        <v>0.22484544443178339</v>
      </c>
      <c r="O407" s="6"/>
      <c r="P407" s="18">
        <f t="shared" si="46"/>
        <v>9.5378855289475234E-2</v>
      </c>
    </row>
    <row r="408" spans="1:16" ht="15" customHeight="1" x14ac:dyDescent="0.3">
      <c r="A408" s="7" t="str">
        <f>Raw_Players!A370</f>
        <v>MIN</v>
      </c>
      <c r="B408" s="7" t="str">
        <f>Raw_Players!B370</f>
        <v>Jaylen Clark</v>
      </c>
      <c r="C408" s="37">
        <f>Raw_Players!E370</f>
        <v>-0.78923301739162721</v>
      </c>
      <c r="D408" s="31">
        <f>Raw_Players!F370</f>
        <v>774.1103314157873</v>
      </c>
      <c r="E408" s="31">
        <f>Raw_Players!G370</f>
        <v>12.78225252418828</v>
      </c>
      <c r="F408" s="31">
        <f>Raw_Players!H370</f>
        <v>60.561339243682824</v>
      </c>
      <c r="G408" s="31" t="str">
        <f>IFERROR(IF(INDEX(Overrides!$B$8:$B$47,MATCH(B408,Overrides!$A$8:$A$47,0))="","",INDEX(Overrides!$B$8:$B$47,MATCH(B408,Overrides!$A$8:$A$47,0))),"")</f>
        <v/>
      </c>
      <c r="H408" s="31" t="str">
        <f>IFERROR(IF(INDEX(Overrides!$C$8:$C$47,MATCH(B408,Overrides!$A$8:$A$47,0))="","",INDEX(Overrides!$C$8:$C$47,MATCH(B408,Overrides!$A$8:$A$47,0))),"")</f>
        <v/>
      </c>
      <c r="I408" s="36">
        <f>IFERROR(IF(INDEX(Overrides!$D$8:$D$47,MATCH(B408,Overrides!$A$8:$A$47,0))="",0,INDEX(Overrides!$D$8:$D$47,MATCH(B408,Overrides!$A$8:$A$47,0))),0)</f>
        <v>0</v>
      </c>
      <c r="J408" s="38">
        <f t="shared" si="41"/>
        <v>774.1103314157873</v>
      </c>
      <c r="K408" s="18">
        <f t="shared" si="42"/>
        <v>1</v>
      </c>
      <c r="L408" s="38">
        <f t="shared" si="43"/>
        <v>774.1103314157873</v>
      </c>
      <c r="M408" s="23">
        <f t="shared" si="44"/>
        <v>-0.78923301739162721</v>
      </c>
      <c r="N408" s="23">
        <f t="shared" si="45"/>
        <v>0.19667437281905165</v>
      </c>
      <c r="O408" s="6"/>
      <c r="P408" s="18">
        <f t="shared" si="46"/>
        <v>-0.15522190870358596</v>
      </c>
    </row>
    <row r="409" spans="1:16" ht="15" customHeight="1" x14ac:dyDescent="0.3">
      <c r="A409" s="7" t="str">
        <f>Raw_Players!A371</f>
        <v>MIN</v>
      </c>
      <c r="B409" s="7" t="str">
        <f>Raw_Players!B371</f>
        <v>Terrence Shannon Jr.</v>
      </c>
      <c r="C409" s="37">
        <f>Raw_Players!E371</f>
        <v>-2.1911524881012241</v>
      </c>
      <c r="D409" s="31">
        <f>Raw_Players!F371</f>
        <v>629.65802208522723</v>
      </c>
      <c r="E409" s="31">
        <f>Raw_Players!G371</f>
        <v>11.79877581280798</v>
      </c>
      <c r="F409" s="31">
        <f>Raw_Players!H371</f>
        <v>53.366385807730282</v>
      </c>
      <c r="G409" s="31" t="str">
        <f>IFERROR(IF(INDEX(Overrides!$B$8:$B$47,MATCH(B409,Overrides!$A$8:$A$47,0))="","",INDEX(Overrides!$B$8:$B$47,MATCH(B409,Overrides!$A$8:$A$47,0))),"")</f>
        <v/>
      </c>
      <c r="H409" s="31" t="str">
        <f>IFERROR(IF(INDEX(Overrides!$C$8:$C$47,MATCH(B409,Overrides!$A$8:$A$47,0))="","",INDEX(Overrides!$C$8:$C$47,MATCH(B409,Overrides!$A$8:$A$47,0))),"")</f>
        <v/>
      </c>
      <c r="I409" s="36">
        <f>IFERROR(IF(INDEX(Overrides!$D$8:$D$47,MATCH(B409,Overrides!$A$8:$A$47,0))="",0,INDEX(Overrides!$D$8:$D$47,MATCH(B409,Overrides!$A$8:$A$47,0))),0)</f>
        <v>0</v>
      </c>
      <c r="J409" s="38">
        <f t="shared" si="41"/>
        <v>629.65802208522723</v>
      </c>
      <c r="K409" s="18">
        <f t="shared" si="42"/>
        <v>1</v>
      </c>
      <c r="L409" s="38">
        <f t="shared" si="43"/>
        <v>629.65802208522723</v>
      </c>
      <c r="M409" s="23">
        <f t="shared" si="44"/>
        <v>-2.1911524881012241</v>
      </c>
      <c r="N409" s="23">
        <f t="shared" si="45"/>
        <v>0.15997409097693782</v>
      </c>
      <c r="O409" s="6"/>
      <c r="P409" s="18">
        <f t="shared" si="46"/>
        <v>-0.35052762747584887</v>
      </c>
    </row>
    <row r="410" spans="1:16" ht="15" customHeight="1" x14ac:dyDescent="0.3">
      <c r="A410" s="7" t="str">
        <f>Raw_Players!A372</f>
        <v>MIN</v>
      </c>
      <c r="B410" s="7" t="str">
        <f>Raw_Players!B372</f>
        <v>Isaiah Evans</v>
      </c>
      <c r="C410" s="37">
        <f>Raw_Players!E372</f>
        <v>-3.0103390296288759</v>
      </c>
      <c r="D410" s="31">
        <f>Raw_Players!F372</f>
        <v>598.56352604336087</v>
      </c>
      <c r="E410" s="31">
        <f>Raw_Players!G372</f>
        <v>15.48534958324432</v>
      </c>
      <c r="F410" s="31">
        <f>Raw_Players!H372</f>
        <v>38.653536545989724</v>
      </c>
      <c r="G410" s="31" t="str">
        <f>IFERROR(IF(INDEX(Overrides!$B$8:$B$47,MATCH(B410,Overrides!$A$8:$A$47,0))="","",INDEX(Overrides!$B$8:$B$47,MATCH(B410,Overrides!$A$8:$A$47,0))),"")</f>
        <v/>
      </c>
      <c r="H410" s="31" t="str">
        <f>IFERROR(IF(INDEX(Overrides!$C$8:$C$47,MATCH(B410,Overrides!$A$8:$A$47,0))="","",INDEX(Overrides!$C$8:$C$47,MATCH(B410,Overrides!$A$8:$A$47,0))),"")</f>
        <v/>
      </c>
      <c r="I410" s="36">
        <f>IFERROR(IF(INDEX(Overrides!$D$8:$D$47,MATCH(B410,Overrides!$A$8:$A$47,0))="",0,INDEX(Overrides!$D$8:$D$47,MATCH(B410,Overrides!$A$8:$A$47,0))),0)</f>
        <v>0</v>
      </c>
      <c r="J410" s="38">
        <f t="shared" si="41"/>
        <v>598.56352604336087</v>
      </c>
      <c r="K410" s="18">
        <f t="shared" si="42"/>
        <v>1</v>
      </c>
      <c r="L410" s="38">
        <f t="shared" si="43"/>
        <v>598.56352604336087</v>
      </c>
      <c r="M410" s="23">
        <f t="shared" si="44"/>
        <v>-3.0103390296288759</v>
      </c>
      <c r="N410" s="23">
        <f t="shared" si="45"/>
        <v>0.15207406657605713</v>
      </c>
      <c r="O410" s="6"/>
      <c r="P410" s="18">
        <f t="shared" si="46"/>
        <v>-0.45779449800828487</v>
      </c>
    </row>
    <row r="411" spans="1:16" ht="15" customHeight="1" x14ac:dyDescent="0.3">
      <c r="A411" s="7" t="str">
        <f>Raw_Players!A373</f>
        <v>MIN</v>
      </c>
      <c r="B411" s="7" t="str">
        <f>Raw_Players!B373</f>
        <v>Antonio Reeves</v>
      </c>
      <c r="C411" s="37">
        <f>Raw_Players!E373</f>
        <v>-1.0701933523224161</v>
      </c>
      <c r="D411" s="31">
        <f>Raw_Players!F373</f>
        <v>576.80804091990944</v>
      </c>
      <c r="E411" s="31">
        <f>Raw_Players!G373</f>
        <v>12.44323839863018</v>
      </c>
      <c r="F411" s="31">
        <f>Raw_Players!H373</f>
        <v>46.355138625601491</v>
      </c>
      <c r="G411" s="31" t="str">
        <f>IFERROR(IF(INDEX(Overrides!$B$8:$B$47,MATCH(B411,Overrides!$A$8:$A$47,0))="","",INDEX(Overrides!$B$8:$B$47,MATCH(B411,Overrides!$A$8:$A$47,0))),"")</f>
        <v/>
      </c>
      <c r="H411" s="31" t="str">
        <f>IFERROR(IF(INDEX(Overrides!$C$8:$C$47,MATCH(B411,Overrides!$A$8:$A$47,0))="","",INDEX(Overrides!$C$8:$C$47,MATCH(B411,Overrides!$A$8:$A$47,0))),"")</f>
        <v/>
      </c>
      <c r="I411" s="36">
        <f>IFERROR(IF(INDEX(Overrides!$D$8:$D$47,MATCH(B411,Overrides!$A$8:$A$47,0))="",0,INDEX(Overrides!$D$8:$D$47,MATCH(B411,Overrides!$A$8:$A$47,0))),0)</f>
        <v>0</v>
      </c>
      <c r="J411" s="38">
        <f t="shared" si="41"/>
        <v>576.80804091990944</v>
      </c>
      <c r="K411" s="18">
        <f t="shared" si="42"/>
        <v>1</v>
      </c>
      <c r="L411" s="38">
        <f t="shared" si="43"/>
        <v>576.80804091990944</v>
      </c>
      <c r="M411" s="23">
        <f t="shared" si="44"/>
        <v>-1.0701933523224161</v>
      </c>
      <c r="N411" s="23">
        <f t="shared" si="45"/>
        <v>0.14654675836379813</v>
      </c>
      <c r="O411" s="6"/>
      <c r="P411" s="18">
        <f t="shared" si="46"/>
        <v>-0.1568333666053362</v>
      </c>
    </row>
    <row r="412" spans="1:16" ht="15" customHeight="1" x14ac:dyDescent="0.3">
      <c r="A412" s="7" t="str">
        <f>Raw_Players!A374</f>
        <v>MIN</v>
      </c>
      <c r="B412" s="7" t="str">
        <f>Raw_Players!B374</f>
        <v>Drew Timme</v>
      </c>
      <c r="C412" s="37">
        <f>Raw_Players!E374</f>
        <v>-2.4468392092862419</v>
      </c>
      <c r="D412" s="31">
        <f>Raw_Players!F374</f>
        <v>558.58229961591553</v>
      </c>
      <c r="E412" s="31">
        <f>Raw_Players!G374</f>
        <v>11.83485248526652</v>
      </c>
      <c r="F412" s="31">
        <f>Raw_Players!H374</f>
        <v>47.198078751831318</v>
      </c>
      <c r="G412" s="31" t="str">
        <f>IFERROR(IF(INDEX(Overrides!$B$8:$B$47,MATCH(B412,Overrides!$A$8:$A$47,0))="","",INDEX(Overrides!$B$8:$B$47,MATCH(B412,Overrides!$A$8:$A$47,0))),"")</f>
        <v/>
      </c>
      <c r="H412" s="31" t="str">
        <f>IFERROR(IF(INDEX(Overrides!$C$8:$C$47,MATCH(B412,Overrides!$A$8:$A$47,0))="","",INDEX(Overrides!$C$8:$C$47,MATCH(B412,Overrides!$A$8:$A$47,0))),"")</f>
        <v/>
      </c>
      <c r="I412" s="36">
        <f>IFERROR(IF(INDEX(Overrides!$D$8:$D$47,MATCH(B412,Overrides!$A$8:$A$47,0))="",0,INDEX(Overrides!$D$8:$D$47,MATCH(B412,Overrides!$A$8:$A$47,0))),0)</f>
        <v>0</v>
      </c>
      <c r="J412" s="38">
        <f t="shared" si="41"/>
        <v>558.58229961591553</v>
      </c>
      <c r="K412" s="18">
        <f t="shared" si="42"/>
        <v>1</v>
      </c>
      <c r="L412" s="38">
        <f t="shared" si="43"/>
        <v>558.58229961591553</v>
      </c>
      <c r="M412" s="23">
        <f t="shared" si="44"/>
        <v>-2.4468392092862419</v>
      </c>
      <c r="N412" s="23">
        <f t="shared" si="45"/>
        <v>0.14191623465851513</v>
      </c>
      <c r="O412" s="6"/>
      <c r="P412" s="18">
        <f t="shared" si="46"/>
        <v>-0.34724620739672191</v>
      </c>
    </row>
    <row r="413" spans="1:16" ht="15" customHeight="1" x14ac:dyDescent="0.3">
      <c r="A413" s="7" t="str">
        <f>Raw_Players!A375</f>
        <v>MIN</v>
      </c>
      <c r="B413" s="7" t="str">
        <f>Raw_Players!B375</f>
        <v>KJ Martin</v>
      </c>
      <c r="C413" s="37">
        <f>Raw_Players!E375</f>
        <v>-2.488917074752472</v>
      </c>
      <c r="D413" s="31">
        <f>Raw_Players!F375</f>
        <v>531.73536466151415</v>
      </c>
      <c r="E413" s="31">
        <f>Raw_Players!G375</f>
        <v>16.36167378382455</v>
      </c>
      <c r="F413" s="31">
        <f>Raw_Players!H375</f>
        <v>32.498836713588403</v>
      </c>
      <c r="G413" s="31" t="str">
        <f>IFERROR(IF(INDEX(Overrides!$B$8:$B$47,MATCH(B413,Overrides!$A$8:$A$47,0))="","",INDEX(Overrides!$B$8:$B$47,MATCH(B413,Overrides!$A$8:$A$47,0))),"")</f>
        <v/>
      </c>
      <c r="H413" s="31" t="str">
        <f>IFERROR(IF(INDEX(Overrides!$C$8:$C$47,MATCH(B413,Overrides!$A$8:$A$47,0))="","",INDEX(Overrides!$C$8:$C$47,MATCH(B413,Overrides!$A$8:$A$47,0))),"")</f>
        <v/>
      </c>
      <c r="I413" s="36">
        <f>IFERROR(IF(INDEX(Overrides!$D$8:$D$47,MATCH(B413,Overrides!$A$8:$A$47,0))="",0,INDEX(Overrides!$D$8:$D$47,MATCH(B413,Overrides!$A$8:$A$47,0))),0)</f>
        <v>0</v>
      </c>
      <c r="J413" s="38">
        <f t="shared" si="41"/>
        <v>531.73536466151415</v>
      </c>
      <c r="K413" s="18">
        <f t="shared" si="42"/>
        <v>1</v>
      </c>
      <c r="L413" s="38">
        <f t="shared" si="43"/>
        <v>531.73536466151415</v>
      </c>
      <c r="M413" s="23">
        <f t="shared" si="44"/>
        <v>-2.488917074752472</v>
      </c>
      <c r="N413" s="23">
        <f t="shared" si="45"/>
        <v>0.13509536703798633</v>
      </c>
      <c r="O413" s="6"/>
      <c r="P413" s="18">
        <f t="shared" si="46"/>
        <v>-0.33624116574079649</v>
      </c>
    </row>
    <row r="414" spans="1:16" ht="15" customHeight="1" x14ac:dyDescent="0.3">
      <c r="A414" s="7" t="str">
        <f>Raw_Players!A376</f>
        <v>MIN</v>
      </c>
      <c r="B414" s="7" t="str">
        <f>Raw_Players!B376</f>
        <v>Joan Beringer</v>
      </c>
      <c r="C414" s="37">
        <f>Raw_Players!E376</f>
        <v>0.43625815233071619</v>
      </c>
      <c r="D414" s="31">
        <f>Raw_Players!F376</f>
        <v>476.33904125778992</v>
      </c>
      <c r="E414" s="31">
        <f>Raw_Players!G376</f>
        <v>8.8807805593680396</v>
      </c>
      <c r="F414" s="31">
        <f>Raw_Players!H376</f>
        <v>53.637069182541133</v>
      </c>
      <c r="G414" s="31" t="str">
        <f>IFERROR(IF(INDEX(Overrides!$B$8:$B$47,MATCH(B414,Overrides!$A$8:$A$47,0))="","",INDEX(Overrides!$B$8:$B$47,MATCH(B414,Overrides!$A$8:$A$47,0))),"")</f>
        <v/>
      </c>
      <c r="H414" s="31" t="str">
        <f>IFERROR(IF(INDEX(Overrides!$C$8:$C$47,MATCH(B414,Overrides!$A$8:$A$47,0))="","",INDEX(Overrides!$C$8:$C$47,MATCH(B414,Overrides!$A$8:$A$47,0))),"")</f>
        <v/>
      </c>
      <c r="I414" s="36">
        <f>IFERROR(IF(INDEX(Overrides!$D$8:$D$47,MATCH(B414,Overrides!$A$8:$A$47,0))="",0,INDEX(Overrides!$D$8:$D$47,MATCH(B414,Overrides!$A$8:$A$47,0))),0)</f>
        <v>0</v>
      </c>
      <c r="J414" s="38">
        <f t="shared" si="41"/>
        <v>476.33904125778992</v>
      </c>
      <c r="K414" s="18">
        <f t="shared" si="42"/>
        <v>1</v>
      </c>
      <c r="L414" s="38">
        <f t="shared" si="43"/>
        <v>476.33904125778992</v>
      </c>
      <c r="M414" s="23">
        <f t="shared" si="44"/>
        <v>0.43625815233071619</v>
      </c>
      <c r="N414" s="23">
        <f t="shared" si="45"/>
        <v>0.12102109788053605</v>
      </c>
      <c r="O414" s="6"/>
      <c r="P414" s="18">
        <f t="shared" si="46"/>
        <v>5.279644055439741E-2</v>
      </c>
    </row>
    <row r="415" spans="1:16" ht="15" customHeight="1" x14ac:dyDescent="0.3">
      <c r="A415" s="7" t="str">
        <f>Raw_Players!A377</f>
        <v>MIN</v>
      </c>
      <c r="B415" s="7" t="str">
        <f>Raw_Players!B377</f>
        <v>Rocco Zikarsky</v>
      </c>
      <c r="C415" s="37">
        <f>Raw_Players!E377</f>
        <v>-0.84887897651008437</v>
      </c>
      <c r="D415" s="31">
        <f>Raw_Players!F377</f>
        <v>444.84006927871758</v>
      </c>
      <c r="E415" s="31">
        <f>Raw_Players!G377</f>
        <v>10.67850941753971</v>
      </c>
      <c r="F415" s="31">
        <f>Raw_Players!H377</f>
        <v>41.657505920073163</v>
      </c>
      <c r="G415" s="31" t="str">
        <f>IFERROR(IF(INDEX(Overrides!$B$8:$B$47,MATCH(B415,Overrides!$A$8:$A$47,0))="","",INDEX(Overrides!$B$8:$B$47,MATCH(B415,Overrides!$A$8:$A$47,0))),"")</f>
        <v/>
      </c>
      <c r="H415" s="31" t="str">
        <f>IFERROR(IF(INDEX(Overrides!$C$8:$C$47,MATCH(B415,Overrides!$A$8:$A$47,0))="","",INDEX(Overrides!$C$8:$C$47,MATCH(B415,Overrides!$A$8:$A$47,0))),"")</f>
        <v/>
      </c>
      <c r="I415" s="36">
        <f>IFERROR(IF(INDEX(Overrides!$D$8:$D$47,MATCH(B415,Overrides!$A$8:$A$47,0))="",0,INDEX(Overrides!$D$8:$D$47,MATCH(B415,Overrides!$A$8:$A$47,0))),0)</f>
        <v>0</v>
      </c>
      <c r="J415" s="38">
        <f t="shared" si="41"/>
        <v>444.84006927871758</v>
      </c>
      <c r="K415" s="18">
        <f t="shared" si="42"/>
        <v>1</v>
      </c>
      <c r="L415" s="38">
        <f t="shared" si="43"/>
        <v>444.84006927871758</v>
      </c>
      <c r="M415" s="23">
        <f t="shared" si="44"/>
        <v>-0.84887897651008437</v>
      </c>
      <c r="N415" s="23">
        <f t="shared" si="45"/>
        <v>0.11301831028422703</v>
      </c>
      <c r="O415" s="6"/>
      <c r="P415" s="18">
        <f t="shared" si="46"/>
        <v>-9.5938867560973778E-2</v>
      </c>
    </row>
    <row r="416" spans="1:16" ht="15" customHeight="1" x14ac:dyDescent="0.3">
      <c r="A416" s="7" t="str">
        <f>Raw_Players!A378</f>
        <v>MIN</v>
      </c>
      <c r="B416" s="7" t="str">
        <f>Raw_Players!B378</f>
        <v>Zyon Pullin</v>
      </c>
      <c r="C416" s="37">
        <f>Raw_Players!E378</f>
        <v>-1.890726758454131</v>
      </c>
      <c r="D416" s="31">
        <f>Raw_Players!F378</f>
        <v>412.87947128063541</v>
      </c>
      <c r="E416" s="31">
        <f>Raw_Players!G378</f>
        <v>10.003832351943521</v>
      </c>
      <c r="F416" s="31">
        <f>Raw_Players!H378</f>
        <v>41.272130195226858</v>
      </c>
      <c r="G416" s="31" t="str">
        <f>IFERROR(IF(INDEX(Overrides!$B$8:$B$47,MATCH(B416,Overrides!$A$8:$A$47,0))="","",INDEX(Overrides!$B$8:$B$47,MATCH(B416,Overrides!$A$8:$A$47,0))),"")</f>
        <v/>
      </c>
      <c r="H416" s="31" t="str">
        <f>IFERROR(IF(INDEX(Overrides!$C$8:$C$47,MATCH(B416,Overrides!$A$8:$A$47,0))="","",INDEX(Overrides!$C$8:$C$47,MATCH(B416,Overrides!$A$8:$A$47,0))),"")</f>
        <v/>
      </c>
      <c r="I416" s="36">
        <f>IFERROR(IF(INDEX(Overrides!$D$8:$D$47,MATCH(B416,Overrides!$A$8:$A$47,0))="",0,INDEX(Overrides!$D$8:$D$47,MATCH(B416,Overrides!$A$8:$A$47,0))),0)</f>
        <v>0</v>
      </c>
      <c r="J416" s="38">
        <f t="shared" si="41"/>
        <v>412.87947128063541</v>
      </c>
      <c r="K416" s="18">
        <f t="shared" si="42"/>
        <v>1</v>
      </c>
      <c r="L416" s="38">
        <f t="shared" si="43"/>
        <v>412.87947128063541</v>
      </c>
      <c r="M416" s="23">
        <f t="shared" si="44"/>
        <v>-1.890726758454131</v>
      </c>
      <c r="N416" s="23">
        <f t="shared" si="45"/>
        <v>0.10489823965463298</v>
      </c>
      <c r="O416" s="6"/>
      <c r="P416" s="18">
        <f t="shared" si="46"/>
        <v>-0.19833390862974878</v>
      </c>
    </row>
    <row r="417" spans="1:16" ht="15" customHeight="1" x14ac:dyDescent="0.3">
      <c r="A417" s="7" t="str">
        <f>Raw_Players!A379</f>
        <v>MIN</v>
      </c>
      <c r="B417" s="7" t="str">
        <f>Raw_Players!B379</f>
        <v>Enrique Freeman</v>
      </c>
      <c r="C417" s="37">
        <f>Raw_Players!E379</f>
        <v>-2.381994504048405</v>
      </c>
      <c r="D417" s="31">
        <f>Raw_Players!F379</f>
        <v>411.3169342931028</v>
      </c>
      <c r="E417" s="31">
        <f>Raw_Players!G379</f>
        <v>9.6485933078797235</v>
      </c>
      <c r="F417" s="31">
        <f>Raw_Players!H379</f>
        <v>42.629730694234169</v>
      </c>
      <c r="G417" s="31" t="str">
        <f>IFERROR(IF(INDEX(Overrides!$B$8:$B$47,MATCH(B417,Overrides!$A$8:$A$47,0))="","",INDEX(Overrides!$B$8:$B$47,MATCH(B417,Overrides!$A$8:$A$47,0))),"")</f>
        <v/>
      </c>
      <c r="H417" s="31" t="str">
        <f>IFERROR(IF(INDEX(Overrides!$C$8:$C$47,MATCH(B417,Overrides!$A$8:$A$47,0))="","",INDEX(Overrides!$C$8:$C$47,MATCH(B417,Overrides!$A$8:$A$47,0))),"")</f>
        <v/>
      </c>
      <c r="I417" s="36">
        <f>IFERROR(IF(INDEX(Overrides!$D$8:$D$47,MATCH(B417,Overrides!$A$8:$A$47,0))="",0,INDEX(Overrides!$D$8:$D$47,MATCH(B417,Overrides!$A$8:$A$47,0))),0)</f>
        <v>0</v>
      </c>
      <c r="J417" s="38">
        <f t="shared" si="41"/>
        <v>411.3169342931028</v>
      </c>
      <c r="K417" s="18">
        <f t="shared" si="42"/>
        <v>1</v>
      </c>
      <c r="L417" s="38">
        <f t="shared" si="43"/>
        <v>411.3169342931028</v>
      </c>
      <c r="M417" s="23">
        <f t="shared" si="44"/>
        <v>-2.381994504048405</v>
      </c>
      <c r="N417" s="23">
        <f t="shared" si="45"/>
        <v>0.10450125363137774</v>
      </c>
      <c r="O417" s="6"/>
      <c r="P417" s="18">
        <f t="shared" si="46"/>
        <v>-0.24892141181611022</v>
      </c>
    </row>
    <row r="418" spans="1:16" ht="15" customHeight="1" x14ac:dyDescent="0.3">
      <c r="A418" s="7" t="str">
        <f>Raw_Players!A380</f>
        <v>MIN</v>
      </c>
      <c r="B418" s="7" t="str">
        <f>Raw_Players!B380</f>
        <v>Norchad Omier</v>
      </c>
      <c r="C418" s="37">
        <f>Raw_Players!E380</f>
        <v>-1.730441177514916</v>
      </c>
      <c r="D418" s="31">
        <f>Raw_Players!F380</f>
        <v>401.52261883074999</v>
      </c>
      <c r="E418" s="31">
        <f>Raw_Players!G380</f>
        <v>9.6050084708029129</v>
      </c>
      <c r="F418" s="31">
        <f>Raw_Players!H380</f>
        <v>41.803463271405683</v>
      </c>
      <c r="G418" s="31" t="str">
        <f>IFERROR(IF(INDEX(Overrides!$B$8:$B$47,MATCH(B418,Overrides!$A$8:$A$47,0))="","",INDEX(Overrides!$B$8:$B$47,MATCH(B418,Overrides!$A$8:$A$47,0))),"")</f>
        <v/>
      </c>
      <c r="H418" s="31" t="str">
        <f>IFERROR(IF(INDEX(Overrides!$C$8:$C$47,MATCH(B418,Overrides!$A$8:$A$47,0))="","",INDEX(Overrides!$C$8:$C$47,MATCH(B418,Overrides!$A$8:$A$47,0))),"")</f>
        <v/>
      </c>
      <c r="I418" s="36">
        <f>IFERROR(IF(INDEX(Overrides!$D$8:$D$47,MATCH(B418,Overrides!$A$8:$A$47,0))="",0,INDEX(Overrides!$D$8:$D$47,MATCH(B418,Overrides!$A$8:$A$47,0))),0)</f>
        <v>0</v>
      </c>
      <c r="J418" s="38">
        <f t="shared" si="41"/>
        <v>401.52261883074999</v>
      </c>
      <c r="K418" s="18">
        <f t="shared" si="42"/>
        <v>1</v>
      </c>
      <c r="L418" s="38">
        <f t="shared" si="43"/>
        <v>401.52261883074999</v>
      </c>
      <c r="M418" s="23">
        <f t="shared" si="44"/>
        <v>-1.730441177514916</v>
      </c>
      <c r="N418" s="23">
        <f t="shared" si="45"/>
        <v>0.10201286047529218</v>
      </c>
      <c r="O418" s="6"/>
      <c r="P418" s="18">
        <f t="shared" si="46"/>
        <v>-0.17652725440252942</v>
      </c>
    </row>
    <row r="419" spans="1:16" ht="15" customHeight="1" x14ac:dyDescent="0.3">
      <c r="A419" s="7" t="str">
        <f>Raw_Players!A381</f>
        <v>MIN</v>
      </c>
      <c r="B419" s="7" t="str">
        <f>Raw_Players!B381</f>
        <v>Donte DiVincenzo</v>
      </c>
      <c r="C419" s="37">
        <f>Raw_Players!E381</f>
        <v>1.620965229496848</v>
      </c>
      <c r="D419" s="31">
        <f>Raw_Players!F381</f>
        <v>104.2633940173266</v>
      </c>
      <c r="E419" s="31">
        <f>Raw_Players!G381</f>
        <v>27.652967987599599</v>
      </c>
      <c r="F419" s="31">
        <f>Raw_Players!H381</f>
        <v>3.770423271168629</v>
      </c>
      <c r="G419" s="31" t="str">
        <f>IFERROR(IF(INDEX(Overrides!$B$8:$B$47,MATCH(B419,Overrides!$A$8:$A$47,0))="","",INDEX(Overrides!$B$8:$B$47,MATCH(B419,Overrides!$A$8:$A$47,0))),"")</f>
        <v/>
      </c>
      <c r="H419" s="31" t="str">
        <f>IFERROR(IF(INDEX(Overrides!$C$8:$C$47,MATCH(B419,Overrides!$A$8:$A$47,0))="","",INDEX(Overrides!$C$8:$C$47,MATCH(B419,Overrides!$A$8:$A$47,0))),"")</f>
        <v/>
      </c>
      <c r="I419" s="36">
        <f>IFERROR(IF(INDEX(Overrides!$D$8:$D$47,MATCH(B419,Overrides!$A$8:$A$47,0))="",0,INDEX(Overrides!$D$8:$D$47,MATCH(B419,Overrides!$A$8:$A$47,0))),0)</f>
        <v>0</v>
      </c>
      <c r="J419" s="38">
        <f t="shared" si="41"/>
        <v>104.2633940173266</v>
      </c>
      <c r="K419" s="18">
        <f t="shared" si="42"/>
        <v>1</v>
      </c>
      <c r="L419" s="38">
        <f t="shared" si="43"/>
        <v>104.2633940173266</v>
      </c>
      <c r="M419" s="23">
        <f t="shared" si="44"/>
        <v>1.620965229496848</v>
      </c>
      <c r="N419" s="23">
        <f t="shared" si="45"/>
        <v>2.6489683439361433E-2</v>
      </c>
      <c r="O419" s="6"/>
      <c r="P419" s="18">
        <f t="shared" si="46"/>
        <v>4.2938855795583354E-2</v>
      </c>
    </row>
    <row r="420" spans="1:16" ht="15" customHeight="1" x14ac:dyDescent="0.3">
      <c r="A420" s="7" t="str">
        <f>Raw_Players!A382</f>
        <v>NOP</v>
      </c>
      <c r="B420" s="7" t="str">
        <f>Raw_Players!B382</f>
        <v>Trey Murphy III</v>
      </c>
      <c r="C420" s="37">
        <f>Raw_Players!E382</f>
        <v>1.16532549900765</v>
      </c>
      <c r="D420" s="31">
        <f>Raw_Players!F382</f>
        <v>1729.250222452979</v>
      </c>
      <c r="E420" s="31">
        <f>Raw_Players!G382</f>
        <v>27.180345467462079</v>
      </c>
      <c r="F420" s="31">
        <f>Raw_Players!H382</f>
        <v>63.621348173189531</v>
      </c>
      <c r="G420" s="31" t="str">
        <f>IFERROR(IF(INDEX(Overrides!$B$8:$B$47,MATCH(B420,Overrides!$A$8:$A$47,0))="","",INDEX(Overrides!$B$8:$B$47,MATCH(B420,Overrides!$A$8:$A$47,0))),"")</f>
        <v/>
      </c>
      <c r="H420" s="31" t="str">
        <f>IFERROR(IF(INDEX(Overrides!$C$8:$C$47,MATCH(B420,Overrides!$A$8:$A$47,0))="","",INDEX(Overrides!$C$8:$C$47,MATCH(B420,Overrides!$A$8:$A$47,0))),"")</f>
        <v/>
      </c>
      <c r="I420" s="36">
        <f>IFERROR(IF(INDEX(Overrides!$D$8:$D$47,MATCH(B420,Overrides!$A$8:$A$47,0))="",0,INDEX(Overrides!$D$8:$D$47,MATCH(B420,Overrides!$A$8:$A$47,0))),0)</f>
        <v>0</v>
      </c>
      <c r="J420" s="38">
        <f t="shared" si="41"/>
        <v>1729.250222452979</v>
      </c>
      <c r="K420" s="18">
        <f t="shared" si="42"/>
        <v>0.99999999999999978</v>
      </c>
      <c r="L420" s="38">
        <f t="shared" si="43"/>
        <v>1729.2502224529785</v>
      </c>
      <c r="M420" s="23">
        <f t="shared" si="44"/>
        <v>1.16532549900765</v>
      </c>
      <c r="N420" s="23">
        <f t="shared" si="45"/>
        <v>0.43934202806224049</v>
      </c>
      <c r="O420" s="6"/>
      <c r="P420" s="18">
        <f t="shared" si="46"/>
        <v>0.51197646808666342</v>
      </c>
    </row>
    <row r="421" spans="1:16" ht="15" customHeight="1" x14ac:dyDescent="0.3">
      <c r="A421" s="7" t="str">
        <f>Raw_Players!A383</f>
        <v>NOP</v>
      </c>
      <c r="B421" s="7" t="str">
        <f>Raw_Players!B383</f>
        <v>Saddiq Bey</v>
      </c>
      <c r="C421" s="37">
        <f>Raw_Players!E383</f>
        <v>-0.13420340037946499</v>
      </c>
      <c r="D421" s="31">
        <f>Raw_Players!F383</f>
        <v>1565.4770522674139</v>
      </c>
      <c r="E421" s="31">
        <f>Raw_Players!G383</f>
        <v>24.390692857391471</v>
      </c>
      <c r="F421" s="31">
        <f>Raw_Players!H383</f>
        <v>64.183377709707187</v>
      </c>
      <c r="G421" s="31" t="str">
        <f>IFERROR(IF(INDEX(Overrides!$B$8:$B$47,MATCH(B421,Overrides!$A$8:$A$47,0))="","",INDEX(Overrides!$B$8:$B$47,MATCH(B421,Overrides!$A$8:$A$47,0))),"")</f>
        <v/>
      </c>
      <c r="H421" s="31" t="str">
        <f>IFERROR(IF(INDEX(Overrides!$C$8:$C$47,MATCH(B421,Overrides!$A$8:$A$47,0))="","",INDEX(Overrides!$C$8:$C$47,MATCH(B421,Overrides!$A$8:$A$47,0))),"")</f>
        <v/>
      </c>
      <c r="I421" s="36">
        <f>IFERROR(IF(INDEX(Overrides!$D$8:$D$47,MATCH(B421,Overrides!$A$8:$A$47,0))="",0,INDEX(Overrides!$D$8:$D$47,MATCH(B421,Overrides!$A$8:$A$47,0))),0)</f>
        <v>0</v>
      </c>
      <c r="J421" s="38">
        <f t="shared" si="41"/>
        <v>1565.4770522674139</v>
      </c>
      <c r="K421" s="18">
        <f t="shared" si="42"/>
        <v>0.99999999999999978</v>
      </c>
      <c r="L421" s="38">
        <f t="shared" si="43"/>
        <v>1565.4770522674135</v>
      </c>
      <c r="M421" s="23">
        <f t="shared" si="44"/>
        <v>-0.13420340037946499</v>
      </c>
      <c r="N421" s="23">
        <f t="shared" si="45"/>
        <v>0.39773299092159897</v>
      </c>
      <c r="O421" s="6"/>
      <c r="P421" s="18">
        <f t="shared" si="46"/>
        <v>-5.3377119824773459E-2</v>
      </c>
    </row>
    <row r="422" spans="1:16" ht="15" customHeight="1" x14ac:dyDescent="0.3">
      <c r="A422" s="7" t="str">
        <f>Raw_Players!A384</f>
        <v>NOP</v>
      </c>
      <c r="B422" s="7" t="str">
        <f>Raw_Players!B384</f>
        <v>Bennedict Mathurin</v>
      </c>
      <c r="C422" s="37">
        <f>Raw_Players!E384</f>
        <v>-1.7481262609166031</v>
      </c>
      <c r="D422" s="31">
        <f>Raw_Players!F384</f>
        <v>1384.8701078837889</v>
      </c>
      <c r="E422" s="31">
        <f>Raw_Players!G384</f>
        <v>23.02319299686641</v>
      </c>
      <c r="F422" s="31">
        <f>Raw_Players!H384</f>
        <v>60.151087995148103</v>
      </c>
      <c r="G422" s="31" t="str">
        <f>IFERROR(IF(INDEX(Overrides!$B$8:$B$47,MATCH(B422,Overrides!$A$8:$A$47,0))="","",INDEX(Overrides!$B$8:$B$47,MATCH(B422,Overrides!$A$8:$A$47,0))),"")</f>
        <v/>
      </c>
      <c r="H422" s="31" t="str">
        <f>IFERROR(IF(INDEX(Overrides!$C$8:$C$47,MATCH(B422,Overrides!$A$8:$A$47,0))="","",INDEX(Overrides!$C$8:$C$47,MATCH(B422,Overrides!$A$8:$A$47,0))),"")</f>
        <v/>
      </c>
      <c r="I422" s="36">
        <f>IFERROR(IF(INDEX(Overrides!$D$8:$D$47,MATCH(B422,Overrides!$A$8:$A$47,0))="",0,INDEX(Overrides!$D$8:$D$47,MATCH(B422,Overrides!$A$8:$A$47,0))),0)</f>
        <v>0</v>
      </c>
      <c r="J422" s="38">
        <f t="shared" si="41"/>
        <v>1384.8701078837889</v>
      </c>
      <c r="K422" s="18">
        <f t="shared" si="42"/>
        <v>0.99999999999999978</v>
      </c>
      <c r="L422" s="38">
        <f t="shared" si="43"/>
        <v>1384.8701078837887</v>
      </c>
      <c r="M422" s="23">
        <f t="shared" si="44"/>
        <v>-1.7481262609166031</v>
      </c>
      <c r="N422" s="23">
        <f t="shared" si="45"/>
        <v>0.35184708025502764</v>
      </c>
      <c r="O422" s="6"/>
      <c r="P422" s="18">
        <f t="shared" si="46"/>
        <v>-0.61507312082064547</v>
      </c>
    </row>
    <row r="423" spans="1:16" ht="15" customHeight="1" x14ac:dyDescent="0.3">
      <c r="A423" s="7" t="str">
        <f>Raw_Players!A385</f>
        <v>NOP</v>
      </c>
      <c r="B423" s="7" t="str">
        <f>Raw_Players!B385</f>
        <v>Zion Williamson</v>
      </c>
      <c r="C423" s="37">
        <f>Raw_Players!E385</f>
        <v>2.3772216928118439</v>
      </c>
      <c r="D423" s="31">
        <f>Raw_Players!F385</f>
        <v>1356.947649619</v>
      </c>
      <c r="E423" s="31">
        <f>Raw_Players!G385</f>
        <v>23.413499118640051</v>
      </c>
      <c r="F423" s="31">
        <f>Raw_Players!H385</f>
        <v>57.955781950537279</v>
      </c>
      <c r="G423" s="31" t="str">
        <f>IFERROR(IF(INDEX(Overrides!$B$8:$B$47,MATCH(B423,Overrides!$A$8:$A$47,0))="","",INDEX(Overrides!$B$8:$B$47,MATCH(B423,Overrides!$A$8:$A$47,0))),"")</f>
        <v/>
      </c>
      <c r="H423" s="31" t="str">
        <f>IFERROR(IF(INDEX(Overrides!$C$8:$C$47,MATCH(B423,Overrides!$A$8:$A$47,0))="","",INDEX(Overrides!$C$8:$C$47,MATCH(B423,Overrides!$A$8:$A$47,0))),"")</f>
        <v/>
      </c>
      <c r="I423" s="36">
        <f>IFERROR(IF(INDEX(Overrides!$D$8:$D$47,MATCH(B423,Overrides!$A$8:$A$47,0))="",0,INDEX(Overrides!$D$8:$D$47,MATCH(B423,Overrides!$A$8:$A$47,0))),0)</f>
        <v>0</v>
      </c>
      <c r="J423" s="38">
        <f t="shared" si="41"/>
        <v>1356.947649619</v>
      </c>
      <c r="K423" s="18">
        <f t="shared" si="42"/>
        <v>0.99999999999999978</v>
      </c>
      <c r="L423" s="38">
        <f t="shared" si="43"/>
        <v>1356.9476496189998</v>
      </c>
      <c r="M423" s="23">
        <f t="shared" si="44"/>
        <v>2.3772216928118439</v>
      </c>
      <c r="N423" s="23">
        <f t="shared" si="45"/>
        <v>0.34475295976092474</v>
      </c>
      <c r="O423" s="6"/>
      <c r="P423" s="18">
        <f t="shared" si="46"/>
        <v>0.81955421460475897</v>
      </c>
    </row>
    <row r="424" spans="1:16" ht="15" customHeight="1" x14ac:dyDescent="0.3">
      <c r="A424" s="7" t="str">
        <f>Raw_Players!A386</f>
        <v>NOP</v>
      </c>
      <c r="B424" s="7" t="str">
        <f>Raw_Players!B386</f>
        <v>Jeremiah Fears</v>
      </c>
      <c r="C424" s="37">
        <f>Raw_Players!E386</f>
        <v>-1.020624230045883</v>
      </c>
      <c r="D424" s="31">
        <f>Raw_Players!F386</f>
        <v>1327.5851370799189</v>
      </c>
      <c r="E424" s="31">
        <f>Raw_Players!G386</f>
        <v>19.466418438896039</v>
      </c>
      <c r="F424" s="31">
        <f>Raw_Players!H386</f>
        <v>68.198736261995577</v>
      </c>
      <c r="G424" s="31" t="str">
        <f>IFERROR(IF(INDEX(Overrides!$B$8:$B$47,MATCH(B424,Overrides!$A$8:$A$47,0))="","",INDEX(Overrides!$B$8:$B$47,MATCH(B424,Overrides!$A$8:$A$47,0))),"")</f>
        <v/>
      </c>
      <c r="H424" s="31" t="str">
        <f>IFERROR(IF(INDEX(Overrides!$C$8:$C$47,MATCH(B424,Overrides!$A$8:$A$47,0))="","",INDEX(Overrides!$C$8:$C$47,MATCH(B424,Overrides!$A$8:$A$47,0))),"")</f>
        <v/>
      </c>
      <c r="I424" s="36">
        <f>IFERROR(IF(INDEX(Overrides!$D$8:$D$47,MATCH(B424,Overrides!$A$8:$A$47,0))="",0,INDEX(Overrides!$D$8:$D$47,MATCH(B424,Overrides!$A$8:$A$47,0))),0)</f>
        <v>0</v>
      </c>
      <c r="J424" s="38">
        <f t="shared" si="41"/>
        <v>1327.5851370799189</v>
      </c>
      <c r="K424" s="18">
        <f t="shared" si="42"/>
        <v>0.99999999999999978</v>
      </c>
      <c r="L424" s="38">
        <f t="shared" si="43"/>
        <v>1327.5851370799187</v>
      </c>
      <c r="M424" s="23">
        <f t="shared" si="44"/>
        <v>-1.020624230045883</v>
      </c>
      <c r="N424" s="23">
        <f t="shared" si="45"/>
        <v>0.33729297181908502</v>
      </c>
      <c r="O424" s="6"/>
      <c r="P424" s="18">
        <f t="shared" si="46"/>
        <v>-0.34424937966274133</v>
      </c>
    </row>
    <row r="425" spans="1:16" ht="15" customHeight="1" x14ac:dyDescent="0.3">
      <c r="A425" s="7" t="str">
        <f>Raw_Players!A387</f>
        <v>NOP</v>
      </c>
      <c r="B425" s="7" t="str">
        <f>Raw_Players!B387</f>
        <v>Derik Queen</v>
      </c>
      <c r="C425" s="37">
        <f>Raw_Players!E387</f>
        <v>-0.1067251556632041</v>
      </c>
      <c r="D425" s="31">
        <f>Raw_Players!F387</f>
        <v>1283.625739197505</v>
      </c>
      <c r="E425" s="31">
        <f>Raw_Players!G387</f>
        <v>18.90542476833431</v>
      </c>
      <c r="F425" s="31">
        <f>Raw_Players!H387</f>
        <v>67.897217593730943</v>
      </c>
      <c r="G425" s="31" t="str">
        <f>IFERROR(IF(INDEX(Overrides!$B$8:$B$47,MATCH(B425,Overrides!$A$8:$A$47,0))="","",INDEX(Overrides!$B$8:$B$47,MATCH(B425,Overrides!$A$8:$A$47,0))),"")</f>
        <v/>
      </c>
      <c r="H425" s="31" t="str">
        <f>IFERROR(IF(INDEX(Overrides!$C$8:$C$47,MATCH(B425,Overrides!$A$8:$A$47,0))="","",INDEX(Overrides!$C$8:$C$47,MATCH(B425,Overrides!$A$8:$A$47,0))),"")</f>
        <v/>
      </c>
      <c r="I425" s="36">
        <f>IFERROR(IF(INDEX(Overrides!$D$8:$D$47,MATCH(B425,Overrides!$A$8:$A$47,0))="",0,INDEX(Overrides!$D$8:$D$47,MATCH(B425,Overrides!$A$8:$A$47,0))),0)</f>
        <v>0</v>
      </c>
      <c r="J425" s="38">
        <f t="shared" si="41"/>
        <v>1283.625739197505</v>
      </c>
      <c r="K425" s="18">
        <f t="shared" si="42"/>
        <v>0.99999999999999978</v>
      </c>
      <c r="L425" s="38">
        <f t="shared" si="43"/>
        <v>1283.6257391975048</v>
      </c>
      <c r="M425" s="23">
        <f t="shared" si="44"/>
        <v>-0.1067251556632041</v>
      </c>
      <c r="N425" s="23">
        <f t="shared" si="45"/>
        <v>0.32612442560912214</v>
      </c>
      <c r="O425" s="6"/>
      <c r="P425" s="18">
        <f t="shared" si="46"/>
        <v>-3.4805680088706589E-2</v>
      </c>
    </row>
    <row r="426" spans="1:16" ht="15" customHeight="1" x14ac:dyDescent="0.3">
      <c r="A426" s="7" t="str">
        <f>Raw_Players!A388</f>
        <v>NOP</v>
      </c>
      <c r="B426" s="7" t="str">
        <f>Raw_Players!B388</f>
        <v>Herbert Jones</v>
      </c>
      <c r="C426" s="37">
        <f>Raw_Players!E388</f>
        <v>-0.52772064211385039</v>
      </c>
      <c r="D426" s="31">
        <f>Raw_Players!F388</f>
        <v>1266.549593395169</v>
      </c>
      <c r="E426" s="31">
        <f>Raw_Players!G388</f>
        <v>23.002361764142929</v>
      </c>
      <c r="F426" s="31">
        <f>Raw_Players!H388</f>
        <v>55.061719591312617</v>
      </c>
      <c r="G426" s="31" t="str">
        <f>IFERROR(IF(INDEX(Overrides!$B$8:$B$47,MATCH(B426,Overrides!$A$8:$A$47,0))="","",INDEX(Overrides!$B$8:$B$47,MATCH(B426,Overrides!$A$8:$A$47,0))),"")</f>
        <v/>
      </c>
      <c r="H426" s="31" t="str">
        <f>IFERROR(IF(INDEX(Overrides!$C$8:$C$47,MATCH(B426,Overrides!$A$8:$A$47,0))="","",INDEX(Overrides!$C$8:$C$47,MATCH(B426,Overrides!$A$8:$A$47,0))),"")</f>
        <v/>
      </c>
      <c r="I426" s="36">
        <f>IFERROR(IF(INDEX(Overrides!$D$8:$D$47,MATCH(B426,Overrides!$A$8:$A$47,0))="",0,INDEX(Overrides!$D$8:$D$47,MATCH(B426,Overrides!$A$8:$A$47,0))),0)</f>
        <v>0</v>
      </c>
      <c r="J426" s="38">
        <f t="shared" si="41"/>
        <v>1266.549593395169</v>
      </c>
      <c r="K426" s="18">
        <f t="shared" si="42"/>
        <v>0.99999999999999978</v>
      </c>
      <c r="L426" s="38">
        <f t="shared" si="43"/>
        <v>1266.5495933951688</v>
      </c>
      <c r="M426" s="23">
        <f t="shared" si="44"/>
        <v>-0.52772064211385039</v>
      </c>
      <c r="N426" s="23">
        <f t="shared" si="45"/>
        <v>0.32178597393169939</v>
      </c>
      <c r="O426" s="6"/>
      <c r="P426" s="18">
        <f t="shared" si="46"/>
        <v>-0.16981310078646714</v>
      </c>
    </row>
    <row r="427" spans="1:16" ht="15" customHeight="1" x14ac:dyDescent="0.3">
      <c r="A427" s="7" t="str">
        <f>Raw_Players!A389</f>
        <v>NOP</v>
      </c>
      <c r="B427" s="7" t="str">
        <f>Raw_Players!B389</f>
        <v>Jordan Poole</v>
      </c>
      <c r="C427" s="37">
        <f>Raw_Players!E389</f>
        <v>-2.06588608011227</v>
      </c>
      <c r="D427" s="31">
        <f>Raw_Players!F389</f>
        <v>1209.0502145324631</v>
      </c>
      <c r="E427" s="31">
        <f>Raw_Players!G389</f>
        <v>21.77885322424217</v>
      </c>
      <c r="F427" s="31">
        <f>Raw_Players!H389</f>
        <v>55.51487041506217</v>
      </c>
      <c r="G427" s="31" t="str">
        <f>IFERROR(IF(INDEX(Overrides!$B$8:$B$47,MATCH(B427,Overrides!$A$8:$A$47,0))="","",INDEX(Overrides!$B$8:$B$47,MATCH(B427,Overrides!$A$8:$A$47,0))),"")</f>
        <v/>
      </c>
      <c r="H427" s="31" t="str">
        <f>IFERROR(IF(INDEX(Overrides!$C$8:$C$47,MATCH(B427,Overrides!$A$8:$A$47,0))="","",INDEX(Overrides!$C$8:$C$47,MATCH(B427,Overrides!$A$8:$A$47,0))),"")</f>
        <v/>
      </c>
      <c r="I427" s="36">
        <f>IFERROR(IF(INDEX(Overrides!$D$8:$D$47,MATCH(B427,Overrides!$A$8:$A$47,0))="",0,INDEX(Overrides!$D$8:$D$47,MATCH(B427,Overrides!$A$8:$A$47,0))),0)</f>
        <v>0</v>
      </c>
      <c r="J427" s="38">
        <f t="shared" si="41"/>
        <v>1209.0502145324631</v>
      </c>
      <c r="K427" s="18">
        <f t="shared" si="42"/>
        <v>0.99999999999999978</v>
      </c>
      <c r="L427" s="38">
        <f t="shared" si="43"/>
        <v>1209.0502145324629</v>
      </c>
      <c r="M427" s="23">
        <f t="shared" si="44"/>
        <v>-2.06588608011227</v>
      </c>
      <c r="N427" s="23">
        <f t="shared" si="45"/>
        <v>0.30717739190357291</v>
      </c>
      <c r="O427" s="6"/>
      <c r="P427" s="18">
        <f t="shared" si="46"/>
        <v>-0.63459349805878273</v>
      </c>
    </row>
    <row r="428" spans="1:16" ht="15" customHeight="1" x14ac:dyDescent="0.3">
      <c r="A428" s="7" t="str">
        <f>Raw_Players!A390</f>
        <v>NOP</v>
      </c>
      <c r="B428" s="7" t="str">
        <f>Raw_Players!B390</f>
        <v>Dejounte Murray</v>
      </c>
      <c r="C428" s="37">
        <f>Raw_Players!E390</f>
        <v>0.32168903791947218</v>
      </c>
      <c r="D428" s="31">
        <f>Raw_Players!F390</f>
        <v>1134.1895650814599</v>
      </c>
      <c r="E428" s="31">
        <f>Raw_Players!G390</f>
        <v>25.25347254206277</v>
      </c>
      <c r="F428" s="31">
        <f>Raw_Players!H390</f>
        <v>44.912222000056722</v>
      </c>
      <c r="G428" s="31" t="str">
        <f>IFERROR(IF(INDEX(Overrides!$B$8:$B$47,MATCH(B428,Overrides!$A$8:$A$47,0))="","",INDEX(Overrides!$B$8:$B$47,MATCH(B428,Overrides!$A$8:$A$47,0))),"")</f>
        <v/>
      </c>
      <c r="H428" s="31" t="str">
        <f>IFERROR(IF(INDEX(Overrides!$C$8:$C$47,MATCH(B428,Overrides!$A$8:$A$47,0))="","",INDEX(Overrides!$C$8:$C$47,MATCH(B428,Overrides!$A$8:$A$47,0))),"")</f>
        <v/>
      </c>
      <c r="I428" s="36">
        <f>IFERROR(IF(INDEX(Overrides!$D$8:$D$47,MATCH(B428,Overrides!$A$8:$A$47,0))="",0,INDEX(Overrides!$D$8:$D$47,MATCH(B428,Overrides!$A$8:$A$47,0))),0)</f>
        <v>0</v>
      </c>
      <c r="J428" s="38">
        <f t="shared" si="41"/>
        <v>1134.1895650814599</v>
      </c>
      <c r="K428" s="18">
        <f t="shared" si="42"/>
        <v>0.99999999999999978</v>
      </c>
      <c r="L428" s="38">
        <f t="shared" si="43"/>
        <v>1134.1895650814597</v>
      </c>
      <c r="M428" s="23">
        <f t="shared" si="44"/>
        <v>0.32168903791947218</v>
      </c>
      <c r="N428" s="23">
        <f t="shared" si="45"/>
        <v>0.28815791795768791</v>
      </c>
      <c r="O428" s="6"/>
      <c r="P428" s="18">
        <f t="shared" si="46"/>
        <v>9.2697243396686821E-2</v>
      </c>
    </row>
    <row r="429" spans="1:16" ht="15" customHeight="1" x14ac:dyDescent="0.3">
      <c r="A429" s="7" t="str">
        <f>Raw_Players!A391</f>
        <v>NOP</v>
      </c>
      <c r="B429" s="7" t="str">
        <f>Raw_Players!B391</f>
        <v>Yves Missi</v>
      </c>
      <c r="C429" s="37">
        <f>Raw_Players!E391</f>
        <v>-0.97952732902107942</v>
      </c>
      <c r="D429" s="31">
        <f>Raw_Players!F391</f>
        <v>1121.5110257021361</v>
      </c>
      <c r="E429" s="31">
        <f>Raw_Players!G391</f>
        <v>17.694525853682489</v>
      </c>
      <c r="F429" s="31">
        <f>Raw_Players!H391</f>
        <v>63.38180717449027</v>
      </c>
      <c r="G429" s="31" t="str">
        <f>IFERROR(IF(INDEX(Overrides!$B$8:$B$47,MATCH(B429,Overrides!$A$8:$A$47,0))="","",INDEX(Overrides!$B$8:$B$47,MATCH(B429,Overrides!$A$8:$A$47,0))),"")</f>
        <v/>
      </c>
      <c r="H429" s="31" t="str">
        <f>IFERROR(IF(INDEX(Overrides!$C$8:$C$47,MATCH(B429,Overrides!$A$8:$A$47,0))="","",INDEX(Overrides!$C$8:$C$47,MATCH(B429,Overrides!$A$8:$A$47,0))),"")</f>
        <v/>
      </c>
      <c r="I429" s="36">
        <f>IFERROR(IF(INDEX(Overrides!$D$8:$D$47,MATCH(B429,Overrides!$A$8:$A$47,0))="",0,INDEX(Overrides!$D$8:$D$47,MATCH(B429,Overrides!$A$8:$A$47,0))),0)</f>
        <v>0</v>
      </c>
      <c r="J429" s="38">
        <f t="shared" si="41"/>
        <v>1121.5110257021361</v>
      </c>
      <c r="K429" s="18">
        <f t="shared" si="42"/>
        <v>0.99999999999999978</v>
      </c>
      <c r="L429" s="38">
        <f t="shared" si="43"/>
        <v>1121.5110257021358</v>
      </c>
      <c r="M429" s="23">
        <f t="shared" si="44"/>
        <v>-0.97952732902107942</v>
      </c>
      <c r="N429" s="23">
        <f t="shared" si="45"/>
        <v>0.28493674433489224</v>
      </c>
      <c r="O429" s="6"/>
      <c r="P429" s="18">
        <f t="shared" si="46"/>
        <v>-0.27910332811831917</v>
      </c>
    </row>
    <row r="430" spans="1:16" ht="15" customHeight="1" x14ac:dyDescent="0.3">
      <c r="A430" s="7" t="str">
        <f>Raw_Players!A392</f>
        <v>NOP</v>
      </c>
      <c r="B430" s="7" t="str">
        <f>Raw_Players!B392</f>
        <v>Trendon Watford</v>
      </c>
      <c r="C430" s="37">
        <f>Raw_Players!E392</f>
        <v>-1.8219454516010229</v>
      </c>
      <c r="D430" s="31">
        <f>Raw_Players!F392</f>
        <v>773.92040192339766</v>
      </c>
      <c r="E430" s="31">
        <f>Raw_Players!G392</f>
        <v>13.538581993223911</v>
      </c>
      <c r="F430" s="31">
        <f>Raw_Players!H392</f>
        <v>57.164066540406253</v>
      </c>
      <c r="G430" s="31" t="str">
        <f>IFERROR(IF(INDEX(Overrides!$B$8:$B$47,MATCH(B430,Overrides!$A$8:$A$47,0))="","",INDEX(Overrides!$B$8:$B$47,MATCH(B430,Overrides!$A$8:$A$47,0))),"")</f>
        <v/>
      </c>
      <c r="H430" s="31" t="str">
        <f>IFERROR(IF(INDEX(Overrides!$C$8:$C$47,MATCH(B430,Overrides!$A$8:$A$47,0))="","",INDEX(Overrides!$C$8:$C$47,MATCH(B430,Overrides!$A$8:$A$47,0))),"")</f>
        <v/>
      </c>
      <c r="I430" s="36">
        <f>IFERROR(IF(INDEX(Overrides!$D$8:$D$47,MATCH(B430,Overrides!$A$8:$A$47,0))="",0,INDEX(Overrides!$D$8:$D$47,MATCH(B430,Overrides!$A$8:$A$47,0))),0)</f>
        <v>0</v>
      </c>
      <c r="J430" s="38">
        <f t="shared" ref="J430:J493" si="47">IF(AND(G430="",H430=""),D430,IF(H430="",F430,H430)*IF(G430="",E430,G430))</f>
        <v>773.92040192339766</v>
      </c>
      <c r="K430" s="18">
        <f t="shared" ref="K430:K493" si="48">A_teamminutes/SUMIF($A$46:$A$672,A430,$J$46:$J$672)</f>
        <v>0.99999999999999978</v>
      </c>
      <c r="L430" s="38">
        <f t="shared" ref="L430:L493" si="49">J430*K430</f>
        <v>773.92040192339743</v>
      </c>
      <c r="M430" s="23">
        <f t="shared" ref="M430:M493" si="50">C430+I430</f>
        <v>-1.8219454516010229</v>
      </c>
      <c r="N430" s="23">
        <f t="shared" ref="N430:N493" si="51">L430/(A_teamminutes/5)</f>
        <v>0.19662611837484692</v>
      </c>
      <c r="O430" s="6"/>
      <c r="P430" s="18">
        <f t="shared" ref="P430:P493" si="52">N430*M430</f>
        <v>-0.35824206203901665</v>
      </c>
    </row>
    <row r="431" spans="1:16" ht="15" customHeight="1" x14ac:dyDescent="0.3">
      <c r="A431" s="7" t="str">
        <f>Raw_Players!A393</f>
        <v>NOP</v>
      </c>
      <c r="B431" s="7" t="str">
        <f>Raw_Players!B393</f>
        <v>Julian Reese</v>
      </c>
      <c r="C431" s="37">
        <f>Raw_Players!E393</f>
        <v>-2.5483739900273772</v>
      </c>
      <c r="D431" s="31">
        <f>Raw_Players!F393</f>
        <v>760.65617469296876</v>
      </c>
      <c r="E431" s="31">
        <f>Raw_Players!G393</f>
        <v>17.124114724343009</v>
      </c>
      <c r="F431" s="31">
        <f>Raw_Players!H393</f>
        <v>44.420175111981003</v>
      </c>
      <c r="G431" s="31" t="str">
        <f>IFERROR(IF(INDEX(Overrides!$B$8:$B$47,MATCH(B431,Overrides!$A$8:$A$47,0))="","",INDEX(Overrides!$B$8:$B$47,MATCH(B431,Overrides!$A$8:$A$47,0))),"")</f>
        <v/>
      </c>
      <c r="H431" s="31" t="str">
        <f>IFERROR(IF(INDEX(Overrides!$C$8:$C$47,MATCH(B431,Overrides!$A$8:$A$47,0))="","",INDEX(Overrides!$C$8:$C$47,MATCH(B431,Overrides!$A$8:$A$47,0))),"")</f>
        <v/>
      </c>
      <c r="I431" s="36">
        <f>IFERROR(IF(INDEX(Overrides!$D$8:$D$47,MATCH(B431,Overrides!$A$8:$A$47,0))="",0,INDEX(Overrides!$D$8:$D$47,MATCH(B431,Overrides!$A$8:$A$47,0))),0)</f>
        <v>0</v>
      </c>
      <c r="J431" s="38">
        <f t="shared" si="47"/>
        <v>760.65617469296876</v>
      </c>
      <c r="K431" s="18">
        <f t="shared" si="48"/>
        <v>0.99999999999999978</v>
      </c>
      <c r="L431" s="38">
        <f t="shared" si="49"/>
        <v>760.65617469296865</v>
      </c>
      <c r="M431" s="23">
        <f t="shared" si="50"/>
        <v>-2.5483739900273772</v>
      </c>
      <c r="N431" s="23">
        <f t="shared" si="51"/>
        <v>0.19325614194435178</v>
      </c>
      <c r="O431" s="6"/>
      <c r="P431" s="18">
        <f t="shared" si="52"/>
        <v>-0.4924889255440249</v>
      </c>
    </row>
    <row r="432" spans="1:16" ht="15" customHeight="1" x14ac:dyDescent="0.3">
      <c r="A432" s="7" t="str">
        <f>Raw_Players!A394</f>
        <v>NOP</v>
      </c>
      <c r="B432" s="7" t="str">
        <f>Raw_Players!B394</f>
        <v>Karlo Matkovic</v>
      </c>
      <c r="C432" s="37">
        <f>Raw_Players!E394</f>
        <v>-0.53171595698231022</v>
      </c>
      <c r="D432" s="31">
        <f>Raw_Players!F394</f>
        <v>752.05220827024914</v>
      </c>
      <c r="E432" s="31">
        <f>Raw_Players!G394</f>
        <v>12.69505864131253</v>
      </c>
      <c r="F432" s="31">
        <f>Raw_Players!H394</f>
        <v>59.239758516979592</v>
      </c>
      <c r="G432" s="31" t="str">
        <f>IFERROR(IF(INDEX(Overrides!$B$8:$B$47,MATCH(B432,Overrides!$A$8:$A$47,0))="","",INDEX(Overrides!$B$8:$B$47,MATCH(B432,Overrides!$A$8:$A$47,0))),"")</f>
        <v/>
      </c>
      <c r="H432" s="31" t="str">
        <f>IFERROR(IF(INDEX(Overrides!$C$8:$C$47,MATCH(B432,Overrides!$A$8:$A$47,0))="","",INDEX(Overrides!$C$8:$C$47,MATCH(B432,Overrides!$A$8:$A$47,0))),"")</f>
        <v/>
      </c>
      <c r="I432" s="36">
        <f>IFERROR(IF(INDEX(Overrides!$D$8:$D$47,MATCH(B432,Overrides!$A$8:$A$47,0))="",0,INDEX(Overrides!$D$8:$D$47,MATCH(B432,Overrides!$A$8:$A$47,0))),0)</f>
        <v>0</v>
      </c>
      <c r="J432" s="38">
        <f t="shared" si="47"/>
        <v>752.05220827024914</v>
      </c>
      <c r="K432" s="18">
        <f t="shared" si="48"/>
        <v>0.99999999999999978</v>
      </c>
      <c r="L432" s="38">
        <f t="shared" si="49"/>
        <v>752.05220827024903</v>
      </c>
      <c r="M432" s="23">
        <f t="shared" si="50"/>
        <v>-0.53171595698231022</v>
      </c>
      <c r="N432" s="23">
        <f t="shared" si="51"/>
        <v>0.19107017486540881</v>
      </c>
      <c r="O432" s="6"/>
      <c r="P432" s="18">
        <f t="shared" si="52"/>
        <v>-0.1015950608793382</v>
      </c>
    </row>
    <row r="433" spans="1:16" ht="15" customHeight="1" x14ac:dyDescent="0.3">
      <c r="A433" s="7" t="str">
        <f>Raw_Players!A395</f>
        <v>NOP</v>
      </c>
      <c r="B433" s="7" t="str">
        <f>Raw_Players!B395</f>
        <v>Bryce McGowens</v>
      </c>
      <c r="C433" s="37">
        <f>Raw_Players!E395</f>
        <v>-1.8658086658705311</v>
      </c>
      <c r="D433" s="31">
        <f>Raw_Players!F395</f>
        <v>704.2351912509987</v>
      </c>
      <c r="E433" s="31">
        <f>Raw_Players!G395</f>
        <v>13.618958015502569</v>
      </c>
      <c r="F433" s="31">
        <f>Raw_Players!H395</f>
        <v>51.709917194058633</v>
      </c>
      <c r="G433" s="31" t="str">
        <f>IFERROR(IF(INDEX(Overrides!$B$8:$B$47,MATCH(B433,Overrides!$A$8:$A$47,0))="","",INDEX(Overrides!$B$8:$B$47,MATCH(B433,Overrides!$A$8:$A$47,0))),"")</f>
        <v/>
      </c>
      <c r="H433" s="31" t="str">
        <f>IFERROR(IF(INDEX(Overrides!$C$8:$C$47,MATCH(B433,Overrides!$A$8:$A$47,0))="","",INDEX(Overrides!$C$8:$C$47,MATCH(B433,Overrides!$A$8:$A$47,0))),"")</f>
        <v/>
      </c>
      <c r="I433" s="36">
        <f>IFERROR(IF(INDEX(Overrides!$D$8:$D$47,MATCH(B433,Overrides!$A$8:$A$47,0))="",0,INDEX(Overrides!$D$8:$D$47,MATCH(B433,Overrides!$A$8:$A$47,0))),0)</f>
        <v>0</v>
      </c>
      <c r="J433" s="38">
        <f t="shared" si="47"/>
        <v>704.2351912509987</v>
      </c>
      <c r="K433" s="18">
        <f t="shared" si="48"/>
        <v>0.99999999999999978</v>
      </c>
      <c r="L433" s="38">
        <f t="shared" si="49"/>
        <v>704.23519125099858</v>
      </c>
      <c r="M433" s="23">
        <f t="shared" si="50"/>
        <v>-1.8658086658705311</v>
      </c>
      <c r="N433" s="23">
        <f t="shared" si="51"/>
        <v>0.17892154249263176</v>
      </c>
      <c r="O433" s="6"/>
      <c r="P433" s="18">
        <f t="shared" si="52"/>
        <v>-0.33383336449367479</v>
      </c>
    </row>
    <row r="434" spans="1:16" ht="15" customHeight="1" x14ac:dyDescent="0.3">
      <c r="A434" s="7" t="str">
        <f>Raw_Players!A396</f>
        <v>NOP</v>
      </c>
      <c r="B434" s="7" t="str">
        <f>Raw_Players!B396</f>
        <v>AJ Johnson</v>
      </c>
      <c r="C434" s="37">
        <f>Raw_Players!E396</f>
        <v>-4.2547920854259793</v>
      </c>
      <c r="D434" s="31">
        <f>Raw_Players!F396</f>
        <v>571.6185739973979</v>
      </c>
      <c r="E434" s="31">
        <f>Raw_Players!G396</f>
        <v>10.440653910132511</v>
      </c>
      <c r="F434" s="31">
        <f>Raw_Players!H396</f>
        <v>54.749307746198738</v>
      </c>
      <c r="G434" s="31" t="str">
        <f>IFERROR(IF(INDEX(Overrides!$B$8:$B$47,MATCH(B434,Overrides!$A$8:$A$47,0))="","",INDEX(Overrides!$B$8:$B$47,MATCH(B434,Overrides!$A$8:$A$47,0))),"")</f>
        <v/>
      </c>
      <c r="H434" s="31" t="str">
        <f>IFERROR(IF(INDEX(Overrides!$C$8:$C$47,MATCH(B434,Overrides!$A$8:$A$47,0))="","",INDEX(Overrides!$C$8:$C$47,MATCH(B434,Overrides!$A$8:$A$47,0))),"")</f>
        <v/>
      </c>
      <c r="I434" s="36">
        <f>IFERROR(IF(INDEX(Overrides!$D$8:$D$47,MATCH(B434,Overrides!$A$8:$A$47,0))="",0,INDEX(Overrides!$D$8:$D$47,MATCH(B434,Overrides!$A$8:$A$47,0))),0)</f>
        <v>0</v>
      </c>
      <c r="J434" s="38">
        <f t="shared" si="47"/>
        <v>571.6185739973979</v>
      </c>
      <c r="K434" s="18">
        <f t="shared" si="48"/>
        <v>0.99999999999999978</v>
      </c>
      <c r="L434" s="38">
        <f t="shared" si="49"/>
        <v>571.61857399739779</v>
      </c>
      <c r="M434" s="23">
        <f t="shared" si="50"/>
        <v>-4.2547920854259793</v>
      </c>
      <c r="N434" s="23">
        <f t="shared" si="51"/>
        <v>0.14522829623917627</v>
      </c>
      <c r="O434" s="6"/>
      <c r="P434" s="18">
        <f t="shared" si="52"/>
        <v>-0.61791620541834669</v>
      </c>
    </row>
    <row r="435" spans="1:16" ht="15" customHeight="1" x14ac:dyDescent="0.3">
      <c r="A435" s="7" t="str">
        <f>Raw_Players!A397</f>
        <v>NOP</v>
      </c>
      <c r="B435" s="7" t="str">
        <f>Raw_Players!B397</f>
        <v>Christian Koloko</v>
      </c>
      <c r="C435" s="37">
        <f>Raw_Players!E397</f>
        <v>-2.577088645435099</v>
      </c>
      <c r="D435" s="31">
        <f>Raw_Players!F397</f>
        <v>473.38163553824421</v>
      </c>
      <c r="E435" s="31">
        <f>Raw_Players!G397</f>
        <v>9.5035440235414104</v>
      </c>
      <c r="F435" s="31">
        <f>Raw_Players!H397</f>
        <v>49.811063574348843</v>
      </c>
      <c r="G435" s="31" t="str">
        <f>IFERROR(IF(INDEX(Overrides!$B$8:$B$47,MATCH(B435,Overrides!$A$8:$A$47,0))="","",INDEX(Overrides!$B$8:$B$47,MATCH(B435,Overrides!$A$8:$A$47,0))),"")</f>
        <v/>
      </c>
      <c r="H435" s="31" t="str">
        <f>IFERROR(IF(INDEX(Overrides!$C$8:$C$47,MATCH(B435,Overrides!$A$8:$A$47,0))="","",INDEX(Overrides!$C$8:$C$47,MATCH(B435,Overrides!$A$8:$A$47,0))),"")</f>
        <v/>
      </c>
      <c r="I435" s="36">
        <f>IFERROR(IF(INDEX(Overrides!$D$8:$D$47,MATCH(B435,Overrides!$A$8:$A$47,0))="",0,INDEX(Overrides!$D$8:$D$47,MATCH(B435,Overrides!$A$8:$A$47,0))),0)</f>
        <v>0</v>
      </c>
      <c r="J435" s="38">
        <f t="shared" si="47"/>
        <v>473.38163553824421</v>
      </c>
      <c r="K435" s="18">
        <f t="shared" si="48"/>
        <v>0.99999999999999978</v>
      </c>
      <c r="L435" s="38">
        <f t="shared" si="49"/>
        <v>473.3816355382441</v>
      </c>
      <c r="M435" s="23">
        <f t="shared" si="50"/>
        <v>-2.577088645435099</v>
      </c>
      <c r="N435" s="23">
        <f t="shared" si="51"/>
        <v>0.12026972447617991</v>
      </c>
      <c r="O435" s="6"/>
      <c r="P435" s="18">
        <f t="shared" si="52"/>
        <v>-0.30994574133717107</v>
      </c>
    </row>
    <row r="436" spans="1:16" ht="15" customHeight="1" x14ac:dyDescent="0.3">
      <c r="A436" s="7" t="str">
        <f>Raw_Players!A398</f>
        <v>NOP</v>
      </c>
      <c r="B436" s="7" t="str">
        <f>Raw_Players!B398</f>
        <v>Caleb Houstan</v>
      </c>
      <c r="C436" s="37">
        <f>Raw_Players!E398</f>
        <v>-1.0451706291287091</v>
      </c>
      <c r="D436" s="31">
        <f>Raw_Players!F398</f>
        <v>469.46784206930641</v>
      </c>
      <c r="E436" s="31">
        <f>Raw_Players!G398</f>
        <v>9.4126121891703622</v>
      </c>
      <c r="F436" s="31">
        <f>Raw_Players!H398</f>
        <v>49.876467088429557</v>
      </c>
      <c r="G436" s="31" t="str">
        <f>IFERROR(IF(INDEX(Overrides!$B$8:$B$47,MATCH(B436,Overrides!$A$8:$A$47,0))="","",INDEX(Overrides!$B$8:$B$47,MATCH(B436,Overrides!$A$8:$A$47,0))),"")</f>
        <v/>
      </c>
      <c r="H436" s="31" t="str">
        <f>IFERROR(IF(INDEX(Overrides!$C$8:$C$47,MATCH(B436,Overrides!$A$8:$A$47,0))="","",INDEX(Overrides!$C$8:$C$47,MATCH(B436,Overrides!$A$8:$A$47,0))),"")</f>
        <v/>
      </c>
      <c r="I436" s="36">
        <f>IFERROR(IF(INDEX(Overrides!$D$8:$D$47,MATCH(B436,Overrides!$A$8:$A$47,0))="",0,INDEX(Overrides!$D$8:$D$47,MATCH(B436,Overrides!$A$8:$A$47,0))),0)</f>
        <v>0</v>
      </c>
      <c r="J436" s="38">
        <f t="shared" si="47"/>
        <v>469.46784206930641</v>
      </c>
      <c r="K436" s="18">
        <f t="shared" si="48"/>
        <v>0.99999999999999978</v>
      </c>
      <c r="L436" s="38">
        <f t="shared" si="49"/>
        <v>469.4678420693063</v>
      </c>
      <c r="M436" s="23">
        <f t="shared" si="50"/>
        <v>-1.0451706291287091</v>
      </c>
      <c r="N436" s="23">
        <f t="shared" si="51"/>
        <v>0.11927536637939692</v>
      </c>
      <c r="O436" s="6"/>
      <c r="P436" s="18">
        <f t="shared" si="52"/>
        <v>-0.12466310971831156</v>
      </c>
    </row>
    <row r="437" spans="1:16" ht="15" customHeight="1" x14ac:dyDescent="0.3">
      <c r="A437" s="7" t="str">
        <f>Raw_Players!A399</f>
        <v>NOP</v>
      </c>
      <c r="B437" s="7" t="str">
        <f>Raw_Players!B399</f>
        <v>DeAndre Jordan</v>
      </c>
      <c r="C437" s="37">
        <f>Raw_Players!E399</f>
        <v>-2.113546047193303</v>
      </c>
      <c r="D437" s="31">
        <f>Raw_Players!F399</f>
        <v>449.24531891397351</v>
      </c>
      <c r="E437" s="31">
        <f>Raw_Players!G399</f>
        <v>10.54313157890382</v>
      </c>
      <c r="F437" s="31">
        <f>Raw_Players!H399</f>
        <v>42.610235445878978</v>
      </c>
      <c r="G437" s="31" t="str">
        <f>IFERROR(IF(INDEX(Overrides!$B$8:$B$47,MATCH(B437,Overrides!$A$8:$A$47,0))="","",INDEX(Overrides!$B$8:$B$47,MATCH(B437,Overrides!$A$8:$A$47,0))),"")</f>
        <v/>
      </c>
      <c r="H437" s="31" t="str">
        <f>IFERROR(IF(INDEX(Overrides!$C$8:$C$47,MATCH(B437,Overrides!$A$8:$A$47,0))="","",INDEX(Overrides!$C$8:$C$47,MATCH(B437,Overrides!$A$8:$A$47,0))),"")</f>
        <v/>
      </c>
      <c r="I437" s="36">
        <f>IFERROR(IF(INDEX(Overrides!$D$8:$D$47,MATCH(B437,Overrides!$A$8:$A$47,0))="",0,INDEX(Overrides!$D$8:$D$47,MATCH(B437,Overrides!$A$8:$A$47,0))),0)</f>
        <v>0</v>
      </c>
      <c r="J437" s="38">
        <f t="shared" si="47"/>
        <v>449.24531891397351</v>
      </c>
      <c r="K437" s="18">
        <f t="shared" si="48"/>
        <v>0.99999999999999978</v>
      </c>
      <c r="L437" s="38">
        <f t="shared" si="49"/>
        <v>449.24531891397339</v>
      </c>
      <c r="M437" s="23">
        <f t="shared" si="50"/>
        <v>-2.113546047193303</v>
      </c>
      <c r="N437" s="23">
        <f t="shared" si="51"/>
        <v>0.11413753021188348</v>
      </c>
      <c r="O437" s="6"/>
      <c r="P437" s="18">
        <f t="shared" si="52"/>
        <v>-0.24123492581573253</v>
      </c>
    </row>
    <row r="438" spans="1:16" ht="15" customHeight="1" x14ac:dyDescent="0.3">
      <c r="A438" s="7" t="str">
        <f>Raw_Players!A400</f>
        <v>NOP</v>
      </c>
      <c r="B438" s="7" t="str">
        <f>Raw_Players!B400</f>
        <v>Kobe Bufkin</v>
      </c>
      <c r="C438" s="37">
        <f>Raw_Players!E400</f>
        <v>-2.6470781154810412</v>
      </c>
      <c r="D438" s="31">
        <f>Raw_Players!F400</f>
        <v>372.17708670149011</v>
      </c>
      <c r="E438" s="31">
        <f>Raw_Players!G400</f>
        <v>8.2900700135161838</v>
      </c>
      <c r="F438" s="31">
        <f>Raw_Players!H400</f>
        <v>44.894323702295658</v>
      </c>
      <c r="G438" s="31" t="str">
        <f>IFERROR(IF(INDEX(Overrides!$B$8:$B$47,MATCH(B438,Overrides!$A$8:$A$47,0))="","",INDEX(Overrides!$B$8:$B$47,MATCH(B438,Overrides!$A$8:$A$47,0))),"")</f>
        <v/>
      </c>
      <c r="H438" s="31" t="str">
        <f>IFERROR(IF(INDEX(Overrides!$C$8:$C$47,MATCH(B438,Overrides!$A$8:$A$47,0))="","",INDEX(Overrides!$C$8:$C$47,MATCH(B438,Overrides!$A$8:$A$47,0))),"")</f>
        <v/>
      </c>
      <c r="I438" s="36">
        <f>IFERROR(IF(INDEX(Overrides!$D$8:$D$47,MATCH(B438,Overrides!$A$8:$A$47,0))="",0,INDEX(Overrides!$D$8:$D$47,MATCH(B438,Overrides!$A$8:$A$47,0))),0)</f>
        <v>0</v>
      </c>
      <c r="J438" s="38">
        <f t="shared" si="47"/>
        <v>372.17708670149011</v>
      </c>
      <c r="K438" s="18">
        <f t="shared" si="48"/>
        <v>0.99999999999999978</v>
      </c>
      <c r="L438" s="38">
        <f t="shared" si="49"/>
        <v>372.17708670149005</v>
      </c>
      <c r="M438" s="23">
        <f t="shared" si="50"/>
        <v>-2.6470781154810412</v>
      </c>
      <c r="N438" s="23">
        <f t="shared" si="51"/>
        <v>9.4557186661963943E-2</v>
      </c>
      <c r="O438" s="6"/>
      <c r="P438" s="18">
        <f t="shared" si="52"/>
        <v>-0.25030025947434054</v>
      </c>
    </row>
    <row r="439" spans="1:16" ht="15" customHeight="1" x14ac:dyDescent="0.3">
      <c r="A439" s="7" t="str">
        <f>Raw_Players!A401</f>
        <v>NOP</v>
      </c>
      <c r="B439" s="7" t="str">
        <f>Raw_Players!B401</f>
        <v>Jaron Pierre Jr.</v>
      </c>
      <c r="C439" s="37">
        <f>Raw_Players!E401</f>
        <v>-4.1656000868087988</v>
      </c>
      <c r="D439" s="31">
        <f>Raw_Players!F401</f>
        <v>333.51318165893218</v>
      </c>
      <c r="E439" s="31">
        <f>Raw_Players!G401</f>
        <v>10.751254729189339</v>
      </c>
      <c r="F439" s="31">
        <f>Raw_Players!H401</f>
        <v>31.020861291050391</v>
      </c>
      <c r="G439" s="31" t="str">
        <f>IFERROR(IF(INDEX(Overrides!$B$8:$B$47,MATCH(B439,Overrides!$A$8:$A$47,0))="","",INDEX(Overrides!$B$8:$B$47,MATCH(B439,Overrides!$A$8:$A$47,0))),"")</f>
        <v/>
      </c>
      <c r="H439" s="31" t="str">
        <f>IFERROR(IF(INDEX(Overrides!$C$8:$C$47,MATCH(B439,Overrides!$A$8:$A$47,0))="","",INDEX(Overrides!$C$8:$C$47,MATCH(B439,Overrides!$A$8:$A$47,0))),"")</f>
        <v/>
      </c>
      <c r="I439" s="36">
        <f>IFERROR(IF(INDEX(Overrides!$D$8:$D$47,MATCH(B439,Overrides!$A$8:$A$47,0))="",0,INDEX(Overrides!$D$8:$D$47,MATCH(B439,Overrides!$A$8:$A$47,0))),0)</f>
        <v>0</v>
      </c>
      <c r="J439" s="38">
        <f t="shared" si="47"/>
        <v>333.51318165893218</v>
      </c>
      <c r="K439" s="18">
        <f t="shared" si="48"/>
        <v>0.99999999999999978</v>
      </c>
      <c r="L439" s="38">
        <f t="shared" si="49"/>
        <v>333.51318165893213</v>
      </c>
      <c r="M439" s="23">
        <f t="shared" si="50"/>
        <v>-4.1656000868087988</v>
      </c>
      <c r="N439" s="23">
        <f t="shared" si="51"/>
        <v>8.4734040055623003E-2</v>
      </c>
      <c r="O439" s="6"/>
      <c r="P439" s="18">
        <f t="shared" si="52"/>
        <v>-0.3529681246113634</v>
      </c>
    </row>
    <row r="440" spans="1:16" ht="15" customHeight="1" x14ac:dyDescent="0.3">
      <c r="A440" s="7" t="str">
        <f>Raw_Players!A402</f>
        <v>NOP</v>
      </c>
      <c r="B440" s="7" t="str">
        <f>Raw_Players!B402</f>
        <v>Malik Dia</v>
      </c>
      <c r="C440" s="37">
        <f>Raw_Players!E402</f>
        <v>-3.1867960702466678</v>
      </c>
      <c r="D440" s="31">
        <f>Raw_Players!F402</f>
        <v>320.33803888560459</v>
      </c>
      <c r="E440" s="31">
        <f>Raw_Players!G402</f>
        <v>10.55886694275482</v>
      </c>
      <c r="F440" s="31">
        <f>Raw_Players!H402</f>
        <v>30.338296772023529</v>
      </c>
      <c r="G440" s="31" t="str">
        <f>IFERROR(IF(INDEX(Overrides!$B$8:$B$47,MATCH(B440,Overrides!$A$8:$A$47,0))="","",INDEX(Overrides!$B$8:$B$47,MATCH(B440,Overrides!$A$8:$A$47,0))),"")</f>
        <v/>
      </c>
      <c r="H440" s="31" t="str">
        <f>IFERROR(IF(INDEX(Overrides!$C$8:$C$47,MATCH(B440,Overrides!$A$8:$A$47,0))="","",INDEX(Overrides!$C$8:$C$47,MATCH(B440,Overrides!$A$8:$A$47,0))),"")</f>
        <v/>
      </c>
      <c r="I440" s="36">
        <f>IFERROR(IF(INDEX(Overrides!$D$8:$D$47,MATCH(B440,Overrides!$A$8:$A$47,0))="",0,INDEX(Overrides!$D$8:$D$47,MATCH(B440,Overrides!$A$8:$A$47,0))),0)</f>
        <v>0</v>
      </c>
      <c r="J440" s="38">
        <f t="shared" si="47"/>
        <v>320.33803888560459</v>
      </c>
      <c r="K440" s="18">
        <f t="shared" si="48"/>
        <v>0.99999999999999978</v>
      </c>
      <c r="L440" s="38">
        <f t="shared" si="49"/>
        <v>320.33803888560453</v>
      </c>
      <c r="M440" s="23">
        <f t="shared" si="50"/>
        <v>-3.1867960702466678</v>
      </c>
      <c r="N440" s="23">
        <f t="shared" si="51"/>
        <v>8.1386696871342618E-2</v>
      </c>
      <c r="O440" s="6"/>
      <c r="P440" s="18">
        <f t="shared" si="52"/>
        <v>-0.25936280575995141</v>
      </c>
    </row>
    <row r="441" spans="1:16" ht="15" customHeight="1" x14ac:dyDescent="0.3">
      <c r="A441" s="7" t="str">
        <f>Raw_Players!A403</f>
        <v>NOP</v>
      </c>
      <c r="B441" s="7" t="str">
        <f>Raw_Players!B403</f>
        <v>Jalon Moore</v>
      </c>
      <c r="C441" s="37">
        <f>Raw_Players!E403</f>
        <v>-3.1867960702466678</v>
      </c>
      <c r="D441" s="31">
        <f>Raw_Players!F403</f>
        <v>320.33803888560459</v>
      </c>
      <c r="E441" s="31">
        <f>Raw_Players!G403</f>
        <v>10.55886694275482</v>
      </c>
      <c r="F441" s="31">
        <f>Raw_Players!H403</f>
        <v>30.338296772023529</v>
      </c>
      <c r="G441" s="31" t="str">
        <f>IFERROR(IF(INDEX(Overrides!$B$8:$B$47,MATCH(B441,Overrides!$A$8:$A$47,0))="","",INDEX(Overrides!$B$8:$B$47,MATCH(B441,Overrides!$A$8:$A$47,0))),"")</f>
        <v/>
      </c>
      <c r="H441" s="31" t="str">
        <f>IFERROR(IF(INDEX(Overrides!$C$8:$C$47,MATCH(B441,Overrides!$A$8:$A$47,0))="","",INDEX(Overrides!$C$8:$C$47,MATCH(B441,Overrides!$A$8:$A$47,0))),"")</f>
        <v/>
      </c>
      <c r="I441" s="36">
        <f>IFERROR(IF(INDEX(Overrides!$D$8:$D$47,MATCH(B441,Overrides!$A$8:$A$47,0))="",0,INDEX(Overrides!$D$8:$D$47,MATCH(B441,Overrides!$A$8:$A$47,0))),0)</f>
        <v>0</v>
      </c>
      <c r="J441" s="38">
        <f t="shared" si="47"/>
        <v>320.33803888560459</v>
      </c>
      <c r="K441" s="18">
        <f t="shared" si="48"/>
        <v>0.99999999999999978</v>
      </c>
      <c r="L441" s="38">
        <f t="shared" si="49"/>
        <v>320.33803888560453</v>
      </c>
      <c r="M441" s="23">
        <f t="shared" si="50"/>
        <v>-3.1867960702466678</v>
      </c>
      <c r="N441" s="23">
        <f t="shared" si="51"/>
        <v>8.1386696871342618E-2</v>
      </c>
      <c r="O441" s="6"/>
      <c r="P441" s="18">
        <f t="shared" si="52"/>
        <v>-0.25936280575995141</v>
      </c>
    </row>
    <row r="442" spans="1:16" ht="15" customHeight="1" x14ac:dyDescent="0.3">
      <c r="A442" s="7" t="str">
        <f>Raw_Players!A404</f>
        <v>NYK</v>
      </c>
      <c r="B442" s="7" t="str">
        <f>Raw_Players!B404</f>
        <v>Mikal Bridges</v>
      </c>
      <c r="C442" s="37">
        <f>Raw_Players!E404</f>
        <v>0.80830024710156212</v>
      </c>
      <c r="D442" s="31">
        <f>Raw_Players!F404</f>
        <v>1840.113871746252</v>
      </c>
      <c r="E442" s="31">
        <f>Raw_Players!G404</f>
        <v>27.56114817706835</v>
      </c>
      <c r="F442" s="31">
        <f>Raw_Players!H404</f>
        <v>66.764775542888273</v>
      </c>
      <c r="G442" s="31" t="str">
        <f>IFERROR(IF(INDEX(Overrides!$B$8:$B$47,MATCH(B442,Overrides!$A$8:$A$47,0))="","",INDEX(Overrides!$B$8:$B$47,MATCH(B442,Overrides!$A$8:$A$47,0))),"")</f>
        <v/>
      </c>
      <c r="H442" s="31" t="str">
        <f>IFERROR(IF(INDEX(Overrides!$C$8:$C$47,MATCH(B442,Overrides!$A$8:$A$47,0))="","",INDEX(Overrides!$C$8:$C$47,MATCH(B442,Overrides!$A$8:$A$47,0))),"")</f>
        <v/>
      </c>
      <c r="I442" s="36">
        <f>IFERROR(IF(INDEX(Overrides!$D$8:$D$47,MATCH(B442,Overrides!$A$8:$A$47,0))="",0,INDEX(Overrides!$D$8:$D$47,MATCH(B442,Overrides!$A$8:$A$47,0))),0)</f>
        <v>0</v>
      </c>
      <c r="J442" s="38">
        <f t="shared" si="47"/>
        <v>1840.113871746252</v>
      </c>
      <c r="K442" s="18">
        <f t="shared" si="48"/>
        <v>0.99999999999999978</v>
      </c>
      <c r="L442" s="38">
        <f t="shared" si="49"/>
        <v>1840.1138717462516</v>
      </c>
      <c r="M442" s="23">
        <f t="shared" si="50"/>
        <v>0.80830024710156212</v>
      </c>
      <c r="N442" s="23">
        <f t="shared" si="51"/>
        <v>0.4675086056265883</v>
      </c>
      <c r="O442" s="6"/>
      <c r="P442" s="18">
        <f t="shared" si="52"/>
        <v>0.37788732145007808</v>
      </c>
    </row>
    <row r="443" spans="1:16" ht="15" customHeight="1" x14ac:dyDescent="0.3">
      <c r="A443" s="7" t="str">
        <f>Raw_Players!A405</f>
        <v>NYK</v>
      </c>
      <c r="B443" s="7" t="str">
        <f>Raw_Players!B405</f>
        <v>Jalen Brunson</v>
      </c>
      <c r="C443" s="37">
        <f>Raw_Players!E405</f>
        <v>3.5277283486602049</v>
      </c>
      <c r="D443" s="31">
        <f>Raw_Players!F405</f>
        <v>1767.1805673349199</v>
      </c>
      <c r="E443" s="31">
        <f>Raw_Players!G405</f>
        <v>27.976167555083801</v>
      </c>
      <c r="F443" s="31">
        <f>Raw_Players!H405</f>
        <v>63.16735713908713</v>
      </c>
      <c r="G443" s="31" t="str">
        <f>IFERROR(IF(INDEX(Overrides!$B$8:$B$47,MATCH(B443,Overrides!$A$8:$A$47,0))="","",INDEX(Overrides!$B$8:$B$47,MATCH(B443,Overrides!$A$8:$A$47,0))),"")</f>
        <v/>
      </c>
      <c r="H443" s="31" t="str">
        <f>IFERROR(IF(INDEX(Overrides!$C$8:$C$47,MATCH(B443,Overrides!$A$8:$A$47,0))="","",INDEX(Overrides!$C$8:$C$47,MATCH(B443,Overrides!$A$8:$A$47,0))),"")</f>
        <v/>
      </c>
      <c r="I443" s="36">
        <f>IFERROR(IF(INDEX(Overrides!$D$8:$D$47,MATCH(B443,Overrides!$A$8:$A$47,0))="",0,INDEX(Overrides!$D$8:$D$47,MATCH(B443,Overrides!$A$8:$A$47,0))),0)</f>
        <v>0</v>
      </c>
      <c r="J443" s="38">
        <f t="shared" si="47"/>
        <v>1767.1805673349199</v>
      </c>
      <c r="K443" s="18">
        <f t="shared" si="48"/>
        <v>0.99999999999999978</v>
      </c>
      <c r="L443" s="38">
        <f t="shared" si="49"/>
        <v>1767.1805673349195</v>
      </c>
      <c r="M443" s="23">
        <f t="shared" si="50"/>
        <v>3.5277283486602049</v>
      </c>
      <c r="N443" s="23">
        <f t="shared" si="51"/>
        <v>0.44897880267655477</v>
      </c>
      <c r="O443" s="6"/>
      <c r="P443" s="18">
        <f t="shared" si="52"/>
        <v>1.5838752501495985</v>
      </c>
    </row>
    <row r="444" spans="1:16" ht="15" customHeight="1" x14ac:dyDescent="0.3">
      <c r="A444" s="7" t="str">
        <f>Raw_Players!A406</f>
        <v>NYK</v>
      </c>
      <c r="B444" s="7" t="str">
        <f>Raw_Players!B406</f>
        <v>OG Anunoby</v>
      </c>
      <c r="C444" s="37">
        <f>Raw_Players!E406</f>
        <v>2.525179894541592</v>
      </c>
      <c r="D444" s="31">
        <f>Raw_Players!F406</f>
        <v>1706.4434793773139</v>
      </c>
      <c r="E444" s="31">
        <f>Raw_Players!G406</f>
        <v>27.269230784551649</v>
      </c>
      <c r="F444" s="31">
        <f>Raw_Players!H406</f>
        <v>62.577616980088607</v>
      </c>
      <c r="G444" s="31" t="str">
        <f>IFERROR(IF(INDEX(Overrides!$B$8:$B$47,MATCH(B444,Overrides!$A$8:$A$47,0))="","",INDEX(Overrides!$B$8:$B$47,MATCH(B444,Overrides!$A$8:$A$47,0))),"")</f>
        <v/>
      </c>
      <c r="H444" s="31" t="str">
        <f>IFERROR(IF(INDEX(Overrides!$C$8:$C$47,MATCH(B444,Overrides!$A$8:$A$47,0))="","",INDEX(Overrides!$C$8:$C$47,MATCH(B444,Overrides!$A$8:$A$47,0))),"")</f>
        <v/>
      </c>
      <c r="I444" s="36">
        <f>IFERROR(IF(INDEX(Overrides!$D$8:$D$47,MATCH(B444,Overrides!$A$8:$A$47,0))="",0,INDEX(Overrides!$D$8:$D$47,MATCH(B444,Overrides!$A$8:$A$47,0))),0)</f>
        <v>0</v>
      </c>
      <c r="J444" s="38">
        <f t="shared" si="47"/>
        <v>1706.4434793773139</v>
      </c>
      <c r="K444" s="18">
        <f t="shared" si="48"/>
        <v>0.99999999999999978</v>
      </c>
      <c r="L444" s="38">
        <f t="shared" si="49"/>
        <v>1706.4434793773135</v>
      </c>
      <c r="M444" s="23">
        <f t="shared" si="50"/>
        <v>2.525179894541592</v>
      </c>
      <c r="N444" s="23">
        <f t="shared" si="51"/>
        <v>0.43354763195561824</v>
      </c>
      <c r="O444" s="6"/>
      <c r="P444" s="18">
        <f t="shared" si="52"/>
        <v>1.094785763540445</v>
      </c>
    </row>
    <row r="445" spans="1:16" ht="15" customHeight="1" x14ac:dyDescent="0.3">
      <c r="A445" s="7" t="str">
        <f>Raw_Players!A407</f>
        <v>NYK</v>
      </c>
      <c r="B445" s="7" t="str">
        <f>Raw_Players!B407</f>
        <v>Karl-Anthony Towns</v>
      </c>
      <c r="C445" s="37">
        <f>Raw_Players!E407</f>
        <v>3.4453069441600119</v>
      </c>
      <c r="D445" s="31">
        <f>Raw_Players!F407</f>
        <v>1654.5282485237581</v>
      </c>
      <c r="E445" s="31">
        <f>Raw_Players!G407</f>
        <v>25.822963635967731</v>
      </c>
      <c r="F445" s="31">
        <f>Raw_Players!H407</f>
        <v>64.071973761339876</v>
      </c>
      <c r="G445" s="31" t="str">
        <f>IFERROR(IF(INDEX(Overrides!$B$8:$B$47,MATCH(B445,Overrides!$A$8:$A$47,0))="","",INDEX(Overrides!$B$8:$B$47,MATCH(B445,Overrides!$A$8:$A$47,0))),"")</f>
        <v/>
      </c>
      <c r="H445" s="31" t="str">
        <f>IFERROR(IF(INDEX(Overrides!$C$8:$C$47,MATCH(B445,Overrides!$A$8:$A$47,0))="","",INDEX(Overrides!$C$8:$C$47,MATCH(B445,Overrides!$A$8:$A$47,0))),"")</f>
        <v/>
      </c>
      <c r="I445" s="36">
        <f>IFERROR(IF(INDEX(Overrides!$D$8:$D$47,MATCH(B445,Overrides!$A$8:$A$47,0))="",0,INDEX(Overrides!$D$8:$D$47,MATCH(B445,Overrides!$A$8:$A$47,0))),0)</f>
        <v>0</v>
      </c>
      <c r="J445" s="38">
        <f t="shared" si="47"/>
        <v>1654.5282485237581</v>
      </c>
      <c r="K445" s="18">
        <f t="shared" si="48"/>
        <v>0.99999999999999978</v>
      </c>
      <c r="L445" s="38">
        <f t="shared" si="49"/>
        <v>1654.5282485237576</v>
      </c>
      <c r="M445" s="23">
        <f t="shared" si="50"/>
        <v>3.4453069441600119</v>
      </c>
      <c r="N445" s="23">
        <f t="shared" si="51"/>
        <v>0.42035778671843438</v>
      </c>
      <c r="O445" s="6"/>
      <c r="P445" s="18">
        <f t="shared" si="52"/>
        <v>1.4482616016127552</v>
      </c>
    </row>
    <row r="446" spans="1:16" ht="15" customHeight="1" x14ac:dyDescent="0.3">
      <c r="A446" s="7" t="str">
        <f>Raw_Players!A408</f>
        <v>NYK</v>
      </c>
      <c r="B446" s="7" t="str">
        <f>Raw_Players!B408</f>
        <v>Josh Hart</v>
      </c>
      <c r="C446" s="37">
        <f>Raw_Players!E408</f>
        <v>1.296731429187868</v>
      </c>
      <c r="D446" s="31">
        <f>Raw_Players!F408</f>
        <v>1643.175069159757</v>
      </c>
      <c r="E446" s="31">
        <f>Raw_Players!G408</f>
        <v>26.543572381071542</v>
      </c>
      <c r="F446" s="31">
        <f>Raw_Players!H408</f>
        <v>61.904819953003773</v>
      </c>
      <c r="G446" s="31" t="str">
        <f>IFERROR(IF(INDEX(Overrides!$B$8:$B$47,MATCH(B446,Overrides!$A$8:$A$47,0))="","",INDEX(Overrides!$B$8:$B$47,MATCH(B446,Overrides!$A$8:$A$47,0))),"")</f>
        <v/>
      </c>
      <c r="H446" s="31" t="str">
        <f>IFERROR(IF(INDEX(Overrides!$C$8:$C$47,MATCH(B446,Overrides!$A$8:$A$47,0))="","",INDEX(Overrides!$C$8:$C$47,MATCH(B446,Overrides!$A$8:$A$47,0))),"")</f>
        <v/>
      </c>
      <c r="I446" s="36">
        <f>IFERROR(IF(INDEX(Overrides!$D$8:$D$47,MATCH(B446,Overrides!$A$8:$A$47,0))="",0,INDEX(Overrides!$D$8:$D$47,MATCH(B446,Overrides!$A$8:$A$47,0))),0)</f>
        <v>0</v>
      </c>
      <c r="J446" s="38">
        <f t="shared" si="47"/>
        <v>1643.175069159757</v>
      </c>
      <c r="K446" s="18">
        <f t="shared" si="48"/>
        <v>0.99999999999999978</v>
      </c>
      <c r="L446" s="38">
        <f t="shared" si="49"/>
        <v>1643.1750691597565</v>
      </c>
      <c r="M446" s="23">
        <f t="shared" si="50"/>
        <v>1.296731429187868</v>
      </c>
      <c r="N446" s="23">
        <f t="shared" si="51"/>
        <v>0.41747334074180803</v>
      </c>
      <c r="O446" s="6"/>
      <c r="P446" s="18">
        <f t="shared" si="52"/>
        <v>0.54135080178795847</v>
      </c>
    </row>
    <row r="447" spans="1:16" ht="15" customHeight="1" x14ac:dyDescent="0.3">
      <c r="A447" s="7" t="str">
        <f>Raw_Players!A409</f>
        <v>NYK</v>
      </c>
      <c r="B447" s="7" t="str">
        <f>Raw_Players!B409</f>
        <v>Bruce Brown</v>
      </c>
      <c r="C447" s="37">
        <f>Raw_Players!E409</f>
        <v>-2.860597099983317</v>
      </c>
      <c r="D447" s="31">
        <f>Raw_Players!F409</f>
        <v>1240.409936400285</v>
      </c>
      <c r="E447" s="31">
        <f>Raw_Players!G409</f>
        <v>19.708248325956301</v>
      </c>
      <c r="F447" s="31">
        <f>Raw_Players!H409</f>
        <v>62.938619195630459</v>
      </c>
      <c r="G447" s="31" t="str">
        <f>IFERROR(IF(INDEX(Overrides!$B$8:$B$47,MATCH(B447,Overrides!$A$8:$A$47,0))="","",INDEX(Overrides!$B$8:$B$47,MATCH(B447,Overrides!$A$8:$A$47,0))),"")</f>
        <v/>
      </c>
      <c r="H447" s="31" t="str">
        <f>IFERROR(IF(INDEX(Overrides!$C$8:$C$47,MATCH(B447,Overrides!$A$8:$A$47,0))="","",INDEX(Overrides!$C$8:$C$47,MATCH(B447,Overrides!$A$8:$A$47,0))),"")</f>
        <v/>
      </c>
      <c r="I447" s="36">
        <f>IFERROR(IF(INDEX(Overrides!$D$8:$D$47,MATCH(B447,Overrides!$A$8:$A$47,0))="",0,INDEX(Overrides!$D$8:$D$47,MATCH(B447,Overrides!$A$8:$A$47,0))),0)</f>
        <v>0</v>
      </c>
      <c r="J447" s="38">
        <f t="shared" si="47"/>
        <v>1240.409936400285</v>
      </c>
      <c r="K447" s="18">
        <f t="shared" si="48"/>
        <v>0.99999999999999978</v>
      </c>
      <c r="L447" s="38">
        <f t="shared" si="49"/>
        <v>1240.4099364002848</v>
      </c>
      <c r="M447" s="23">
        <f t="shared" si="50"/>
        <v>-2.860597099983317</v>
      </c>
      <c r="N447" s="23">
        <f t="shared" si="51"/>
        <v>0.31514480091470648</v>
      </c>
      <c r="O447" s="6"/>
      <c r="P447" s="18">
        <f t="shared" si="52"/>
        <v>-0.90150230357142913</v>
      </c>
    </row>
    <row r="448" spans="1:16" ht="15" customHeight="1" x14ac:dyDescent="0.3">
      <c r="A448" s="7" t="str">
        <f>Raw_Players!A410</f>
        <v>NYK</v>
      </c>
      <c r="B448" s="7" t="str">
        <f>Raw_Players!B410</f>
        <v>Miles McBride</v>
      </c>
      <c r="C448" s="37">
        <f>Raw_Players!E410</f>
        <v>0.99125281584369296</v>
      </c>
      <c r="D448" s="31">
        <f>Raw_Players!F410</f>
        <v>1077.3727316943621</v>
      </c>
      <c r="E448" s="31">
        <f>Raw_Players!G410</f>
        <v>19.290499612349869</v>
      </c>
      <c r="F448" s="31">
        <f>Raw_Players!H410</f>
        <v>55.849913343075023</v>
      </c>
      <c r="G448" s="31" t="str">
        <f>IFERROR(IF(INDEX(Overrides!$B$8:$B$47,MATCH(B448,Overrides!$A$8:$A$47,0))="","",INDEX(Overrides!$B$8:$B$47,MATCH(B448,Overrides!$A$8:$A$47,0))),"")</f>
        <v/>
      </c>
      <c r="H448" s="31" t="str">
        <f>IFERROR(IF(INDEX(Overrides!$C$8:$C$47,MATCH(B448,Overrides!$A$8:$A$47,0))="","",INDEX(Overrides!$C$8:$C$47,MATCH(B448,Overrides!$A$8:$A$47,0))),"")</f>
        <v/>
      </c>
      <c r="I448" s="36">
        <f>IFERROR(IF(INDEX(Overrides!$D$8:$D$47,MATCH(B448,Overrides!$A$8:$A$47,0))="",0,INDEX(Overrides!$D$8:$D$47,MATCH(B448,Overrides!$A$8:$A$47,0))),0)</f>
        <v>0</v>
      </c>
      <c r="J448" s="38">
        <f t="shared" si="47"/>
        <v>1077.3727316943621</v>
      </c>
      <c r="K448" s="18">
        <f t="shared" si="48"/>
        <v>0.99999999999999978</v>
      </c>
      <c r="L448" s="38">
        <f t="shared" si="49"/>
        <v>1077.3727316943618</v>
      </c>
      <c r="M448" s="23">
        <f t="shared" si="50"/>
        <v>0.99125281584369296</v>
      </c>
      <c r="N448" s="23">
        <f t="shared" si="51"/>
        <v>0.27372274687356757</v>
      </c>
      <c r="O448" s="6"/>
      <c r="P448" s="18">
        <f t="shared" si="52"/>
        <v>0.27132844359889424</v>
      </c>
    </row>
    <row r="449" spans="1:16" ht="15" customHeight="1" x14ac:dyDescent="0.3">
      <c r="A449" s="7" t="str">
        <f>Raw_Players!A411</f>
        <v>NYK</v>
      </c>
      <c r="B449" s="7" t="str">
        <f>Raw_Players!B411</f>
        <v>Jose Alvarado</v>
      </c>
      <c r="C449" s="37">
        <f>Raw_Players!E411</f>
        <v>-0.2873037470346404</v>
      </c>
      <c r="D449" s="31">
        <f>Raw_Players!F411</f>
        <v>1033.6052956237199</v>
      </c>
      <c r="E449" s="31">
        <f>Raw_Players!G411</f>
        <v>16.755075284697369</v>
      </c>
      <c r="F449" s="31">
        <f>Raw_Players!H411</f>
        <v>61.689086922081778</v>
      </c>
      <c r="G449" s="31" t="str">
        <f>IFERROR(IF(INDEX(Overrides!$B$8:$B$47,MATCH(B449,Overrides!$A$8:$A$47,0))="","",INDEX(Overrides!$B$8:$B$47,MATCH(B449,Overrides!$A$8:$A$47,0))),"")</f>
        <v/>
      </c>
      <c r="H449" s="31" t="str">
        <f>IFERROR(IF(INDEX(Overrides!$C$8:$C$47,MATCH(B449,Overrides!$A$8:$A$47,0))="","",INDEX(Overrides!$C$8:$C$47,MATCH(B449,Overrides!$A$8:$A$47,0))),"")</f>
        <v/>
      </c>
      <c r="I449" s="36">
        <f>IFERROR(IF(INDEX(Overrides!$D$8:$D$47,MATCH(B449,Overrides!$A$8:$A$47,0))="",0,INDEX(Overrides!$D$8:$D$47,MATCH(B449,Overrides!$A$8:$A$47,0))),0)</f>
        <v>0</v>
      </c>
      <c r="J449" s="38">
        <f t="shared" si="47"/>
        <v>1033.6052956237199</v>
      </c>
      <c r="K449" s="18">
        <f t="shared" si="48"/>
        <v>0.99999999999999978</v>
      </c>
      <c r="L449" s="38">
        <f t="shared" si="49"/>
        <v>1033.6052956237197</v>
      </c>
      <c r="M449" s="23">
        <f t="shared" si="50"/>
        <v>-0.2873037470346404</v>
      </c>
      <c r="N449" s="23">
        <f t="shared" si="51"/>
        <v>0.26260297144911576</v>
      </c>
      <c r="O449" s="6"/>
      <c r="P449" s="18">
        <f t="shared" si="52"/>
        <v>-7.5446817679761649E-2</v>
      </c>
    </row>
    <row r="450" spans="1:16" ht="15" customHeight="1" x14ac:dyDescent="0.3">
      <c r="A450" s="7" t="str">
        <f>Raw_Players!A412</f>
        <v>NYK</v>
      </c>
      <c r="B450" s="7" t="str">
        <f>Raw_Players!B412</f>
        <v>Jordan Clarkson</v>
      </c>
      <c r="C450" s="37">
        <f>Raw_Players!E412</f>
        <v>-2.5949549599886779</v>
      </c>
      <c r="D450" s="31">
        <f>Raw_Players!F412</f>
        <v>1006.961591035351</v>
      </c>
      <c r="E450" s="31">
        <f>Raw_Players!G412</f>
        <v>17.266981585630589</v>
      </c>
      <c r="F450" s="31">
        <f>Raw_Players!H412</f>
        <v>58.317175242332702</v>
      </c>
      <c r="G450" s="31" t="str">
        <f>IFERROR(IF(INDEX(Overrides!$B$8:$B$47,MATCH(B450,Overrides!$A$8:$A$47,0))="","",INDEX(Overrides!$B$8:$B$47,MATCH(B450,Overrides!$A$8:$A$47,0))),"")</f>
        <v/>
      </c>
      <c r="H450" s="31" t="str">
        <f>IFERROR(IF(INDEX(Overrides!$C$8:$C$47,MATCH(B450,Overrides!$A$8:$A$47,0))="","",INDEX(Overrides!$C$8:$C$47,MATCH(B450,Overrides!$A$8:$A$47,0))),"")</f>
        <v/>
      </c>
      <c r="I450" s="36">
        <f>IFERROR(IF(INDEX(Overrides!$D$8:$D$47,MATCH(B450,Overrides!$A$8:$A$47,0))="",0,INDEX(Overrides!$D$8:$D$47,MATCH(B450,Overrides!$A$8:$A$47,0))),0)</f>
        <v>0</v>
      </c>
      <c r="J450" s="38">
        <f t="shared" si="47"/>
        <v>1006.961591035351</v>
      </c>
      <c r="K450" s="18">
        <f t="shared" si="48"/>
        <v>0.99999999999999978</v>
      </c>
      <c r="L450" s="38">
        <f t="shared" si="49"/>
        <v>1006.9615910353508</v>
      </c>
      <c r="M450" s="23">
        <f t="shared" si="50"/>
        <v>-2.5949549599886779</v>
      </c>
      <c r="N450" s="23">
        <f t="shared" si="51"/>
        <v>0.25583373755979444</v>
      </c>
      <c r="O450" s="6"/>
      <c r="P450" s="18">
        <f t="shared" si="52"/>
        <v>-0.6638770262132303</v>
      </c>
    </row>
    <row r="451" spans="1:16" ht="15" customHeight="1" x14ac:dyDescent="0.3">
      <c r="A451" s="7" t="str">
        <f>Raw_Players!A413</f>
        <v>NYK</v>
      </c>
      <c r="B451" s="7" t="str">
        <f>Raw_Players!B413</f>
        <v>Ochai Agbaji</v>
      </c>
      <c r="C451" s="37">
        <f>Raw_Players!E413</f>
        <v>-2.1561640993948439</v>
      </c>
      <c r="D451" s="31">
        <f>Raw_Players!F413</f>
        <v>1001.402952154208</v>
      </c>
      <c r="E451" s="31">
        <f>Raw_Players!G413</f>
        <v>16.381880879184539</v>
      </c>
      <c r="F451" s="31">
        <f>Raw_Players!H413</f>
        <v>61.1286920921657</v>
      </c>
      <c r="G451" s="31" t="str">
        <f>IFERROR(IF(INDEX(Overrides!$B$8:$B$47,MATCH(B451,Overrides!$A$8:$A$47,0))="","",INDEX(Overrides!$B$8:$B$47,MATCH(B451,Overrides!$A$8:$A$47,0))),"")</f>
        <v/>
      </c>
      <c r="H451" s="31" t="str">
        <f>IFERROR(IF(INDEX(Overrides!$C$8:$C$47,MATCH(B451,Overrides!$A$8:$A$47,0))="","",INDEX(Overrides!$C$8:$C$47,MATCH(B451,Overrides!$A$8:$A$47,0))),"")</f>
        <v/>
      </c>
      <c r="I451" s="36">
        <f>IFERROR(IF(INDEX(Overrides!$D$8:$D$47,MATCH(B451,Overrides!$A$8:$A$47,0))="",0,INDEX(Overrides!$D$8:$D$47,MATCH(B451,Overrides!$A$8:$A$47,0))),0)</f>
        <v>0</v>
      </c>
      <c r="J451" s="38">
        <f t="shared" si="47"/>
        <v>1001.402952154208</v>
      </c>
      <c r="K451" s="18">
        <f t="shared" si="48"/>
        <v>0.99999999999999978</v>
      </c>
      <c r="L451" s="38">
        <f t="shared" si="49"/>
        <v>1001.4029521542078</v>
      </c>
      <c r="M451" s="23">
        <f t="shared" si="50"/>
        <v>-2.1561640993948439</v>
      </c>
      <c r="N451" s="23">
        <f t="shared" si="51"/>
        <v>0.25442148174649587</v>
      </c>
      <c r="O451" s="6"/>
      <c r="P451" s="18">
        <f t="shared" si="52"/>
        <v>-0.54857446505663499</v>
      </c>
    </row>
    <row r="452" spans="1:16" ht="15" customHeight="1" x14ac:dyDescent="0.3">
      <c r="A452" s="7" t="str">
        <f>Raw_Players!A414</f>
        <v>NYK</v>
      </c>
      <c r="B452" s="7" t="str">
        <f>Raw_Players!B414</f>
        <v>Landry Shamet</v>
      </c>
      <c r="C452" s="37">
        <f>Raw_Players!E414</f>
        <v>-0.36319663876930341</v>
      </c>
      <c r="D452" s="31">
        <f>Raw_Players!F414</f>
        <v>873.99175164723817</v>
      </c>
      <c r="E452" s="31">
        <f>Raw_Players!G414</f>
        <v>15.51942470658916</v>
      </c>
      <c r="F452" s="31">
        <f>Raw_Players!H414</f>
        <v>56.315989037671137</v>
      </c>
      <c r="G452" s="31" t="str">
        <f>IFERROR(IF(INDEX(Overrides!$B$8:$B$47,MATCH(B452,Overrides!$A$8:$A$47,0))="","",INDEX(Overrides!$B$8:$B$47,MATCH(B452,Overrides!$A$8:$A$47,0))),"")</f>
        <v/>
      </c>
      <c r="H452" s="31" t="str">
        <f>IFERROR(IF(INDEX(Overrides!$C$8:$C$47,MATCH(B452,Overrides!$A$8:$A$47,0))="","",INDEX(Overrides!$C$8:$C$47,MATCH(B452,Overrides!$A$8:$A$47,0))),"")</f>
        <v/>
      </c>
      <c r="I452" s="36">
        <f>IFERROR(IF(INDEX(Overrides!$D$8:$D$47,MATCH(B452,Overrides!$A$8:$A$47,0))="",0,INDEX(Overrides!$D$8:$D$47,MATCH(B452,Overrides!$A$8:$A$47,0))),0)</f>
        <v>0</v>
      </c>
      <c r="J452" s="38">
        <f t="shared" si="47"/>
        <v>873.99175164723817</v>
      </c>
      <c r="K452" s="18">
        <f t="shared" si="48"/>
        <v>0.99999999999999978</v>
      </c>
      <c r="L452" s="38">
        <f t="shared" si="49"/>
        <v>873.99175164723795</v>
      </c>
      <c r="M452" s="23">
        <f t="shared" si="50"/>
        <v>-0.36319663876930341</v>
      </c>
      <c r="N452" s="23">
        <f t="shared" si="51"/>
        <v>0.22205074991037549</v>
      </c>
      <c r="O452" s="6"/>
      <c r="P452" s="18">
        <f t="shared" si="52"/>
        <v>-8.0648086003651573E-2</v>
      </c>
    </row>
    <row r="453" spans="1:16" ht="15" customHeight="1" x14ac:dyDescent="0.3">
      <c r="A453" s="7" t="str">
        <f>Raw_Players!A415</f>
        <v>NYK</v>
      </c>
      <c r="B453" s="7" t="str">
        <f>Raw_Players!B415</f>
        <v>Andre Drummond</v>
      </c>
      <c r="C453" s="37">
        <f>Raw_Players!E415</f>
        <v>-1.2607573860041119</v>
      </c>
      <c r="D453" s="31">
        <f>Raw_Players!F415</f>
        <v>862.04981131242164</v>
      </c>
      <c r="E453" s="31">
        <f>Raw_Players!G415</f>
        <v>15.16875931764592</v>
      </c>
      <c r="F453" s="31">
        <f>Raw_Players!H415</f>
        <v>56.830607781454709</v>
      </c>
      <c r="G453" s="31" t="str">
        <f>IFERROR(IF(INDEX(Overrides!$B$8:$B$47,MATCH(B453,Overrides!$A$8:$A$47,0))="","",INDEX(Overrides!$B$8:$B$47,MATCH(B453,Overrides!$A$8:$A$47,0))),"")</f>
        <v/>
      </c>
      <c r="H453" s="31" t="str">
        <f>IFERROR(IF(INDEX(Overrides!$C$8:$C$47,MATCH(B453,Overrides!$A$8:$A$47,0))="","",INDEX(Overrides!$C$8:$C$47,MATCH(B453,Overrides!$A$8:$A$47,0))),"")</f>
        <v/>
      </c>
      <c r="I453" s="36">
        <f>IFERROR(IF(INDEX(Overrides!$D$8:$D$47,MATCH(B453,Overrides!$A$8:$A$47,0))="",0,INDEX(Overrides!$D$8:$D$47,MATCH(B453,Overrides!$A$8:$A$47,0))),0)</f>
        <v>0</v>
      </c>
      <c r="J453" s="38">
        <f t="shared" si="47"/>
        <v>862.04981131242164</v>
      </c>
      <c r="K453" s="18">
        <f t="shared" si="48"/>
        <v>0.99999999999999978</v>
      </c>
      <c r="L453" s="38">
        <f t="shared" si="49"/>
        <v>862.04981131242141</v>
      </c>
      <c r="M453" s="23">
        <f t="shared" si="50"/>
        <v>-1.2607573860041119</v>
      </c>
      <c r="N453" s="23">
        <f t="shared" si="51"/>
        <v>0.2190167203537656</v>
      </c>
      <c r="O453" s="6"/>
      <c r="P453" s="18">
        <f t="shared" si="52"/>
        <v>-0.27612694784440711</v>
      </c>
    </row>
    <row r="454" spans="1:16" ht="15" customHeight="1" x14ac:dyDescent="0.3">
      <c r="A454" s="7" t="str">
        <f>Raw_Players!A416</f>
        <v>NYK</v>
      </c>
      <c r="B454" s="7" t="str">
        <f>Raw_Players!B416</f>
        <v>Drew Eubanks</v>
      </c>
      <c r="C454" s="37">
        <f>Raw_Players!E416</f>
        <v>-1.7870921925591099</v>
      </c>
      <c r="D454" s="31">
        <f>Raw_Players!F416</f>
        <v>610.18030611626909</v>
      </c>
      <c r="E454" s="31">
        <f>Raw_Players!G416</f>
        <v>11.078036605646121</v>
      </c>
      <c r="F454" s="31">
        <f>Raw_Players!H416</f>
        <v>55.080185039764153</v>
      </c>
      <c r="G454" s="31" t="str">
        <f>IFERROR(IF(INDEX(Overrides!$B$8:$B$47,MATCH(B454,Overrides!$A$8:$A$47,0))="","",INDEX(Overrides!$B$8:$B$47,MATCH(B454,Overrides!$A$8:$A$47,0))),"")</f>
        <v/>
      </c>
      <c r="H454" s="31" t="str">
        <f>IFERROR(IF(INDEX(Overrides!$C$8:$C$47,MATCH(B454,Overrides!$A$8:$A$47,0))="","",INDEX(Overrides!$C$8:$C$47,MATCH(B454,Overrides!$A$8:$A$47,0))),"")</f>
        <v/>
      </c>
      <c r="I454" s="36">
        <f>IFERROR(IF(INDEX(Overrides!$D$8:$D$47,MATCH(B454,Overrides!$A$8:$A$47,0))="",0,INDEX(Overrides!$D$8:$D$47,MATCH(B454,Overrides!$A$8:$A$47,0))),0)</f>
        <v>0</v>
      </c>
      <c r="J454" s="38">
        <f t="shared" si="47"/>
        <v>610.18030611626909</v>
      </c>
      <c r="K454" s="18">
        <f t="shared" si="48"/>
        <v>0.99999999999999978</v>
      </c>
      <c r="L454" s="38">
        <f t="shared" si="49"/>
        <v>610.18030611626898</v>
      </c>
      <c r="M454" s="23">
        <f t="shared" si="50"/>
        <v>-1.7870921925591099</v>
      </c>
      <c r="N454" s="23">
        <f t="shared" si="51"/>
        <v>0.15502548427750737</v>
      </c>
      <c r="O454" s="6"/>
      <c r="P454" s="18">
        <f t="shared" si="52"/>
        <v>-0.27704483260002849</v>
      </c>
    </row>
    <row r="455" spans="1:16" ht="15" customHeight="1" x14ac:dyDescent="0.3">
      <c r="A455" s="7" t="str">
        <f>Raw_Players!A417</f>
        <v>NYK</v>
      </c>
      <c r="B455" s="7" t="str">
        <f>Raw_Players!B417</f>
        <v>James Wiseman</v>
      </c>
      <c r="C455" s="37">
        <f>Raw_Players!E417</f>
        <v>-2.439220061040158</v>
      </c>
      <c r="D455" s="31">
        <f>Raw_Players!F417</f>
        <v>535.71354785015785</v>
      </c>
      <c r="E455" s="31">
        <f>Raw_Players!G417</f>
        <v>13.11926335171802</v>
      </c>
      <c r="F455" s="31">
        <f>Raw_Players!H417</f>
        <v>40.83411800556653</v>
      </c>
      <c r="G455" s="31" t="str">
        <f>IFERROR(IF(INDEX(Overrides!$B$8:$B$47,MATCH(B455,Overrides!$A$8:$A$47,0))="","",INDEX(Overrides!$B$8:$B$47,MATCH(B455,Overrides!$A$8:$A$47,0))),"")</f>
        <v/>
      </c>
      <c r="H455" s="31" t="str">
        <f>IFERROR(IF(INDEX(Overrides!$C$8:$C$47,MATCH(B455,Overrides!$A$8:$A$47,0))="","",INDEX(Overrides!$C$8:$C$47,MATCH(B455,Overrides!$A$8:$A$47,0))),"")</f>
        <v/>
      </c>
      <c r="I455" s="36">
        <f>IFERROR(IF(INDEX(Overrides!$D$8:$D$47,MATCH(B455,Overrides!$A$8:$A$47,0))="",0,INDEX(Overrides!$D$8:$D$47,MATCH(B455,Overrides!$A$8:$A$47,0))),0)</f>
        <v>0</v>
      </c>
      <c r="J455" s="38">
        <f t="shared" si="47"/>
        <v>535.71354785015785</v>
      </c>
      <c r="K455" s="18">
        <f t="shared" si="48"/>
        <v>0.99999999999999978</v>
      </c>
      <c r="L455" s="38">
        <f t="shared" si="49"/>
        <v>535.71354785015774</v>
      </c>
      <c r="M455" s="23">
        <f t="shared" si="50"/>
        <v>-2.439220061040158</v>
      </c>
      <c r="N455" s="23">
        <f t="shared" si="51"/>
        <v>0.13610608431152382</v>
      </c>
      <c r="O455" s="6"/>
      <c r="P455" s="18">
        <f t="shared" si="52"/>
        <v>-0.33199269128229203</v>
      </c>
    </row>
    <row r="456" spans="1:16" ht="15" customHeight="1" x14ac:dyDescent="0.3">
      <c r="A456" s="7" t="str">
        <f>Raw_Players!A418</f>
        <v>NYK</v>
      </c>
      <c r="B456" s="7" t="str">
        <f>Raw_Players!B418</f>
        <v>Tyler Kolek</v>
      </c>
      <c r="C456" s="37">
        <f>Raw_Players!E418</f>
        <v>-0.84379407677319995</v>
      </c>
      <c r="D456" s="31">
        <f>Raw_Players!F418</f>
        <v>522.83619372584394</v>
      </c>
      <c r="E456" s="31">
        <f>Raw_Players!G418</f>
        <v>8.8396903460602889</v>
      </c>
      <c r="F456" s="31">
        <f>Raw_Players!H418</f>
        <v>59.146437630461101</v>
      </c>
      <c r="G456" s="31" t="str">
        <f>IFERROR(IF(INDEX(Overrides!$B$8:$B$47,MATCH(B456,Overrides!$A$8:$A$47,0))="","",INDEX(Overrides!$B$8:$B$47,MATCH(B456,Overrides!$A$8:$A$47,0))),"")</f>
        <v/>
      </c>
      <c r="H456" s="31" t="str">
        <f>IFERROR(IF(INDEX(Overrides!$C$8:$C$47,MATCH(B456,Overrides!$A$8:$A$47,0))="","",INDEX(Overrides!$C$8:$C$47,MATCH(B456,Overrides!$A$8:$A$47,0))),"")</f>
        <v/>
      </c>
      <c r="I456" s="36">
        <f>IFERROR(IF(INDEX(Overrides!$D$8:$D$47,MATCH(B456,Overrides!$A$8:$A$47,0))="",0,INDEX(Overrides!$D$8:$D$47,MATCH(B456,Overrides!$A$8:$A$47,0))),0)</f>
        <v>0</v>
      </c>
      <c r="J456" s="38">
        <f t="shared" si="47"/>
        <v>522.83619372584394</v>
      </c>
      <c r="K456" s="18">
        <f t="shared" si="48"/>
        <v>0.99999999999999978</v>
      </c>
      <c r="L456" s="38">
        <f t="shared" si="49"/>
        <v>522.83619372584383</v>
      </c>
      <c r="M456" s="23">
        <f t="shared" si="50"/>
        <v>-0.84379407677319995</v>
      </c>
      <c r="N456" s="23">
        <f t="shared" si="51"/>
        <v>0.13283439881246031</v>
      </c>
      <c r="O456" s="6"/>
      <c r="P456" s="18">
        <f t="shared" si="52"/>
        <v>-0.11208487890968299</v>
      </c>
    </row>
    <row r="457" spans="1:16" ht="15" customHeight="1" x14ac:dyDescent="0.3">
      <c r="A457" s="7" t="str">
        <f>Raw_Players!A419</f>
        <v>NYK</v>
      </c>
      <c r="B457" s="7" t="str">
        <f>Raw_Players!B419</f>
        <v>Mohamed Diawara</v>
      </c>
      <c r="C457" s="37">
        <f>Raw_Players!E419</f>
        <v>-1.7749371943302159</v>
      </c>
      <c r="D457" s="31">
        <f>Raw_Players!F419</f>
        <v>513.16883282958372</v>
      </c>
      <c r="E457" s="31">
        <f>Raw_Players!G419</f>
        <v>8.048328303399984</v>
      </c>
      <c r="F457" s="31">
        <f>Raw_Players!H419</f>
        <v>63.760921956028753</v>
      </c>
      <c r="G457" s="31" t="str">
        <f>IFERROR(IF(INDEX(Overrides!$B$8:$B$47,MATCH(B457,Overrides!$A$8:$A$47,0))="","",INDEX(Overrides!$B$8:$B$47,MATCH(B457,Overrides!$A$8:$A$47,0))),"")</f>
        <v/>
      </c>
      <c r="H457" s="31" t="str">
        <f>IFERROR(IF(INDEX(Overrides!$C$8:$C$47,MATCH(B457,Overrides!$A$8:$A$47,0))="","",INDEX(Overrides!$C$8:$C$47,MATCH(B457,Overrides!$A$8:$A$47,0))),"")</f>
        <v/>
      </c>
      <c r="I457" s="36">
        <f>IFERROR(IF(INDEX(Overrides!$D$8:$D$47,MATCH(B457,Overrides!$A$8:$A$47,0))="",0,INDEX(Overrides!$D$8:$D$47,MATCH(B457,Overrides!$A$8:$A$47,0))),0)</f>
        <v>0</v>
      </c>
      <c r="J457" s="38">
        <f t="shared" si="47"/>
        <v>513.16883282958372</v>
      </c>
      <c r="K457" s="18">
        <f t="shared" si="48"/>
        <v>0.99999999999999978</v>
      </c>
      <c r="L457" s="38">
        <f t="shared" si="49"/>
        <v>513.16883282958361</v>
      </c>
      <c r="M457" s="23">
        <f t="shared" si="50"/>
        <v>-1.7749371943302159</v>
      </c>
      <c r="N457" s="23">
        <f t="shared" si="51"/>
        <v>0.13037826037336983</v>
      </c>
      <c r="O457" s="6"/>
      <c r="P457" s="18">
        <f t="shared" si="52"/>
        <v>-0.23141322366876341</v>
      </c>
    </row>
    <row r="458" spans="1:16" ht="15" customHeight="1" x14ac:dyDescent="0.3">
      <c r="A458" s="7" t="str">
        <f>Raw_Players!A420</f>
        <v>NYK</v>
      </c>
      <c r="B458" s="7" t="str">
        <f>Raw_Players!B420</f>
        <v>Tony Bradley</v>
      </c>
      <c r="C458" s="37">
        <f>Raw_Players!E420</f>
        <v>-2.0874920273960438</v>
      </c>
      <c r="D458" s="31">
        <f>Raw_Players!F420</f>
        <v>455.35043498078272</v>
      </c>
      <c r="E458" s="31">
        <f>Raw_Players!G420</f>
        <v>8.9757406427904627</v>
      </c>
      <c r="F458" s="31">
        <f>Raw_Players!H420</f>
        <v>50.73123802285123</v>
      </c>
      <c r="G458" s="31" t="str">
        <f>IFERROR(IF(INDEX(Overrides!$B$8:$B$47,MATCH(B458,Overrides!$A$8:$A$47,0))="","",INDEX(Overrides!$B$8:$B$47,MATCH(B458,Overrides!$A$8:$A$47,0))),"")</f>
        <v/>
      </c>
      <c r="H458" s="31" t="str">
        <f>IFERROR(IF(INDEX(Overrides!$C$8:$C$47,MATCH(B458,Overrides!$A$8:$A$47,0))="","",INDEX(Overrides!$C$8:$C$47,MATCH(B458,Overrides!$A$8:$A$47,0))),"")</f>
        <v/>
      </c>
      <c r="I458" s="36">
        <f>IFERROR(IF(INDEX(Overrides!$D$8:$D$47,MATCH(B458,Overrides!$A$8:$A$47,0))="",0,INDEX(Overrides!$D$8:$D$47,MATCH(B458,Overrides!$A$8:$A$47,0))),0)</f>
        <v>0</v>
      </c>
      <c r="J458" s="38">
        <f t="shared" si="47"/>
        <v>455.35043498078272</v>
      </c>
      <c r="K458" s="18">
        <f t="shared" si="48"/>
        <v>0.99999999999999978</v>
      </c>
      <c r="L458" s="38">
        <f t="shared" si="49"/>
        <v>455.35043498078261</v>
      </c>
      <c r="M458" s="23">
        <f t="shared" si="50"/>
        <v>-2.0874920273960438</v>
      </c>
      <c r="N458" s="23">
        <f t="shared" si="51"/>
        <v>0.11568862677357282</v>
      </c>
      <c r="O458" s="6"/>
      <c r="P458" s="18">
        <f t="shared" si="52"/>
        <v>-0.24149908605022977</v>
      </c>
    </row>
    <row r="459" spans="1:16" ht="15" customHeight="1" x14ac:dyDescent="0.3">
      <c r="A459" s="7" t="str">
        <f>Raw_Players!A421</f>
        <v>NYK</v>
      </c>
      <c r="B459" s="7" t="str">
        <f>Raw_Players!B421</f>
        <v>Tyler Nickel</v>
      </c>
      <c r="C459" s="37">
        <f>Raw_Players!E421</f>
        <v>-2.852386079902979</v>
      </c>
      <c r="D459" s="31">
        <f>Raw_Players!F421</f>
        <v>394.46613489211637</v>
      </c>
      <c r="E459" s="31">
        <f>Raw_Players!G421</f>
        <v>11.64745985204145</v>
      </c>
      <c r="F459" s="31">
        <f>Raw_Players!H421</f>
        <v>33.867138406403548</v>
      </c>
      <c r="G459" s="31" t="str">
        <f>IFERROR(IF(INDEX(Overrides!$B$8:$B$47,MATCH(B459,Overrides!$A$8:$A$47,0))="","",INDEX(Overrides!$B$8:$B$47,MATCH(B459,Overrides!$A$8:$A$47,0))),"")</f>
        <v/>
      </c>
      <c r="H459" s="31" t="str">
        <f>IFERROR(IF(INDEX(Overrides!$C$8:$C$47,MATCH(B459,Overrides!$A$8:$A$47,0))="","",INDEX(Overrides!$C$8:$C$47,MATCH(B459,Overrides!$A$8:$A$47,0))),"")</f>
        <v/>
      </c>
      <c r="I459" s="36">
        <f>IFERROR(IF(INDEX(Overrides!$D$8:$D$47,MATCH(B459,Overrides!$A$8:$A$47,0))="",0,INDEX(Overrides!$D$8:$D$47,MATCH(B459,Overrides!$A$8:$A$47,0))),0)</f>
        <v>0</v>
      </c>
      <c r="J459" s="38">
        <f t="shared" si="47"/>
        <v>394.46613489211637</v>
      </c>
      <c r="K459" s="18">
        <f t="shared" si="48"/>
        <v>0.99999999999999978</v>
      </c>
      <c r="L459" s="38">
        <f t="shared" si="49"/>
        <v>394.46613489211626</v>
      </c>
      <c r="M459" s="23">
        <f t="shared" si="50"/>
        <v>-2.852386079902979</v>
      </c>
      <c r="N459" s="23">
        <f t="shared" si="51"/>
        <v>0.10022005459657425</v>
      </c>
      <c r="O459" s="6"/>
      <c r="P459" s="18">
        <f t="shared" si="52"/>
        <v>-0.28586628865838498</v>
      </c>
    </row>
    <row r="460" spans="1:16" ht="15" customHeight="1" x14ac:dyDescent="0.3">
      <c r="A460" s="7" t="str">
        <f>Raw_Players!A422</f>
        <v>NYK</v>
      </c>
      <c r="B460" s="7" t="str">
        <f>Raw_Players!B422</f>
        <v>Kevin McCullar Jr.</v>
      </c>
      <c r="C460" s="37">
        <f>Raw_Players!E422</f>
        <v>-1.8152583835336471</v>
      </c>
      <c r="D460" s="31">
        <f>Raw_Players!F422</f>
        <v>343.21111015217451</v>
      </c>
      <c r="E460" s="31">
        <f>Raw_Players!G422</f>
        <v>7.5618184434420517</v>
      </c>
      <c r="F460" s="31">
        <f>Raw_Players!H422</f>
        <v>45.387377747719214</v>
      </c>
      <c r="G460" s="31" t="str">
        <f>IFERROR(IF(INDEX(Overrides!$B$8:$B$47,MATCH(B460,Overrides!$A$8:$A$47,0))="","",INDEX(Overrides!$B$8:$B$47,MATCH(B460,Overrides!$A$8:$A$47,0))),"")</f>
        <v/>
      </c>
      <c r="H460" s="31" t="str">
        <f>IFERROR(IF(INDEX(Overrides!$C$8:$C$47,MATCH(B460,Overrides!$A$8:$A$47,0))="","",INDEX(Overrides!$C$8:$C$47,MATCH(B460,Overrides!$A$8:$A$47,0))),"")</f>
        <v/>
      </c>
      <c r="I460" s="36">
        <f>IFERROR(IF(INDEX(Overrides!$D$8:$D$47,MATCH(B460,Overrides!$A$8:$A$47,0))="",0,INDEX(Overrides!$D$8:$D$47,MATCH(B460,Overrides!$A$8:$A$47,0))),0)</f>
        <v>0</v>
      </c>
      <c r="J460" s="38">
        <f t="shared" si="47"/>
        <v>343.21111015217451</v>
      </c>
      <c r="K460" s="18">
        <f t="shared" si="48"/>
        <v>0.99999999999999978</v>
      </c>
      <c r="L460" s="38">
        <f t="shared" si="49"/>
        <v>343.21111015217446</v>
      </c>
      <c r="M460" s="23">
        <f t="shared" si="50"/>
        <v>-1.8152583835336471</v>
      </c>
      <c r="N460" s="23">
        <f t="shared" si="51"/>
        <v>8.7197944652483345E-2</v>
      </c>
      <c r="O460" s="6"/>
      <c r="P460" s="18">
        <f t="shared" si="52"/>
        <v>-0.15828680005732335</v>
      </c>
    </row>
    <row r="461" spans="1:16" ht="15" customHeight="1" x14ac:dyDescent="0.3">
      <c r="A461" s="7" t="str">
        <f>Raw_Players!A423</f>
        <v>NYK</v>
      </c>
      <c r="B461" s="7" t="str">
        <f>Raw_Players!B423</f>
        <v>Jaden Akins</v>
      </c>
      <c r="C461" s="37">
        <f>Raw_Players!E423</f>
        <v>-3.1867960702466678</v>
      </c>
      <c r="D461" s="31">
        <f>Raw_Players!F423</f>
        <v>322.94301966305068</v>
      </c>
      <c r="E461" s="31">
        <f>Raw_Players!G423</f>
        <v>10.64473137993866</v>
      </c>
      <c r="F461" s="31">
        <f>Raw_Players!H423</f>
        <v>30.338296772023529</v>
      </c>
      <c r="G461" s="31" t="str">
        <f>IFERROR(IF(INDEX(Overrides!$B$8:$B$47,MATCH(B461,Overrides!$A$8:$A$47,0))="","",INDEX(Overrides!$B$8:$B$47,MATCH(B461,Overrides!$A$8:$A$47,0))),"")</f>
        <v/>
      </c>
      <c r="H461" s="31" t="str">
        <f>IFERROR(IF(INDEX(Overrides!$C$8:$C$47,MATCH(B461,Overrides!$A$8:$A$47,0))="","",INDEX(Overrides!$C$8:$C$47,MATCH(B461,Overrides!$A$8:$A$47,0))),"")</f>
        <v/>
      </c>
      <c r="I461" s="36">
        <f>IFERROR(IF(INDEX(Overrides!$D$8:$D$47,MATCH(B461,Overrides!$A$8:$A$47,0))="",0,INDEX(Overrides!$D$8:$D$47,MATCH(B461,Overrides!$A$8:$A$47,0))),0)</f>
        <v>0</v>
      </c>
      <c r="J461" s="38">
        <f t="shared" si="47"/>
        <v>322.94301966305068</v>
      </c>
      <c r="K461" s="18">
        <f t="shared" si="48"/>
        <v>0.99999999999999978</v>
      </c>
      <c r="L461" s="38">
        <f t="shared" si="49"/>
        <v>322.94301966305062</v>
      </c>
      <c r="M461" s="23">
        <f t="shared" si="50"/>
        <v>-3.1867960702466678</v>
      </c>
      <c r="N461" s="23">
        <f t="shared" si="51"/>
        <v>8.2048531418457984E-2</v>
      </c>
      <c r="O461" s="6"/>
      <c r="P461" s="18">
        <f t="shared" si="52"/>
        <v>-0.26147193749385217</v>
      </c>
    </row>
    <row r="462" spans="1:16" ht="15" customHeight="1" x14ac:dyDescent="0.3">
      <c r="A462" s="7" t="str">
        <f>Raw_Players!A424</f>
        <v>NYK</v>
      </c>
      <c r="B462" s="7" t="str">
        <f>Raw_Players!B424</f>
        <v>Pacome Dadiet</v>
      </c>
      <c r="C462" s="37">
        <f>Raw_Players!E424</f>
        <v>-1.478815715457293</v>
      </c>
      <c r="D462" s="31">
        <f>Raw_Players!F424</f>
        <v>274.89511378043471</v>
      </c>
      <c r="E462" s="31">
        <f>Raw_Players!G424</f>
        <v>5.616208828998861</v>
      </c>
      <c r="F462" s="31">
        <f>Raw_Players!H424</f>
        <v>48.946740078651459</v>
      </c>
      <c r="G462" s="31" t="str">
        <f>IFERROR(IF(INDEX(Overrides!$B$8:$B$47,MATCH(B462,Overrides!$A$8:$A$47,0))="","",INDEX(Overrides!$B$8:$B$47,MATCH(B462,Overrides!$A$8:$A$47,0))),"")</f>
        <v/>
      </c>
      <c r="H462" s="31" t="str">
        <f>IFERROR(IF(INDEX(Overrides!$C$8:$C$47,MATCH(B462,Overrides!$A$8:$A$47,0))="","",INDEX(Overrides!$C$8:$C$47,MATCH(B462,Overrides!$A$8:$A$47,0))),"")</f>
        <v/>
      </c>
      <c r="I462" s="36">
        <f>IFERROR(IF(INDEX(Overrides!$D$8:$D$47,MATCH(B462,Overrides!$A$8:$A$47,0))="",0,INDEX(Overrides!$D$8:$D$47,MATCH(B462,Overrides!$A$8:$A$47,0))),0)</f>
        <v>0</v>
      </c>
      <c r="J462" s="38">
        <f t="shared" si="47"/>
        <v>274.89511378043471</v>
      </c>
      <c r="K462" s="18">
        <f t="shared" si="48"/>
        <v>0.99999999999999978</v>
      </c>
      <c r="L462" s="38">
        <f t="shared" si="49"/>
        <v>274.89511378043466</v>
      </c>
      <c r="M462" s="23">
        <f t="shared" si="50"/>
        <v>-1.478815715457293</v>
      </c>
      <c r="N462" s="23">
        <f t="shared" si="51"/>
        <v>6.9841238257224256E-2</v>
      </c>
      <c r="O462" s="6"/>
      <c r="P462" s="18">
        <f t="shared" si="52"/>
        <v>-0.10328232072178035</v>
      </c>
    </row>
    <row r="463" spans="1:16" ht="15" customHeight="1" x14ac:dyDescent="0.3">
      <c r="A463" s="7" t="str">
        <f>Raw_Players!A425</f>
        <v>OKC</v>
      </c>
      <c r="B463" s="7" t="str">
        <f>Raw_Players!B425</f>
        <v>Shai Gilgeous-Alexander</v>
      </c>
      <c r="C463" s="37">
        <f>Raw_Players!E425</f>
        <v>8.5043689574761316</v>
      </c>
      <c r="D463" s="31">
        <f>Raw_Players!F425</f>
        <v>2008.051735587788</v>
      </c>
      <c r="E463" s="31">
        <f>Raw_Players!G425</f>
        <v>31.72070449786353</v>
      </c>
      <c r="F463" s="31">
        <f>Raw_Players!H425</f>
        <v>63.304134235828073</v>
      </c>
      <c r="G463" s="31" t="str">
        <f>IFERROR(IF(INDEX(Overrides!$B$8:$B$47,MATCH(B463,Overrides!$A$8:$A$47,0))="","",INDEX(Overrides!$B$8:$B$47,MATCH(B463,Overrides!$A$8:$A$47,0))),"")</f>
        <v/>
      </c>
      <c r="H463" s="31" t="str">
        <f>IFERROR(IF(INDEX(Overrides!$C$8:$C$47,MATCH(B463,Overrides!$A$8:$A$47,0))="","",INDEX(Overrides!$C$8:$C$47,MATCH(B463,Overrides!$A$8:$A$47,0))),"")</f>
        <v/>
      </c>
      <c r="I463" s="36">
        <f>IFERROR(IF(INDEX(Overrides!$D$8:$D$47,MATCH(B463,Overrides!$A$8:$A$47,0))="",0,INDEX(Overrides!$D$8:$D$47,MATCH(B463,Overrides!$A$8:$A$47,0))),0)</f>
        <v>0</v>
      </c>
      <c r="J463" s="38">
        <f t="shared" si="47"/>
        <v>2008.051735587788</v>
      </c>
      <c r="K463" s="18">
        <f t="shared" si="48"/>
        <v>1</v>
      </c>
      <c r="L463" s="38">
        <f t="shared" si="49"/>
        <v>2008.051735587788</v>
      </c>
      <c r="M463" s="23">
        <f t="shared" si="50"/>
        <v>8.5043689574761316</v>
      </c>
      <c r="N463" s="23">
        <f t="shared" si="51"/>
        <v>0.51017574583023073</v>
      </c>
      <c r="O463" s="6"/>
      <c r="P463" s="18">
        <f t="shared" si="52"/>
        <v>4.3387227756958469</v>
      </c>
    </row>
    <row r="464" spans="1:16" ht="15" customHeight="1" x14ac:dyDescent="0.3">
      <c r="A464" s="7" t="str">
        <f>Raw_Players!A426</f>
        <v>OKC</v>
      </c>
      <c r="B464" s="7" t="str">
        <f>Raw_Players!B426</f>
        <v>Chet Holmgren</v>
      </c>
      <c r="C464" s="37">
        <f>Raw_Players!E426</f>
        <v>4.2811425392314746</v>
      </c>
      <c r="D464" s="31">
        <f>Raw_Players!F426</f>
        <v>1627.8324778460949</v>
      </c>
      <c r="E464" s="31">
        <f>Raw_Players!G426</f>
        <v>27.045434371270229</v>
      </c>
      <c r="F464" s="31">
        <f>Raw_Players!H426</f>
        <v>60.188808783759278</v>
      </c>
      <c r="G464" s="31" t="str">
        <f>IFERROR(IF(INDEX(Overrides!$B$8:$B$47,MATCH(B464,Overrides!$A$8:$A$47,0))="","",INDEX(Overrides!$B$8:$B$47,MATCH(B464,Overrides!$A$8:$A$47,0))),"")</f>
        <v/>
      </c>
      <c r="H464" s="31" t="str">
        <f>IFERROR(IF(INDEX(Overrides!$C$8:$C$47,MATCH(B464,Overrides!$A$8:$A$47,0))="","",INDEX(Overrides!$C$8:$C$47,MATCH(B464,Overrides!$A$8:$A$47,0))),"")</f>
        <v/>
      </c>
      <c r="I464" s="36">
        <f>IFERROR(IF(INDEX(Overrides!$D$8:$D$47,MATCH(B464,Overrides!$A$8:$A$47,0))="",0,INDEX(Overrides!$D$8:$D$47,MATCH(B464,Overrides!$A$8:$A$47,0))),0)</f>
        <v>0</v>
      </c>
      <c r="J464" s="38">
        <f t="shared" si="47"/>
        <v>1627.8324778460949</v>
      </c>
      <c r="K464" s="18">
        <f t="shared" si="48"/>
        <v>1</v>
      </c>
      <c r="L464" s="38">
        <f t="shared" si="49"/>
        <v>1627.8324778460949</v>
      </c>
      <c r="M464" s="23">
        <f t="shared" si="50"/>
        <v>4.2811425392314746</v>
      </c>
      <c r="N464" s="23">
        <f t="shared" si="51"/>
        <v>0.41357532465602004</v>
      </c>
      <c r="O464" s="6"/>
      <c r="P464" s="18">
        <f t="shared" si="52"/>
        <v>1.770574915561355</v>
      </c>
    </row>
    <row r="465" spans="1:16" ht="15" customHeight="1" x14ac:dyDescent="0.3">
      <c r="A465" s="7" t="str">
        <f>Raw_Players!A427</f>
        <v>OKC</v>
      </c>
      <c r="B465" s="7" t="str">
        <f>Raw_Players!B427</f>
        <v>Cason Wallace</v>
      </c>
      <c r="C465" s="37">
        <f>Raw_Players!E427</f>
        <v>1.9263201466113029</v>
      </c>
      <c r="D465" s="31">
        <f>Raw_Players!F427</f>
        <v>1600.7136229350831</v>
      </c>
      <c r="E465" s="31">
        <f>Raw_Players!G427</f>
        <v>24.371298175560138</v>
      </c>
      <c r="F465" s="31">
        <f>Raw_Players!H427</f>
        <v>65.680277324754883</v>
      </c>
      <c r="G465" s="31" t="str">
        <f>IFERROR(IF(INDEX(Overrides!$B$8:$B$47,MATCH(B465,Overrides!$A$8:$A$47,0))="","",INDEX(Overrides!$B$8:$B$47,MATCH(B465,Overrides!$A$8:$A$47,0))),"")</f>
        <v/>
      </c>
      <c r="H465" s="31" t="str">
        <f>IFERROR(IF(INDEX(Overrides!$C$8:$C$47,MATCH(B465,Overrides!$A$8:$A$47,0))="","",INDEX(Overrides!$C$8:$C$47,MATCH(B465,Overrides!$A$8:$A$47,0))),"")</f>
        <v/>
      </c>
      <c r="I465" s="36">
        <f>IFERROR(IF(INDEX(Overrides!$D$8:$D$47,MATCH(B465,Overrides!$A$8:$A$47,0))="",0,INDEX(Overrides!$D$8:$D$47,MATCH(B465,Overrides!$A$8:$A$47,0))),0)</f>
        <v>0</v>
      </c>
      <c r="J465" s="38">
        <f t="shared" si="47"/>
        <v>1600.7136229350831</v>
      </c>
      <c r="K465" s="18">
        <f t="shared" si="48"/>
        <v>1</v>
      </c>
      <c r="L465" s="38">
        <f t="shared" si="49"/>
        <v>1600.7136229350831</v>
      </c>
      <c r="M465" s="23">
        <f t="shared" si="50"/>
        <v>1.9263201466113029</v>
      </c>
      <c r="N465" s="23">
        <f t="shared" si="51"/>
        <v>0.40668537168066138</v>
      </c>
      <c r="O465" s="6"/>
      <c r="P465" s="18">
        <f t="shared" si="52"/>
        <v>0.78340622480056388</v>
      </c>
    </row>
    <row r="466" spans="1:16" ht="15" customHeight="1" x14ac:dyDescent="0.3">
      <c r="A466" s="7" t="str">
        <f>Raw_Players!A428</f>
        <v>OKC</v>
      </c>
      <c r="B466" s="7" t="str">
        <f>Raw_Players!B428</f>
        <v>Jalen Williams</v>
      </c>
      <c r="C466" s="37">
        <f>Raw_Players!E428</f>
        <v>2.512857774697844</v>
      </c>
      <c r="D466" s="31">
        <f>Raw_Players!F428</f>
        <v>1567.1938313746609</v>
      </c>
      <c r="E466" s="31">
        <f>Raw_Players!G428</f>
        <v>28.771856576046531</v>
      </c>
      <c r="F466" s="31">
        <f>Raw_Players!H428</f>
        <v>54.469680370901003</v>
      </c>
      <c r="G466" s="31" t="str">
        <f>IFERROR(IF(INDEX(Overrides!$B$8:$B$47,MATCH(B466,Overrides!$A$8:$A$47,0))="","",INDEX(Overrides!$B$8:$B$47,MATCH(B466,Overrides!$A$8:$A$47,0))),"")</f>
        <v/>
      </c>
      <c r="H466" s="31" t="str">
        <f>IFERROR(IF(INDEX(Overrides!$C$8:$C$47,MATCH(B466,Overrides!$A$8:$A$47,0))="","",INDEX(Overrides!$C$8:$C$47,MATCH(B466,Overrides!$A$8:$A$47,0))),"")</f>
        <v/>
      </c>
      <c r="I466" s="36">
        <f>IFERROR(IF(INDEX(Overrides!$D$8:$D$47,MATCH(B466,Overrides!$A$8:$A$47,0))="",0,INDEX(Overrides!$D$8:$D$47,MATCH(B466,Overrides!$A$8:$A$47,0))),0)</f>
        <v>0</v>
      </c>
      <c r="J466" s="38">
        <f t="shared" si="47"/>
        <v>1567.1938313746609</v>
      </c>
      <c r="K466" s="18">
        <f t="shared" si="48"/>
        <v>1</v>
      </c>
      <c r="L466" s="38">
        <f t="shared" si="49"/>
        <v>1567.1938313746609</v>
      </c>
      <c r="M466" s="23">
        <f t="shared" si="50"/>
        <v>2.512857774697844</v>
      </c>
      <c r="N466" s="23">
        <f t="shared" si="51"/>
        <v>0.39816916447526957</v>
      </c>
      <c r="O466" s="6"/>
      <c r="P466" s="18">
        <f t="shared" si="52"/>
        <v>1.0005424805966256</v>
      </c>
    </row>
    <row r="467" spans="1:16" ht="15" customHeight="1" x14ac:dyDescent="0.3">
      <c r="A467" s="7" t="str">
        <f>Raw_Players!A429</f>
        <v>OKC</v>
      </c>
      <c r="B467" s="7" t="str">
        <f>Raw_Players!B429</f>
        <v>Isaiah Hartenstein</v>
      </c>
      <c r="C467" s="37">
        <f>Raw_Players!E429</f>
        <v>3.287698553597779</v>
      </c>
      <c r="D467" s="31">
        <f>Raw_Players!F429</f>
        <v>1357.852096202585</v>
      </c>
      <c r="E467" s="31">
        <f>Raw_Players!G429</f>
        <v>24.138623567505451</v>
      </c>
      <c r="F467" s="31">
        <f>Raw_Players!H429</f>
        <v>56.252258642886197</v>
      </c>
      <c r="G467" s="31" t="str">
        <f>IFERROR(IF(INDEX(Overrides!$B$8:$B$47,MATCH(B467,Overrides!$A$8:$A$47,0))="","",INDEX(Overrides!$B$8:$B$47,MATCH(B467,Overrides!$A$8:$A$47,0))),"")</f>
        <v/>
      </c>
      <c r="H467" s="31" t="str">
        <f>IFERROR(IF(INDEX(Overrides!$C$8:$C$47,MATCH(B467,Overrides!$A$8:$A$47,0))="","",INDEX(Overrides!$C$8:$C$47,MATCH(B467,Overrides!$A$8:$A$47,0))),"")</f>
        <v/>
      </c>
      <c r="I467" s="36">
        <f>IFERROR(IF(INDEX(Overrides!$D$8:$D$47,MATCH(B467,Overrides!$A$8:$A$47,0))="",0,INDEX(Overrides!$D$8:$D$47,MATCH(B467,Overrides!$A$8:$A$47,0))),0)</f>
        <v>0</v>
      </c>
      <c r="J467" s="38">
        <f t="shared" si="47"/>
        <v>1357.852096202585</v>
      </c>
      <c r="K467" s="18">
        <f t="shared" si="48"/>
        <v>1</v>
      </c>
      <c r="L467" s="38">
        <f t="shared" si="49"/>
        <v>1357.852096202585</v>
      </c>
      <c r="M467" s="23">
        <f t="shared" si="50"/>
        <v>3.287698553597779</v>
      </c>
      <c r="N467" s="23">
        <f t="shared" si="51"/>
        <v>0.34498274801894946</v>
      </c>
      <c r="O467" s="6"/>
      <c r="P467" s="18">
        <f t="shared" si="52"/>
        <v>1.1341992816780873</v>
      </c>
    </row>
    <row r="468" spans="1:16" ht="15" customHeight="1" x14ac:dyDescent="0.3">
      <c r="A468" s="7" t="str">
        <f>Raw_Players!A430</f>
        <v>OKC</v>
      </c>
      <c r="B468" s="7" t="str">
        <f>Raw_Players!B430</f>
        <v>Ajay Mitchell</v>
      </c>
      <c r="C468" s="37">
        <f>Raw_Players!E430</f>
        <v>1.3703659218873609</v>
      </c>
      <c r="D468" s="31">
        <f>Raw_Players!F430</f>
        <v>1227.9578569677551</v>
      </c>
      <c r="E468" s="31">
        <f>Raw_Players!G430</f>
        <v>21.338848617314291</v>
      </c>
      <c r="F468" s="31">
        <f>Raw_Players!H430</f>
        <v>57.545647330352821</v>
      </c>
      <c r="G468" s="31" t="str">
        <f>IFERROR(IF(INDEX(Overrides!$B$8:$B$47,MATCH(B468,Overrides!$A$8:$A$47,0))="","",INDEX(Overrides!$B$8:$B$47,MATCH(B468,Overrides!$A$8:$A$47,0))),"")</f>
        <v/>
      </c>
      <c r="H468" s="31" t="str">
        <f>IFERROR(IF(INDEX(Overrides!$C$8:$C$47,MATCH(B468,Overrides!$A$8:$A$47,0))="","",INDEX(Overrides!$C$8:$C$47,MATCH(B468,Overrides!$A$8:$A$47,0))),"")</f>
        <v/>
      </c>
      <c r="I468" s="36">
        <f>IFERROR(IF(INDEX(Overrides!$D$8:$D$47,MATCH(B468,Overrides!$A$8:$A$47,0))="",0,INDEX(Overrides!$D$8:$D$47,MATCH(B468,Overrides!$A$8:$A$47,0))),0)</f>
        <v>0</v>
      </c>
      <c r="J468" s="38">
        <f t="shared" si="47"/>
        <v>1227.9578569677551</v>
      </c>
      <c r="K468" s="18">
        <f t="shared" si="48"/>
        <v>1</v>
      </c>
      <c r="L468" s="38">
        <f t="shared" si="49"/>
        <v>1227.9578569677551</v>
      </c>
      <c r="M468" s="23">
        <f t="shared" si="50"/>
        <v>1.3703659218873609</v>
      </c>
      <c r="N468" s="23">
        <f t="shared" si="51"/>
        <v>0.31198116284749877</v>
      </c>
      <c r="O468" s="6"/>
      <c r="P468" s="18">
        <f t="shared" si="52"/>
        <v>0.42752835383700355</v>
      </c>
    </row>
    <row r="469" spans="1:16" ht="15" customHeight="1" x14ac:dyDescent="0.3">
      <c r="A469" s="7" t="str">
        <f>Raw_Players!A431</f>
        <v>OKC</v>
      </c>
      <c r="B469" s="7" t="str">
        <f>Raw_Players!B431</f>
        <v>Alex Caruso</v>
      </c>
      <c r="C469" s="37">
        <f>Raw_Players!E431</f>
        <v>2.2538515023890122</v>
      </c>
      <c r="D469" s="31">
        <f>Raw_Players!F431</f>
        <v>1127.215739484468</v>
      </c>
      <c r="E469" s="31">
        <f>Raw_Players!G431</f>
        <v>19.83422527727107</v>
      </c>
      <c r="F469" s="31">
        <f>Raw_Players!H431</f>
        <v>56.831851192907223</v>
      </c>
      <c r="G469" s="31" t="str">
        <f>IFERROR(IF(INDEX(Overrides!$B$8:$B$47,MATCH(B469,Overrides!$A$8:$A$47,0))="","",INDEX(Overrides!$B$8:$B$47,MATCH(B469,Overrides!$A$8:$A$47,0))),"")</f>
        <v/>
      </c>
      <c r="H469" s="31" t="str">
        <f>IFERROR(IF(INDEX(Overrides!$C$8:$C$47,MATCH(B469,Overrides!$A$8:$A$47,0))="","",INDEX(Overrides!$C$8:$C$47,MATCH(B469,Overrides!$A$8:$A$47,0))),"")</f>
        <v/>
      </c>
      <c r="I469" s="36">
        <f>IFERROR(IF(INDEX(Overrides!$D$8:$D$47,MATCH(B469,Overrides!$A$8:$A$47,0))="",0,INDEX(Overrides!$D$8:$D$47,MATCH(B469,Overrides!$A$8:$A$47,0))),0)</f>
        <v>0</v>
      </c>
      <c r="J469" s="38">
        <f t="shared" si="47"/>
        <v>1127.215739484468</v>
      </c>
      <c r="K469" s="18">
        <f t="shared" si="48"/>
        <v>1</v>
      </c>
      <c r="L469" s="38">
        <f t="shared" si="49"/>
        <v>1127.215739484468</v>
      </c>
      <c r="M469" s="23">
        <f t="shared" si="50"/>
        <v>2.2538515023890122</v>
      </c>
      <c r="N469" s="23">
        <f t="shared" si="51"/>
        <v>0.28638611267389941</v>
      </c>
      <c r="O469" s="6"/>
      <c r="P469" s="18">
        <f t="shared" si="52"/>
        <v>0.64547177031341707</v>
      </c>
    </row>
    <row r="470" spans="1:16" ht="15" customHeight="1" x14ac:dyDescent="0.3">
      <c r="A470" s="7" t="str">
        <f>Raw_Players!A432</f>
        <v>OKC</v>
      </c>
      <c r="B470" s="7" t="str">
        <f>Raw_Players!B432</f>
        <v>Aday Mara</v>
      </c>
      <c r="C470" s="37">
        <f>Raw_Players!E432</f>
        <v>0.63459181306281698</v>
      </c>
      <c r="D470" s="31">
        <f>Raw_Players!F432</f>
        <v>1045.905581878385</v>
      </c>
      <c r="E470" s="31">
        <f>Raw_Players!G432</f>
        <v>19.98092162303212</v>
      </c>
      <c r="F470" s="31">
        <f>Raw_Players!H432</f>
        <v>52.345212178439454</v>
      </c>
      <c r="G470" s="31" t="str">
        <f>IFERROR(IF(INDEX(Overrides!$B$8:$B$47,MATCH(B470,Overrides!$A$8:$A$47,0))="","",INDEX(Overrides!$B$8:$B$47,MATCH(B470,Overrides!$A$8:$A$47,0))),"")</f>
        <v/>
      </c>
      <c r="H470" s="31" t="str">
        <f>IFERROR(IF(INDEX(Overrides!$C$8:$C$47,MATCH(B470,Overrides!$A$8:$A$47,0))="","",INDEX(Overrides!$C$8:$C$47,MATCH(B470,Overrides!$A$8:$A$47,0))),"")</f>
        <v/>
      </c>
      <c r="I470" s="36">
        <f>IFERROR(IF(INDEX(Overrides!$D$8:$D$47,MATCH(B470,Overrides!$A$8:$A$47,0))="",0,INDEX(Overrides!$D$8:$D$47,MATCH(B470,Overrides!$A$8:$A$47,0))),0)</f>
        <v>0</v>
      </c>
      <c r="J470" s="38">
        <f t="shared" si="47"/>
        <v>1045.905581878385</v>
      </c>
      <c r="K470" s="18">
        <f t="shared" si="48"/>
        <v>1</v>
      </c>
      <c r="L470" s="38">
        <f t="shared" si="49"/>
        <v>1045.905581878385</v>
      </c>
      <c r="M470" s="23">
        <f t="shared" si="50"/>
        <v>0.63459181306281698</v>
      </c>
      <c r="N470" s="23">
        <f t="shared" si="51"/>
        <v>0.26572804417641893</v>
      </c>
      <c r="O470" s="6"/>
      <c r="P470" s="18">
        <f t="shared" si="52"/>
        <v>0.16862884133555001</v>
      </c>
    </row>
    <row r="471" spans="1:16" ht="15" customHeight="1" x14ac:dyDescent="0.3">
      <c r="A471" s="7" t="str">
        <f>Raw_Players!A433</f>
        <v>OKC</v>
      </c>
      <c r="B471" s="7" t="str">
        <f>Raw_Players!B433</f>
        <v>Jared McCain</v>
      </c>
      <c r="C471" s="37">
        <f>Raw_Players!E433</f>
        <v>-1.171437458023914</v>
      </c>
      <c r="D471" s="31">
        <f>Raw_Players!F433</f>
        <v>1030.084128991271</v>
      </c>
      <c r="E471" s="31">
        <f>Raw_Players!G433</f>
        <v>17.468784252385699</v>
      </c>
      <c r="F471" s="31">
        <f>Raw_Players!H433</f>
        <v>58.967133265189489</v>
      </c>
      <c r="G471" s="31" t="str">
        <f>IFERROR(IF(INDEX(Overrides!$B$8:$B$47,MATCH(B471,Overrides!$A$8:$A$47,0))="","",INDEX(Overrides!$B$8:$B$47,MATCH(B471,Overrides!$A$8:$A$47,0))),"")</f>
        <v/>
      </c>
      <c r="H471" s="31" t="str">
        <f>IFERROR(IF(INDEX(Overrides!$C$8:$C$47,MATCH(B471,Overrides!$A$8:$A$47,0))="","",INDEX(Overrides!$C$8:$C$47,MATCH(B471,Overrides!$A$8:$A$47,0))),"")</f>
        <v/>
      </c>
      <c r="I471" s="36">
        <f>IFERROR(IF(INDEX(Overrides!$D$8:$D$47,MATCH(B471,Overrides!$A$8:$A$47,0))="",0,INDEX(Overrides!$D$8:$D$47,MATCH(B471,Overrides!$A$8:$A$47,0))),0)</f>
        <v>0</v>
      </c>
      <c r="J471" s="38">
        <f t="shared" si="47"/>
        <v>1030.084128991271</v>
      </c>
      <c r="K471" s="18">
        <f t="shared" si="48"/>
        <v>1</v>
      </c>
      <c r="L471" s="38">
        <f t="shared" si="49"/>
        <v>1030.084128991271</v>
      </c>
      <c r="M471" s="23">
        <f t="shared" si="50"/>
        <v>-1.171437458023914</v>
      </c>
      <c r="N471" s="23">
        <f t="shared" si="51"/>
        <v>0.26170836610550585</v>
      </c>
      <c r="O471" s="6"/>
      <c r="P471" s="18">
        <f t="shared" si="52"/>
        <v>-0.3065749831342256</v>
      </c>
    </row>
    <row r="472" spans="1:16" ht="15" customHeight="1" x14ac:dyDescent="0.3">
      <c r="A472" s="7" t="str">
        <f>Raw_Players!A434</f>
        <v>OKC</v>
      </c>
      <c r="B472" s="7" t="str">
        <f>Raw_Players!B434</f>
        <v>Jaylin Williams</v>
      </c>
      <c r="C472" s="37">
        <f>Raw_Players!E434</f>
        <v>1.673145065771549</v>
      </c>
      <c r="D472" s="31">
        <f>Raw_Players!F434</f>
        <v>1018.295852730456</v>
      </c>
      <c r="E472" s="31">
        <f>Raw_Players!G434</f>
        <v>16.80823816253687</v>
      </c>
      <c r="F472" s="31">
        <f>Raw_Players!H434</f>
        <v>60.583140415043047</v>
      </c>
      <c r="G472" s="31" t="str">
        <f>IFERROR(IF(INDEX(Overrides!$B$8:$B$47,MATCH(B472,Overrides!$A$8:$A$47,0))="","",INDEX(Overrides!$B$8:$B$47,MATCH(B472,Overrides!$A$8:$A$47,0))),"")</f>
        <v/>
      </c>
      <c r="H472" s="31" t="str">
        <f>IFERROR(IF(INDEX(Overrides!$C$8:$C$47,MATCH(B472,Overrides!$A$8:$A$47,0))="","",INDEX(Overrides!$C$8:$C$47,MATCH(B472,Overrides!$A$8:$A$47,0))),"")</f>
        <v/>
      </c>
      <c r="I472" s="36">
        <f>IFERROR(IF(INDEX(Overrides!$D$8:$D$47,MATCH(B472,Overrides!$A$8:$A$47,0))="",0,INDEX(Overrides!$D$8:$D$47,MATCH(B472,Overrides!$A$8:$A$47,0))),0)</f>
        <v>0</v>
      </c>
      <c r="J472" s="38">
        <f t="shared" si="47"/>
        <v>1018.295852730456</v>
      </c>
      <c r="K472" s="18">
        <f t="shared" si="48"/>
        <v>1</v>
      </c>
      <c r="L472" s="38">
        <f t="shared" si="49"/>
        <v>1018.295852730456</v>
      </c>
      <c r="M472" s="23">
        <f t="shared" si="50"/>
        <v>1.673145065771549</v>
      </c>
      <c r="N472" s="23">
        <f t="shared" si="51"/>
        <v>0.25871337721810367</v>
      </c>
      <c r="O472" s="6"/>
      <c r="P472" s="18">
        <f t="shared" si="52"/>
        <v>0.43286501054156362</v>
      </c>
    </row>
    <row r="473" spans="1:16" ht="15" customHeight="1" x14ac:dyDescent="0.3">
      <c r="A473" s="7" t="str">
        <f>Raw_Players!A435</f>
        <v>OKC</v>
      </c>
      <c r="B473" s="7" t="str">
        <f>Raw_Players!B435</f>
        <v>Zhaire Smith</v>
      </c>
      <c r="C473" s="37">
        <f>Raw_Players!E435</f>
        <v>-3.1867960702466678</v>
      </c>
      <c r="D473" s="31">
        <f>Raw_Players!F435</f>
        <v>904.71961619147123</v>
      </c>
      <c r="E473" s="31">
        <f>Raw_Players!G435</f>
        <v>18.672672754285159</v>
      </c>
      <c r="F473" s="31">
        <f>Raw_Players!H435</f>
        <v>48.451532787873049</v>
      </c>
      <c r="G473" s="31" t="str">
        <f>IFERROR(IF(INDEX(Overrides!$B$8:$B$47,MATCH(B473,Overrides!$A$8:$A$47,0))="","",INDEX(Overrides!$B$8:$B$47,MATCH(B473,Overrides!$A$8:$A$47,0))),"")</f>
        <v/>
      </c>
      <c r="H473" s="31" t="str">
        <f>IFERROR(IF(INDEX(Overrides!$C$8:$C$47,MATCH(B473,Overrides!$A$8:$A$47,0))="","",INDEX(Overrides!$C$8:$C$47,MATCH(B473,Overrides!$A$8:$A$47,0))),"")</f>
        <v/>
      </c>
      <c r="I473" s="36">
        <f>IFERROR(IF(INDEX(Overrides!$D$8:$D$47,MATCH(B473,Overrides!$A$8:$A$47,0))="",0,INDEX(Overrides!$D$8:$D$47,MATCH(B473,Overrides!$A$8:$A$47,0))),0)</f>
        <v>0</v>
      </c>
      <c r="J473" s="38">
        <f t="shared" si="47"/>
        <v>904.71961619147123</v>
      </c>
      <c r="K473" s="18">
        <f t="shared" si="48"/>
        <v>1</v>
      </c>
      <c r="L473" s="38">
        <f t="shared" si="49"/>
        <v>904.71961619147123</v>
      </c>
      <c r="M473" s="23">
        <f t="shared" si="50"/>
        <v>-3.1867960702466678</v>
      </c>
      <c r="N473" s="23">
        <f t="shared" si="51"/>
        <v>0.22985762606490631</v>
      </c>
      <c r="O473" s="6"/>
      <c r="P473" s="18">
        <f t="shared" si="52"/>
        <v>-0.73250937945987149</v>
      </c>
    </row>
    <row r="474" spans="1:16" ht="15" customHeight="1" x14ac:dyDescent="0.3">
      <c r="A474" s="7" t="str">
        <f>Raw_Players!A436</f>
        <v>OKC</v>
      </c>
      <c r="B474" s="7" t="str">
        <f>Raw_Players!B436</f>
        <v>Bennett Stirtz</v>
      </c>
      <c r="C474" s="37">
        <f>Raw_Players!E436</f>
        <v>-2.4301387263140719</v>
      </c>
      <c r="D474" s="31">
        <f>Raw_Players!F436</f>
        <v>904.71961619147123</v>
      </c>
      <c r="E474" s="31">
        <f>Raw_Players!G436</f>
        <v>18.672672754285159</v>
      </c>
      <c r="F474" s="31">
        <f>Raw_Players!H436</f>
        <v>48.451532787873049</v>
      </c>
      <c r="G474" s="31" t="str">
        <f>IFERROR(IF(INDEX(Overrides!$B$8:$B$47,MATCH(B474,Overrides!$A$8:$A$47,0))="","",INDEX(Overrides!$B$8:$B$47,MATCH(B474,Overrides!$A$8:$A$47,0))),"")</f>
        <v/>
      </c>
      <c r="H474" s="31" t="str">
        <f>IFERROR(IF(INDEX(Overrides!$C$8:$C$47,MATCH(B474,Overrides!$A$8:$A$47,0))="","",INDEX(Overrides!$C$8:$C$47,MATCH(B474,Overrides!$A$8:$A$47,0))),"")</f>
        <v/>
      </c>
      <c r="I474" s="36">
        <f>IFERROR(IF(INDEX(Overrides!$D$8:$D$47,MATCH(B474,Overrides!$A$8:$A$47,0))="",0,INDEX(Overrides!$D$8:$D$47,MATCH(B474,Overrides!$A$8:$A$47,0))),0)</f>
        <v>0</v>
      </c>
      <c r="J474" s="38">
        <f t="shared" si="47"/>
        <v>904.71961619147123</v>
      </c>
      <c r="K474" s="18">
        <f t="shared" si="48"/>
        <v>1</v>
      </c>
      <c r="L474" s="38">
        <f t="shared" si="49"/>
        <v>904.71961619147123</v>
      </c>
      <c r="M474" s="23">
        <f t="shared" si="50"/>
        <v>-2.4301387263140719</v>
      </c>
      <c r="N474" s="23">
        <f t="shared" si="51"/>
        <v>0.22985762606490631</v>
      </c>
      <c r="O474" s="6"/>
      <c r="P474" s="18">
        <f t="shared" si="52"/>
        <v>-0.55858591863894769</v>
      </c>
    </row>
    <row r="475" spans="1:16" ht="15" customHeight="1" x14ac:dyDescent="0.3">
      <c r="A475" s="7" t="str">
        <f>Raw_Players!A437</f>
        <v>OKC</v>
      </c>
      <c r="B475" s="7" t="str">
        <f>Raw_Players!B437</f>
        <v>Kenrich Williams</v>
      </c>
      <c r="C475" s="37">
        <f>Raw_Players!E437</f>
        <v>9.0084026292550107E-2</v>
      </c>
      <c r="D475" s="31">
        <f>Raw_Players!F437</f>
        <v>882.55764441679241</v>
      </c>
      <c r="E475" s="31">
        <f>Raw_Players!G437</f>
        <v>15.049269950264341</v>
      </c>
      <c r="F475" s="31">
        <f>Raw_Players!H437</f>
        <v>58.644548694622237</v>
      </c>
      <c r="G475" s="31" t="str">
        <f>IFERROR(IF(INDEX(Overrides!$B$8:$B$47,MATCH(B475,Overrides!$A$8:$A$47,0))="","",INDEX(Overrides!$B$8:$B$47,MATCH(B475,Overrides!$A$8:$A$47,0))),"")</f>
        <v/>
      </c>
      <c r="H475" s="31" t="str">
        <f>IFERROR(IF(INDEX(Overrides!$C$8:$C$47,MATCH(B475,Overrides!$A$8:$A$47,0))="","",INDEX(Overrides!$C$8:$C$47,MATCH(B475,Overrides!$A$8:$A$47,0))),"")</f>
        <v/>
      </c>
      <c r="I475" s="36">
        <f>IFERROR(IF(INDEX(Overrides!$D$8:$D$47,MATCH(B475,Overrides!$A$8:$A$47,0))="",0,INDEX(Overrides!$D$8:$D$47,MATCH(B475,Overrides!$A$8:$A$47,0))),0)</f>
        <v>0</v>
      </c>
      <c r="J475" s="38">
        <f t="shared" si="47"/>
        <v>882.55764441679241</v>
      </c>
      <c r="K475" s="18">
        <f t="shared" si="48"/>
        <v>1</v>
      </c>
      <c r="L475" s="38">
        <f t="shared" si="49"/>
        <v>882.55764441679241</v>
      </c>
      <c r="M475" s="23">
        <f t="shared" si="50"/>
        <v>9.0084026292550107E-2</v>
      </c>
      <c r="N475" s="23">
        <f t="shared" si="51"/>
        <v>0.22422704380507938</v>
      </c>
      <c r="O475" s="6"/>
      <c r="P475" s="18">
        <f t="shared" si="52"/>
        <v>2.0199274909637556E-2</v>
      </c>
    </row>
    <row r="476" spans="1:16" ht="15" customHeight="1" x14ac:dyDescent="0.3">
      <c r="A476" s="7" t="str">
        <f>Raw_Players!A438</f>
        <v>OKC</v>
      </c>
      <c r="B476" s="7" t="str">
        <f>Raw_Players!B438</f>
        <v>Nikola Topic</v>
      </c>
      <c r="C476" s="37">
        <f>Raw_Players!E438</f>
        <v>-2.1708591087931008</v>
      </c>
      <c r="D476" s="31">
        <f>Raw_Players!F438</f>
        <v>579.9755046336337</v>
      </c>
      <c r="E476" s="31">
        <f>Raw_Players!G438</f>
        <v>13.3560634815155</v>
      </c>
      <c r="F476" s="31">
        <f>Raw_Players!H438</f>
        <v>43.424135070659631</v>
      </c>
      <c r="G476" s="31" t="str">
        <f>IFERROR(IF(INDEX(Overrides!$B$8:$B$47,MATCH(B476,Overrides!$A$8:$A$47,0))="","",INDEX(Overrides!$B$8:$B$47,MATCH(B476,Overrides!$A$8:$A$47,0))),"")</f>
        <v/>
      </c>
      <c r="H476" s="31" t="str">
        <f>IFERROR(IF(INDEX(Overrides!$C$8:$C$47,MATCH(B476,Overrides!$A$8:$A$47,0))="","",INDEX(Overrides!$C$8:$C$47,MATCH(B476,Overrides!$A$8:$A$47,0))),"")</f>
        <v/>
      </c>
      <c r="I476" s="36">
        <f>IFERROR(IF(INDEX(Overrides!$D$8:$D$47,MATCH(B476,Overrides!$A$8:$A$47,0))="",0,INDEX(Overrides!$D$8:$D$47,MATCH(B476,Overrides!$A$8:$A$47,0))),0)</f>
        <v>0</v>
      </c>
      <c r="J476" s="38">
        <f t="shared" si="47"/>
        <v>579.9755046336337</v>
      </c>
      <c r="K476" s="18">
        <f t="shared" si="48"/>
        <v>1</v>
      </c>
      <c r="L476" s="38">
        <f t="shared" si="49"/>
        <v>579.9755046336337</v>
      </c>
      <c r="M476" s="23">
        <f t="shared" si="50"/>
        <v>-2.1708591087931008</v>
      </c>
      <c r="N476" s="23">
        <f t="shared" si="51"/>
        <v>0.14735150016098417</v>
      </c>
      <c r="O476" s="6"/>
      <c r="P476" s="18">
        <f t="shared" si="52"/>
        <v>-0.31987934631880055</v>
      </c>
    </row>
    <row r="477" spans="1:16" ht="15" customHeight="1" x14ac:dyDescent="0.3">
      <c r="A477" s="7" t="str">
        <f>Raw_Players!A439</f>
        <v>OKC</v>
      </c>
      <c r="B477" s="7" t="str">
        <f>Raw_Players!B439</f>
        <v>Brooks Barnhizer</v>
      </c>
      <c r="C477" s="37">
        <f>Raw_Players!E439</f>
        <v>-2.2329891791142531</v>
      </c>
      <c r="D477" s="31">
        <f>Raw_Players!F439</f>
        <v>505.76081679283789</v>
      </c>
      <c r="E477" s="31">
        <f>Raw_Players!G439</f>
        <v>9.4278095163638849</v>
      </c>
      <c r="F477" s="31">
        <f>Raw_Players!H439</f>
        <v>53.645633793829518</v>
      </c>
      <c r="G477" s="31" t="str">
        <f>IFERROR(IF(INDEX(Overrides!$B$8:$B$47,MATCH(B477,Overrides!$A$8:$A$47,0))="","",INDEX(Overrides!$B$8:$B$47,MATCH(B477,Overrides!$A$8:$A$47,0))),"")</f>
        <v/>
      </c>
      <c r="H477" s="31" t="str">
        <f>IFERROR(IF(INDEX(Overrides!$C$8:$C$47,MATCH(B477,Overrides!$A$8:$A$47,0))="","",INDEX(Overrides!$C$8:$C$47,MATCH(B477,Overrides!$A$8:$A$47,0))),"")</f>
        <v/>
      </c>
      <c r="I477" s="36">
        <f>IFERROR(IF(INDEX(Overrides!$D$8:$D$47,MATCH(B477,Overrides!$A$8:$A$47,0))="",0,INDEX(Overrides!$D$8:$D$47,MATCH(B477,Overrides!$A$8:$A$47,0))),0)</f>
        <v>0</v>
      </c>
      <c r="J477" s="38">
        <f t="shared" si="47"/>
        <v>505.76081679283789</v>
      </c>
      <c r="K477" s="18">
        <f t="shared" si="48"/>
        <v>1</v>
      </c>
      <c r="L477" s="38">
        <f t="shared" si="49"/>
        <v>505.76081679283789</v>
      </c>
      <c r="M477" s="23">
        <f t="shared" si="50"/>
        <v>-2.2329891791142531</v>
      </c>
      <c r="N477" s="23">
        <f t="shared" si="51"/>
        <v>0.12849614247785515</v>
      </c>
      <c r="O477" s="6"/>
      <c r="P477" s="18">
        <f t="shared" si="52"/>
        <v>-0.2869304957109739</v>
      </c>
    </row>
    <row r="478" spans="1:16" ht="15" customHeight="1" x14ac:dyDescent="0.3">
      <c r="A478" s="7" t="str">
        <f>Raw_Players!A440</f>
        <v>OKC</v>
      </c>
      <c r="B478" s="7" t="str">
        <f>Raw_Players!B440</f>
        <v>Josh Dix</v>
      </c>
      <c r="C478" s="37">
        <f>Raw_Players!E440</f>
        <v>-3.1867960702466678</v>
      </c>
      <c r="D478" s="31">
        <f>Raw_Players!F440</f>
        <v>381.86064629587389</v>
      </c>
      <c r="E478" s="31">
        <f>Raw_Players!G440</f>
        <v>12.58675294679057</v>
      </c>
      <c r="F478" s="31">
        <f>Raw_Players!H440</f>
        <v>30.338296772023529</v>
      </c>
      <c r="G478" s="31" t="str">
        <f>IFERROR(IF(INDEX(Overrides!$B$8:$B$47,MATCH(B478,Overrides!$A$8:$A$47,0))="","",INDEX(Overrides!$B$8:$B$47,MATCH(B478,Overrides!$A$8:$A$47,0))),"")</f>
        <v/>
      </c>
      <c r="H478" s="31" t="str">
        <f>IFERROR(IF(INDEX(Overrides!$C$8:$C$47,MATCH(B478,Overrides!$A$8:$A$47,0))="","",INDEX(Overrides!$C$8:$C$47,MATCH(B478,Overrides!$A$8:$A$47,0))),"")</f>
        <v/>
      </c>
      <c r="I478" s="36">
        <f>IFERROR(IF(INDEX(Overrides!$D$8:$D$47,MATCH(B478,Overrides!$A$8:$A$47,0))="",0,INDEX(Overrides!$D$8:$D$47,MATCH(B478,Overrides!$A$8:$A$47,0))),0)</f>
        <v>0</v>
      </c>
      <c r="J478" s="38">
        <f t="shared" si="47"/>
        <v>381.86064629587389</v>
      </c>
      <c r="K478" s="18">
        <f t="shared" si="48"/>
        <v>1</v>
      </c>
      <c r="L478" s="38">
        <f t="shared" si="49"/>
        <v>381.86064629587389</v>
      </c>
      <c r="M478" s="23">
        <f t="shared" si="50"/>
        <v>-3.1867960702466678</v>
      </c>
      <c r="N478" s="23">
        <f t="shared" si="51"/>
        <v>9.7017440623951706E-2</v>
      </c>
      <c r="O478" s="6"/>
      <c r="P478" s="18">
        <f t="shared" si="52"/>
        <v>-0.30917479852579871</v>
      </c>
    </row>
    <row r="479" spans="1:16" ht="15" customHeight="1" x14ac:dyDescent="0.3">
      <c r="A479" s="7" t="str">
        <f>Raw_Players!A441</f>
        <v>OKC</v>
      </c>
      <c r="B479" s="7" t="str">
        <f>Raw_Players!B441</f>
        <v>Andrew Holifield</v>
      </c>
      <c r="C479" s="37">
        <f>Raw_Players!E441</f>
        <v>-3.1867960702466678</v>
      </c>
      <c r="D479" s="31">
        <f>Raw_Players!F441</f>
        <v>381.86064629587389</v>
      </c>
      <c r="E479" s="31">
        <f>Raw_Players!G441</f>
        <v>12.58675294679057</v>
      </c>
      <c r="F479" s="31">
        <f>Raw_Players!H441</f>
        <v>30.338296772023529</v>
      </c>
      <c r="G479" s="31" t="str">
        <f>IFERROR(IF(INDEX(Overrides!$B$8:$B$47,MATCH(B479,Overrides!$A$8:$A$47,0))="","",INDEX(Overrides!$B$8:$B$47,MATCH(B479,Overrides!$A$8:$A$47,0))),"")</f>
        <v/>
      </c>
      <c r="H479" s="31" t="str">
        <f>IFERROR(IF(INDEX(Overrides!$C$8:$C$47,MATCH(B479,Overrides!$A$8:$A$47,0))="","",INDEX(Overrides!$C$8:$C$47,MATCH(B479,Overrides!$A$8:$A$47,0))),"")</f>
        <v/>
      </c>
      <c r="I479" s="36">
        <f>IFERROR(IF(INDEX(Overrides!$D$8:$D$47,MATCH(B479,Overrides!$A$8:$A$47,0))="",0,INDEX(Overrides!$D$8:$D$47,MATCH(B479,Overrides!$A$8:$A$47,0))),0)</f>
        <v>0</v>
      </c>
      <c r="J479" s="38">
        <f t="shared" si="47"/>
        <v>381.86064629587389</v>
      </c>
      <c r="K479" s="18">
        <f t="shared" si="48"/>
        <v>1</v>
      </c>
      <c r="L479" s="38">
        <f t="shared" si="49"/>
        <v>381.86064629587389</v>
      </c>
      <c r="M479" s="23">
        <f t="shared" si="50"/>
        <v>-3.1867960702466678</v>
      </c>
      <c r="N479" s="23">
        <f t="shared" si="51"/>
        <v>9.7017440623951706E-2</v>
      </c>
      <c r="O479" s="6"/>
      <c r="P479" s="18">
        <f t="shared" si="52"/>
        <v>-0.30917479852579871</v>
      </c>
    </row>
    <row r="480" spans="1:16" ht="15" customHeight="1" x14ac:dyDescent="0.3">
      <c r="A480" s="7" t="str">
        <f>Raw_Players!A442</f>
        <v>OKC</v>
      </c>
      <c r="B480" s="7" t="str">
        <f>Raw_Players!B442</f>
        <v>Robert McCray V</v>
      </c>
      <c r="C480" s="37">
        <f>Raw_Players!E442</f>
        <v>-3.1867960702466678</v>
      </c>
      <c r="D480" s="31">
        <f>Raw_Players!F442</f>
        <v>381.86064629587389</v>
      </c>
      <c r="E480" s="31">
        <f>Raw_Players!G442</f>
        <v>12.58675294679057</v>
      </c>
      <c r="F480" s="31">
        <f>Raw_Players!H442</f>
        <v>30.338296772023529</v>
      </c>
      <c r="G480" s="31" t="str">
        <f>IFERROR(IF(INDEX(Overrides!$B$8:$B$47,MATCH(B480,Overrides!$A$8:$A$47,0))="","",INDEX(Overrides!$B$8:$B$47,MATCH(B480,Overrides!$A$8:$A$47,0))),"")</f>
        <v/>
      </c>
      <c r="H480" s="31" t="str">
        <f>IFERROR(IF(INDEX(Overrides!$C$8:$C$47,MATCH(B480,Overrides!$A$8:$A$47,0))="","",INDEX(Overrides!$C$8:$C$47,MATCH(B480,Overrides!$A$8:$A$47,0))),"")</f>
        <v/>
      </c>
      <c r="I480" s="36">
        <f>IFERROR(IF(INDEX(Overrides!$D$8:$D$47,MATCH(B480,Overrides!$A$8:$A$47,0))="",0,INDEX(Overrides!$D$8:$D$47,MATCH(B480,Overrides!$A$8:$A$47,0))),0)</f>
        <v>0</v>
      </c>
      <c r="J480" s="38">
        <f t="shared" si="47"/>
        <v>381.86064629587389</v>
      </c>
      <c r="K480" s="18">
        <f t="shared" si="48"/>
        <v>1</v>
      </c>
      <c r="L480" s="38">
        <f t="shared" si="49"/>
        <v>381.86064629587389</v>
      </c>
      <c r="M480" s="23">
        <f t="shared" si="50"/>
        <v>-3.1867960702466678</v>
      </c>
      <c r="N480" s="23">
        <f t="shared" si="51"/>
        <v>9.7017440623951706E-2</v>
      </c>
      <c r="O480" s="6"/>
      <c r="P480" s="18">
        <f t="shared" si="52"/>
        <v>-0.30917479852579871</v>
      </c>
    </row>
    <row r="481" spans="1:16" ht="15" customHeight="1" x14ac:dyDescent="0.3">
      <c r="A481" s="7" t="str">
        <f>Raw_Players!A443</f>
        <v>OKC</v>
      </c>
      <c r="B481" s="7" t="str">
        <f>Raw_Players!B443</f>
        <v>Anthony Pritchard</v>
      </c>
      <c r="C481" s="37">
        <f>Raw_Players!E443</f>
        <v>-3.1867960702466678</v>
      </c>
      <c r="D481" s="31">
        <f>Raw_Players!F443</f>
        <v>381.86064629587389</v>
      </c>
      <c r="E481" s="31">
        <f>Raw_Players!G443</f>
        <v>12.58675294679057</v>
      </c>
      <c r="F481" s="31">
        <f>Raw_Players!H443</f>
        <v>30.338296772023529</v>
      </c>
      <c r="G481" s="31" t="str">
        <f>IFERROR(IF(INDEX(Overrides!$B$8:$B$47,MATCH(B481,Overrides!$A$8:$A$47,0))="","",INDEX(Overrides!$B$8:$B$47,MATCH(B481,Overrides!$A$8:$A$47,0))),"")</f>
        <v/>
      </c>
      <c r="H481" s="31" t="str">
        <f>IFERROR(IF(INDEX(Overrides!$C$8:$C$47,MATCH(B481,Overrides!$A$8:$A$47,0))="","",INDEX(Overrides!$C$8:$C$47,MATCH(B481,Overrides!$A$8:$A$47,0))),"")</f>
        <v/>
      </c>
      <c r="I481" s="36">
        <f>IFERROR(IF(INDEX(Overrides!$D$8:$D$47,MATCH(B481,Overrides!$A$8:$A$47,0))="",0,INDEX(Overrides!$D$8:$D$47,MATCH(B481,Overrides!$A$8:$A$47,0))),0)</f>
        <v>0</v>
      </c>
      <c r="J481" s="38">
        <f t="shared" si="47"/>
        <v>381.86064629587389</v>
      </c>
      <c r="K481" s="18">
        <f t="shared" si="48"/>
        <v>1</v>
      </c>
      <c r="L481" s="38">
        <f t="shared" si="49"/>
        <v>381.86064629587389</v>
      </c>
      <c r="M481" s="23">
        <f t="shared" si="50"/>
        <v>-3.1867960702466678</v>
      </c>
      <c r="N481" s="23">
        <f t="shared" si="51"/>
        <v>9.7017440623951706E-2</v>
      </c>
      <c r="O481" s="6"/>
      <c r="P481" s="18">
        <f t="shared" si="52"/>
        <v>-0.30917479852579871</v>
      </c>
    </row>
    <row r="482" spans="1:16" ht="15" customHeight="1" x14ac:dyDescent="0.3">
      <c r="A482" s="7" t="str">
        <f>Raw_Players!A444</f>
        <v>OKC</v>
      </c>
      <c r="B482" s="7" t="str">
        <f>Raw_Players!B444</f>
        <v>Thomas Sorber</v>
      </c>
      <c r="C482" s="37">
        <f>Raw_Players!E444</f>
        <v>-2.1425964511457449</v>
      </c>
      <c r="D482" s="31">
        <f>Raw_Players!F444</f>
        <v>381.86064629587389</v>
      </c>
      <c r="E482" s="31">
        <f>Raw_Players!G444</f>
        <v>12.58675294679057</v>
      </c>
      <c r="F482" s="31">
        <f>Raw_Players!H444</f>
        <v>30.338296772023529</v>
      </c>
      <c r="G482" s="31" t="str">
        <f>IFERROR(IF(INDEX(Overrides!$B$8:$B$47,MATCH(B482,Overrides!$A$8:$A$47,0))="","",INDEX(Overrides!$B$8:$B$47,MATCH(B482,Overrides!$A$8:$A$47,0))),"")</f>
        <v/>
      </c>
      <c r="H482" s="31" t="str">
        <f>IFERROR(IF(INDEX(Overrides!$C$8:$C$47,MATCH(B482,Overrides!$A$8:$A$47,0))="","",INDEX(Overrides!$C$8:$C$47,MATCH(B482,Overrides!$A$8:$A$47,0))),"")</f>
        <v/>
      </c>
      <c r="I482" s="36">
        <f>IFERROR(IF(INDEX(Overrides!$D$8:$D$47,MATCH(B482,Overrides!$A$8:$A$47,0))="",0,INDEX(Overrides!$D$8:$D$47,MATCH(B482,Overrides!$A$8:$A$47,0))),0)</f>
        <v>0</v>
      </c>
      <c r="J482" s="38">
        <f t="shared" si="47"/>
        <v>381.86064629587389</v>
      </c>
      <c r="K482" s="18">
        <f t="shared" si="48"/>
        <v>1</v>
      </c>
      <c r="L482" s="38">
        <f t="shared" si="49"/>
        <v>381.86064629587389</v>
      </c>
      <c r="M482" s="23">
        <f t="shared" si="50"/>
        <v>-2.1425964511457449</v>
      </c>
      <c r="N482" s="23">
        <f t="shared" si="51"/>
        <v>9.7017440623951706E-2</v>
      </c>
      <c r="O482" s="6"/>
      <c r="P482" s="18">
        <f t="shared" si="52"/>
        <v>-0.20786922398012195</v>
      </c>
    </row>
    <row r="483" spans="1:16" ht="15" customHeight="1" x14ac:dyDescent="0.3">
      <c r="A483" s="7" t="str">
        <f>Raw_Players!A445</f>
        <v>OKC</v>
      </c>
      <c r="B483" s="7" t="str">
        <f>Raw_Players!B445</f>
        <v>Christoph Tilly</v>
      </c>
      <c r="C483" s="37">
        <f>Raw_Players!E445</f>
        <v>-3.1867960702466678</v>
      </c>
      <c r="D483" s="31">
        <f>Raw_Players!F445</f>
        <v>381.86064629587389</v>
      </c>
      <c r="E483" s="31">
        <f>Raw_Players!G445</f>
        <v>12.58675294679057</v>
      </c>
      <c r="F483" s="31">
        <f>Raw_Players!H445</f>
        <v>30.338296772023529</v>
      </c>
      <c r="G483" s="31" t="str">
        <f>IFERROR(IF(INDEX(Overrides!$B$8:$B$47,MATCH(B483,Overrides!$A$8:$A$47,0))="","",INDEX(Overrides!$B$8:$B$47,MATCH(B483,Overrides!$A$8:$A$47,0))),"")</f>
        <v/>
      </c>
      <c r="H483" s="31" t="str">
        <f>IFERROR(IF(INDEX(Overrides!$C$8:$C$47,MATCH(B483,Overrides!$A$8:$A$47,0))="","",INDEX(Overrides!$C$8:$C$47,MATCH(B483,Overrides!$A$8:$A$47,0))),"")</f>
        <v/>
      </c>
      <c r="I483" s="36">
        <f>IFERROR(IF(INDEX(Overrides!$D$8:$D$47,MATCH(B483,Overrides!$A$8:$A$47,0))="",0,INDEX(Overrides!$D$8:$D$47,MATCH(B483,Overrides!$A$8:$A$47,0))),0)</f>
        <v>0</v>
      </c>
      <c r="J483" s="38">
        <f t="shared" si="47"/>
        <v>381.86064629587389</v>
      </c>
      <c r="K483" s="18">
        <f t="shared" si="48"/>
        <v>1</v>
      </c>
      <c r="L483" s="38">
        <f t="shared" si="49"/>
        <v>381.86064629587389</v>
      </c>
      <c r="M483" s="23">
        <f t="shared" si="50"/>
        <v>-3.1867960702466678</v>
      </c>
      <c r="N483" s="23">
        <f t="shared" si="51"/>
        <v>9.7017440623951706E-2</v>
      </c>
      <c r="O483" s="6"/>
      <c r="P483" s="18">
        <f t="shared" si="52"/>
        <v>-0.30917479852579871</v>
      </c>
    </row>
    <row r="484" spans="1:16" ht="15" customHeight="1" x14ac:dyDescent="0.3">
      <c r="A484" s="7" t="str">
        <f>Raw_Players!A446</f>
        <v>OKC</v>
      </c>
      <c r="B484" s="7" t="str">
        <f>Raw_Players!B446</f>
        <v>Otega Oweh</v>
      </c>
      <c r="C484" s="37">
        <f>Raw_Players!E446</f>
        <v>-3.50918786511438</v>
      </c>
      <c r="D484" s="31">
        <f>Raw_Players!F446</f>
        <v>0</v>
      </c>
      <c r="E484" s="31">
        <f>Raw_Players!G446</f>
        <v>0</v>
      </c>
      <c r="F484" s="31">
        <f>Raw_Players!H446</f>
        <v>0</v>
      </c>
      <c r="G484" s="31" t="str">
        <f>IFERROR(IF(INDEX(Overrides!$B$8:$B$47,MATCH(B484,Overrides!$A$8:$A$47,0))="","",INDEX(Overrides!$B$8:$B$47,MATCH(B484,Overrides!$A$8:$A$47,0))),"")</f>
        <v/>
      </c>
      <c r="H484" s="31" t="str">
        <f>IFERROR(IF(INDEX(Overrides!$C$8:$C$47,MATCH(B484,Overrides!$A$8:$A$47,0))="","",INDEX(Overrides!$C$8:$C$47,MATCH(B484,Overrides!$A$8:$A$47,0))),"")</f>
        <v/>
      </c>
      <c r="I484" s="36">
        <f>IFERROR(IF(INDEX(Overrides!$D$8:$D$47,MATCH(B484,Overrides!$A$8:$A$47,0))="",0,INDEX(Overrides!$D$8:$D$47,MATCH(B484,Overrides!$A$8:$A$47,0))),0)</f>
        <v>0</v>
      </c>
      <c r="J484" s="38">
        <f t="shared" si="47"/>
        <v>0</v>
      </c>
      <c r="K484" s="18">
        <f t="shared" si="48"/>
        <v>1</v>
      </c>
      <c r="L484" s="38">
        <f t="shared" si="49"/>
        <v>0</v>
      </c>
      <c r="M484" s="23">
        <f t="shared" si="50"/>
        <v>-3.50918786511438</v>
      </c>
      <c r="N484" s="23">
        <f t="shared" si="51"/>
        <v>0</v>
      </c>
      <c r="O484" s="6"/>
      <c r="P484" s="18">
        <f t="shared" si="52"/>
        <v>0</v>
      </c>
    </row>
    <row r="485" spans="1:16" ht="15" customHeight="1" x14ac:dyDescent="0.3">
      <c r="A485" s="7" t="str">
        <f>Raw_Players!A447</f>
        <v>ORL</v>
      </c>
      <c r="B485" s="7" t="str">
        <f>Raw_Players!B447</f>
        <v>Desmond Bane</v>
      </c>
      <c r="C485" s="37">
        <f>Raw_Players!E447</f>
        <v>1.471247172205898</v>
      </c>
      <c r="D485" s="31">
        <f>Raw_Players!F447</f>
        <v>1872.9689954454991</v>
      </c>
      <c r="E485" s="31">
        <f>Raw_Players!G447</f>
        <v>28.305378641792601</v>
      </c>
      <c r="F485" s="31">
        <f>Raw_Players!H447</f>
        <v>66.170073862925818</v>
      </c>
      <c r="G485" s="31" t="str">
        <f>IFERROR(IF(INDEX(Overrides!$B$8:$B$47,MATCH(B485,Overrides!$A$8:$A$47,0))="","",INDEX(Overrides!$B$8:$B$47,MATCH(B485,Overrides!$A$8:$A$47,0))),"")</f>
        <v/>
      </c>
      <c r="H485" s="31" t="str">
        <f>IFERROR(IF(INDEX(Overrides!$C$8:$C$47,MATCH(B485,Overrides!$A$8:$A$47,0))="","",INDEX(Overrides!$C$8:$C$47,MATCH(B485,Overrides!$A$8:$A$47,0))),"")</f>
        <v/>
      </c>
      <c r="I485" s="36">
        <f>IFERROR(IF(INDEX(Overrides!$D$8:$D$47,MATCH(B485,Overrides!$A$8:$A$47,0))="",0,INDEX(Overrides!$D$8:$D$47,MATCH(B485,Overrides!$A$8:$A$47,0))),0)</f>
        <v>0</v>
      </c>
      <c r="J485" s="38">
        <f t="shared" si="47"/>
        <v>1872.9689954454991</v>
      </c>
      <c r="K485" s="18">
        <f t="shared" si="48"/>
        <v>0.99999999999999978</v>
      </c>
      <c r="L485" s="38">
        <f t="shared" si="49"/>
        <v>1872.9689954454986</v>
      </c>
      <c r="M485" s="23">
        <f t="shared" si="50"/>
        <v>1.471247172205898</v>
      </c>
      <c r="N485" s="23">
        <f t="shared" si="51"/>
        <v>0.47585594396481162</v>
      </c>
      <c r="O485" s="6"/>
      <c r="P485" s="18">
        <f t="shared" si="52"/>
        <v>0.70010171193559734</v>
      </c>
    </row>
    <row r="486" spans="1:16" ht="15" customHeight="1" x14ac:dyDescent="0.3">
      <c r="A486" s="7" t="str">
        <f>Raw_Players!A448</f>
        <v>ORL</v>
      </c>
      <c r="B486" s="7" t="str">
        <f>Raw_Players!B448</f>
        <v>Paolo Banchero</v>
      </c>
      <c r="C486" s="37">
        <f>Raw_Players!E448</f>
        <v>1.4012090968859381</v>
      </c>
      <c r="D486" s="31">
        <f>Raw_Players!F448</f>
        <v>1845.4713363318749</v>
      </c>
      <c r="E486" s="31">
        <f>Raw_Players!G448</f>
        <v>29.607781335772419</v>
      </c>
      <c r="F486" s="31">
        <f>Raw_Players!H448</f>
        <v>62.330618947869553</v>
      </c>
      <c r="G486" s="31" t="str">
        <f>IFERROR(IF(INDEX(Overrides!$B$8:$B$47,MATCH(B486,Overrides!$A$8:$A$47,0))="","",INDEX(Overrides!$B$8:$B$47,MATCH(B486,Overrides!$A$8:$A$47,0))),"")</f>
        <v/>
      </c>
      <c r="H486" s="31" t="str">
        <f>IFERROR(IF(INDEX(Overrides!$C$8:$C$47,MATCH(B486,Overrides!$A$8:$A$47,0))="","",INDEX(Overrides!$C$8:$C$47,MATCH(B486,Overrides!$A$8:$A$47,0))),"")</f>
        <v/>
      </c>
      <c r="I486" s="36">
        <f>IFERROR(IF(INDEX(Overrides!$D$8:$D$47,MATCH(B486,Overrides!$A$8:$A$47,0))="",0,INDEX(Overrides!$D$8:$D$47,MATCH(B486,Overrides!$A$8:$A$47,0))),0)</f>
        <v>0</v>
      </c>
      <c r="J486" s="38">
        <f t="shared" si="47"/>
        <v>1845.4713363318749</v>
      </c>
      <c r="K486" s="18">
        <f t="shared" si="48"/>
        <v>0.99999999999999978</v>
      </c>
      <c r="L486" s="38">
        <f t="shared" si="49"/>
        <v>1845.4713363318745</v>
      </c>
      <c r="M486" s="23">
        <f t="shared" si="50"/>
        <v>1.4012090968859381</v>
      </c>
      <c r="N486" s="23">
        <f t="shared" si="51"/>
        <v>0.46886975008431769</v>
      </c>
      <c r="O486" s="6"/>
      <c r="P486" s="18">
        <f t="shared" si="52"/>
        <v>0.6569845590727823</v>
      </c>
    </row>
    <row r="487" spans="1:16" ht="15" customHeight="1" x14ac:dyDescent="0.3">
      <c r="A487" s="7" t="str">
        <f>Raw_Players!A449</f>
        <v>ORL</v>
      </c>
      <c r="B487" s="7" t="str">
        <f>Raw_Players!B449</f>
        <v>Wendell Carter Jr.</v>
      </c>
      <c r="C487" s="37">
        <f>Raw_Players!E449</f>
        <v>0.38562089332759591</v>
      </c>
      <c r="D487" s="31">
        <f>Raw_Players!F449</f>
        <v>1557.3336263525371</v>
      </c>
      <c r="E487" s="31">
        <f>Raw_Players!G449</f>
        <v>23.84221924117336</v>
      </c>
      <c r="F487" s="31">
        <f>Raw_Players!H449</f>
        <v>65.318316663373466</v>
      </c>
      <c r="G487" s="31" t="str">
        <f>IFERROR(IF(INDEX(Overrides!$B$8:$B$47,MATCH(B487,Overrides!$A$8:$A$47,0))="","",INDEX(Overrides!$B$8:$B$47,MATCH(B487,Overrides!$A$8:$A$47,0))),"")</f>
        <v/>
      </c>
      <c r="H487" s="31" t="str">
        <f>IFERROR(IF(INDEX(Overrides!$C$8:$C$47,MATCH(B487,Overrides!$A$8:$A$47,0))="","",INDEX(Overrides!$C$8:$C$47,MATCH(B487,Overrides!$A$8:$A$47,0))),"")</f>
        <v/>
      </c>
      <c r="I487" s="36">
        <f>IFERROR(IF(INDEX(Overrides!$D$8:$D$47,MATCH(B487,Overrides!$A$8:$A$47,0))="",0,INDEX(Overrides!$D$8:$D$47,MATCH(B487,Overrides!$A$8:$A$47,0))),0)</f>
        <v>0</v>
      </c>
      <c r="J487" s="38">
        <f t="shared" si="47"/>
        <v>1557.3336263525371</v>
      </c>
      <c r="K487" s="18">
        <f t="shared" si="48"/>
        <v>0.99999999999999978</v>
      </c>
      <c r="L487" s="38">
        <f t="shared" si="49"/>
        <v>1557.3336263525366</v>
      </c>
      <c r="M487" s="23">
        <f t="shared" si="50"/>
        <v>0.38562089332759591</v>
      </c>
      <c r="N487" s="23">
        <f t="shared" si="51"/>
        <v>0.39566403108550219</v>
      </c>
      <c r="O487" s="6"/>
      <c r="P487" s="18">
        <f t="shared" si="52"/>
        <v>0.15257631712478903</v>
      </c>
    </row>
    <row r="488" spans="1:16" ht="15" customHeight="1" x14ac:dyDescent="0.3">
      <c r="A488" s="7" t="str">
        <f>Raw_Players!A450</f>
        <v>ORL</v>
      </c>
      <c r="B488" s="7" t="str">
        <f>Raw_Players!B450</f>
        <v>Nikola Vucevic</v>
      </c>
      <c r="C488" s="37">
        <f>Raw_Players!E450</f>
        <v>-0.2002809933304458</v>
      </c>
      <c r="D488" s="31">
        <f>Raw_Players!F450</f>
        <v>1548.311178716785</v>
      </c>
      <c r="E488" s="31">
        <f>Raw_Players!G450</f>
        <v>26.1855309383755</v>
      </c>
      <c r="F488" s="31">
        <f>Raw_Players!H450</f>
        <v>59.12850048221474</v>
      </c>
      <c r="G488" s="31" t="str">
        <f>IFERROR(IF(INDEX(Overrides!$B$8:$B$47,MATCH(B488,Overrides!$A$8:$A$47,0))="","",INDEX(Overrides!$B$8:$B$47,MATCH(B488,Overrides!$A$8:$A$47,0))),"")</f>
        <v/>
      </c>
      <c r="H488" s="31" t="str">
        <f>IFERROR(IF(INDEX(Overrides!$C$8:$C$47,MATCH(B488,Overrides!$A$8:$A$47,0))="","",INDEX(Overrides!$C$8:$C$47,MATCH(B488,Overrides!$A$8:$A$47,0))),"")</f>
        <v/>
      </c>
      <c r="I488" s="36">
        <f>IFERROR(IF(INDEX(Overrides!$D$8:$D$47,MATCH(B488,Overrides!$A$8:$A$47,0))="",0,INDEX(Overrides!$D$8:$D$47,MATCH(B488,Overrides!$A$8:$A$47,0))),0)</f>
        <v>0</v>
      </c>
      <c r="J488" s="38">
        <f t="shared" si="47"/>
        <v>1548.311178716785</v>
      </c>
      <c r="K488" s="18">
        <f t="shared" si="48"/>
        <v>0.99999999999999978</v>
      </c>
      <c r="L488" s="38">
        <f t="shared" si="49"/>
        <v>1548.3111787167845</v>
      </c>
      <c r="M488" s="23">
        <f t="shared" si="50"/>
        <v>-0.2002809933304458</v>
      </c>
      <c r="N488" s="23">
        <f t="shared" si="51"/>
        <v>0.39337174256015867</v>
      </c>
      <c r="O488" s="6"/>
      <c r="P488" s="18">
        <f t="shared" si="52"/>
        <v>-7.8784883348076984E-2</v>
      </c>
    </row>
    <row r="489" spans="1:16" ht="15" customHeight="1" x14ac:dyDescent="0.3">
      <c r="A489" s="7" t="str">
        <f>Raw_Players!A451</f>
        <v>ORL</v>
      </c>
      <c r="B489" s="7" t="str">
        <f>Raw_Players!B451</f>
        <v>Franz Wagner</v>
      </c>
      <c r="C489" s="37">
        <f>Raw_Players!E451</f>
        <v>2.2101112963451519</v>
      </c>
      <c r="D489" s="31">
        <f>Raw_Players!F451</f>
        <v>1463.420949313462</v>
      </c>
      <c r="E489" s="31">
        <f>Raw_Players!G451</f>
        <v>27.160159005938841</v>
      </c>
      <c r="F489" s="31">
        <f>Raw_Players!H451</f>
        <v>53.881162808858022</v>
      </c>
      <c r="G489" s="31" t="str">
        <f>IFERROR(IF(INDEX(Overrides!$B$8:$B$47,MATCH(B489,Overrides!$A$8:$A$47,0))="","",INDEX(Overrides!$B$8:$B$47,MATCH(B489,Overrides!$A$8:$A$47,0))),"")</f>
        <v/>
      </c>
      <c r="H489" s="31" t="str">
        <f>IFERROR(IF(INDEX(Overrides!$C$8:$C$47,MATCH(B489,Overrides!$A$8:$A$47,0))="","",INDEX(Overrides!$C$8:$C$47,MATCH(B489,Overrides!$A$8:$A$47,0))),"")</f>
        <v/>
      </c>
      <c r="I489" s="36">
        <f>IFERROR(IF(INDEX(Overrides!$D$8:$D$47,MATCH(B489,Overrides!$A$8:$A$47,0))="",0,INDEX(Overrides!$D$8:$D$47,MATCH(B489,Overrides!$A$8:$A$47,0))),0)</f>
        <v>0</v>
      </c>
      <c r="J489" s="38">
        <f t="shared" si="47"/>
        <v>1463.420949313462</v>
      </c>
      <c r="K489" s="18">
        <f t="shared" si="48"/>
        <v>0.99999999999999978</v>
      </c>
      <c r="L489" s="38">
        <f t="shared" si="49"/>
        <v>1463.4209493134617</v>
      </c>
      <c r="M489" s="23">
        <f t="shared" si="50"/>
        <v>2.2101112963451519</v>
      </c>
      <c r="N489" s="23">
        <f t="shared" si="51"/>
        <v>0.37180410297598115</v>
      </c>
      <c r="O489" s="6"/>
      <c r="P489" s="18">
        <f t="shared" si="52"/>
        <v>0.82172844801469203</v>
      </c>
    </row>
    <row r="490" spans="1:16" ht="15" customHeight="1" x14ac:dyDescent="0.3">
      <c r="A490" s="7" t="str">
        <f>Raw_Players!A452</f>
        <v>ORL</v>
      </c>
      <c r="B490" s="7" t="str">
        <f>Raw_Players!B452</f>
        <v>Anthony Black</v>
      </c>
      <c r="C490" s="37">
        <f>Raw_Players!E452</f>
        <v>7.4930383709145704E-2</v>
      </c>
      <c r="D490" s="31">
        <f>Raw_Players!F452</f>
        <v>1393.980263190005</v>
      </c>
      <c r="E490" s="31">
        <f>Raw_Players!G452</f>
        <v>22.005927889957221</v>
      </c>
      <c r="F490" s="31">
        <f>Raw_Players!H452</f>
        <v>63.345670773835941</v>
      </c>
      <c r="G490" s="31" t="str">
        <f>IFERROR(IF(INDEX(Overrides!$B$8:$B$47,MATCH(B490,Overrides!$A$8:$A$47,0))="","",INDEX(Overrides!$B$8:$B$47,MATCH(B490,Overrides!$A$8:$A$47,0))),"")</f>
        <v/>
      </c>
      <c r="H490" s="31" t="str">
        <f>IFERROR(IF(INDEX(Overrides!$C$8:$C$47,MATCH(B490,Overrides!$A$8:$A$47,0))="","",INDEX(Overrides!$C$8:$C$47,MATCH(B490,Overrides!$A$8:$A$47,0))),"")</f>
        <v/>
      </c>
      <c r="I490" s="36">
        <f>IFERROR(IF(INDEX(Overrides!$D$8:$D$47,MATCH(B490,Overrides!$A$8:$A$47,0))="",0,INDEX(Overrides!$D$8:$D$47,MATCH(B490,Overrides!$A$8:$A$47,0))),0)</f>
        <v>0</v>
      </c>
      <c r="J490" s="38">
        <f t="shared" si="47"/>
        <v>1393.980263190005</v>
      </c>
      <c r="K490" s="18">
        <f t="shared" si="48"/>
        <v>0.99999999999999978</v>
      </c>
      <c r="L490" s="38">
        <f t="shared" si="49"/>
        <v>1393.9802631900047</v>
      </c>
      <c r="M490" s="23">
        <f t="shared" si="50"/>
        <v>7.4930383709145704E-2</v>
      </c>
      <c r="N490" s="23">
        <f t="shared" si="51"/>
        <v>0.35416165223323293</v>
      </c>
      <c r="O490" s="6"/>
      <c r="P490" s="18">
        <f t="shared" si="52"/>
        <v>2.6537468496901164E-2</v>
      </c>
    </row>
    <row r="491" spans="1:16" ht="15" customHeight="1" x14ac:dyDescent="0.3">
      <c r="A491" s="7" t="str">
        <f>Raw_Players!A453</f>
        <v>ORL</v>
      </c>
      <c r="B491" s="7" t="str">
        <f>Raw_Players!B453</f>
        <v>Jalen Suggs</v>
      </c>
      <c r="C491" s="37">
        <f>Raw_Players!E453</f>
        <v>1.9011683718907879</v>
      </c>
      <c r="D491" s="31">
        <f>Raw_Players!F453</f>
        <v>1351.1532256827979</v>
      </c>
      <c r="E491" s="31">
        <f>Raw_Players!G453</f>
        <v>23.5681359405195</v>
      </c>
      <c r="F491" s="31">
        <f>Raw_Players!H453</f>
        <v>57.329660228233379</v>
      </c>
      <c r="G491" s="31" t="str">
        <f>IFERROR(IF(INDEX(Overrides!$B$8:$B$47,MATCH(B491,Overrides!$A$8:$A$47,0))="","",INDEX(Overrides!$B$8:$B$47,MATCH(B491,Overrides!$A$8:$A$47,0))),"")</f>
        <v/>
      </c>
      <c r="H491" s="31" t="str">
        <f>IFERROR(IF(INDEX(Overrides!$C$8:$C$47,MATCH(B491,Overrides!$A$8:$A$47,0))="","",INDEX(Overrides!$C$8:$C$47,MATCH(B491,Overrides!$A$8:$A$47,0))),"")</f>
        <v/>
      </c>
      <c r="I491" s="36">
        <f>IFERROR(IF(INDEX(Overrides!$D$8:$D$47,MATCH(B491,Overrides!$A$8:$A$47,0))="",0,INDEX(Overrides!$D$8:$D$47,MATCH(B491,Overrides!$A$8:$A$47,0))),0)</f>
        <v>0</v>
      </c>
      <c r="J491" s="38">
        <f t="shared" si="47"/>
        <v>1351.1532256827979</v>
      </c>
      <c r="K491" s="18">
        <f t="shared" si="48"/>
        <v>0.99999999999999978</v>
      </c>
      <c r="L491" s="38">
        <f t="shared" si="49"/>
        <v>1351.1532256827977</v>
      </c>
      <c r="M491" s="23">
        <f t="shared" si="50"/>
        <v>1.9011683718907879</v>
      </c>
      <c r="N491" s="23">
        <f t="shared" si="51"/>
        <v>0.3432807992080279</v>
      </c>
      <c r="O491" s="6"/>
      <c r="P491" s="18">
        <f t="shared" si="52"/>
        <v>0.65263459813169489</v>
      </c>
    </row>
    <row r="492" spans="1:16" ht="15" customHeight="1" x14ac:dyDescent="0.3">
      <c r="A492" s="7" t="str">
        <f>Raw_Players!A454</f>
        <v>ORL</v>
      </c>
      <c r="B492" s="7" t="str">
        <f>Raw_Players!B454</f>
        <v>Tristan da Silva</v>
      </c>
      <c r="C492" s="37">
        <f>Raw_Players!E454</f>
        <v>-0.65386823193630272</v>
      </c>
      <c r="D492" s="31">
        <f>Raw_Players!F454</f>
        <v>1335.301297048401</v>
      </c>
      <c r="E492" s="31">
        <f>Raw_Players!G454</f>
        <v>20.232885304358089</v>
      </c>
      <c r="F492" s="31">
        <f>Raw_Players!H454</f>
        <v>65.996583134921551</v>
      </c>
      <c r="G492" s="31" t="str">
        <f>IFERROR(IF(INDEX(Overrides!$B$8:$B$47,MATCH(B492,Overrides!$A$8:$A$47,0))="","",INDEX(Overrides!$B$8:$B$47,MATCH(B492,Overrides!$A$8:$A$47,0))),"")</f>
        <v/>
      </c>
      <c r="H492" s="31" t="str">
        <f>IFERROR(IF(INDEX(Overrides!$C$8:$C$47,MATCH(B492,Overrides!$A$8:$A$47,0))="","",INDEX(Overrides!$C$8:$C$47,MATCH(B492,Overrides!$A$8:$A$47,0))),"")</f>
        <v/>
      </c>
      <c r="I492" s="36">
        <f>IFERROR(IF(INDEX(Overrides!$D$8:$D$47,MATCH(B492,Overrides!$A$8:$A$47,0))="",0,INDEX(Overrides!$D$8:$D$47,MATCH(B492,Overrides!$A$8:$A$47,0))),0)</f>
        <v>0</v>
      </c>
      <c r="J492" s="38">
        <f t="shared" si="47"/>
        <v>1335.301297048401</v>
      </c>
      <c r="K492" s="18">
        <f t="shared" si="48"/>
        <v>0.99999999999999978</v>
      </c>
      <c r="L492" s="38">
        <f t="shared" si="49"/>
        <v>1335.3012970484008</v>
      </c>
      <c r="M492" s="23">
        <f t="shared" si="50"/>
        <v>-0.65386823193630272</v>
      </c>
      <c r="N492" s="23">
        <f t="shared" si="51"/>
        <v>0.33925337831514246</v>
      </c>
      <c r="O492" s="6"/>
      <c r="P492" s="18">
        <f t="shared" si="52"/>
        <v>-0.22182700665733981</v>
      </c>
    </row>
    <row r="493" spans="1:16" ht="15" customHeight="1" x14ac:dyDescent="0.3">
      <c r="A493" s="7" t="str">
        <f>Raw_Players!A455</f>
        <v>ORL</v>
      </c>
      <c r="B493" s="7" t="str">
        <f>Raw_Players!B455</f>
        <v>Goga Bitadze</v>
      </c>
      <c r="C493" s="37">
        <f>Raw_Players!E455</f>
        <v>1.6900425958276599</v>
      </c>
      <c r="D493" s="31">
        <f>Raw_Players!F455</f>
        <v>919.38071579148357</v>
      </c>
      <c r="E493" s="31">
        <f>Raw_Players!G455</f>
        <v>14.832124811441849</v>
      </c>
      <c r="F493" s="31">
        <f>Raw_Players!H455</f>
        <v>61.985772603683287</v>
      </c>
      <c r="G493" s="31" t="str">
        <f>IFERROR(IF(INDEX(Overrides!$B$8:$B$47,MATCH(B493,Overrides!$A$8:$A$47,0))="","",INDEX(Overrides!$B$8:$B$47,MATCH(B493,Overrides!$A$8:$A$47,0))),"")</f>
        <v/>
      </c>
      <c r="H493" s="31" t="str">
        <f>IFERROR(IF(INDEX(Overrides!$C$8:$C$47,MATCH(B493,Overrides!$A$8:$A$47,0))="","",INDEX(Overrides!$C$8:$C$47,MATCH(B493,Overrides!$A$8:$A$47,0))),"")</f>
        <v/>
      </c>
      <c r="I493" s="36">
        <f>IFERROR(IF(INDEX(Overrides!$D$8:$D$47,MATCH(B493,Overrides!$A$8:$A$47,0))="",0,INDEX(Overrides!$D$8:$D$47,MATCH(B493,Overrides!$A$8:$A$47,0))),0)</f>
        <v>0</v>
      </c>
      <c r="J493" s="38">
        <f t="shared" si="47"/>
        <v>919.38071579148357</v>
      </c>
      <c r="K493" s="18">
        <f t="shared" si="48"/>
        <v>0.99999999999999978</v>
      </c>
      <c r="L493" s="38">
        <f t="shared" si="49"/>
        <v>919.38071579148334</v>
      </c>
      <c r="M493" s="23">
        <f t="shared" si="50"/>
        <v>1.6900425958276599</v>
      </c>
      <c r="N493" s="23">
        <f t="shared" si="51"/>
        <v>0.23358249893076305</v>
      </c>
      <c r="O493" s="6"/>
      <c r="P493" s="18">
        <f t="shared" si="52"/>
        <v>0.39476437283285837</v>
      </c>
    </row>
    <row r="494" spans="1:16" ht="15" customHeight="1" x14ac:dyDescent="0.3">
      <c r="A494" s="7" t="str">
        <f>Raw_Players!A456</f>
        <v>ORL</v>
      </c>
      <c r="B494" s="7" t="str">
        <f>Raw_Players!B456</f>
        <v>Jevon Carter</v>
      </c>
      <c r="C494" s="37">
        <f>Raw_Players!E456</f>
        <v>-1.605166819815979</v>
      </c>
      <c r="D494" s="31">
        <f>Raw_Players!F456</f>
        <v>683.64315510935285</v>
      </c>
      <c r="E494" s="31">
        <f>Raw_Players!G456</f>
        <v>12.47277095118085</v>
      </c>
      <c r="F494" s="31">
        <f>Raw_Players!H456</f>
        <v>54.810848189642208</v>
      </c>
      <c r="G494" s="31" t="str">
        <f>IFERROR(IF(INDEX(Overrides!$B$8:$B$47,MATCH(B494,Overrides!$A$8:$A$47,0))="","",INDEX(Overrides!$B$8:$B$47,MATCH(B494,Overrides!$A$8:$A$47,0))),"")</f>
        <v/>
      </c>
      <c r="H494" s="31" t="str">
        <f>IFERROR(IF(INDEX(Overrides!$C$8:$C$47,MATCH(B494,Overrides!$A$8:$A$47,0))="","",INDEX(Overrides!$C$8:$C$47,MATCH(B494,Overrides!$A$8:$A$47,0))),"")</f>
        <v/>
      </c>
      <c r="I494" s="36">
        <f>IFERROR(IF(INDEX(Overrides!$D$8:$D$47,MATCH(B494,Overrides!$A$8:$A$47,0))="",0,INDEX(Overrides!$D$8:$D$47,MATCH(B494,Overrides!$A$8:$A$47,0))),0)</f>
        <v>0</v>
      </c>
      <c r="J494" s="38">
        <f t="shared" ref="J494:J557" si="53">IF(AND(G494="",H494=""),D494,IF(H494="",F494,H494)*IF(G494="",E494,G494))</f>
        <v>683.64315510935285</v>
      </c>
      <c r="K494" s="18">
        <f t="shared" ref="K494:K557" si="54">A_teamminutes/SUMIF($A$46:$A$672,A494,$J$46:$J$672)</f>
        <v>0.99999999999999978</v>
      </c>
      <c r="L494" s="38">
        <f t="shared" ref="L494:L557" si="55">J494*K494</f>
        <v>683.64315510935273</v>
      </c>
      <c r="M494" s="23">
        <f t="shared" ref="M494:M557" si="56">C494+I494</f>
        <v>-1.605166819815979</v>
      </c>
      <c r="N494" s="23">
        <f t="shared" ref="N494:N557" si="57">L494/(A_teamminutes/5)</f>
        <v>0.17368982599322985</v>
      </c>
      <c r="O494" s="6"/>
      <c r="P494" s="18">
        <f t="shared" ref="P494:P557" si="58">N494*M494</f>
        <v>-0.27880114562394354</v>
      </c>
    </row>
    <row r="495" spans="1:16" ht="15" customHeight="1" x14ac:dyDescent="0.3">
      <c r="A495" s="7" t="str">
        <f>Raw_Players!A457</f>
        <v>ORL</v>
      </c>
      <c r="B495" s="7" t="str">
        <f>Raw_Players!B457</f>
        <v>Noah Penda</v>
      </c>
      <c r="C495" s="37">
        <f>Raw_Players!E457</f>
        <v>-0.68260694449476689</v>
      </c>
      <c r="D495" s="31">
        <f>Raw_Players!F457</f>
        <v>682.60021962225881</v>
      </c>
      <c r="E495" s="31">
        <f>Raw_Players!G457</f>
        <v>11.317440703957811</v>
      </c>
      <c r="F495" s="31">
        <f>Raw_Players!H457</f>
        <v>60.314008924610263</v>
      </c>
      <c r="G495" s="31" t="str">
        <f>IFERROR(IF(INDEX(Overrides!$B$8:$B$47,MATCH(B495,Overrides!$A$8:$A$47,0))="","",INDEX(Overrides!$B$8:$B$47,MATCH(B495,Overrides!$A$8:$A$47,0))),"")</f>
        <v/>
      </c>
      <c r="H495" s="31" t="str">
        <f>IFERROR(IF(INDEX(Overrides!$C$8:$C$47,MATCH(B495,Overrides!$A$8:$A$47,0))="","",INDEX(Overrides!$C$8:$C$47,MATCH(B495,Overrides!$A$8:$A$47,0))),"")</f>
        <v/>
      </c>
      <c r="I495" s="36">
        <f>IFERROR(IF(INDEX(Overrides!$D$8:$D$47,MATCH(B495,Overrides!$A$8:$A$47,0))="",0,INDEX(Overrides!$D$8:$D$47,MATCH(B495,Overrides!$A$8:$A$47,0))),0)</f>
        <v>0</v>
      </c>
      <c r="J495" s="38">
        <f t="shared" si="53"/>
        <v>682.60021962225881</v>
      </c>
      <c r="K495" s="18">
        <f t="shared" si="54"/>
        <v>0.99999999999999978</v>
      </c>
      <c r="L495" s="38">
        <f t="shared" si="55"/>
        <v>682.60021962225869</v>
      </c>
      <c r="M495" s="23">
        <f t="shared" si="56"/>
        <v>-0.68260694449476689</v>
      </c>
      <c r="N495" s="23">
        <f t="shared" si="57"/>
        <v>0.17342485254630557</v>
      </c>
      <c r="O495" s="6"/>
      <c r="P495" s="18">
        <f t="shared" si="58"/>
        <v>-0.11838100869608914</v>
      </c>
    </row>
    <row r="496" spans="1:16" ht="15" customHeight="1" x14ac:dyDescent="0.3">
      <c r="A496" s="7" t="str">
        <f>Raw_Players!A458</f>
        <v>ORL</v>
      </c>
      <c r="B496" s="7" t="str">
        <f>Raw_Players!B458</f>
        <v>Jonathan Isaac</v>
      </c>
      <c r="C496" s="37">
        <f>Raw_Players!E458</f>
        <v>0.35790471499981241</v>
      </c>
      <c r="D496" s="31">
        <f>Raw_Players!F458</f>
        <v>677.21764841170284</v>
      </c>
      <c r="E496" s="31">
        <f>Raw_Players!G458</f>
        <v>11.57101019408219</v>
      </c>
      <c r="F496" s="31">
        <f>Raw_Players!H458</f>
        <v>58.527098071182657</v>
      </c>
      <c r="G496" s="31" t="str">
        <f>IFERROR(IF(INDEX(Overrides!$B$8:$B$47,MATCH(B496,Overrides!$A$8:$A$47,0))="","",INDEX(Overrides!$B$8:$B$47,MATCH(B496,Overrides!$A$8:$A$47,0))),"")</f>
        <v/>
      </c>
      <c r="H496" s="31" t="str">
        <f>IFERROR(IF(INDEX(Overrides!$C$8:$C$47,MATCH(B496,Overrides!$A$8:$A$47,0))="","",INDEX(Overrides!$C$8:$C$47,MATCH(B496,Overrides!$A$8:$A$47,0))),"")</f>
        <v/>
      </c>
      <c r="I496" s="36">
        <f>IFERROR(IF(INDEX(Overrides!$D$8:$D$47,MATCH(B496,Overrides!$A$8:$A$47,0))="",0,INDEX(Overrides!$D$8:$D$47,MATCH(B496,Overrides!$A$8:$A$47,0))),0)</f>
        <v>0</v>
      </c>
      <c r="J496" s="38">
        <f t="shared" si="53"/>
        <v>677.21764841170284</v>
      </c>
      <c r="K496" s="18">
        <f t="shared" si="54"/>
        <v>0.99999999999999978</v>
      </c>
      <c r="L496" s="38">
        <f t="shared" si="55"/>
        <v>677.21764841170273</v>
      </c>
      <c r="M496" s="23">
        <f t="shared" si="56"/>
        <v>0.35790471499981241</v>
      </c>
      <c r="N496" s="23">
        <f t="shared" si="57"/>
        <v>0.17205732937289195</v>
      </c>
      <c r="O496" s="6"/>
      <c r="P496" s="18">
        <f t="shared" si="58"/>
        <v>6.1580129432833745E-2</v>
      </c>
    </row>
    <row r="497" spans="1:16" ht="15" customHeight="1" x14ac:dyDescent="0.3">
      <c r="A497" s="7" t="str">
        <f>Raw_Players!A459</f>
        <v>ORL</v>
      </c>
      <c r="B497" s="7" t="str">
        <f>Raw_Players!B459</f>
        <v>Kevin Knox II</v>
      </c>
      <c r="C497" s="37">
        <f>Raw_Players!E459</f>
        <v>-2.3098952184378838</v>
      </c>
      <c r="D497" s="31">
        <f>Raw_Players!F459</f>
        <v>636.50115723337569</v>
      </c>
      <c r="E497" s="31">
        <f>Raw_Players!G459</f>
        <v>11.3178112063674</v>
      </c>
      <c r="F497" s="31">
        <f>Raw_Players!H459</f>
        <v>56.238891569005858</v>
      </c>
      <c r="G497" s="31" t="str">
        <f>IFERROR(IF(INDEX(Overrides!$B$8:$B$47,MATCH(B497,Overrides!$A$8:$A$47,0))="","",INDEX(Overrides!$B$8:$B$47,MATCH(B497,Overrides!$A$8:$A$47,0))),"")</f>
        <v/>
      </c>
      <c r="H497" s="31" t="str">
        <f>IFERROR(IF(INDEX(Overrides!$C$8:$C$47,MATCH(B497,Overrides!$A$8:$A$47,0))="","",INDEX(Overrides!$C$8:$C$47,MATCH(B497,Overrides!$A$8:$A$47,0))),"")</f>
        <v/>
      </c>
      <c r="I497" s="36">
        <f>IFERROR(IF(INDEX(Overrides!$D$8:$D$47,MATCH(B497,Overrides!$A$8:$A$47,0))="",0,INDEX(Overrides!$D$8:$D$47,MATCH(B497,Overrides!$A$8:$A$47,0))),0)</f>
        <v>0</v>
      </c>
      <c r="J497" s="38">
        <f t="shared" si="53"/>
        <v>636.50115723337569</v>
      </c>
      <c r="K497" s="18">
        <f t="shared" si="54"/>
        <v>0.99999999999999978</v>
      </c>
      <c r="L497" s="38">
        <f t="shared" si="55"/>
        <v>636.50115723337558</v>
      </c>
      <c r="M497" s="23">
        <f t="shared" si="56"/>
        <v>-2.3098952184378838</v>
      </c>
      <c r="N497" s="23">
        <f t="shared" si="57"/>
        <v>0.16171269238652836</v>
      </c>
      <c r="O497" s="6"/>
      <c r="P497" s="18">
        <f t="shared" si="58"/>
        <v>-0.37353937490435823</v>
      </c>
    </row>
    <row r="498" spans="1:16" ht="15" customHeight="1" x14ac:dyDescent="0.3">
      <c r="A498" s="7" t="str">
        <f>Raw_Players!A460</f>
        <v>ORL</v>
      </c>
      <c r="B498" s="7" t="str">
        <f>Raw_Players!B460</f>
        <v>Malaki Branham</v>
      </c>
      <c r="C498" s="37">
        <f>Raw_Players!E460</f>
        <v>-2.4051785475838239</v>
      </c>
      <c r="D498" s="31">
        <f>Raw_Players!F460</f>
        <v>630.53965835085819</v>
      </c>
      <c r="E498" s="31">
        <f>Raw_Players!G460</f>
        <v>11.282138780156281</v>
      </c>
      <c r="F498" s="31">
        <f>Raw_Players!H460</f>
        <v>55.888309002180513</v>
      </c>
      <c r="G498" s="31" t="str">
        <f>IFERROR(IF(INDEX(Overrides!$B$8:$B$47,MATCH(B498,Overrides!$A$8:$A$47,0))="","",INDEX(Overrides!$B$8:$B$47,MATCH(B498,Overrides!$A$8:$A$47,0))),"")</f>
        <v/>
      </c>
      <c r="H498" s="31" t="str">
        <f>IFERROR(IF(INDEX(Overrides!$C$8:$C$47,MATCH(B498,Overrides!$A$8:$A$47,0))="","",INDEX(Overrides!$C$8:$C$47,MATCH(B498,Overrides!$A$8:$A$47,0))),"")</f>
        <v/>
      </c>
      <c r="I498" s="36">
        <f>IFERROR(IF(INDEX(Overrides!$D$8:$D$47,MATCH(B498,Overrides!$A$8:$A$47,0))="",0,INDEX(Overrides!$D$8:$D$47,MATCH(B498,Overrides!$A$8:$A$47,0))),0)</f>
        <v>0</v>
      </c>
      <c r="J498" s="38">
        <f t="shared" si="53"/>
        <v>630.53965835085819</v>
      </c>
      <c r="K498" s="18">
        <f t="shared" si="54"/>
        <v>0.99999999999999978</v>
      </c>
      <c r="L498" s="38">
        <f t="shared" si="55"/>
        <v>630.53965835085808</v>
      </c>
      <c r="M498" s="23">
        <f t="shared" si="56"/>
        <v>-2.4051785475838239</v>
      </c>
      <c r="N498" s="23">
        <f t="shared" si="57"/>
        <v>0.1601980839306042</v>
      </c>
      <c r="O498" s="6"/>
      <c r="P498" s="18">
        <f t="shared" si="58"/>
        <v>-0.38530499483392211</v>
      </c>
    </row>
    <row r="499" spans="1:16" ht="15" customHeight="1" x14ac:dyDescent="0.3">
      <c r="A499" s="7" t="str">
        <f>Raw_Players!A461</f>
        <v>ORL</v>
      </c>
      <c r="B499" s="7" t="str">
        <f>Raw_Players!B461</f>
        <v>Jase Richardson</v>
      </c>
      <c r="C499" s="37">
        <f>Raw_Players!E461</f>
        <v>-1.360601385297648</v>
      </c>
      <c r="D499" s="31">
        <f>Raw_Players!F461</f>
        <v>581.69334243165042</v>
      </c>
      <c r="E499" s="31">
        <f>Raw_Players!G461</f>
        <v>9.9354291289690693</v>
      </c>
      <c r="F499" s="31">
        <f>Raw_Players!H461</f>
        <v>58.547379774023788</v>
      </c>
      <c r="G499" s="31" t="str">
        <f>IFERROR(IF(INDEX(Overrides!$B$8:$B$47,MATCH(B499,Overrides!$A$8:$A$47,0))="","",INDEX(Overrides!$B$8:$B$47,MATCH(B499,Overrides!$A$8:$A$47,0))),"")</f>
        <v/>
      </c>
      <c r="H499" s="31" t="str">
        <f>IFERROR(IF(INDEX(Overrides!$C$8:$C$47,MATCH(B499,Overrides!$A$8:$A$47,0))="","",INDEX(Overrides!$C$8:$C$47,MATCH(B499,Overrides!$A$8:$A$47,0))),"")</f>
        <v/>
      </c>
      <c r="I499" s="36">
        <f>IFERROR(IF(INDEX(Overrides!$D$8:$D$47,MATCH(B499,Overrides!$A$8:$A$47,0))="",0,INDEX(Overrides!$D$8:$D$47,MATCH(B499,Overrides!$A$8:$A$47,0))),0)</f>
        <v>0</v>
      </c>
      <c r="J499" s="38">
        <f t="shared" si="53"/>
        <v>581.69334243165042</v>
      </c>
      <c r="K499" s="18">
        <f t="shared" si="54"/>
        <v>0.99999999999999978</v>
      </c>
      <c r="L499" s="38">
        <f t="shared" si="55"/>
        <v>581.69334243165031</v>
      </c>
      <c r="M499" s="23">
        <f t="shared" si="56"/>
        <v>-1.360601385297648</v>
      </c>
      <c r="N499" s="23">
        <f t="shared" si="57"/>
        <v>0.14778794269096807</v>
      </c>
      <c r="O499" s="6"/>
      <c r="P499" s="18">
        <f t="shared" si="58"/>
        <v>-0.20108047955562056</v>
      </c>
    </row>
    <row r="500" spans="1:16" ht="15" customHeight="1" x14ac:dyDescent="0.3">
      <c r="A500" s="7" t="str">
        <f>Raw_Players!A462</f>
        <v>ORL</v>
      </c>
      <c r="B500" s="7" t="str">
        <f>Raw_Players!B462</f>
        <v>Jamal Cain</v>
      </c>
      <c r="C500" s="37">
        <f>Raw_Players!E462</f>
        <v>-1.2992007442009099</v>
      </c>
      <c r="D500" s="31">
        <f>Raw_Players!F462</f>
        <v>579.61829621423726</v>
      </c>
      <c r="E500" s="31">
        <f>Raw_Players!G462</f>
        <v>10.962401989632911</v>
      </c>
      <c r="F500" s="31">
        <f>Raw_Players!H462</f>
        <v>52.87329334961256</v>
      </c>
      <c r="G500" s="31" t="str">
        <f>IFERROR(IF(INDEX(Overrides!$B$8:$B$47,MATCH(B500,Overrides!$A$8:$A$47,0))="","",INDEX(Overrides!$B$8:$B$47,MATCH(B500,Overrides!$A$8:$A$47,0))),"")</f>
        <v/>
      </c>
      <c r="H500" s="31" t="str">
        <f>IFERROR(IF(INDEX(Overrides!$C$8:$C$47,MATCH(B500,Overrides!$A$8:$A$47,0))="","",INDEX(Overrides!$C$8:$C$47,MATCH(B500,Overrides!$A$8:$A$47,0))),"")</f>
        <v/>
      </c>
      <c r="I500" s="36">
        <f>IFERROR(IF(INDEX(Overrides!$D$8:$D$47,MATCH(B500,Overrides!$A$8:$A$47,0))="",0,INDEX(Overrides!$D$8:$D$47,MATCH(B500,Overrides!$A$8:$A$47,0))),0)</f>
        <v>0</v>
      </c>
      <c r="J500" s="38">
        <f t="shared" si="53"/>
        <v>579.61829621423726</v>
      </c>
      <c r="K500" s="18">
        <f t="shared" si="54"/>
        <v>0.99999999999999978</v>
      </c>
      <c r="L500" s="38">
        <f t="shared" si="55"/>
        <v>579.61829621423715</v>
      </c>
      <c r="M500" s="23">
        <f t="shared" si="56"/>
        <v>-1.2992007442009099</v>
      </c>
      <c r="N500" s="23">
        <f t="shared" si="57"/>
        <v>0.14726074598938951</v>
      </c>
      <c r="O500" s="6"/>
      <c r="P500" s="18">
        <f t="shared" si="58"/>
        <v>-0.19132127078099601</v>
      </c>
    </row>
    <row r="501" spans="1:16" ht="15" customHeight="1" x14ac:dyDescent="0.3">
      <c r="A501" s="7" t="str">
        <f>Raw_Players!A463</f>
        <v>ORL</v>
      </c>
      <c r="B501" s="7" t="str">
        <f>Raw_Players!B463</f>
        <v>Colin Castleton</v>
      </c>
      <c r="C501" s="37">
        <f>Raw_Players!E463</f>
        <v>-3.0931399553621808</v>
      </c>
      <c r="D501" s="31">
        <f>Raw_Players!F463</f>
        <v>457.94151015270802</v>
      </c>
      <c r="E501" s="31">
        <f>Raw_Players!G463</f>
        <v>10.64905607764269</v>
      </c>
      <c r="F501" s="31">
        <f>Raw_Players!H463</f>
        <v>43.003014240308097</v>
      </c>
      <c r="G501" s="31" t="str">
        <f>IFERROR(IF(INDEX(Overrides!$B$8:$B$47,MATCH(B501,Overrides!$A$8:$A$47,0))="","",INDEX(Overrides!$B$8:$B$47,MATCH(B501,Overrides!$A$8:$A$47,0))),"")</f>
        <v/>
      </c>
      <c r="H501" s="31" t="str">
        <f>IFERROR(IF(INDEX(Overrides!$C$8:$C$47,MATCH(B501,Overrides!$A$8:$A$47,0))="","",INDEX(Overrides!$C$8:$C$47,MATCH(B501,Overrides!$A$8:$A$47,0))),"")</f>
        <v/>
      </c>
      <c r="I501" s="36">
        <f>IFERROR(IF(INDEX(Overrides!$D$8:$D$47,MATCH(B501,Overrides!$A$8:$A$47,0))="",0,INDEX(Overrides!$D$8:$D$47,MATCH(B501,Overrides!$A$8:$A$47,0))),0)</f>
        <v>0</v>
      </c>
      <c r="J501" s="38">
        <f t="shared" si="53"/>
        <v>457.94151015270802</v>
      </c>
      <c r="K501" s="18">
        <f t="shared" si="54"/>
        <v>0.99999999999999978</v>
      </c>
      <c r="L501" s="38">
        <f t="shared" si="55"/>
        <v>457.94151015270791</v>
      </c>
      <c r="M501" s="23">
        <f t="shared" si="56"/>
        <v>-3.0931399553621808</v>
      </c>
      <c r="N501" s="23">
        <f t="shared" si="57"/>
        <v>0.11634692839245628</v>
      </c>
      <c r="O501" s="6"/>
      <c r="P501" s="18">
        <f t="shared" si="58"/>
        <v>-0.35987733289436907</v>
      </c>
    </row>
    <row r="502" spans="1:16" ht="15" customHeight="1" x14ac:dyDescent="0.3">
      <c r="A502" s="7" t="str">
        <f>Raw_Players!A464</f>
        <v>ORL</v>
      </c>
      <c r="B502" s="7" t="str">
        <f>Raw_Players!B464</f>
        <v>Alex Morales</v>
      </c>
      <c r="C502" s="37">
        <f>Raw_Players!E464</f>
        <v>-2.6641190190934432</v>
      </c>
      <c r="D502" s="31">
        <f>Raw_Players!F464</f>
        <v>388.63619635231532</v>
      </c>
      <c r="E502" s="31">
        <f>Raw_Players!G464</f>
        <v>9.5965896122533891</v>
      </c>
      <c r="F502" s="31">
        <f>Raw_Players!H464</f>
        <v>40.497323742601843</v>
      </c>
      <c r="G502" s="31" t="str">
        <f>IFERROR(IF(INDEX(Overrides!$B$8:$B$47,MATCH(B502,Overrides!$A$8:$A$47,0))="","",INDEX(Overrides!$B$8:$B$47,MATCH(B502,Overrides!$A$8:$A$47,0))),"")</f>
        <v/>
      </c>
      <c r="H502" s="31" t="str">
        <f>IFERROR(IF(INDEX(Overrides!$C$8:$C$47,MATCH(B502,Overrides!$A$8:$A$47,0))="","",INDEX(Overrides!$C$8:$C$47,MATCH(B502,Overrides!$A$8:$A$47,0))),"")</f>
        <v/>
      </c>
      <c r="I502" s="36">
        <f>IFERROR(IF(INDEX(Overrides!$D$8:$D$47,MATCH(B502,Overrides!$A$8:$A$47,0))="",0,INDEX(Overrides!$D$8:$D$47,MATCH(B502,Overrides!$A$8:$A$47,0))),0)</f>
        <v>0</v>
      </c>
      <c r="J502" s="38">
        <f t="shared" si="53"/>
        <v>388.63619635231532</v>
      </c>
      <c r="K502" s="18">
        <f t="shared" si="54"/>
        <v>0.99999999999999978</v>
      </c>
      <c r="L502" s="38">
        <f t="shared" si="55"/>
        <v>388.63619635231521</v>
      </c>
      <c r="M502" s="23">
        <f t="shared" si="56"/>
        <v>-2.6641190190934432</v>
      </c>
      <c r="N502" s="23">
        <f t="shared" si="57"/>
        <v>9.8738871024470334E-2</v>
      </c>
      <c r="O502" s="6"/>
      <c r="P502" s="18">
        <f t="shared" si="58"/>
        <v>-0.26305210422010589</v>
      </c>
    </row>
    <row r="503" spans="1:16" ht="15" customHeight="1" x14ac:dyDescent="0.3">
      <c r="A503" s="7" t="str">
        <f>Raw_Players!A465</f>
        <v>ORL</v>
      </c>
      <c r="B503" s="7" t="str">
        <f>Raw_Players!B465</f>
        <v>Izaiyah Nelson</v>
      </c>
      <c r="C503" s="37">
        <f>Raw_Players!E465</f>
        <v>-1.7746078579642131</v>
      </c>
      <c r="D503" s="31">
        <f>Raw_Players!F465</f>
        <v>371.86308413798412</v>
      </c>
      <c r="E503" s="31">
        <f>Raw_Players!G465</f>
        <v>12.19656334172517</v>
      </c>
      <c r="F503" s="31">
        <f>Raw_Players!H465</f>
        <v>30.48916926178855</v>
      </c>
      <c r="G503" s="31" t="str">
        <f>IFERROR(IF(INDEX(Overrides!$B$8:$B$47,MATCH(B503,Overrides!$A$8:$A$47,0))="","",INDEX(Overrides!$B$8:$B$47,MATCH(B503,Overrides!$A$8:$A$47,0))),"")</f>
        <v/>
      </c>
      <c r="H503" s="31" t="str">
        <f>IFERROR(IF(INDEX(Overrides!$C$8:$C$47,MATCH(B503,Overrides!$A$8:$A$47,0))="","",INDEX(Overrides!$C$8:$C$47,MATCH(B503,Overrides!$A$8:$A$47,0))),"")</f>
        <v/>
      </c>
      <c r="I503" s="36">
        <f>IFERROR(IF(INDEX(Overrides!$D$8:$D$47,MATCH(B503,Overrides!$A$8:$A$47,0))="",0,INDEX(Overrides!$D$8:$D$47,MATCH(B503,Overrides!$A$8:$A$47,0))),0)</f>
        <v>0</v>
      </c>
      <c r="J503" s="38">
        <f t="shared" si="53"/>
        <v>371.86308413798412</v>
      </c>
      <c r="K503" s="18">
        <f t="shared" si="54"/>
        <v>0.99999999999999978</v>
      </c>
      <c r="L503" s="38">
        <f t="shared" si="55"/>
        <v>371.86308413798406</v>
      </c>
      <c r="M503" s="23">
        <f t="shared" si="56"/>
        <v>-1.7746078579642131</v>
      </c>
      <c r="N503" s="23">
        <f t="shared" si="57"/>
        <v>9.4477409587902461E-2</v>
      </c>
      <c r="O503" s="6"/>
      <c r="P503" s="18">
        <f t="shared" si="58"/>
        <v>-0.16766035345479519</v>
      </c>
    </row>
    <row r="504" spans="1:16" ht="15" customHeight="1" x14ac:dyDescent="0.3">
      <c r="A504" s="7" t="str">
        <f>Raw_Players!A466</f>
        <v>ORL</v>
      </c>
      <c r="B504" s="7" t="str">
        <f>Raw_Players!B466</f>
        <v>JD Davison</v>
      </c>
      <c r="C504" s="37">
        <f>Raw_Players!E466</f>
        <v>-0.80720969507777451</v>
      </c>
      <c r="D504" s="31">
        <f>Raw_Players!F466</f>
        <v>354.88342641238069</v>
      </c>
      <c r="E504" s="31">
        <f>Raw_Players!G466</f>
        <v>7.3338951209405447</v>
      </c>
      <c r="F504" s="31">
        <f>Raw_Players!H466</f>
        <v>48.389487517905529</v>
      </c>
      <c r="G504" s="31" t="str">
        <f>IFERROR(IF(INDEX(Overrides!$B$8:$B$47,MATCH(B504,Overrides!$A$8:$A$47,0))="","",INDEX(Overrides!$B$8:$B$47,MATCH(B504,Overrides!$A$8:$A$47,0))),"")</f>
        <v/>
      </c>
      <c r="H504" s="31" t="str">
        <f>IFERROR(IF(INDEX(Overrides!$C$8:$C$47,MATCH(B504,Overrides!$A$8:$A$47,0))="","",INDEX(Overrides!$C$8:$C$47,MATCH(B504,Overrides!$A$8:$A$47,0))),"")</f>
        <v/>
      </c>
      <c r="I504" s="36">
        <f>IFERROR(IF(INDEX(Overrides!$D$8:$D$47,MATCH(B504,Overrides!$A$8:$A$47,0))="",0,INDEX(Overrides!$D$8:$D$47,MATCH(B504,Overrides!$A$8:$A$47,0))),0)</f>
        <v>0</v>
      </c>
      <c r="J504" s="38">
        <f t="shared" si="53"/>
        <v>354.88342641238069</v>
      </c>
      <c r="K504" s="18">
        <f t="shared" si="54"/>
        <v>0.99999999999999978</v>
      </c>
      <c r="L504" s="38">
        <f t="shared" si="55"/>
        <v>354.88342641238063</v>
      </c>
      <c r="M504" s="23">
        <f t="shared" si="56"/>
        <v>-0.80720969507777451</v>
      </c>
      <c r="N504" s="23">
        <f t="shared" si="57"/>
        <v>9.0163472157617025E-2</v>
      </c>
      <c r="O504" s="6"/>
      <c r="P504" s="18">
        <f t="shared" si="58"/>
        <v>-7.278082886750345E-2</v>
      </c>
    </row>
    <row r="505" spans="1:16" ht="15" customHeight="1" x14ac:dyDescent="0.3">
      <c r="A505" s="7" t="str">
        <f>Raw_Players!A467</f>
        <v>ORL</v>
      </c>
      <c r="B505" s="7" t="str">
        <f>Raw_Players!B467</f>
        <v>Mike Sharavjamts</v>
      </c>
      <c r="C505" s="37">
        <f>Raw_Players!E467</f>
        <v>-3.1867960702466678</v>
      </c>
      <c r="D505" s="31">
        <f>Raw_Players!F467</f>
        <v>347.54071769833149</v>
      </c>
      <c r="E505" s="31">
        <f>Raw_Players!G467</f>
        <v>11.45551183409928</v>
      </c>
      <c r="F505" s="31">
        <f>Raw_Players!H467</f>
        <v>30.338296772023529</v>
      </c>
      <c r="G505" s="31" t="str">
        <f>IFERROR(IF(INDEX(Overrides!$B$8:$B$47,MATCH(B505,Overrides!$A$8:$A$47,0))="","",INDEX(Overrides!$B$8:$B$47,MATCH(B505,Overrides!$A$8:$A$47,0))),"")</f>
        <v/>
      </c>
      <c r="H505" s="31" t="str">
        <f>IFERROR(IF(INDEX(Overrides!$C$8:$C$47,MATCH(B505,Overrides!$A$8:$A$47,0))="","",INDEX(Overrides!$C$8:$C$47,MATCH(B505,Overrides!$A$8:$A$47,0))),"")</f>
        <v/>
      </c>
      <c r="I505" s="36">
        <f>IFERROR(IF(INDEX(Overrides!$D$8:$D$47,MATCH(B505,Overrides!$A$8:$A$47,0))="",0,INDEX(Overrides!$D$8:$D$47,MATCH(B505,Overrides!$A$8:$A$47,0))),0)</f>
        <v>0</v>
      </c>
      <c r="J505" s="38">
        <f t="shared" si="53"/>
        <v>347.54071769833149</v>
      </c>
      <c r="K505" s="18">
        <f t="shared" si="54"/>
        <v>0.99999999999999978</v>
      </c>
      <c r="L505" s="38">
        <f t="shared" si="55"/>
        <v>347.54071769833143</v>
      </c>
      <c r="M505" s="23">
        <f t="shared" si="56"/>
        <v>-3.1867960702466678</v>
      </c>
      <c r="N505" s="23">
        <f t="shared" si="57"/>
        <v>8.8297946569698027E-2</v>
      </c>
      <c r="O505" s="6"/>
      <c r="P505" s="18">
        <f t="shared" si="58"/>
        <v>-0.28138754913916392</v>
      </c>
    </row>
    <row r="506" spans="1:16" ht="15" customHeight="1" x14ac:dyDescent="0.3">
      <c r="A506" s="7" t="str">
        <f>Raw_Players!A468</f>
        <v>PHI</v>
      </c>
      <c r="B506" s="7" t="str">
        <f>Raw_Players!B468</f>
        <v>Tyrese Maxey</v>
      </c>
      <c r="C506" s="37">
        <f>Raw_Players!E468</f>
        <v>3.7343697124321591</v>
      </c>
      <c r="D506" s="31">
        <f>Raw_Players!F468</f>
        <v>1925.515572352828</v>
      </c>
      <c r="E506" s="31">
        <f>Raw_Players!G468</f>
        <v>30.96484172371029</v>
      </c>
      <c r="F506" s="31">
        <f>Raw_Players!H468</f>
        <v>62.183930715151348</v>
      </c>
      <c r="G506" s="31" t="str">
        <f>IFERROR(IF(INDEX(Overrides!$B$8:$B$47,MATCH(B506,Overrides!$A$8:$A$47,0))="","",INDEX(Overrides!$B$8:$B$47,MATCH(B506,Overrides!$A$8:$A$47,0))),"")</f>
        <v/>
      </c>
      <c r="H506" s="31" t="str">
        <f>IFERROR(IF(INDEX(Overrides!$C$8:$C$47,MATCH(B506,Overrides!$A$8:$A$47,0))="","",INDEX(Overrides!$C$8:$C$47,MATCH(B506,Overrides!$A$8:$A$47,0))),"")</f>
        <v/>
      </c>
      <c r="I506" s="36">
        <f>IFERROR(IF(INDEX(Overrides!$D$8:$D$47,MATCH(B506,Overrides!$A$8:$A$47,0))="",0,INDEX(Overrides!$D$8:$D$47,MATCH(B506,Overrides!$A$8:$A$47,0))),0)</f>
        <v>0</v>
      </c>
      <c r="J506" s="38">
        <f t="shared" si="53"/>
        <v>1925.515572352828</v>
      </c>
      <c r="K506" s="18">
        <f t="shared" si="54"/>
        <v>0.99999999999999978</v>
      </c>
      <c r="L506" s="38">
        <f t="shared" si="55"/>
        <v>1925.5155723528276</v>
      </c>
      <c r="M506" s="23">
        <f t="shared" si="56"/>
        <v>3.7343697124321591</v>
      </c>
      <c r="N506" s="23">
        <f t="shared" si="57"/>
        <v>0.48920619216281186</v>
      </c>
      <c r="O506" s="6"/>
      <c r="P506" s="18">
        <f t="shared" si="58"/>
        <v>1.8268767871470712</v>
      </c>
    </row>
    <row r="507" spans="1:16" ht="15" customHeight="1" x14ac:dyDescent="0.3">
      <c r="A507" s="7" t="str">
        <f>Raw_Players!A469</f>
        <v>PHI</v>
      </c>
      <c r="B507" s="7" t="str">
        <f>Raw_Players!B469</f>
        <v>VJ Edgecombe</v>
      </c>
      <c r="C507" s="37">
        <f>Raw_Players!E469</f>
        <v>5.4823352284132799E-2</v>
      </c>
      <c r="D507" s="31">
        <f>Raw_Players!F469</f>
        <v>1765.2696933581151</v>
      </c>
      <c r="E507" s="31">
        <f>Raw_Players!G469</f>
        <v>26.815959869931749</v>
      </c>
      <c r="F507" s="31">
        <f>Raw_Players!H469</f>
        <v>65.829069774879855</v>
      </c>
      <c r="G507" s="31" t="str">
        <f>IFERROR(IF(INDEX(Overrides!$B$8:$B$47,MATCH(B507,Overrides!$A$8:$A$47,0))="","",INDEX(Overrides!$B$8:$B$47,MATCH(B507,Overrides!$A$8:$A$47,0))),"")</f>
        <v/>
      </c>
      <c r="H507" s="31" t="str">
        <f>IFERROR(IF(INDEX(Overrides!$C$8:$C$47,MATCH(B507,Overrides!$A$8:$A$47,0))="","",INDEX(Overrides!$C$8:$C$47,MATCH(B507,Overrides!$A$8:$A$47,0))),"")</f>
        <v/>
      </c>
      <c r="I507" s="36">
        <f>IFERROR(IF(INDEX(Overrides!$D$8:$D$47,MATCH(B507,Overrides!$A$8:$A$47,0))="",0,INDEX(Overrides!$D$8:$D$47,MATCH(B507,Overrides!$A$8:$A$47,0))),0)</f>
        <v>0</v>
      </c>
      <c r="J507" s="38">
        <f t="shared" si="53"/>
        <v>1765.2696933581151</v>
      </c>
      <c r="K507" s="18">
        <f t="shared" si="54"/>
        <v>0.99999999999999978</v>
      </c>
      <c r="L507" s="38">
        <f t="shared" si="55"/>
        <v>1765.2696933581146</v>
      </c>
      <c r="M507" s="23">
        <f t="shared" si="56"/>
        <v>5.4823352284132799E-2</v>
      </c>
      <c r="N507" s="23">
        <f t="shared" si="57"/>
        <v>0.44849331640196</v>
      </c>
      <c r="O507" s="6"/>
      <c r="P507" s="18">
        <f t="shared" si="58"/>
        <v>2.458790708218369E-2</v>
      </c>
    </row>
    <row r="508" spans="1:16" ht="15" customHeight="1" x14ac:dyDescent="0.3">
      <c r="A508" s="7" t="str">
        <f>Raw_Players!A470</f>
        <v>PHI</v>
      </c>
      <c r="B508" s="7" t="str">
        <f>Raw_Players!B470</f>
        <v>Jaylen Brown</v>
      </c>
      <c r="C508" s="37">
        <f>Raw_Players!E470</f>
        <v>2.130383696504706</v>
      </c>
      <c r="D508" s="31">
        <f>Raw_Players!F470</f>
        <v>1759.6245021435441</v>
      </c>
      <c r="E508" s="31">
        <f>Raw_Players!G470</f>
        <v>28.128532834024998</v>
      </c>
      <c r="F508" s="31">
        <f>Raw_Players!H470</f>
        <v>62.556568894878758</v>
      </c>
      <c r="G508" s="31" t="str">
        <f>IFERROR(IF(INDEX(Overrides!$B$8:$B$47,MATCH(B508,Overrides!$A$8:$A$47,0))="","",INDEX(Overrides!$B$8:$B$47,MATCH(B508,Overrides!$A$8:$A$47,0))),"")</f>
        <v/>
      </c>
      <c r="H508" s="31" t="str">
        <f>IFERROR(IF(INDEX(Overrides!$C$8:$C$47,MATCH(B508,Overrides!$A$8:$A$47,0))="","",INDEX(Overrides!$C$8:$C$47,MATCH(B508,Overrides!$A$8:$A$47,0))),"")</f>
        <v/>
      </c>
      <c r="I508" s="36">
        <f>IFERROR(IF(INDEX(Overrides!$D$8:$D$47,MATCH(B508,Overrides!$A$8:$A$47,0))="",0,INDEX(Overrides!$D$8:$D$47,MATCH(B508,Overrides!$A$8:$A$47,0))),0)</f>
        <v>0</v>
      </c>
      <c r="J508" s="38">
        <f t="shared" si="53"/>
        <v>1759.6245021435441</v>
      </c>
      <c r="K508" s="18">
        <f t="shared" si="54"/>
        <v>0.99999999999999978</v>
      </c>
      <c r="L508" s="38">
        <f t="shared" si="55"/>
        <v>1759.6245021435436</v>
      </c>
      <c r="M508" s="23">
        <f t="shared" si="56"/>
        <v>2.130383696504706</v>
      </c>
      <c r="N508" s="23">
        <f t="shared" si="57"/>
        <v>0.44705907066655071</v>
      </c>
      <c r="O508" s="6"/>
      <c r="P508" s="18">
        <f t="shared" si="58"/>
        <v>0.95240735552256495</v>
      </c>
    </row>
    <row r="509" spans="1:16" ht="15" customHeight="1" x14ac:dyDescent="0.3">
      <c r="A509" s="7" t="str">
        <f>Raw_Players!A471</f>
        <v>PHI</v>
      </c>
      <c r="B509" s="7" t="str">
        <f>Raw_Players!B471</f>
        <v>LeBron James</v>
      </c>
      <c r="C509" s="37">
        <f>Raw_Players!E471</f>
        <v>2.6178184464744501</v>
      </c>
      <c r="D509" s="31">
        <f>Raw_Players!F471</f>
        <v>1509.4587549510691</v>
      </c>
      <c r="E509" s="31">
        <f>Raw_Players!G471</f>
        <v>28.08356899447551</v>
      </c>
      <c r="F509" s="31">
        <f>Raw_Players!H471</f>
        <v>53.748822140376937</v>
      </c>
      <c r="G509" s="31" t="str">
        <f>IFERROR(IF(INDEX(Overrides!$B$8:$B$47,MATCH(B509,Overrides!$A$8:$A$47,0))="","",INDEX(Overrides!$B$8:$B$47,MATCH(B509,Overrides!$A$8:$A$47,0))),"")</f>
        <v/>
      </c>
      <c r="H509" s="31" t="str">
        <f>IFERROR(IF(INDEX(Overrides!$C$8:$C$47,MATCH(B509,Overrides!$A$8:$A$47,0))="","",INDEX(Overrides!$C$8:$C$47,MATCH(B509,Overrides!$A$8:$A$47,0))),"")</f>
        <v/>
      </c>
      <c r="I509" s="36">
        <f>IFERROR(IF(INDEX(Overrides!$D$8:$D$47,MATCH(B509,Overrides!$A$8:$A$47,0))="",0,INDEX(Overrides!$D$8:$D$47,MATCH(B509,Overrides!$A$8:$A$47,0))),0)</f>
        <v>0</v>
      </c>
      <c r="J509" s="38">
        <f t="shared" si="53"/>
        <v>1509.4587549510691</v>
      </c>
      <c r="K509" s="18">
        <f t="shared" si="54"/>
        <v>0.99999999999999978</v>
      </c>
      <c r="L509" s="38">
        <f t="shared" si="55"/>
        <v>1509.4587549510688</v>
      </c>
      <c r="M509" s="23">
        <f t="shared" si="56"/>
        <v>2.6178184464744501</v>
      </c>
      <c r="N509" s="23">
        <f t="shared" si="57"/>
        <v>0.38350069993675528</v>
      </c>
      <c r="O509" s="6"/>
      <c r="P509" s="18">
        <f t="shared" si="58"/>
        <v>1.0039352065303009</v>
      </c>
    </row>
    <row r="510" spans="1:16" ht="15" customHeight="1" x14ac:dyDescent="0.3">
      <c r="A510" s="7" t="str">
        <f>Raw_Players!A472</f>
        <v>PHI</v>
      </c>
      <c r="B510" s="7" t="str">
        <f>Raw_Players!B472</f>
        <v>Anfernee Simons</v>
      </c>
      <c r="C510" s="37">
        <f>Raw_Players!E472</f>
        <v>-0.73782389576967999</v>
      </c>
      <c r="D510" s="31">
        <f>Raw_Players!F472</f>
        <v>1430.5431592104071</v>
      </c>
      <c r="E510" s="31">
        <f>Raw_Players!G472</f>
        <v>23.952792850823041</v>
      </c>
      <c r="F510" s="31">
        <f>Raw_Players!H472</f>
        <v>59.723438854073002</v>
      </c>
      <c r="G510" s="31" t="str">
        <f>IFERROR(IF(INDEX(Overrides!$B$8:$B$47,MATCH(B510,Overrides!$A$8:$A$47,0))="","",INDEX(Overrides!$B$8:$B$47,MATCH(B510,Overrides!$A$8:$A$47,0))),"")</f>
        <v/>
      </c>
      <c r="H510" s="31" t="str">
        <f>IFERROR(IF(INDEX(Overrides!$C$8:$C$47,MATCH(B510,Overrides!$A$8:$A$47,0))="","",INDEX(Overrides!$C$8:$C$47,MATCH(B510,Overrides!$A$8:$A$47,0))),"")</f>
        <v/>
      </c>
      <c r="I510" s="36">
        <f>IFERROR(IF(INDEX(Overrides!$D$8:$D$47,MATCH(B510,Overrides!$A$8:$A$47,0))="",0,INDEX(Overrides!$D$8:$D$47,MATCH(B510,Overrides!$A$8:$A$47,0))),0)</f>
        <v>0</v>
      </c>
      <c r="J510" s="38">
        <f t="shared" si="53"/>
        <v>1430.5431592104071</v>
      </c>
      <c r="K510" s="18">
        <f t="shared" si="54"/>
        <v>0.99999999999999978</v>
      </c>
      <c r="L510" s="38">
        <f t="shared" si="55"/>
        <v>1430.5431592104069</v>
      </c>
      <c r="M510" s="23">
        <f t="shared" si="56"/>
        <v>-0.73782389576967999</v>
      </c>
      <c r="N510" s="23">
        <f t="shared" si="57"/>
        <v>0.36345100589695295</v>
      </c>
      <c r="O510" s="6"/>
      <c r="P510" s="18">
        <f t="shared" si="58"/>
        <v>-0.26816283709229877</v>
      </c>
    </row>
    <row r="511" spans="1:16" ht="15" customHeight="1" x14ac:dyDescent="0.3">
      <c r="A511" s="7" t="str">
        <f>Raw_Players!A473</f>
        <v>PHI</v>
      </c>
      <c r="B511" s="7" t="str">
        <f>Raw_Players!B473</f>
        <v>Kentavious Caldwell-Pope</v>
      </c>
      <c r="C511" s="37">
        <f>Raw_Players!E473</f>
        <v>-1.743472864944084</v>
      </c>
      <c r="D511" s="31">
        <f>Raw_Players!F473</f>
        <v>1371.4565232136549</v>
      </c>
      <c r="E511" s="31">
        <f>Raw_Players!G473</f>
        <v>21.244191126227669</v>
      </c>
      <c r="F511" s="31">
        <f>Raw_Players!H473</f>
        <v>64.556777665235813</v>
      </c>
      <c r="G511" s="31" t="str">
        <f>IFERROR(IF(INDEX(Overrides!$B$8:$B$47,MATCH(B511,Overrides!$A$8:$A$47,0))="","",INDEX(Overrides!$B$8:$B$47,MATCH(B511,Overrides!$A$8:$A$47,0))),"")</f>
        <v/>
      </c>
      <c r="H511" s="31" t="str">
        <f>IFERROR(IF(INDEX(Overrides!$C$8:$C$47,MATCH(B511,Overrides!$A$8:$A$47,0))="","",INDEX(Overrides!$C$8:$C$47,MATCH(B511,Overrides!$A$8:$A$47,0))),"")</f>
        <v/>
      </c>
      <c r="I511" s="36">
        <f>IFERROR(IF(INDEX(Overrides!$D$8:$D$47,MATCH(B511,Overrides!$A$8:$A$47,0))="",0,INDEX(Overrides!$D$8:$D$47,MATCH(B511,Overrides!$A$8:$A$47,0))),0)</f>
        <v>0</v>
      </c>
      <c r="J511" s="38">
        <f t="shared" si="53"/>
        <v>1371.4565232136549</v>
      </c>
      <c r="K511" s="18">
        <f t="shared" si="54"/>
        <v>0.99999999999999978</v>
      </c>
      <c r="L511" s="38">
        <f t="shared" si="55"/>
        <v>1371.4565232136547</v>
      </c>
      <c r="M511" s="23">
        <f t="shared" si="56"/>
        <v>-1.743472864944084</v>
      </c>
      <c r="N511" s="23">
        <f t="shared" si="57"/>
        <v>0.34843915732054237</v>
      </c>
      <c r="O511" s="6"/>
      <c r="P511" s="18">
        <f t="shared" si="58"/>
        <v>-0.60749421587234842</v>
      </c>
    </row>
    <row r="512" spans="1:16" ht="15" customHeight="1" x14ac:dyDescent="0.3">
      <c r="A512" s="7" t="str">
        <f>Raw_Players!A474</f>
        <v>PHI</v>
      </c>
      <c r="B512" s="7" t="str">
        <f>Raw_Players!B474</f>
        <v>Joel Embiid</v>
      </c>
      <c r="C512" s="37">
        <f>Raw_Players!E474</f>
        <v>4.1409471341885951</v>
      </c>
      <c r="D512" s="31">
        <f>Raw_Players!F474</f>
        <v>1229.347367006498</v>
      </c>
      <c r="E512" s="31">
        <f>Raw_Players!G474</f>
        <v>25.067770917719969</v>
      </c>
      <c r="F512" s="31">
        <f>Raw_Players!H474</f>
        <v>49.04095266553972</v>
      </c>
      <c r="G512" s="31" t="str">
        <f>IFERROR(IF(INDEX(Overrides!$B$8:$B$47,MATCH(B512,Overrides!$A$8:$A$47,0))="","",INDEX(Overrides!$B$8:$B$47,MATCH(B512,Overrides!$A$8:$A$47,0))),"")</f>
        <v/>
      </c>
      <c r="H512" s="31" t="str">
        <f>IFERROR(IF(INDEX(Overrides!$C$8:$C$47,MATCH(B512,Overrides!$A$8:$A$47,0))="","",INDEX(Overrides!$C$8:$C$47,MATCH(B512,Overrides!$A$8:$A$47,0))),"")</f>
        <v/>
      </c>
      <c r="I512" s="36">
        <f>IFERROR(IF(INDEX(Overrides!$D$8:$D$47,MATCH(B512,Overrides!$A$8:$A$47,0))="",0,INDEX(Overrides!$D$8:$D$47,MATCH(B512,Overrides!$A$8:$A$47,0))),0)</f>
        <v>0</v>
      </c>
      <c r="J512" s="38">
        <f t="shared" si="53"/>
        <v>1229.347367006498</v>
      </c>
      <c r="K512" s="18">
        <f t="shared" si="54"/>
        <v>0.99999999999999978</v>
      </c>
      <c r="L512" s="38">
        <f t="shared" si="55"/>
        <v>1229.3473670064977</v>
      </c>
      <c r="M512" s="23">
        <f t="shared" si="56"/>
        <v>4.1409471341885951</v>
      </c>
      <c r="N512" s="23">
        <f t="shared" si="57"/>
        <v>0.31233418877197605</v>
      </c>
      <c r="O512" s="6"/>
      <c r="P512" s="18">
        <f t="shared" si="58"/>
        <v>1.2933593639044338</v>
      </c>
    </row>
    <row r="513" spans="1:16" ht="15" customHeight="1" x14ac:dyDescent="0.3">
      <c r="A513" s="7" t="str">
        <f>Raw_Players!A475</f>
        <v>PHI</v>
      </c>
      <c r="B513" s="7" t="str">
        <f>Raw_Players!B475</f>
        <v>Dean Wade</v>
      </c>
      <c r="C513" s="37">
        <f>Raw_Players!E475</f>
        <v>0.44166467706922818</v>
      </c>
      <c r="D513" s="31">
        <f>Raw_Players!F475</f>
        <v>1064.916584331552</v>
      </c>
      <c r="E513" s="31">
        <f>Raw_Players!G475</f>
        <v>17.998537323342319</v>
      </c>
      <c r="F513" s="31">
        <f>Raw_Players!H475</f>
        <v>59.166840349324431</v>
      </c>
      <c r="G513" s="31" t="str">
        <f>IFERROR(IF(INDEX(Overrides!$B$8:$B$47,MATCH(B513,Overrides!$A$8:$A$47,0))="","",INDEX(Overrides!$B$8:$B$47,MATCH(B513,Overrides!$A$8:$A$47,0))),"")</f>
        <v/>
      </c>
      <c r="H513" s="31" t="str">
        <f>IFERROR(IF(INDEX(Overrides!$C$8:$C$47,MATCH(B513,Overrides!$A$8:$A$47,0))="","",INDEX(Overrides!$C$8:$C$47,MATCH(B513,Overrides!$A$8:$A$47,0))),"")</f>
        <v/>
      </c>
      <c r="I513" s="36">
        <f>IFERROR(IF(INDEX(Overrides!$D$8:$D$47,MATCH(B513,Overrides!$A$8:$A$47,0))="",0,INDEX(Overrides!$D$8:$D$47,MATCH(B513,Overrides!$A$8:$A$47,0))),0)</f>
        <v>0</v>
      </c>
      <c r="J513" s="38">
        <f t="shared" si="53"/>
        <v>1064.916584331552</v>
      </c>
      <c r="K513" s="18">
        <f t="shared" si="54"/>
        <v>0.99999999999999978</v>
      </c>
      <c r="L513" s="38">
        <f t="shared" si="55"/>
        <v>1064.9165843315518</v>
      </c>
      <c r="M513" s="23">
        <f t="shared" si="56"/>
        <v>0.44166467706922818</v>
      </c>
      <c r="N513" s="23">
        <f t="shared" si="57"/>
        <v>0.27055807528748776</v>
      </c>
      <c r="O513" s="6"/>
      <c r="P513" s="18">
        <f t="shared" si="58"/>
        <v>0.1194959449503202</v>
      </c>
    </row>
    <row r="514" spans="1:16" ht="15" customHeight="1" x14ac:dyDescent="0.3">
      <c r="A514" s="7" t="str">
        <f>Raw_Players!A476</f>
        <v>PHI</v>
      </c>
      <c r="B514" s="7" t="str">
        <f>Raw_Players!B476</f>
        <v>Dominick Barlow</v>
      </c>
      <c r="C514" s="37">
        <f>Raw_Players!E476</f>
        <v>-0.1997755551203563</v>
      </c>
      <c r="D514" s="31">
        <f>Raw_Players!F476</f>
        <v>1004.7256268301051</v>
      </c>
      <c r="E514" s="31">
        <f>Raw_Players!G476</f>
        <v>16.456689348399031</v>
      </c>
      <c r="F514" s="31">
        <f>Raw_Players!H476</f>
        <v>61.052718779542893</v>
      </c>
      <c r="G514" s="31" t="str">
        <f>IFERROR(IF(INDEX(Overrides!$B$8:$B$47,MATCH(B514,Overrides!$A$8:$A$47,0))="","",INDEX(Overrides!$B$8:$B$47,MATCH(B514,Overrides!$A$8:$A$47,0))),"")</f>
        <v/>
      </c>
      <c r="H514" s="31" t="str">
        <f>IFERROR(IF(INDEX(Overrides!$C$8:$C$47,MATCH(B514,Overrides!$A$8:$A$47,0))="","",INDEX(Overrides!$C$8:$C$47,MATCH(B514,Overrides!$A$8:$A$47,0))),"")</f>
        <v/>
      </c>
      <c r="I514" s="36">
        <f>IFERROR(IF(INDEX(Overrides!$D$8:$D$47,MATCH(B514,Overrides!$A$8:$A$47,0))="",0,INDEX(Overrides!$D$8:$D$47,MATCH(B514,Overrides!$A$8:$A$47,0))),0)</f>
        <v>0</v>
      </c>
      <c r="J514" s="38">
        <f t="shared" si="53"/>
        <v>1004.7256268301051</v>
      </c>
      <c r="K514" s="18">
        <f t="shared" si="54"/>
        <v>0.99999999999999978</v>
      </c>
      <c r="L514" s="38">
        <f t="shared" si="55"/>
        <v>1004.7256268301048</v>
      </c>
      <c r="M514" s="23">
        <f t="shared" si="56"/>
        <v>-0.1997755551203563</v>
      </c>
      <c r="N514" s="23">
        <f t="shared" si="57"/>
        <v>0.25526565722309574</v>
      </c>
      <c r="O514" s="6"/>
      <c r="P514" s="18">
        <f t="shared" si="58"/>
        <v>-5.0995838374906538E-2</v>
      </c>
    </row>
    <row r="515" spans="1:16" ht="15" customHeight="1" x14ac:dyDescent="0.3">
      <c r="A515" s="7" t="str">
        <f>Raw_Players!A477</f>
        <v>PHI</v>
      </c>
      <c r="B515" s="7" t="str">
        <f>Raw_Players!B477</f>
        <v>Justin Edwards</v>
      </c>
      <c r="C515" s="37">
        <f>Raw_Players!E477</f>
        <v>-1.278369689244272</v>
      </c>
      <c r="D515" s="31">
        <f>Raw_Players!F477</f>
        <v>916.20646102406977</v>
      </c>
      <c r="E515" s="31">
        <f>Raw_Players!G477</f>
        <v>15.22626602798193</v>
      </c>
      <c r="F515" s="31">
        <f>Raw_Players!H477</f>
        <v>60.17276063220752</v>
      </c>
      <c r="G515" s="31" t="str">
        <f>IFERROR(IF(INDEX(Overrides!$B$8:$B$47,MATCH(B515,Overrides!$A$8:$A$47,0))="","",INDEX(Overrides!$B$8:$B$47,MATCH(B515,Overrides!$A$8:$A$47,0))),"")</f>
        <v/>
      </c>
      <c r="H515" s="31" t="str">
        <f>IFERROR(IF(INDEX(Overrides!$C$8:$C$47,MATCH(B515,Overrides!$A$8:$A$47,0))="","",INDEX(Overrides!$C$8:$C$47,MATCH(B515,Overrides!$A$8:$A$47,0))),"")</f>
        <v/>
      </c>
      <c r="I515" s="36">
        <f>IFERROR(IF(INDEX(Overrides!$D$8:$D$47,MATCH(B515,Overrides!$A$8:$A$47,0))="",0,INDEX(Overrides!$D$8:$D$47,MATCH(B515,Overrides!$A$8:$A$47,0))),0)</f>
        <v>0</v>
      </c>
      <c r="J515" s="38">
        <f t="shared" si="53"/>
        <v>916.20646102406977</v>
      </c>
      <c r="K515" s="18">
        <f t="shared" si="54"/>
        <v>0.99999999999999978</v>
      </c>
      <c r="L515" s="38">
        <f t="shared" si="55"/>
        <v>916.20646102406954</v>
      </c>
      <c r="M515" s="23">
        <f t="shared" si="56"/>
        <v>-1.278369689244272</v>
      </c>
      <c r="N515" s="23">
        <f t="shared" si="57"/>
        <v>0.2327760317642453</v>
      </c>
      <c r="O515" s="6"/>
      <c r="P515" s="18">
        <f t="shared" si="58"/>
        <v>-0.29757382338997307</v>
      </c>
    </row>
    <row r="516" spans="1:16" ht="15" customHeight="1" x14ac:dyDescent="0.3">
      <c r="A516" s="7" t="str">
        <f>Raw_Players!A478</f>
        <v>PHI</v>
      </c>
      <c r="B516" s="7" t="str">
        <f>Raw_Players!B478</f>
        <v>Caleb Love</v>
      </c>
      <c r="C516" s="37">
        <f>Raw_Players!E478</f>
        <v>-2.7194950819305741</v>
      </c>
      <c r="D516" s="31">
        <f>Raw_Players!F478</f>
        <v>908.83050410861676</v>
      </c>
      <c r="E516" s="31">
        <f>Raw_Players!G478</f>
        <v>16.04993317001076</v>
      </c>
      <c r="F516" s="31">
        <f>Raw_Players!H478</f>
        <v>56.625189306505213</v>
      </c>
      <c r="G516" s="31" t="str">
        <f>IFERROR(IF(INDEX(Overrides!$B$8:$B$47,MATCH(B516,Overrides!$A$8:$A$47,0))="","",INDEX(Overrides!$B$8:$B$47,MATCH(B516,Overrides!$A$8:$A$47,0))),"")</f>
        <v/>
      </c>
      <c r="H516" s="31" t="str">
        <f>IFERROR(IF(INDEX(Overrides!$C$8:$C$47,MATCH(B516,Overrides!$A$8:$A$47,0))="","",INDEX(Overrides!$C$8:$C$47,MATCH(B516,Overrides!$A$8:$A$47,0))),"")</f>
        <v/>
      </c>
      <c r="I516" s="36">
        <f>IFERROR(IF(INDEX(Overrides!$D$8:$D$47,MATCH(B516,Overrides!$A$8:$A$47,0))="",0,INDEX(Overrides!$D$8:$D$47,MATCH(B516,Overrides!$A$8:$A$47,0))),0)</f>
        <v>0</v>
      </c>
      <c r="J516" s="38">
        <f t="shared" si="53"/>
        <v>908.83050410861676</v>
      </c>
      <c r="K516" s="18">
        <f t="shared" si="54"/>
        <v>0.99999999999999978</v>
      </c>
      <c r="L516" s="38">
        <f t="shared" si="55"/>
        <v>908.83050410861654</v>
      </c>
      <c r="M516" s="23">
        <f t="shared" si="56"/>
        <v>-2.7194950819305741</v>
      </c>
      <c r="N516" s="23">
        <f t="shared" si="57"/>
        <v>0.23090205897068511</v>
      </c>
      <c r="O516" s="6"/>
      <c r="P516" s="18">
        <f t="shared" si="58"/>
        <v>-0.62793701377842159</v>
      </c>
    </row>
    <row r="517" spans="1:16" ht="15" customHeight="1" x14ac:dyDescent="0.3">
      <c r="A517" s="7" t="str">
        <f>Raw_Players!A479</f>
        <v>PHI</v>
      </c>
      <c r="B517" s="7" t="str">
        <f>Raw_Players!B479</f>
        <v>Adem Bona</v>
      </c>
      <c r="C517" s="37">
        <f>Raw_Players!E479</f>
        <v>-1.06569608932833</v>
      </c>
      <c r="D517" s="31">
        <f>Raw_Players!F479</f>
        <v>886.77200855606475</v>
      </c>
      <c r="E517" s="31">
        <f>Raw_Players!G479</f>
        <v>14.03140266569609</v>
      </c>
      <c r="F517" s="31">
        <f>Raw_Players!H479</f>
        <v>63.199099169467992</v>
      </c>
      <c r="G517" s="31" t="str">
        <f>IFERROR(IF(INDEX(Overrides!$B$8:$B$47,MATCH(B517,Overrides!$A$8:$A$47,0))="","",INDEX(Overrides!$B$8:$B$47,MATCH(B517,Overrides!$A$8:$A$47,0))),"")</f>
        <v/>
      </c>
      <c r="H517" s="31" t="str">
        <f>IFERROR(IF(INDEX(Overrides!$C$8:$C$47,MATCH(B517,Overrides!$A$8:$A$47,0))="","",INDEX(Overrides!$C$8:$C$47,MATCH(B517,Overrides!$A$8:$A$47,0))),"")</f>
        <v/>
      </c>
      <c r="I517" s="36">
        <f>IFERROR(IF(INDEX(Overrides!$D$8:$D$47,MATCH(B517,Overrides!$A$8:$A$47,0))="",0,INDEX(Overrides!$D$8:$D$47,MATCH(B517,Overrides!$A$8:$A$47,0))),0)</f>
        <v>0</v>
      </c>
      <c r="J517" s="38">
        <f t="shared" si="53"/>
        <v>886.77200855606475</v>
      </c>
      <c r="K517" s="18">
        <f t="shared" si="54"/>
        <v>0.99999999999999978</v>
      </c>
      <c r="L517" s="38">
        <f t="shared" si="55"/>
        <v>886.77200855606452</v>
      </c>
      <c r="M517" s="23">
        <f t="shared" si="56"/>
        <v>-1.06569608932833</v>
      </c>
      <c r="N517" s="23">
        <f t="shared" si="57"/>
        <v>0.22529776640143917</v>
      </c>
      <c r="O517" s="6"/>
      <c r="P517" s="18">
        <f t="shared" si="58"/>
        <v>-0.24009894858842135</v>
      </c>
    </row>
    <row r="518" spans="1:16" ht="15" customHeight="1" x14ac:dyDescent="0.3">
      <c r="A518" s="7" t="str">
        <f>Raw_Players!A480</f>
        <v>PHI</v>
      </c>
      <c r="B518" s="7" t="str">
        <f>Raw_Players!B480</f>
        <v>Jabari Walker</v>
      </c>
      <c r="C518" s="37">
        <f>Raw_Players!E480</f>
        <v>-1.030759635298909</v>
      </c>
      <c r="D518" s="31">
        <f>Raw_Players!F480</f>
        <v>758.00308661202678</v>
      </c>
      <c r="E518" s="31">
        <f>Raw_Players!G480</f>
        <v>12.3162532590397</v>
      </c>
      <c r="F518" s="31">
        <f>Raw_Players!H480</f>
        <v>61.54494152315997</v>
      </c>
      <c r="G518" s="31" t="str">
        <f>IFERROR(IF(INDEX(Overrides!$B$8:$B$47,MATCH(B518,Overrides!$A$8:$A$47,0))="","",INDEX(Overrides!$B$8:$B$47,MATCH(B518,Overrides!$A$8:$A$47,0))),"")</f>
        <v/>
      </c>
      <c r="H518" s="31" t="str">
        <f>IFERROR(IF(INDEX(Overrides!$C$8:$C$47,MATCH(B518,Overrides!$A$8:$A$47,0))="","",INDEX(Overrides!$C$8:$C$47,MATCH(B518,Overrides!$A$8:$A$47,0))),"")</f>
        <v/>
      </c>
      <c r="I518" s="36">
        <f>IFERROR(IF(INDEX(Overrides!$D$8:$D$47,MATCH(B518,Overrides!$A$8:$A$47,0))="",0,INDEX(Overrides!$D$8:$D$47,MATCH(B518,Overrides!$A$8:$A$47,0))),0)</f>
        <v>0</v>
      </c>
      <c r="J518" s="38">
        <f t="shared" si="53"/>
        <v>758.00308661202678</v>
      </c>
      <c r="K518" s="18">
        <f t="shared" si="54"/>
        <v>0.99999999999999978</v>
      </c>
      <c r="L518" s="38">
        <f t="shared" si="55"/>
        <v>758.00308661202666</v>
      </c>
      <c r="M518" s="23">
        <f t="shared" si="56"/>
        <v>-1.030759635298909</v>
      </c>
      <c r="N518" s="23">
        <f t="shared" si="57"/>
        <v>0.19258208501321816</v>
      </c>
      <c r="O518" s="6"/>
      <c r="P518" s="18">
        <f t="shared" si="58"/>
        <v>-0.19850583971332825</v>
      </c>
    </row>
    <row r="519" spans="1:16" ht="15" customHeight="1" x14ac:dyDescent="0.3">
      <c r="A519" s="7" t="str">
        <f>Raw_Players!A481</f>
        <v>PHI</v>
      </c>
      <c r="B519" s="7" t="str">
        <f>Raw_Players!B481</f>
        <v>Rayan Rupert</v>
      </c>
      <c r="C519" s="37">
        <f>Raw_Players!E481</f>
        <v>-3.2392591716780701</v>
      </c>
      <c r="D519" s="31">
        <f>Raw_Players!F481</f>
        <v>745.44759838207005</v>
      </c>
      <c r="E519" s="31">
        <f>Raw_Players!G481</f>
        <v>12.236635337721269</v>
      </c>
      <c r="F519" s="31">
        <f>Raw_Players!H481</f>
        <v>60.919327724355377</v>
      </c>
      <c r="G519" s="31" t="str">
        <f>IFERROR(IF(INDEX(Overrides!$B$8:$B$47,MATCH(B519,Overrides!$A$8:$A$47,0))="","",INDEX(Overrides!$B$8:$B$47,MATCH(B519,Overrides!$A$8:$A$47,0))),"")</f>
        <v/>
      </c>
      <c r="H519" s="31" t="str">
        <f>IFERROR(IF(INDEX(Overrides!$C$8:$C$47,MATCH(B519,Overrides!$A$8:$A$47,0))="","",INDEX(Overrides!$C$8:$C$47,MATCH(B519,Overrides!$A$8:$A$47,0))),"")</f>
        <v/>
      </c>
      <c r="I519" s="36">
        <f>IFERROR(IF(INDEX(Overrides!$D$8:$D$47,MATCH(B519,Overrides!$A$8:$A$47,0))="",0,INDEX(Overrides!$D$8:$D$47,MATCH(B519,Overrides!$A$8:$A$47,0))),0)</f>
        <v>0</v>
      </c>
      <c r="J519" s="38">
        <f t="shared" si="53"/>
        <v>745.44759838207005</v>
      </c>
      <c r="K519" s="18">
        <f t="shared" si="54"/>
        <v>0.99999999999999978</v>
      </c>
      <c r="L519" s="38">
        <f t="shared" si="55"/>
        <v>745.44759838206994</v>
      </c>
      <c r="M519" s="23">
        <f t="shared" si="56"/>
        <v>-3.2392591716780701</v>
      </c>
      <c r="N519" s="23">
        <f t="shared" si="57"/>
        <v>0.18939217438568851</v>
      </c>
      <c r="O519" s="6"/>
      <c r="P519" s="18">
        <f t="shared" si="58"/>
        <v>-0.61349033792289398</v>
      </c>
    </row>
    <row r="520" spans="1:16" ht="15" customHeight="1" x14ac:dyDescent="0.3">
      <c r="A520" s="7" t="str">
        <f>Raw_Players!A482</f>
        <v>PHI</v>
      </c>
      <c r="B520" s="7" t="str">
        <f>Raw_Players!B482</f>
        <v>Labaron Philon Jr.</v>
      </c>
      <c r="C520" s="37">
        <f>Raw_Players!E482</f>
        <v>-2.446923610763565</v>
      </c>
      <c r="D520" s="31">
        <f>Raw_Players!F482</f>
        <v>666.60001833184526</v>
      </c>
      <c r="E520" s="31">
        <f>Raw_Players!G482</f>
        <v>15.10148024541987</v>
      </c>
      <c r="F520" s="31">
        <f>Raw_Players!H482</f>
        <v>44.141369421982233</v>
      </c>
      <c r="G520" s="31" t="str">
        <f>IFERROR(IF(INDEX(Overrides!$B$8:$B$47,MATCH(B520,Overrides!$A$8:$A$47,0))="","",INDEX(Overrides!$B$8:$B$47,MATCH(B520,Overrides!$A$8:$A$47,0))),"")</f>
        <v/>
      </c>
      <c r="H520" s="31" t="str">
        <f>IFERROR(IF(INDEX(Overrides!$C$8:$C$47,MATCH(B520,Overrides!$A$8:$A$47,0))="","",INDEX(Overrides!$C$8:$C$47,MATCH(B520,Overrides!$A$8:$A$47,0))),"")</f>
        <v/>
      </c>
      <c r="I520" s="36">
        <f>IFERROR(IF(INDEX(Overrides!$D$8:$D$47,MATCH(B520,Overrides!$A$8:$A$47,0))="",0,INDEX(Overrides!$D$8:$D$47,MATCH(B520,Overrides!$A$8:$A$47,0))),0)</f>
        <v>0</v>
      </c>
      <c r="J520" s="38">
        <f t="shared" si="53"/>
        <v>666.60001833184526</v>
      </c>
      <c r="K520" s="18">
        <f t="shared" si="54"/>
        <v>0.99999999999999978</v>
      </c>
      <c r="L520" s="38">
        <f t="shared" si="55"/>
        <v>666.60001833184515</v>
      </c>
      <c r="M520" s="23">
        <f t="shared" si="56"/>
        <v>-2.446923610763565</v>
      </c>
      <c r="N520" s="23">
        <f t="shared" si="57"/>
        <v>0.16935976075504197</v>
      </c>
      <c r="O520" s="6"/>
      <c r="P520" s="18">
        <f t="shared" si="58"/>
        <v>-0.4144103973047808</v>
      </c>
    </row>
    <row r="521" spans="1:16" ht="15" customHeight="1" x14ac:dyDescent="0.3">
      <c r="A521" s="7" t="str">
        <f>Raw_Players!A483</f>
        <v>PHI</v>
      </c>
      <c r="B521" s="7" t="str">
        <f>Raw_Players!B483</f>
        <v>Dillon Jones</v>
      </c>
      <c r="C521" s="37">
        <f>Raw_Players!E483</f>
        <v>-1.945574374178894</v>
      </c>
      <c r="D521" s="31">
        <f>Raw_Players!F483</f>
        <v>398.1052150405115</v>
      </c>
      <c r="E521" s="31">
        <f>Raw_Players!G483</f>
        <v>8.5326113410879216</v>
      </c>
      <c r="F521" s="31">
        <f>Raw_Players!H483</f>
        <v>46.656902456517187</v>
      </c>
      <c r="G521" s="31" t="str">
        <f>IFERROR(IF(INDEX(Overrides!$B$8:$B$47,MATCH(B521,Overrides!$A$8:$A$47,0))="","",INDEX(Overrides!$B$8:$B$47,MATCH(B521,Overrides!$A$8:$A$47,0))),"")</f>
        <v/>
      </c>
      <c r="H521" s="31" t="str">
        <f>IFERROR(IF(INDEX(Overrides!$C$8:$C$47,MATCH(B521,Overrides!$A$8:$A$47,0))="","",INDEX(Overrides!$C$8:$C$47,MATCH(B521,Overrides!$A$8:$A$47,0))),"")</f>
        <v/>
      </c>
      <c r="I521" s="36">
        <f>IFERROR(IF(INDEX(Overrides!$D$8:$D$47,MATCH(B521,Overrides!$A$8:$A$47,0))="",0,INDEX(Overrides!$D$8:$D$47,MATCH(B521,Overrides!$A$8:$A$47,0))),0)</f>
        <v>0</v>
      </c>
      <c r="J521" s="38">
        <f t="shared" si="53"/>
        <v>398.1052150405115</v>
      </c>
      <c r="K521" s="18">
        <f t="shared" si="54"/>
        <v>0.99999999999999978</v>
      </c>
      <c r="L521" s="38">
        <f t="shared" si="55"/>
        <v>398.10521504051138</v>
      </c>
      <c r="M521" s="23">
        <f t="shared" si="56"/>
        <v>-1.945574374178894</v>
      </c>
      <c r="N521" s="23">
        <f t="shared" si="57"/>
        <v>0.10114461764240634</v>
      </c>
      <c r="O521" s="6"/>
      <c r="P521" s="18">
        <f t="shared" si="58"/>
        <v>-0.19678437617118824</v>
      </c>
    </row>
    <row r="522" spans="1:16" ht="15" customHeight="1" x14ac:dyDescent="0.3">
      <c r="A522" s="7" t="str">
        <f>Raw_Players!A484</f>
        <v>PHI</v>
      </c>
      <c r="B522" s="7" t="str">
        <f>Raw_Players!B484</f>
        <v>Tacko Fall</v>
      </c>
      <c r="C522" s="37">
        <f>Raw_Players!E484</f>
        <v>-3.1867960702466678</v>
      </c>
      <c r="D522" s="31">
        <f>Raw_Players!F484</f>
        <v>334.79433113675628</v>
      </c>
      <c r="E522" s="31">
        <f>Raw_Players!G484</f>
        <v>11.03537003585142</v>
      </c>
      <c r="F522" s="31">
        <f>Raw_Players!H484</f>
        <v>30.338296772023529</v>
      </c>
      <c r="G522" s="31" t="str">
        <f>IFERROR(IF(INDEX(Overrides!$B$8:$B$47,MATCH(B522,Overrides!$A$8:$A$47,0))="","",INDEX(Overrides!$B$8:$B$47,MATCH(B522,Overrides!$A$8:$A$47,0))),"")</f>
        <v/>
      </c>
      <c r="H522" s="31" t="str">
        <f>IFERROR(IF(INDEX(Overrides!$C$8:$C$47,MATCH(B522,Overrides!$A$8:$A$47,0))="","",INDEX(Overrides!$C$8:$C$47,MATCH(B522,Overrides!$A$8:$A$47,0))),"")</f>
        <v/>
      </c>
      <c r="I522" s="36">
        <f>IFERROR(IF(INDEX(Overrides!$D$8:$D$47,MATCH(B522,Overrides!$A$8:$A$47,0))="",0,INDEX(Overrides!$D$8:$D$47,MATCH(B522,Overrides!$A$8:$A$47,0))),0)</f>
        <v>0</v>
      </c>
      <c r="J522" s="38">
        <f t="shared" si="53"/>
        <v>334.79433113675628</v>
      </c>
      <c r="K522" s="18">
        <f t="shared" si="54"/>
        <v>0.99999999999999978</v>
      </c>
      <c r="L522" s="38">
        <f t="shared" si="55"/>
        <v>334.79433113675623</v>
      </c>
      <c r="M522" s="23">
        <f t="shared" si="56"/>
        <v>-3.1867960702466678</v>
      </c>
      <c r="N522" s="23">
        <f t="shared" si="57"/>
        <v>8.5059535349785623E-2</v>
      </c>
      <c r="O522" s="6"/>
      <c r="P522" s="18">
        <f t="shared" si="58"/>
        <v>-0.27106739298970434</v>
      </c>
    </row>
    <row r="523" spans="1:16" ht="15" customHeight="1" x14ac:dyDescent="0.3">
      <c r="A523" s="7" t="str">
        <f>Raw_Players!A485</f>
        <v>PHI</v>
      </c>
      <c r="B523" s="7" t="str">
        <f>Raw_Players!B485</f>
        <v>Duke Miles</v>
      </c>
      <c r="C523" s="37">
        <f>Raw_Players!E485</f>
        <v>-3.1867960702466678</v>
      </c>
      <c r="D523" s="31">
        <f>Raw_Players!F485</f>
        <v>334.79433113675628</v>
      </c>
      <c r="E523" s="31">
        <f>Raw_Players!G485</f>
        <v>11.03537003585142</v>
      </c>
      <c r="F523" s="31">
        <f>Raw_Players!H485</f>
        <v>30.338296772023529</v>
      </c>
      <c r="G523" s="31" t="str">
        <f>IFERROR(IF(INDEX(Overrides!$B$8:$B$47,MATCH(B523,Overrides!$A$8:$A$47,0))="","",INDEX(Overrides!$B$8:$B$47,MATCH(B523,Overrides!$A$8:$A$47,0))),"")</f>
        <v/>
      </c>
      <c r="H523" s="31" t="str">
        <f>IFERROR(IF(INDEX(Overrides!$C$8:$C$47,MATCH(B523,Overrides!$A$8:$A$47,0))="","",INDEX(Overrides!$C$8:$C$47,MATCH(B523,Overrides!$A$8:$A$47,0))),"")</f>
        <v/>
      </c>
      <c r="I523" s="36">
        <f>IFERROR(IF(INDEX(Overrides!$D$8:$D$47,MATCH(B523,Overrides!$A$8:$A$47,0))="",0,INDEX(Overrides!$D$8:$D$47,MATCH(B523,Overrides!$A$8:$A$47,0))),0)</f>
        <v>0</v>
      </c>
      <c r="J523" s="38">
        <f t="shared" si="53"/>
        <v>334.79433113675628</v>
      </c>
      <c r="K523" s="18">
        <f t="shared" si="54"/>
        <v>0.99999999999999978</v>
      </c>
      <c r="L523" s="38">
        <f t="shared" si="55"/>
        <v>334.79433113675623</v>
      </c>
      <c r="M523" s="23">
        <f t="shared" si="56"/>
        <v>-3.1867960702466678</v>
      </c>
      <c r="N523" s="23">
        <f t="shared" si="57"/>
        <v>8.5059535349785623E-2</v>
      </c>
      <c r="O523" s="6"/>
      <c r="P523" s="18">
        <f t="shared" si="58"/>
        <v>-0.27106739298970434</v>
      </c>
    </row>
    <row r="524" spans="1:16" ht="15" customHeight="1" x14ac:dyDescent="0.3">
      <c r="A524" s="7" t="str">
        <f>Raw_Players!A486</f>
        <v>PHI</v>
      </c>
      <c r="B524" s="7" t="str">
        <f>Raw_Players!B486</f>
        <v>Jameer Nelson Jr.</v>
      </c>
      <c r="C524" s="37">
        <f>Raw_Players!E486</f>
        <v>-3.1867960702466678</v>
      </c>
      <c r="D524" s="31">
        <f>Raw_Players!F486</f>
        <v>334.79433113675628</v>
      </c>
      <c r="E524" s="31">
        <f>Raw_Players!G486</f>
        <v>11.03537003585142</v>
      </c>
      <c r="F524" s="31">
        <f>Raw_Players!H486</f>
        <v>30.338296772023529</v>
      </c>
      <c r="G524" s="31" t="str">
        <f>IFERROR(IF(INDEX(Overrides!$B$8:$B$47,MATCH(B524,Overrides!$A$8:$A$47,0))="","",INDEX(Overrides!$B$8:$B$47,MATCH(B524,Overrides!$A$8:$A$47,0))),"")</f>
        <v/>
      </c>
      <c r="H524" s="31" t="str">
        <f>IFERROR(IF(INDEX(Overrides!$C$8:$C$47,MATCH(B524,Overrides!$A$8:$A$47,0))="","",INDEX(Overrides!$C$8:$C$47,MATCH(B524,Overrides!$A$8:$A$47,0))),"")</f>
        <v/>
      </c>
      <c r="I524" s="36">
        <f>IFERROR(IF(INDEX(Overrides!$D$8:$D$47,MATCH(B524,Overrides!$A$8:$A$47,0))="",0,INDEX(Overrides!$D$8:$D$47,MATCH(B524,Overrides!$A$8:$A$47,0))),0)</f>
        <v>0</v>
      </c>
      <c r="J524" s="38">
        <f t="shared" si="53"/>
        <v>334.79433113675628</v>
      </c>
      <c r="K524" s="18">
        <f t="shared" si="54"/>
        <v>0.99999999999999978</v>
      </c>
      <c r="L524" s="38">
        <f t="shared" si="55"/>
        <v>334.79433113675623</v>
      </c>
      <c r="M524" s="23">
        <f t="shared" si="56"/>
        <v>-3.1867960702466678</v>
      </c>
      <c r="N524" s="23">
        <f t="shared" si="57"/>
        <v>8.5059535349785623E-2</v>
      </c>
      <c r="O524" s="6"/>
      <c r="P524" s="18">
        <f t="shared" si="58"/>
        <v>-0.27106739298970434</v>
      </c>
    </row>
    <row r="525" spans="1:16" ht="15" customHeight="1" x14ac:dyDescent="0.3">
      <c r="A525" s="7" t="str">
        <f>Raw_Players!A487</f>
        <v>PHI</v>
      </c>
      <c r="B525" s="7" t="str">
        <f>Raw_Players!B487</f>
        <v>Saint Thomas</v>
      </c>
      <c r="C525" s="37">
        <f>Raw_Players!E487</f>
        <v>-3.1867960702466678</v>
      </c>
      <c r="D525" s="31">
        <f>Raw_Players!F487</f>
        <v>334.79433113675628</v>
      </c>
      <c r="E525" s="31">
        <f>Raw_Players!G487</f>
        <v>11.03537003585142</v>
      </c>
      <c r="F525" s="31">
        <f>Raw_Players!H487</f>
        <v>30.338296772023529</v>
      </c>
      <c r="G525" s="31" t="str">
        <f>IFERROR(IF(INDEX(Overrides!$B$8:$B$47,MATCH(B525,Overrides!$A$8:$A$47,0))="","",INDEX(Overrides!$B$8:$B$47,MATCH(B525,Overrides!$A$8:$A$47,0))),"")</f>
        <v/>
      </c>
      <c r="H525" s="31" t="str">
        <f>IFERROR(IF(INDEX(Overrides!$C$8:$C$47,MATCH(B525,Overrides!$A$8:$A$47,0))="","",INDEX(Overrides!$C$8:$C$47,MATCH(B525,Overrides!$A$8:$A$47,0))),"")</f>
        <v/>
      </c>
      <c r="I525" s="36">
        <f>IFERROR(IF(INDEX(Overrides!$D$8:$D$47,MATCH(B525,Overrides!$A$8:$A$47,0))="",0,INDEX(Overrides!$D$8:$D$47,MATCH(B525,Overrides!$A$8:$A$47,0))),0)</f>
        <v>0</v>
      </c>
      <c r="J525" s="38">
        <f t="shared" si="53"/>
        <v>334.79433113675628</v>
      </c>
      <c r="K525" s="18">
        <f t="shared" si="54"/>
        <v>0.99999999999999978</v>
      </c>
      <c r="L525" s="38">
        <f t="shared" si="55"/>
        <v>334.79433113675623</v>
      </c>
      <c r="M525" s="23">
        <f t="shared" si="56"/>
        <v>-3.1867960702466678</v>
      </c>
      <c r="N525" s="23">
        <f t="shared" si="57"/>
        <v>8.5059535349785623E-2</v>
      </c>
      <c r="O525" s="6"/>
      <c r="P525" s="18">
        <f t="shared" si="58"/>
        <v>-0.27106739298970434</v>
      </c>
    </row>
    <row r="526" spans="1:16" ht="15" customHeight="1" x14ac:dyDescent="0.3">
      <c r="A526" s="7" t="str">
        <f>Raw_Players!A488</f>
        <v>PHI</v>
      </c>
      <c r="B526" s="7" t="str">
        <f>Raw_Players!B488</f>
        <v>Ariel Hukporti</v>
      </c>
      <c r="C526" s="37">
        <f>Raw_Players!E488</f>
        <v>-1.88703755728031</v>
      </c>
      <c r="D526" s="31">
        <f>Raw_Players!F488</f>
        <v>0</v>
      </c>
      <c r="E526" s="31">
        <f>Raw_Players!G488</f>
        <v>0</v>
      </c>
      <c r="F526" s="31">
        <f>Raw_Players!H488</f>
        <v>0</v>
      </c>
      <c r="G526" s="31" t="str">
        <f>IFERROR(IF(INDEX(Overrides!$B$8:$B$47,MATCH(B526,Overrides!$A$8:$A$47,0))="","",INDEX(Overrides!$B$8:$B$47,MATCH(B526,Overrides!$A$8:$A$47,0))),"")</f>
        <v/>
      </c>
      <c r="H526" s="31" t="str">
        <f>IFERROR(IF(INDEX(Overrides!$C$8:$C$47,MATCH(B526,Overrides!$A$8:$A$47,0))="","",INDEX(Overrides!$C$8:$C$47,MATCH(B526,Overrides!$A$8:$A$47,0))),"")</f>
        <v/>
      </c>
      <c r="I526" s="36">
        <f>IFERROR(IF(INDEX(Overrides!$D$8:$D$47,MATCH(B526,Overrides!$A$8:$A$47,0))="",0,INDEX(Overrides!$D$8:$D$47,MATCH(B526,Overrides!$A$8:$A$47,0))),0)</f>
        <v>0</v>
      </c>
      <c r="J526" s="38">
        <f t="shared" si="53"/>
        <v>0</v>
      </c>
      <c r="K526" s="18">
        <f t="shared" si="54"/>
        <v>0.99999999999999978</v>
      </c>
      <c r="L526" s="38">
        <f t="shared" si="55"/>
        <v>0</v>
      </c>
      <c r="M526" s="23">
        <f t="shared" si="56"/>
        <v>-1.88703755728031</v>
      </c>
      <c r="N526" s="23">
        <f t="shared" si="57"/>
        <v>0</v>
      </c>
      <c r="O526" s="6"/>
      <c r="P526" s="18">
        <f t="shared" si="58"/>
        <v>0</v>
      </c>
    </row>
    <row r="527" spans="1:16" ht="15" customHeight="1" x14ac:dyDescent="0.3">
      <c r="A527" s="7" t="str">
        <f>Raw_Players!A489</f>
        <v>PHX</v>
      </c>
      <c r="B527" s="7" t="str">
        <f>Raw_Players!B489</f>
        <v>Devin Booker</v>
      </c>
      <c r="C527" s="37">
        <f>Raw_Players!E489</f>
        <v>2.117156158830205</v>
      </c>
      <c r="D527" s="31">
        <f>Raw_Players!F489</f>
        <v>1885.87180437048</v>
      </c>
      <c r="E527" s="31">
        <f>Raw_Players!G489</f>
        <v>30.45814695969419</v>
      </c>
      <c r="F527" s="31">
        <f>Raw_Players!H489</f>
        <v>61.916826616736977</v>
      </c>
      <c r="G527" s="31" t="str">
        <f>IFERROR(IF(INDEX(Overrides!$B$8:$B$47,MATCH(B527,Overrides!$A$8:$A$47,0))="","",INDEX(Overrides!$B$8:$B$47,MATCH(B527,Overrides!$A$8:$A$47,0))),"")</f>
        <v/>
      </c>
      <c r="H527" s="31" t="str">
        <f>IFERROR(IF(INDEX(Overrides!$C$8:$C$47,MATCH(B527,Overrides!$A$8:$A$47,0))="","",INDEX(Overrides!$C$8:$C$47,MATCH(B527,Overrides!$A$8:$A$47,0))),"")</f>
        <v/>
      </c>
      <c r="I527" s="36">
        <f>IFERROR(IF(INDEX(Overrides!$D$8:$D$47,MATCH(B527,Overrides!$A$8:$A$47,0))="",0,INDEX(Overrides!$D$8:$D$47,MATCH(B527,Overrides!$A$8:$A$47,0))),0)</f>
        <v>0</v>
      </c>
      <c r="J527" s="38">
        <f t="shared" si="53"/>
        <v>1885.87180437048</v>
      </c>
      <c r="K527" s="18">
        <f t="shared" si="54"/>
        <v>0.99999999999999978</v>
      </c>
      <c r="L527" s="38">
        <f t="shared" si="55"/>
        <v>1885.8718043704796</v>
      </c>
      <c r="M527" s="23">
        <f t="shared" si="56"/>
        <v>2.117156158830205</v>
      </c>
      <c r="N527" s="23">
        <f t="shared" si="57"/>
        <v>0.47913409663884138</v>
      </c>
      <c r="O527" s="6"/>
      <c r="P527" s="18">
        <f t="shared" si="58"/>
        <v>1.0144017036044697</v>
      </c>
    </row>
    <row r="528" spans="1:16" ht="15" customHeight="1" x14ac:dyDescent="0.3">
      <c r="A528" s="7" t="str">
        <f>Raw_Players!A490</f>
        <v>PHX</v>
      </c>
      <c r="B528" s="7" t="str">
        <f>Raw_Players!B490</f>
        <v>Miles Bridges</v>
      </c>
      <c r="C528" s="37">
        <f>Raw_Players!E490</f>
        <v>0.91957254661345755</v>
      </c>
      <c r="D528" s="31">
        <f>Raw_Players!F490</f>
        <v>1805.6173665554411</v>
      </c>
      <c r="E528" s="31">
        <f>Raw_Players!G490</f>
        <v>28.017255844901609</v>
      </c>
      <c r="F528" s="31">
        <f>Raw_Players!H490</f>
        <v>64.446617347216574</v>
      </c>
      <c r="G528" s="31" t="str">
        <f>IFERROR(IF(INDEX(Overrides!$B$8:$B$47,MATCH(B528,Overrides!$A$8:$A$47,0))="","",INDEX(Overrides!$B$8:$B$47,MATCH(B528,Overrides!$A$8:$A$47,0))),"")</f>
        <v/>
      </c>
      <c r="H528" s="31" t="str">
        <f>IFERROR(IF(INDEX(Overrides!$C$8:$C$47,MATCH(B528,Overrides!$A$8:$A$47,0))="","",INDEX(Overrides!$C$8:$C$47,MATCH(B528,Overrides!$A$8:$A$47,0))),"")</f>
        <v/>
      </c>
      <c r="I528" s="36">
        <f>IFERROR(IF(INDEX(Overrides!$D$8:$D$47,MATCH(B528,Overrides!$A$8:$A$47,0))="",0,INDEX(Overrides!$D$8:$D$47,MATCH(B528,Overrides!$A$8:$A$47,0))),0)</f>
        <v>0</v>
      </c>
      <c r="J528" s="38">
        <f t="shared" si="53"/>
        <v>1805.6173665554411</v>
      </c>
      <c r="K528" s="18">
        <f t="shared" si="54"/>
        <v>0.99999999999999978</v>
      </c>
      <c r="L528" s="38">
        <f t="shared" si="55"/>
        <v>1805.6173665554406</v>
      </c>
      <c r="M528" s="23">
        <f t="shared" si="56"/>
        <v>0.91957254661345755</v>
      </c>
      <c r="N528" s="23">
        <f t="shared" si="57"/>
        <v>0.45874424963298799</v>
      </c>
      <c r="O528" s="6"/>
      <c r="P528" s="18">
        <f t="shared" si="58"/>
        <v>0.42184861787928646</v>
      </c>
    </row>
    <row r="529" spans="1:16" ht="15" customHeight="1" x14ac:dyDescent="0.3">
      <c r="A529" s="7" t="str">
        <f>Raw_Players!A491</f>
        <v>PHX</v>
      </c>
      <c r="B529" s="7" t="str">
        <f>Raw_Players!B491</f>
        <v>Dillon Brooks</v>
      </c>
      <c r="C529" s="37">
        <f>Raw_Players!E491</f>
        <v>-1.25512965444711</v>
      </c>
      <c r="D529" s="31">
        <f>Raw_Players!F491</f>
        <v>1600.99689749494</v>
      </c>
      <c r="E529" s="31">
        <f>Raw_Players!G491</f>
        <v>26.873231250707761</v>
      </c>
      <c r="F529" s="31">
        <f>Raw_Players!H491</f>
        <v>59.575898505051363</v>
      </c>
      <c r="G529" s="31" t="str">
        <f>IFERROR(IF(INDEX(Overrides!$B$8:$B$47,MATCH(B529,Overrides!$A$8:$A$47,0))="","",INDEX(Overrides!$B$8:$B$47,MATCH(B529,Overrides!$A$8:$A$47,0))),"")</f>
        <v/>
      </c>
      <c r="H529" s="31" t="str">
        <f>IFERROR(IF(INDEX(Overrides!$C$8:$C$47,MATCH(B529,Overrides!$A$8:$A$47,0))="","",INDEX(Overrides!$C$8:$C$47,MATCH(B529,Overrides!$A$8:$A$47,0))),"")</f>
        <v/>
      </c>
      <c r="I529" s="36">
        <f>IFERROR(IF(INDEX(Overrides!$D$8:$D$47,MATCH(B529,Overrides!$A$8:$A$47,0))="",0,INDEX(Overrides!$D$8:$D$47,MATCH(B529,Overrides!$A$8:$A$47,0))),0)</f>
        <v>0</v>
      </c>
      <c r="J529" s="38">
        <f t="shared" si="53"/>
        <v>1600.99689749494</v>
      </c>
      <c r="K529" s="18">
        <f t="shared" si="54"/>
        <v>0.99999999999999978</v>
      </c>
      <c r="L529" s="38">
        <f t="shared" si="55"/>
        <v>1600.9968974949395</v>
      </c>
      <c r="M529" s="23">
        <f t="shared" si="56"/>
        <v>-1.25512965444711</v>
      </c>
      <c r="N529" s="23">
        <f t="shared" si="57"/>
        <v>0.40675734184322648</v>
      </c>
      <c r="O529" s="6"/>
      <c r="P529" s="18">
        <f t="shared" si="58"/>
        <v>-0.51053320191151386</v>
      </c>
    </row>
    <row r="530" spans="1:16" ht="15" customHeight="1" x14ac:dyDescent="0.3">
      <c r="A530" s="7" t="str">
        <f>Raw_Players!A492</f>
        <v>PHX</v>
      </c>
      <c r="B530" s="7" t="str">
        <f>Raw_Players!B492</f>
        <v>Jalen Green</v>
      </c>
      <c r="C530" s="37">
        <f>Raw_Players!E492</f>
        <v>0.33937761531923072</v>
      </c>
      <c r="D530" s="31">
        <f>Raw_Players!F492</f>
        <v>1469.0226789671631</v>
      </c>
      <c r="E530" s="31">
        <f>Raw_Players!G492</f>
        <v>26.443078328595369</v>
      </c>
      <c r="F530" s="31">
        <f>Raw_Players!H492</f>
        <v>55.554147694618877</v>
      </c>
      <c r="G530" s="31" t="str">
        <f>IFERROR(IF(INDEX(Overrides!$B$8:$B$47,MATCH(B530,Overrides!$A$8:$A$47,0))="","",INDEX(Overrides!$B$8:$B$47,MATCH(B530,Overrides!$A$8:$A$47,0))),"")</f>
        <v/>
      </c>
      <c r="H530" s="31" t="str">
        <f>IFERROR(IF(INDEX(Overrides!$C$8:$C$47,MATCH(B530,Overrides!$A$8:$A$47,0))="","",INDEX(Overrides!$C$8:$C$47,MATCH(B530,Overrides!$A$8:$A$47,0))),"")</f>
        <v/>
      </c>
      <c r="I530" s="36">
        <f>IFERROR(IF(INDEX(Overrides!$D$8:$D$47,MATCH(B530,Overrides!$A$8:$A$47,0))="",0,INDEX(Overrides!$D$8:$D$47,MATCH(B530,Overrides!$A$8:$A$47,0))),0)</f>
        <v>0</v>
      </c>
      <c r="J530" s="38">
        <f t="shared" si="53"/>
        <v>1469.0226789671631</v>
      </c>
      <c r="K530" s="18">
        <f t="shared" si="54"/>
        <v>0.99999999999999978</v>
      </c>
      <c r="L530" s="38">
        <f t="shared" si="55"/>
        <v>1469.0226789671628</v>
      </c>
      <c r="M530" s="23">
        <f t="shared" si="56"/>
        <v>0.33937761531923072</v>
      </c>
      <c r="N530" s="23">
        <f t="shared" si="57"/>
        <v>0.37322730664816128</v>
      </c>
      <c r="O530" s="6"/>
      <c r="P530" s="18">
        <f t="shared" si="58"/>
        <v>0.12666499330227224</v>
      </c>
    </row>
    <row r="531" spans="1:16" ht="15" customHeight="1" x14ac:dyDescent="0.3">
      <c r="A531" s="7" t="str">
        <f>Raw_Players!A493</f>
        <v>PHX</v>
      </c>
      <c r="B531" s="7" t="str">
        <f>Raw_Players!B493</f>
        <v>Collin Gillespie</v>
      </c>
      <c r="C531" s="37">
        <f>Raw_Players!E493</f>
        <v>1.3155244682921059</v>
      </c>
      <c r="D531" s="31">
        <f>Raw_Players!F493</f>
        <v>1308.499246223955</v>
      </c>
      <c r="E531" s="31">
        <f>Raw_Players!G493</f>
        <v>20.91763849562302</v>
      </c>
      <c r="F531" s="31">
        <f>Raw_Players!H493</f>
        <v>62.554826468473287</v>
      </c>
      <c r="G531" s="31" t="str">
        <f>IFERROR(IF(INDEX(Overrides!$B$8:$B$47,MATCH(B531,Overrides!$A$8:$A$47,0))="","",INDEX(Overrides!$B$8:$B$47,MATCH(B531,Overrides!$A$8:$A$47,0))),"")</f>
        <v/>
      </c>
      <c r="H531" s="31" t="str">
        <f>IFERROR(IF(INDEX(Overrides!$C$8:$C$47,MATCH(B531,Overrides!$A$8:$A$47,0))="","",INDEX(Overrides!$C$8:$C$47,MATCH(B531,Overrides!$A$8:$A$47,0))),"")</f>
        <v/>
      </c>
      <c r="I531" s="36">
        <f>IFERROR(IF(INDEX(Overrides!$D$8:$D$47,MATCH(B531,Overrides!$A$8:$A$47,0))="",0,INDEX(Overrides!$D$8:$D$47,MATCH(B531,Overrides!$A$8:$A$47,0))),0)</f>
        <v>0</v>
      </c>
      <c r="J531" s="38">
        <f t="shared" si="53"/>
        <v>1308.499246223955</v>
      </c>
      <c r="K531" s="18">
        <f t="shared" si="54"/>
        <v>0.99999999999999978</v>
      </c>
      <c r="L531" s="38">
        <f t="shared" si="55"/>
        <v>1308.4992462239547</v>
      </c>
      <c r="M531" s="23">
        <f t="shared" si="56"/>
        <v>1.3155244682921059</v>
      </c>
      <c r="N531" s="23">
        <f t="shared" si="57"/>
        <v>0.33244391418291536</v>
      </c>
      <c r="O531" s="6"/>
      <c r="P531" s="18">
        <f t="shared" si="58"/>
        <v>0.43733810344242618</v>
      </c>
    </row>
    <row r="532" spans="1:16" ht="15" customHeight="1" x14ac:dyDescent="0.3">
      <c r="A532" s="7" t="str">
        <f>Raw_Players!A494</f>
        <v>PHX</v>
      </c>
      <c r="B532" s="7" t="str">
        <f>Raw_Players!B494</f>
        <v>Luke Kennard</v>
      </c>
      <c r="C532" s="37">
        <f>Raw_Players!E494</f>
        <v>-0.22321371737440221</v>
      </c>
      <c r="D532" s="31">
        <f>Raw_Players!F494</f>
        <v>1249.678005467186</v>
      </c>
      <c r="E532" s="31">
        <f>Raw_Players!G494</f>
        <v>19.47362823161426</v>
      </c>
      <c r="F532" s="31">
        <f>Raw_Players!H494</f>
        <v>64.172838805580596</v>
      </c>
      <c r="G532" s="31" t="str">
        <f>IFERROR(IF(INDEX(Overrides!$B$8:$B$47,MATCH(B532,Overrides!$A$8:$A$47,0))="","",INDEX(Overrides!$B$8:$B$47,MATCH(B532,Overrides!$A$8:$A$47,0))),"")</f>
        <v/>
      </c>
      <c r="H532" s="31" t="str">
        <f>IFERROR(IF(INDEX(Overrides!$C$8:$C$47,MATCH(B532,Overrides!$A$8:$A$47,0))="","",INDEX(Overrides!$C$8:$C$47,MATCH(B532,Overrides!$A$8:$A$47,0))),"")</f>
        <v/>
      </c>
      <c r="I532" s="36">
        <f>IFERROR(IF(INDEX(Overrides!$D$8:$D$47,MATCH(B532,Overrides!$A$8:$A$47,0))="",0,INDEX(Overrides!$D$8:$D$47,MATCH(B532,Overrides!$A$8:$A$47,0))),0)</f>
        <v>0</v>
      </c>
      <c r="J532" s="38">
        <f t="shared" si="53"/>
        <v>1249.678005467186</v>
      </c>
      <c r="K532" s="18">
        <f t="shared" si="54"/>
        <v>0.99999999999999978</v>
      </c>
      <c r="L532" s="38">
        <f t="shared" si="55"/>
        <v>1249.6780054671858</v>
      </c>
      <c r="M532" s="23">
        <f t="shared" si="56"/>
        <v>-0.22321371737440221</v>
      </c>
      <c r="N532" s="23">
        <f t="shared" si="57"/>
        <v>0.3174994932589395</v>
      </c>
      <c r="O532" s="6"/>
      <c r="P532" s="18">
        <f t="shared" si="58"/>
        <v>-7.087024215481684E-2</v>
      </c>
    </row>
    <row r="533" spans="1:16" ht="15" customHeight="1" x14ac:dyDescent="0.3">
      <c r="A533" s="7" t="str">
        <f>Raw_Players!A495</f>
        <v>PHX</v>
      </c>
      <c r="B533" s="7" t="str">
        <f>Raw_Players!B495</f>
        <v>Oso Ighodaro</v>
      </c>
      <c r="C533" s="37">
        <f>Raw_Players!E495</f>
        <v>0.4627701639788403</v>
      </c>
      <c r="D533" s="31">
        <f>Raw_Players!F495</f>
        <v>1180.3366486772541</v>
      </c>
      <c r="E533" s="31">
        <f>Raw_Players!G495</f>
        <v>17.83984854211386</v>
      </c>
      <c r="F533" s="31">
        <f>Raw_Players!H495</f>
        <v>66.162929908899045</v>
      </c>
      <c r="G533" s="31" t="str">
        <f>IFERROR(IF(INDEX(Overrides!$B$8:$B$47,MATCH(B533,Overrides!$A$8:$A$47,0))="","",INDEX(Overrides!$B$8:$B$47,MATCH(B533,Overrides!$A$8:$A$47,0))),"")</f>
        <v/>
      </c>
      <c r="H533" s="31" t="str">
        <f>IFERROR(IF(INDEX(Overrides!$C$8:$C$47,MATCH(B533,Overrides!$A$8:$A$47,0))="","",INDEX(Overrides!$C$8:$C$47,MATCH(B533,Overrides!$A$8:$A$47,0))),"")</f>
        <v/>
      </c>
      <c r="I533" s="36">
        <f>IFERROR(IF(INDEX(Overrides!$D$8:$D$47,MATCH(B533,Overrides!$A$8:$A$47,0))="",0,INDEX(Overrides!$D$8:$D$47,MATCH(B533,Overrides!$A$8:$A$47,0))),0)</f>
        <v>0</v>
      </c>
      <c r="J533" s="38">
        <f t="shared" si="53"/>
        <v>1180.3366486772541</v>
      </c>
      <c r="K533" s="18">
        <f t="shared" si="54"/>
        <v>0.99999999999999978</v>
      </c>
      <c r="L533" s="38">
        <f t="shared" si="55"/>
        <v>1180.3366486772538</v>
      </c>
      <c r="M533" s="23">
        <f t="shared" si="56"/>
        <v>0.4627701639788403</v>
      </c>
      <c r="N533" s="23">
        <f t="shared" si="57"/>
        <v>0.29988227862735106</v>
      </c>
      <c r="O533" s="6"/>
      <c r="P533" s="18">
        <f t="shared" si="58"/>
        <v>0.13877657125472753</v>
      </c>
    </row>
    <row r="534" spans="1:16" ht="15" customHeight="1" x14ac:dyDescent="0.3">
      <c r="A534" s="7" t="str">
        <f>Raw_Players!A496</f>
        <v>PHX</v>
      </c>
      <c r="B534" s="7" t="str">
        <f>Raw_Players!B496</f>
        <v>Jordan Goodwin</v>
      </c>
      <c r="C534" s="37">
        <f>Raw_Players!E496</f>
        <v>0.84879015596594964</v>
      </c>
      <c r="D534" s="31">
        <f>Raw_Players!F496</f>
        <v>1096.019600720821</v>
      </c>
      <c r="E534" s="31">
        <f>Raw_Players!G496</f>
        <v>18.368682753865709</v>
      </c>
      <c r="F534" s="31">
        <f>Raw_Players!H496</f>
        <v>59.667838756165693</v>
      </c>
      <c r="G534" s="31" t="str">
        <f>IFERROR(IF(INDEX(Overrides!$B$8:$B$47,MATCH(B534,Overrides!$A$8:$A$47,0))="","",INDEX(Overrides!$B$8:$B$47,MATCH(B534,Overrides!$A$8:$A$47,0))),"")</f>
        <v/>
      </c>
      <c r="H534" s="31" t="str">
        <f>IFERROR(IF(INDEX(Overrides!$C$8:$C$47,MATCH(B534,Overrides!$A$8:$A$47,0))="","",INDEX(Overrides!$C$8:$C$47,MATCH(B534,Overrides!$A$8:$A$47,0))),"")</f>
        <v/>
      </c>
      <c r="I534" s="36">
        <f>IFERROR(IF(INDEX(Overrides!$D$8:$D$47,MATCH(B534,Overrides!$A$8:$A$47,0))="",0,INDEX(Overrides!$D$8:$D$47,MATCH(B534,Overrides!$A$8:$A$47,0))),0)</f>
        <v>0</v>
      </c>
      <c r="J534" s="38">
        <f t="shared" si="53"/>
        <v>1096.019600720821</v>
      </c>
      <c r="K534" s="18">
        <f t="shared" si="54"/>
        <v>0.99999999999999978</v>
      </c>
      <c r="L534" s="38">
        <f t="shared" si="55"/>
        <v>1096.0196007208208</v>
      </c>
      <c r="M534" s="23">
        <f t="shared" si="56"/>
        <v>0.84879015596594964</v>
      </c>
      <c r="N534" s="23">
        <f t="shared" si="57"/>
        <v>0.27846026441077765</v>
      </c>
      <c r="O534" s="6"/>
      <c r="P534" s="18">
        <f t="shared" si="58"/>
        <v>0.23635433125954353</v>
      </c>
    </row>
    <row r="535" spans="1:16" ht="15" customHeight="1" x14ac:dyDescent="0.3">
      <c r="A535" s="7" t="str">
        <f>Raw_Players!A497</f>
        <v>PHX</v>
      </c>
      <c r="B535" s="7" t="str">
        <f>Raw_Players!B497</f>
        <v>Ryan Dunn</v>
      </c>
      <c r="C535" s="37">
        <f>Raw_Players!E497</f>
        <v>-0.4844732285846477</v>
      </c>
      <c r="D535" s="31">
        <f>Raw_Players!F497</f>
        <v>1081.719116804735</v>
      </c>
      <c r="E535" s="31">
        <f>Raw_Players!G497</f>
        <v>16.786229536682519</v>
      </c>
      <c r="F535" s="31">
        <f>Raw_Players!H497</f>
        <v>64.440862937140352</v>
      </c>
      <c r="G535" s="31" t="str">
        <f>IFERROR(IF(INDEX(Overrides!$B$8:$B$47,MATCH(B535,Overrides!$A$8:$A$47,0))="","",INDEX(Overrides!$B$8:$B$47,MATCH(B535,Overrides!$A$8:$A$47,0))),"")</f>
        <v/>
      </c>
      <c r="H535" s="31" t="str">
        <f>IFERROR(IF(INDEX(Overrides!$C$8:$C$47,MATCH(B535,Overrides!$A$8:$A$47,0))="","",INDEX(Overrides!$C$8:$C$47,MATCH(B535,Overrides!$A$8:$A$47,0))),"")</f>
        <v/>
      </c>
      <c r="I535" s="36">
        <f>IFERROR(IF(INDEX(Overrides!$D$8:$D$47,MATCH(B535,Overrides!$A$8:$A$47,0))="",0,INDEX(Overrides!$D$8:$D$47,MATCH(B535,Overrides!$A$8:$A$47,0))),0)</f>
        <v>0</v>
      </c>
      <c r="J535" s="38">
        <f t="shared" si="53"/>
        <v>1081.719116804735</v>
      </c>
      <c r="K535" s="18">
        <f t="shared" si="54"/>
        <v>0.99999999999999978</v>
      </c>
      <c r="L535" s="38">
        <f t="shared" si="55"/>
        <v>1081.7191168047348</v>
      </c>
      <c r="M535" s="23">
        <f t="shared" si="56"/>
        <v>-0.4844732285846477</v>
      </c>
      <c r="N535" s="23">
        <f t="shared" si="57"/>
        <v>0.27482701138331678</v>
      </c>
      <c r="O535" s="6"/>
      <c r="P535" s="18">
        <f t="shared" si="58"/>
        <v>-0.13314632950714519</v>
      </c>
    </row>
    <row r="536" spans="1:16" ht="15" customHeight="1" x14ac:dyDescent="0.3">
      <c r="A536" s="7" t="str">
        <f>Raw_Players!A498</f>
        <v>PHX</v>
      </c>
      <c r="B536" s="7" t="str">
        <f>Raw_Players!B498</f>
        <v>Haywood Highsmith</v>
      </c>
      <c r="C536" s="37">
        <f>Raw_Players!E498</f>
        <v>-0.64545512793015269</v>
      </c>
      <c r="D536" s="31">
        <f>Raw_Players!F498</f>
        <v>915.82763628654277</v>
      </c>
      <c r="E536" s="31">
        <f>Raw_Players!G498</f>
        <v>19.282452424445449</v>
      </c>
      <c r="F536" s="31">
        <f>Raw_Players!H498</f>
        <v>47.49539198268662</v>
      </c>
      <c r="G536" s="31" t="str">
        <f>IFERROR(IF(INDEX(Overrides!$B$8:$B$47,MATCH(B536,Overrides!$A$8:$A$47,0))="","",INDEX(Overrides!$B$8:$B$47,MATCH(B536,Overrides!$A$8:$A$47,0))),"")</f>
        <v/>
      </c>
      <c r="H536" s="31" t="str">
        <f>IFERROR(IF(INDEX(Overrides!$C$8:$C$47,MATCH(B536,Overrides!$A$8:$A$47,0))="","",INDEX(Overrides!$C$8:$C$47,MATCH(B536,Overrides!$A$8:$A$47,0))),"")</f>
        <v/>
      </c>
      <c r="I536" s="36">
        <f>IFERROR(IF(INDEX(Overrides!$D$8:$D$47,MATCH(B536,Overrides!$A$8:$A$47,0))="",0,INDEX(Overrides!$D$8:$D$47,MATCH(B536,Overrides!$A$8:$A$47,0))),0)</f>
        <v>0</v>
      </c>
      <c r="J536" s="38">
        <f t="shared" si="53"/>
        <v>915.82763628654277</v>
      </c>
      <c r="K536" s="18">
        <f t="shared" si="54"/>
        <v>0.99999999999999978</v>
      </c>
      <c r="L536" s="38">
        <f t="shared" si="55"/>
        <v>915.82763628654254</v>
      </c>
      <c r="M536" s="23">
        <f t="shared" si="56"/>
        <v>-0.64545512793015269</v>
      </c>
      <c r="N536" s="23">
        <f t="shared" si="57"/>
        <v>0.23267978564190614</v>
      </c>
      <c r="O536" s="6"/>
      <c r="P536" s="18">
        <f t="shared" si="58"/>
        <v>-0.15018436080825703</v>
      </c>
    </row>
    <row r="537" spans="1:16" ht="15" customHeight="1" x14ac:dyDescent="0.3">
      <c r="A537" s="7" t="str">
        <f>Raw_Players!A499</f>
        <v>PHX</v>
      </c>
      <c r="B537" s="7" t="str">
        <f>Raw_Players!B499</f>
        <v>Kennedy Chandler</v>
      </c>
      <c r="C537" s="37">
        <f>Raw_Players!E499</f>
        <v>-2.7997795800632659</v>
      </c>
      <c r="D537" s="31">
        <f>Raw_Players!F499</f>
        <v>812.48765268616967</v>
      </c>
      <c r="E537" s="31">
        <f>Raw_Players!G499</f>
        <v>18.61386847141268</v>
      </c>
      <c r="F537" s="31">
        <f>Raw_Players!H499</f>
        <v>43.649586002715893</v>
      </c>
      <c r="G537" s="31" t="str">
        <f>IFERROR(IF(INDEX(Overrides!$B$8:$B$47,MATCH(B537,Overrides!$A$8:$A$47,0))="","",INDEX(Overrides!$B$8:$B$47,MATCH(B537,Overrides!$A$8:$A$47,0))),"")</f>
        <v/>
      </c>
      <c r="H537" s="31" t="str">
        <f>IFERROR(IF(INDEX(Overrides!$C$8:$C$47,MATCH(B537,Overrides!$A$8:$A$47,0))="","",INDEX(Overrides!$C$8:$C$47,MATCH(B537,Overrides!$A$8:$A$47,0))),"")</f>
        <v/>
      </c>
      <c r="I537" s="36">
        <f>IFERROR(IF(INDEX(Overrides!$D$8:$D$47,MATCH(B537,Overrides!$A$8:$A$47,0))="",0,INDEX(Overrides!$D$8:$D$47,MATCH(B537,Overrides!$A$8:$A$47,0))),0)</f>
        <v>0</v>
      </c>
      <c r="J537" s="38">
        <f t="shared" si="53"/>
        <v>812.48765268616967</v>
      </c>
      <c r="K537" s="18">
        <f t="shared" si="54"/>
        <v>0.99999999999999978</v>
      </c>
      <c r="L537" s="38">
        <f t="shared" si="55"/>
        <v>812.48765268616944</v>
      </c>
      <c r="M537" s="23">
        <f t="shared" si="56"/>
        <v>-2.7997795800632659</v>
      </c>
      <c r="N537" s="23">
        <f t="shared" si="57"/>
        <v>0.20642470850766501</v>
      </c>
      <c r="O537" s="6"/>
      <c r="P537" s="18">
        <f t="shared" si="58"/>
        <v>-0.57794368370027238</v>
      </c>
    </row>
    <row r="538" spans="1:16" ht="15" customHeight="1" x14ac:dyDescent="0.3">
      <c r="A538" s="7" t="str">
        <f>Raw_Players!A500</f>
        <v>PHX</v>
      </c>
      <c r="B538" s="7" t="str">
        <f>Raw_Players!B500</f>
        <v>Pat Spencer</v>
      </c>
      <c r="C538" s="37">
        <f>Raw_Players!E500</f>
        <v>-2.2276935039839132</v>
      </c>
      <c r="D538" s="31">
        <f>Raw_Players!F500</f>
        <v>785.58044839204331</v>
      </c>
      <c r="E538" s="31">
        <f>Raw_Players!G500</f>
        <v>13.37612411825641</v>
      </c>
      <c r="F538" s="31">
        <f>Raw_Players!H500</f>
        <v>58.73005075661964</v>
      </c>
      <c r="G538" s="31" t="str">
        <f>IFERROR(IF(INDEX(Overrides!$B$8:$B$47,MATCH(B538,Overrides!$A$8:$A$47,0))="","",INDEX(Overrides!$B$8:$B$47,MATCH(B538,Overrides!$A$8:$A$47,0))),"")</f>
        <v/>
      </c>
      <c r="H538" s="31" t="str">
        <f>IFERROR(IF(INDEX(Overrides!$C$8:$C$47,MATCH(B538,Overrides!$A$8:$A$47,0))="","",INDEX(Overrides!$C$8:$C$47,MATCH(B538,Overrides!$A$8:$A$47,0))),"")</f>
        <v/>
      </c>
      <c r="I538" s="36">
        <f>IFERROR(IF(INDEX(Overrides!$D$8:$D$47,MATCH(B538,Overrides!$A$8:$A$47,0))="",0,INDEX(Overrides!$D$8:$D$47,MATCH(B538,Overrides!$A$8:$A$47,0))),0)</f>
        <v>0</v>
      </c>
      <c r="J538" s="38">
        <f t="shared" si="53"/>
        <v>785.58044839204331</v>
      </c>
      <c r="K538" s="18">
        <f t="shared" si="54"/>
        <v>0.99999999999999978</v>
      </c>
      <c r="L538" s="38">
        <f t="shared" si="55"/>
        <v>785.58044839204308</v>
      </c>
      <c r="M538" s="23">
        <f t="shared" si="56"/>
        <v>-2.2276935039839132</v>
      </c>
      <c r="N538" s="23">
        <f t="shared" si="57"/>
        <v>0.19958852855488898</v>
      </c>
      <c r="O538" s="6"/>
      <c r="P538" s="18">
        <f t="shared" si="58"/>
        <v>-0.44462206853143393</v>
      </c>
    </row>
    <row r="539" spans="1:16" ht="15" customHeight="1" x14ac:dyDescent="0.3">
      <c r="A539" s="7" t="str">
        <f>Raw_Players!A501</f>
        <v>PHX</v>
      </c>
      <c r="B539" s="7" t="str">
        <f>Raw_Players!B501</f>
        <v>Rasheer Fleming</v>
      </c>
      <c r="C539" s="37">
        <f>Raw_Players!E501</f>
        <v>-1.759955337658264</v>
      </c>
      <c r="D539" s="31">
        <f>Raw_Players!F501</f>
        <v>649.67312851269548</v>
      </c>
      <c r="E539" s="31">
        <f>Raw_Players!G501</f>
        <v>11.02318758234955</v>
      </c>
      <c r="F539" s="31">
        <f>Raw_Players!H501</f>
        <v>58.936956634300543</v>
      </c>
      <c r="G539" s="31" t="str">
        <f>IFERROR(IF(INDEX(Overrides!$B$8:$B$47,MATCH(B539,Overrides!$A$8:$A$47,0))="","",INDEX(Overrides!$B$8:$B$47,MATCH(B539,Overrides!$A$8:$A$47,0))),"")</f>
        <v/>
      </c>
      <c r="H539" s="31" t="str">
        <f>IFERROR(IF(INDEX(Overrides!$C$8:$C$47,MATCH(B539,Overrides!$A$8:$A$47,0))="","",INDEX(Overrides!$C$8:$C$47,MATCH(B539,Overrides!$A$8:$A$47,0))),"")</f>
        <v/>
      </c>
      <c r="I539" s="36">
        <f>IFERROR(IF(INDEX(Overrides!$D$8:$D$47,MATCH(B539,Overrides!$A$8:$A$47,0))="",0,INDEX(Overrides!$D$8:$D$47,MATCH(B539,Overrides!$A$8:$A$47,0))),0)</f>
        <v>0</v>
      </c>
      <c r="J539" s="38">
        <f t="shared" si="53"/>
        <v>649.67312851269548</v>
      </c>
      <c r="K539" s="18">
        <f t="shared" si="54"/>
        <v>0.99999999999999978</v>
      </c>
      <c r="L539" s="38">
        <f t="shared" si="55"/>
        <v>649.67312851269537</v>
      </c>
      <c r="M539" s="23">
        <f t="shared" si="56"/>
        <v>-1.759955337658264</v>
      </c>
      <c r="N539" s="23">
        <f t="shared" si="57"/>
        <v>0.16505922980505472</v>
      </c>
      <c r="O539" s="6"/>
      <c r="P539" s="18">
        <f t="shared" si="58"/>
        <v>-0.29049687252516804</v>
      </c>
    </row>
    <row r="540" spans="1:16" ht="15" customHeight="1" x14ac:dyDescent="0.3">
      <c r="A540" s="7" t="str">
        <f>Raw_Players!A502</f>
        <v>PHX</v>
      </c>
      <c r="B540" s="7" t="str">
        <f>Raw_Players!B502</f>
        <v>Jamaree Bouyea</v>
      </c>
      <c r="C540" s="37">
        <f>Raw_Players!E502</f>
        <v>-1.0022364286002881</v>
      </c>
      <c r="D540" s="31">
        <f>Raw_Players!F502</f>
        <v>620.92941393566832</v>
      </c>
      <c r="E540" s="31">
        <f>Raw_Players!G502</f>
        <v>12.08145586161638</v>
      </c>
      <c r="F540" s="31">
        <f>Raw_Players!H502</f>
        <v>51.395247480761313</v>
      </c>
      <c r="G540" s="31" t="str">
        <f>IFERROR(IF(INDEX(Overrides!$B$8:$B$47,MATCH(B540,Overrides!$A$8:$A$47,0))="","",INDEX(Overrides!$B$8:$B$47,MATCH(B540,Overrides!$A$8:$A$47,0))),"")</f>
        <v/>
      </c>
      <c r="H540" s="31" t="str">
        <f>IFERROR(IF(INDEX(Overrides!$C$8:$C$47,MATCH(B540,Overrides!$A$8:$A$47,0))="","",INDEX(Overrides!$C$8:$C$47,MATCH(B540,Overrides!$A$8:$A$47,0))),"")</f>
        <v/>
      </c>
      <c r="I540" s="36">
        <f>IFERROR(IF(INDEX(Overrides!$D$8:$D$47,MATCH(B540,Overrides!$A$8:$A$47,0))="",0,INDEX(Overrides!$D$8:$D$47,MATCH(B540,Overrides!$A$8:$A$47,0))),0)</f>
        <v>0</v>
      </c>
      <c r="J540" s="38">
        <f t="shared" si="53"/>
        <v>620.92941393566832</v>
      </c>
      <c r="K540" s="18">
        <f t="shared" si="54"/>
        <v>0.99999999999999978</v>
      </c>
      <c r="L540" s="38">
        <f t="shared" si="55"/>
        <v>620.92941393566821</v>
      </c>
      <c r="M540" s="23">
        <f t="shared" si="56"/>
        <v>-1.0022364286002881</v>
      </c>
      <c r="N540" s="23">
        <f t="shared" si="57"/>
        <v>0.15775645679259864</v>
      </c>
      <c r="O540" s="6"/>
      <c r="P540" s="18">
        <f t="shared" si="58"/>
        <v>-0.15810926784444973</v>
      </c>
    </row>
    <row r="541" spans="1:16" ht="15" customHeight="1" x14ac:dyDescent="0.3">
      <c r="A541" s="7" t="str">
        <f>Raw_Players!A503</f>
        <v>PHX</v>
      </c>
      <c r="B541" s="7" t="str">
        <f>Raw_Players!B503</f>
        <v>Koa Peat</v>
      </c>
      <c r="C541" s="37">
        <f>Raw_Players!E503</f>
        <v>-2.503200030213133</v>
      </c>
      <c r="D541" s="31">
        <f>Raw_Players!F503</f>
        <v>581.84320745243815</v>
      </c>
      <c r="E541" s="31">
        <f>Raw_Players!G503</f>
        <v>14.56664554373479</v>
      </c>
      <c r="F541" s="31">
        <f>Raw_Players!H503</f>
        <v>39.943527540744803</v>
      </c>
      <c r="G541" s="31" t="str">
        <f>IFERROR(IF(INDEX(Overrides!$B$8:$B$47,MATCH(B541,Overrides!$A$8:$A$47,0))="","",INDEX(Overrides!$B$8:$B$47,MATCH(B541,Overrides!$A$8:$A$47,0))),"")</f>
        <v/>
      </c>
      <c r="H541" s="31" t="str">
        <f>IFERROR(IF(INDEX(Overrides!$C$8:$C$47,MATCH(B541,Overrides!$A$8:$A$47,0))="","",INDEX(Overrides!$C$8:$C$47,MATCH(B541,Overrides!$A$8:$A$47,0))),"")</f>
        <v/>
      </c>
      <c r="I541" s="36">
        <f>IFERROR(IF(INDEX(Overrides!$D$8:$D$47,MATCH(B541,Overrides!$A$8:$A$47,0))="",0,INDEX(Overrides!$D$8:$D$47,MATCH(B541,Overrides!$A$8:$A$47,0))),0)</f>
        <v>0</v>
      </c>
      <c r="J541" s="38">
        <f t="shared" si="53"/>
        <v>581.84320745243815</v>
      </c>
      <c r="K541" s="18">
        <f t="shared" si="54"/>
        <v>0.99999999999999978</v>
      </c>
      <c r="L541" s="38">
        <f t="shared" si="55"/>
        <v>581.84320745243804</v>
      </c>
      <c r="M541" s="23">
        <f t="shared" si="56"/>
        <v>-2.503200030213133</v>
      </c>
      <c r="N541" s="23">
        <f t="shared" si="57"/>
        <v>0.14782601815356658</v>
      </c>
      <c r="O541" s="6"/>
      <c r="P541" s="18">
        <f t="shared" si="58"/>
        <v>-0.370038093108295</v>
      </c>
    </row>
    <row r="542" spans="1:16" ht="15" customHeight="1" x14ac:dyDescent="0.3">
      <c r="A542" s="7" t="str">
        <f>Raw_Players!A504</f>
        <v>PHX</v>
      </c>
      <c r="B542" s="7" t="str">
        <f>Raw_Players!B504</f>
        <v>Duop Reath</v>
      </c>
      <c r="C542" s="37">
        <f>Raw_Players!E504</f>
        <v>-1.283336149280621</v>
      </c>
      <c r="D542" s="31">
        <f>Raw_Players!F504</f>
        <v>535.71269078450825</v>
      </c>
      <c r="E542" s="31">
        <f>Raw_Players!G504</f>
        <v>10.53791180996001</v>
      </c>
      <c r="F542" s="31">
        <f>Raw_Players!H504</f>
        <v>50.836702797054564</v>
      </c>
      <c r="G542" s="31" t="str">
        <f>IFERROR(IF(INDEX(Overrides!$B$8:$B$47,MATCH(B542,Overrides!$A$8:$A$47,0))="","",INDEX(Overrides!$B$8:$B$47,MATCH(B542,Overrides!$A$8:$A$47,0))),"")</f>
        <v/>
      </c>
      <c r="H542" s="31" t="str">
        <f>IFERROR(IF(INDEX(Overrides!$C$8:$C$47,MATCH(B542,Overrides!$A$8:$A$47,0))="","",INDEX(Overrides!$C$8:$C$47,MATCH(B542,Overrides!$A$8:$A$47,0))),"")</f>
        <v/>
      </c>
      <c r="I542" s="36">
        <f>IFERROR(IF(INDEX(Overrides!$D$8:$D$47,MATCH(B542,Overrides!$A$8:$A$47,0))="",0,INDEX(Overrides!$D$8:$D$47,MATCH(B542,Overrides!$A$8:$A$47,0))),0)</f>
        <v>0</v>
      </c>
      <c r="J542" s="38">
        <f t="shared" si="53"/>
        <v>535.71269078450825</v>
      </c>
      <c r="K542" s="18">
        <f t="shared" si="54"/>
        <v>0.99999999999999978</v>
      </c>
      <c r="L542" s="38">
        <f t="shared" si="55"/>
        <v>535.71269078450814</v>
      </c>
      <c r="M542" s="23">
        <f t="shared" si="56"/>
        <v>-1.283336149280621</v>
      </c>
      <c r="N542" s="23">
        <f t="shared" si="57"/>
        <v>0.13610586656110471</v>
      </c>
      <c r="O542" s="6"/>
      <c r="P542" s="18">
        <f t="shared" si="58"/>
        <v>-0.17466957868703015</v>
      </c>
    </row>
    <row r="543" spans="1:16" ht="15" customHeight="1" x14ac:dyDescent="0.3">
      <c r="A543" s="7" t="str">
        <f>Raw_Players!A505</f>
        <v>PHX</v>
      </c>
      <c r="B543" s="7" t="str">
        <f>Raw_Players!B505</f>
        <v>Khaman Maluach</v>
      </c>
      <c r="C543" s="37">
        <f>Raw_Players!E505</f>
        <v>-1.1204355186000849</v>
      </c>
      <c r="D543" s="31">
        <f>Raw_Players!F505</f>
        <v>488.95516859887852</v>
      </c>
      <c r="E543" s="31">
        <f>Raw_Players!G505</f>
        <v>8.7642317429669792</v>
      </c>
      <c r="F543" s="31">
        <f>Raw_Players!H505</f>
        <v>55.789849348888993</v>
      </c>
      <c r="G543" s="31" t="str">
        <f>IFERROR(IF(INDEX(Overrides!$B$8:$B$47,MATCH(B543,Overrides!$A$8:$A$47,0))="","",INDEX(Overrides!$B$8:$B$47,MATCH(B543,Overrides!$A$8:$A$47,0))),"")</f>
        <v/>
      </c>
      <c r="H543" s="31" t="str">
        <f>IFERROR(IF(INDEX(Overrides!$C$8:$C$47,MATCH(B543,Overrides!$A$8:$A$47,0))="","",INDEX(Overrides!$C$8:$C$47,MATCH(B543,Overrides!$A$8:$A$47,0))),"")</f>
        <v/>
      </c>
      <c r="I543" s="36">
        <f>IFERROR(IF(INDEX(Overrides!$D$8:$D$47,MATCH(B543,Overrides!$A$8:$A$47,0))="",0,INDEX(Overrides!$D$8:$D$47,MATCH(B543,Overrides!$A$8:$A$47,0))),0)</f>
        <v>0</v>
      </c>
      <c r="J543" s="38">
        <f t="shared" si="53"/>
        <v>488.95516859887852</v>
      </c>
      <c r="K543" s="18">
        <f t="shared" si="54"/>
        <v>0.99999999999999978</v>
      </c>
      <c r="L543" s="38">
        <f t="shared" si="55"/>
        <v>488.9551685988784</v>
      </c>
      <c r="M543" s="23">
        <f t="shared" si="56"/>
        <v>-1.1204355186000849</v>
      </c>
      <c r="N543" s="23">
        <f t="shared" si="57"/>
        <v>0.12422641478630041</v>
      </c>
      <c r="O543" s="6"/>
      <c r="P543" s="18">
        <f t="shared" si="58"/>
        <v>-0.13918768747491775</v>
      </c>
    </row>
    <row r="544" spans="1:16" ht="15" customHeight="1" x14ac:dyDescent="0.3">
      <c r="A544" s="7" t="str">
        <f>Raw_Players!A506</f>
        <v>PHX</v>
      </c>
      <c r="B544" s="7" t="str">
        <f>Raw_Players!B506</f>
        <v>Mark Williams</v>
      </c>
      <c r="C544" s="37">
        <f>Raw_Players!E506</f>
        <v>0.82309296772615725</v>
      </c>
      <c r="D544" s="31">
        <f>Raw_Players!F506</f>
        <v>482.0838230819125</v>
      </c>
      <c r="E544" s="31">
        <f>Raw_Players!G506</f>
        <v>21.08147439673138</v>
      </c>
      <c r="F544" s="31">
        <f>Raw_Players!H506</f>
        <v>22.867652139010652</v>
      </c>
      <c r="G544" s="31" t="str">
        <f>IFERROR(IF(INDEX(Overrides!$B$8:$B$47,MATCH(B544,Overrides!$A$8:$A$47,0))="","",INDEX(Overrides!$B$8:$B$47,MATCH(B544,Overrides!$A$8:$A$47,0))),"")</f>
        <v/>
      </c>
      <c r="H544" s="31" t="str">
        <f>IFERROR(IF(INDEX(Overrides!$C$8:$C$47,MATCH(B544,Overrides!$A$8:$A$47,0))="","",INDEX(Overrides!$C$8:$C$47,MATCH(B544,Overrides!$A$8:$A$47,0))),"")</f>
        <v/>
      </c>
      <c r="I544" s="36">
        <f>IFERROR(IF(INDEX(Overrides!$D$8:$D$47,MATCH(B544,Overrides!$A$8:$A$47,0))="",0,INDEX(Overrides!$D$8:$D$47,MATCH(B544,Overrides!$A$8:$A$47,0))),0)</f>
        <v>0</v>
      </c>
      <c r="J544" s="38">
        <f t="shared" si="53"/>
        <v>482.0838230819125</v>
      </c>
      <c r="K544" s="18">
        <f t="shared" si="54"/>
        <v>0.99999999999999978</v>
      </c>
      <c r="L544" s="38">
        <f t="shared" si="55"/>
        <v>482.08382308191239</v>
      </c>
      <c r="M544" s="23">
        <f t="shared" si="56"/>
        <v>0.82309296772615725</v>
      </c>
      <c r="N544" s="23">
        <f t="shared" si="57"/>
        <v>0.12248064610820945</v>
      </c>
      <c r="O544" s="6"/>
      <c r="P544" s="18">
        <f t="shared" si="58"/>
        <v>0.10081295849422334</v>
      </c>
    </row>
    <row r="545" spans="1:16" ht="15" customHeight="1" x14ac:dyDescent="0.3">
      <c r="A545" s="7" t="str">
        <f>Raw_Players!A507</f>
        <v>PHX</v>
      </c>
      <c r="B545" s="7" t="str">
        <f>Raw_Players!B507</f>
        <v>CJ Huntley</v>
      </c>
      <c r="C545" s="37">
        <f>Raw_Players!E507</f>
        <v>-2.3825983545872358</v>
      </c>
      <c r="D545" s="31">
        <f>Raw_Players!F507</f>
        <v>431.9263343457751</v>
      </c>
      <c r="E545" s="31">
        <f>Raw_Players!G507</f>
        <v>10.4743067050153</v>
      </c>
      <c r="F545" s="31">
        <f>Raw_Players!H507</f>
        <v>41.236746880722933</v>
      </c>
      <c r="G545" s="31" t="str">
        <f>IFERROR(IF(INDEX(Overrides!$B$8:$B$47,MATCH(B545,Overrides!$A$8:$A$47,0))="","",INDEX(Overrides!$B$8:$B$47,MATCH(B545,Overrides!$A$8:$A$47,0))),"")</f>
        <v/>
      </c>
      <c r="H545" s="31" t="str">
        <f>IFERROR(IF(INDEX(Overrides!$C$8:$C$47,MATCH(B545,Overrides!$A$8:$A$47,0))="","",INDEX(Overrides!$C$8:$C$47,MATCH(B545,Overrides!$A$8:$A$47,0))),"")</f>
        <v/>
      </c>
      <c r="I545" s="36">
        <f>IFERROR(IF(INDEX(Overrides!$D$8:$D$47,MATCH(B545,Overrides!$A$8:$A$47,0))="",0,INDEX(Overrides!$D$8:$D$47,MATCH(B545,Overrides!$A$8:$A$47,0))),0)</f>
        <v>0</v>
      </c>
      <c r="J545" s="38">
        <f t="shared" si="53"/>
        <v>431.9263343457751</v>
      </c>
      <c r="K545" s="18">
        <f t="shared" si="54"/>
        <v>0.99999999999999978</v>
      </c>
      <c r="L545" s="38">
        <f t="shared" si="55"/>
        <v>431.92633434577499</v>
      </c>
      <c r="M545" s="23">
        <f t="shared" si="56"/>
        <v>-2.3825983545872358</v>
      </c>
      <c r="N545" s="23">
        <f t="shared" si="57"/>
        <v>0.1097373816935404</v>
      </c>
      <c r="O545" s="6"/>
      <c r="P545" s="18">
        <f t="shared" si="58"/>
        <v>-0.26146010505974082</v>
      </c>
    </row>
    <row r="546" spans="1:16" ht="15" customHeight="1" x14ac:dyDescent="0.3">
      <c r="A546" s="7" t="str">
        <f>Raw_Players!A508</f>
        <v>PHX</v>
      </c>
      <c r="B546" s="7" t="str">
        <f>Raw_Players!B508</f>
        <v>Koby Brea</v>
      </c>
      <c r="C546" s="37">
        <f>Raw_Players!E508</f>
        <v>-1.694436190441164</v>
      </c>
      <c r="D546" s="31">
        <f>Raw_Players!F508</f>
        <v>389.84633671682809</v>
      </c>
      <c r="E546" s="31">
        <f>Raw_Players!G508</f>
        <v>8.8449701064573691</v>
      </c>
      <c r="F546" s="31">
        <f>Raw_Players!H508</f>
        <v>44.075483808839152</v>
      </c>
      <c r="G546" s="31" t="str">
        <f>IFERROR(IF(INDEX(Overrides!$B$8:$B$47,MATCH(B546,Overrides!$A$8:$A$47,0))="","",INDEX(Overrides!$B$8:$B$47,MATCH(B546,Overrides!$A$8:$A$47,0))),"")</f>
        <v/>
      </c>
      <c r="H546" s="31" t="str">
        <f>IFERROR(IF(INDEX(Overrides!$C$8:$C$47,MATCH(B546,Overrides!$A$8:$A$47,0))="","",INDEX(Overrides!$C$8:$C$47,MATCH(B546,Overrides!$A$8:$A$47,0))),"")</f>
        <v/>
      </c>
      <c r="I546" s="36">
        <f>IFERROR(IF(INDEX(Overrides!$D$8:$D$47,MATCH(B546,Overrides!$A$8:$A$47,0))="",0,INDEX(Overrides!$D$8:$D$47,MATCH(B546,Overrides!$A$8:$A$47,0))),0)</f>
        <v>0</v>
      </c>
      <c r="J546" s="38">
        <f t="shared" si="53"/>
        <v>389.84633671682809</v>
      </c>
      <c r="K546" s="18">
        <f t="shared" si="54"/>
        <v>0.99999999999999978</v>
      </c>
      <c r="L546" s="38">
        <f t="shared" si="55"/>
        <v>389.84633671682798</v>
      </c>
      <c r="M546" s="23">
        <f t="shared" si="56"/>
        <v>-1.694436190441164</v>
      </c>
      <c r="N546" s="23">
        <f t="shared" si="57"/>
        <v>9.904632538537296E-2</v>
      </c>
      <c r="O546" s="6"/>
      <c r="P546" s="18">
        <f t="shared" si="58"/>
        <v>-0.16782767826318731</v>
      </c>
    </row>
    <row r="547" spans="1:16" ht="15" customHeight="1" x14ac:dyDescent="0.3">
      <c r="A547" s="7" t="str">
        <f>Raw_Players!A509</f>
        <v>PHX</v>
      </c>
      <c r="B547" s="7" t="str">
        <f>Raw_Players!B509</f>
        <v>Phillip Wheeler</v>
      </c>
      <c r="C547" s="37">
        <f>Raw_Players!E509</f>
        <v>-2.0320400772382929</v>
      </c>
      <c r="D547" s="31">
        <f>Raw_Players!F509</f>
        <v>307.37279392456281</v>
      </c>
      <c r="E547" s="31">
        <f>Raw_Players!G509</f>
        <v>10.131511212851169</v>
      </c>
      <c r="F547" s="31">
        <f>Raw_Players!H509</f>
        <v>30.338296772023529</v>
      </c>
      <c r="G547" s="31" t="str">
        <f>IFERROR(IF(INDEX(Overrides!$B$8:$B$47,MATCH(B547,Overrides!$A$8:$A$47,0))="","",INDEX(Overrides!$B$8:$B$47,MATCH(B547,Overrides!$A$8:$A$47,0))),"")</f>
        <v/>
      </c>
      <c r="H547" s="31" t="str">
        <f>IFERROR(IF(INDEX(Overrides!$C$8:$C$47,MATCH(B547,Overrides!$A$8:$A$47,0))="","",INDEX(Overrides!$C$8:$C$47,MATCH(B547,Overrides!$A$8:$A$47,0))),"")</f>
        <v/>
      </c>
      <c r="I547" s="36">
        <f>IFERROR(IF(INDEX(Overrides!$D$8:$D$47,MATCH(B547,Overrides!$A$8:$A$47,0))="",0,INDEX(Overrides!$D$8:$D$47,MATCH(B547,Overrides!$A$8:$A$47,0))),0)</f>
        <v>0</v>
      </c>
      <c r="J547" s="38">
        <f t="shared" si="53"/>
        <v>307.37279392456281</v>
      </c>
      <c r="K547" s="18">
        <f t="shared" si="54"/>
        <v>0.99999999999999978</v>
      </c>
      <c r="L547" s="38">
        <f t="shared" si="55"/>
        <v>307.37279392456276</v>
      </c>
      <c r="M547" s="23">
        <f t="shared" si="56"/>
        <v>-2.0320400772382929</v>
      </c>
      <c r="N547" s="23">
        <f t="shared" si="57"/>
        <v>7.8092681383273063E-2</v>
      </c>
      <c r="O547" s="6"/>
      <c r="P547" s="18">
        <f t="shared" si="58"/>
        <v>-0.1586874583098116</v>
      </c>
    </row>
    <row r="548" spans="1:16" ht="15" customHeight="1" x14ac:dyDescent="0.3">
      <c r="A548" s="7" t="str">
        <f>Raw_Players!A510</f>
        <v>POR</v>
      </c>
      <c r="B548" s="7" t="str">
        <f>Raw_Players!B510</f>
        <v>Toumani Camara</v>
      </c>
      <c r="C548" s="37">
        <f>Raw_Players!E510</f>
        <v>0.2940683888942679</v>
      </c>
      <c r="D548" s="31">
        <f>Raw_Players!F510</f>
        <v>2113.1836018252579</v>
      </c>
      <c r="E548" s="31">
        <f>Raw_Players!G510</f>
        <v>31.32378275121664</v>
      </c>
      <c r="F548" s="31">
        <f>Raw_Players!H510</f>
        <v>67.462592835891797</v>
      </c>
      <c r="G548" s="31" t="str">
        <f>IFERROR(IF(INDEX(Overrides!$B$8:$B$47,MATCH(B548,Overrides!$A$8:$A$47,0))="","",INDEX(Overrides!$B$8:$B$47,MATCH(B548,Overrides!$A$8:$A$47,0))),"")</f>
        <v/>
      </c>
      <c r="H548" s="31" t="str">
        <f>IFERROR(IF(INDEX(Overrides!$C$8:$C$47,MATCH(B548,Overrides!$A$8:$A$47,0))="","",INDEX(Overrides!$C$8:$C$47,MATCH(B548,Overrides!$A$8:$A$47,0))),"")</f>
        <v/>
      </c>
      <c r="I548" s="36">
        <f>IFERROR(IF(INDEX(Overrides!$D$8:$D$47,MATCH(B548,Overrides!$A$8:$A$47,0))="",0,INDEX(Overrides!$D$8:$D$47,MATCH(B548,Overrides!$A$8:$A$47,0))),0)</f>
        <v>0</v>
      </c>
      <c r="J548" s="38">
        <f t="shared" si="53"/>
        <v>2113.1836018252579</v>
      </c>
      <c r="K548" s="18">
        <f t="shared" si="54"/>
        <v>1</v>
      </c>
      <c r="L548" s="38">
        <f t="shared" si="55"/>
        <v>2113.1836018252579</v>
      </c>
      <c r="M548" s="23">
        <f t="shared" si="56"/>
        <v>0.2940683888942679</v>
      </c>
      <c r="N548" s="23">
        <f t="shared" si="57"/>
        <v>0.53688607769950658</v>
      </c>
      <c r="O548" s="6"/>
      <c r="P548" s="18">
        <f t="shared" si="58"/>
        <v>0.15788122388885664</v>
      </c>
    </row>
    <row r="549" spans="1:16" ht="15" customHeight="1" x14ac:dyDescent="0.3">
      <c r="A549" s="7" t="str">
        <f>Raw_Players!A511</f>
        <v>POR</v>
      </c>
      <c r="B549" s="7" t="str">
        <f>Raw_Players!B511</f>
        <v>Deni Avdija</v>
      </c>
      <c r="C549" s="37">
        <f>Raw_Players!E511</f>
        <v>2.2825018384985558</v>
      </c>
      <c r="D549" s="31">
        <f>Raw_Players!F511</f>
        <v>1963.2098674011299</v>
      </c>
      <c r="E549" s="31">
        <f>Raw_Players!G511</f>
        <v>31.139884461683248</v>
      </c>
      <c r="F549" s="31">
        <f>Raw_Players!H511</f>
        <v>63.044866779027537</v>
      </c>
      <c r="G549" s="31" t="str">
        <f>IFERROR(IF(INDEX(Overrides!$B$8:$B$47,MATCH(B549,Overrides!$A$8:$A$47,0))="","",INDEX(Overrides!$B$8:$B$47,MATCH(B549,Overrides!$A$8:$A$47,0))),"")</f>
        <v/>
      </c>
      <c r="H549" s="31" t="str">
        <f>IFERROR(IF(INDEX(Overrides!$C$8:$C$47,MATCH(B549,Overrides!$A$8:$A$47,0))="","",INDEX(Overrides!$C$8:$C$47,MATCH(B549,Overrides!$A$8:$A$47,0))),"")</f>
        <v/>
      </c>
      <c r="I549" s="36">
        <f>IFERROR(IF(INDEX(Overrides!$D$8:$D$47,MATCH(B549,Overrides!$A$8:$A$47,0))="",0,INDEX(Overrides!$D$8:$D$47,MATCH(B549,Overrides!$A$8:$A$47,0))),0)</f>
        <v>0</v>
      </c>
      <c r="J549" s="38">
        <f t="shared" si="53"/>
        <v>1963.2098674011299</v>
      </c>
      <c r="K549" s="18">
        <f t="shared" si="54"/>
        <v>1</v>
      </c>
      <c r="L549" s="38">
        <f t="shared" si="55"/>
        <v>1963.2098674011299</v>
      </c>
      <c r="M549" s="23">
        <f t="shared" si="56"/>
        <v>2.2825018384985558</v>
      </c>
      <c r="N549" s="23">
        <f t="shared" si="57"/>
        <v>0.49878299476654725</v>
      </c>
      <c r="O549" s="6"/>
      <c r="P549" s="18">
        <f t="shared" si="58"/>
        <v>1.1384731025664596</v>
      </c>
    </row>
    <row r="550" spans="1:16" ht="15" customHeight="1" x14ac:dyDescent="0.3">
      <c r="A550" s="7" t="str">
        <f>Raw_Players!A512</f>
        <v>POR</v>
      </c>
      <c r="B550" s="7" t="str">
        <f>Raw_Players!B512</f>
        <v>Jrue Holiday</v>
      </c>
      <c r="C550" s="37">
        <f>Raw_Players!E512</f>
        <v>0.69134232908158322</v>
      </c>
      <c r="D550" s="31">
        <f>Raw_Players!F512</f>
        <v>1637.427616009639</v>
      </c>
      <c r="E550" s="31">
        <f>Raw_Players!G512</f>
        <v>29.902889806450261</v>
      </c>
      <c r="F550" s="31">
        <f>Raw_Players!H512</f>
        <v>54.758173093238447</v>
      </c>
      <c r="G550" s="31" t="str">
        <f>IFERROR(IF(INDEX(Overrides!$B$8:$B$47,MATCH(B550,Overrides!$A$8:$A$47,0))="","",INDEX(Overrides!$B$8:$B$47,MATCH(B550,Overrides!$A$8:$A$47,0))),"")</f>
        <v/>
      </c>
      <c r="H550" s="31" t="str">
        <f>IFERROR(IF(INDEX(Overrides!$C$8:$C$47,MATCH(B550,Overrides!$A$8:$A$47,0))="","",INDEX(Overrides!$C$8:$C$47,MATCH(B550,Overrides!$A$8:$A$47,0))),"")</f>
        <v/>
      </c>
      <c r="I550" s="36">
        <f>IFERROR(IF(INDEX(Overrides!$D$8:$D$47,MATCH(B550,Overrides!$A$8:$A$47,0))="",0,INDEX(Overrides!$D$8:$D$47,MATCH(B550,Overrides!$A$8:$A$47,0))),0)</f>
        <v>0</v>
      </c>
      <c r="J550" s="38">
        <f t="shared" si="53"/>
        <v>1637.427616009639</v>
      </c>
      <c r="K550" s="18">
        <f t="shared" si="54"/>
        <v>1</v>
      </c>
      <c r="L550" s="38">
        <f t="shared" si="55"/>
        <v>1637.427616009639</v>
      </c>
      <c r="M550" s="23">
        <f t="shared" si="56"/>
        <v>0.69134232908158322</v>
      </c>
      <c r="N550" s="23">
        <f t="shared" si="57"/>
        <v>0.41601311382358713</v>
      </c>
      <c r="O550" s="6"/>
      <c r="P550" s="18">
        <f t="shared" si="58"/>
        <v>0.28760747503928052</v>
      </c>
    </row>
    <row r="551" spans="1:16" ht="15" customHeight="1" x14ac:dyDescent="0.3">
      <c r="A551" s="7" t="str">
        <f>Raw_Players!A513</f>
        <v>POR</v>
      </c>
      <c r="B551" s="7" t="str">
        <f>Raw_Players!B513</f>
        <v>Donovan Clingan</v>
      </c>
      <c r="C551" s="37">
        <f>Raw_Players!E513</f>
        <v>2.0129313007041012</v>
      </c>
      <c r="D551" s="31">
        <f>Raw_Players!F513</f>
        <v>1578.739827885863</v>
      </c>
      <c r="E551" s="31">
        <f>Raw_Players!G513</f>
        <v>24.070942053433608</v>
      </c>
      <c r="F551" s="31">
        <f>Raw_Players!H513</f>
        <v>65.586956438236413</v>
      </c>
      <c r="G551" s="31" t="str">
        <f>IFERROR(IF(INDEX(Overrides!$B$8:$B$47,MATCH(B551,Overrides!$A$8:$A$47,0))="","",INDEX(Overrides!$B$8:$B$47,MATCH(B551,Overrides!$A$8:$A$47,0))),"")</f>
        <v/>
      </c>
      <c r="H551" s="31" t="str">
        <f>IFERROR(IF(INDEX(Overrides!$C$8:$C$47,MATCH(B551,Overrides!$A$8:$A$47,0))="","",INDEX(Overrides!$C$8:$C$47,MATCH(B551,Overrides!$A$8:$A$47,0))),"")</f>
        <v/>
      </c>
      <c r="I551" s="36">
        <f>IFERROR(IF(INDEX(Overrides!$D$8:$D$47,MATCH(B551,Overrides!$A$8:$A$47,0))="",0,INDEX(Overrides!$D$8:$D$47,MATCH(B551,Overrides!$A$8:$A$47,0))),0)</f>
        <v>0</v>
      </c>
      <c r="J551" s="38">
        <f t="shared" si="53"/>
        <v>1578.739827885863</v>
      </c>
      <c r="K551" s="18">
        <f t="shared" si="54"/>
        <v>1</v>
      </c>
      <c r="L551" s="38">
        <f t="shared" si="55"/>
        <v>1578.739827885863</v>
      </c>
      <c r="M551" s="23">
        <f t="shared" si="56"/>
        <v>2.0129313007041012</v>
      </c>
      <c r="N551" s="23">
        <f t="shared" si="57"/>
        <v>0.40110259854823754</v>
      </c>
      <c r="O551" s="6"/>
      <c r="P551" s="18">
        <f t="shared" si="58"/>
        <v>0.80739197541149876</v>
      </c>
    </row>
    <row r="552" spans="1:16" ht="15" customHeight="1" x14ac:dyDescent="0.3">
      <c r="A552" s="7" t="str">
        <f>Raw_Players!A514</f>
        <v>POR</v>
      </c>
      <c r="B552" s="7" t="str">
        <f>Raw_Players!B514</f>
        <v>Ja Morant</v>
      </c>
      <c r="C552" s="37">
        <f>Raw_Players!E514</f>
        <v>0.78919016975765899</v>
      </c>
      <c r="D552" s="31">
        <f>Raw_Players!F514</f>
        <v>1459.446776515726</v>
      </c>
      <c r="E552" s="31">
        <f>Raw_Players!G514</f>
        <v>27.890961601668941</v>
      </c>
      <c r="F552" s="31">
        <f>Raw_Players!H514</f>
        <v>52.326871957989283</v>
      </c>
      <c r="G552" s="31" t="str">
        <f>IFERROR(IF(INDEX(Overrides!$B$8:$B$47,MATCH(B552,Overrides!$A$8:$A$47,0))="","",INDEX(Overrides!$B$8:$B$47,MATCH(B552,Overrides!$A$8:$A$47,0))),"")</f>
        <v/>
      </c>
      <c r="H552" s="31" t="str">
        <f>IFERROR(IF(INDEX(Overrides!$C$8:$C$47,MATCH(B552,Overrides!$A$8:$A$47,0))="","",INDEX(Overrides!$C$8:$C$47,MATCH(B552,Overrides!$A$8:$A$47,0))),"")</f>
        <v/>
      </c>
      <c r="I552" s="36">
        <f>IFERROR(IF(INDEX(Overrides!$D$8:$D$47,MATCH(B552,Overrides!$A$8:$A$47,0))="",0,INDEX(Overrides!$D$8:$D$47,MATCH(B552,Overrides!$A$8:$A$47,0))),0)</f>
        <v>0</v>
      </c>
      <c r="J552" s="38">
        <f t="shared" si="53"/>
        <v>1459.446776515726</v>
      </c>
      <c r="K552" s="18">
        <f t="shared" si="54"/>
        <v>1</v>
      </c>
      <c r="L552" s="38">
        <f t="shared" si="55"/>
        <v>1459.446776515726</v>
      </c>
      <c r="M552" s="23">
        <f t="shared" si="56"/>
        <v>0.78919016975765899</v>
      </c>
      <c r="N552" s="23">
        <f t="shared" si="57"/>
        <v>0.37079440460257268</v>
      </c>
      <c r="O552" s="6"/>
      <c r="P552" s="18">
        <f t="shared" si="58"/>
        <v>0.29262729911349444</v>
      </c>
    </row>
    <row r="553" spans="1:16" ht="15" customHeight="1" x14ac:dyDescent="0.3">
      <c r="A553" s="7" t="str">
        <f>Raw_Players!A515</f>
        <v>POR</v>
      </c>
      <c r="B553" s="7" t="str">
        <f>Raw_Players!B515</f>
        <v>Scoot Henderson</v>
      </c>
      <c r="C553" s="37">
        <f>Raw_Players!E515</f>
        <v>-1.088909713838947</v>
      </c>
      <c r="D553" s="31">
        <f>Raw_Players!F515</f>
        <v>1392.365143693542</v>
      </c>
      <c r="E553" s="31">
        <f>Raw_Players!G515</f>
        <v>25.938621850859299</v>
      </c>
      <c r="F553" s="31">
        <f>Raw_Players!H515</f>
        <v>53.679225970419687</v>
      </c>
      <c r="G553" s="31" t="str">
        <f>IFERROR(IF(INDEX(Overrides!$B$8:$B$47,MATCH(B553,Overrides!$A$8:$A$47,0))="","",INDEX(Overrides!$B$8:$B$47,MATCH(B553,Overrides!$A$8:$A$47,0))),"")</f>
        <v/>
      </c>
      <c r="H553" s="31" t="str">
        <f>IFERROR(IF(INDEX(Overrides!$C$8:$C$47,MATCH(B553,Overrides!$A$8:$A$47,0))="","",INDEX(Overrides!$C$8:$C$47,MATCH(B553,Overrides!$A$8:$A$47,0))),"")</f>
        <v/>
      </c>
      <c r="I553" s="36">
        <f>IFERROR(IF(INDEX(Overrides!$D$8:$D$47,MATCH(B553,Overrides!$A$8:$A$47,0))="",0,INDEX(Overrides!$D$8:$D$47,MATCH(B553,Overrides!$A$8:$A$47,0))),0)</f>
        <v>0</v>
      </c>
      <c r="J553" s="38">
        <f t="shared" si="53"/>
        <v>1392.365143693542</v>
      </c>
      <c r="K553" s="18">
        <f t="shared" si="54"/>
        <v>1</v>
      </c>
      <c r="L553" s="38">
        <f t="shared" si="55"/>
        <v>1392.365143693542</v>
      </c>
      <c r="M553" s="23">
        <f t="shared" si="56"/>
        <v>-1.088909713838947</v>
      </c>
      <c r="N553" s="23">
        <f t="shared" si="57"/>
        <v>0.35375130683270883</v>
      </c>
      <c r="O553" s="6"/>
      <c r="P553" s="18">
        <f t="shared" si="58"/>
        <v>-0.38520323429335851</v>
      </c>
    </row>
    <row r="554" spans="1:16" ht="15" customHeight="1" x14ac:dyDescent="0.3">
      <c r="A554" s="7" t="str">
        <f>Raw_Players!A516</f>
        <v>POR</v>
      </c>
      <c r="B554" s="7" t="str">
        <f>Raw_Players!B516</f>
        <v>Vit Krejci</v>
      </c>
      <c r="C554" s="37">
        <f>Raw_Players!E516</f>
        <v>-0.6816873466544664</v>
      </c>
      <c r="D554" s="31">
        <f>Raw_Players!F516</f>
        <v>1281.819838843631</v>
      </c>
      <c r="E554" s="31">
        <f>Raw_Players!G516</f>
        <v>20.934658011456939</v>
      </c>
      <c r="F554" s="31">
        <f>Raw_Players!H516</f>
        <v>61.229557136406427</v>
      </c>
      <c r="G554" s="31" t="str">
        <f>IFERROR(IF(INDEX(Overrides!$B$8:$B$47,MATCH(B554,Overrides!$A$8:$A$47,0))="","",INDEX(Overrides!$B$8:$B$47,MATCH(B554,Overrides!$A$8:$A$47,0))),"")</f>
        <v/>
      </c>
      <c r="H554" s="31" t="str">
        <f>IFERROR(IF(INDEX(Overrides!$C$8:$C$47,MATCH(B554,Overrides!$A$8:$A$47,0))="","",INDEX(Overrides!$C$8:$C$47,MATCH(B554,Overrides!$A$8:$A$47,0))),"")</f>
        <v/>
      </c>
      <c r="I554" s="36">
        <f>IFERROR(IF(INDEX(Overrides!$D$8:$D$47,MATCH(B554,Overrides!$A$8:$A$47,0))="",0,INDEX(Overrides!$D$8:$D$47,MATCH(B554,Overrides!$A$8:$A$47,0))),0)</f>
        <v>0</v>
      </c>
      <c r="J554" s="38">
        <f t="shared" si="53"/>
        <v>1281.819838843631</v>
      </c>
      <c r="K554" s="18">
        <f t="shared" si="54"/>
        <v>1</v>
      </c>
      <c r="L554" s="38">
        <f t="shared" si="55"/>
        <v>1281.819838843631</v>
      </c>
      <c r="M554" s="23">
        <f t="shared" si="56"/>
        <v>-0.6816873466544664</v>
      </c>
      <c r="N554" s="23">
        <f t="shared" si="57"/>
        <v>0.32566560946230461</v>
      </c>
      <c r="O554" s="6"/>
      <c r="P554" s="18">
        <f t="shared" si="58"/>
        <v>-0.2220021252109681</v>
      </c>
    </row>
    <row r="555" spans="1:16" ht="15" customHeight="1" x14ac:dyDescent="0.3">
      <c r="A555" s="7" t="str">
        <f>Raw_Players!A517</f>
        <v>POR</v>
      </c>
      <c r="B555" s="7" t="str">
        <f>Raw_Players!B517</f>
        <v>Jeremy Sochan</v>
      </c>
      <c r="C555" s="37">
        <f>Raw_Players!E517</f>
        <v>-0.82508435480936515</v>
      </c>
      <c r="D555" s="31">
        <f>Raw_Players!F517</f>
        <v>1121.6960211477949</v>
      </c>
      <c r="E555" s="31">
        <f>Raw_Players!G517</f>
        <v>20.01641243960632</v>
      </c>
      <c r="F555" s="31">
        <f>Raw_Players!H517</f>
        <v>56.038814374563167</v>
      </c>
      <c r="G555" s="31" t="str">
        <f>IFERROR(IF(INDEX(Overrides!$B$8:$B$47,MATCH(B555,Overrides!$A$8:$A$47,0))="","",INDEX(Overrides!$B$8:$B$47,MATCH(B555,Overrides!$A$8:$A$47,0))),"")</f>
        <v/>
      </c>
      <c r="H555" s="31" t="str">
        <f>IFERROR(IF(INDEX(Overrides!$C$8:$C$47,MATCH(B555,Overrides!$A$8:$A$47,0))="","",INDEX(Overrides!$C$8:$C$47,MATCH(B555,Overrides!$A$8:$A$47,0))),"")</f>
        <v/>
      </c>
      <c r="I555" s="36">
        <f>IFERROR(IF(INDEX(Overrides!$D$8:$D$47,MATCH(B555,Overrides!$A$8:$A$47,0))="",0,INDEX(Overrides!$D$8:$D$47,MATCH(B555,Overrides!$A$8:$A$47,0))),0)</f>
        <v>0</v>
      </c>
      <c r="J555" s="38">
        <f t="shared" si="53"/>
        <v>1121.6960211477949</v>
      </c>
      <c r="K555" s="18">
        <f t="shared" si="54"/>
        <v>1</v>
      </c>
      <c r="L555" s="38">
        <f t="shared" si="55"/>
        <v>1121.6960211477949</v>
      </c>
      <c r="M555" s="23">
        <f t="shared" si="56"/>
        <v>-0.82508435480936515</v>
      </c>
      <c r="N555" s="23">
        <f t="shared" si="57"/>
        <v>0.28498374521031372</v>
      </c>
      <c r="O555" s="6"/>
      <c r="P555" s="18">
        <f t="shared" si="58"/>
        <v>-0.23513562954800821</v>
      </c>
    </row>
    <row r="556" spans="1:16" ht="15" customHeight="1" x14ac:dyDescent="0.3">
      <c r="A556" s="7" t="str">
        <f>Raw_Players!A518</f>
        <v>POR</v>
      </c>
      <c r="B556" s="7" t="str">
        <f>Raw_Players!B518</f>
        <v>Damian Lillard</v>
      </c>
      <c r="C556" s="37">
        <f>Raw_Players!E518</f>
        <v>0.89237685709817149</v>
      </c>
      <c r="D556" s="31">
        <f>Raw_Players!F518</f>
        <v>1037.520116266709</v>
      </c>
      <c r="E556" s="31">
        <f>Raw_Players!G518</f>
        <v>34.198364003857272</v>
      </c>
      <c r="F556" s="31">
        <f>Raw_Players!H518</f>
        <v>30.338296772023529</v>
      </c>
      <c r="G556" s="31" t="str">
        <f>IFERROR(IF(INDEX(Overrides!$B$8:$B$47,MATCH(B556,Overrides!$A$8:$A$47,0))="","",INDEX(Overrides!$B$8:$B$47,MATCH(B556,Overrides!$A$8:$A$47,0))),"")</f>
        <v/>
      </c>
      <c r="H556" s="31" t="str">
        <f>IFERROR(IF(INDEX(Overrides!$C$8:$C$47,MATCH(B556,Overrides!$A$8:$A$47,0))="","",INDEX(Overrides!$C$8:$C$47,MATCH(B556,Overrides!$A$8:$A$47,0))),"")</f>
        <v/>
      </c>
      <c r="I556" s="36">
        <f>IFERROR(IF(INDEX(Overrides!$D$8:$D$47,MATCH(B556,Overrides!$A$8:$A$47,0))="",0,INDEX(Overrides!$D$8:$D$47,MATCH(B556,Overrides!$A$8:$A$47,0))),0)</f>
        <v>0</v>
      </c>
      <c r="J556" s="38">
        <f t="shared" si="53"/>
        <v>1037.520116266709</v>
      </c>
      <c r="K556" s="18">
        <f t="shared" si="54"/>
        <v>1</v>
      </c>
      <c r="L556" s="38">
        <f t="shared" si="55"/>
        <v>1037.520116266709</v>
      </c>
      <c r="M556" s="23">
        <f t="shared" si="56"/>
        <v>0.89237685709817149</v>
      </c>
      <c r="N556" s="23">
        <f t="shared" si="57"/>
        <v>0.26359759051491588</v>
      </c>
      <c r="O556" s="6"/>
      <c r="P556" s="18">
        <f t="shared" si="58"/>
        <v>0.23522838936235141</v>
      </c>
    </row>
    <row r="557" spans="1:16" ht="15" customHeight="1" x14ac:dyDescent="0.3">
      <c r="A557" s="7" t="str">
        <f>Raw_Players!A519</f>
        <v>POR</v>
      </c>
      <c r="B557" s="7" t="str">
        <f>Raw_Players!B519</f>
        <v>Sidy Cissoko</v>
      </c>
      <c r="C557" s="37">
        <f>Raw_Players!E519</f>
        <v>-1.2619109227210361</v>
      </c>
      <c r="D557" s="31">
        <f>Raw_Players!F519</f>
        <v>1013.464298577793</v>
      </c>
      <c r="E557" s="31">
        <f>Raw_Players!G519</f>
        <v>16.645611102805461</v>
      </c>
      <c r="F557" s="31">
        <f>Raw_Players!H519</f>
        <v>60.884775711657937</v>
      </c>
      <c r="G557" s="31" t="str">
        <f>IFERROR(IF(INDEX(Overrides!$B$8:$B$47,MATCH(B557,Overrides!$A$8:$A$47,0))="","",INDEX(Overrides!$B$8:$B$47,MATCH(B557,Overrides!$A$8:$A$47,0))),"")</f>
        <v/>
      </c>
      <c r="H557" s="31" t="str">
        <f>IFERROR(IF(INDEX(Overrides!$C$8:$C$47,MATCH(B557,Overrides!$A$8:$A$47,0))="","",INDEX(Overrides!$C$8:$C$47,MATCH(B557,Overrides!$A$8:$A$47,0))),"")</f>
        <v/>
      </c>
      <c r="I557" s="36">
        <f>IFERROR(IF(INDEX(Overrides!$D$8:$D$47,MATCH(B557,Overrides!$A$8:$A$47,0))="",0,INDEX(Overrides!$D$8:$D$47,MATCH(B557,Overrides!$A$8:$A$47,0))),0)</f>
        <v>0</v>
      </c>
      <c r="J557" s="38">
        <f t="shared" si="53"/>
        <v>1013.464298577793</v>
      </c>
      <c r="K557" s="18">
        <f t="shared" si="54"/>
        <v>1</v>
      </c>
      <c r="L557" s="38">
        <f t="shared" si="55"/>
        <v>1013.464298577793</v>
      </c>
      <c r="M557" s="23">
        <f t="shared" si="56"/>
        <v>-1.2619109227210361</v>
      </c>
      <c r="N557" s="23">
        <f t="shared" si="57"/>
        <v>0.2574858482159027</v>
      </c>
      <c r="O557" s="6"/>
      <c r="P557" s="18">
        <f t="shared" si="58"/>
        <v>-0.32492420430973845</v>
      </c>
    </row>
    <row r="558" spans="1:16" ht="15" customHeight="1" x14ac:dyDescent="0.3">
      <c r="A558" s="7" t="str">
        <f>Raw_Players!A520</f>
        <v>POR</v>
      </c>
      <c r="B558" s="7" t="str">
        <f>Raw_Players!B520</f>
        <v>Micah Potter</v>
      </c>
      <c r="C558" s="37">
        <f>Raw_Players!E520</f>
        <v>-0.74871440621294594</v>
      </c>
      <c r="D558" s="31">
        <f>Raw_Players!F520</f>
        <v>987.5240459490044</v>
      </c>
      <c r="E558" s="31">
        <f>Raw_Players!G520</f>
        <v>18.126638027064811</v>
      </c>
      <c r="F558" s="31">
        <f>Raw_Players!H520</f>
        <v>54.479161799035019</v>
      </c>
      <c r="G558" s="31" t="str">
        <f>IFERROR(IF(INDEX(Overrides!$B$8:$B$47,MATCH(B558,Overrides!$A$8:$A$47,0))="","",INDEX(Overrides!$B$8:$B$47,MATCH(B558,Overrides!$A$8:$A$47,0))),"")</f>
        <v/>
      </c>
      <c r="H558" s="31" t="str">
        <f>IFERROR(IF(INDEX(Overrides!$C$8:$C$47,MATCH(B558,Overrides!$A$8:$A$47,0))="","",INDEX(Overrides!$C$8:$C$47,MATCH(B558,Overrides!$A$8:$A$47,0))),"")</f>
        <v/>
      </c>
      <c r="I558" s="36">
        <f>IFERROR(IF(INDEX(Overrides!$D$8:$D$47,MATCH(B558,Overrides!$A$8:$A$47,0))="",0,INDEX(Overrides!$D$8:$D$47,MATCH(B558,Overrides!$A$8:$A$47,0))),0)</f>
        <v>0</v>
      </c>
      <c r="J558" s="38">
        <f t="shared" ref="J558:J621" si="59">IF(AND(G558="",H558=""),D558,IF(H558="",F558,H558)*IF(G558="",E558,G558))</f>
        <v>987.5240459490044</v>
      </c>
      <c r="K558" s="18">
        <f t="shared" ref="K558:K621" si="60">A_teamminutes/SUMIF($A$46:$A$672,A558,$J$46:$J$672)</f>
        <v>1</v>
      </c>
      <c r="L558" s="38">
        <f t="shared" ref="L558:L621" si="61">J558*K558</f>
        <v>987.5240459490044</v>
      </c>
      <c r="M558" s="23">
        <f t="shared" ref="M558:M621" si="62">C558+I558</f>
        <v>-0.74871440621294594</v>
      </c>
      <c r="N558" s="23">
        <f t="shared" ref="N558:N621" si="63">L558/(A_teamminutes/5)</f>
        <v>0.25089533687728771</v>
      </c>
      <c r="O558" s="6"/>
      <c r="P558" s="18">
        <f t="shared" ref="P558:P621" si="64">N558*M558</f>
        <v>-0.18784895317167552</v>
      </c>
    </row>
    <row r="559" spans="1:16" ht="15" customHeight="1" x14ac:dyDescent="0.3">
      <c r="A559" s="7" t="str">
        <f>Raw_Players!A521</f>
        <v>POR</v>
      </c>
      <c r="B559" s="7" t="str">
        <f>Raw_Players!B521</f>
        <v>Robert Williams III</v>
      </c>
      <c r="C559" s="37">
        <f>Raw_Players!E521</f>
        <v>2.7485510936782291</v>
      </c>
      <c r="D559" s="31">
        <f>Raw_Players!F521</f>
        <v>942.73446802482874</v>
      </c>
      <c r="E559" s="31">
        <f>Raw_Players!G521</f>
        <v>16.89009110528637</v>
      </c>
      <c r="F559" s="31">
        <f>Raw_Players!H521</f>
        <v>55.815830841182724</v>
      </c>
      <c r="G559" s="31" t="str">
        <f>IFERROR(IF(INDEX(Overrides!$B$8:$B$47,MATCH(B559,Overrides!$A$8:$A$47,0))="","",INDEX(Overrides!$B$8:$B$47,MATCH(B559,Overrides!$A$8:$A$47,0))),"")</f>
        <v/>
      </c>
      <c r="H559" s="31" t="str">
        <f>IFERROR(IF(INDEX(Overrides!$C$8:$C$47,MATCH(B559,Overrides!$A$8:$A$47,0))="","",INDEX(Overrides!$C$8:$C$47,MATCH(B559,Overrides!$A$8:$A$47,0))),"")</f>
        <v/>
      </c>
      <c r="I559" s="36">
        <f>IFERROR(IF(INDEX(Overrides!$D$8:$D$47,MATCH(B559,Overrides!$A$8:$A$47,0))="",0,INDEX(Overrides!$D$8:$D$47,MATCH(B559,Overrides!$A$8:$A$47,0))),0)</f>
        <v>0</v>
      </c>
      <c r="J559" s="38">
        <f t="shared" si="59"/>
        <v>942.73446802482874</v>
      </c>
      <c r="K559" s="18">
        <f t="shared" si="60"/>
        <v>1</v>
      </c>
      <c r="L559" s="38">
        <f t="shared" si="61"/>
        <v>942.73446802482874</v>
      </c>
      <c r="M559" s="23">
        <f t="shared" si="62"/>
        <v>2.7485510936782291</v>
      </c>
      <c r="N559" s="23">
        <f t="shared" si="63"/>
        <v>0.23951587094126747</v>
      </c>
      <c r="O559" s="6"/>
      <c r="P559" s="18">
        <f t="shared" si="64"/>
        <v>0.65832160902891435</v>
      </c>
    </row>
    <row r="560" spans="1:16" ht="15" customHeight="1" x14ac:dyDescent="0.3">
      <c r="A560" s="7" t="str">
        <f>Raw_Players!A522</f>
        <v>POR</v>
      </c>
      <c r="B560" s="7" t="str">
        <f>Raw_Players!B522</f>
        <v>Branden Carlson</v>
      </c>
      <c r="C560" s="37">
        <f>Raw_Players!E522</f>
        <v>-0.51417656526290401</v>
      </c>
      <c r="D560" s="31">
        <f>Raw_Players!F522</f>
        <v>578.7724021436793</v>
      </c>
      <c r="E560" s="31">
        <f>Raw_Players!G522</f>
        <v>10.93892723613715</v>
      </c>
      <c r="F560" s="31">
        <f>Raw_Players!H522</f>
        <v>52.909429750266881</v>
      </c>
      <c r="G560" s="31" t="str">
        <f>IFERROR(IF(INDEX(Overrides!$B$8:$B$47,MATCH(B560,Overrides!$A$8:$A$47,0))="","",INDEX(Overrides!$B$8:$B$47,MATCH(B560,Overrides!$A$8:$A$47,0))),"")</f>
        <v/>
      </c>
      <c r="H560" s="31" t="str">
        <f>IFERROR(IF(INDEX(Overrides!$C$8:$C$47,MATCH(B560,Overrides!$A$8:$A$47,0))="","",INDEX(Overrides!$C$8:$C$47,MATCH(B560,Overrides!$A$8:$A$47,0))),"")</f>
        <v/>
      </c>
      <c r="I560" s="36">
        <f>IFERROR(IF(INDEX(Overrides!$D$8:$D$47,MATCH(B560,Overrides!$A$8:$A$47,0))="",0,INDEX(Overrides!$D$8:$D$47,MATCH(B560,Overrides!$A$8:$A$47,0))),0)</f>
        <v>0</v>
      </c>
      <c r="J560" s="38">
        <f t="shared" si="59"/>
        <v>578.7724021436793</v>
      </c>
      <c r="K560" s="18">
        <f t="shared" si="60"/>
        <v>1</v>
      </c>
      <c r="L560" s="38">
        <f t="shared" si="61"/>
        <v>578.7724021436793</v>
      </c>
      <c r="M560" s="23">
        <f t="shared" si="62"/>
        <v>-0.51417656526290401</v>
      </c>
      <c r="N560" s="23">
        <f t="shared" si="63"/>
        <v>0.1470458338779673</v>
      </c>
      <c r="O560" s="6"/>
      <c r="P560" s="18">
        <f t="shared" si="64"/>
        <v>-7.5607521799592792E-2</v>
      </c>
    </row>
    <row r="561" spans="1:16" ht="15" customHeight="1" x14ac:dyDescent="0.3">
      <c r="A561" s="7" t="str">
        <f>Raw_Players!A523</f>
        <v>POR</v>
      </c>
      <c r="B561" s="7" t="str">
        <f>Raw_Players!B523</f>
        <v>Yang Hansen</v>
      </c>
      <c r="C561" s="37">
        <f>Raw_Players!E523</f>
        <v>-3.2156656009906448</v>
      </c>
      <c r="D561" s="31">
        <f>Raw_Players!F523</f>
        <v>465.47505431523092</v>
      </c>
      <c r="E561" s="31">
        <f>Raw_Players!G523</f>
        <v>8.4942333871767737</v>
      </c>
      <c r="F561" s="31">
        <f>Raw_Players!H523</f>
        <v>54.798948074340657</v>
      </c>
      <c r="G561" s="31" t="str">
        <f>IFERROR(IF(INDEX(Overrides!$B$8:$B$47,MATCH(B561,Overrides!$A$8:$A$47,0))="","",INDEX(Overrides!$B$8:$B$47,MATCH(B561,Overrides!$A$8:$A$47,0))),"")</f>
        <v/>
      </c>
      <c r="H561" s="31" t="str">
        <f>IFERROR(IF(INDEX(Overrides!$C$8:$C$47,MATCH(B561,Overrides!$A$8:$A$47,0))="","",INDEX(Overrides!$C$8:$C$47,MATCH(B561,Overrides!$A$8:$A$47,0))),"")</f>
        <v/>
      </c>
      <c r="I561" s="36">
        <f>IFERROR(IF(INDEX(Overrides!$D$8:$D$47,MATCH(B561,Overrides!$A$8:$A$47,0))="",0,INDEX(Overrides!$D$8:$D$47,MATCH(B561,Overrides!$A$8:$A$47,0))),0)</f>
        <v>0</v>
      </c>
      <c r="J561" s="38">
        <f t="shared" si="59"/>
        <v>465.47505431523092</v>
      </c>
      <c r="K561" s="18">
        <f t="shared" si="60"/>
        <v>1</v>
      </c>
      <c r="L561" s="38">
        <f t="shared" si="61"/>
        <v>465.47505431523092</v>
      </c>
      <c r="M561" s="23">
        <f t="shared" si="62"/>
        <v>-3.2156656009906448</v>
      </c>
      <c r="N561" s="23">
        <f t="shared" si="63"/>
        <v>0.11826093859634931</v>
      </c>
      <c r="O561" s="6"/>
      <c r="P561" s="18">
        <f t="shared" si="64"/>
        <v>-0.38028763218514733</v>
      </c>
    </row>
    <row r="562" spans="1:16" ht="15" customHeight="1" x14ac:dyDescent="0.3">
      <c r="A562" s="7" t="str">
        <f>Raw_Players!A524</f>
        <v>POR</v>
      </c>
      <c r="B562" s="7" t="str">
        <f>Raw_Players!B524</f>
        <v>John Tonje</v>
      </c>
      <c r="C562" s="37">
        <f>Raw_Players!E524</f>
        <v>-2.0040485809364119</v>
      </c>
      <c r="D562" s="31">
        <f>Raw_Players!F524</f>
        <v>453.58312461812181</v>
      </c>
      <c r="E562" s="31">
        <f>Raw_Players!G524</f>
        <v>10.85037193385795</v>
      </c>
      <c r="F562" s="31">
        <f>Raw_Players!H524</f>
        <v>41.803463271405683</v>
      </c>
      <c r="G562" s="31" t="str">
        <f>IFERROR(IF(INDEX(Overrides!$B$8:$B$47,MATCH(B562,Overrides!$A$8:$A$47,0))="","",INDEX(Overrides!$B$8:$B$47,MATCH(B562,Overrides!$A$8:$A$47,0))),"")</f>
        <v/>
      </c>
      <c r="H562" s="31" t="str">
        <f>IFERROR(IF(INDEX(Overrides!$C$8:$C$47,MATCH(B562,Overrides!$A$8:$A$47,0))="","",INDEX(Overrides!$C$8:$C$47,MATCH(B562,Overrides!$A$8:$A$47,0))),"")</f>
        <v/>
      </c>
      <c r="I562" s="36">
        <f>IFERROR(IF(INDEX(Overrides!$D$8:$D$47,MATCH(B562,Overrides!$A$8:$A$47,0))="",0,INDEX(Overrides!$D$8:$D$47,MATCH(B562,Overrides!$A$8:$A$47,0))),0)</f>
        <v>0</v>
      </c>
      <c r="J562" s="38">
        <f t="shared" si="59"/>
        <v>453.58312461812181</v>
      </c>
      <c r="K562" s="18">
        <f t="shared" si="60"/>
        <v>1</v>
      </c>
      <c r="L562" s="38">
        <f t="shared" si="61"/>
        <v>453.58312461812181</v>
      </c>
      <c r="M562" s="23">
        <f t="shared" si="62"/>
        <v>-2.0040485809364119</v>
      </c>
      <c r="N562" s="23">
        <f t="shared" si="63"/>
        <v>0.11523961499444152</v>
      </c>
      <c r="O562" s="6"/>
      <c r="P562" s="18">
        <f t="shared" si="64"/>
        <v>-0.230945786897269</v>
      </c>
    </row>
    <row r="563" spans="1:16" ht="15" customHeight="1" x14ac:dyDescent="0.3">
      <c r="A563" s="7" t="str">
        <f>Raw_Players!A525</f>
        <v>POR</v>
      </c>
      <c r="B563" s="7" t="str">
        <f>Raw_Players!B525</f>
        <v>Jayson Kent</v>
      </c>
      <c r="C563" s="37">
        <f>Raw_Players!E525</f>
        <v>-1.700729212490236</v>
      </c>
      <c r="D563" s="31">
        <f>Raw_Players!F525</f>
        <v>431.05414510356297</v>
      </c>
      <c r="E563" s="31">
        <f>Raw_Players!G525</f>
        <v>10.36650399626699</v>
      </c>
      <c r="F563" s="31">
        <f>Raw_Players!H525</f>
        <v>41.58143818386479</v>
      </c>
      <c r="G563" s="31" t="str">
        <f>IFERROR(IF(INDEX(Overrides!$B$8:$B$47,MATCH(B563,Overrides!$A$8:$A$47,0))="","",INDEX(Overrides!$B$8:$B$47,MATCH(B563,Overrides!$A$8:$A$47,0))),"")</f>
        <v/>
      </c>
      <c r="H563" s="31" t="str">
        <f>IFERROR(IF(INDEX(Overrides!$C$8:$C$47,MATCH(B563,Overrides!$A$8:$A$47,0))="","",INDEX(Overrides!$C$8:$C$47,MATCH(B563,Overrides!$A$8:$A$47,0))),"")</f>
        <v/>
      </c>
      <c r="I563" s="36">
        <f>IFERROR(IF(INDEX(Overrides!$D$8:$D$47,MATCH(B563,Overrides!$A$8:$A$47,0))="",0,INDEX(Overrides!$D$8:$D$47,MATCH(B563,Overrides!$A$8:$A$47,0))),0)</f>
        <v>0</v>
      </c>
      <c r="J563" s="38">
        <f t="shared" si="59"/>
        <v>431.05414510356297</v>
      </c>
      <c r="K563" s="18">
        <f t="shared" si="60"/>
        <v>1</v>
      </c>
      <c r="L563" s="38">
        <f t="shared" si="61"/>
        <v>431.05414510356297</v>
      </c>
      <c r="M563" s="23">
        <f t="shared" si="62"/>
        <v>-1.700729212490236</v>
      </c>
      <c r="N563" s="23">
        <f t="shared" si="63"/>
        <v>0.10951578889826295</v>
      </c>
      <c r="O563" s="6"/>
      <c r="P563" s="18">
        <f t="shared" si="64"/>
        <v>-0.18625670140818967</v>
      </c>
    </row>
    <row r="564" spans="1:16" ht="15" customHeight="1" x14ac:dyDescent="0.3">
      <c r="A564" s="7" t="str">
        <f>Raw_Players!A526</f>
        <v>POR</v>
      </c>
      <c r="B564" s="7" t="str">
        <f>Raw_Players!B526</f>
        <v>Jaylen Martin</v>
      </c>
      <c r="C564" s="37">
        <f>Raw_Players!E526</f>
        <v>-1.837809724830948</v>
      </c>
      <c r="D564" s="31">
        <f>Raw_Players!F526</f>
        <v>420.876299299462</v>
      </c>
      <c r="E564" s="31">
        <f>Raw_Players!G526</f>
        <v>13.872772834352819</v>
      </c>
      <c r="F564" s="31">
        <f>Raw_Players!H526</f>
        <v>30.338296772023529</v>
      </c>
      <c r="G564" s="31" t="str">
        <f>IFERROR(IF(INDEX(Overrides!$B$8:$B$47,MATCH(B564,Overrides!$A$8:$A$47,0))="","",INDEX(Overrides!$B$8:$B$47,MATCH(B564,Overrides!$A$8:$A$47,0))),"")</f>
        <v/>
      </c>
      <c r="H564" s="31" t="str">
        <f>IFERROR(IF(INDEX(Overrides!$C$8:$C$47,MATCH(B564,Overrides!$A$8:$A$47,0))="","",INDEX(Overrides!$C$8:$C$47,MATCH(B564,Overrides!$A$8:$A$47,0))),"")</f>
        <v/>
      </c>
      <c r="I564" s="36">
        <f>IFERROR(IF(INDEX(Overrides!$D$8:$D$47,MATCH(B564,Overrides!$A$8:$A$47,0))="",0,INDEX(Overrides!$D$8:$D$47,MATCH(B564,Overrides!$A$8:$A$47,0))),0)</f>
        <v>0</v>
      </c>
      <c r="J564" s="38">
        <f t="shared" si="59"/>
        <v>420.876299299462</v>
      </c>
      <c r="K564" s="18">
        <f t="shared" si="60"/>
        <v>1</v>
      </c>
      <c r="L564" s="38">
        <f t="shared" si="61"/>
        <v>420.876299299462</v>
      </c>
      <c r="M564" s="23">
        <f t="shared" si="62"/>
        <v>-1.837809724830948</v>
      </c>
      <c r="N564" s="23">
        <f t="shared" si="63"/>
        <v>0.10692995409031048</v>
      </c>
      <c r="O564" s="6"/>
      <c r="P564" s="18">
        <f t="shared" si="64"/>
        <v>-0.19651690950289938</v>
      </c>
    </row>
    <row r="565" spans="1:16" ht="15" customHeight="1" x14ac:dyDescent="0.3">
      <c r="A565" s="7" t="str">
        <f>Raw_Players!A527</f>
        <v>POR</v>
      </c>
      <c r="B565" s="7" t="str">
        <f>Raw_Players!B527</f>
        <v>Shaedon Sharpe</v>
      </c>
      <c r="C565" s="37">
        <f>Raw_Players!E527</f>
        <v>-1.7127130859953099E-2</v>
      </c>
      <c r="D565" s="31">
        <f>Raw_Players!F527</f>
        <v>406.77001496921702</v>
      </c>
      <c r="E565" s="31">
        <f>Raw_Players!G527</f>
        <v>29.704119310673811</v>
      </c>
      <c r="F565" s="31">
        <f>Raw_Players!H527</f>
        <v>13.694060770320471</v>
      </c>
      <c r="G565" s="31" t="str">
        <f>IFERROR(IF(INDEX(Overrides!$B$8:$B$47,MATCH(B565,Overrides!$A$8:$A$47,0))="","",INDEX(Overrides!$B$8:$B$47,MATCH(B565,Overrides!$A$8:$A$47,0))),"")</f>
        <v/>
      </c>
      <c r="H565" s="31" t="str">
        <f>IFERROR(IF(INDEX(Overrides!$C$8:$C$47,MATCH(B565,Overrides!$A$8:$A$47,0))="","",INDEX(Overrides!$C$8:$C$47,MATCH(B565,Overrides!$A$8:$A$47,0))),"")</f>
        <v/>
      </c>
      <c r="I565" s="36">
        <f>IFERROR(IF(INDEX(Overrides!$D$8:$D$47,MATCH(B565,Overrides!$A$8:$A$47,0))="",0,INDEX(Overrides!$D$8:$D$47,MATCH(B565,Overrides!$A$8:$A$47,0))),0)</f>
        <v>0</v>
      </c>
      <c r="J565" s="38">
        <f t="shared" si="59"/>
        <v>406.77001496921702</v>
      </c>
      <c r="K565" s="18">
        <f t="shared" si="60"/>
        <v>1</v>
      </c>
      <c r="L565" s="38">
        <f t="shared" si="61"/>
        <v>406.77001496921702</v>
      </c>
      <c r="M565" s="23">
        <f t="shared" si="62"/>
        <v>-1.7127130859953099E-2</v>
      </c>
      <c r="N565" s="23">
        <f t="shared" si="63"/>
        <v>0.10334604038852058</v>
      </c>
      <c r="O565" s="6"/>
      <c r="P565" s="18">
        <f t="shared" si="64"/>
        <v>-1.77002115759219E-3</v>
      </c>
    </row>
    <row r="566" spans="1:16" ht="15" customHeight="1" x14ac:dyDescent="0.3">
      <c r="A566" s="7" t="str">
        <f>Raw_Players!A528</f>
        <v>POR</v>
      </c>
      <c r="B566" s="7" t="str">
        <f>Raw_Players!B528</f>
        <v>Chris Youngblood</v>
      </c>
      <c r="C566" s="37">
        <f>Raw_Players!E528</f>
        <v>-1.630370919170391</v>
      </c>
      <c r="D566" s="31">
        <f>Raw_Players!F528</f>
        <v>394.33733740980341</v>
      </c>
      <c r="E566" s="31">
        <f>Raw_Players!G528</f>
        <v>7.6455323472165091</v>
      </c>
      <c r="F566" s="31">
        <f>Raw_Players!H528</f>
        <v>51.577485974978423</v>
      </c>
      <c r="G566" s="31" t="str">
        <f>IFERROR(IF(INDEX(Overrides!$B$8:$B$47,MATCH(B566,Overrides!$A$8:$A$47,0))="","",INDEX(Overrides!$B$8:$B$47,MATCH(B566,Overrides!$A$8:$A$47,0))),"")</f>
        <v/>
      </c>
      <c r="H566" s="31" t="str">
        <f>IFERROR(IF(INDEX(Overrides!$C$8:$C$47,MATCH(B566,Overrides!$A$8:$A$47,0))="","",INDEX(Overrides!$C$8:$C$47,MATCH(B566,Overrides!$A$8:$A$47,0))),"")</f>
        <v/>
      </c>
      <c r="I566" s="36">
        <f>IFERROR(IF(INDEX(Overrides!$D$8:$D$47,MATCH(B566,Overrides!$A$8:$A$47,0))="",0,INDEX(Overrides!$D$8:$D$47,MATCH(B566,Overrides!$A$8:$A$47,0))),0)</f>
        <v>0</v>
      </c>
      <c r="J566" s="38">
        <f t="shared" si="59"/>
        <v>394.33733740980341</v>
      </c>
      <c r="K566" s="18">
        <f t="shared" si="60"/>
        <v>1</v>
      </c>
      <c r="L566" s="38">
        <f t="shared" si="61"/>
        <v>394.33733740980341</v>
      </c>
      <c r="M566" s="23">
        <f t="shared" si="62"/>
        <v>-1.630370919170391</v>
      </c>
      <c r="N566" s="23">
        <f t="shared" si="63"/>
        <v>0.10018733165899477</v>
      </c>
      <c r="O566" s="6"/>
      <c r="P566" s="18">
        <f t="shared" si="64"/>
        <v>-0.16334251200610411</v>
      </c>
    </row>
    <row r="567" spans="1:16" ht="15" customHeight="1" x14ac:dyDescent="0.3">
      <c r="A567" s="7" t="str">
        <f>Raw_Players!A529</f>
        <v>SAC</v>
      </c>
      <c r="B567" s="7" t="str">
        <f>Raw_Players!B529</f>
        <v>Zach LaVine</v>
      </c>
      <c r="C567" s="37">
        <f>Raw_Players!E529</f>
        <v>-1.7029427614046579</v>
      </c>
      <c r="D567" s="31">
        <f>Raw_Players!F529</f>
        <v>1757.894235362334</v>
      </c>
      <c r="E567" s="31">
        <f>Raw_Players!G529</f>
        <v>29.241394522407919</v>
      </c>
      <c r="F567" s="31">
        <f>Raw_Players!H529</f>
        <v>60.116634793708123</v>
      </c>
      <c r="G567" s="31" t="str">
        <f>IFERROR(IF(INDEX(Overrides!$B$8:$B$47,MATCH(B567,Overrides!$A$8:$A$47,0))="","",INDEX(Overrides!$B$8:$B$47,MATCH(B567,Overrides!$A$8:$A$47,0))),"")</f>
        <v/>
      </c>
      <c r="H567" s="31" t="str">
        <f>IFERROR(IF(INDEX(Overrides!$C$8:$C$47,MATCH(B567,Overrides!$A$8:$A$47,0))="","",INDEX(Overrides!$C$8:$C$47,MATCH(B567,Overrides!$A$8:$A$47,0))),"")</f>
        <v/>
      </c>
      <c r="I567" s="36">
        <f>IFERROR(IF(INDEX(Overrides!$D$8:$D$47,MATCH(B567,Overrides!$A$8:$A$47,0))="",0,INDEX(Overrides!$D$8:$D$47,MATCH(B567,Overrides!$A$8:$A$47,0))),0)</f>
        <v>0</v>
      </c>
      <c r="J567" s="38">
        <f t="shared" si="59"/>
        <v>1757.894235362334</v>
      </c>
      <c r="K567" s="18">
        <f t="shared" si="60"/>
        <v>0.99999999999999978</v>
      </c>
      <c r="L567" s="38">
        <f t="shared" si="61"/>
        <v>1757.8942353623336</v>
      </c>
      <c r="M567" s="23">
        <f t="shared" si="62"/>
        <v>-1.7029427614046579</v>
      </c>
      <c r="N567" s="23">
        <f t="shared" si="63"/>
        <v>0.44661947036644656</v>
      </c>
      <c r="O567" s="6"/>
      <c r="P567" s="18">
        <f t="shared" si="64"/>
        <v>-0.76056739416292229</v>
      </c>
    </row>
    <row r="568" spans="1:16" ht="15" customHeight="1" x14ac:dyDescent="0.3">
      <c r="A568" s="7" t="str">
        <f>Raw_Players!A530</f>
        <v>SAC</v>
      </c>
      <c r="B568" s="7" t="str">
        <f>Raw_Players!B530</f>
        <v>Keegan Murray</v>
      </c>
      <c r="C568" s="37">
        <f>Raw_Players!E530</f>
        <v>-0.81802189362745503</v>
      </c>
      <c r="D568" s="31">
        <f>Raw_Players!F530</f>
        <v>1579.167076258077</v>
      </c>
      <c r="E568" s="31">
        <f>Raw_Players!G530</f>
        <v>30.110862257595009</v>
      </c>
      <c r="F568" s="31">
        <f>Raw_Players!H530</f>
        <v>52.44509648207621</v>
      </c>
      <c r="G568" s="31" t="str">
        <f>IFERROR(IF(INDEX(Overrides!$B$8:$B$47,MATCH(B568,Overrides!$A$8:$A$47,0))="","",INDEX(Overrides!$B$8:$B$47,MATCH(B568,Overrides!$A$8:$A$47,0))),"")</f>
        <v/>
      </c>
      <c r="H568" s="31" t="str">
        <f>IFERROR(IF(INDEX(Overrides!$C$8:$C$47,MATCH(B568,Overrides!$A$8:$A$47,0))="","",INDEX(Overrides!$C$8:$C$47,MATCH(B568,Overrides!$A$8:$A$47,0))),"")</f>
        <v/>
      </c>
      <c r="I568" s="36">
        <f>IFERROR(IF(INDEX(Overrides!$D$8:$D$47,MATCH(B568,Overrides!$A$8:$A$47,0))="",0,INDEX(Overrides!$D$8:$D$47,MATCH(B568,Overrides!$A$8:$A$47,0))),0)</f>
        <v>0</v>
      </c>
      <c r="J568" s="38">
        <f t="shared" si="59"/>
        <v>1579.167076258077</v>
      </c>
      <c r="K568" s="18">
        <f t="shared" si="60"/>
        <v>0.99999999999999978</v>
      </c>
      <c r="L568" s="38">
        <f t="shared" si="61"/>
        <v>1579.1670762580766</v>
      </c>
      <c r="M568" s="23">
        <f t="shared" si="62"/>
        <v>-0.81802189362745503</v>
      </c>
      <c r="N568" s="23">
        <f t="shared" si="63"/>
        <v>0.40121114742329184</v>
      </c>
      <c r="O568" s="6"/>
      <c r="P568" s="18">
        <f t="shared" si="64"/>
        <v>-0.3281995025596452</v>
      </c>
    </row>
    <row r="569" spans="1:16" ht="15" customHeight="1" x14ac:dyDescent="0.3">
      <c r="A569" s="7" t="str">
        <f>Raw_Players!A531</f>
        <v>SAC</v>
      </c>
      <c r="B569" s="7" t="str">
        <f>Raw_Players!B531</f>
        <v>Domantas Sabonis</v>
      </c>
      <c r="C569" s="37">
        <f>Raw_Players!E531</f>
        <v>1.5087121210414121</v>
      </c>
      <c r="D569" s="31">
        <f>Raw_Players!F531</f>
        <v>1555.9232211688509</v>
      </c>
      <c r="E569" s="31">
        <f>Raw_Players!G531</f>
        <v>29.595107612315012</v>
      </c>
      <c r="F569" s="31">
        <f>Raw_Players!H531</f>
        <v>52.57366324025142</v>
      </c>
      <c r="G569" s="31" t="str">
        <f>IFERROR(IF(INDEX(Overrides!$B$8:$B$47,MATCH(B569,Overrides!$A$8:$A$47,0))="","",INDEX(Overrides!$B$8:$B$47,MATCH(B569,Overrides!$A$8:$A$47,0))),"")</f>
        <v/>
      </c>
      <c r="H569" s="31" t="str">
        <f>IFERROR(IF(INDEX(Overrides!$C$8:$C$47,MATCH(B569,Overrides!$A$8:$A$47,0))="","",INDEX(Overrides!$C$8:$C$47,MATCH(B569,Overrides!$A$8:$A$47,0))),"")</f>
        <v/>
      </c>
      <c r="I569" s="36">
        <f>IFERROR(IF(INDEX(Overrides!$D$8:$D$47,MATCH(B569,Overrides!$A$8:$A$47,0))="",0,INDEX(Overrides!$D$8:$D$47,MATCH(B569,Overrides!$A$8:$A$47,0))),0)</f>
        <v>0</v>
      </c>
      <c r="J569" s="38">
        <f t="shared" si="59"/>
        <v>1555.9232211688509</v>
      </c>
      <c r="K569" s="18">
        <f t="shared" si="60"/>
        <v>0.99999999999999978</v>
      </c>
      <c r="L569" s="38">
        <f t="shared" si="61"/>
        <v>1555.9232211688504</v>
      </c>
      <c r="M569" s="23">
        <f t="shared" si="62"/>
        <v>1.5087121210414121</v>
      </c>
      <c r="N569" s="23">
        <f t="shared" si="63"/>
        <v>0.39530569643517544</v>
      </c>
      <c r="O569" s="6"/>
      <c r="P569" s="18">
        <f t="shared" si="64"/>
        <v>0.59640249572846604</v>
      </c>
    </row>
    <row r="570" spans="1:16" ht="15" customHeight="1" x14ac:dyDescent="0.3">
      <c r="A570" s="7" t="str">
        <f>Raw_Players!A532</f>
        <v>SAC</v>
      </c>
      <c r="B570" s="7" t="str">
        <f>Raw_Players!B532</f>
        <v>Malik Monk</v>
      </c>
      <c r="C570" s="37">
        <f>Raw_Players!E532</f>
        <v>-0.96427091411828902</v>
      </c>
      <c r="D570" s="31">
        <f>Raw_Players!F532</f>
        <v>1399.693518654725</v>
      </c>
      <c r="E570" s="31">
        <f>Raw_Players!G532</f>
        <v>23.032874005768139</v>
      </c>
      <c r="F570" s="31">
        <f>Raw_Players!H532</f>
        <v>60.769381984384552</v>
      </c>
      <c r="G570" s="31" t="str">
        <f>IFERROR(IF(INDEX(Overrides!$B$8:$B$47,MATCH(B570,Overrides!$A$8:$A$47,0))="","",INDEX(Overrides!$B$8:$B$47,MATCH(B570,Overrides!$A$8:$A$47,0))),"")</f>
        <v/>
      </c>
      <c r="H570" s="31" t="str">
        <f>IFERROR(IF(INDEX(Overrides!$C$8:$C$47,MATCH(B570,Overrides!$A$8:$A$47,0))="","",INDEX(Overrides!$C$8:$C$47,MATCH(B570,Overrides!$A$8:$A$47,0))),"")</f>
        <v/>
      </c>
      <c r="I570" s="36">
        <f>IFERROR(IF(INDEX(Overrides!$D$8:$D$47,MATCH(B570,Overrides!$A$8:$A$47,0))="",0,INDEX(Overrides!$D$8:$D$47,MATCH(B570,Overrides!$A$8:$A$47,0))),0)</f>
        <v>0</v>
      </c>
      <c r="J570" s="38">
        <f t="shared" si="59"/>
        <v>1399.693518654725</v>
      </c>
      <c r="K570" s="18">
        <f t="shared" si="60"/>
        <v>0.99999999999999978</v>
      </c>
      <c r="L570" s="38">
        <f t="shared" si="61"/>
        <v>1399.6935186547248</v>
      </c>
      <c r="M570" s="23">
        <f t="shared" si="62"/>
        <v>-0.96427091411828902</v>
      </c>
      <c r="N570" s="23">
        <f t="shared" si="63"/>
        <v>0.35561319071512315</v>
      </c>
      <c r="O570" s="6"/>
      <c r="P570" s="18">
        <f t="shared" si="64"/>
        <v>-0.34290745648339327</v>
      </c>
    </row>
    <row r="571" spans="1:16" ht="15" customHeight="1" x14ac:dyDescent="0.3">
      <c r="A571" s="7" t="str">
        <f>Raw_Players!A533</f>
        <v>SAC</v>
      </c>
      <c r="B571" s="7" t="str">
        <f>Raw_Players!B533</f>
        <v>Nique Clifford</v>
      </c>
      <c r="C571" s="37">
        <f>Raw_Players!E533</f>
        <v>-2.747739108515229</v>
      </c>
      <c r="D571" s="31">
        <f>Raw_Players!F533</f>
        <v>1398.1090820766401</v>
      </c>
      <c r="E571" s="31">
        <f>Raw_Players!G533</f>
        <v>21.277015855346448</v>
      </c>
      <c r="F571" s="31">
        <f>Raw_Players!H533</f>
        <v>65.709829403794245</v>
      </c>
      <c r="G571" s="31" t="str">
        <f>IFERROR(IF(INDEX(Overrides!$B$8:$B$47,MATCH(B571,Overrides!$A$8:$A$47,0))="","",INDEX(Overrides!$B$8:$B$47,MATCH(B571,Overrides!$A$8:$A$47,0))),"")</f>
        <v/>
      </c>
      <c r="H571" s="31" t="str">
        <f>IFERROR(IF(INDEX(Overrides!$C$8:$C$47,MATCH(B571,Overrides!$A$8:$A$47,0))="","",INDEX(Overrides!$C$8:$C$47,MATCH(B571,Overrides!$A$8:$A$47,0))),"")</f>
        <v/>
      </c>
      <c r="I571" s="36">
        <f>IFERROR(IF(INDEX(Overrides!$D$8:$D$47,MATCH(B571,Overrides!$A$8:$A$47,0))="",0,INDEX(Overrides!$D$8:$D$47,MATCH(B571,Overrides!$A$8:$A$47,0))),0)</f>
        <v>0</v>
      </c>
      <c r="J571" s="38">
        <f t="shared" si="59"/>
        <v>1398.1090820766401</v>
      </c>
      <c r="K571" s="18">
        <f t="shared" si="60"/>
        <v>0.99999999999999978</v>
      </c>
      <c r="L571" s="38">
        <f t="shared" si="61"/>
        <v>1398.1090820766399</v>
      </c>
      <c r="M571" s="23">
        <f t="shared" si="62"/>
        <v>-2.747739108515229</v>
      </c>
      <c r="N571" s="23">
        <f t="shared" si="63"/>
        <v>0.35521064077150405</v>
      </c>
      <c r="O571" s="6"/>
      <c r="P571" s="18">
        <f t="shared" si="64"/>
        <v>-0.97602616940861575</v>
      </c>
    </row>
    <row r="572" spans="1:16" ht="15" customHeight="1" x14ac:dyDescent="0.3">
      <c r="A572" s="7" t="str">
        <f>Raw_Players!A534</f>
        <v>SAC</v>
      </c>
      <c r="B572" s="7" t="str">
        <f>Raw_Players!B534</f>
        <v>De'Andre Hunter</v>
      </c>
      <c r="C572" s="37">
        <f>Raw_Players!E534</f>
        <v>-1.5997813227156821</v>
      </c>
      <c r="D572" s="31">
        <f>Raw_Players!F534</f>
        <v>1358.0761073254421</v>
      </c>
      <c r="E572" s="31">
        <f>Raw_Players!G534</f>
        <v>24.078183596778981</v>
      </c>
      <c r="F572" s="31">
        <f>Raw_Players!H534</f>
        <v>56.402764015268843</v>
      </c>
      <c r="G572" s="31" t="str">
        <f>IFERROR(IF(INDEX(Overrides!$B$8:$B$47,MATCH(B572,Overrides!$A$8:$A$47,0))="","",INDEX(Overrides!$B$8:$B$47,MATCH(B572,Overrides!$A$8:$A$47,0))),"")</f>
        <v/>
      </c>
      <c r="H572" s="31" t="str">
        <f>IFERROR(IF(INDEX(Overrides!$C$8:$C$47,MATCH(B572,Overrides!$A$8:$A$47,0))="","",INDEX(Overrides!$C$8:$C$47,MATCH(B572,Overrides!$A$8:$A$47,0))),"")</f>
        <v/>
      </c>
      <c r="I572" s="36">
        <f>IFERROR(IF(INDEX(Overrides!$D$8:$D$47,MATCH(B572,Overrides!$A$8:$A$47,0))="",0,INDEX(Overrides!$D$8:$D$47,MATCH(B572,Overrides!$A$8:$A$47,0))),0)</f>
        <v>0</v>
      </c>
      <c r="J572" s="38">
        <f t="shared" si="59"/>
        <v>1358.0761073254421</v>
      </c>
      <c r="K572" s="18">
        <f t="shared" si="60"/>
        <v>0.99999999999999978</v>
      </c>
      <c r="L572" s="38">
        <f t="shared" si="61"/>
        <v>1358.0761073254419</v>
      </c>
      <c r="M572" s="23">
        <f t="shared" si="62"/>
        <v>-1.5997813227156821</v>
      </c>
      <c r="N572" s="23">
        <f t="shared" si="63"/>
        <v>0.34503966141398423</v>
      </c>
      <c r="O572" s="6"/>
      <c r="P572" s="18">
        <f t="shared" si="64"/>
        <v>-0.55198800592623476</v>
      </c>
    </row>
    <row r="573" spans="1:16" ht="15" customHeight="1" x14ac:dyDescent="0.3">
      <c r="A573" s="7" t="str">
        <f>Raw_Players!A535</f>
        <v>SAC</v>
      </c>
      <c r="B573" s="7" t="str">
        <f>Raw_Players!B535</f>
        <v>Maxime Raynaud</v>
      </c>
      <c r="C573" s="37">
        <f>Raw_Players!E535</f>
        <v>-1.5919206424861549</v>
      </c>
      <c r="D573" s="31">
        <f>Raw_Players!F535</f>
        <v>1354.1245579392289</v>
      </c>
      <c r="E573" s="31">
        <f>Raw_Players!G535</f>
        <v>22.371718193570381</v>
      </c>
      <c r="F573" s="31">
        <f>Raw_Players!H535</f>
        <v>60.528411194112202</v>
      </c>
      <c r="G573" s="31" t="str">
        <f>IFERROR(IF(INDEX(Overrides!$B$8:$B$47,MATCH(B573,Overrides!$A$8:$A$47,0))="","",INDEX(Overrides!$B$8:$B$47,MATCH(B573,Overrides!$A$8:$A$47,0))),"")</f>
        <v/>
      </c>
      <c r="H573" s="31" t="str">
        <f>IFERROR(IF(INDEX(Overrides!$C$8:$C$47,MATCH(B573,Overrides!$A$8:$A$47,0))="","",INDEX(Overrides!$C$8:$C$47,MATCH(B573,Overrides!$A$8:$A$47,0))),"")</f>
        <v/>
      </c>
      <c r="I573" s="36">
        <f>IFERROR(IF(INDEX(Overrides!$D$8:$D$47,MATCH(B573,Overrides!$A$8:$A$47,0))="",0,INDEX(Overrides!$D$8:$D$47,MATCH(B573,Overrides!$A$8:$A$47,0))),0)</f>
        <v>0</v>
      </c>
      <c r="J573" s="38">
        <f t="shared" si="59"/>
        <v>1354.1245579392289</v>
      </c>
      <c r="K573" s="18">
        <f t="shared" si="60"/>
        <v>0.99999999999999978</v>
      </c>
      <c r="L573" s="38">
        <f t="shared" si="61"/>
        <v>1354.1245579392287</v>
      </c>
      <c r="M573" s="23">
        <f t="shared" si="62"/>
        <v>-1.5919206424861549</v>
      </c>
      <c r="N573" s="23">
        <f t="shared" si="63"/>
        <v>0.3440357108585439</v>
      </c>
      <c r="O573" s="6"/>
      <c r="P573" s="18">
        <f t="shared" si="64"/>
        <v>-0.54767754986811423</v>
      </c>
    </row>
    <row r="574" spans="1:16" ht="15" customHeight="1" x14ac:dyDescent="0.3">
      <c r="A574" s="7" t="str">
        <f>Raw_Players!A536</f>
        <v>SAC</v>
      </c>
      <c r="B574" s="7" t="str">
        <f>Raw_Players!B536</f>
        <v>Precious Achiuwa</v>
      </c>
      <c r="C574" s="37">
        <f>Raw_Players!E536</f>
        <v>-1.077288552356557</v>
      </c>
      <c r="D574" s="31">
        <f>Raw_Players!F536</f>
        <v>1283.275471342452</v>
      </c>
      <c r="E574" s="31">
        <f>Raw_Players!G536</f>
        <v>20.35816289542921</v>
      </c>
      <c r="F574" s="31">
        <f>Raw_Players!H536</f>
        <v>63.034934828553311</v>
      </c>
      <c r="G574" s="31" t="str">
        <f>IFERROR(IF(INDEX(Overrides!$B$8:$B$47,MATCH(B574,Overrides!$A$8:$A$47,0))="","",INDEX(Overrides!$B$8:$B$47,MATCH(B574,Overrides!$A$8:$A$47,0))),"")</f>
        <v/>
      </c>
      <c r="H574" s="31" t="str">
        <f>IFERROR(IF(INDEX(Overrides!$C$8:$C$47,MATCH(B574,Overrides!$A$8:$A$47,0))="","",INDEX(Overrides!$C$8:$C$47,MATCH(B574,Overrides!$A$8:$A$47,0))),"")</f>
        <v/>
      </c>
      <c r="I574" s="36">
        <f>IFERROR(IF(INDEX(Overrides!$D$8:$D$47,MATCH(B574,Overrides!$A$8:$A$47,0))="",0,INDEX(Overrides!$D$8:$D$47,MATCH(B574,Overrides!$A$8:$A$47,0))),0)</f>
        <v>0</v>
      </c>
      <c r="J574" s="38">
        <f t="shared" si="59"/>
        <v>1283.275471342452</v>
      </c>
      <c r="K574" s="18">
        <f t="shared" si="60"/>
        <v>0.99999999999999978</v>
      </c>
      <c r="L574" s="38">
        <f t="shared" si="61"/>
        <v>1283.2754713424517</v>
      </c>
      <c r="M574" s="23">
        <f t="shared" si="62"/>
        <v>-1.077288552356557</v>
      </c>
      <c r="N574" s="23">
        <f t="shared" si="63"/>
        <v>0.32603543479228958</v>
      </c>
      <c r="O574" s="6"/>
      <c r="P574" s="18">
        <f t="shared" si="64"/>
        <v>-0.35123424156432625</v>
      </c>
    </row>
    <row r="575" spans="1:16" ht="15" customHeight="1" x14ac:dyDescent="0.3">
      <c r="A575" s="7" t="str">
        <f>Raw_Players!A537</f>
        <v>SAC</v>
      </c>
      <c r="B575" s="7" t="str">
        <f>Raw_Players!B537</f>
        <v>Darius Acuff Jr.</v>
      </c>
      <c r="C575" s="37">
        <f>Raw_Players!E537</f>
        <v>-2.8120890177597619</v>
      </c>
      <c r="D575" s="31">
        <f>Raw_Players!F537</f>
        <v>1265.1261979363001</v>
      </c>
      <c r="E575" s="31">
        <f>Raw_Players!G537</f>
        <v>21.212589412822719</v>
      </c>
      <c r="F575" s="31">
        <f>Raw_Players!H537</f>
        <v>59.640347216240741</v>
      </c>
      <c r="G575" s="31" t="str">
        <f>IFERROR(IF(INDEX(Overrides!$B$8:$B$47,MATCH(B575,Overrides!$A$8:$A$47,0))="","",INDEX(Overrides!$B$8:$B$47,MATCH(B575,Overrides!$A$8:$A$47,0))),"")</f>
        <v/>
      </c>
      <c r="H575" s="31" t="str">
        <f>IFERROR(IF(INDEX(Overrides!$C$8:$C$47,MATCH(B575,Overrides!$A$8:$A$47,0))="","",INDEX(Overrides!$C$8:$C$47,MATCH(B575,Overrides!$A$8:$A$47,0))),"")</f>
        <v/>
      </c>
      <c r="I575" s="36">
        <f>IFERROR(IF(INDEX(Overrides!$D$8:$D$47,MATCH(B575,Overrides!$A$8:$A$47,0))="",0,INDEX(Overrides!$D$8:$D$47,MATCH(B575,Overrides!$A$8:$A$47,0))),0)</f>
        <v>0</v>
      </c>
      <c r="J575" s="38">
        <f t="shared" si="59"/>
        <v>1265.1261979363001</v>
      </c>
      <c r="K575" s="18">
        <f t="shared" si="60"/>
        <v>0.99999999999999978</v>
      </c>
      <c r="L575" s="38">
        <f t="shared" si="61"/>
        <v>1265.1261979362998</v>
      </c>
      <c r="M575" s="23">
        <f t="shared" si="62"/>
        <v>-2.8120890177597619</v>
      </c>
      <c r="N575" s="23">
        <f t="shared" si="63"/>
        <v>0.32142433890658023</v>
      </c>
      <c r="O575" s="6"/>
      <c r="P575" s="18">
        <f t="shared" si="64"/>
        <v>-0.90387385347988602</v>
      </c>
    </row>
    <row r="576" spans="1:16" ht="15" customHeight="1" x14ac:dyDescent="0.3">
      <c r="A576" s="7" t="str">
        <f>Raw_Players!A538</f>
        <v>SAC</v>
      </c>
      <c r="B576" s="7" t="str">
        <f>Raw_Players!B538</f>
        <v>Daeqwon Plowden</v>
      </c>
      <c r="C576" s="37">
        <f>Raw_Players!E538</f>
        <v>-2.4587802054054162</v>
      </c>
      <c r="D576" s="31">
        <f>Raw_Players!F538</f>
        <v>942.40731151258456</v>
      </c>
      <c r="E576" s="31">
        <f>Raw_Players!G538</f>
        <v>19.74771914326848</v>
      </c>
      <c r="F576" s="31">
        <f>Raw_Players!H538</f>
        <v>47.722337181093067</v>
      </c>
      <c r="G576" s="31" t="str">
        <f>IFERROR(IF(INDEX(Overrides!$B$8:$B$47,MATCH(B576,Overrides!$A$8:$A$47,0))="","",INDEX(Overrides!$B$8:$B$47,MATCH(B576,Overrides!$A$8:$A$47,0))),"")</f>
        <v/>
      </c>
      <c r="H576" s="31" t="str">
        <f>IFERROR(IF(INDEX(Overrides!$C$8:$C$47,MATCH(B576,Overrides!$A$8:$A$47,0))="","",INDEX(Overrides!$C$8:$C$47,MATCH(B576,Overrides!$A$8:$A$47,0))),"")</f>
        <v/>
      </c>
      <c r="I576" s="36">
        <f>IFERROR(IF(INDEX(Overrides!$D$8:$D$47,MATCH(B576,Overrides!$A$8:$A$47,0))="",0,INDEX(Overrides!$D$8:$D$47,MATCH(B576,Overrides!$A$8:$A$47,0))),0)</f>
        <v>0</v>
      </c>
      <c r="J576" s="38">
        <f t="shared" si="59"/>
        <v>942.40731151258456</v>
      </c>
      <c r="K576" s="18">
        <f t="shared" si="60"/>
        <v>0.99999999999999978</v>
      </c>
      <c r="L576" s="38">
        <f t="shared" si="61"/>
        <v>942.40731151258433</v>
      </c>
      <c r="M576" s="23">
        <f t="shared" si="62"/>
        <v>-2.4587802054054162</v>
      </c>
      <c r="N576" s="23">
        <f t="shared" si="63"/>
        <v>0.23943275190868504</v>
      </c>
      <c r="O576" s="6"/>
      <c r="P576" s="18">
        <f t="shared" si="64"/>
        <v>-0.58871251091882071</v>
      </c>
    </row>
    <row r="577" spans="1:16" ht="15" customHeight="1" x14ac:dyDescent="0.3">
      <c r="A577" s="7" t="str">
        <f>Raw_Players!A539</f>
        <v>SAC</v>
      </c>
      <c r="B577" s="7" t="str">
        <f>Raw_Players!B539</f>
        <v>Elfrid Payton</v>
      </c>
      <c r="C577" s="37">
        <f>Raw_Players!E539</f>
        <v>-3.852093124390068</v>
      </c>
      <c r="D577" s="31">
        <f>Raw_Players!F539</f>
        <v>901.90453282243118</v>
      </c>
      <c r="E577" s="31">
        <f>Raw_Players!G539</f>
        <v>16.454246761222549</v>
      </c>
      <c r="F577" s="31">
        <f>Raw_Players!H539</f>
        <v>54.812872683296227</v>
      </c>
      <c r="G577" s="31" t="str">
        <f>IFERROR(IF(INDEX(Overrides!$B$8:$B$47,MATCH(B577,Overrides!$A$8:$A$47,0))="","",INDEX(Overrides!$B$8:$B$47,MATCH(B577,Overrides!$A$8:$A$47,0))),"")</f>
        <v/>
      </c>
      <c r="H577" s="31" t="str">
        <f>IFERROR(IF(INDEX(Overrides!$C$8:$C$47,MATCH(B577,Overrides!$A$8:$A$47,0))="","",INDEX(Overrides!$C$8:$C$47,MATCH(B577,Overrides!$A$8:$A$47,0))),"")</f>
        <v/>
      </c>
      <c r="I577" s="36">
        <f>IFERROR(IF(INDEX(Overrides!$D$8:$D$47,MATCH(B577,Overrides!$A$8:$A$47,0))="",0,INDEX(Overrides!$D$8:$D$47,MATCH(B577,Overrides!$A$8:$A$47,0))),0)</f>
        <v>0</v>
      </c>
      <c r="J577" s="38">
        <f t="shared" si="59"/>
        <v>901.90453282243118</v>
      </c>
      <c r="K577" s="18">
        <f t="shared" si="60"/>
        <v>0.99999999999999978</v>
      </c>
      <c r="L577" s="38">
        <f t="shared" si="61"/>
        <v>901.90453282243095</v>
      </c>
      <c r="M577" s="23">
        <f t="shared" si="62"/>
        <v>-3.852093124390068</v>
      </c>
      <c r="N577" s="23">
        <f t="shared" si="63"/>
        <v>0.2291424117943168</v>
      </c>
      <c r="O577" s="6"/>
      <c r="P577" s="18">
        <f t="shared" si="64"/>
        <v>-0.88267790897904541</v>
      </c>
    </row>
    <row r="578" spans="1:16" ht="15" customHeight="1" x14ac:dyDescent="0.3">
      <c r="A578" s="7" t="str">
        <f>Raw_Players!A540</f>
        <v>SAC</v>
      </c>
      <c r="B578" s="7" t="str">
        <f>Raw_Players!B540</f>
        <v>Dylan Cardwell</v>
      </c>
      <c r="C578" s="37">
        <f>Raw_Players!E540</f>
        <v>-0.83937711487329281</v>
      </c>
      <c r="D578" s="31">
        <f>Raw_Players!F540</f>
        <v>870.70549527482387</v>
      </c>
      <c r="E578" s="31">
        <f>Raw_Players!G540</f>
        <v>17.10968831584065</v>
      </c>
      <c r="F578" s="31">
        <f>Raw_Players!H540</f>
        <v>50.889617578170551</v>
      </c>
      <c r="G578" s="31" t="str">
        <f>IFERROR(IF(INDEX(Overrides!$B$8:$B$47,MATCH(B578,Overrides!$A$8:$A$47,0))="","",INDEX(Overrides!$B$8:$B$47,MATCH(B578,Overrides!$A$8:$A$47,0))),"")</f>
        <v/>
      </c>
      <c r="H578" s="31" t="str">
        <f>IFERROR(IF(INDEX(Overrides!$C$8:$C$47,MATCH(B578,Overrides!$A$8:$A$47,0))="","",INDEX(Overrides!$C$8:$C$47,MATCH(B578,Overrides!$A$8:$A$47,0))),"")</f>
        <v/>
      </c>
      <c r="I578" s="36">
        <f>IFERROR(IF(INDEX(Overrides!$D$8:$D$47,MATCH(B578,Overrides!$A$8:$A$47,0))="",0,INDEX(Overrides!$D$8:$D$47,MATCH(B578,Overrides!$A$8:$A$47,0))),0)</f>
        <v>0</v>
      </c>
      <c r="J578" s="38">
        <f t="shared" si="59"/>
        <v>870.70549527482387</v>
      </c>
      <c r="K578" s="18">
        <f t="shared" si="60"/>
        <v>0.99999999999999978</v>
      </c>
      <c r="L578" s="38">
        <f t="shared" si="61"/>
        <v>870.70549527482365</v>
      </c>
      <c r="M578" s="23">
        <f t="shared" si="62"/>
        <v>-0.83937711487329281</v>
      </c>
      <c r="N578" s="23">
        <f t="shared" si="63"/>
        <v>0.22121582705153039</v>
      </c>
      <c r="O578" s="6"/>
      <c r="P578" s="18">
        <f t="shared" si="64"/>
        <v>-0.18568350267482289</v>
      </c>
    </row>
    <row r="579" spans="1:16" ht="15" customHeight="1" x14ac:dyDescent="0.3">
      <c r="A579" s="7" t="str">
        <f>Raw_Players!A541</f>
        <v>SAC</v>
      </c>
      <c r="B579" s="7" t="str">
        <f>Raw_Players!B541</f>
        <v>Leaky Black</v>
      </c>
      <c r="C579" s="37">
        <f>Raw_Players!E541</f>
        <v>-3.0429040185119129</v>
      </c>
      <c r="D579" s="31">
        <f>Raw_Players!F541</f>
        <v>798.27977283687096</v>
      </c>
      <c r="E579" s="31">
        <f>Raw_Players!G541</f>
        <v>17.92438137858225</v>
      </c>
      <c r="F579" s="31">
        <f>Raw_Players!H541</f>
        <v>44.535973430621773</v>
      </c>
      <c r="G579" s="31" t="str">
        <f>IFERROR(IF(INDEX(Overrides!$B$8:$B$47,MATCH(B579,Overrides!$A$8:$A$47,0))="","",INDEX(Overrides!$B$8:$B$47,MATCH(B579,Overrides!$A$8:$A$47,0))),"")</f>
        <v/>
      </c>
      <c r="H579" s="31" t="str">
        <f>IFERROR(IF(INDEX(Overrides!$C$8:$C$47,MATCH(B579,Overrides!$A$8:$A$47,0))="","",INDEX(Overrides!$C$8:$C$47,MATCH(B579,Overrides!$A$8:$A$47,0))),"")</f>
        <v/>
      </c>
      <c r="I579" s="36">
        <f>IFERROR(IF(INDEX(Overrides!$D$8:$D$47,MATCH(B579,Overrides!$A$8:$A$47,0))="",0,INDEX(Overrides!$D$8:$D$47,MATCH(B579,Overrides!$A$8:$A$47,0))),0)</f>
        <v>0</v>
      </c>
      <c r="J579" s="38">
        <f t="shared" si="59"/>
        <v>798.27977283687096</v>
      </c>
      <c r="K579" s="18">
        <f t="shared" si="60"/>
        <v>0.99999999999999978</v>
      </c>
      <c r="L579" s="38">
        <f t="shared" si="61"/>
        <v>798.27977283687073</v>
      </c>
      <c r="M579" s="23">
        <f t="shared" si="62"/>
        <v>-3.0429040185119129</v>
      </c>
      <c r="N579" s="23">
        <f t="shared" si="63"/>
        <v>0.20281498293619682</v>
      </c>
      <c r="O579" s="6"/>
      <c r="P579" s="18">
        <f t="shared" si="64"/>
        <v>-0.61714652659097835</v>
      </c>
    </row>
    <row r="580" spans="1:16" ht="15" customHeight="1" x14ac:dyDescent="0.3">
      <c r="A580" s="7" t="str">
        <f>Raw_Players!A542</f>
        <v>SAC</v>
      </c>
      <c r="B580" s="7" t="str">
        <f>Raw_Players!B542</f>
        <v>Jonathan Mogbo</v>
      </c>
      <c r="C580" s="37">
        <f>Raw_Players!E542</f>
        <v>-0.84214229965024923</v>
      </c>
      <c r="D580" s="31">
        <f>Raw_Players!F542</f>
        <v>672.32743284310902</v>
      </c>
      <c r="E580" s="31">
        <f>Raw_Players!G542</f>
        <v>12.0506033467219</v>
      </c>
      <c r="F580" s="31">
        <f>Raw_Players!H542</f>
        <v>55.792014183754617</v>
      </c>
      <c r="G580" s="31" t="str">
        <f>IFERROR(IF(INDEX(Overrides!$B$8:$B$47,MATCH(B580,Overrides!$A$8:$A$47,0))="","",INDEX(Overrides!$B$8:$B$47,MATCH(B580,Overrides!$A$8:$A$47,0))),"")</f>
        <v/>
      </c>
      <c r="H580" s="31" t="str">
        <f>IFERROR(IF(INDEX(Overrides!$C$8:$C$47,MATCH(B580,Overrides!$A$8:$A$47,0))="","",INDEX(Overrides!$C$8:$C$47,MATCH(B580,Overrides!$A$8:$A$47,0))),"")</f>
        <v/>
      </c>
      <c r="I580" s="36">
        <f>IFERROR(IF(INDEX(Overrides!$D$8:$D$47,MATCH(B580,Overrides!$A$8:$A$47,0))="",0,INDEX(Overrides!$D$8:$D$47,MATCH(B580,Overrides!$A$8:$A$47,0))),0)</f>
        <v>0</v>
      </c>
      <c r="J580" s="38">
        <f t="shared" si="59"/>
        <v>672.32743284310902</v>
      </c>
      <c r="K580" s="18">
        <f t="shared" si="60"/>
        <v>0.99999999999999978</v>
      </c>
      <c r="L580" s="38">
        <f t="shared" si="61"/>
        <v>672.32743284310891</v>
      </c>
      <c r="M580" s="23">
        <f t="shared" si="62"/>
        <v>-0.84214229965024923</v>
      </c>
      <c r="N580" s="23">
        <f t="shared" si="63"/>
        <v>0.17081489655566792</v>
      </c>
      <c r="O580" s="6"/>
      <c r="P580" s="18">
        <f t="shared" si="64"/>
        <v>-0.14385044979990963</v>
      </c>
    </row>
    <row r="581" spans="1:16" ht="15" customHeight="1" x14ac:dyDescent="0.3">
      <c r="A581" s="7" t="str">
        <f>Raw_Players!A543</f>
        <v>SAC</v>
      </c>
      <c r="B581" s="7" t="str">
        <f>Raw_Players!B543</f>
        <v>Alex Karaban</v>
      </c>
      <c r="C581" s="37">
        <f>Raw_Players!E543</f>
        <v>-1.856247510804141</v>
      </c>
      <c r="D581" s="31">
        <f>Raw_Players!F543</f>
        <v>610.08193672626794</v>
      </c>
      <c r="E581" s="31">
        <f>Raw_Players!G543</f>
        <v>15.10015088238217</v>
      </c>
      <c r="F581" s="31">
        <f>Raw_Players!H543</f>
        <v>40.402373557609288</v>
      </c>
      <c r="G581" s="31" t="str">
        <f>IFERROR(IF(INDEX(Overrides!$B$8:$B$47,MATCH(B581,Overrides!$A$8:$A$47,0))="","",INDEX(Overrides!$B$8:$B$47,MATCH(B581,Overrides!$A$8:$A$47,0))),"")</f>
        <v/>
      </c>
      <c r="H581" s="31" t="str">
        <f>IFERROR(IF(INDEX(Overrides!$C$8:$C$47,MATCH(B581,Overrides!$A$8:$A$47,0))="","",INDEX(Overrides!$C$8:$C$47,MATCH(B581,Overrides!$A$8:$A$47,0))),"")</f>
        <v/>
      </c>
      <c r="I581" s="36">
        <f>IFERROR(IF(INDEX(Overrides!$D$8:$D$47,MATCH(B581,Overrides!$A$8:$A$47,0))="",0,INDEX(Overrides!$D$8:$D$47,MATCH(B581,Overrides!$A$8:$A$47,0))),0)</f>
        <v>0</v>
      </c>
      <c r="J581" s="38">
        <f t="shared" si="59"/>
        <v>610.08193672626794</v>
      </c>
      <c r="K581" s="18">
        <f t="shared" si="60"/>
        <v>0.99999999999999978</v>
      </c>
      <c r="L581" s="38">
        <f t="shared" si="61"/>
        <v>610.08193672626783</v>
      </c>
      <c r="M581" s="23">
        <f t="shared" si="62"/>
        <v>-1.856247510804141</v>
      </c>
      <c r="N581" s="23">
        <f t="shared" si="63"/>
        <v>0.15500049205443797</v>
      </c>
      <c r="O581" s="6"/>
      <c r="P581" s="18">
        <f t="shared" si="64"/>
        <v>-0.28771927754946752</v>
      </c>
    </row>
    <row r="582" spans="1:16" ht="15" customHeight="1" x14ac:dyDescent="0.3">
      <c r="A582" s="7" t="str">
        <f>Raw_Players!A544</f>
        <v>SAC</v>
      </c>
      <c r="B582" s="7" t="str">
        <f>Raw_Players!B544</f>
        <v>Ben Simmons</v>
      </c>
      <c r="C582" s="37">
        <f>Raw_Players!E544</f>
        <v>-0.96659793907825797</v>
      </c>
      <c r="D582" s="31">
        <f>Raw_Players!F544</f>
        <v>573.55569374581262</v>
      </c>
      <c r="E582" s="31">
        <f>Raw_Players!G544</f>
        <v>18.905335986913979</v>
      </c>
      <c r="F582" s="31">
        <f>Raw_Players!H544</f>
        <v>30.338296772023529</v>
      </c>
      <c r="G582" s="31" t="str">
        <f>IFERROR(IF(INDEX(Overrides!$B$8:$B$47,MATCH(B582,Overrides!$A$8:$A$47,0))="","",INDEX(Overrides!$B$8:$B$47,MATCH(B582,Overrides!$A$8:$A$47,0))),"")</f>
        <v/>
      </c>
      <c r="H582" s="31" t="str">
        <f>IFERROR(IF(INDEX(Overrides!$C$8:$C$47,MATCH(B582,Overrides!$A$8:$A$47,0))="","",INDEX(Overrides!$C$8:$C$47,MATCH(B582,Overrides!$A$8:$A$47,0))),"")</f>
        <v/>
      </c>
      <c r="I582" s="36">
        <f>IFERROR(IF(INDEX(Overrides!$D$8:$D$47,MATCH(B582,Overrides!$A$8:$A$47,0))="",0,INDEX(Overrides!$D$8:$D$47,MATCH(B582,Overrides!$A$8:$A$47,0))),0)</f>
        <v>0</v>
      </c>
      <c r="J582" s="38">
        <f t="shared" si="59"/>
        <v>573.55569374581262</v>
      </c>
      <c r="K582" s="18">
        <f t="shared" si="60"/>
        <v>0.99999999999999978</v>
      </c>
      <c r="L582" s="38">
        <f t="shared" si="61"/>
        <v>573.5556937458125</v>
      </c>
      <c r="M582" s="23">
        <f t="shared" si="62"/>
        <v>-0.96659793907825797</v>
      </c>
      <c r="N582" s="23">
        <f t="shared" si="63"/>
        <v>0.14572045064680195</v>
      </c>
      <c r="O582" s="6"/>
      <c r="P582" s="18">
        <f t="shared" si="64"/>
        <v>-0.14085308727675377</v>
      </c>
    </row>
    <row r="583" spans="1:16" ht="15" customHeight="1" x14ac:dyDescent="0.3">
      <c r="A583" s="7" t="str">
        <f>Raw_Players!A545</f>
        <v>SAC</v>
      </c>
      <c r="B583" s="7" t="str">
        <f>Raw_Players!B545</f>
        <v>Emanuel Sharp</v>
      </c>
      <c r="C583" s="37">
        <f>Raw_Players!E545</f>
        <v>-2.485353122146472</v>
      </c>
      <c r="D583" s="31">
        <f>Raw_Players!F545</f>
        <v>455.18473584718151</v>
      </c>
      <c r="E583" s="31">
        <f>Raw_Players!G545</f>
        <v>13.210725840127351</v>
      </c>
      <c r="F583" s="31">
        <f>Raw_Players!H545</f>
        <v>34.455694664752308</v>
      </c>
      <c r="G583" s="31" t="str">
        <f>IFERROR(IF(INDEX(Overrides!$B$8:$B$47,MATCH(B583,Overrides!$A$8:$A$47,0))="","",INDEX(Overrides!$B$8:$B$47,MATCH(B583,Overrides!$A$8:$A$47,0))),"")</f>
        <v/>
      </c>
      <c r="H583" s="31" t="str">
        <f>IFERROR(IF(INDEX(Overrides!$C$8:$C$47,MATCH(B583,Overrides!$A$8:$A$47,0))="","",INDEX(Overrides!$C$8:$C$47,MATCH(B583,Overrides!$A$8:$A$47,0))),"")</f>
        <v/>
      </c>
      <c r="I583" s="36">
        <f>IFERROR(IF(INDEX(Overrides!$D$8:$D$47,MATCH(B583,Overrides!$A$8:$A$47,0))="",0,INDEX(Overrides!$D$8:$D$47,MATCH(B583,Overrides!$A$8:$A$47,0))),0)</f>
        <v>0</v>
      </c>
      <c r="J583" s="38">
        <f t="shared" si="59"/>
        <v>455.18473584718151</v>
      </c>
      <c r="K583" s="18">
        <f t="shared" si="60"/>
        <v>0.99999999999999978</v>
      </c>
      <c r="L583" s="38">
        <f t="shared" si="61"/>
        <v>455.1847358471814</v>
      </c>
      <c r="M583" s="23">
        <f t="shared" si="62"/>
        <v>-2.485353122146472</v>
      </c>
      <c r="N583" s="23">
        <f t="shared" si="63"/>
        <v>0.11564652841645869</v>
      </c>
      <c r="O583" s="6"/>
      <c r="P583" s="18">
        <f t="shared" si="64"/>
        <v>-0.28742246046524628</v>
      </c>
    </row>
    <row r="584" spans="1:16" ht="15" customHeight="1" x14ac:dyDescent="0.3">
      <c r="A584" s="7" t="str">
        <f>Raw_Players!A546</f>
        <v>SAC</v>
      </c>
      <c r="B584" s="7" t="str">
        <f>Raw_Players!B546</f>
        <v>Viktor Lakhin</v>
      </c>
      <c r="C584" s="37">
        <f>Raw_Players!E546</f>
        <v>-3.1867960702466678</v>
      </c>
      <c r="D584" s="31">
        <f>Raw_Players!F546</f>
        <v>361.10200742004338</v>
      </c>
      <c r="E584" s="31">
        <f>Raw_Players!G546</f>
        <v>11.90251417650558</v>
      </c>
      <c r="F584" s="31">
        <f>Raw_Players!H546</f>
        <v>30.338296772023529</v>
      </c>
      <c r="G584" s="31" t="str">
        <f>IFERROR(IF(INDEX(Overrides!$B$8:$B$47,MATCH(B584,Overrides!$A$8:$A$47,0))="","",INDEX(Overrides!$B$8:$B$47,MATCH(B584,Overrides!$A$8:$A$47,0))),"")</f>
        <v/>
      </c>
      <c r="H584" s="31" t="str">
        <f>IFERROR(IF(INDEX(Overrides!$C$8:$C$47,MATCH(B584,Overrides!$A$8:$A$47,0))="","",INDEX(Overrides!$C$8:$C$47,MATCH(B584,Overrides!$A$8:$A$47,0))),"")</f>
        <v/>
      </c>
      <c r="I584" s="36">
        <f>IFERROR(IF(INDEX(Overrides!$D$8:$D$47,MATCH(B584,Overrides!$A$8:$A$47,0))="",0,INDEX(Overrides!$D$8:$D$47,MATCH(B584,Overrides!$A$8:$A$47,0))),0)</f>
        <v>0</v>
      </c>
      <c r="J584" s="38">
        <f t="shared" si="59"/>
        <v>361.10200742004338</v>
      </c>
      <c r="K584" s="18">
        <f t="shared" si="60"/>
        <v>0.99999999999999978</v>
      </c>
      <c r="L584" s="38">
        <f t="shared" si="61"/>
        <v>361.10200742004332</v>
      </c>
      <c r="M584" s="23">
        <f t="shared" si="62"/>
        <v>-3.1867960702466678</v>
      </c>
      <c r="N584" s="23">
        <f t="shared" si="63"/>
        <v>9.17433961941167E-2</v>
      </c>
      <c r="O584" s="6"/>
      <c r="P584" s="18">
        <f t="shared" si="64"/>
        <v>-0.29236749446249422</v>
      </c>
    </row>
    <row r="585" spans="1:16" ht="15" customHeight="1" x14ac:dyDescent="0.3">
      <c r="A585" s="7" t="str">
        <f>Raw_Players!A547</f>
        <v>SAC</v>
      </c>
      <c r="B585" s="7" t="str">
        <f>Raw_Players!B547</f>
        <v>Tristen Newton</v>
      </c>
      <c r="C585" s="37">
        <f>Raw_Players!E547</f>
        <v>-1.6081595422674719</v>
      </c>
      <c r="D585" s="31">
        <f>Raw_Players!F547</f>
        <v>336.53897529105973</v>
      </c>
      <c r="E585" s="31">
        <f>Raw_Players!G547</f>
        <v>8.2620206053905552</v>
      </c>
      <c r="F585" s="31">
        <f>Raw_Players!H547</f>
        <v>40.73325296132581</v>
      </c>
      <c r="G585" s="31" t="str">
        <f>IFERROR(IF(INDEX(Overrides!$B$8:$B$47,MATCH(B585,Overrides!$A$8:$A$47,0))="","",INDEX(Overrides!$B$8:$B$47,MATCH(B585,Overrides!$A$8:$A$47,0))),"")</f>
        <v/>
      </c>
      <c r="H585" s="31" t="str">
        <f>IFERROR(IF(INDEX(Overrides!$C$8:$C$47,MATCH(B585,Overrides!$A$8:$A$47,0))="","",INDEX(Overrides!$C$8:$C$47,MATCH(B585,Overrides!$A$8:$A$47,0))),"")</f>
        <v/>
      </c>
      <c r="I585" s="36">
        <f>IFERROR(IF(INDEX(Overrides!$D$8:$D$47,MATCH(B585,Overrides!$A$8:$A$47,0))="",0,INDEX(Overrides!$D$8:$D$47,MATCH(B585,Overrides!$A$8:$A$47,0))),0)</f>
        <v>0</v>
      </c>
      <c r="J585" s="38">
        <f t="shared" si="59"/>
        <v>336.53897529105973</v>
      </c>
      <c r="K585" s="18">
        <f t="shared" si="60"/>
        <v>0.99999999999999978</v>
      </c>
      <c r="L585" s="38">
        <f t="shared" si="61"/>
        <v>336.53897529105967</v>
      </c>
      <c r="M585" s="23">
        <f t="shared" si="62"/>
        <v>-1.6081595422674719</v>
      </c>
      <c r="N585" s="23">
        <f t="shared" si="63"/>
        <v>8.550278843776922E-2</v>
      </c>
      <c r="O585" s="6"/>
      <c r="P585" s="18">
        <f t="shared" si="64"/>
        <v>-0.13750212511667545</v>
      </c>
    </row>
    <row r="586" spans="1:16" ht="15" customHeight="1" x14ac:dyDescent="0.3">
      <c r="A586" s="7" t="str">
        <f>Raw_Players!A548</f>
        <v>SAC</v>
      </c>
      <c r="B586" s="7" t="str">
        <f>Raw_Players!B548</f>
        <v>Adam Flagler</v>
      </c>
      <c r="C586" s="37">
        <f>Raw_Players!E548</f>
        <v>-3.0933403721511148</v>
      </c>
      <c r="D586" s="31">
        <f>Raw_Players!F548</f>
        <v>206.5226376157662</v>
      </c>
      <c r="E586" s="31">
        <f>Raw_Players!G548</f>
        <v>6.8073247212154344</v>
      </c>
      <c r="F586" s="31">
        <f>Raw_Players!H548</f>
        <v>30.338296772023529</v>
      </c>
      <c r="G586" s="31" t="str">
        <f>IFERROR(IF(INDEX(Overrides!$B$8:$B$47,MATCH(B586,Overrides!$A$8:$A$47,0))="","",INDEX(Overrides!$B$8:$B$47,MATCH(B586,Overrides!$A$8:$A$47,0))),"")</f>
        <v/>
      </c>
      <c r="H586" s="31" t="str">
        <f>IFERROR(IF(INDEX(Overrides!$C$8:$C$47,MATCH(B586,Overrides!$A$8:$A$47,0))="","",INDEX(Overrides!$C$8:$C$47,MATCH(B586,Overrides!$A$8:$A$47,0))),"")</f>
        <v/>
      </c>
      <c r="I586" s="36">
        <f>IFERROR(IF(INDEX(Overrides!$D$8:$D$47,MATCH(B586,Overrides!$A$8:$A$47,0))="",0,INDEX(Overrides!$D$8:$D$47,MATCH(B586,Overrides!$A$8:$A$47,0))),0)</f>
        <v>0</v>
      </c>
      <c r="J586" s="38">
        <f t="shared" si="59"/>
        <v>206.5226376157662</v>
      </c>
      <c r="K586" s="18">
        <f t="shared" si="60"/>
        <v>0.99999999999999978</v>
      </c>
      <c r="L586" s="38">
        <f t="shared" si="61"/>
        <v>206.52263761576614</v>
      </c>
      <c r="M586" s="23">
        <f t="shared" si="62"/>
        <v>-3.0933403721511148</v>
      </c>
      <c r="N586" s="23">
        <f t="shared" si="63"/>
        <v>5.24701823210788E-2</v>
      </c>
      <c r="O586" s="6"/>
      <c r="P586" s="18">
        <f t="shared" si="64"/>
        <v>-0.16230813330792274</v>
      </c>
    </row>
    <row r="587" spans="1:16" ht="15" customHeight="1" x14ac:dyDescent="0.3">
      <c r="A587" s="7" t="str">
        <f>Raw_Players!A549</f>
        <v>SAS</v>
      </c>
      <c r="B587" s="7" t="str">
        <f>Raw_Players!B549</f>
        <v>De'Aaron Fox</v>
      </c>
      <c r="C587" s="37">
        <f>Raw_Players!E549</f>
        <v>2.0405627543021718</v>
      </c>
      <c r="D587" s="31">
        <f>Raw_Players!F549</f>
        <v>1850.144103890339</v>
      </c>
      <c r="E587" s="31">
        <f>Raw_Players!G549</f>
        <v>29.365910789372041</v>
      </c>
      <c r="F587" s="31">
        <f>Raw_Players!H549</f>
        <v>63.003123491062773</v>
      </c>
      <c r="G587" s="31" t="str">
        <f>IFERROR(IF(INDEX(Overrides!$B$8:$B$47,MATCH(B587,Overrides!$A$8:$A$47,0))="","",INDEX(Overrides!$B$8:$B$47,MATCH(B587,Overrides!$A$8:$A$47,0))),"")</f>
        <v/>
      </c>
      <c r="H587" s="31" t="str">
        <f>IFERROR(IF(INDEX(Overrides!$C$8:$C$47,MATCH(B587,Overrides!$A$8:$A$47,0))="","",INDEX(Overrides!$C$8:$C$47,MATCH(B587,Overrides!$A$8:$A$47,0))),"")</f>
        <v/>
      </c>
      <c r="I587" s="36">
        <f>IFERROR(IF(INDEX(Overrides!$D$8:$D$47,MATCH(B587,Overrides!$A$8:$A$47,0))="",0,INDEX(Overrides!$D$8:$D$47,MATCH(B587,Overrides!$A$8:$A$47,0))),0)</f>
        <v>0</v>
      </c>
      <c r="J587" s="38">
        <f t="shared" si="59"/>
        <v>1850.144103890339</v>
      </c>
      <c r="K587" s="18">
        <f t="shared" si="60"/>
        <v>1.0000000000000002</v>
      </c>
      <c r="L587" s="38">
        <f t="shared" si="61"/>
        <v>1850.1441038903395</v>
      </c>
      <c r="M587" s="23">
        <f t="shared" si="62"/>
        <v>2.0405627543021718</v>
      </c>
      <c r="N587" s="23">
        <f t="shared" si="63"/>
        <v>0.47005693696400902</v>
      </c>
      <c r="O587" s="6"/>
      <c r="P587" s="18">
        <f t="shared" si="64"/>
        <v>0.95918067797012063</v>
      </c>
    </row>
    <row r="588" spans="1:16" ht="15" customHeight="1" x14ac:dyDescent="0.3">
      <c r="A588" s="7" t="str">
        <f>Raw_Players!A550</f>
        <v>SAS</v>
      </c>
      <c r="B588" s="7" t="str">
        <f>Raw_Players!B550</f>
        <v>Devin Vassell</v>
      </c>
      <c r="C588" s="37">
        <f>Raw_Players!E550</f>
        <v>0.76286484135178156</v>
      </c>
      <c r="D588" s="31">
        <f>Raw_Players!F550</f>
        <v>1709.0535003189891</v>
      </c>
      <c r="E588" s="31">
        <f>Raw_Players!G550</f>
        <v>27.395024326743371</v>
      </c>
      <c r="F588" s="31">
        <f>Raw_Players!H550</f>
        <v>62.38554417528254</v>
      </c>
      <c r="G588" s="31" t="str">
        <f>IFERROR(IF(INDEX(Overrides!$B$8:$B$47,MATCH(B588,Overrides!$A$8:$A$47,0))="","",INDEX(Overrides!$B$8:$B$47,MATCH(B588,Overrides!$A$8:$A$47,0))),"")</f>
        <v/>
      </c>
      <c r="H588" s="31" t="str">
        <f>IFERROR(IF(INDEX(Overrides!$C$8:$C$47,MATCH(B588,Overrides!$A$8:$A$47,0))="","",INDEX(Overrides!$C$8:$C$47,MATCH(B588,Overrides!$A$8:$A$47,0))),"")</f>
        <v/>
      </c>
      <c r="I588" s="36">
        <f>IFERROR(IF(INDEX(Overrides!$D$8:$D$47,MATCH(B588,Overrides!$A$8:$A$47,0))="",0,INDEX(Overrides!$D$8:$D$47,MATCH(B588,Overrides!$A$8:$A$47,0))),0)</f>
        <v>0</v>
      </c>
      <c r="J588" s="38">
        <f t="shared" si="59"/>
        <v>1709.0535003189891</v>
      </c>
      <c r="K588" s="18">
        <f t="shared" si="60"/>
        <v>1.0000000000000002</v>
      </c>
      <c r="L588" s="38">
        <f t="shared" si="61"/>
        <v>1709.0535003189896</v>
      </c>
      <c r="M588" s="23">
        <f t="shared" si="62"/>
        <v>0.76286484135178156</v>
      </c>
      <c r="N588" s="23">
        <f t="shared" si="63"/>
        <v>0.43421074703226359</v>
      </c>
      <c r="O588" s="6"/>
      <c r="P588" s="18">
        <f t="shared" si="64"/>
        <v>0.33124411264800629</v>
      </c>
    </row>
    <row r="589" spans="1:16" ht="15" customHeight="1" x14ac:dyDescent="0.3">
      <c r="A589" s="7" t="str">
        <f>Raw_Players!A551</f>
        <v>SAS</v>
      </c>
      <c r="B589" s="7" t="str">
        <f>Raw_Players!B551</f>
        <v>Stephon Castle</v>
      </c>
      <c r="C589" s="37">
        <f>Raw_Players!E551</f>
        <v>1.662414509422151</v>
      </c>
      <c r="D589" s="31">
        <f>Raw_Players!F551</f>
        <v>1609.845123140841</v>
      </c>
      <c r="E589" s="31">
        <f>Raw_Players!G551</f>
        <v>24.908866071766361</v>
      </c>
      <c r="F589" s="31">
        <f>Raw_Players!H551</f>
        <v>64.629402177627185</v>
      </c>
      <c r="G589" s="31" t="str">
        <f>IFERROR(IF(INDEX(Overrides!$B$8:$B$47,MATCH(B589,Overrides!$A$8:$A$47,0))="","",INDEX(Overrides!$B$8:$B$47,MATCH(B589,Overrides!$A$8:$A$47,0))),"")</f>
        <v/>
      </c>
      <c r="H589" s="31" t="str">
        <f>IFERROR(IF(INDEX(Overrides!$C$8:$C$47,MATCH(B589,Overrides!$A$8:$A$47,0))="","",INDEX(Overrides!$C$8:$C$47,MATCH(B589,Overrides!$A$8:$A$47,0))),"")</f>
        <v/>
      </c>
      <c r="I589" s="36">
        <f>IFERROR(IF(INDEX(Overrides!$D$8:$D$47,MATCH(B589,Overrides!$A$8:$A$47,0))="",0,INDEX(Overrides!$D$8:$D$47,MATCH(B589,Overrides!$A$8:$A$47,0))),0)</f>
        <v>0</v>
      </c>
      <c r="J589" s="38">
        <f t="shared" si="59"/>
        <v>1609.845123140841</v>
      </c>
      <c r="K589" s="18">
        <f t="shared" si="60"/>
        <v>1.0000000000000002</v>
      </c>
      <c r="L589" s="38">
        <f t="shared" si="61"/>
        <v>1609.8451231408415</v>
      </c>
      <c r="M589" s="23">
        <f t="shared" si="62"/>
        <v>1.662414509422151</v>
      </c>
      <c r="N589" s="23">
        <f t="shared" si="63"/>
        <v>0.40900536665163656</v>
      </c>
      <c r="O589" s="6"/>
      <c r="P589" s="18">
        <f t="shared" si="64"/>
        <v>0.6799364559532074</v>
      </c>
    </row>
    <row r="590" spans="1:16" ht="15" customHeight="1" x14ac:dyDescent="0.3">
      <c r="A590" s="7" t="str">
        <f>Raw_Players!A552</f>
        <v>SAS</v>
      </c>
      <c r="B590" s="7" t="str">
        <f>Raw_Players!B552</f>
        <v>Victor Wembanyama</v>
      </c>
      <c r="C590" s="37">
        <f>Raw_Players!E552</f>
        <v>7.864923242152928</v>
      </c>
      <c r="D590" s="31">
        <f>Raw_Players!F552</f>
        <v>1600.003216995869</v>
      </c>
      <c r="E590" s="31">
        <f>Raw_Players!G552</f>
        <v>26.5079366799173</v>
      </c>
      <c r="F590" s="31">
        <f>Raw_Players!H552</f>
        <v>60.359402405244488</v>
      </c>
      <c r="G590" s="31" t="str">
        <f>IFERROR(IF(INDEX(Overrides!$B$8:$B$47,MATCH(B590,Overrides!$A$8:$A$47,0))="","",INDEX(Overrides!$B$8:$B$47,MATCH(B590,Overrides!$A$8:$A$47,0))),"")</f>
        <v/>
      </c>
      <c r="H590" s="31" t="str">
        <f>IFERROR(IF(INDEX(Overrides!$C$8:$C$47,MATCH(B590,Overrides!$A$8:$A$47,0))="","",INDEX(Overrides!$C$8:$C$47,MATCH(B590,Overrides!$A$8:$A$47,0))),"")</f>
        <v/>
      </c>
      <c r="I590" s="36">
        <f>IFERROR(IF(INDEX(Overrides!$D$8:$D$47,MATCH(B590,Overrides!$A$8:$A$47,0))="",0,INDEX(Overrides!$D$8:$D$47,MATCH(B590,Overrides!$A$8:$A$47,0))),0)</f>
        <v>0</v>
      </c>
      <c r="J590" s="38">
        <f t="shared" si="59"/>
        <v>1600.003216995869</v>
      </c>
      <c r="K590" s="18">
        <f t="shared" si="60"/>
        <v>1.0000000000000002</v>
      </c>
      <c r="L590" s="38">
        <f t="shared" si="61"/>
        <v>1600.0032169958695</v>
      </c>
      <c r="M590" s="23">
        <f t="shared" si="62"/>
        <v>7.864923242152928</v>
      </c>
      <c r="N590" s="23">
        <f t="shared" si="63"/>
        <v>0.40650488236683674</v>
      </c>
      <c r="O590" s="6"/>
      <c r="P590" s="18">
        <f t="shared" si="64"/>
        <v>3.1971296973755763</v>
      </c>
    </row>
    <row r="591" spans="1:16" ht="15" customHeight="1" x14ac:dyDescent="0.3">
      <c r="A591" s="7" t="str">
        <f>Raw_Players!A553</f>
        <v>SAS</v>
      </c>
      <c r="B591" s="7" t="str">
        <f>Raw_Players!B553</f>
        <v>Tobias Harris</v>
      </c>
      <c r="C591" s="37">
        <f>Raw_Players!E553</f>
        <v>0.84562945823169944</v>
      </c>
      <c r="D591" s="31">
        <f>Raw_Players!F553</f>
        <v>1580.978945271203</v>
      </c>
      <c r="E591" s="31">
        <f>Raw_Players!G553</f>
        <v>26.60935935894986</v>
      </c>
      <c r="F591" s="31">
        <f>Raw_Players!H553</f>
        <v>59.414393407387792</v>
      </c>
      <c r="G591" s="31" t="str">
        <f>IFERROR(IF(INDEX(Overrides!$B$8:$B$47,MATCH(B591,Overrides!$A$8:$A$47,0))="","",INDEX(Overrides!$B$8:$B$47,MATCH(B591,Overrides!$A$8:$A$47,0))),"")</f>
        <v/>
      </c>
      <c r="H591" s="31" t="str">
        <f>IFERROR(IF(INDEX(Overrides!$C$8:$C$47,MATCH(B591,Overrides!$A$8:$A$47,0))="","",INDEX(Overrides!$C$8:$C$47,MATCH(B591,Overrides!$A$8:$A$47,0))),"")</f>
        <v/>
      </c>
      <c r="I591" s="36">
        <f>IFERROR(IF(INDEX(Overrides!$D$8:$D$47,MATCH(B591,Overrides!$A$8:$A$47,0))="",0,INDEX(Overrides!$D$8:$D$47,MATCH(B591,Overrides!$A$8:$A$47,0))),0)</f>
        <v>0</v>
      </c>
      <c r="J591" s="38">
        <f t="shared" si="59"/>
        <v>1580.978945271203</v>
      </c>
      <c r="K591" s="18">
        <f t="shared" si="60"/>
        <v>1.0000000000000002</v>
      </c>
      <c r="L591" s="38">
        <f t="shared" si="61"/>
        <v>1580.9789452712034</v>
      </c>
      <c r="M591" s="23">
        <f t="shared" si="62"/>
        <v>0.84562945823169944</v>
      </c>
      <c r="N591" s="23">
        <f t="shared" si="63"/>
        <v>0.40167147999776509</v>
      </c>
      <c r="O591" s="6"/>
      <c r="P591" s="18">
        <f t="shared" si="64"/>
        <v>0.33966523601763499</v>
      </c>
    </row>
    <row r="592" spans="1:16" ht="15" customHeight="1" x14ac:dyDescent="0.3">
      <c r="A592" s="7" t="str">
        <f>Raw_Players!A554</f>
        <v>SAS</v>
      </c>
      <c r="B592" s="7" t="str">
        <f>Raw_Players!B554</f>
        <v>Harrison Barnes</v>
      </c>
      <c r="C592" s="37">
        <f>Raw_Players!E554</f>
        <v>-0.15591749412492051</v>
      </c>
      <c r="D592" s="31">
        <f>Raw_Players!F554</f>
        <v>1523.730077964851</v>
      </c>
      <c r="E592" s="31">
        <f>Raw_Players!G554</f>
        <v>23.89285300636929</v>
      </c>
      <c r="F592" s="31">
        <f>Raw_Players!H554</f>
        <v>63.773467218781278</v>
      </c>
      <c r="G592" s="31" t="str">
        <f>IFERROR(IF(INDEX(Overrides!$B$8:$B$47,MATCH(B592,Overrides!$A$8:$A$47,0))="","",INDEX(Overrides!$B$8:$B$47,MATCH(B592,Overrides!$A$8:$A$47,0))),"")</f>
        <v/>
      </c>
      <c r="H592" s="31" t="str">
        <f>IFERROR(IF(INDEX(Overrides!$C$8:$C$47,MATCH(B592,Overrides!$A$8:$A$47,0))="","",INDEX(Overrides!$C$8:$C$47,MATCH(B592,Overrides!$A$8:$A$47,0))),"")</f>
        <v/>
      </c>
      <c r="I592" s="36">
        <f>IFERROR(IF(INDEX(Overrides!$D$8:$D$47,MATCH(B592,Overrides!$A$8:$A$47,0))="",0,INDEX(Overrides!$D$8:$D$47,MATCH(B592,Overrides!$A$8:$A$47,0))),0)</f>
        <v>0</v>
      </c>
      <c r="J592" s="38">
        <f t="shared" si="59"/>
        <v>1523.730077964851</v>
      </c>
      <c r="K592" s="18">
        <f t="shared" si="60"/>
        <v>1.0000000000000002</v>
      </c>
      <c r="L592" s="38">
        <f t="shared" si="61"/>
        <v>1523.7300779648513</v>
      </c>
      <c r="M592" s="23">
        <f t="shared" si="62"/>
        <v>-0.15591749412492051</v>
      </c>
      <c r="N592" s="23">
        <f t="shared" si="63"/>
        <v>0.38712654419838699</v>
      </c>
      <c r="O592" s="6"/>
      <c r="P592" s="18">
        <f t="shared" si="64"/>
        <v>-6.0359800680652782E-2</v>
      </c>
    </row>
    <row r="593" spans="1:16" ht="15" customHeight="1" x14ac:dyDescent="0.3">
      <c r="A593" s="7" t="str">
        <f>Raw_Players!A555</f>
        <v>SAS</v>
      </c>
      <c r="B593" s="7" t="str">
        <f>Raw_Players!B555</f>
        <v>Julian Champagnie</v>
      </c>
      <c r="C593" s="37">
        <f>Raw_Players!E555</f>
        <v>1.3500975059243661</v>
      </c>
      <c r="D593" s="31">
        <f>Raw_Players!F555</f>
        <v>1518.068903339469</v>
      </c>
      <c r="E593" s="31">
        <f>Raw_Players!G555</f>
        <v>22.324541937729691</v>
      </c>
      <c r="F593" s="31">
        <f>Raw_Players!H555</f>
        <v>68.000002310186233</v>
      </c>
      <c r="G593" s="31" t="str">
        <f>IFERROR(IF(INDEX(Overrides!$B$8:$B$47,MATCH(B593,Overrides!$A$8:$A$47,0))="","",INDEX(Overrides!$B$8:$B$47,MATCH(B593,Overrides!$A$8:$A$47,0))),"")</f>
        <v/>
      </c>
      <c r="H593" s="31" t="str">
        <f>IFERROR(IF(INDEX(Overrides!$C$8:$C$47,MATCH(B593,Overrides!$A$8:$A$47,0))="","",INDEX(Overrides!$C$8:$C$47,MATCH(B593,Overrides!$A$8:$A$47,0))),"")</f>
        <v/>
      </c>
      <c r="I593" s="36">
        <f>IFERROR(IF(INDEX(Overrides!$D$8:$D$47,MATCH(B593,Overrides!$A$8:$A$47,0))="",0,INDEX(Overrides!$D$8:$D$47,MATCH(B593,Overrides!$A$8:$A$47,0))),0)</f>
        <v>0</v>
      </c>
      <c r="J593" s="38">
        <f t="shared" si="59"/>
        <v>1518.068903339469</v>
      </c>
      <c r="K593" s="18">
        <f t="shared" si="60"/>
        <v>1.0000000000000002</v>
      </c>
      <c r="L593" s="38">
        <f t="shared" si="61"/>
        <v>1518.0689033394692</v>
      </c>
      <c r="M593" s="23">
        <f t="shared" si="62"/>
        <v>1.3500975059243661</v>
      </c>
      <c r="N593" s="23">
        <f t="shared" si="63"/>
        <v>0.38568823763706028</v>
      </c>
      <c r="O593" s="6"/>
      <c r="P593" s="18">
        <f t="shared" si="64"/>
        <v>0.52071672769815935</v>
      </c>
    </row>
    <row r="594" spans="1:16" ht="15" customHeight="1" x14ac:dyDescent="0.3">
      <c r="A594" s="7" t="str">
        <f>Raw_Players!A556</f>
        <v>SAS</v>
      </c>
      <c r="B594" s="7" t="str">
        <f>Raw_Players!B556</f>
        <v>Keldon Johnson</v>
      </c>
      <c r="C594" s="37">
        <f>Raw_Players!E556</f>
        <v>-0.1180464530140118</v>
      </c>
      <c r="D594" s="31">
        <f>Raw_Players!F556</f>
        <v>1464.877632503036</v>
      </c>
      <c r="E594" s="31">
        <f>Raw_Players!G556</f>
        <v>21.810560334251939</v>
      </c>
      <c r="F594" s="31">
        <f>Raw_Players!H556</f>
        <v>67.163686308533272</v>
      </c>
      <c r="G594" s="31" t="str">
        <f>IFERROR(IF(INDEX(Overrides!$B$8:$B$47,MATCH(B594,Overrides!$A$8:$A$47,0))="","",INDEX(Overrides!$B$8:$B$47,MATCH(B594,Overrides!$A$8:$A$47,0))),"")</f>
        <v/>
      </c>
      <c r="H594" s="31" t="str">
        <f>IFERROR(IF(INDEX(Overrides!$C$8:$C$47,MATCH(B594,Overrides!$A$8:$A$47,0))="","",INDEX(Overrides!$C$8:$C$47,MATCH(B594,Overrides!$A$8:$A$47,0))),"")</f>
        <v/>
      </c>
      <c r="I594" s="36">
        <f>IFERROR(IF(INDEX(Overrides!$D$8:$D$47,MATCH(B594,Overrides!$A$8:$A$47,0))="",0,INDEX(Overrides!$D$8:$D$47,MATCH(B594,Overrides!$A$8:$A$47,0))),0)</f>
        <v>0</v>
      </c>
      <c r="J594" s="38">
        <f t="shared" si="59"/>
        <v>1464.877632503036</v>
      </c>
      <c r="K594" s="18">
        <f t="shared" si="60"/>
        <v>1.0000000000000002</v>
      </c>
      <c r="L594" s="38">
        <f t="shared" si="61"/>
        <v>1464.8776325030362</v>
      </c>
      <c r="M594" s="23">
        <f t="shared" si="62"/>
        <v>-0.1180464530140118</v>
      </c>
      <c r="N594" s="23">
        <f t="shared" si="63"/>
        <v>0.37217419524975515</v>
      </c>
      <c r="O594" s="6"/>
      <c r="P594" s="18">
        <f t="shared" si="64"/>
        <v>-4.3933843652577874E-2</v>
      </c>
    </row>
    <row r="595" spans="1:16" ht="15" customHeight="1" x14ac:dyDescent="0.3">
      <c r="A595" s="7" t="str">
        <f>Raw_Players!A557</f>
        <v>SAS</v>
      </c>
      <c r="B595" s="7" t="str">
        <f>Raw_Players!B557</f>
        <v>Dylan Harper</v>
      </c>
      <c r="C595" s="37">
        <f>Raw_Players!E557</f>
        <v>1.9384246096974611</v>
      </c>
      <c r="D595" s="31">
        <f>Raw_Players!F557</f>
        <v>1212.4221273574749</v>
      </c>
      <c r="E595" s="31">
        <f>Raw_Players!G557</f>
        <v>19.028012449821471</v>
      </c>
      <c r="F595" s="31">
        <f>Raw_Players!H557</f>
        <v>63.71774932115153</v>
      </c>
      <c r="G595" s="31" t="str">
        <f>IFERROR(IF(INDEX(Overrides!$B$8:$B$47,MATCH(B595,Overrides!$A$8:$A$47,0))="","",INDEX(Overrides!$B$8:$B$47,MATCH(B595,Overrides!$A$8:$A$47,0))),"")</f>
        <v/>
      </c>
      <c r="H595" s="31" t="str">
        <f>IFERROR(IF(INDEX(Overrides!$C$8:$C$47,MATCH(B595,Overrides!$A$8:$A$47,0))="","",INDEX(Overrides!$C$8:$C$47,MATCH(B595,Overrides!$A$8:$A$47,0))),"")</f>
        <v/>
      </c>
      <c r="I595" s="36">
        <f>IFERROR(IF(INDEX(Overrides!$D$8:$D$47,MATCH(B595,Overrides!$A$8:$A$47,0))="",0,INDEX(Overrides!$D$8:$D$47,MATCH(B595,Overrides!$A$8:$A$47,0))),0)</f>
        <v>0</v>
      </c>
      <c r="J595" s="38">
        <f t="shared" si="59"/>
        <v>1212.4221273574749</v>
      </c>
      <c r="K595" s="18">
        <f t="shared" si="60"/>
        <v>1.0000000000000002</v>
      </c>
      <c r="L595" s="38">
        <f t="shared" si="61"/>
        <v>1212.4221273574751</v>
      </c>
      <c r="M595" s="23">
        <f t="shared" si="62"/>
        <v>1.9384246096974611</v>
      </c>
      <c r="N595" s="23">
        <f t="shared" si="63"/>
        <v>0.30803407707252922</v>
      </c>
      <c r="O595" s="6"/>
      <c r="P595" s="18">
        <f t="shared" si="64"/>
        <v>0.59710083562283511</v>
      </c>
    </row>
    <row r="596" spans="1:16" ht="15" customHeight="1" x14ac:dyDescent="0.3">
      <c r="A596" s="7" t="str">
        <f>Raw_Players!A558</f>
        <v>SAS</v>
      </c>
      <c r="B596" s="7" t="str">
        <f>Raw_Players!B558</f>
        <v>Luke Kornet</v>
      </c>
      <c r="C596" s="37">
        <f>Raw_Players!E558</f>
        <v>1.545265517803277</v>
      </c>
      <c r="D596" s="31">
        <f>Raw_Players!F558</f>
        <v>1074.5197450558469</v>
      </c>
      <c r="E596" s="31">
        <f>Raw_Players!G558</f>
        <v>17.321387350023532</v>
      </c>
      <c r="F596" s="31">
        <f>Raw_Players!H558</f>
        <v>62.034277240176571</v>
      </c>
      <c r="G596" s="31" t="str">
        <f>IFERROR(IF(INDEX(Overrides!$B$8:$B$47,MATCH(B596,Overrides!$A$8:$A$47,0))="","",INDEX(Overrides!$B$8:$B$47,MATCH(B596,Overrides!$A$8:$A$47,0))),"")</f>
        <v/>
      </c>
      <c r="H596" s="31" t="str">
        <f>IFERROR(IF(INDEX(Overrides!$C$8:$C$47,MATCH(B596,Overrides!$A$8:$A$47,0))="","",INDEX(Overrides!$C$8:$C$47,MATCH(B596,Overrides!$A$8:$A$47,0))),"")</f>
        <v/>
      </c>
      <c r="I596" s="36">
        <f>IFERROR(IF(INDEX(Overrides!$D$8:$D$47,MATCH(B596,Overrides!$A$8:$A$47,0))="",0,INDEX(Overrides!$D$8:$D$47,MATCH(B596,Overrides!$A$8:$A$47,0))),0)</f>
        <v>0</v>
      </c>
      <c r="J596" s="38">
        <f t="shared" si="59"/>
        <v>1074.5197450558469</v>
      </c>
      <c r="K596" s="18">
        <f t="shared" si="60"/>
        <v>1.0000000000000002</v>
      </c>
      <c r="L596" s="38">
        <f t="shared" si="61"/>
        <v>1074.5197450558471</v>
      </c>
      <c r="M596" s="23">
        <f t="shared" si="62"/>
        <v>1.545265517803277</v>
      </c>
      <c r="N596" s="23">
        <f t="shared" si="63"/>
        <v>0.27299790270727825</v>
      </c>
      <c r="O596" s="6"/>
      <c r="P596" s="18">
        <f t="shared" si="64"/>
        <v>0.42185424548617095</v>
      </c>
    </row>
    <row r="597" spans="1:16" ht="15" customHeight="1" x14ac:dyDescent="0.3">
      <c r="A597" s="7" t="str">
        <f>Raw_Players!A559</f>
        <v>SAS</v>
      </c>
      <c r="B597" s="7" t="str">
        <f>Raw_Players!B559</f>
        <v>Carter Bryant</v>
      </c>
      <c r="C597" s="37">
        <f>Raw_Players!E559</f>
        <v>-1.53357045223083</v>
      </c>
      <c r="D597" s="31">
        <f>Raw_Players!F559</f>
        <v>687.36749548745991</v>
      </c>
      <c r="E597" s="31">
        <f>Raw_Players!G559</f>
        <v>10.67222642768642</v>
      </c>
      <c r="F597" s="31">
        <f>Raw_Players!H559</f>
        <v>64.407131927435231</v>
      </c>
      <c r="G597" s="31" t="str">
        <f>IFERROR(IF(INDEX(Overrides!$B$8:$B$47,MATCH(B597,Overrides!$A$8:$A$47,0))="","",INDEX(Overrides!$B$8:$B$47,MATCH(B597,Overrides!$A$8:$A$47,0))),"")</f>
        <v/>
      </c>
      <c r="H597" s="31" t="str">
        <f>IFERROR(IF(INDEX(Overrides!$C$8:$C$47,MATCH(B597,Overrides!$A$8:$A$47,0))="","",INDEX(Overrides!$C$8:$C$47,MATCH(B597,Overrides!$A$8:$A$47,0))),"")</f>
        <v/>
      </c>
      <c r="I597" s="36">
        <f>IFERROR(IF(INDEX(Overrides!$D$8:$D$47,MATCH(B597,Overrides!$A$8:$A$47,0))="",0,INDEX(Overrides!$D$8:$D$47,MATCH(B597,Overrides!$A$8:$A$47,0))),0)</f>
        <v>0</v>
      </c>
      <c r="J597" s="38">
        <f t="shared" si="59"/>
        <v>687.36749548745991</v>
      </c>
      <c r="K597" s="18">
        <f t="shared" si="60"/>
        <v>1.0000000000000002</v>
      </c>
      <c r="L597" s="38">
        <f t="shared" si="61"/>
        <v>687.36749548746002</v>
      </c>
      <c r="M597" s="23">
        <f t="shared" si="62"/>
        <v>-1.53357045223083</v>
      </c>
      <c r="N597" s="23">
        <f t="shared" si="63"/>
        <v>0.17463605068278965</v>
      </c>
      <c r="O597" s="6"/>
      <c r="P597" s="18">
        <f t="shared" si="64"/>
        <v>-0.26781668722141189</v>
      </c>
    </row>
    <row r="598" spans="1:16" ht="15" customHeight="1" x14ac:dyDescent="0.3">
      <c r="A598" s="7" t="str">
        <f>Raw_Players!A560</f>
        <v>SAS</v>
      </c>
      <c r="B598" s="7" t="str">
        <f>Raw_Players!B560</f>
        <v>Tarris Reed Jr.</v>
      </c>
      <c r="C598" s="37">
        <f>Raw_Players!E560</f>
        <v>-0.43234811292333708</v>
      </c>
      <c r="D598" s="31">
        <f>Raw_Players!F560</f>
        <v>645.72880354838969</v>
      </c>
      <c r="E598" s="31">
        <f>Raw_Players!G560</f>
        <v>15.418419838251269</v>
      </c>
      <c r="F598" s="31">
        <f>Raw_Players!H560</f>
        <v>41.880348980147318</v>
      </c>
      <c r="G598" s="31" t="str">
        <f>IFERROR(IF(INDEX(Overrides!$B$8:$B$47,MATCH(B598,Overrides!$A$8:$A$47,0))="","",INDEX(Overrides!$B$8:$B$47,MATCH(B598,Overrides!$A$8:$A$47,0))),"")</f>
        <v/>
      </c>
      <c r="H598" s="31" t="str">
        <f>IFERROR(IF(INDEX(Overrides!$C$8:$C$47,MATCH(B598,Overrides!$A$8:$A$47,0))="","",INDEX(Overrides!$C$8:$C$47,MATCH(B598,Overrides!$A$8:$A$47,0))),"")</f>
        <v/>
      </c>
      <c r="I598" s="36">
        <f>IFERROR(IF(INDEX(Overrides!$D$8:$D$47,MATCH(B598,Overrides!$A$8:$A$47,0))="",0,INDEX(Overrides!$D$8:$D$47,MATCH(B598,Overrides!$A$8:$A$47,0))),0)</f>
        <v>0</v>
      </c>
      <c r="J598" s="38">
        <f t="shared" si="59"/>
        <v>645.72880354838969</v>
      </c>
      <c r="K598" s="18">
        <f t="shared" si="60"/>
        <v>1.0000000000000002</v>
      </c>
      <c r="L598" s="38">
        <f t="shared" si="61"/>
        <v>645.72880354838981</v>
      </c>
      <c r="M598" s="23">
        <f t="shared" si="62"/>
        <v>-0.43234811292333708</v>
      </c>
      <c r="N598" s="23">
        <f t="shared" si="63"/>
        <v>0.16405711472266002</v>
      </c>
      <c r="O598" s="6"/>
      <c r="P598" s="18">
        <f t="shared" si="64"/>
        <v>-7.0929783961989484E-2</v>
      </c>
    </row>
    <row r="599" spans="1:16" ht="15" customHeight="1" x14ac:dyDescent="0.3">
      <c r="A599" s="7" t="str">
        <f>Raw_Players!A561</f>
        <v>SAS</v>
      </c>
      <c r="B599" s="7" t="str">
        <f>Raw_Players!B561</f>
        <v>Jayden Quaintance</v>
      </c>
      <c r="C599" s="37">
        <f>Raw_Players!E561</f>
        <v>-4.6857341153830303</v>
      </c>
      <c r="D599" s="31">
        <f>Raw_Players!F561</f>
        <v>568.85785287620445</v>
      </c>
      <c r="E599" s="31">
        <f>Raw_Players!G561</f>
        <v>16.535709100809871</v>
      </c>
      <c r="F599" s="31">
        <f>Raw_Players!H561</f>
        <v>34.401781587240393</v>
      </c>
      <c r="G599" s="31" t="str">
        <f>IFERROR(IF(INDEX(Overrides!$B$8:$B$47,MATCH(B599,Overrides!$A$8:$A$47,0))="","",INDEX(Overrides!$B$8:$B$47,MATCH(B599,Overrides!$A$8:$A$47,0))),"")</f>
        <v/>
      </c>
      <c r="H599" s="31" t="str">
        <f>IFERROR(IF(INDEX(Overrides!$C$8:$C$47,MATCH(B599,Overrides!$A$8:$A$47,0))="","",INDEX(Overrides!$C$8:$C$47,MATCH(B599,Overrides!$A$8:$A$47,0))),"")</f>
        <v/>
      </c>
      <c r="I599" s="36">
        <f>IFERROR(IF(INDEX(Overrides!$D$8:$D$47,MATCH(B599,Overrides!$A$8:$A$47,0))="",0,INDEX(Overrides!$D$8:$D$47,MATCH(B599,Overrides!$A$8:$A$47,0))),0)</f>
        <v>0</v>
      </c>
      <c r="J599" s="38">
        <f t="shared" si="59"/>
        <v>568.85785287620445</v>
      </c>
      <c r="K599" s="18">
        <f t="shared" si="60"/>
        <v>1.0000000000000002</v>
      </c>
      <c r="L599" s="38">
        <f t="shared" si="61"/>
        <v>568.85785287620456</v>
      </c>
      <c r="M599" s="23">
        <f t="shared" si="62"/>
        <v>-4.6857341153830303</v>
      </c>
      <c r="N599" s="23">
        <f t="shared" si="63"/>
        <v>0.14452689351529588</v>
      </c>
      <c r="O599" s="6"/>
      <c r="P599" s="18">
        <f t="shared" si="64"/>
        <v>-0.67721459553495233</v>
      </c>
    </row>
    <row r="600" spans="1:16" ht="15" customHeight="1" x14ac:dyDescent="0.3">
      <c r="A600" s="7" t="str">
        <f>Raw_Players!A562</f>
        <v>SAS</v>
      </c>
      <c r="B600" s="7" t="str">
        <f>Raw_Players!B562</f>
        <v>Ja'Kobi Gillespie</v>
      </c>
      <c r="C600" s="37">
        <f>Raw_Players!E562</f>
        <v>-2.6493490154265031</v>
      </c>
      <c r="D600" s="31">
        <f>Raw_Players!F562</f>
        <v>473.37468850273058</v>
      </c>
      <c r="E600" s="31">
        <f>Raw_Players!G562</f>
        <v>13.376137691800039</v>
      </c>
      <c r="F600" s="31">
        <f>Raw_Players!H562</f>
        <v>35.38948980713041</v>
      </c>
      <c r="G600" s="31" t="str">
        <f>IFERROR(IF(INDEX(Overrides!$B$8:$B$47,MATCH(B600,Overrides!$A$8:$A$47,0))="","",INDEX(Overrides!$B$8:$B$47,MATCH(B600,Overrides!$A$8:$A$47,0))),"")</f>
        <v/>
      </c>
      <c r="H600" s="31" t="str">
        <f>IFERROR(IF(INDEX(Overrides!$C$8:$C$47,MATCH(B600,Overrides!$A$8:$A$47,0))="","",INDEX(Overrides!$C$8:$C$47,MATCH(B600,Overrides!$A$8:$A$47,0))),"")</f>
        <v/>
      </c>
      <c r="I600" s="36">
        <f>IFERROR(IF(INDEX(Overrides!$D$8:$D$47,MATCH(B600,Overrides!$A$8:$A$47,0))="",0,INDEX(Overrides!$D$8:$D$47,MATCH(B600,Overrides!$A$8:$A$47,0))),0)</f>
        <v>0</v>
      </c>
      <c r="J600" s="38">
        <f t="shared" si="59"/>
        <v>473.37468850273058</v>
      </c>
      <c r="K600" s="18">
        <f t="shared" si="60"/>
        <v>1.0000000000000002</v>
      </c>
      <c r="L600" s="38">
        <f t="shared" si="61"/>
        <v>473.37468850273069</v>
      </c>
      <c r="M600" s="23">
        <f t="shared" si="62"/>
        <v>-2.6493490154265031</v>
      </c>
      <c r="N600" s="23">
        <f t="shared" si="63"/>
        <v>0.12026795947731979</v>
      </c>
      <c r="O600" s="6"/>
      <c r="P600" s="18">
        <f t="shared" si="64"/>
        <v>-0.31863180002859176</v>
      </c>
    </row>
    <row r="601" spans="1:16" ht="15" customHeight="1" x14ac:dyDescent="0.3">
      <c r="A601" s="7" t="str">
        <f>Raw_Players!A563</f>
        <v>SAS</v>
      </c>
      <c r="B601" s="7" t="str">
        <f>Raw_Players!B563</f>
        <v>Maliq Brown</v>
      </c>
      <c r="C601" s="37">
        <f>Raw_Players!E563</f>
        <v>-0.42320297840841592</v>
      </c>
      <c r="D601" s="31">
        <f>Raw_Players!F563</f>
        <v>458.06644898584528</v>
      </c>
      <c r="E601" s="31">
        <f>Raw_Players!G563</f>
        <v>13.17803024729567</v>
      </c>
      <c r="F601" s="31">
        <f>Raw_Players!H563</f>
        <v>34.759857155423312</v>
      </c>
      <c r="G601" s="31" t="str">
        <f>IFERROR(IF(INDEX(Overrides!$B$8:$B$47,MATCH(B601,Overrides!$A$8:$A$47,0))="","",INDEX(Overrides!$B$8:$B$47,MATCH(B601,Overrides!$A$8:$A$47,0))),"")</f>
        <v/>
      </c>
      <c r="H601" s="31" t="str">
        <f>IFERROR(IF(INDEX(Overrides!$C$8:$C$47,MATCH(B601,Overrides!$A$8:$A$47,0))="","",INDEX(Overrides!$C$8:$C$47,MATCH(B601,Overrides!$A$8:$A$47,0))),"")</f>
        <v/>
      </c>
      <c r="I601" s="36">
        <f>IFERROR(IF(INDEX(Overrides!$D$8:$D$47,MATCH(B601,Overrides!$A$8:$A$47,0))="",0,INDEX(Overrides!$D$8:$D$47,MATCH(B601,Overrides!$A$8:$A$47,0))),0)</f>
        <v>0</v>
      </c>
      <c r="J601" s="38">
        <f t="shared" si="59"/>
        <v>458.06644898584528</v>
      </c>
      <c r="K601" s="18">
        <f t="shared" si="60"/>
        <v>1.0000000000000002</v>
      </c>
      <c r="L601" s="38">
        <f t="shared" si="61"/>
        <v>458.0664489858454</v>
      </c>
      <c r="M601" s="23">
        <f t="shared" si="62"/>
        <v>-0.42320297840841592</v>
      </c>
      <c r="N601" s="23">
        <f t="shared" si="63"/>
        <v>0.11637867098217616</v>
      </c>
      <c r="O601" s="6"/>
      <c r="P601" s="18">
        <f t="shared" si="64"/>
        <v>-4.9251800182870037E-2</v>
      </c>
    </row>
    <row r="602" spans="1:16" ht="15" customHeight="1" x14ac:dyDescent="0.3">
      <c r="A602" s="7" t="str">
        <f>Raw_Players!A564</f>
        <v>SAS</v>
      </c>
      <c r="B602" s="7" t="str">
        <f>Raw_Players!B564</f>
        <v>Jordan McLaughlin</v>
      </c>
      <c r="C602" s="37">
        <f>Raw_Players!E564</f>
        <v>-1.017441564722144</v>
      </c>
      <c r="D602" s="31">
        <f>Raw_Players!F564</f>
        <v>395.90994742334919</v>
      </c>
      <c r="E602" s="31">
        <f>Raw_Players!G564</f>
        <v>7.3516584196555188</v>
      </c>
      <c r="F602" s="31">
        <f>Raw_Players!H564</f>
        <v>53.853147796534948</v>
      </c>
      <c r="G602" s="31" t="str">
        <f>IFERROR(IF(INDEX(Overrides!$B$8:$B$47,MATCH(B602,Overrides!$A$8:$A$47,0))="","",INDEX(Overrides!$B$8:$B$47,MATCH(B602,Overrides!$A$8:$A$47,0))),"")</f>
        <v/>
      </c>
      <c r="H602" s="31" t="str">
        <f>IFERROR(IF(INDEX(Overrides!$C$8:$C$47,MATCH(B602,Overrides!$A$8:$A$47,0))="","",INDEX(Overrides!$C$8:$C$47,MATCH(B602,Overrides!$A$8:$A$47,0))),"")</f>
        <v/>
      </c>
      <c r="I602" s="36">
        <f>IFERROR(IF(INDEX(Overrides!$D$8:$D$47,MATCH(B602,Overrides!$A$8:$A$47,0))="",0,INDEX(Overrides!$D$8:$D$47,MATCH(B602,Overrides!$A$8:$A$47,0))),0)</f>
        <v>0</v>
      </c>
      <c r="J602" s="38">
        <f t="shared" si="59"/>
        <v>395.90994742334919</v>
      </c>
      <c r="K602" s="18">
        <f t="shared" si="60"/>
        <v>1.0000000000000002</v>
      </c>
      <c r="L602" s="38">
        <f t="shared" si="61"/>
        <v>395.90994742334931</v>
      </c>
      <c r="M602" s="23">
        <f t="shared" si="62"/>
        <v>-1.017441564722144</v>
      </c>
      <c r="N602" s="23">
        <f t="shared" si="63"/>
        <v>0.10058687688601355</v>
      </c>
      <c r="O602" s="6"/>
      <c r="P602" s="18">
        <f t="shared" si="64"/>
        <v>-0.10234126940941927</v>
      </c>
    </row>
    <row r="603" spans="1:16" ht="15" customHeight="1" x14ac:dyDescent="0.3">
      <c r="A603" s="7" t="str">
        <f>Raw_Players!A565</f>
        <v>SAS</v>
      </c>
      <c r="B603" s="7" t="str">
        <f>Raw_Players!B565</f>
        <v>David Jones Garcia</v>
      </c>
      <c r="C603" s="37">
        <f>Raw_Players!E565</f>
        <v>-0.42614586189572362</v>
      </c>
      <c r="D603" s="31">
        <f>Raw_Players!F565</f>
        <v>382.89650540418819</v>
      </c>
      <c r="E603" s="31">
        <f>Raw_Players!G565</f>
        <v>8.7720535397601314</v>
      </c>
      <c r="F603" s="31">
        <f>Raw_Players!H565</f>
        <v>43.649586002715893</v>
      </c>
      <c r="G603" s="31" t="str">
        <f>IFERROR(IF(INDEX(Overrides!$B$8:$B$47,MATCH(B603,Overrides!$A$8:$A$47,0))="","",INDEX(Overrides!$B$8:$B$47,MATCH(B603,Overrides!$A$8:$A$47,0))),"")</f>
        <v/>
      </c>
      <c r="H603" s="31" t="str">
        <f>IFERROR(IF(INDEX(Overrides!$C$8:$C$47,MATCH(B603,Overrides!$A$8:$A$47,0))="","",INDEX(Overrides!$C$8:$C$47,MATCH(B603,Overrides!$A$8:$A$47,0))),"")</f>
        <v/>
      </c>
      <c r="I603" s="36">
        <f>IFERROR(IF(INDEX(Overrides!$D$8:$D$47,MATCH(B603,Overrides!$A$8:$A$47,0))="",0,INDEX(Overrides!$D$8:$D$47,MATCH(B603,Overrides!$A$8:$A$47,0))),0)</f>
        <v>0</v>
      </c>
      <c r="J603" s="38">
        <f t="shared" si="59"/>
        <v>382.89650540418819</v>
      </c>
      <c r="K603" s="18">
        <f t="shared" si="60"/>
        <v>1.0000000000000002</v>
      </c>
      <c r="L603" s="38">
        <f t="shared" si="61"/>
        <v>382.89650540418825</v>
      </c>
      <c r="M603" s="23">
        <f t="shared" si="62"/>
        <v>-0.42614586189572362</v>
      </c>
      <c r="N603" s="23">
        <f t="shared" si="63"/>
        <v>9.7280616210413687E-2</v>
      </c>
      <c r="O603" s="6"/>
      <c r="P603" s="18">
        <f t="shared" si="64"/>
        <v>-4.1455732040733842E-2</v>
      </c>
    </row>
    <row r="604" spans="1:16" ht="15" customHeight="1" x14ac:dyDescent="0.3">
      <c r="A604" s="7" t="str">
        <f>Raw_Players!A566</f>
        <v>SAS</v>
      </c>
      <c r="B604" s="7" t="str">
        <f>Raw_Players!B566</f>
        <v>RJ Davis</v>
      </c>
      <c r="C604" s="37">
        <f>Raw_Players!E566</f>
        <v>-3.1867960702466678</v>
      </c>
      <c r="D604" s="31">
        <f>Raw_Players!F566</f>
        <v>357.59239821805392</v>
      </c>
      <c r="E604" s="31">
        <f>Raw_Players!G566</f>
        <v>11.786831703347559</v>
      </c>
      <c r="F604" s="31">
        <f>Raw_Players!H566</f>
        <v>30.338296772023529</v>
      </c>
      <c r="G604" s="31" t="str">
        <f>IFERROR(IF(INDEX(Overrides!$B$8:$B$47,MATCH(B604,Overrides!$A$8:$A$47,0))="","",INDEX(Overrides!$B$8:$B$47,MATCH(B604,Overrides!$A$8:$A$47,0))),"")</f>
        <v/>
      </c>
      <c r="H604" s="31" t="str">
        <f>IFERROR(IF(INDEX(Overrides!$C$8:$C$47,MATCH(B604,Overrides!$A$8:$A$47,0))="","",INDEX(Overrides!$C$8:$C$47,MATCH(B604,Overrides!$A$8:$A$47,0))),"")</f>
        <v/>
      </c>
      <c r="I604" s="36">
        <f>IFERROR(IF(INDEX(Overrides!$D$8:$D$47,MATCH(B604,Overrides!$A$8:$A$47,0))="",0,INDEX(Overrides!$D$8:$D$47,MATCH(B604,Overrides!$A$8:$A$47,0))),0)</f>
        <v>0</v>
      </c>
      <c r="J604" s="38">
        <f t="shared" si="59"/>
        <v>357.59239821805392</v>
      </c>
      <c r="K604" s="18">
        <f t="shared" si="60"/>
        <v>1.0000000000000002</v>
      </c>
      <c r="L604" s="38">
        <f t="shared" si="61"/>
        <v>357.59239821805397</v>
      </c>
      <c r="M604" s="23">
        <f t="shared" si="62"/>
        <v>-3.1867960702466678</v>
      </c>
      <c r="N604" s="23">
        <f t="shared" si="63"/>
        <v>9.0851727189546233E-2</v>
      </c>
      <c r="O604" s="6"/>
      <c r="P604" s="18">
        <f t="shared" si="64"/>
        <v>-0.28952592718276826</v>
      </c>
    </row>
    <row r="605" spans="1:16" ht="15" customHeight="1" x14ac:dyDescent="0.3">
      <c r="A605" s="7" t="str">
        <f>Raw_Players!A567</f>
        <v>SAS</v>
      </c>
      <c r="B605" s="7" t="str">
        <f>Raw_Players!B567</f>
        <v>Jon Elmore</v>
      </c>
      <c r="C605" s="37">
        <f>Raw_Players!E567</f>
        <v>-3.1867960702466678</v>
      </c>
      <c r="D605" s="31">
        <f>Raw_Players!F567</f>
        <v>357.59239821805392</v>
      </c>
      <c r="E605" s="31">
        <f>Raw_Players!G567</f>
        <v>11.786831703347559</v>
      </c>
      <c r="F605" s="31">
        <f>Raw_Players!H567</f>
        <v>30.338296772023529</v>
      </c>
      <c r="G605" s="31" t="str">
        <f>IFERROR(IF(INDEX(Overrides!$B$8:$B$47,MATCH(B605,Overrides!$A$8:$A$47,0))="","",INDEX(Overrides!$B$8:$B$47,MATCH(B605,Overrides!$A$8:$A$47,0))),"")</f>
        <v/>
      </c>
      <c r="H605" s="31" t="str">
        <f>IFERROR(IF(INDEX(Overrides!$C$8:$C$47,MATCH(B605,Overrides!$A$8:$A$47,0))="","",INDEX(Overrides!$C$8:$C$47,MATCH(B605,Overrides!$A$8:$A$47,0))),"")</f>
        <v/>
      </c>
      <c r="I605" s="36">
        <f>IFERROR(IF(INDEX(Overrides!$D$8:$D$47,MATCH(B605,Overrides!$A$8:$A$47,0))="",0,INDEX(Overrides!$D$8:$D$47,MATCH(B605,Overrides!$A$8:$A$47,0))),0)</f>
        <v>0</v>
      </c>
      <c r="J605" s="38">
        <f t="shared" si="59"/>
        <v>357.59239821805392</v>
      </c>
      <c r="K605" s="18">
        <f t="shared" si="60"/>
        <v>1.0000000000000002</v>
      </c>
      <c r="L605" s="38">
        <f t="shared" si="61"/>
        <v>357.59239821805397</v>
      </c>
      <c r="M605" s="23">
        <f t="shared" si="62"/>
        <v>-3.1867960702466678</v>
      </c>
      <c r="N605" s="23">
        <f t="shared" si="63"/>
        <v>9.0851727189546233E-2</v>
      </c>
      <c r="O605" s="6"/>
      <c r="P605" s="18">
        <f t="shared" si="64"/>
        <v>-0.28952592718276826</v>
      </c>
    </row>
    <row r="606" spans="1:16" ht="15" customHeight="1" x14ac:dyDescent="0.3">
      <c r="A606" s="7" t="str">
        <f>Raw_Players!A568</f>
        <v>SAS</v>
      </c>
      <c r="B606" s="7" t="str">
        <f>Raw_Players!B568</f>
        <v>Terry Taylor</v>
      </c>
      <c r="C606" s="37">
        <f>Raw_Players!E568</f>
        <v>-1.8730811913781771</v>
      </c>
      <c r="D606" s="31">
        <f>Raw_Players!F568</f>
        <v>208.97008549780401</v>
      </c>
      <c r="E606" s="31">
        <f>Raw_Players!G568</f>
        <v>6.8879966158978911</v>
      </c>
      <c r="F606" s="31">
        <f>Raw_Players!H568</f>
        <v>30.338296772023529</v>
      </c>
      <c r="G606" s="31" t="str">
        <f>IFERROR(IF(INDEX(Overrides!$B$8:$B$47,MATCH(B606,Overrides!$A$8:$A$47,0))="","",INDEX(Overrides!$B$8:$B$47,MATCH(B606,Overrides!$A$8:$A$47,0))),"")</f>
        <v/>
      </c>
      <c r="H606" s="31" t="str">
        <f>IFERROR(IF(INDEX(Overrides!$C$8:$C$47,MATCH(B606,Overrides!$A$8:$A$47,0))="","",INDEX(Overrides!$C$8:$C$47,MATCH(B606,Overrides!$A$8:$A$47,0))),"")</f>
        <v/>
      </c>
      <c r="I606" s="36">
        <f>IFERROR(IF(INDEX(Overrides!$D$8:$D$47,MATCH(B606,Overrides!$A$8:$A$47,0))="",0,INDEX(Overrides!$D$8:$D$47,MATCH(B606,Overrides!$A$8:$A$47,0))),0)</f>
        <v>0</v>
      </c>
      <c r="J606" s="38">
        <f t="shared" si="59"/>
        <v>208.97008549780401</v>
      </c>
      <c r="K606" s="18">
        <f t="shared" si="60"/>
        <v>1.0000000000000002</v>
      </c>
      <c r="L606" s="38">
        <f t="shared" si="61"/>
        <v>208.97008549780406</v>
      </c>
      <c r="M606" s="23">
        <f t="shared" si="62"/>
        <v>-1.8730811913781771</v>
      </c>
      <c r="N606" s="23">
        <f t="shared" si="63"/>
        <v>5.3091993266718512E-2</v>
      </c>
      <c r="O606" s="6"/>
      <c r="P606" s="18">
        <f t="shared" si="64"/>
        <v>-9.9445614000667273E-2</v>
      </c>
    </row>
    <row r="607" spans="1:16" ht="15" customHeight="1" x14ac:dyDescent="0.3">
      <c r="A607" s="7" t="str">
        <f>Raw_Players!A569</f>
        <v>TOR</v>
      </c>
      <c r="B607" s="7" t="str">
        <f>Raw_Players!B569</f>
        <v>Scottie Barnes</v>
      </c>
      <c r="C607" s="37">
        <f>Raw_Players!E569</f>
        <v>3.5328059823771061</v>
      </c>
      <c r="D607" s="31">
        <f>Raw_Players!F569</f>
        <v>2063.863369117611</v>
      </c>
      <c r="E607" s="31">
        <f>Raw_Players!G569</f>
        <v>31.312974027363879</v>
      </c>
      <c r="F607" s="31">
        <f>Raw_Players!H569</f>
        <v>65.910806406125303</v>
      </c>
      <c r="G607" s="31" t="str">
        <f>IFERROR(IF(INDEX(Overrides!$B$8:$B$47,MATCH(B607,Overrides!$A$8:$A$47,0))="","",INDEX(Overrides!$B$8:$B$47,MATCH(B607,Overrides!$A$8:$A$47,0))),"")</f>
        <v/>
      </c>
      <c r="H607" s="31" t="str">
        <f>IFERROR(IF(INDEX(Overrides!$C$8:$C$47,MATCH(B607,Overrides!$A$8:$A$47,0))="","",INDEX(Overrides!$C$8:$C$47,MATCH(B607,Overrides!$A$8:$A$47,0))),"")</f>
        <v/>
      </c>
      <c r="I607" s="36">
        <f>IFERROR(IF(INDEX(Overrides!$D$8:$D$47,MATCH(B607,Overrides!$A$8:$A$47,0))="",0,INDEX(Overrides!$D$8:$D$47,MATCH(B607,Overrides!$A$8:$A$47,0))),0)</f>
        <v>0</v>
      </c>
      <c r="J607" s="38">
        <f t="shared" si="59"/>
        <v>2063.863369117611</v>
      </c>
      <c r="K607" s="18">
        <f t="shared" si="60"/>
        <v>0.99999999999999967</v>
      </c>
      <c r="L607" s="38">
        <f t="shared" si="61"/>
        <v>2063.8633691176101</v>
      </c>
      <c r="M607" s="23">
        <f t="shared" si="62"/>
        <v>3.5328059823771061</v>
      </c>
      <c r="N607" s="23">
        <f t="shared" si="63"/>
        <v>0.52435553077175057</v>
      </c>
      <c r="O607" s="6"/>
      <c r="P607" s="18">
        <f t="shared" si="64"/>
        <v>1.8524463560029631</v>
      </c>
    </row>
    <row r="608" spans="1:16" ht="15" customHeight="1" x14ac:dyDescent="0.3">
      <c r="A608" s="7" t="str">
        <f>Raw_Players!A570</f>
        <v>TOR</v>
      </c>
      <c r="B608" s="7" t="str">
        <f>Raw_Players!B570</f>
        <v>RJ Barrett</v>
      </c>
      <c r="C608" s="37">
        <f>Raw_Players!E570</f>
        <v>0.8897620031619855</v>
      </c>
      <c r="D608" s="31">
        <f>Raw_Players!F570</f>
        <v>1715.140619812573</v>
      </c>
      <c r="E608" s="31">
        <f>Raw_Players!G570</f>
        <v>28.917303189059581</v>
      </c>
      <c r="F608" s="31">
        <f>Raw_Players!H570</f>
        <v>59.311914689937979</v>
      </c>
      <c r="G608" s="31" t="str">
        <f>IFERROR(IF(INDEX(Overrides!$B$8:$B$47,MATCH(B608,Overrides!$A$8:$A$47,0))="","",INDEX(Overrides!$B$8:$B$47,MATCH(B608,Overrides!$A$8:$A$47,0))),"")</f>
        <v/>
      </c>
      <c r="H608" s="31" t="str">
        <f>IFERROR(IF(INDEX(Overrides!$C$8:$C$47,MATCH(B608,Overrides!$A$8:$A$47,0))="","",INDEX(Overrides!$C$8:$C$47,MATCH(B608,Overrides!$A$8:$A$47,0))),"")</f>
        <v/>
      </c>
      <c r="I608" s="36">
        <f>IFERROR(IF(INDEX(Overrides!$D$8:$D$47,MATCH(B608,Overrides!$A$8:$A$47,0))="",0,INDEX(Overrides!$D$8:$D$47,MATCH(B608,Overrides!$A$8:$A$47,0))),0)</f>
        <v>0</v>
      </c>
      <c r="J608" s="38">
        <f t="shared" si="59"/>
        <v>1715.140619812573</v>
      </c>
      <c r="K608" s="18">
        <f t="shared" si="60"/>
        <v>0.99999999999999967</v>
      </c>
      <c r="L608" s="38">
        <f t="shared" si="61"/>
        <v>1715.1406198125724</v>
      </c>
      <c r="M608" s="23">
        <f t="shared" si="62"/>
        <v>0.8897620031619855</v>
      </c>
      <c r="N608" s="23">
        <f t="shared" si="63"/>
        <v>0.43575727129384462</v>
      </c>
      <c r="O608" s="6"/>
      <c r="P608" s="18">
        <f t="shared" si="64"/>
        <v>0.38772026259881193</v>
      </c>
    </row>
    <row r="609" spans="1:16" ht="15" customHeight="1" x14ac:dyDescent="0.3">
      <c r="A609" s="7" t="str">
        <f>Raw_Players!A571</f>
        <v>TOR</v>
      </c>
      <c r="B609" s="7" t="str">
        <f>Raw_Players!B571</f>
        <v>Immanuel Quickley</v>
      </c>
      <c r="C609" s="37">
        <f>Raw_Players!E571</f>
        <v>1.742215345776303</v>
      </c>
      <c r="D609" s="31">
        <f>Raw_Players!F571</f>
        <v>1705.7835463045089</v>
      </c>
      <c r="E609" s="31">
        <f>Raw_Players!G571</f>
        <v>28.410254187418492</v>
      </c>
      <c r="F609" s="31">
        <f>Raw_Players!H571</f>
        <v>60.041122302239629</v>
      </c>
      <c r="G609" s="31" t="str">
        <f>IFERROR(IF(INDEX(Overrides!$B$8:$B$47,MATCH(B609,Overrides!$A$8:$A$47,0))="","",INDEX(Overrides!$B$8:$B$47,MATCH(B609,Overrides!$A$8:$A$47,0))),"")</f>
        <v/>
      </c>
      <c r="H609" s="31" t="str">
        <f>IFERROR(IF(INDEX(Overrides!$C$8:$C$47,MATCH(B609,Overrides!$A$8:$A$47,0))="","",INDEX(Overrides!$C$8:$C$47,MATCH(B609,Overrides!$A$8:$A$47,0))),"")</f>
        <v/>
      </c>
      <c r="I609" s="36">
        <f>IFERROR(IF(INDEX(Overrides!$D$8:$D$47,MATCH(B609,Overrides!$A$8:$A$47,0))="",0,INDEX(Overrides!$D$8:$D$47,MATCH(B609,Overrides!$A$8:$A$47,0))),0)</f>
        <v>0</v>
      </c>
      <c r="J609" s="38">
        <f t="shared" si="59"/>
        <v>1705.7835463045089</v>
      </c>
      <c r="K609" s="18">
        <f t="shared" si="60"/>
        <v>0.99999999999999967</v>
      </c>
      <c r="L609" s="38">
        <f t="shared" si="61"/>
        <v>1705.7835463045085</v>
      </c>
      <c r="M609" s="23">
        <f t="shared" si="62"/>
        <v>1.742215345776303</v>
      </c>
      <c r="N609" s="23">
        <f t="shared" si="63"/>
        <v>0.4333799660326495</v>
      </c>
      <c r="O609" s="6"/>
      <c r="P609" s="18">
        <f t="shared" si="64"/>
        <v>0.75504122737409485</v>
      </c>
    </row>
    <row r="610" spans="1:16" ht="15" customHeight="1" x14ac:dyDescent="0.3">
      <c r="A610" s="7" t="str">
        <f>Raw_Players!A572</f>
        <v>TOR</v>
      </c>
      <c r="B610" s="7" t="str">
        <f>Raw_Players!B572</f>
        <v>Kawhi Leonard</v>
      </c>
      <c r="C610" s="37">
        <f>Raw_Players!E572</f>
        <v>6.0992350989418203</v>
      </c>
      <c r="D610" s="31">
        <f>Raw_Players!F572</f>
        <v>1687.8532566875081</v>
      </c>
      <c r="E610" s="31">
        <f>Raw_Players!G572</f>
        <v>30.129304639703559</v>
      </c>
      <c r="F610" s="31">
        <f>Raw_Players!H572</f>
        <v>56.020318984172718</v>
      </c>
      <c r="G610" s="31" t="str">
        <f>IFERROR(IF(INDEX(Overrides!$B$8:$B$47,MATCH(B610,Overrides!$A$8:$A$47,0))="","",INDEX(Overrides!$B$8:$B$47,MATCH(B610,Overrides!$A$8:$A$47,0))),"")</f>
        <v/>
      </c>
      <c r="H610" s="31" t="str">
        <f>IFERROR(IF(INDEX(Overrides!$C$8:$C$47,MATCH(B610,Overrides!$A$8:$A$47,0))="","",INDEX(Overrides!$C$8:$C$47,MATCH(B610,Overrides!$A$8:$A$47,0))),"")</f>
        <v/>
      </c>
      <c r="I610" s="36">
        <f>IFERROR(IF(INDEX(Overrides!$D$8:$D$47,MATCH(B610,Overrides!$A$8:$A$47,0))="",0,INDEX(Overrides!$D$8:$D$47,MATCH(B610,Overrides!$A$8:$A$47,0))),0)</f>
        <v>0</v>
      </c>
      <c r="J610" s="38">
        <f t="shared" si="59"/>
        <v>1687.8532566875081</v>
      </c>
      <c r="K610" s="18">
        <f t="shared" si="60"/>
        <v>0.99999999999999967</v>
      </c>
      <c r="L610" s="38">
        <f t="shared" si="61"/>
        <v>1687.8532566875076</v>
      </c>
      <c r="M610" s="23">
        <f t="shared" si="62"/>
        <v>6.0992350989418203</v>
      </c>
      <c r="N610" s="23">
        <f t="shared" si="63"/>
        <v>0.42882450627223262</v>
      </c>
      <c r="O610" s="6"/>
      <c r="P610" s="18">
        <f t="shared" si="64"/>
        <v>2.6155014799419978</v>
      </c>
    </row>
    <row r="611" spans="1:16" ht="15" customHeight="1" x14ac:dyDescent="0.3">
      <c r="A611" s="7" t="str">
        <f>Raw_Players!A573</f>
        <v>TOR</v>
      </c>
      <c r="B611" s="7" t="str">
        <f>Raw_Players!B573</f>
        <v>Jakob Poeltl</v>
      </c>
      <c r="C611" s="37">
        <f>Raw_Players!E573</f>
        <v>1.698117796611893</v>
      </c>
      <c r="D611" s="31">
        <f>Raw_Players!F573</f>
        <v>1370.4280682727319</v>
      </c>
      <c r="E611" s="31">
        <f>Raw_Players!G573</f>
        <v>24.911894357133139</v>
      </c>
      <c r="F611" s="31">
        <f>Raw_Players!H573</f>
        <v>55.010993890166787</v>
      </c>
      <c r="G611" s="31" t="str">
        <f>IFERROR(IF(INDEX(Overrides!$B$8:$B$47,MATCH(B611,Overrides!$A$8:$A$47,0))="","",INDEX(Overrides!$B$8:$B$47,MATCH(B611,Overrides!$A$8:$A$47,0))),"")</f>
        <v/>
      </c>
      <c r="H611" s="31" t="str">
        <f>IFERROR(IF(INDEX(Overrides!$C$8:$C$47,MATCH(B611,Overrides!$A$8:$A$47,0))="","",INDEX(Overrides!$C$8:$C$47,MATCH(B611,Overrides!$A$8:$A$47,0))),"")</f>
        <v/>
      </c>
      <c r="I611" s="36">
        <f>IFERROR(IF(INDEX(Overrides!$D$8:$D$47,MATCH(B611,Overrides!$A$8:$A$47,0))="",0,INDEX(Overrides!$D$8:$D$47,MATCH(B611,Overrides!$A$8:$A$47,0))),0)</f>
        <v>0</v>
      </c>
      <c r="J611" s="38">
        <f t="shared" si="59"/>
        <v>1370.4280682727319</v>
      </c>
      <c r="K611" s="18">
        <f t="shared" si="60"/>
        <v>0.99999999999999967</v>
      </c>
      <c r="L611" s="38">
        <f t="shared" si="61"/>
        <v>1370.4280682727315</v>
      </c>
      <c r="M611" s="23">
        <f t="shared" si="62"/>
        <v>1.698117796611893</v>
      </c>
      <c r="N611" s="23">
        <f t="shared" si="63"/>
        <v>0.34817786287416957</v>
      </c>
      <c r="O611" s="6"/>
      <c r="P611" s="18">
        <f t="shared" si="64"/>
        <v>0.59124702533292262</v>
      </c>
    </row>
    <row r="612" spans="1:16" ht="15" customHeight="1" x14ac:dyDescent="0.3">
      <c r="A612" s="7" t="str">
        <f>Raw_Players!A574</f>
        <v>TOR</v>
      </c>
      <c r="B612" s="7" t="str">
        <f>Raw_Players!B574</f>
        <v>Jamal Shead</v>
      </c>
      <c r="C612" s="37">
        <f>Raw_Players!E574</f>
        <v>-0.74739672013411318</v>
      </c>
      <c r="D612" s="31">
        <f>Raw_Players!F574</f>
        <v>1362.65584755137</v>
      </c>
      <c r="E612" s="31">
        <f>Raw_Players!G574</f>
        <v>20.196643170965022</v>
      </c>
      <c r="F612" s="31">
        <f>Raw_Players!H574</f>
        <v>67.469422320157804</v>
      </c>
      <c r="G612" s="31" t="str">
        <f>IFERROR(IF(INDEX(Overrides!$B$8:$B$47,MATCH(B612,Overrides!$A$8:$A$47,0))="","",INDEX(Overrides!$B$8:$B$47,MATCH(B612,Overrides!$A$8:$A$47,0))),"")</f>
        <v/>
      </c>
      <c r="H612" s="31" t="str">
        <f>IFERROR(IF(INDEX(Overrides!$C$8:$C$47,MATCH(B612,Overrides!$A$8:$A$47,0))="","",INDEX(Overrides!$C$8:$C$47,MATCH(B612,Overrides!$A$8:$A$47,0))),"")</f>
        <v/>
      </c>
      <c r="I612" s="36">
        <f>IFERROR(IF(INDEX(Overrides!$D$8:$D$47,MATCH(B612,Overrides!$A$8:$A$47,0))="",0,INDEX(Overrides!$D$8:$D$47,MATCH(B612,Overrides!$A$8:$A$47,0))),0)</f>
        <v>0</v>
      </c>
      <c r="J612" s="38">
        <f t="shared" si="59"/>
        <v>1362.65584755137</v>
      </c>
      <c r="K612" s="18">
        <f t="shared" si="60"/>
        <v>0.99999999999999967</v>
      </c>
      <c r="L612" s="38">
        <f t="shared" si="61"/>
        <v>1362.6558475513696</v>
      </c>
      <c r="M612" s="23">
        <f t="shared" si="62"/>
        <v>-0.74739672013411318</v>
      </c>
      <c r="N612" s="23">
        <f t="shared" si="63"/>
        <v>0.34620321330065285</v>
      </c>
      <c r="O612" s="6"/>
      <c r="P612" s="18">
        <f t="shared" si="64"/>
        <v>-0.25875114612079875</v>
      </c>
    </row>
    <row r="613" spans="1:16" ht="15" customHeight="1" x14ac:dyDescent="0.3">
      <c r="A613" s="7" t="str">
        <f>Raw_Players!A575</f>
        <v>TOR</v>
      </c>
      <c r="B613" s="7" t="str">
        <f>Raw_Players!B575</f>
        <v>Ja'Kobe Walter</v>
      </c>
      <c r="C613" s="37">
        <f>Raw_Players!E575</f>
        <v>-4.38864922254322E-2</v>
      </c>
      <c r="D613" s="31">
        <f>Raw_Players!F575</f>
        <v>1214.0559787911959</v>
      </c>
      <c r="E613" s="31">
        <f>Raw_Players!G575</f>
        <v>19.292076333874629</v>
      </c>
      <c r="F613" s="31">
        <f>Raw_Players!H575</f>
        <v>62.930291057342323</v>
      </c>
      <c r="G613" s="31" t="str">
        <f>IFERROR(IF(INDEX(Overrides!$B$8:$B$47,MATCH(B613,Overrides!$A$8:$A$47,0))="","",INDEX(Overrides!$B$8:$B$47,MATCH(B613,Overrides!$A$8:$A$47,0))),"")</f>
        <v/>
      </c>
      <c r="H613" s="31" t="str">
        <f>IFERROR(IF(INDEX(Overrides!$C$8:$C$47,MATCH(B613,Overrides!$A$8:$A$47,0))="","",INDEX(Overrides!$C$8:$C$47,MATCH(B613,Overrides!$A$8:$A$47,0))),"")</f>
        <v/>
      </c>
      <c r="I613" s="36">
        <f>IFERROR(IF(INDEX(Overrides!$D$8:$D$47,MATCH(B613,Overrides!$A$8:$A$47,0))="",0,INDEX(Overrides!$D$8:$D$47,MATCH(B613,Overrides!$A$8:$A$47,0))),0)</f>
        <v>0</v>
      </c>
      <c r="J613" s="38">
        <f t="shared" si="59"/>
        <v>1214.0559787911959</v>
      </c>
      <c r="K613" s="18">
        <f t="shared" si="60"/>
        <v>0.99999999999999967</v>
      </c>
      <c r="L613" s="38">
        <f t="shared" si="61"/>
        <v>1214.0559787911955</v>
      </c>
      <c r="M613" s="23">
        <f t="shared" si="62"/>
        <v>-4.38864922254322E-2</v>
      </c>
      <c r="N613" s="23">
        <f t="shared" si="63"/>
        <v>0.30844918160345414</v>
      </c>
      <c r="O613" s="6"/>
      <c r="P613" s="18">
        <f t="shared" si="64"/>
        <v>-1.3536752610380915E-2</v>
      </c>
    </row>
    <row r="614" spans="1:16" ht="15" customHeight="1" x14ac:dyDescent="0.3">
      <c r="A614" s="7" t="str">
        <f>Raw_Players!A576</f>
        <v>TOR</v>
      </c>
      <c r="B614" s="7" t="str">
        <f>Raw_Players!B576</f>
        <v>Collin Murray-Boyles</v>
      </c>
      <c r="C614" s="37">
        <f>Raw_Players!E576</f>
        <v>1.180002537358938</v>
      </c>
      <c r="D614" s="31">
        <f>Raw_Players!F576</f>
        <v>1153.089533442869</v>
      </c>
      <c r="E614" s="31">
        <f>Raw_Players!G576</f>
        <v>19.339149016829111</v>
      </c>
      <c r="F614" s="31">
        <f>Raw_Players!H576</f>
        <v>59.62462631832657</v>
      </c>
      <c r="G614" s="31" t="str">
        <f>IFERROR(IF(INDEX(Overrides!$B$8:$B$47,MATCH(B614,Overrides!$A$8:$A$47,0))="","",INDEX(Overrides!$B$8:$B$47,MATCH(B614,Overrides!$A$8:$A$47,0))),"")</f>
        <v/>
      </c>
      <c r="H614" s="31" t="str">
        <f>IFERROR(IF(INDEX(Overrides!$C$8:$C$47,MATCH(B614,Overrides!$A$8:$A$47,0))="","",INDEX(Overrides!$C$8:$C$47,MATCH(B614,Overrides!$A$8:$A$47,0))),"")</f>
        <v/>
      </c>
      <c r="I614" s="36">
        <f>IFERROR(IF(INDEX(Overrides!$D$8:$D$47,MATCH(B614,Overrides!$A$8:$A$47,0))="",0,INDEX(Overrides!$D$8:$D$47,MATCH(B614,Overrides!$A$8:$A$47,0))),0)</f>
        <v>0</v>
      </c>
      <c r="J614" s="38">
        <f t="shared" si="59"/>
        <v>1153.089533442869</v>
      </c>
      <c r="K614" s="18">
        <f t="shared" si="60"/>
        <v>0.99999999999999967</v>
      </c>
      <c r="L614" s="38">
        <f t="shared" si="61"/>
        <v>1153.0895334428685</v>
      </c>
      <c r="M614" s="23">
        <f t="shared" si="62"/>
        <v>1.180002537358938</v>
      </c>
      <c r="N614" s="23">
        <f t="shared" si="63"/>
        <v>0.29295973918772067</v>
      </c>
      <c r="O614" s="6"/>
      <c r="P614" s="18">
        <f t="shared" si="64"/>
        <v>0.34569323558552312</v>
      </c>
    </row>
    <row r="615" spans="1:16" ht="15" customHeight="1" x14ac:dyDescent="0.3">
      <c r="A615" s="7" t="str">
        <f>Raw_Players!A577</f>
        <v>TOR</v>
      </c>
      <c r="B615" s="7" t="str">
        <f>Raw_Players!B577</f>
        <v>Kyle Anderson</v>
      </c>
      <c r="C615" s="37">
        <f>Raw_Players!E577</f>
        <v>-0.54216482330700588</v>
      </c>
      <c r="D615" s="31">
        <f>Raw_Players!F577</f>
        <v>988.89405267422399</v>
      </c>
      <c r="E615" s="31">
        <f>Raw_Players!G577</f>
        <v>18.393601396235749</v>
      </c>
      <c r="F615" s="31">
        <f>Raw_Players!H577</f>
        <v>53.762938065875517</v>
      </c>
      <c r="G615" s="31" t="str">
        <f>IFERROR(IF(INDEX(Overrides!$B$8:$B$47,MATCH(B615,Overrides!$A$8:$A$47,0))="","",INDEX(Overrides!$B$8:$B$47,MATCH(B615,Overrides!$A$8:$A$47,0))),"")</f>
        <v/>
      </c>
      <c r="H615" s="31" t="str">
        <f>IFERROR(IF(INDEX(Overrides!$C$8:$C$47,MATCH(B615,Overrides!$A$8:$A$47,0))="","",INDEX(Overrides!$C$8:$C$47,MATCH(B615,Overrides!$A$8:$A$47,0))),"")</f>
        <v/>
      </c>
      <c r="I615" s="36">
        <f>IFERROR(IF(INDEX(Overrides!$D$8:$D$47,MATCH(B615,Overrides!$A$8:$A$47,0))="",0,INDEX(Overrides!$D$8:$D$47,MATCH(B615,Overrides!$A$8:$A$47,0))),0)</f>
        <v>0</v>
      </c>
      <c r="J615" s="38">
        <f t="shared" si="59"/>
        <v>988.89405267422399</v>
      </c>
      <c r="K615" s="18">
        <f t="shared" si="60"/>
        <v>0.99999999999999967</v>
      </c>
      <c r="L615" s="38">
        <f t="shared" si="61"/>
        <v>988.89405267422364</v>
      </c>
      <c r="M615" s="23">
        <f t="shared" si="62"/>
        <v>-0.54216482330700588</v>
      </c>
      <c r="N615" s="23">
        <f t="shared" si="63"/>
        <v>0.25124340769162185</v>
      </c>
      <c r="O615" s="6"/>
      <c r="P615" s="18">
        <f t="shared" si="64"/>
        <v>-0.1362153377381782</v>
      </c>
    </row>
    <row r="616" spans="1:16" ht="15" customHeight="1" x14ac:dyDescent="0.3">
      <c r="A616" s="7" t="str">
        <f>Raw_Players!A578</f>
        <v>TOR</v>
      </c>
      <c r="B616" s="7" t="str">
        <f>Raw_Players!B578</f>
        <v>Allen Graves</v>
      </c>
      <c r="C616" s="37">
        <f>Raw_Players!E578</f>
        <v>-0.40789187065085608</v>
      </c>
      <c r="D616" s="31">
        <f>Raw_Players!F578</f>
        <v>820.52465452094668</v>
      </c>
      <c r="E616" s="31">
        <f>Raw_Players!G578</f>
        <v>17.788921857386772</v>
      </c>
      <c r="F616" s="31">
        <f>Raw_Players!H578</f>
        <v>46.125597779284611</v>
      </c>
      <c r="G616" s="31" t="str">
        <f>IFERROR(IF(INDEX(Overrides!$B$8:$B$47,MATCH(B616,Overrides!$A$8:$A$47,0))="","",INDEX(Overrides!$B$8:$B$47,MATCH(B616,Overrides!$A$8:$A$47,0))),"")</f>
        <v/>
      </c>
      <c r="H616" s="31" t="str">
        <f>IFERROR(IF(INDEX(Overrides!$C$8:$C$47,MATCH(B616,Overrides!$A$8:$A$47,0))="","",INDEX(Overrides!$C$8:$C$47,MATCH(B616,Overrides!$A$8:$A$47,0))),"")</f>
        <v/>
      </c>
      <c r="I616" s="36">
        <f>IFERROR(IF(INDEX(Overrides!$D$8:$D$47,MATCH(B616,Overrides!$A$8:$A$47,0))="",0,INDEX(Overrides!$D$8:$D$47,MATCH(B616,Overrides!$A$8:$A$47,0))),0)</f>
        <v>0</v>
      </c>
      <c r="J616" s="38">
        <f t="shared" si="59"/>
        <v>820.52465452094668</v>
      </c>
      <c r="K616" s="18">
        <f t="shared" si="60"/>
        <v>0.99999999999999967</v>
      </c>
      <c r="L616" s="38">
        <f t="shared" si="61"/>
        <v>820.52465452094646</v>
      </c>
      <c r="M616" s="23">
        <f t="shared" si="62"/>
        <v>-0.40789187065085608</v>
      </c>
      <c r="N616" s="23">
        <f t="shared" si="63"/>
        <v>0.20846662970552501</v>
      </c>
      <c r="O616" s="6"/>
      <c r="P616" s="18">
        <f t="shared" si="64"/>
        <v>-8.5031843558865922E-2</v>
      </c>
    </row>
    <row r="617" spans="1:16" ht="15" customHeight="1" x14ac:dyDescent="0.3">
      <c r="A617" s="7" t="str">
        <f>Raw_Players!A579</f>
        <v>TOR</v>
      </c>
      <c r="B617" s="7" t="str">
        <f>Raw_Players!B579</f>
        <v>Malachi Smith</v>
      </c>
      <c r="C617" s="37">
        <f>Raw_Players!E579</f>
        <v>-1.062775433691179</v>
      </c>
      <c r="D617" s="31">
        <f>Raw_Players!F579</f>
        <v>784.92643339882238</v>
      </c>
      <c r="E617" s="31">
        <f>Raw_Players!G579</f>
        <v>17.543564634060409</v>
      </c>
      <c r="F617" s="31">
        <f>Raw_Players!H579</f>
        <v>44.741559071461808</v>
      </c>
      <c r="G617" s="31" t="str">
        <f>IFERROR(IF(INDEX(Overrides!$B$8:$B$47,MATCH(B617,Overrides!$A$8:$A$47,0))="","",INDEX(Overrides!$B$8:$B$47,MATCH(B617,Overrides!$A$8:$A$47,0))),"")</f>
        <v/>
      </c>
      <c r="H617" s="31" t="str">
        <f>IFERROR(IF(INDEX(Overrides!$C$8:$C$47,MATCH(B617,Overrides!$A$8:$A$47,0))="","",INDEX(Overrides!$C$8:$C$47,MATCH(B617,Overrides!$A$8:$A$47,0))),"")</f>
        <v/>
      </c>
      <c r="I617" s="36">
        <f>IFERROR(IF(INDEX(Overrides!$D$8:$D$47,MATCH(B617,Overrides!$A$8:$A$47,0))="",0,INDEX(Overrides!$D$8:$D$47,MATCH(B617,Overrides!$A$8:$A$47,0))),0)</f>
        <v>0</v>
      </c>
      <c r="J617" s="38">
        <f t="shared" si="59"/>
        <v>784.92643339882238</v>
      </c>
      <c r="K617" s="18">
        <f t="shared" si="60"/>
        <v>0.99999999999999967</v>
      </c>
      <c r="L617" s="38">
        <f t="shared" si="61"/>
        <v>784.92643339882216</v>
      </c>
      <c r="M617" s="23">
        <f t="shared" si="62"/>
        <v>-1.062775433691179</v>
      </c>
      <c r="N617" s="23">
        <f t="shared" si="63"/>
        <v>0.19942236620905035</v>
      </c>
      <c r="O617" s="6"/>
      <c r="P617" s="18">
        <f t="shared" si="64"/>
        <v>-0.2119411917355446</v>
      </c>
    </row>
    <row r="618" spans="1:16" ht="15" customHeight="1" x14ac:dyDescent="0.3">
      <c r="A618" s="7" t="str">
        <f>Raw_Players!A580</f>
        <v>TOR</v>
      </c>
      <c r="B618" s="7" t="str">
        <f>Raw_Players!B580</f>
        <v>Trayce Jackson-Davis</v>
      </c>
      <c r="C618" s="37">
        <f>Raw_Players!E580</f>
        <v>-0.47775808217373777</v>
      </c>
      <c r="D618" s="31">
        <f>Raw_Players!F580</f>
        <v>736.91095726363756</v>
      </c>
      <c r="E618" s="31">
        <f>Raw_Players!G580</f>
        <v>12.558188763413879</v>
      </c>
      <c r="F618" s="31">
        <f>Raw_Players!H580</f>
        <v>58.679716569518447</v>
      </c>
      <c r="G618" s="31" t="str">
        <f>IFERROR(IF(INDEX(Overrides!$B$8:$B$47,MATCH(B618,Overrides!$A$8:$A$47,0))="","",INDEX(Overrides!$B$8:$B$47,MATCH(B618,Overrides!$A$8:$A$47,0))),"")</f>
        <v/>
      </c>
      <c r="H618" s="31" t="str">
        <f>IFERROR(IF(INDEX(Overrides!$C$8:$C$47,MATCH(B618,Overrides!$A$8:$A$47,0))="","",INDEX(Overrides!$C$8:$C$47,MATCH(B618,Overrides!$A$8:$A$47,0))),"")</f>
        <v/>
      </c>
      <c r="I618" s="36">
        <f>IFERROR(IF(INDEX(Overrides!$D$8:$D$47,MATCH(B618,Overrides!$A$8:$A$47,0))="",0,INDEX(Overrides!$D$8:$D$47,MATCH(B618,Overrides!$A$8:$A$47,0))),0)</f>
        <v>0</v>
      </c>
      <c r="J618" s="38">
        <f t="shared" si="59"/>
        <v>736.91095726363756</v>
      </c>
      <c r="K618" s="18">
        <f t="shared" si="60"/>
        <v>0.99999999999999967</v>
      </c>
      <c r="L618" s="38">
        <f t="shared" si="61"/>
        <v>736.91095726363733</v>
      </c>
      <c r="M618" s="23">
        <f t="shared" si="62"/>
        <v>-0.47775808217373777</v>
      </c>
      <c r="N618" s="23">
        <f t="shared" si="63"/>
        <v>0.187223312312916</v>
      </c>
      <c r="O618" s="6"/>
      <c r="P618" s="18">
        <f t="shared" si="64"/>
        <v>-8.9447450628833497E-2</v>
      </c>
    </row>
    <row r="619" spans="1:16" ht="15" customHeight="1" x14ac:dyDescent="0.3">
      <c r="A619" s="7" t="str">
        <f>Raw_Players!A581</f>
        <v>TOR</v>
      </c>
      <c r="B619" s="7" t="str">
        <f>Raw_Players!B581</f>
        <v>Jamison Battle</v>
      </c>
      <c r="C619" s="37">
        <f>Raw_Players!E581</f>
        <v>-1.9617564348650971</v>
      </c>
      <c r="D619" s="31">
        <f>Raw_Players!F581</f>
        <v>701.81738979507054</v>
      </c>
      <c r="E619" s="31">
        <f>Raw_Players!G581</f>
        <v>11.58595471410298</v>
      </c>
      <c r="F619" s="31">
        <f>Raw_Players!H581</f>
        <v>60.574843171170443</v>
      </c>
      <c r="G619" s="31" t="str">
        <f>IFERROR(IF(INDEX(Overrides!$B$8:$B$47,MATCH(B619,Overrides!$A$8:$A$47,0))="","",INDEX(Overrides!$B$8:$B$47,MATCH(B619,Overrides!$A$8:$A$47,0))),"")</f>
        <v/>
      </c>
      <c r="H619" s="31" t="str">
        <f>IFERROR(IF(INDEX(Overrides!$C$8:$C$47,MATCH(B619,Overrides!$A$8:$A$47,0))="","",INDEX(Overrides!$C$8:$C$47,MATCH(B619,Overrides!$A$8:$A$47,0))),"")</f>
        <v/>
      </c>
      <c r="I619" s="36">
        <f>IFERROR(IF(INDEX(Overrides!$D$8:$D$47,MATCH(B619,Overrides!$A$8:$A$47,0))="",0,INDEX(Overrides!$D$8:$D$47,MATCH(B619,Overrides!$A$8:$A$47,0))),0)</f>
        <v>0</v>
      </c>
      <c r="J619" s="38">
        <f t="shared" si="59"/>
        <v>701.81738979507054</v>
      </c>
      <c r="K619" s="18">
        <f t="shared" si="60"/>
        <v>0.99999999999999967</v>
      </c>
      <c r="L619" s="38">
        <f t="shared" si="61"/>
        <v>701.81738979507031</v>
      </c>
      <c r="M619" s="23">
        <f t="shared" si="62"/>
        <v>-1.9617564348650971</v>
      </c>
      <c r="N619" s="23">
        <f t="shared" si="63"/>
        <v>0.17830726366744673</v>
      </c>
      <c r="O619" s="6"/>
      <c r="P619" s="18">
        <f t="shared" si="64"/>
        <v>-0.34979542188280116</v>
      </c>
    </row>
    <row r="620" spans="1:16" ht="15" customHeight="1" x14ac:dyDescent="0.3">
      <c r="A620" s="7" t="str">
        <f>Raw_Players!A582</f>
        <v>TOR</v>
      </c>
      <c r="B620" s="7" t="str">
        <f>Raw_Players!B582</f>
        <v>Andre Jackson Jr.</v>
      </c>
      <c r="C620" s="37">
        <f>Raw_Players!E582</f>
        <v>-2.5438750778197892</v>
      </c>
      <c r="D620" s="31">
        <f>Raw_Players!F582</f>
        <v>632.30895643163183</v>
      </c>
      <c r="E620" s="31">
        <f>Raw_Players!G582</f>
        <v>10.8688483047905</v>
      </c>
      <c r="F620" s="31">
        <f>Raw_Players!H582</f>
        <v>58.176261062815477</v>
      </c>
      <c r="G620" s="31" t="str">
        <f>IFERROR(IF(INDEX(Overrides!$B$8:$B$47,MATCH(B620,Overrides!$A$8:$A$47,0))="","",INDEX(Overrides!$B$8:$B$47,MATCH(B620,Overrides!$A$8:$A$47,0))),"")</f>
        <v/>
      </c>
      <c r="H620" s="31" t="str">
        <f>IFERROR(IF(INDEX(Overrides!$C$8:$C$47,MATCH(B620,Overrides!$A$8:$A$47,0))="","",INDEX(Overrides!$C$8:$C$47,MATCH(B620,Overrides!$A$8:$A$47,0))),"")</f>
        <v/>
      </c>
      <c r="I620" s="36">
        <f>IFERROR(IF(INDEX(Overrides!$D$8:$D$47,MATCH(B620,Overrides!$A$8:$A$47,0))="",0,INDEX(Overrides!$D$8:$D$47,MATCH(B620,Overrides!$A$8:$A$47,0))),0)</f>
        <v>0</v>
      </c>
      <c r="J620" s="38">
        <f t="shared" si="59"/>
        <v>632.30895643163183</v>
      </c>
      <c r="K620" s="18">
        <f t="shared" si="60"/>
        <v>0.99999999999999967</v>
      </c>
      <c r="L620" s="38">
        <f t="shared" si="61"/>
        <v>632.3089564316316</v>
      </c>
      <c r="M620" s="23">
        <f t="shared" si="62"/>
        <v>-2.5438750778197892</v>
      </c>
      <c r="N620" s="23">
        <f t="shared" si="63"/>
        <v>0.16064760071941861</v>
      </c>
      <c r="O620" s="6"/>
      <c r="P620" s="18">
        <f t="shared" si="64"/>
        <v>-0.40866742778167342</v>
      </c>
    </row>
    <row r="621" spans="1:16" ht="15" customHeight="1" x14ac:dyDescent="0.3">
      <c r="A621" s="7" t="str">
        <f>Raw_Players!A583</f>
        <v>TOR</v>
      </c>
      <c r="B621" s="7" t="str">
        <f>Raw_Players!B583</f>
        <v>Jaden Bradley</v>
      </c>
      <c r="C621" s="37">
        <f>Raw_Players!E583</f>
        <v>-2.8456938634899021</v>
      </c>
      <c r="D621" s="31">
        <f>Raw_Players!F583</f>
        <v>443.05783379605691</v>
      </c>
      <c r="E621" s="31">
        <f>Raw_Players!G583</f>
        <v>13.413932269876449</v>
      </c>
      <c r="F621" s="31">
        <f>Raw_Players!H583</f>
        <v>33.02967577904267</v>
      </c>
      <c r="G621" s="31" t="str">
        <f>IFERROR(IF(INDEX(Overrides!$B$8:$B$47,MATCH(B621,Overrides!$A$8:$A$47,0))="","",INDEX(Overrides!$B$8:$B$47,MATCH(B621,Overrides!$A$8:$A$47,0))),"")</f>
        <v/>
      </c>
      <c r="H621" s="31" t="str">
        <f>IFERROR(IF(INDEX(Overrides!$C$8:$C$47,MATCH(B621,Overrides!$A$8:$A$47,0))="","",INDEX(Overrides!$C$8:$C$47,MATCH(B621,Overrides!$A$8:$A$47,0))),"")</f>
        <v/>
      </c>
      <c r="I621" s="36">
        <f>IFERROR(IF(INDEX(Overrides!$D$8:$D$47,MATCH(B621,Overrides!$A$8:$A$47,0))="",0,INDEX(Overrides!$D$8:$D$47,MATCH(B621,Overrides!$A$8:$A$47,0))),0)</f>
        <v>0</v>
      </c>
      <c r="J621" s="38">
        <f t="shared" si="59"/>
        <v>443.05783379605691</v>
      </c>
      <c r="K621" s="18">
        <f t="shared" si="60"/>
        <v>0.99999999999999967</v>
      </c>
      <c r="L621" s="38">
        <f t="shared" si="61"/>
        <v>443.05783379605674</v>
      </c>
      <c r="M621" s="23">
        <f t="shared" si="62"/>
        <v>-2.8456938634899021</v>
      </c>
      <c r="N621" s="23">
        <f t="shared" si="63"/>
        <v>0.1125655065538762</v>
      </c>
      <c r="O621" s="6"/>
      <c r="P621" s="18">
        <f t="shared" si="64"/>
        <v>-0.32032697124099785</v>
      </c>
    </row>
    <row r="622" spans="1:16" ht="15" customHeight="1" x14ac:dyDescent="0.3">
      <c r="A622" s="7" t="str">
        <f>Raw_Players!A584</f>
        <v>TOR</v>
      </c>
      <c r="B622" s="7" t="str">
        <f>Raw_Players!B584</f>
        <v>Alijah Martin</v>
      </c>
      <c r="C622" s="37">
        <f>Raw_Players!E584</f>
        <v>-1.7295021715117991</v>
      </c>
      <c r="D622" s="31">
        <f>Raw_Players!F584</f>
        <v>400.29847655738791</v>
      </c>
      <c r="E622" s="31">
        <f>Raw_Players!G584</f>
        <v>8.3769193497271175</v>
      </c>
      <c r="F622" s="31">
        <f>Raw_Players!H584</f>
        <v>47.785881640418069</v>
      </c>
      <c r="G622" s="31" t="str">
        <f>IFERROR(IF(INDEX(Overrides!$B$8:$B$47,MATCH(B622,Overrides!$A$8:$A$47,0))="","",INDEX(Overrides!$B$8:$B$47,MATCH(B622,Overrides!$A$8:$A$47,0))),"")</f>
        <v/>
      </c>
      <c r="H622" s="31" t="str">
        <f>IFERROR(IF(INDEX(Overrides!$C$8:$C$47,MATCH(B622,Overrides!$A$8:$A$47,0))="","",INDEX(Overrides!$C$8:$C$47,MATCH(B622,Overrides!$A$8:$A$47,0))),"")</f>
        <v/>
      </c>
      <c r="I622" s="36">
        <f>IFERROR(IF(INDEX(Overrides!$D$8:$D$47,MATCH(B622,Overrides!$A$8:$A$47,0))="",0,INDEX(Overrides!$D$8:$D$47,MATCH(B622,Overrides!$A$8:$A$47,0))),0)</f>
        <v>0</v>
      </c>
      <c r="J622" s="38">
        <f t="shared" ref="J622:J672" si="65">IF(AND(G622="",H622=""),D622,IF(H622="",F622,H622)*IF(G622="",E622,G622))</f>
        <v>400.29847655738791</v>
      </c>
      <c r="K622" s="18">
        <f t="shared" ref="K622:K672" si="66">A_teamminutes/SUMIF($A$46:$A$672,A622,$J$46:$J$672)</f>
        <v>0.99999999999999967</v>
      </c>
      <c r="L622" s="38">
        <f t="shared" ref="L622:L685" si="67">J622*K622</f>
        <v>400.2984765573878</v>
      </c>
      <c r="M622" s="23">
        <f t="shared" ref="M622:M672" si="68">C622+I622</f>
        <v>-1.7295021715117991</v>
      </c>
      <c r="N622" s="23">
        <f t="shared" ref="N622:N672" si="69">L622/(A_teamminutes/5)</f>
        <v>0.10170184871884852</v>
      </c>
      <c r="O622" s="6"/>
      <c r="P622" s="18">
        <f t="shared" ref="P622:P672" si="70">N622*M622</f>
        <v>-0.17589356820601298</v>
      </c>
    </row>
    <row r="623" spans="1:16" ht="15" customHeight="1" x14ac:dyDescent="0.3">
      <c r="A623" s="7" t="str">
        <f>Raw_Players!A585</f>
        <v>TOR</v>
      </c>
      <c r="B623" s="7" t="str">
        <f>Raw_Players!B585</f>
        <v>Nate Bittle</v>
      </c>
      <c r="C623" s="37">
        <f>Raw_Players!E585</f>
        <v>-3.1867960702466678</v>
      </c>
      <c r="D623" s="31">
        <f>Raw_Players!F585</f>
        <v>379.67820511637149</v>
      </c>
      <c r="E623" s="31">
        <f>Raw_Players!G585</f>
        <v>12.51481610749131</v>
      </c>
      <c r="F623" s="31">
        <f>Raw_Players!H585</f>
        <v>30.338296772023529</v>
      </c>
      <c r="G623" s="31" t="str">
        <f>IFERROR(IF(INDEX(Overrides!$B$8:$B$47,MATCH(B623,Overrides!$A$8:$A$47,0))="","",INDEX(Overrides!$B$8:$B$47,MATCH(B623,Overrides!$A$8:$A$47,0))),"")</f>
        <v/>
      </c>
      <c r="H623" s="31" t="str">
        <f>IFERROR(IF(INDEX(Overrides!$C$8:$C$47,MATCH(B623,Overrides!$A$8:$A$47,0))="","",INDEX(Overrides!$C$8:$C$47,MATCH(B623,Overrides!$A$8:$A$47,0))),"")</f>
        <v/>
      </c>
      <c r="I623" s="36">
        <f>IFERROR(IF(INDEX(Overrides!$D$8:$D$47,MATCH(B623,Overrides!$A$8:$A$47,0))="",0,INDEX(Overrides!$D$8:$D$47,MATCH(B623,Overrides!$A$8:$A$47,0))),0)</f>
        <v>0</v>
      </c>
      <c r="J623" s="38">
        <f t="shared" si="65"/>
        <v>379.67820511637149</v>
      </c>
      <c r="K623" s="18">
        <f t="shared" si="66"/>
        <v>0.99999999999999967</v>
      </c>
      <c r="L623" s="38">
        <f t="shared" si="67"/>
        <v>379.67820511637137</v>
      </c>
      <c r="M623" s="23">
        <f t="shared" si="68"/>
        <v>-3.1867960702466678</v>
      </c>
      <c r="N623" s="23">
        <f t="shared" si="69"/>
        <v>9.6462958616964273E-2</v>
      </c>
      <c r="O623" s="6"/>
      <c r="P623" s="18">
        <f t="shared" si="70"/>
        <v>-0.30740777744490866</v>
      </c>
    </row>
    <row r="624" spans="1:16" ht="15" customHeight="1" x14ac:dyDescent="0.3">
      <c r="A624" s="7" t="str">
        <f>Raw_Players!A586</f>
        <v>TOR</v>
      </c>
      <c r="B624" s="7" t="str">
        <f>Raw_Players!B586</f>
        <v>Nimari Burnett</v>
      </c>
      <c r="C624" s="37">
        <f>Raw_Players!E586</f>
        <v>-3.1867960702466678</v>
      </c>
      <c r="D624" s="31">
        <f>Raw_Players!F586</f>
        <v>379.67820511637149</v>
      </c>
      <c r="E624" s="31">
        <f>Raw_Players!G586</f>
        <v>12.51481610749131</v>
      </c>
      <c r="F624" s="31">
        <f>Raw_Players!H586</f>
        <v>30.338296772023529</v>
      </c>
      <c r="G624" s="31" t="str">
        <f>IFERROR(IF(INDEX(Overrides!$B$8:$B$47,MATCH(B624,Overrides!$A$8:$A$47,0))="","",INDEX(Overrides!$B$8:$B$47,MATCH(B624,Overrides!$A$8:$A$47,0))),"")</f>
        <v/>
      </c>
      <c r="H624" s="31" t="str">
        <f>IFERROR(IF(INDEX(Overrides!$C$8:$C$47,MATCH(B624,Overrides!$A$8:$A$47,0))="","",INDEX(Overrides!$C$8:$C$47,MATCH(B624,Overrides!$A$8:$A$47,0))),"")</f>
        <v/>
      </c>
      <c r="I624" s="36">
        <f>IFERROR(IF(INDEX(Overrides!$D$8:$D$47,MATCH(B624,Overrides!$A$8:$A$47,0))="",0,INDEX(Overrides!$D$8:$D$47,MATCH(B624,Overrides!$A$8:$A$47,0))),0)</f>
        <v>0</v>
      </c>
      <c r="J624" s="38">
        <f t="shared" si="65"/>
        <v>379.67820511637149</v>
      </c>
      <c r="K624" s="18">
        <f t="shared" si="66"/>
        <v>0.99999999999999967</v>
      </c>
      <c r="L624" s="38">
        <f t="shared" si="67"/>
        <v>379.67820511637137</v>
      </c>
      <c r="M624" s="23">
        <f t="shared" si="68"/>
        <v>-3.1867960702466678</v>
      </c>
      <c r="N624" s="23">
        <f t="shared" si="69"/>
        <v>9.6462958616964273E-2</v>
      </c>
      <c r="O624" s="6"/>
      <c r="P624" s="18">
        <f t="shared" si="70"/>
        <v>-0.30740777744490866</v>
      </c>
    </row>
    <row r="625" spans="1:16" ht="15" customHeight="1" x14ac:dyDescent="0.3">
      <c r="A625" s="7" t="str">
        <f>Raw_Players!A587</f>
        <v>TOR</v>
      </c>
      <c r="B625" s="7" t="str">
        <f>Raw_Players!B587</f>
        <v>Tyson Degenhart</v>
      </c>
      <c r="C625" s="37">
        <f>Raw_Players!E587</f>
        <v>-3.1867960702466678</v>
      </c>
      <c r="D625" s="31">
        <f>Raw_Players!F587</f>
        <v>379.67820511637149</v>
      </c>
      <c r="E625" s="31">
        <f>Raw_Players!G587</f>
        <v>12.51481610749131</v>
      </c>
      <c r="F625" s="31">
        <f>Raw_Players!H587</f>
        <v>30.338296772023529</v>
      </c>
      <c r="G625" s="31" t="str">
        <f>IFERROR(IF(INDEX(Overrides!$B$8:$B$47,MATCH(B625,Overrides!$A$8:$A$47,0))="","",INDEX(Overrides!$B$8:$B$47,MATCH(B625,Overrides!$A$8:$A$47,0))),"")</f>
        <v/>
      </c>
      <c r="H625" s="31" t="str">
        <f>IFERROR(IF(INDEX(Overrides!$C$8:$C$47,MATCH(B625,Overrides!$A$8:$A$47,0))="","",INDEX(Overrides!$C$8:$C$47,MATCH(B625,Overrides!$A$8:$A$47,0))),"")</f>
        <v/>
      </c>
      <c r="I625" s="36">
        <f>IFERROR(IF(INDEX(Overrides!$D$8:$D$47,MATCH(B625,Overrides!$A$8:$A$47,0))="",0,INDEX(Overrides!$D$8:$D$47,MATCH(B625,Overrides!$A$8:$A$47,0))),0)</f>
        <v>0</v>
      </c>
      <c r="J625" s="38">
        <f t="shared" si="65"/>
        <v>379.67820511637149</v>
      </c>
      <c r="K625" s="18">
        <f t="shared" si="66"/>
        <v>0.99999999999999967</v>
      </c>
      <c r="L625" s="38">
        <f t="shared" si="67"/>
        <v>379.67820511637137</v>
      </c>
      <c r="M625" s="23">
        <f t="shared" si="68"/>
        <v>-3.1867960702466678</v>
      </c>
      <c r="N625" s="23">
        <f t="shared" si="69"/>
        <v>9.6462958616964273E-2</v>
      </c>
      <c r="O625" s="6"/>
      <c r="P625" s="18">
        <f t="shared" si="70"/>
        <v>-0.30740777744490866</v>
      </c>
    </row>
    <row r="626" spans="1:16" ht="15" customHeight="1" x14ac:dyDescent="0.3">
      <c r="A626" s="7" t="str">
        <f>Raw_Players!A588</f>
        <v>TOR</v>
      </c>
      <c r="B626" s="7" t="str">
        <f>Raw_Players!B588</f>
        <v>Tyreke Key</v>
      </c>
      <c r="C626" s="37">
        <f>Raw_Players!E588</f>
        <v>-3.1867960702466678</v>
      </c>
      <c r="D626" s="31">
        <f>Raw_Players!F588</f>
        <v>379.67820511637149</v>
      </c>
      <c r="E626" s="31">
        <f>Raw_Players!G588</f>
        <v>12.51481610749131</v>
      </c>
      <c r="F626" s="31">
        <f>Raw_Players!H588</f>
        <v>30.338296772023529</v>
      </c>
      <c r="G626" s="31" t="str">
        <f>IFERROR(IF(INDEX(Overrides!$B$8:$B$47,MATCH(B626,Overrides!$A$8:$A$47,0))="","",INDEX(Overrides!$B$8:$B$47,MATCH(B626,Overrides!$A$8:$A$47,0))),"")</f>
        <v/>
      </c>
      <c r="H626" s="31" t="str">
        <f>IFERROR(IF(INDEX(Overrides!$C$8:$C$47,MATCH(B626,Overrides!$A$8:$A$47,0))="","",INDEX(Overrides!$C$8:$C$47,MATCH(B626,Overrides!$A$8:$A$47,0))),"")</f>
        <v/>
      </c>
      <c r="I626" s="36">
        <f>IFERROR(IF(INDEX(Overrides!$D$8:$D$47,MATCH(B626,Overrides!$A$8:$A$47,0))="",0,INDEX(Overrides!$D$8:$D$47,MATCH(B626,Overrides!$A$8:$A$47,0))),0)</f>
        <v>0</v>
      </c>
      <c r="J626" s="38">
        <f t="shared" si="65"/>
        <v>379.67820511637149</v>
      </c>
      <c r="K626" s="18">
        <f t="shared" si="66"/>
        <v>0.99999999999999967</v>
      </c>
      <c r="L626" s="38">
        <f t="shared" si="67"/>
        <v>379.67820511637137</v>
      </c>
      <c r="M626" s="23">
        <f t="shared" si="68"/>
        <v>-3.1867960702466678</v>
      </c>
      <c r="N626" s="23">
        <f t="shared" si="69"/>
        <v>9.6462958616964273E-2</v>
      </c>
      <c r="O626" s="6"/>
      <c r="P626" s="18">
        <f t="shared" si="70"/>
        <v>-0.30740777744490866</v>
      </c>
    </row>
    <row r="627" spans="1:16" ht="15" customHeight="1" x14ac:dyDescent="0.3">
      <c r="A627" s="7" t="str">
        <f>Raw_Players!A589</f>
        <v>TOR</v>
      </c>
      <c r="B627" s="7" t="str">
        <f>Raw_Players!B589</f>
        <v>Jamarion Sharp</v>
      </c>
      <c r="C627" s="37">
        <f>Raw_Players!E589</f>
        <v>-3.1867960702466678</v>
      </c>
      <c r="D627" s="31">
        <f>Raw_Players!F589</f>
        <v>379.67820511637149</v>
      </c>
      <c r="E627" s="31">
        <f>Raw_Players!G589</f>
        <v>12.51481610749131</v>
      </c>
      <c r="F627" s="31">
        <f>Raw_Players!H589</f>
        <v>30.338296772023529</v>
      </c>
      <c r="G627" s="31" t="str">
        <f>IFERROR(IF(INDEX(Overrides!$B$8:$B$47,MATCH(B627,Overrides!$A$8:$A$47,0))="","",INDEX(Overrides!$B$8:$B$47,MATCH(B627,Overrides!$A$8:$A$47,0))),"")</f>
        <v/>
      </c>
      <c r="H627" s="31" t="str">
        <f>IFERROR(IF(INDEX(Overrides!$C$8:$C$47,MATCH(B627,Overrides!$A$8:$A$47,0))="","",INDEX(Overrides!$C$8:$C$47,MATCH(B627,Overrides!$A$8:$A$47,0))),"")</f>
        <v/>
      </c>
      <c r="I627" s="36">
        <f>IFERROR(IF(INDEX(Overrides!$D$8:$D$47,MATCH(B627,Overrides!$A$8:$A$47,0))="",0,INDEX(Overrides!$D$8:$D$47,MATCH(B627,Overrides!$A$8:$A$47,0))),0)</f>
        <v>0</v>
      </c>
      <c r="J627" s="38">
        <f t="shared" si="65"/>
        <v>379.67820511637149</v>
      </c>
      <c r="K627" s="18">
        <f t="shared" si="66"/>
        <v>0.99999999999999967</v>
      </c>
      <c r="L627" s="38">
        <f t="shared" si="67"/>
        <v>379.67820511637137</v>
      </c>
      <c r="M627" s="23">
        <f t="shared" si="68"/>
        <v>-3.1867960702466678</v>
      </c>
      <c r="N627" s="23">
        <f t="shared" si="69"/>
        <v>9.6462958616964273E-2</v>
      </c>
      <c r="O627" s="6"/>
      <c r="P627" s="18">
        <f t="shared" si="70"/>
        <v>-0.30740777744490866</v>
      </c>
    </row>
    <row r="628" spans="1:16" ht="15" customHeight="1" x14ac:dyDescent="0.3">
      <c r="A628" s="7" t="str">
        <f>Raw_Players!A590</f>
        <v>UTA</v>
      </c>
      <c r="B628" s="7" t="str">
        <f>Raw_Players!B590</f>
        <v>Darryn Peterson</v>
      </c>
      <c r="C628" s="37">
        <f>Raw_Players!E590</f>
        <v>-1.879505168278786</v>
      </c>
      <c r="D628" s="31">
        <f>Raw_Players!F590</f>
        <v>1866.3907228468661</v>
      </c>
      <c r="E628" s="31">
        <f>Raw_Players!G590</f>
        <v>24.366664411070989</v>
      </c>
      <c r="F628" s="31">
        <f>Raw_Players!H590</f>
        <v>76.596069587549792</v>
      </c>
      <c r="G628" s="31" t="str">
        <f>IFERROR(IF(INDEX(Overrides!$B$8:$B$47,MATCH(B628,Overrides!$A$8:$A$47,0))="","",INDEX(Overrides!$B$8:$B$47,MATCH(B628,Overrides!$A$8:$A$47,0))),"")</f>
        <v/>
      </c>
      <c r="H628" s="31" t="str">
        <f>IFERROR(IF(INDEX(Overrides!$C$8:$C$47,MATCH(B628,Overrides!$A$8:$A$47,0))="","",INDEX(Overrides!$C$8:$C$47,MATCH(B628,Overrides!$A$8:$A$47,0))),"")</f>
        <v/>
      </c>
      <c r="I628" s="36">
        <f>IFERROR(IF(INDEX(Overrides!$D$8:$D$47,MATCH(B628,Overrides!$A$8:$A$47,0))="",0,INDEX(Overrides!$D$8:$D$47,MATCH(B628,Overrides!$A$8:$A$47,0))),0)</f>
        <v>0</v>
      </c>
      <c r="J628" s="38">
        <f t="shared" si="65"/>
        <v>1866.3907228468661</v>
      </c>
      <c r="K628" s="18">
        <f t="shared" si="66"/>
        <v>0.99999999999999967</v>
      </c>
      <c r="L628" s="38">
        <f t="shared" si="67"/>
        <v>1866.3907228468654</v>
      </c>
      <c r="M628" s="23">
        <f t="shared" si="68"/>
        <v>-1.879505168278786</v>
      </c>
      <c r="N628" s="23">
        <f t="shared" si="69"/>
        <v>0.47418463486963042</v>
      </c>
      <c r="O628" s="6"/>
      <c r="P628" s="18">
        <f t="shared" si="70"/>
        <v>-0.89123247195585942</v>
      </c>
    </row>
    <row r="629" spans="1:16" ht="15" customHeight="1" x14ac:dyDescent="0.3">
      <c r="A629" s="7" t="str">
        <f>Raw_Players!A591</f>
        <v>UTA</v>
      </c>
      <c r="B629" s="7" t="str">
        <f>Raw_Players!B591</f>
        <v>Keyonte George</v>
      </c>
      <c r="C629" s="37">
        <f>Raw_Players!E591</f>
        <v>-0.61481053502265071</v>
      </c>
      <c r="D629" s="31">
        <f>Raw_Players!F591</f>
        <v>1699.9714815903819</v>
      </c>
      <c r="E629" s="31">
        <f>Raw_Players!G591</f>
        <v>26.22083724154415</v>
      </c>
      <c r="F629" s="31">
        <f>Raw_Players!H591</f>
        <v>64.832845188366306</v>
      </c>
      <c r="G629" s="31" t="str">
        <f>IFERROR(IF(INDEX(Overrides!$B$8:$B$47,MATCH(B629,Overrides!$A$8:$A$47,0))="","",INDEX(Overrides!$B$8:$B$47,MATCH(B629,Overrides!$A$8:$A$47,0))),"")</f>
        <v/>
      </c>
      <c r="H629" s="31" t="str">
        <f>IFERROR(IF(INDEX(Overrides!$C$8:$C$47,MATCH(B629,Overrides!$A$8:$A$47,0))="","",INDEX(Overrides!$C$8:$C$47,MATCH(B629,Overrides!$A$8:$A$47,0))),"")</f>
        <v/>
      </c>
      <c r="I629" s="36">
        <f>IFERROR(IF(INDEX(Overrides!$D$8:$D$47,MATCH(B629,Overrides!$A$8:$A$47,0))="",0,INDEX(Overrides!$D$8:$D$47,MATCH(B629,Overrides!$A$8:$A$47,0))),0)</f>
        <v>0</v>
      </c>
      <c r="J629" s="38">
        <f t="shared" si="65"/>
        <v>1699.9714815903819</v>
      </c>
      <c r="K629" s="18">
        <f t="shared" si="66"/>
        <v>0.99999999999999967</v>
      </c>
      <c r="L629" s="38">
        <f t="shared" si="67"/>
        <v>1699.9714815903815</v>
      </c>
      <c r="M629" s="23">
        <f t="shared" si="68"/>
        <v>-0.61481053502265071</v>
      </c>
      <c r="N629" s="23">
        <f t="shared" si="69"/>
        <v>0.43190332357479205</v>
      </c>
      <c r="O629" s="6"/>
      <c r="P629" s="18">
        <f t="shared" si="70"/>
        <v>-0.26553871344507896</v>
      </c>
    </row>
    <row r="630" spans="1:16" ht="15" customHeight="1" x14ac:dyDescent="0.3">
      <c r="A630" s="7" t="str">
        <f>Raw_Players!A592</f>
        <v>UTA</v>
      </c>
      <c r="B630" s="7" t="str">
        <f>Raw_Players!B592</f>
        <v>Lauri Markkanen</v>
      </c>
      <c r="C630" s="37">
        <f>Raw_Players!E592</f>
        <v>1.8007733638371579</v>
      </c>
      <c r="D630" s="31">
        <f>Raw_Players!F592</f>
        <v>1586.112414322552</v>
      </c>
      <c r="E630" s="31">
        <f>Raw_Players!G592</f>
        <v>27.20681012034532</v>
      </c>
      <c r="F630" s="31">
        <f>Raw_Players!H592</f>
        <v>58.298360127725992</v>
      </c>
      <c r="G630" s="31" t="str">
        <f>IFERROR(IF(INDEX(Overrides!$B$8:$B$47,MATCH(B630,Overrides!$A$8:$A$47,0))="","",INDEX(Overrides!$B$8:$B$47,MATCH(B630,Overrides!$A$8:$A$47,0))),"")</f>
        <v/>
      </c>
      <c r="H630" s="31" t="str">
        <f>IFERROR(IF(INDEX(Overrides!$C$8:$C$47,MATCH(B630,Overrides!$A$8:$A$47,0))="","",INDEX(Overrides!$C$8:$C$47,MATCH(B630,Overrides!$A$8:$A$47,0))),"")</f>
        <v/>
      </c>
      <c r="I630" s="36">
        <f>IFERROR(IF(INDEX(Overrides!$D$8:$D$47,MATCH(B630,Overrides!$A$8:$A$47,0))="",0,INDEX(Overrides!$D$8:$D$47,MATCH(B630,Overrides!$A$8:$A$47,0))),0)</f>
        <v>0</v>
      </c>
      <c r="J630" s="38">
        <f t="shared" si="65"/>
        <v>1586.112414322552</v>
      </c>
      <c r="K630" s="18">
        <f t="shared" si="66"/>
        <v>0.99999999999999967</v>
      </c>
      <c r="L630" s="38">
        <f t="shared" si="67"/>
        <v>1586.1124143225516</v>
      </c>
      <c r="M630" s="23">
        <f t="shared" si="68"/>
        <v>1.8007733638371579</v>
      </c>
      <c r="N630" s="23">
        <f t="shared" si="69"/>
        <v>0.40297571502097346</v>
      </c>
      <c r="O630" s="6"/>
      <c r="P630" s="18">
        <f t="shared" si="70"/>
        <v>0.72566793388300233</v>
      </c>
    </row>
    <row r="631" spans="1:16" ht="15" customHeight="1" x14ac:dyDescent="0.3">
      <c r="A631" s="7" t="str">
        <f>Raw_Players!A593</f>
        <v>UTA</v>
      </c>
      <c r="B631" s="7" t="str">
        <f>Raw_Players!B593</f>
        <v>Jaren Jackson Jr.</v>
      </c>
      <c r="C631" s="37">
        <f>Raw_Players!E593</f>
        <v>1.26423754385416</v>
      </c>
      <c r="D631" s="31">
        <f>Raw_Players!F593</f>
        <v>1445.793728535424</v>
      </c>
      <c r="E631" s="31">
        <f>Raw_Players!G593</f>
        <v>24.78342251888359</v>
      </c>
      <c r="F631" s="31">
        <f>Raw_Players!H593</f>
        <v>58.337129483783357</v>
      </c>
      <c r="G631" s="31" t="str">
        <f>IFERROR(IF(INDEX(Overrides!$B$8:$B$47,MATCH(B631,Overrides!$A$8:$A$47,0))="","",INDEX(Overrides!$B$8:$B$47,MATCH(B631,Overrides!$A$8:$A$47,0))),"")</f>
        <v/>
      </c>
      <c r="H631" s="31" t="str">
        <f>IFERROR(IF(INDEX(Overrides!$C$8:$C$47,MATCH(B631,Overrides!$A$8:$A$47,0))="","",INDEX(Overrides!$C$8:$C$47,MATCH(B631,Overrides!$A$8:$A$47,0))),"")</f>
        <v/>
      </c>
      <c r="I631" s="36">
        <f>IFERROR(IF(INDEX(Overrides!$D$8:$D$47,MATCH(B631,Overrides!$A$8:$A$47,0))="",0,INDEX(Overrides!$D$8:$D$47,MATCH(B631,Overrides!$A$8:$A$47,0))),0)</f>
        <v>0</v>
      </c>
      <c r="J631" s="38">
        <f t="shared" si="65"/>
        <v>1445.793728535424</v>
      </c>
      <c r="K631" s="18">
        <f t="shared" si="66"/>
        <v>0.99999999999999967</v>
      </c>
      <c r="L631" s="38">
        <f t="shared" si="67"/>
        <v>1445.7937285354235</v>
      </c>
      <c r="M631" s="23">
        <f t="shared" si="68"/>
        <v>1.26423754385416</v>
      </c>
      <c r="N631" s="23">
        <f t="shared" si="69"/>
        <v>0.36732564241245513</v>
      </c>
      <c r="O631" s="6"/>
      <c r="P631" s="18">
        <f t="shared" si="70"/>
        <v>0.46438686795817374</v>
      </c>
    </row>
    <row r="632" spans="1:16" ht="15" customHeight="1" x14ac:dyDescent="0.3">
      <c r="A632" s="7" t="str">
        <f>Raw_Players!A594</f>
        <v>UTA</v>
      </c>
      <c r="B632" s="7" t="str">
        <f>Raw_Players!B594</f>
        <v>Ace Bailey</v>
      </c>
      <c r="C632" s="37">
        <f>Raw_Players!E594</f>
        <v>-2.4206973331665238</v>
      </c>
      <c r="D632" s="31">
        <f>Raw_Players!F594</f>
        <v>1372.6909786169849</v>
      </c>
      <c r="E632" s="31">
        <f>Raw_Players!G594</f>
        <v>21.199263744727631</v>
      </c>
      <c r="F632" s="31">
        <f>Raw_Players!H594</f>
        <v>64.751823230577074</v>
      </c>
      <c r="G632" s="31" t="str">
        <f>IFERROR(IF(INDEX(Overrides!$B$8:$B$47,MATCH(B632,Overrides!$A$8:$A$47,0))="","",INDEX(Overrides!$B$8:$B$47,MATCH(B632,Overrides!$A$8:$A$47,0))),"")</f>
        <v/>
      </c>
      <c r="H632" s="31" t="str">
        <f>IFERROR(IF(INDEX(Overrides!$C$8:$C$47,MATCH(B632,Overrides!$A$8:$A$47,0))="","",INDEX(Overrides!$C$8:$C$47,MATCH(B632,Overrides!$A$8:$A$47,0))),"")</f>
        <v/>
      </c>
      <c r="I632" s="36">
        <f>IFERROR(IF(INDEX(Overrides!$D$8:$D$47,MATCH(B632,Overrides!$A$8:$A$47,0))="",0,INDEX(Overrides!$D$8:$D$47,MATCH(B632,Overrides!$A$8:$A$47,0))),0)</f>
        <v>0</v>
      </c>
      <c r="J632" s="38">
        <f t="shared" si="65"/>
        <v>1372.6909786169849</v>
      </c>
      <c r="K632" s="18">
        <f t="shared" si="66"/>
        <v>0.99999999999999967</v>
      </c>
      <c r="L632" s="38">
        <f t="shared" si="67"/>
        <v>1372.6909786169845</v>
      </c>
      <c r="M632" s="23">
        <f t="shared" si="68"/>
        <v>-2.4206973331665238</v>
      </c>
      <c r="N632" s="23">
        <f t="shared" si="69"/>
        <v>0.34875278928277043</v>
      </c>
      <c r="O632" s="6"/>
      <c r="P632" s="18">
        <f t="shared" si="70"/>
        <v>-0.84422494695118899</v>
      </c>
    </row>
    <row r="633" spans="1:16" ht="15" customHeight="1" x14ac:dyDescent="0.3">
      <c r="A633" s="7" t="str">
        <f>Raw_Players!A595</f>
        <v>UTA</v>
      </c>
      <c r="B633" s="7" t="str">
        <f>Raw_Players!B595</f>
        <v>Isaiah Collier</v>
      </c>
      <c r="C633" s="37">
        <f>Raw_Players!E595</f>
        <v>-2.4201530518597951</v>
      </c>
      <c r="D633" s="31">
        <f>Raw_Players!F595</f>
        <v>1305.8790189095851</v>
      </c>
      <c r="E633" s="31">
        <f>Raw_Players!G595</f>
        <v>20.420544020063751</v>
      </c>
      <c r="F633" s="31">
        <f>Raw_Players!H595</f>
        <v>63.949276651323402</v>
      </c>
      <c r="G633" s="31" t="str">
        <f>IFERROR(IF(INDEX(Overrides!$B$8:$B$47,MATCH(B633,Overrides!$A$8:$A$47,0))="","",INDEX(Overrides!$B$8:$B$47,MATCH(B633,Overrides!$A$8:$A$47,0))),"")</f>
        <v/>
      </c>
      <c r="H633" s="31" t="str">
        <f>IFERROR(IF(INDEX(Overrides!$C$8:$C$47,MATCH(B633,Overrides!$A$8:$A$47,0))="","",INDEX(Overrides!$C$8:$C$47,MATCH(B633,Overrides!$A$8:$A$47,0))),"")</f>
        <v/>
      </c>
      <c r="I633" s="36">
        <f>IFERROR(IF(INDEX(Overrides!$D$8:$D$47,MATCH(B633,Overrides!$A$8:$A$47,0))="",0,INDEX(Overrides!$D$8:$D$47,MATCH(B633,Overrides!$A$8:$A$47,0))),0)</f>
        <v>0</v>
      </c>
      <c r="J633" s="38">
        <f t="shared" si="65"/>
        <v>1305.8790189095851</v>
      </c>
      <c r="K633" s="18">
        <f t="shared" si="66"/>
        <v>0.99999999999999967</v>
      </c>
      <c r="L633" s="38">
        <f t="shared" si="67"/>
        <v>1305.8790189095846</v>
      </c>
      <c r="M633" s="23">
        <f t="shared" si="68"/>
        <v>-2.4201530518597951</v>
      </c>
      <c r="N633" s="23">
        <f t="shared" si="69"/>
        <v>0.33177820602377656</v>
      </c>
      <c r="O633" s="6"/>
      <c r="P633" s="18">
        <f t="shared" si="70"/>
        <v>-0.80295403784901065</v>
      </c>
    </row>
    <row r="634" spans="1:16" ht="15" customHeight="1" x14ac:dyDescent="0.3">
      <c r="A634" s="7" t="str">
        <f>Raw_Players!A596</f>
        <v>UTA</v>
      </c>
      <c r="B634" s="7" t="str">
        <f>Raw_Players!B596</f>
        <v>Kyle Filipowski</v>
      </c>
      <c r="C634" s="37">
        <f>Raw_Players!E596</f>
        <v>0.1470431089785498</v>
      </c>
      <c r="D634" s="31">
        <f>Raw_Players!F596</f>
        <v>1214.481983201973</v>
      </c>
      <c r="E634" s="31">
        <f>Raw_Players!G596</f>
        <v>18.386321148937839</v>
      </c>
      <c r="F634" s="31">
        <f>Raw_Players!H596</f>
        <v>66.053560870828818</v>
      </c>
      <c r="G634" s="31" t="str">
        <f>IFERROR(IF(INDEX(Overrides!$B$8:$B$47,MATCH(B634,Overrides!$A$8:$A$47,0))="","",INDEX(Overrides!$B$8:$B$47,MATCH(B634,Overrides!$A$8:$A$47,0))),"")</f>
        <v/>
      </c>
      <c r="H634" s="31" t="str">
        <f>IFERROR(IF(INDEX(Overrides!$C$8:$C$47,MATCH(B634,Overrides!$A$8:$A$47,0))="","",INDEX(Overrides!$C$8:$C$47,MATCH(B634,Overrides!$A$8:$A$47,0))),"")</f>
        <v/>
      </c>
      <c r="I634" s="36">
        <f>IFERROR(IF(INDEX(Overrides!$D$8:$D$47,MATCH(B634,Overrides!$A$8:$A$47,0))="",0,INDEX(Overrides!$D$8:$D$47,MATCH(B634,Overrides!$A$8:$A$47,0))),0)</f>
        <v>0</v>
      </c>
      <c r="J634" s="38">
        <f t="shared" si="65"/>
        <v>1214.481983201973</v>
      </c>
      <c r="K634" s="18">
        <f t="shared" si="66"/>
        <v>0.99999999999999967</v>
      </c>
      <c r="L634" s="38">
        <f t="shared" si="67"/>
        <v>1214.4819832019725</v>
      </c>
      <c r="M634" s="23">
        <f t="shared" si="68"/>
        <v>0.1470431089785498</v>
      </c>
      <c r="N634" s="23">
        <f t="shared" si="69"/>
        <v>0.30855741443139545</v>
      </c>
      <c r="O634" s="6"/>
      <c r="P634" s="18">
        <f t="shared" si="70"/>
        <v>4.5371241516375234E-2</v>
      </c>
    </row>
    <row r="635" spans="1:16" ht="15" customHeight="1" x14ac:dyDescent="0.3">
      <c r="A635" s="7" t="str">
        <f>Raw_Players!A597</f>
        <v>UTA</v>
      </c>
      <c r="B635" s="7" t="str">
        <f>Raw_Players!B597</f>
        <v>Brice Sensabaugh</v>
      </c>
      <c r="C635" s="37">
        <f>Raw_Players!E597</f>
        <v>-1.130844570829896</v>
      </c>
      <c r="D635" s="31">
        <f>Raw_Players!F597</f>
        <v>1178.1374822339901</v>
      </c>
      <c r="E635" s="31">
        <f>Raw_Players!G597</f>
        <v>17.99851044591653</v>
      </c>
      <c r="F635" s="31">
        <f>Raw_Players!H597</f>
        <v>65.457499151063601</v>
      </c>
      <c r="G635" s="31" t="str">
        <f>IFERROR(IF(INDEX(Overrides!$B$8:$B$47,MATCH(B635,Overrides!$A$8:$A$47,0))="","",INDEX(Overrides!$B$8:$B$47,MATCH(B635,Overrides!$A$8:$A$47,0))),"")</f>
        <v/>
      </c>
      <c r="H635" s="31" t="str">
        <f>IFERROR(IF(INDEX(Overrides!$C$8:$C$47,MATCH(B635,Overrides!$A$8:$A$47,0))="","",INDEX(Overrides!$C$8:$C$47,MATCH(B635,Overrides!$A$8:$A$47,0))),"")</f>
        <v/>
      </c>
      <c r="I635" s="36">
        <f>IFERROR(IF(INDEX(Overrides!$D$8:$D$47,MATCH(B635,Overrides!$A$8:$A$47,0))="",0,INDEX(Overrides!$D$8:$D$47,MATCH(B635,Overrides!$A$8:$A$47,0))),0)</f>
        <v>0</v>
      </c>
      <c r="J635" s="38">
        <f t="shared" si="65"/>
        <v>1178.1374822339901</v>
      </c>
      <c r="K635" s="18">
        <f t="shared" si="66"/>
        <v>0.99999999999999967</v>
      </c>
      <c r="L635" s="38">
        <f t="shared" si="67"/>
        <v>1178.1374822339897</v>
      </c>
      <c r="M635" s="23">
        <f t="shared" si="68"/>
        <v>-1.130844570829896</v>
      </c>
      <c r="N635" s="23">
        <f t="shared" si="69"/>
        <v>0.29932354731554617</v>
      </c>
      <c r="O635" s="6"/>
      <c r="P635" s="18">
        <f t="shared" si="70"/>
        <v>-0.33848840840333089</v>
      </c>
    </row>
    <row r="636" spans="1:16" ht="15" customHeight="1" x14ac:dyDescent="0.3">
      <c r="A636" s="7" t="str">
        <f>Raw_Players!A598</f>
        <v>UTA</v>
      </c>
      <c r="B636" s="7" t="str">
        <f>Raw_Players!B598</f>
        <v>Jusuf Nurkic</v>
      </c>
      <c r="C636" s="37">
        <f>Raw_Players!E598</f>
        <v>-0.37417446164032359</v>
      </c>
      <c r="D636" s="31">
        <f>Raw_Players!F598</f>
        <v>1085.293599582792</v>
      </c>
      <c r="E636" s="31">
        <f>Raw_Players!G598</f>
        <v>20.645971105851959</v>
      </c>
      <c r="F636" s="31">
        <f>Raw_Players!H598</f>
        <v>52.566846772113003</v>
      </c>
      <c r="G636" s="31" t="str">
        <f>IFERROR(IF(INDEX(Overrides!$B$8:$B$47,MATCH(B636,Overrides!$A$8:$A$47,0))="","",INDEX(Overrides!$B$8:$B$47,MATCH(B636,Overrides!$A$8:$A$47,0))),"")</f>
        <v/>
      </c>
      <c r="H636" s="31" t="str">
        <f>IFERROR(IF(INDEX(Overrides!$C$8:$C$47,MATCH(B636,Overrides!$A$8:$A$47,0))="","",INDEX(Overrides!$C$8:$C$47,MATCH(B636,Overrides!$A$8:$A$47,0))),"")</f>
        <v/>
      </c>
      <c r="I636" s="36">
        <f>IFERROR(IF(INDEX(Overrides!$D$8:$D$47,MATCH(B636,Overrides!$A$8:$A$47,0))="",0,INDEX(Overrides!$D$8:$D$47,MATCH(B636,Overrides!$A$8:$A$47,0))),0)</f>
        <v>0</v>
      </c>
      <c r="J636" s="38">
        <f t="shared" si="65"/>
        <v>1085.293599582792</v>
      </c>
      <c r="K636" s="18">
        <f t="shared" si="66"/>
        <v>0.99999999999999967</v>
      </c>
      <c r="L636" s="38">
        <f t="shared" si="67"/>
        <v>1085.2935995827916</v>
      </c>
      <c r="M636" s="23">
        <f t="shared" si="68"/>
        <v>-0.37417446164032359</v>
      </c>
      <c r="N636" s="23">
        <f t="shared" si="69"/>
        <v>0.27573516249562796</v>
      </c>
      <c r="O636" s="6"/>
      <c r="P636" s="18">
        <f t="shared" si="70"/>
        <v>-0.10317305598210874</v>
      </c>
    </row>
    <row r="637" spans="1:16" ht="15" customHeight="1" x14ac:dyDescent="0.3">
      <c r="A637" s="7" t="str">
        <f>Raw_Players!A599</f>
        <v>UTA</v>
      </c>
      <c r="B637" s="7" t="str">
        <f>Raw_Players!B599</f>
        <v>Josh Green</v>
      </c>
      <c r="C637" s="37">
        <f>Raw_Players!E599</f>
        <v>-0.7276461710793658</v>
      </c>
      <c r="D637" s="31">
        <f>Raw_Players!F599</f>
        <v>1079.000616378273</v>
      </c>
      <c r="E637" s="31">
        <f>Raw_Players!G599</f>
        <v>17.7874973608515</v>
      </c>
      <c r="F637" s="31">
        <f>Raw_Players!H599</f>
        <v>60.660619899966683</v>
      </c>
      <c r="G637" s="31" t="str">
        <f>IFERROR(IF(INDEX(Overrides!$B$8:$B$47,MATCH(B637,Overrides!$A$8:$A$47,0))="","",INDEX(Overrides!$B$8:$B$47,MATCH(B637,Overrides!$A$8:$A$47,0))),"")</f>
        <v/>
      </c>
      <c r="H637" s="31" t="str">
        <f>IFERROR(IF(INDEX(Overrides!$C$8:$C$47,MATCH(B637,Overrides!$A$8:$A$47,0))="","",INDEX(Overrides!$C$8:$C$47,MATCH(B637,Overrides!$A$8:$A$47,0))),"")</f>
        <v/>
      </c>
      <c r="I637" s="36">
        <f>IFERROR(IF(INDEX(Overrides!$D$8:$D$47,MATCH(B637,Overrides!$A$8:$A$47,0))="",0,INDEX(Overrides!$D$8:$D$47,MATCH(B637,Overrides!$A$8:$A$47,0))),0)</f>
        <v>0</v>
      </c>
      <c r="J637" s="38">
        <f t="shared" si="65"/>
        <v>1079.000616378273</v>
      </c>
      <c r="K637" s="18">
        <f t="shared" si="66"/>
        <v>0.99999999999999967</v>
      </c>
      <c r="L637" s="38">
        <f t="shared" si="67"/>
        <v>1079.0006163782725</v>
      </c>
      <c r="M637" s="23">
        <f t="shared" si="68"/>
        <v>-0.7276461710793658</v>
      </c>
      <c r="N637" s="23">
        <f t="shared" si="69"/>
        <v>0.27413633546195948</v>
      </c>
      <c r="O637" s="6"/>
      <c r="P637" s="18">
        <f t="shared" si="70"/>
        <v>-0.19947425485262338</v>
      </c>
    </row>
    <row r="638" spans="1:16" ht="15" customHeight="1" x14ac:dyDescent="0.3">
      <c r="A638" s="7" t="str">
        <f>Raw_Players!A600</f>
        <v>UTA</v>
      </c>
      <c r="B638" s="7" t="str">
        <f>Raw_Players!B600</f>
        <v>Svi Mykhailiuk</v>
      </c>
      <c r="C638" s="37">
        <f>Raw_Players!E600</f>
        <v>-1.2832926919879599</v>
      </c>
      <c r="D638" s="31">
        <f>Raw_Players!F600</f>
        <v>1033.0175811699739</v>
      </c>
      <c r="E638" s="31">
        <f>Raw_Players!G600</f>
        <v>17.297448780626389</v>
      </c>
      <c r="F638" s="31">
        <f>Raw_Players!H600</f>
        <v>59.720805898669937</v>
      </c>
      <c r="G638" s="31" t="str">
        <f>IFERROR(IF(INDEX(Overrides!$B$8:$B$47,MATCH(B638,Overrides!$A$8:$A$47,0))="","",INDEX(Overrides!$B$8:$B$47,MATCH(B638,Overrides!$A$8:$A$47,0))),"")</f>
        <v/>
      </c>
      <c r="H638" s="31" t="str">
        <f>IFERROR(IF(INDEX(Overrides!$C$8:$C$47,MATCH(B638,Overrides!$A$8:$A$47,0))="","",INDEX(Overrides!$C$8:$C$47,MATCH(B638,Overrides!$A$8:$A$47,0))),"")</f>
        <v/>
      </c>
      <c r="I638" s="36">
        <f>IFERROR(IF(INDEX(Overrides!$D$8:$D$47,MATCH(B638,Overrides!$A$8:$A$47,0))="",0,INDEX(Overrides!$D$8:$D$47,MATCH(B638,Overrides!$A$8:$A$47,0))),0)</f>
        <v>0</v>
      </c>
      <c r="J638" s="38">
        <f t="shared" si="65"/>
        <v>1033.0175811699739</v>
      </c>
      <c r="K638" s="18">
        <f t="shared" si="66"/>
        <v>0.99999999999999967</v>
      </c>
      <c r="L638" s="38">
        <f t="shared" si="67"/>
        <v>1033.0175811699735</v>
      </c>
      <c r="M638" s="23">
        <f t="shared" si="68"/>
        <v>-1.2832926919879599</v>
      </c>
      <c r="N638" s="23">
        <f t="shared" si="69"/>
        <v>0.26245365375253393</v>
      </c>
      <c r="O638" s="6"/>
      <c r="P638" s="18">
        <f t="shared" si="70"/>
        <v>-0.33680485584616521</v>
      </c>
    </row>
    <row r="639" spans="1:16" ht="15" customHeight="1" x14ac:dyDescent="0.3">
      <c r="A639" s="7" t="str">
        <f>Raw_Players!A601</f>
        <v>UTA</v>
      </c>
      <c r="B639" s="7" t="str">
        <f>Raw_Players!B601</f>
        <v>Jaxson Hayes</v>
      </c>
      <c r="C639" s="37">
        <f>Raw_Players!E601</f>
        <v>0.40758227978090628</v>
      </c>
      <c r="D639" s="31">
        <f>Raw_Players!F601</f>
        <v>890.96128583188874</v>
      </c>
      <c r="E639" s="31">
        <f>Raw_Players!G601</f>
        <v>14.513699657196989</v>
      </c>
      <c r="F639" s="31">
        <f>Raw_Players!H601</f>
        <v>61.387606666511317</v>
      </c>
      <c r="G639" s="31" t="str">
        <f>IFERROR(IF(INDEX(Overrides!$B$8:$B$47,MATCH(B639,Overrides!$A$8:$A$47,0))="","",INDEX(Overrides!$B$8:$B$47,MATCH(B639,Overrides!$A$8:$A$47,0))),"")</f>
        <v/>
      </c>
      <c r="H639" s="31" t="str">
        <f>IFERROR(IF(INDEX(Overrides!$C$8:$C$47,MATCH(B639,Overrides!$A$8:$A$47,0))="","",INDEX(Overrides!$C$8:$C$47,MATCH(B639,Overrides!$A$8:$A$47,0))),"")</f>
        <v/>
      </c>
      <c r="I639" s="36">
        <f>IFERROR(IF(INDEX(Overrides!$D$8:$D$47,MATCH(B639,Overrides!$A$8:$A$47,0))="",0,INDEX(Overrides!$D$8:$D$47,MATCH(B639,Overrides!$A$8:$A$47,0))),0)</f>
        <v>0</v>
      </c>
      <c r="J639" s="38">
        <f t="shared" si="65"/>
        <v>890.96128583188874</v>
      </c>
      <c r="K639" s="18">
        <f t="shared" si="66"/>
        <v>0.99999999999999967</v>
      </c>
      <c r="L639" s="38">
        <f t="shared" si="67"/>
        <v>890.9612858318884</v>
      </c>
      <c r="M639" s="23">
        <f t="shared" si="68"/>
        <v>0.40758227978090628</v>
      </c>
      <c r="N639" s="23">
        <f t="shared" si="69"/>
        <v>0.22636211530281716</v>
      </c>
      <c r="O639" s="6"/>
      <c r="P639" s="18">
        <f t="shared" si="70"/>
        <v>9.2261187011150589E-2</v>
      </c>
    </row>
    <row r="640" spans="1:16" ht="15" customHeight="1" x14ac:dyDescent="0.3">
      <c r="A640" s="7" t="str">
        <f>Raw_Players!A602</f>
        <v>UTA</v>
      </c>
      <c r="B640" s="7" t="str">
        <f>Raw_Players!B602</f>
        <v>Josh Okogie</v>
      </c>
      <c r="C640" s="37">
        <f>Raw_Players!E602</f>
        <v>-0.25869809757447948</v>
      </c>
      <c r="D640" s="31">
        <f>Raw_Players!F602</f>
        <v>872.08041497943782</v>
      </c>
      <c r="E640" s="31">
        <f>Raw_Players!G602</f>
        <v>13.96260550880495</v>
      </c>
      <c r="F640" s="31">
        <f>Raw_Players!H602</f>
        <v>62.458286487396343</v>
      </c>
      <c r="G640" s="31" t="str">
        <f>IFERROR(IF(INDEX(Overrides!$B$8:$B$47,MATCH(B640,Overrides!$A$8:$A$47,0))="","",INDEX(Overrides!$B$8:$B$47,MATCH(B640,Overrides!$A$8:$A$47,0))),"")</f>
        <v/>
      </c>
      <c r="H640" s="31" t="str">
        <f>IFERROR(IF(INDEX(Overrides!$C$8:$C$47,MATCH(B640,Overrides!$A$8:$A$47,0))="","",INDEX(Overrides!$C$8:$C$47,MATCH(B640,Overrides!$A$8:$A$47,0))),"")</f>
        <v/>
      </c>
      <c r="I640" s="36">
        <f>IFERROR(IF(INDEX(Overrides!$D$8:$D$47,MATCH(B640,Overrides!$A$8:$A$47,0))="",0,INDEX(Overrides!$D$8:$D$47,MATCH(B640,Overrides!$A$8:$A$47,0))),0)</f>
        <v>0</v>
      </c>
      <c r="J640" s="38">
        <f t="shared" si="65"/>
        <v>872.08041497943782</v>
      </c>
      <c r="K640" s="18">
        <f t="shared" si="66"/>
        <v>0.99999999999999967</v>
      </c>
      <c r="L640" s="38">
        <f t="shared" si="67"/>
        <v>872.08041497943748</v>
      </c>
      <c r="M640" s="23">
        <f t="shared" si="68"/>
        <v>-0.25869809757447948</v>
      </c>
      <c r="N640" s="23">
        <f t="shared" si="69"/>
        <v>0.22156514608217415</v>
      </c>
      <c r="O640" s="6"/>
      <c r="P640" s="18">
        <f t="shared" si="70"/>
        <v>-5.7318481780270089E-2</v>
      </c>
    </row>
    <row r="641" spans="1:16" ht="15" customHeight="1" x14ac:dyDescent="0.3">
      <c r="A641" s="7" t="str">
        <f>Raw_Players!A603</f>
        <v>UTA</v>
      </c>
      <c r="B641" s="7" t="str">
        <f>Raw_Players!B603</f>
        <v>Blake Hinson</v>
      </c>
      <c r="C641" s="37">
        <f>Raw_Players!E603</f>
        <v>-1.118687877178439</v>
      </c>
      <c r="D641" s="31">
        <f>Raw_Players!F603</f>
        <v>605.60302971322642</v>
      </c>
      <c r="E641" s="31">
        <f>Raw_Players!G603</f>
        <v>13.64067016784827</v>
      </c>
      <c r="F641" s="31">
        <f>Raw_Players!H603</f>
        <v>44.396867768319972</v>
      </c>
      <c r="G641" s="31" t="str">
        <f>IFERROR(IF(INDEX(Overrides!$B$8:$B$47,MATCH(B641,Overrides!$A$8:$A$47,0))="","",INDEX(Overrides!$B$8:$B$47,MATCH(B641,Overrides!$A$8:$A$47,0))),"")</f>
        <v/>
      </c>
      <c r="H641" s="31" t="str">
        <f>IFERROR(IF(INDEX(Overrides!$C$8:$C$47,MATCH(B641,Overrides!$A$8:$A$47,0))="","",INDEX(Overrides!$C$8:$C$47,MATCH(B641,Overrides!$A$8:$A$47,0))),"")</f>
        <v/>
      </c>
      <c r="I641" s="36">
        <f>IFERROR(IF(INDEX(Overrides!$D$8:$D$47,MATCH(B641,Overrides!$A$8:$A$47,0))="",0,INDEX(Overrides!$D$8:$D$47,MATCH(B641,Overrides!$A$8:$A$47,0))),0)</f>
        <v>0</v>
      </c>
      <c r="J641" s="38">
        <f t="shared" si="65"/>
        <v>605.60302971322642</v>
      </c>
      <c r="K641" s="18">
        <f t="shared" si="66"/>
        <v>0.99999999999999967</v>
      </c>
      <c r="L641" s="38">
        <f t="shared" si="67"/>
        <v>605.60302971322619</v>
      </c>
      <c r="M641" s="23">
        <f t="shared" si="68"/>
        <v>-1.118687877178439</v>
      </c>
      <c r="N641" s="23">
        <f t="shared" si="69"/>
        <v>0.15386255836210014</v>
      </c>
      <c r="O641" s="6"/>
      <c r="P641" s="18">
        <f t="shared" si="70"/>
        <v>-0.17212417879134148</v>
      </c>
    </row>
    <row r="642" spans="1:16" ht="15" customHeight="1" x14ac:dyDescent="0.3">
      <c r="A642" s="7" t="str">
        <f>Raw_Players!A604</f>
        <v>UTA</v>
      </c>
      <c r="B642" s="7" t="str">
        <f>Raw_Players!B604</f>
        <v>Mo Bamba</v>
      </c>
      <c r="C642" s="37">
        <f>Raw_Players!E604</f>
        <v>-1.6737712418126141</v>
      </c>
      <c r="D642" s="31">
        <f>Raw_Players!F604</f>
        <v>464.33334063558073</v>
      </c>
      <c r="E642" s="31">
        <f>Raw_Players!G604</f>
        <v>10.77081923304242</v>
      </c>
      <c r="F642" s="31">
        <f>Raw_Players!H604</f>
        <v>43.110308565119361</v>
      </c>
      <c r="G642" s="31" t="str">
        <f>IFERROR(IF(INDEX(Overrides!$B$8:$B$47,MATCH(B642,Overrides!$A$8:$A$47,0))="","",INDEX(Overrides!$B$8:$B$47,MATCH(B642,Overrides!$A$8:$A$47,0))),"")</f>
        <v/>
      </c>
      <c r="H642" s="31" t="str">
        <f>IFERROR(IF(INDEX(Overrides!$C$8:$C$47,MATCH(B642,Overrides!$A$8:$A$47,0))="","",INDEX(Overrides!$C$8:$C$47,MATCH(B642,Overrides!$A$8:$A$47,0))),"")</f>
        <v/>
      </c>
      <c r="I642" s="36">
        <f>IFERROR(IF(INDEX(Overrides!$D$8:$D$47,MATCH(B642,Overrides!$A$8:$A$47,0))="",0,INDEX(Overrides!$D$8:$D$47,MATCH(B642,Overrides!$A$8:$A$47,0))),0)</f>
        <v>0</v>
      </c>
      <c r="J642" s="38">
        <f t="shared" si="65"/>
        <v>464.33334063558073</v>
      </c>
      <c r="K642" s="18">
        <f t="shared" si="66"/>
        <v>0.99999999999999967</v>
      </c>
      <c r="L642" s="38">
        <f t="shared" si="67"/>
        <v>464.33334063558056</v>
      </c>
      <c r="M642" s="23">
        <f t="shared" si="68"/>
        <v>-1.6737712418126141</v>
      </c>
      <c r="N642" s="23">
        <f t="shared" si="69"/>
        <v>0.11797086906391782</v>
      </c>
      <c r="O642" s="6"/>
      <c r="P642" s="18">
        <f t="shared" si="70"/>
        <v>-0.19745624801082703</v>
      </c>
    </row>
    <row r="643" spans="1:16" ht="15" customHeight="1" x14ac:dyDescent="0.3">
      <c r="A643" s="7" t="str">
        <f>Raw_Players!A605</f>
        <v>UTA</v>
      </c>
      <c r="B643" s="7" t="str">
        <f>Raw_Players!B605</f>
        <v>Trey Alexander</v>
      </c>
      <c r="C643" s="37">
        <f>Raw_Players!E605</f>
        <v>-2.201566667808514</v>
      </c>
      <c r="D643" s="31">
        <f>Raw_Players!F605</f>
        <v>343.04574119621708</v>
      </c>
      <c r="E643" s="31">
        <f>Raw_Players!G605</f>
        <v>7.7190886415093374</v>
      </c>
      <c r="F643" s="31">
        <f>Raw_Players!H605</f>
        <v>44.441223197190851</v>
      </c>
      <c r="G643" s="31" t="str">
        <f>IFERROR(IF(INDEX(Overrides!$B$8:$B$47,MATCH(B643,Overrides!$A$8:$A$47,0))="","",INDEX(Overrides!$B$8:$B$47,MATCH(B643,Overrides!$A$8:$A$47,0))),"")</f>
        <v/>
      </c>
      <c r="H643" s="31" t="str">
        <f>IFERROR(IF(INDEX(Overrides!$C$8:$C$47,MATCH(B643,Overrides!$A$8:$A$47,0))="","",INDEX(Overrides!$C$8:$C$47,MATCH(B643,Overrides!$A$8:$A$47,0))),"")</f>
        <v/>
      </c>
      <c r="I643" s="36">
        <f>IFERROR(IF(INDEX(Overrides!$D$8:$D$47,MATCH(B643,Overrides!$A$8:$A$47,0))="",0,INDEX(Overrides!$D$8:$D$47,MATCH(B643,Overrides!$A$8:$A$47,0))),0)</f>
        <v>0</v>
      </c>
      <c r="J643" s="38">
        <f t="shared" si="65"/>
        <v>343.04574119621708</v>
      </c>
      <c r="K643" s="18">
        <f t="shared" si="66"/>
        <v>0.99999999999999967</v>
      </c>
      <c r="L643" s="38">
        <f t="shared" si="67"/>
        <v>343.04574119621697</v>
      </c>
      <c r="M643" s="23">
        <f t="shared" si="68"/>
        <v>-2.201566667808514</v>
      </c>
      <c r="N643" s="23">
        <f t="shared" si="69"/>
        <v>8.7155930181965699E-2</v>
      </c>
      <c r="O643" s="6"/>
      <c r="P643" s="18">
        <f t="shared" si="70"/>
        <v>-0.19187959079046171</v>
      </c>
    </row>
    <row r="644" spans="1:16" ht="15" customHeight="1" x14ac:dyDescent="0.3">
      <c r="A644" s="7" t="str">
        <f>Raw_Players!A606</f>
        <v>UTA</v>
      </c>
      <c r="B644" s="7" t="str">
        <f>Raw_Players!B606</f>
        <v>Jonas Aidoo</v>
      </c>
      <c r="C644" s="37">
        <f>Raw_Players!E606</f>
        <v>-3.1867960702466678</v>
      </c>
      <c r="D644" s="31">
        <f>Raw_Players!F606</f>
        <v>330.78521503079821</v>
      </c>
      <c r="E644" s="31">
        <f>Raw_Players!G606</f>
        <v>10.903222996217499</v>
      </c>
      <c r="F644" s="31">
        <f>Raw_Players!H606</f>
        <v>30.338296772023529</v>
      </c>
      <c r="G644" s="31" t="str">
        <f>IFERROR(IF(INDEX(Overrides!$B$8:$B$47,MATCH(B644,Overrides!$A$8:$A$47,0))="","",INDEX(Overrides!$B$8:$B$47,MATCH(B644,Overrides!$A$8:$A$47,0))),"")</f>
        <v/>
      </c>
      <c r="H644" s="31" t="str">
        <f>IFERROR(IF(INDEX(Overrides!$C$8:$C$47,MATCH(B644,Overrides!$A$8:$A$47,0))="","",INDEX(Overrides!$C$8:$C$47,MATCH(B644,Overrides!$A$8:$A$47,0))),"")</f>
        <v/>
      </c>
      <c r="I644" s="36">
        <f>IFERROR(IF(INDEX(Overrides!$D$8:$D$47,MATCH(B644,Overrides!$A$8:$A$47,0))="",0,INDEX(Overrides!$D$8:$D$47,MATCH(B644,Overrides!$A$8:$A$47,0))),0)</f>
        <v>0</v>
      </c>
      <c r="J644" s="38">
        <f t="shared" si="65"/>
        <v>330.78521503079821</v>
      </c>
      <c r="K644" s="18">
        <f t="shared" si="66"/>
        <v>0.99999999999999967</v>
      </c>
      <c r="L644" s="38">
        <f t="shared" si="67"/>
        <v>330.7852150307981</v>
      </c>
      <c r="M644" s="23">
        <f t="shared" si="68"/>
        <v>-3.1867960702466678</v>
      </c>
      <c r="N644" s="23">
        <f t="shared" si="69"/>
        <v>8.4040959103353172E-2</v>
      </c>
      <c r="O644" s="6"/>
      <c r="P644" s="18">
        <f t="shared" si="70"/>
        <v>-0.2678213982103268</v>
      </c>
    </row>
    <row r="645" spans="1:16" ht="15" customHeight="1" x14ac:dyDescent="0.3">
      <c r="A645" s="7" t="str">
        <f>Raw_Players!A607</f>
        <v>UTA</v>
      </c>
      <c r="B645" s="7" t="str">
        <f>Raw_Players!B607</f>
        <v>Tamar Bates</v>
      </c>
      <c r="C645" s="37">
        <f>Raw_Players!E607</f>
        <v>-3.1867960702466678</v>
      </c>
      <c r="D645" s="31">
        <f>Raw_Players!F607</f>
        <v>330.78521503079821</v>
      </c>
      <c r="E645" s="31">
        <f>Raw_Players!G607</f>
        <v>10.903222996217499</v>
      </c>
      <c r="F645" s="31">
        <f>Raw_Players!H607</f>
        <v>30.338296772023529</v>
      </c>
      <c r="G645" s="31" t="str">
        <f>IFERROR(IF(INDEX(Overrides!$B$8:$B$47,MATCH(B645,Overrides!$A$8:$A$47,0))="","",INDEX(Overrides!$B$8:$B$47,MATCH(B645,Overrides!$A$8:$A$47,0))),"")</f>
        <v/>
      </c>
      <c r="H645" s="31" t="str">
        <f>IFERROR(IF(INDEX(Overrides!$C$8:$C$47,MATCH(B645,Overrides!$A$8:$A$47,0))="","",INDEX(Overrides!$C$8:$C$47,MATCH(B645,Overrides!$A$8:$A$47,0))),"")</f>
        <v/>
      </c>
      <c r="I645" s="36">
        <f>IFERROR(IF(INDEX(Overrides!$D$8:$D$47,MATCH(B645,Overrides!$A$8:$A$47,0))="",0,INDEX(Overrides!$D$8:$D$47,MATCH(B645,Overrides!$A$8:$A$47,0))),0)</f>
        <v>0</v>
      </c>
      <c r="J645" s="38">
        <f t="shared" si="65"/>
        <v>330.78521503079821</v>
      </c>
      <c r="K645" s="18">
        <f t="shared" si="66"/>
        <v>0.99999999999999967</v>
      </c>
      <c r="L645" s="38">
        <f t="shared" si="67"/>
        <v>330.7852150307981</v>
      </c>
      <c r="M645" s="23">
        <f t="shared" si="68"/>
        <v>-3.1867960702466678</v>
      </c>
      <c r="N645" s="23">
        <f t="shared" si="69"/>
        <v>8.4040959103353172E-2</v>
      </c>
      <c r="O645" s="6"/>
      <c r="P645" s="18">
        <f t="shared" si="70"/>
        <v>-0.2678213982103268</v>
      </c>
    </row>
    <row r="646" spans="1:16" ht="15" customHeight="1" x14ac:dyDescent="0.3">
      <c r="A646" s="7" t="str">
        <f>Raw_Players!A608</f>
        <v>UTA</v>
      </c>
      <c r="B646" s="7" t="str">
        <f>Raw_Players!B608</f>
        <v>Terrell Brown Jr.</v>
      </c>
      <c r="C646" s="37">
        <f>Raw_Players!E608</f>
        <v>-3.1867960702466678</v>
      </c>
      <c r="D646" s="31">
        <f>Raw_Players!F608</f>
        <v>330.78521503079821</v>
      </c>
      <c r="E646" s="31">
        <f>Raw_Players!G608</f>
        <v>10.903222996217499</v>
      </c>
      <c r="F646" s="31">
        <f>Raw_Players!H608</f>
        <v>30.338296772023529</v>
      </c>
      <c r="G646" s="31" t="str">
        <f>IFERROR(IF(INDEX(Overrides!$B$8:$B$47,MATCH(B646,Overrides!$A$8:$A$47,0))="","",INDEX(Overrides!$B$8:$B$47,MATCH(B646,Overrides!$A$8:$A$47,0))),"")</f>
        <v/>
      </c>
      <c r="H646" s="31" t="str">
        <f>IFERROR(IF(INDEX(Overrides!$C$8:$C$47,MATCH(B646,Overrides!$A$8:$A$47,0))="","",INDEX(Overrides!$C$8:$C$47,MATCH(B646,Overrides!$A$8:$A$47,0))),"")</f>
        <v/>
      </c>
      <c r="I646" s="36">
        <f>IFERROR(IF(INDEX(Overrides!$D$8:$D$47,MATCH(B646,Overrides!$A$8:$A$47,0))="",0,INDEX(Overrides!$D$8:$D$47,MATCH(B646,Overrides!$A$8:$A$47,0))),0)</f>
        <v>0</v>
      </c>
      <c r="J646" s="38">
        <f t="shared" si="65"/>
        <v>330.78521503079821</v>
      </c>
      <c r="K646" s="18">
        <f t="shared" si="66"/>
        <v>0.99999999999999967</v>
      </c>
      <c r="L646" s="38">
        <f t="shared" si="67"/>
        <v>330.7852150307981</v>
      </c>
      <c r="M646" s="23">
        <f t="shared" si="68"/>
        <v>-3.1867960702466678</v>
      </c>
      <c r="N646" s="23">
        <f t="shared" si="69"/>
        <v>8.4040959103353172E-2</v>
      </c>
      <c r="O646" s="6"/>
      <c r="P646" s="18">
        <f t="shared" si="70"/>
        <v>-0.2678213982103268</v>
      </c>
    </row>
    <row r="647" spans="1:16" ht="15" customHeight="1" x14ac:dyDescent="0.3">
      <c r="A647" s="7" t="str">
        <f>Raw_Players!A609</f>
        <v>UTA</v>
      </c>
      <c r="B647" s="7" t="str">
        <f>Raw_Players!B609</f>
        <v>Taylor Funk</v>
      </c>
      <c r="C647" s="37">
        <f>Raw_Players!E609</f>
        <v>-3.1867960702466678</v>
      </c>
      <c r="D647" s="31">
        <f>Raw_Players!F609</f>
        <v>330.78521503079821</v>
      </c>
      <c r="E647" s="31">
        <f>Raw_Players!G609</f>
        <v>10.903222996217499</v>
      </c>
      <c r="F647" s="31">
        <f>Raw_Players!H609</f>
        <v>30.338296772023529</v>
      </c>
      <c r="G647" s="31" t="str">
        <f>IFERROR(IF(INDEX(Overrides!$B$8:$B$47,MATCH(B647,Overrides!$A$8:$A$47,0))="","",INDEX(Overrides!$B$8:$B$47,MATCH(B647,Overrides!$A$8:$A$47,0))),"")</f>
        <v/>
      </c>
      <c r="H647" s="31" t="str">
        <f>IFERROR(IF(INDEX(Overrides!$C$8:$C$47,MATCH(B647,Overrides!$A$8:$A$47,0))="","",INDEX(Overrides!$C$8:$C$47,MATCH(B647,Overrides!$A$8:$A$47,0))),"")</f>
        <v/>
      </c>
      <c r="I647" s="36">
        <f>IFERROR(IF(INDEX(Overrides!$D$8:$D$47,MATCH(B647,Overrides!$A$8:$A$47,0))="",0,INDEX(Overrides!$D$8:$D$47,MATCH(B647,Overrides!$A$8:$A$47,0))),0)</f>
        <v>0</v>
      </c>
      <c r="J647" s="38">
        <f t="shared" si="65"/>
        <v>330.78521503079821</v>
      </c>
      <c r="K647" s="18">
        <f t="shared" si="66"/>
        <v>0.99999999999999967</v>
      </c>
      <c r="L647" s="38">
        <f t="shared" si="67"/>
        <v>330.7852150307981</v>
      </c>
      <c r="M647" s="23">
        <f t="shared" si="68"/>
        <v>-3.1867960702466678</v>
      </c>
      <c r="N647" s="23">
        <f t="shared" si="69"/>
        <v>8.4040959103353172E-2</v>
      </c>
      <c r="O647" s="6"/>
      <c r="P647" s="18">
        <f t="shared" si="70"/>
        <v>-0.2678213982103268</v>
      </c>
    </row>
    <row r="648" spans="1:16" ht="15" customHeight="1" x14ac:dyDescent="0.3">
      <c r="A648" s="7" t="str">
        <f>Raw_Players!A610</f>
        <v>UTA</v>
      </c>
      <c r="B648" s="7" t="str">
        <f>Raw_Players!B610</f>
        <v>Harrison Ingram</v>
      </c>
      <c r="C648" s="37">
        <f>Raw_Players!E610</f>
        <v>-1.3062399279750441</v>
      </c>
      <c r="D648" s="31">
        <f>Raw_Players!F610</f>
        <v>314.06572013166351</v>
      </c>
      <c r="E648" s="31">
        <f>Raw_Players!G610</f>
        <v>7.4484252013301946</v>
      </c>
      <c r="F648" s="31">
        <f>Raw_Players!H610</f>
        <v>42.16538552009294</v>
      </c>
      <c r="G648" s="31" t="str">
        <f>IFERROR(IF(INDEX(Overrides!$B$8:$B$47,MATCH(B648,Overrides!$A$8:$A$47,0))="","",INDEX(Overrides!$B$8:$B$47,MATCH(B648,Overrides!$A$8:$A$47,0))),"")</f>
        <v/>
      </c>
      <c r="H648" s="31" t="str">
        <f>IFERROR(IF(INDEX(Overrides!$C$8:$C$47,MATCH(B648,Overrides!$A$8:$A$47,0))="","",INDEX(Overrides!$C$8:$C$47,MATCH(B648,Overrides!$A$8:$A$47,0))),"")</f>
        <v/>
      </c>
      <c r="I648" s="36">
        <f>IFERROR(IF(INDEX(Overrides!$D$8:$D$47,MATCH(B648,Overrides!$A$8:$A$47,0))="",0,INDEX(Overrides!$D$8:$D$47,MATCH(B648,Overrides!$A$8:$A$47,0))),0)</f>
        <v>0</v>
      </c>
      <c r="J648" s="38">
        <f t="shared" si="65"/>
        <v>314.06572013166351</v>
      </c>
      <c r="K648" s="18">
        <f t="shared" si="66"/>
        <v>0.99999999999999967</v>
      </c>
      <c r="L648" s="38">
        <f t="shared" si="67"/>
        <v>314.0657201316634</v>
      </c>
      <c r="M648" s="23">
        <f t="shared" si="68"/>
        <v>-1.3062399279750441</v>
      </c>
      <c r="N648" s="23">
        <f t="shared" si="69"/>
        <v>7.9793119952150257E-2</v>
      </c>
      <c r="O648" s="6"/>
      <c r="P648" s="18">
        <f t="shared" si="70"/>
        <v>-0.10422895925920081</v>
      </c>
    </row>
    <row r="649" spans="1:16" ht="15" customHeight="1" x14ac:dyDescent="0.3">
      <c r="A649" s="7" t="str">
        <f>Raw_Players!A611</f>
        <v>WAS</v>
      </c>
      <c r="B649" s="7" t="str">
        <f>Raw_Players!B611</f>
        <v>AJ Dybantsa</v>
      </c>
      <c r="C649" s="37">
        <f>Raw_Players!E611</f>
        <v>-1.760298709370351</v>
      </c>
      <c r="D649" s="31">
        <f>Raw_Players!F611</f>
        <v>1904.9009871466451</v>
      </c>
      <c r="E649" s="31">
        <f>Raw_Players!G611</f>
        <v>23.948968910568841</v>
      </c>
      <c r="F649" s="31">
        <f>Raw_Players!H611</f>
        <v>79.539999999999992</v>
      </c>
      <c r="G649" s="31" t="str">
        <f>IFERROR(IF(INDEX(Overrides!$B$8:$B$47,MATCH(B649,Overrides!$A$8:$A$47,0))="","",INDEX(Overrides!$B$8:$B$47,MATCH(B649,Overrides!$A$8:$A$47,0))),"")</f>
        <v/>
      </c>
      <c r="H649" s="31" t="str">
        <f>IFERROR(IF(INDEX(Overrides!$C$8:$C$47,MATCH(B649,Overrides!$A$8:$A$47,0))="","",INDEX(Overrides!$C$8:$C$47,MATCH(B649,Overrides!$A$8:$A$47,0))),"")</f>
        <v/>
      </c>
      <c r="I649" s="36">
        <f>IFERROR(IF(INDEX(Overrides!$D$8:$D$47,MATCH(B649,Overrides!$A$8:$A$47,0))="",0,INDEX(Overrides!$D$8:$D$47,MATCH(B649,Overrides!$A$8:$A$47,0))),0)</f>
        <v>0</v>
      </c>
      <c r="J649" s="38">
        <f t="shared" si="65"/>
        <v>1904.9009871466451</v>
      </c>
      <c r="K649" s="18">
        <f t="shared" si="66"/>
        <v>1</v>
      </c>
      <c r="L649" s="38">
        <f t="shared" si="67"/>
        <v>1904.9009871466451</v>
      </c>
      <c r="M649" s="23">
        <f t="shared" si="68"/>
        <v>-1.760298709370351</v>
      </c>
      <c r="N649" s="23">
        <f t="shared" si="69"/>
        <v>0.48396874673441187</v>
      </c>
      <c r="O649" s="6"/>
      <c r="P649" s="18">
        <f t="shared" si="70"/>
        <v>-0.85192956025217148</v>
      </c>
    </row>
    <row r="650" spans="1:16" ht="15" customHeight="1" x14ac:dyDescent="0.3">
      <c r="A650" s="7" t="str">
        <f>Raw_Players!A612</f>
        <v>WAS</v>
      </c>
      <c r="B650" s="7" t="str">
        <f>Raw_Players!B612</f>
        <v>Bub Carrington</v>
      </c>
      <c r="C650" s="37">
        <f>Raw_Players!E612</f>
        <v>-3.3387484039245319</v>
      </c>
      <c r="D650" s="31">
        <f>Raw_Players!F612</f>
        <v>1479.7930597306331</v>
      </c>
      <c r="E650" s="31">
        <f>Raw_Players!G612</f>
        <v>21.684520313857242</v>
      </c>
      <c r="F650" s="31">
        <f>Raw_Players!H612</f>
        <v>68.2419088968728</v>
      </c>
      <c r="G650" s="31" t="str">
        <f>IFERROR(IF(INDEX(Overrides!$B$8:$B$47,MATCH(B650,Overrides!$A$8:$A$47,0))="","",INDEX(Overrides!$B$8:$B$47,MATCH(B650,Overrides!$A$8:$A$47,0))),"")</f>
        <v/>
      </c>
      <c r="H650" s="31" t="str">
        <f>IFERROR(IF(INDEX(Overrides!$C$8:$C$47,MATCH(B650,Overrides!$A$8:$A$47,0))="","",INDEX(Overrides!$C$8:$C$47,MATCH(B650,Overrides!$A$8:$A$47,0))),"")</f>
        <v/>
      </c>
      <c r="I650" s="36">
        <f>IFERROR(IF(INDEX(Overrides!$D$8:$D$47,MATCH(B650,Overrides!$A$8:$A$47,0))="",0,INDEX(Overrides!$D$8:$D$47,MATCH(B650,Overrides!$A$8:$A$47,0))),0)</f>
        <v>0</v>
      </c>
      <c r="J650" s="38">
        <f t="shared" si="65"/>
        <v>1479.7930597306331</v>
      </c>
      <c r="K650" s="18">
        <f t="shared" si="66"/>
        <v>1</v>
      </c>
      <c r="L650" s="38">
        <f t="shared" si="67"/>
        <v>1479.7930597306331</v>
      </c>
      <c r="M650" s="23">
        <f t="shared" si="68"/>
        <v>-3.3387484039245319</v>
      </c>
      <c r="N650" s="23">
        <f t="shared" si="69"/>
        <v>0.37596368387465273</v>
      </c>
      <c r="O650" s="6"/>
      <c r="P650" s="18">
        <f t="shared" si="70"/>
        <v>-1.255248149470084</v>
      </c>
    </row>
    <row r="651" spans="1:16" ht="15" customHeight="1" x14ac:dyDescent="0.3">
      <c r="A651" s="7" t="str">
        <f>Raw_Players!A613</f>
        <v>WAS</v>
      </c>
      <c r="B651" s="7" t="str">
        <f>Raw_Players!B613</f>
        <v>Kyshawn George</v>
      </c>
      <c r="C651" s="37">
        <f>Raw_Players!E613</f>
        <v>-1.295402687956722</v>
      </c>
      <c r="D651" s="31">
        <f>Raw_Players!F613</f>
        <v>1377.466599456649</v>
      </c>
      <c r="E651" s="31">
        <f>Raw_Players!G613</f>
        <v>21.806891375914809</v>
      </c>
      <c r="F651" s="31">
        <f>Raw_Players!H613</f>
        <v>63.166573158521217</v>
      </c>
      <c r="G651" s="31" t="str">
        <f>IFERROR(IF(INDEX(Overrides!$B$8:$B$47,MATCH(B651,Overrides!$A$8:$A$47,0))="","",INDEX(Overrides!$B$8:$B$47,MATCH(B651,Overrides!$A$8:$A$47,0))),"")</f>
        <v/>
      </c>
      <c r="H651" s="31" t="str">
        <f>IFERROR(IF(INDEX(Overrides!$C$8:$C$47,MATCH(B651,Overrides!$A$8:$A$47,0))="","",INDEX(Overrides!$C$8:$C$47,MATCH(B651,Overrides!$A$8:$A$47,0))),"")</f>
        <v/>
      </c>
      <c r="I651" s="36">
        <f>IFERROR(IF(INDEX(Overrides!$D$8:$D$47,MATCH(B651,Overrides!$A$8:$A$47,0))="",0,INDEX(Overrides!$D$8:$D$47,MATCH(B651,Overrides!$A$8:$A$47,0))),0)</f>
        <v>0</v>
      </c>
      <c r="J651" s="38">
        <f t="shared" si="65"/>
        <v>1377.466599456649</v>
      </c>
      <c r="K651" s="18">
        <f t="shared" si="66"/>
        <v>1</v>
      </c>
      <c r="L651" s="38">
        <f t="shared" si="67"/>
        <v>1377.466599456649</v>
      </c>
      <c r="M651" s="23">
        <f t="shared" si="68"/>
        <v>-1.295402687956722</v>
      </c>
      <c r="N651" s="23">
        <f t="shared" si="69"/>
        <v>0.34996610758553071</v>
      </c>
      <c r="O651" s="6"/>
      <c r="P651" s="18">
        <f t="shared" si="70"/>
        <v>-0.45334703646004781</v>
      </c>
    </row>
    <row r="652" spans="1:16" ht="15" customHeight="1" x14ac:dyDescent="0.3">
      <c r="A652" s="7" t="str">
        <f>Raw_Players!A614</f>
        <v>WAS</v>
      </c>
      <c r="B652" s="7" t="str">
        <f>Raw_Players!B614</f>
        <v>Deandre Ayton</v>
      </c>
      <c r="C652" s="37">
        <f>Raw_Players!E614</f>
        <v>-0.15750140853511571</v>
      </c>
      <c r="D652" s="31">
        <f>Raw_Players!F614</f>
        <v>1329.6150618030661</v>
      </c>
      <c r="E652" s="31">
        <f>Raw_Players!G614</f>
        <v>21.814826348210971</v>
      </c>
      <c r="F652" s="31">
        <f>Raw_Players!H614</f>
        <v>60.950063987656137</v>
      </c>
      <c r="G652" s="31" t="str">
        <f>IFERROR(IF(INDEX(Overrides!$B$8:$B$47,MATCH(B652,Overrides!$A$8:$A$47,0))="","",INDEX(Overrides!$B$8:$B$47,MATCH(B652,Overrides!$A$8:$A$47,0))),"")</f>
        <v/>
      </c>
      <c r="H652" s="31" t="str">
        <f>IFERROR(IF(INDEX(Overrides!$C$8:$C$47,MATCH(B652,Overrides!$A$8:$A$47,0))="","",INDEX(Overrides!$C$8:$C$47,MATCH(B652,Overrides!$A$8:$A$47,0))),"")</f>
        <v/>
      </c>
      <c r="I652" s="36">
        <f>IFERROR(IF(INDEX(Overrides!$D$8:$D$47,MATCH(B652,Overrides!$A$8:$A$47,0))="",0,INDEX(Overrides!$D$8:$D$47,MATCH(B652,Overrides!$A$8:$A$47,0))),0)</f>
        <v>0</v>
      </c>
      <c r="J652" s="38">
        <f t="shared" si="65"/>
        <v>1329.6150618030661</v>
      </c>
      <c r="K652" s="18">
        <f t="shared" si="66"/>
        <v>1</v>
      </c>
      <c r="L652" s="38">
        <f t="shared" si="67"/>
        <v>1329.6150618030661</v>
      </c>
      <c r="M652" s="23">
        <f t="shared" si="68"/>
        <v>-0.15750140853511571</v>
      </c>
      <c r="N652" s="23">
        <f t="shared" si="69"/>
        <v>0.33780870472638874</v>
      </c>
      <c r="O652" s="6"/>
      <c r="P652" s="18">
        <f t="shared" si="70"/>
        <v>-5.3205346809829225E-2</v>
      </c>
    </row>
    <row r="653" spans="1:16" ht="15" customHeight="1" x14ac:dyDescent="0.3">
      <c r="A653" s="7" t="str">
        <f>Raw_Players!A615</f>
        <v>WAS</v>
      </c>
      <c r="B653" s="7" t="str">
        <f>Raw_Players!B615</f>
        <v>Alex Sarr</v>
      </c>
      <c r="C653" s="37">
        <f>Raw_Players!E615</f>
        <v>-0.9354288271459178</v>
      </c>
      <c r="D653" s="31">
        <f>Raw_Players!F615</f>
        <v>1314.284585527324</v>
      </c>
      <c r="E653" s="31">
        <f>Raw_Players!G615</f>
        <v>20.921379357106002</v>
      </c>
      <c r="F653" s="31">
        <f>Raw_Players!H615</f>
        <v>62.8201689331217</v>
      </c>
      <c r="G653" s="31" t="str">
        <f>IFERROR(IF(INDEX(Overrides!$B$8:$B$47,MATCH(B653,Overrides!$A$8:$A$47,0))="","",INDEX(Overrides!$B$8:$B$47,MATCH(B653,Overrides!$A$8:$A$47,0))),"")</f>
        <v/>
      </c>
      <c r="H653" s="31" t="str">
        <f>IFERROR(IF(INDEX(Overrides!$C$8:$C$47,MATCH(B653,Overrides!$A$8:$A$47,0))="","",INDEX(Overrides!$C$8:$C$47,MATCH(B653,Overrides!$A$8:$A$47,0))),"")</f>
        <v/>
      </c>
      <c r="I653" s="36">
        <f>IFERROR(IF(INDEX(Overrides!$D$8:$D$47,MATCH(B653,Overrides!$A$8:$A$47,0))="",0,INDEX(Overrides!$D$8:$D$47,MATCH(B653,Overrides!$A$8:$A$47,0))),0)</f>
        <v>0</v>
      </c>
      <c r="J653" s="38">
        <f t="shared" si="65"/>
        <v>1314.284585527324</v>
      </c>
      <c r="K653" s="18">
        <f t="shared" si="66"/>
        <v>1</v>
      </c>
      <c r="L653" s="38">
        <f t="shared" si="67"/>
        <v>1314.284585527324</v>
      </c>
      <c r="M653" s="23">
        <f t="shared" si="68"/>
        <v>-0.9354288271459178</v>
      </c>
      <c r="N653" s="23">
        <f t="shared" si="69"/>
        <v>0.33391376664820221</v>
      </c>
      <c r="O653" s="6"/>
      <c r="P653" s="18">
        <f t="shared" si="70"/>
        <v>-0.31235256310360349</v>
      </c>
    </row>
    <row r="654" spans="1:16" ht="15" customHeight="1" x14ac:dyDescent="0.3">
      <c r="A654" s="7" t="str">
        <f>Raw_Players!A616</f>
        <v>WAS</v>
      </c>
      <c r="B654" s="7" t="str">
        <f>Raw_Players!B616</f>
        <v>Bilal Coulibaly</v>
      </c>
      <c r="C654" s="37">
        <f>Raw_Players!E616</f>
        <v>-1.84920305848348</v>
      </c>
      <c r="D654" s="31">
        <f>Raw_Players!F616</f>
        <v>1295.2649241291861</v>
      </c>
      <c r="E654" s="31">
        <f>Raw_Players!G616</f>
        <v>21.746640346802049</v>
      </c>
      <c r="F654" s="31">
        <f>Raw_Players!H616</f>
        <v>59.561610596997838</v>
      </c>
      <c r="G654" s="31" t="str">
        <f>IFERROR(IF(INDEX(Overrides!$B$8:$B$47,MATCH(B654,Overrides!$A$8:$A$47,0))="","",INDEX(Overrides!$B$8:$B$47,MATCH(B654,Overrides!$A$8:$A$47,0))),"")</f>
        <v/>
      </c>
      <c r="H654" s="31" t="str">
        <f>IFERROR(IF(INDEX(Overrides!$C$8:$C$47,MATCH(B654,Overrides!$A$8:$A$47,0))="","",INDEX(Overrides!$C$8:$C$47,MATCH(B654,Overrides!$A$8:$A$47,0))),"")</f>
        <v/>
      </c>
      <c r="I654" s="36">
        <f>IFERROR(IF(INDEX(Overrides!$D$8:$D$47,MATCH(B654,Overrides!$A$8:$A$47,0))="",0,INDEX(Overrides!$D$8:$D$47,MATCH(B654,Overrides!$A$8:$A$47,0))),0)</f>
        <v>0</v>
      </c>
      <c r="J654" s="38">
        <f t="shared" si="65"/>
        <v>1295.2649241291861</v>
      </c>
      <c r="K654" s="18">
        <f t="shared" si="66"/>
        <v>1</v>
      </c>
      <c r="L654" s="38">
        <f t="shared" si="67"/>
        <v>1295.2649241291861</v>
      </c>
      <c r="M654" s="23">
        <f t="shared" si="68"/>
        <v>-1.84920305848348</v>
      </c>
      <c r="N654" s="23">
        <f t="shared" si="69"/>
        <v>0.32908153560192738</v>
      </c>
      <c r="O654" s="6"/>
      <c r="P654" s="18">
        <f t="shared" si="70"/>
        <v>-0.60853858212552436</v>
      </c>
    </row>
    <row r="655" spans="1:16" ht="15" customHeight="1" x14ac:dyDescent="0.3">
      <c r="A655" s="7" t="str">
        <f>Raw_Players!A617</f>
        <v>WAS</v>
      </c>
      <c r="B655" s="7" t="str">
        <f>Raw_Players!B617</f>
        <v>Trae Young</v>
      </c>
      <c r="C655" s="37">
        <f>Raw_Players!E617</f>
        <v>1.1701942876202469</v>
      </c>
      <c r="D655" s="31">
        <f>Raw_Players!F617</f>
        <v>1276.643167346966</v>
      </c>
      <c r="E655" s="31">
        <f>Raw_Players!G617</f>
        <v>25.542312901946811</v>
      </c>
      <c r="F655" s="31">
        <f>Raw_Players!H617</f>
        <v>49.981502154789638</v>
      </c>
      <c r="G655" s="31" t="str">
        <f>IFERROR(IF(INDEX(Overrides!$B$8:$B$47,MATCH(B655,Overrides!$A$8:$A$47,0))="","",INDEX(Overrides!$B$8:$B$47,MATCH(B655,Overrides!$A$8:$A$47,0))),"")</f>
        <v/>
      </c>
      <c r="H655" s="31" t="str">
        <f>IFERROR(IF(INDEX(Overrides!$C$8:$C$47,MATCH(B655,Overrides!$A$8:$A$47,0))="","",INDEX(Overrides!$C$8:$C$47,MATCH(B655,Overrides!$A$8:$A$47,0))),"")</f>
        <v/>
      </c>
      <c r="I655" s="36">
        <f>IFERROR(IF(INDEX(Overrides!$D$8:$D$47,MATCH(B655,Overrides!$A$8:$A$47,0))="",0,INDEX(Overrides!$D$8:$D$47,MATCH(B655,Overrides!$A$8:$A$47,0))),0)</f>
        <v>0</v>
      </c>
      <c r="J655" s="38">
        <f t="shared" si="65"/>
        <v>1276.643167346966</v>
      </c>
      <c r="K655" s="18">
        <f t="shared" si="66"/>
        <v>1</v>
      </c>
      <c r="L655" s="38">
        <f t="shared" si="67"/>
        <v>1276.643167346966</v>
      </c>
      <c r="M655" s="23">
        <f t="shared" si="68"/>
        <v>1.1701942876202469</v>
      </c>
      <c r="N655" s="23">
        <f t="shared" si="69"/>
        <v>0.32435039820807066</v>
      </c>
      <c r="O655" s="6"/>
      <c r="P655" s="18">
        <f t="shared" si="70"/>
        <v>0.37955298317043668</v>
      </c>
    </row>
    <row r="656" spans="1:16" ht="15" customHeight="1" x14ac:dyDescent="0.3">
      <c r="A656" s="7" t="str">
        <f>Raw_Players!A618</f>
        <v>WAS</v>
      </c>
      <c r="B656" s="7" t="str">
        <f>Raw_Players!B618</f>
        <v>Anthony Davis</v>
      </c>
      <c r="C656" s="37">
        <f>Raw_Players!E618</f>
        <v>2.4711013568669302</v>
      </c>
      <c r="D656" s="31">
        <f>Raw_Players!F618</f>
        <v>1257.8779997897229</v>
      </c>
      <c r="E656" s="31">
        <f>Raw_Players!G618</f>
        <v>25.125070958577041</v>
      </c>
      <c r="F656" s="31">
        <f>Raw_Players!H618</f>
        <v>50.064654617833668</v>
      </c>
      <c r="G656" s="31" t="str">
        <f>IFERROR(IF(INDEX(Overrides!$B$8:$B$47,MATCH(B656,Overrides!$A$8:$A$47,0))="","",INDEX(Overrides!$B$8:$B$47,MATCH(B656,Overrides!$A$8:$A$47,0))),"")</f>
        <v/>
      </c>
      <c r="H656" s="31" t="str">
        <f>IFERROR(IF(INDEX(Overrides!$C$8:$C$47,MATCH(B656,Overrides!$A$8:$A$47,0))="","",INDEX(Overrides!$C$8:$C$47,MATCH(B656,Overrides!$A$8:$A$47,0))),"")</f>
        <v/>
      </c>
      <c r="I656" s="36">
        <f>IFERROR(IF(INDEX(Overrides!$D$8:$D$47,MATCH(B656,Overrides!$A$8:$A$47,0))="",0,INDEX(Overrides!$D$8:$D$47,MATCH(B656,Overrides!$A$8:$A$47,0))),0)</f>
        <v>0</v>
      </c>
      <c r="J656" s="38">
        <f t="shared" si="65"/>
        <v>1257.8779997897229</v>
      </c>
      <c r="K656" s="18">
        <f t="shared" si="66"/>
        <v>1</v>
      </c>
      <c r="L656" s="38">
        <f t="shared" si="67"/>
        <v>1257.8779997897229</v>
      </c>
      <c r="M656" s="23">
        <f t="shared" si="68"/>
        <v>2.4711013568669302</v>
      </c>
      <c r="N656" s="23">
        <f t="shared" si="69"/>
        <v>0.319582825149828</v>
      </c>
      <c r="O656" s="6"/>
      <c r="P656" s="18">
        <f t="shared" si="70"/>
        <v>0.78972155285910683</v>
      </c>
    </row>
    <row r="657" spans="1:16" ht="15" customHeight="1" x14ac:dyDescent="0.3">
      <c r="A657" s="7" t="str">
        <f>Raw_Players!A619</f>
        <v>WAS</v>
      </c>
      <c r="B657" s="7" t="str">
        <f>Raw_Players!B619</f>
        <v>Will Riley</v>
      </c>
      <c r="C657" s="37">
        <f>Raw_Players!E619</f>
        <v>-2.3068906966365832</v>
      </c>
      <c r="D657" s="31">
        <f>Raw_Players!F619</f>
        <v>1064.2034342904681</v>
      </c>
      <c r="E657" s="31">
        <f>Raw_Players!G619</f>
        <v>16.261977765865659</v>
      </c>
      <c r="F657" s="31">
        <f>Raw_Players!H619</f>
        <v>65.441205836860775</v>
      </c>
      <c r="G657" s="31" t="str">
        <f>IFERROR(IF(INDEX(Overrides!$B$8:$B$47,MATCH(B657,Overrides!$A$8:$A$47,0))="","",INDEX(Overrides!$B$8:$B$47,MATCH(B657,Overrides!$A$8:$A$47,0))),"")</f>
        <v/>
      </c>
      <c r="H657" s="31" t="str">
        <f>IFERROR(IF(INDEX(Overrides!$C$8:$C$47,MATCH(B657,Overrides!$A$8:$A$47,0))="","",INDEX(Overrides!$C$8:$C$47,MATCH(B657,Overrides!$A$8:$A$47,0))),"")</f>
        <v/>
      </c>
      <c r="I657" s="36">
        <f>IFERROR(IF(INDEX(Overrides!$D$8:$D$47,MATCH(B657,Overrides!$A$8:$A$47,0))="",0,INDEX(Overrides!$D$8:$D$47,MATCH(B657,Overrides!$A$8:$A$47,0))),0)</f>
        <v>0</v>
      </c>
      <c r="J657" s="38">
        <f t="shared" si="65"/>
        <v>1064.2034342904681</v>
      </c>
      <c r="K657" s="18">
        <f t="shared" si="66"/>
        <v>1</v>
      </c>
      <c r="L657" s="38">
        <f t="shared" si="67"/>
        <v>1064.2034342904681</v>
      </c>
      <c r="M657" s="23">
        <f t="shared" si="68"/>
        <v>-2.3068906966365832</v>
      </c>
      <c r="N657" s="23">
        <f t="shared" si="69"/>
        <v>0.27037688879330996</v>
      </c>
      <c r="O657" s="6"/>
      <c r="P657" s="18">
        <f t="shared" si="70"/>
        <v>-0.62372992934283078</v>
      </c>
    </row>
    <row r="658" spans="1:16" ht="15" customHeight="1" x14ac:dyDescent="0.3">
      <c r="A658" s="7" t="str">
        <f>Raw_Players!A620</f>
        <v>WAS</v>
      </c>
      <c r="B658" s="7" t="str">
        <f>Raw_Players!B620</f>
        <v>Tre Johnson</v>
      </c>
      <c r="C658" s="37">
        <f>Raw_Players!E620</f>
        <v>-3.0569921602094801</v>
      </c>
      <c r="D658" s="31">
        <f>Raw_Players!F620</f>
        <v>1047.1447303044581</v>
      </c>
      <c r="E658" s="31">
        <f>Raw_Players!G620</f>
        <v>17.27518957415699</v>
      </c>
      <c r="F658" s="31">
        <f>Raw_Players!H620</f>
        <v>60.615527592874876</v>
      </c>
      <c r="G658" s="31" t="str">
        <f>IFERROR(IF(INDEX(Overrides!$B$8:$B$47,MATCH(B658,Overrides!$A$8:$A$47,0))="","",INDEX(Overrides!$B$8:$B$47,MATCH(B658,Overrides!$A$8:$A$47,0))),"")</f>
        <v/>
      </c>
      <c r="H658" s="31" t="str">
        <f>IFERROR(IF(INDEX(Overrides!$C$8:$C$47,MATCH(B658,Overrides!$A$8:$A$47,0))="","",INDEX(Overrides!$C$8:$C$47,MATCH(B658,Overrides!$A$8:$A$47,0))),"")</f>
        <v/>
      </c>
      <c r="I658" s="36">
        <f>IFERROR(IF(INDEX(Overrides!$D$8:$D$47,MATCH(B658,Overrides!$A$8:$A$47,0))="",0,INDEX(Overrides!$D$8:$D$47,MATCH(B658,Overrides!$A$8:$A$47,0))),0)</f>
        <v>0</v>
      </c>
      <c r="J658" s="38">
        <f t="shared" si="65"/>
        <v>1047.1447303044581</v>
      </c>
      <c r="K658" s="18">
        <f t="shared" si="66"/>
        <v>1</v>
      </c>
      <c r="L658" s="38">
        <f t="shared" si="67"/>
        <v>1047.1447303044581</v>
      </c>
      <c r="M658" s="23">
        <f t="shared" si="68"/>
        <v>-3.0569921602094801</v>
      </c>
      <c r="N658" s="23">
        <f t="shared" si="69"/>
        <v>0.26604286847166109</v>
      </c>
      <c r="O658" s="6"/>
      <c r="P658" s="18">
        <f t="shared" si="70"/>
        <v>-0.81329096319750982</v>
      </c>
    </row>
    <row r="659" spans="1:16" ht="15" customHeight="1" x14ac:dyDescent="0.3">
      <c r="A659" s="7" t="str">
        <f>Raw_Players!A621</f>
        <v>WAS</v>
      </c>
      <c r="B659" s="7" t="str">
        <f>Raw_Players!B621</f>
        <v>Khris Middleton</v>
      </c>
      <c r="C659" s="37">
        <f>Raw_Players!E621</f>
        <v>-2.5553424658657962</v>
      </c>
      <c r="D659" s="31">
        <f>Raw_Players!F621</f>
        <v>1001.396591011703</v>
      </c>
      <c r="E659" s="31">
        <f>Raw_Players!G621</f>
        <v>18.037468930820079</v>
      </c>
      <c r="F659" s="31">
        <f>Raw_Players!H621</f>
        <v>55.517578150925978</v>
      </c>
      <c r="G659" s="31" t="str">
        <f>IFERROR(IF(INDEX(Overrides!$B$8:$B$47,MATCH(B659,Overrides!$A$8:$A$47,0))="","",INDEX(Overrides!$B$8:$B$47,MATCH(B659,Overrides!$A$8:$A$47,0))),"")</f>
        <v/>
      </c>
      <c r="H659" s="31" t="str">
        <f>IFERROR(IF(INDEX(Overrides!$C$8:$C$47,MATCH(B659,Overrides!$A$8:$A$47,0))="","",INDEX(Overrides!$C$8:$C$47,MATCH(B659,Overrides!$A$8:$A$47,0))),"")</f>
        <v/>
      </c>
      <c r="I659" s="36">
        <f>IFERROR(IF(INDEX(Overrides!$D$8:$D$47,MATCH(B659,Overrides!$A$8:$A$47,0))="",0,INDEX(Overrides!$D$8:$D$47,MATCH(B659,Overrides!$A$8:$A$47,0))),0)</f>
        <v>0</v>
      </c>
      <c r="J659" s="38">
        <f t="shared" si="65"/>
        <v>1001.396591011703</v>
      </c>
      <c r="K659" s="18">
        <f t="shared" si="66"/>
        <v>1</v>
      </c>
      <c r="L659" s="38">
        <f t="shared" si="67"/>
        <v>1001.396591011703</v>
      </c>
      <c r="M659" s="23">
        <f t="shared" si="68"/>
        <v>-2.5553424658657962</v>
      </c>
      <c r="N659" s="23">
        <f t="shared" si="69"/>
        <v>0.2544198656025668</v>
      </c>
      <c r="O659" s="6"/>
      <c r="P659" s="18">
        <f t="shared" si="70"/>
        <v>-0.65012988673410754</v>
      </c>
    </row>
    <row r="660" spans="1:16" ht="15" customHeight="1" x14ac:dyDescent="0.3">
      <c r="A660" s="7" t="str">
        <f>Raw_Players!A622</f>
        <v>WAS</v>
      </c>
      <c r="B660" s="7" t="str">
        <f>Raw_Players!B622</f>
        <v>Justin Champagnie</v>
      </c>
      <c r="C660" s="37">
        <f>Raw_Players!E622</f>
        <v>-0.13446860450037099</v>
      </c>
      <c r="D660" s="31">
        <f>Raw_Players!F622</f>
        <v>980.01002662254757</v>
      </c>
      <c r="E660" s="31">
        <f>Raw_Players!G622</f>
        <v>15.588929232225571</v>
      </c>
      <c r="F660" s="31">
        <f>Raw_Players!H622</f>
        <v>62.865769163712812</v>
      </c>
      <c r="G660" s="31" t="str">
        <f>IFERROR(IF(INDEX(Overrides!$B$8:$B$47,MATCH(B660,Overrides!$A$8:$A$47,0))="","",INDEX(Overrides!$B$8:$B$47,MATCH(B660,Overrides!$A$8:$A$47,0))),"")</f>
        <v/>
      </c>
      <c r="H660" s="31" t="str">
        <f>IFERROR(IF(INDEX(Overrides!$C$8:$C$47,MATCH(B660,Overrides!$A$8:$A$47,0))="","",INDEX(Overrides!$C$8:$C$47,MATCH(B660,Overrides!$A$8:$A$47,0))),"")</f>
        <v/>
      </c>
      <c r="I660" s="36">
        <f>IFERROR(IF(INDEX(Overrides!$D$8:$D$47,MATCH(B660,Overrides!$A$8:$A$47,0))="",0,INDEX(Overrides!$D$8:$D$47,MATCH(B660,Overrides!$A$8:$A$47,0))),0)</f>
        <v>0</v>
      </c>
      <c r="J660" s="38">
        <f t="shared" si="65"/>
        <v>980.01002662254757</v>
      </c>
      <c r="K660" s="18">
        <f t="shared" si="66"/>
        <v>1</v>
      </c>
      <c r="L660" s="38">
        <f t="shared" si="67"/>
        <v>980.01002662254757</v>
      </c>
      <c r="M660" s="23">
        <f t="shared" si="68"/>
        <v>-0.13446860450037099</v>
      </c>
      <c r="N660" s="23">
        <f t="shared" si="69"/>
        <v>0.2489862872516635</v>
      </c>
      <c r="O660" s="6"/>
      <c r="P660" s="18">
        <f t="shared" si="70"/>
        <v>-3.3480838586459699E-2</v>
      </c>
    </row>
    <row r="661" spans="1:16" ht="15" customHeight="1" x14ac:dyDescent="0.3">
      <c r="A661" s="7" t="str">
        <f>Raw_Players!A623</f>
        <v>WAS</v>
      </c>
      <c r="B661" s="7" t="str">
        <f>Raw_Players!B623</f>
        <v>Tre Mann</v>
      </c>
      <c r="C661" s="37">
        <f>Raw_Players!E623</f>
        <v>-2.877676147922327</v>
      </c>
      <c r="D661" s="31">
        <f>Raw_Players!F623</f>
        <v>675.28556434839811</v>
      </c>
      <c r="E661" s="31">
        <f>Raw_Players!G623</f>
        <v>12.442816290973621</v>
      </c>
      <c r="F661" s="31">
        <f>Raw_Players!H623</f>
        <v>54.271119058333277</v>
      </c>
      <c r="G661" s="31" t="str">
        <f>IFERROR(IF(INDEX(Overrides!$B$8:$B$47,MATCH(B661,Overrides!$A$8:$A$47,0))="","",INDEX(Overrides!$B$8:$B$47,MATCH(B661,Overrides!$A$8:$A$47,0))),"")</f>
        <v/>
      </c>
      <c r="H661" s="31" t="str">
        <f>IFERROR(IF(INDEX(Overrides!$C$8:$C$47,MATCH(B661,Overrides!$A$8:$A$47,0))="","",INDEX(Overrides!$C$8:$C$47,MATCH(B661,Overrides!$A$8:$A$47,0))),"")</f>
        <v/>
      </c>
      <c r="I661" s="36">
        <f>IFERROR(IF(INDEX(Overrides!$D$8:$D$47,MATCH(B661,Overrides!$A$8:$A$47,0))="",0,INDEX(Overrides!$D$8:$D$47,MATCH(B661,Overrides!$A$8:$A$47,0))),0)</f>
        <v>0</v>
      </c>
      <c r="J661" s="38">
        <f t="shared" si="65"/>
        <v>675.28556434839811</v>
      </c>
      <c r="K661" s="18">
        <f t="shared" si="66"/>
        <v>1</v>
      </c>
      <c r="L661" s="38">
        <f t="shared" si="67"/>
        <v>675.28556434839811</v>
      </c>
      <c r="M661" s="23">
        <f t="shared" si="68"/>
        <v>-2.877676147922327</v>
      </c>
      <c r="N661" s="23">
        <f t="shared" si="69"/>
        <v>0.17156645435680845</v>
      </c>
      <c r="O661" s="6"/>
      <c r="P661" s="18">
        <f t="shared" si="70"/>
        <v>-0.49371269348619229</v>
      </c>
    </row>
    <row r="662" spans="1:16" ht="15" customHeight="1" x14ac:dyDescent="0.3">
      <c r="A662" s="7" t="str">
        <f>Raw_Players!A624</f>
        <v>WAS</v>
      </c>
      <c r="B662" s="7" t="str">
        <f>Raw_Players!B624</f>
        <v>Anthony Gill</v>
      </c>
      <c r="C662" s="37">
        <f>Raw_Players!E624</f>
        <v>-2.4109917650300901</v>
      </c>
      <c r="D662" s="31">
        <f>Raw_Players!F624</f>
        <v>579.64317081821184</v>
      </c>
      <c r="E662" s="31">
        <f>Raw_Players!G624</f>
        <v>10.37928164498036</v>
      </c>
      <c r="F662" s="31">
        <f>Raw_Players!H624</f>
        <v>55.846174200171099</v>
      </c>
      <c r="G662" s="31" t="str">
        <f>IFERROR(IF(INDEX(Overrides!$B$8:$B$47,MATCH(B662,Overrides!$A$8:$A$47,0))="","",INDEX(Overrides!$B$8:$B$47,MATCH(B662,Overrides!$A$8:$A$47,0))),"")</f>
        <v/>
      </c>
      <c r="H662" s="31" t="str">
        <f>IFERROR(IF(INDEX(Overrides!$C$8:$C$47,MATCH(B662,Overrides!$A$8:$A$47,0))="","",INDEX(Overrides!$C$8:$C$47,MATCH(B662,Overrides!$A$8:$A$47,0))),"")</f>
        <v/>
      </c>
      <c r="I662" s="36">
        <f>IFERROR(IF(INDEX(Overrides!$D$8:$D$47,MATCH(B662,Overrides!$A$8:$A$47,0))="",0,INDEX(Overrides!$D$8:$D$47,MATCH(B662,Overrides!$A$8:$A$47,0))),0)</f>
        <v>0</v>
      </c>
      <c r="J662" s="38">
        <f t="shared" si="65"/>
        <v>579.64317081821184</v>
      </c>
      <c r="K662" s="18">
        <f t="shared" si="66"/>
        <v>1</v>
      </c>
      <c r="L662" s="38">
        <f t="shared" si="67"/>
        <v>579.64317081821184</v>
      </c>
      <c r="M662" s="23">
        <f t="shared" si="68"/>
        <v>-2.4109917650300901</v>
      </c>
      <c r="N662" s="23">
        <f t="shared" si="69"/>
        <v>0.14726706575665952</v>
      </c>
      <c r="O662" s="6"/>
      <c r="P662" s="18">
        <f t="shared" si="70"/>
        <v>-0.35505968279945088</v>
      </c>
    </row>
    <row r="663" spans="1:16" ht="15" customHeight="1" x14ac:dyDescent="0.3">
      <c r="A663" s="7" t="str">
        <f>Raw_Players!A625</f>
        <v>WAS</v>
      </c>
      <c r="B663" s="7" t="str">
        <f>Raw_Players!B625</f>
        <v>Tristan Vukcevic</v>
      </c>
      <c r="C663" s="37">
        <f>Raw_Players!E625</f>
        <v>0.26528562655401922</v>
      </c>
      <c r="D663" s="31">
        <f>Raw_Players!F625</f>
        <v>564.29013659473446</v>
      </c>
      <c r="E663" s="31">
        <f>Raw_Players!G625</f>
        <v>10.98902148147501</v>
      </c>
      <c r="F663" s="31">
        <f>Raw_Players!H625</f>
        <v>51.350353400072891</v>
      </c>
      <c r="G663" s="31" t="str">
        <f>IFERROR(IF(INDEX(Overrides!$B$8:$B$47,MATCH(B663,Overrides!$A$8:$A$47,0))="","",INDEX(Overrides!$B$8:$B$47,MATCH(B663,Overrides!$A$8:$A$47,0))),"")</f>
        <v/>
      </c>
      <c r="H663" s="31" t="str">
        <f>IFERROR(IF(INDEX(Overrides!$C$8:$C$47,MATCH(B663,Overrides!$A$8:$A$47,0))="","",INDEX(Overrides!$C$8:$C$47,MATCH(B663,Overrides!$A$8:$A$47,0))),"")</f>
        <v/>
      </c>
      <c r="I663" s="36">
        <f>IFERROR(IF(INDEX(Overrides!$D$8:$D$47,MATCH(B663,Overrides!$A$8:$A$47,0))="",0,INDEX(Overrides!$D$8:$D$47,MATCH(B663,Overrides!$A$8:$A$47,0))),0)</f>
        <v>0</v>
      </c>
      <c r="J663" s="38">
        <f t="shared" si="65"/>
        <v>564.29013659473446</v>
      </c>
      <c r="K663" s="18">
        <f t="shared" si="66"/>
        <v>1</v>
      </c>
      <c r="L663" s="38">
        <f t="shared" si="67"/>
        <v>564.29013659473446</v>
      </c>
      <c r="M663" s="23">
        <f t="shared" si="68"/>
        <v>0.26528562655401922</v>
      </c>
      <c r="N663" s="23">
        <f t="shared" si="69"/>
        <v>0.14336639649256466</v>
      </c>
      <c r="O663" s="6"/>
      <c r="P663" s="18">
        <f t="shared" si="70"/>
        <v>3.8033044320321958E-2</v>
      </c>
    </row>
    <row r="664" spans="1:16" ht="15" customHeight="1" x14ac:dyDescent="0.3">
      <c r="A664" s="7" t="str">
        <f>Raw_Players!A626</f>
        <v>WAS</v>
      </c>
      <c r="B664" s="7" t="str">
        <f>Raw_Players!B626</f>
        <v>Alondes Williams</v>
      </c>
      <c r="C664" s="37">
        <f>Raw_Players!E626</f>
        <v>-1.3083724819648439</v>
      </c>
      <c r="D664" s="31">
        <f>Raw_Players!F626</f>
        <v>435.4612819428869</v>
      </c>
      <c r="E664" s="31">
        <f>Raw_Players!G626</f>
        <v>10.761588277000509</v>
      </c>
      <c r="F664" s="31">
        <f>Raw_Players!H626</f>
        <v>40.464406436505982</v>
      </c>
      <c r="G664" s="31" t="str">
        <f>IFERROR(IF(INDEX(Overrides!$B$8:$B$47,MATCH(B664,Overrides!$A$8:$A$47,0))="","",INDEX(Overrides!$B$8:$B$47,MATCH(B664,Overrides!$A$8:$A$47,0))),"")</f>
        <v/>
      </c>
      <c r="H664" s="31" t="str">
        <f>IFERROR(IF(INDEX(Overrides!$C$8:$C$47,MATCH(B664,Overrides!$A$8:$A$47,0))="","",INDEX(Overrides!$C$8:$C$47,MATCH(B664,Overrides!$A$8:$A$47,0))),"")</f>
        <v/>
      </c>
      <c r="I664" s="36">
        <f>IFERROR(IF(INDEX(Overrides!$D$8:$D$47,MATCH(B664,Overrides!$A$8:$A$47,0))="",0,INDEX(Overrides!$D$8:$D$47,MATCH(B664,Overrides!$A$8:$A$47,0))),0)</f>
        <v>0</v>
      </c>
      <c r="J664" s="38">
        <f t="shared" si="65"/>
        <v>435.4612819428869</v>
      </c>
      <c r="K664" s="18">
        <f t="shared" si="66"/>
        <v>1</v>
      </c>
      <c r="L664" s="38">
        <f t="shared" si="67"/>
        <v>435.4612819428869</v>
      </c>
      <c r="M664" s="23">
        <f t="shared" si="68"/>
        <v>-1.3083724819648439</v>
      </c>
      <c r="N664" s="23">
        <f t="shared" si="69"/>
        <v>0.11063548829849769</v>
      </c>
      <c r="O664" s="6"/>
      <c r="P664" s="18">
        <f t="shared" si="70"/>
        <v>-0.14475242841849786</v>
      </c>
    </row>
    <row r="665" spans="1:16" ht="15" customHeight="1" x14ac:dyDescent="0.3">
      <c r="A665" s="7" t="str">
        <f>Raw_Players!A627</f>
        <v>WAS</v>
      </c>
      <c r="B665" s="7" t="str">
        <f>Raw_Players!B627</f>
        <v>Felix Okpara</v>
      </c>
      <c r="C665" s="37">
        <f>Raw_Players!E627</f>
        <v>-2.1953031870896158</v>
      </c>
      <c r="D665" s="31">
        <f>Raw_Players!F627</f>
        <v>385.12750213692232</v>
      </c>
      <c r="E665" s="31">
        <f>Raw_Players!G627</f>
        <v>11.274812595718499</v>
      </c>
      <c r="F665" s="31">
        <f>Raw_Players!H627</f>
        <v>34.15821760826168</v>
      </c>
      <c r="G665" s="31" t="str">
        <f>IFERROR(IF(INDEX(Overrides!$B$8:$B$47,MATCH(B665,Overrides!$A$8:$A$47,0))="","",INDEX(Overrides!$B$8:$B$47,MATCH(B665,Overrides!$A$8:$A$47,0))),"")</f>
        <v/>
      </c>
      <c r="H665" s="31" t="str">
        <f>IFERROR(IF(INDEX(Overrides!$C$8:$C$47,MATCH(B665,Overrides!$A$8:$A$47,0))="","",INDEX(Overrides!$C$8:$C$47,MATCH(B665,Overrides!$A$8:$A$47,0))),"")</f>
        <v/>
      </c>
      <c r="I665" s="36">
        <f>IFERROR(IF(INDEX(Overrides!$D$8:$D$47,MATCH(B665,Overrides!$A$8:$A$47,0))="",0,INDEX(Overrides!$D$8:$D$47,MATCH(B665,Overrides!$A$8:$A$47,0))),0)</f>
        <v>0</v>
      </c>
      <c r="J665" s="38">
        <f t="shared" si="65"/>
        <v>385.12750213692232</v>
      </c>
      <c r="K665" s="18">
        <f t="shared" si="66"/>
        <v>1</v>
      </c>
      <c r="L665" s="38">
        <f t="shared" si="67"/>
        <v>385.12750213692232</v>
      </c>
      <c r="M665" s="23">
        <f t="shared" si="68"/>
        <v>-2.1953031870896158</v>
      </c>
      <c r="N665" s="23">
        <f t="shared" si="69"/>
        <v>9.784743448600669E-2</v>
      </c>
      <c r="O665" s="6"/>
      <c r="P665" s="18">
        <f t="shared" si="70"/>
        <v>-0.21480478477567286</v>
      </c>
    </row>
    <row r="666" spans="1:16" ht="15" customHeight="1" x14ac:dyDescent="0.3">
      <c r="A666" s="7" t="str">
        <f>Raw_Players!A628</f>
        <v>WAS</v>
      </c>
      <c r="B666" s="7" t="str">
        <f>Raw_Players!B628</f>
        <v>Skal Labissiere</v>
      </c>
      <c r="C666" s="37">
        <f>Raw_Players!E628</f>
        <v>-1.9702480856840281</v>
      </c>
      <c r="D666" s="31">
        <f>Raw_Players!F628</f>
        <v>343.08073719786063</v>
      </c>
      <c r="E666" s="31">
        <f>Raw_Players!G628</f>
        <v>8.6576463368060903</v>
      </c>
      <c r="F666" s="31">
        <f>Raw_Players!H628</f>
        <v>39.627483481200649</v>
      </c>
      <c r="G666" s="31" t="str">
        <f>IFERROR(IF(INDEX(Overrides!$B$8:$B$47,MATCH(B666,Overrides!$A$8:$A$47,0))="","",INDEX(Overrides!$B$8:$B$47,MATCH(B666,Overrides!$A$8:$A$47,0))),"")</f>
        <v/>
      </c>
      <c r="H666" s="31" t="str">
        <f>IFERROR(IF(INDEX(Overrides!$C$8:$C$47,MATCH(B666,Overrides!$A$8:$A$47,0))="","",INDEX(Overrides!$C$8:$C$47,MATCH(B666,Overrides!$A$8:$A$47,0))),"")</f>
        <v/>
      </c>
      <c r="I666" s="36">
        <f>IFERROR(IF(INDEX(Overrides!$D$8:$D$47,MATCH(B666,Overrides!$A$8:$A$47,0))="",0,INDEX(Overrides!$D$8:$D$47,MATCH(B666,Overrides!$A$8:$A$47,0))),0)</f>
        <v>0</v>
      </c>
      <c r="J666" s="38">
        <f t="shared" si="65"/>
        <v>343.08073719786063</v>
      </c>
      <c r="K666" s="18">
        <f t="shared" si="66"/>
        <v>1</v>
      </c>
      <c r="L666" s="38">
        <f t="shared" si="67"/>
        <v>343.08073719786063</v>
      </c>
      <c r="M666" s="23">
        <f t="shared" si="68"/>
        <v>-1.9702480856840281</v>
      </c>
      <c r="N666" s="23">
        <f t="shared" si="69"/>
        <v>8.7164821442545892E-2</v>
      </c>
      <c r="O666" s="6"/>
      <c r="P666" s="18">
        <f t="shared" si="70"/>
        <v>-0.17173632258616617</v>
      </c>
    </row>
    <row r="667" spans="1:16" ht="15" customHeight="1" x14ac:dyDescent="0.3">
      <c r="A667" s="7" t="str">
        <f>Raw_Players!A629</f>
        <v>WAS</v>
      </c>
      <c r="B667" s="7" t="str">
        <f>Raw_Players!B629</f>
        <v>Steve Settle III</v>
      </c>
      <c r="C667" s="37">
        <f>Raw_Players!E629</f>
        <v>-3.1867960702466678</v>
      </c>
      <c r="D667" s="31">
        <f>Raw_Players!F629</f>
        <v>310.40656832741661</v>
      </c>
      <c r="E667" s="31">
        <f>Raw_Players!G629</f>
        <v>10.231509390918021</v>
      </c>
      <c r="F667" s="31">
        <f>Raw_Players!H629</f>
        <v>30.338296772023529</v>
      </c>
      <c r="G667" s="31" t="str">
        <f>IFERROR(IF(INDEX(Overrides!$B$8:$B$47,MATCH(B667,Overrides!$A$8:$A$47,0))="","",INDEX(Overrides!$B$8:$B$47,MATCH(B667,Overrides!$A$8:$A$47,0))),"")</f>
        <v/>
      </c>
      <c r="H667" s="31" t="str">
        <f>IFERROR(IF(INDEX(Overrides!$C$8:$C$47,MATCH(B667,Overrides!$A$8:$A$47,0))="","",INDEX(Overrides!$C$8:$C$47,MATCH(B667,Overrides!$A$8:$A$47,0))),"")</f>
        <v/>
      </c>
      <c r="I667" s="36">
        <f>IFERROR(IF(INDEX(Overrides!$D$8:$D$47,MATCH(B667,Overrides!$A$8:$A$47,0))="",0,INDEX(Overrides!$D$8:$D$47,MATCH(B667,Overrides!$A$8:$A$47,0))),0)</f>
        <v>0</v>
      </c>
      <c r="J667" s="38">
        <f t="shared" si="65"/>
        <v>310.40656832741661</v>
      </c>
      <c r="K667" s="18">
        <f t="shared" si="66"/>
        <v>1</v>
      </c>
      <c r="L667" s="38">
        <f t="shared" si="67"/>
        <v>310.40656832741661</v>
      </c>
      <c r="M667" s="23">
        <f t="shared" si="68"/>
        <v>-3.1867960702466678</v>
      </c>
      <c r="N667" s="23">
        <f t="shared" si="69"/>
        <v>7.8863457400258283E-2</v>
      </c>
      <c r="O667" s="6"/>
      <c r="P667" s="18">
        <f t="shared" si="70"/>
        <v>-0.2513217561292086</v>
      </c>
    </row>
    <row r="668" spans="1:16" ht="15" customHeight="1" x14ac:dyDescent="0.3">
      <c r="A668" s="7" t="str">
        <f>Raw_Players!A630</f>
        <v>WAS</v>
      </c>
      <c r="B668" s="7" t="str">
        <f>Raw_Players!B630</f>
        <v>Reece Beekman</v>
      </c>
      <c r="C668" s="37">
        <f>Raw_Players!E630</f>
        <v>-2.582242419685266</v>
      </c>
      <c r="D668" s="31">
        <f>Raw_Players!F630</f>
        <v>308.19903993407121</v>
      </c>
      <c r="E668" s="31">
        <f>Raw_Players!G630</f>
        <v>10.158745635921029</v>
      </c>
      <c r="F668" s="31">
        <f>Raw_Players!H630</f>
        <v>30.338296772023529</v>
      </c>
      <c r="G668" s="31" t="str">
        <f>IFERROR(IF(INDEX(Overrides!$B$8:$B$47,MATCH(B668,Overrides!$A$8:$A$47,0))="","",INDEX(Overrides!$B$8:$B$47,MATCH(B668,Overrides!$A$8:$A$47,0))),"")</f>
        <v/>
      </c>
      <c r="H668" s="31" t="str">
        <f>IFERROR(IF(INDEX(Overrides!$C$8:$C$47,MATCH(B668,Overrides!$A$8:$A$47,0))="","",INDEX(Overrides!$C$8:$C$47,MATCH(B668,Overrides!$A$8:$A$47,0))),"")</f>
        <v/>
      </c>
      <c r="I668" s="36">
        <f>IFERROR(IF(INDEX(Overrides!$D$8:$D$47,MATCH(B668,Overrides!$A$8:$A$47,0))="",0,INDEX(Overrides!$D$8:$D$47,MATCH(B668,Overrides!$A$8:$A$47,0))),0)</f>
        <v>0</v>
      </c>
      <c r="J668" s="38">
        <f t="shared" si="65"/>
        <v>308.19903993407121</v>
      </c>
      <c r="K668" s="18">
        <f t="shared" si="66"/>
        <v>1</v>
      </c>
      <c r="L668" s="38">
        <f t="shared" si="67"/>
        <v>308.19903993407121</v>
      </c>
      <c r="M668" s="23">
        <f t="shared" si="68"/>
        <v>-2.582242419685266</v>
      </c>
      <c r="N668" s="23">
        <f t="shared" si="69"/>
        <v>7.8302601609266054E-2</v>
      </c>
      <c r="O668" s="6"/>
      <c r="P668" s="18">
        <f t="shared" si="70"/>
        <v>-0.20219629944716258</v>
      </c>
    </row>
    <row r="669" spans="1:16" ht="15" customHeight="1" x14ac:dyDescent="0.3">
      <c r="A669" s="7" t="str">
        <f>Raw_Players!A631</f>
        <v>WAS</v>
      </c>
      <c r="B669" s="7" t="str">
        <f>Raw_Players!B631</f>
        <v>Trevor Keels</v>
      </c>
      <c r="C669" s="37">
        <f>Raw_Players!E631</f>
        <v>-1.8485002465801501</v>
      </c>
      <c r="D669" s="31">
        <f>Raw_Players!F631</f>
        <v>288.97937002587912</v>
      </c>
      <c r="E669" s="31">
        <f>Raw_Players!G631</f>
        <v>6.768186866030323</v>
      </c>
      <c r="F669" s="31">
        <f>Raw_Players!H631</f>
        <v>42.696718596271751</v>
      </c>
      <c r="G669" s="31" t="str">
        <f>IFERROR(IF(INDEX(Overrides!$B$8:$B$47,MATCH(B669,Overrides!$A$8:$A$47,0))="","",INDEX(Overrides!$B$8:$B$47,MATCH(B669,Overrides!$A$8:$A$47,0))),"")</f>
        <v/>
      </c>
      <c r="H669" s="31" t="str">
        <f>IFERROR(IF(INDEX(Overrides!$C$8:$C$47,MATCH(B669,Overrides!$A$8:$A$47,0))="","",INDEX(Overrides!$C$8:$C$47,MATCH(B669,Overrides!$A$8:$A$47,0))),"")</f>
        <v/>
      </c>
      <c r="I669" s="36">
        <f>IFERROR(IF(INDEX(Overrides!$D$8:$D$47,MATCH(B669,Overrides!$A$8:$A$47,0))="",0,INDEX(Overrides!$D$8:$D$47,MATCH(B669,Overrides!$A$8:$A$47,0))),0)</f>
        <v>0</v>
      </c>
      <c r="J669" s="38">
        <f t="shared" si="65"/>
        <v>288.97937002587912</v>
      </c>
      <c r="K669" s="18">
        <f t="shared" si="66"/>
        <v>1</v>
      </c>
      <c r="L669" s="38">
        <f t="shared" si="67"/>
        <v>288.97937002587912</v>
      </c>
      <c r="M669" s="23">
        <f t="shared" si="68"/>
        <v>-1.8485002465801501</v>
      </c>
      <c r="N669" s="23">
        <f t="shared" si="69"/>
        <v>7.3419555392753841E-2</v>
      </c>
      <c r="O669" s="6"/>
      <c r="P669" s="18">
        <f t="shared" si="70"/>
        <v>-0.13571606624731047</v>
      </c>
    </row>
    <row r="670" spans="1:16" ht="15" customHeight="1" x14ac:dyDescent="0.3">
      <c r="A670" s="7" t="str">
        <f>Raw_Players!A632</f>
        <v>WAS</v>
      </c>
      <c r="B670" s="7" t="str">
        <f>Raw_Players!B632</f>
        <v>Chris Livingston</v>
      </c>
      <c r="C670" s="37">
        <f>Raw_Players!E632</f>
        <v>-1.8154266922531259</v>
      </c>
      <c r="D670" s="31">
        <f>Raw_Players!F632</f>
        <v>226.74923943453129</v>
      </c>
      <c r="E670" s="31">
        <f>Raw_Players!G632</f>
        <v>5.3161333838184124</v>
      </c>
      <c r="F670" s="31">
        <f>Raw_Players!H632</f>
        <v>42.6530380378952</v>
      </c>
      <c r="G670" s="31" t="str">
        <f>IFERROR(IF(INDEX(Overrides!$B$8:$B$47,MATCH(B670,Overrides!$A$8:$A$47,0))="","",INDEX(Overrides!$B$8:$B$47,MATCH(B670,Overrides!$A$8:$A$47,0))),"")</f>
        <v/>
      </c>
      <c r="H670" s="31" t="str">
        <f>IFERROR(IF(INDEX(Overrides!$C$8:$C$47,MATCH(B670,Overrides!$A$8:$A$47,0))="","",INDEX(Overrides!$C$8:$C$47,MATCH(B670,Overrides!$A$8:$A$47,0))),"")</f>
        <v/>
      </c>
      <c r="I670" s="36">
        <f>IFERROR(IF(INDEX(Overrides!$D$8:$D$47,MATCH(B670,Overrides!$A$8:$A$47,0))="",0,INDEX(Overrides!$D$8:$D$47,MATCH(B670,Overrides!$A$8:$A$47,0))),0)</f>
        <v>0</v>
      </c>
      <c r="J670" s="38">
        <f t="shared" si="65"/>
        <v>226.74923943453129</v>
      </c>
      <c r="K670" s="18">
        <f t="shared" si="66"/>
        <v>1</v>
      </c>
      <c r="L670" s="38">
        <f t="shared" si="67"/>
        <v>226.74923943453129</v>
      </c>
      <c r="M670" s="23">
        <f t="shared" si="68"/>
        <v>-1.8154266922531259</v>
      </c>
      <c r="N670" s="23">
        <f t="shared" si="69"/>
        <v>5.760905473438295E-2</v>
      </c>
      <c r="O670" s="6"/>
      <c r="P670" s="18">
        <f t="shared" si="70"/>
        <v>-0.10458501568027012</v>
      </c>
    </row>
    <row r="671" spans="1:16" ht="15" customHeight="1" x14ac:dyDescent="0.3">
      <c r="A671" s="7" t="str">
        <f>Raw_Players!A633</f>
        <v>WAS</v>
      </c>
      <c r="B671" s="7" t="str">
        <f>Raw_Players!B633</f>
        <v>Jazian Gortman</v>
      </c>
      <c r="C671" s="37">
        <f>Raw_Players!E633</f>
        <v>-1.420866304482381</v>
      </c>
      <c r="D671" s="31">
        <f>Raw_Players!F633</f>
        <v>185.1583973201013</v>
      </c>
      <c r="E671" s="31">
        <f>Raw_Players!G633</f>
        <v>6.1031243352739946</v>
      </c>
      <c r="F671" s="31">
        <f>Raw_Players!H633</f>
        <v>30.338296772023529</v>
      </c>
      <c r="G671" s="31" t="str">
        <f>IFERROR(IF(INDEX(Overrides!$B$8:$B$47,MATCH(B671,Overrides!$A$8:$A$47,0))="","",INDEX(Overrides!$B$8:$B$47,MATCH(B671,Overrides!$A$8:$A$47,0))),"")</f>
        <v/>
      </c>
      <c r="H671" s="31" t="str">
        <f>IFERROR(IF(INDEX(Overrides!$C$8:$C$47,MATCH(B671,Overrides!$A$8:$A$47,0))="","",INDEX(Overrides!$C$8:$C$47,MATCH(B671,Overrides!$A$8:$A$47,0))),"")</f>
        <v/>
      </c>
      <c r="I671" s="36">
        <f>IFERROR(IF(INDEX(Overrides!$D$8:$D$47,MATCH(B671,Overrides!$A$8:$A$47,0))="",0,INDEX(Overrides!$D$8:$D$47,MATCH(B671,Overrides!$A$8:$A$47,0))),0)</f>
        <v>0</v>
      </c>
      <c r="J671" s="38">
        <f t="shared" si="65"/>
        <v>185.1583973201013</v>
      </c>
      <c r="K671" s="18">
        <f t="shared" si="66"/>
        <v>1</v>
      </c>
      <c r="L671" s="38">
        <f t="shared" si="67"/>
        <v>185.1583973201013</v>
      </c>
      <c r="M671" s="23">
        <f t="shared" si="68"/>
        <v>-1.420866304482381</v>
      </c>
      <c r="N671" s="23">
        <f t="shared" si="69"/>
        <v>4.7042275741895657E-2</v>
      </c>
      <c r="O671" s="6"/>
      <c r="P671" s="18">
        <f t="shared" si="70"/>
        <v>-6.6840784487828445E-2</v>
      </c>
    </row>
    <row r="672" spans="1:16" ht="15" customHeight="1" x14ac:dyDescent="0.3">
      <c r="A672" s="7" t="str">
        <f>Raw_Players!A634</f>
        <v>WAS</v>
      </c>
      <c r="B672" s="7" t="str">
        <f>Raw_Players!B634</f>
        <v>Jamir Watkins</v>
      </c>
      <c r="C672" s="37">
        <f>Raw_Players!E634</f>
        <v>-1.390674239332683</v>
      </c>
      <c r="D672" s="31">
        <f>Raw_Players!F634</f>
        <v>49.017824759621092</v>
      </c>
      <c r="E672" s="31">
        <f>Raw_Players!G634</f>
        <v>14.885205292107401</v>
      </c>
      <c r="F672" s="31">
        <f>Raw_Players!H634</f>
        <v>3.2930566826385559</v>
      </c>
      <c r="G672" s="31" t="str">
        <f>IFERROR(IF(INDEX(Overrides!$B$8:$B$47,MATCH(B672,Overrides!$A$8:$A$47,0))="","",INDEX(Overrides!$B$8:$B$47,MATCH(B672,Overrides!$A$8:$A$47,0))),"")</f>
        <v/>
      </c>
      <c r="H672" s="31" t="str">
        <f>IFERROR(IF(INDEX(Overrides!$C$8:$C$47,MATCH(B672,Overrides!$A$8:$A$47,0))="","",INDEX(Overrides!$C$8:$C$47,MATCH(B672,Overrides!$A$8:$A$47,0))),"")</f>
        <v/>
      </c>
      <c r="I672" s="36">
        <f>IFERROR(IF(INDEX(Overrides!$D$8:$D$47,MATCH(B672,Overrides!$A$8:$A$47,0))="",0,INDEX(Overrides!$D$8:$D$47,MATCH(B672,Overrides!$A$8:$A$47,0))),0)</f>
        <v>0</v>
      </c>
      <c r="J672" s="38">
        <f t="shared" si="65"/>
        <v>49.017824759621092</v>
      </c>
      <c r="K672" s="18">
        <f t="shared" si="66"/>
        <v>1</v>
      </c>
      <c r="L672" s="38">
        <f t="shared" si="67"/>
        <v>49.017824759621092</v>
      </c>
      <c r="M672" s="23">
        <f t="shared" si="68"/>
        <v>-1.390674239332683</v>
      </c>
      <c r="N672" s="23">
        <f t="shared" si="69"/>
        <v>1.2453715640147635E-2</v>
      </c>
      <c r="O672" s="6"/>
      <c r="P672" s="18">
        <f t="shared" si="70"/>
        <v>-1.7319061524727848E-2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N37"/>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886</v>
      </c>
    </row>
    <row r="3" spans="1:14" ht="15" customHeight="1" x14ac:dyDescent="0.3">
      <c r="A3" s="4" t="s">
        <v>2</v>
      </c>
    </row>
    <row r="4" spans="1:14" ht="6" customHeight="1" x14ac:dyDescent="0.3"/>
    <row r="5" spans="1:14" ht="15" customHeight="1" x14ac:dyDescent="0.3">
      <c r="A5" s="4" t="s">
        <v>887</v>
      </c>
    </row>
    <row r="6" spans="1:14" ht="15" customHeight="1" x14ac:dyDescent="0.3"/>
    <row r="7" spans="1:14" ht="30" customHeight="1" x14ac:dyDescent="0.3">
      <c r="A7" s="11" t="s">
        <v>195</v>
      </c>
      <c r="B7" s="11" t="s">
        <v>233</v>
      </c>
      <c r="C7" s="11" t="s">
        <v>888</v>
      </c>
      <c r="D7" s="11" t="s">
        <v>889</v>
      </c>
      <c r="E7" s="11" t="s">
        <v>890</v>
      </c>
      <c r="F7" s="11" t="s">
        <v>891</v>
      </c>
      <c r="G7" s="11" t="s">
        <v>892</v>
      </c>
      <c r="H7" s="11" t="s">
        <v>893</v>
      </c>
      <c r="I7" s="11" t="s">
        <v>235</v>
      </c>
      <c r="J7" s="11" t="s">
        <v>894</v>
      </c>
      <c r="K7" s="11" t="s">
        <v>895</v>
      </c>
      <c r="L7" s="11" t="s">
        <v>896</v>
      </c>
      <c r="M7" s="11" t="s">
        <v>897</v>
      </c>
      <c r="N7" s="11" t="s">
        <v>898</v>
      </c>
    </row>
    <row r="8" spans="1:14" ht="15" customHeight="1" x14ac:dyDescent="0.3">
      <c r="A8" s="6" t="s">
        <v>199</v>
      </c>
      <c r="B8" s="31">
        <f>Odds_Input!E128</f>
        <v>51.5</v>
      </c>
      <c r="C8" s="36">
        <f>INDEX(M_TeamRatings!$K$8:$K$37,MATCH(A8,M_TeamRatings!$A$8:$A$37,0))</f>
        <v>51.027760980836348</v>
      </c>
      <c r="D8" s="14">
        <f t="shared" ref="D8:D37" si="0">A_sdscale*SQRT(A_games*(C8/A_games)*(1-C8/A_games)+(A_games*EXP(-NORMSINV(C8/A_games)^2/2)/SQRT(2*PI())/A_sigma_game*A_sigma_team)^2)</f>
        <v>9.3384176072014604</v>
      </c>
      <c r="E8" s="34">
        <f t="shared" ref="E8:E37" si="1">1-NORMDIST(B8,C8,D8,TRUE)</f>
        <v>0.47983428743641887</v>
      </c>
      <c r="F8" s="34">
        <f t="shared" ref="F8:F37" si="2">1-E8</f>
        <v>0.52016571256358113</v>
      </c>
      <c r="G8" s="42">
        <f>SUMPRODUCT((M_Sims!$B$48:$CF$48&gt;B8)*INDEX(M_Sims!$B$49:$CF$78,MATCH(A8,M_Sims!$A$49:$A$78,0),0))</f>
        <v>0.49981000000000003</v>
      </c>
      <c r="H8" s="38">
        <f t="shared" ref="H8:H37" si="3">(E8-G8)*100</f>
        <v>-1.9975712563581161</v>
      </c>
      <c r="I8" s="9" t="str">
        <f t="shared" ref="I8:I37" si="4">IF(ABS(H8)&gt;2,"CHECK &gt;2pp","")</f>
        <v/>
      </c>
      <c r="J8" s="43">
        <f t="shared" ref="J8:J37" si="5">IF(E8&gt;=0.5,-100*E8/(1-E8),100*(1-E8)/E8)</f>
        <v>108.40528202822655</v>
      </c>
      <c r="K8" s="43">
        <f t="shared" ref="K8:K37" si="6">IF(F8&gt;=0.5,-100*F8/(1-F8),100*(1-F8)/F8)</f>
        <v>-108.40528202822655</v>
      </c>
      <c r="L8" s="32">
        <f>Odds_Input!F128</f>
        <v>110</v>
      </c>
      <c r="M8" s="32">
        <f>Odds_Input!F129</f>
        <v>-130</v>
      </c>
      <c r="N8" s="42">
        <f>M_DeVig!Q128</f>
        <v>0.45548654243129111</v>
      </c>
    </row>
    <row r="9" spans="1:14" ht="15" customHeight="1" x14ac:dyDescent="0.3">
      <c r="A9" s="6" t="s">
        <v>205</v>
      </c>
      <c r="B9" s="31">
        <f>Odds_Input!E130</f>
        <v>49.5</v>
      </c>
      <c r="C9" s="36">
        <f>INDEX(M_TeamRatings!$K$8:$K$37,MATCH(A9,M_TeamRatings!$A$8:$A$37,0))</f>
        <v>47.135260415501001</v>
      </c>
      <c r="D9" s="14">
        <f t="shared" si="0"/>
        <v>9.1488894700684629</v>
      </c>
      <c r="E9" s="34">
        <f t="shared" si="1"/>
        <v>0.39802099781558553</v>
      </c>
      <c r="F9" s="34">
        <f t="shared" si="2"/>
        <v>0.60197900218441447</v>
      </c>
      <c r="G9" s="42">
        <f>SUMPRODUCT((M_Sims!$B$48:$CF$48&gt;B9)*INDEX(M_Sims!$B$49:$CF$78,MATCH(A9,M_Sims!$A$49:$A$78,0),0))</f>
        <v>0.41195999999999999</v>
      </c>
      <c r="H9" s="38">
        <f t="shared" si="3"/>
        <v>-1.3939002184414462</v>
      </c>
      <c r="I9" s="9" t="str">
        <f t="shared" si="4"/>
        <v/>
      </c>
      <c r="J9" s="43">
        <f t="shared" si="5"/>
        <v>151.24302624439139</v>
      </c>
      <c r="K9" s="43">
        <f t="shared" si="6"/>
        <v>-151.24302624439139</v>
      </c>
      <c r="L9" s="32">
        <f>Odds_Input!F130</f>
        <v>115</v>
      </c>
      <c r="M9" s="32">
        <f>Odds_Input!F131</f>
        <v>-135</v>
      </c>
      <c r="N9" s="42">
        <f>M_DeVig!Q130</f>
        <v>0.44532409697922487</v>
      </c>
    </row>
    <row r="10" spans="1:14" ht="15" customHeight="1" x14ac:dyDescent="0.3">
      <c r="A10" s="6" t="s">
        <v>216</v>
      </c>
      <c r="B10" s="31">
        <f>Odds_Input!E132</f>
        <v>52.5</v>
      </c>
      <c r="C10" s="36">
        <f>INDEX(M_TeamRatings!$K$8:$K$37,MATCH(A10,M_TeamRatings!$A$8:$A$37,0))</f>
        <v>43.790963947959305</v>
      </c>
      <c r="D10" s="14">
        <f t="shared" si="0"/>
        <v>9.0654652114359155</v>
      </c>
      <c r="E10" s="34">
        <f t="shared" si="1"/>
        <v>0.16835585352502835</v>
      </c>
      <c r="F10" s="34">
        <f t="shared" si="2"/>
        <v>0.83164414647497165</v>
      </c>
      <c r="G10" s="42">
        <f>SUMPRODUCT((M_Sims!$B$48:$CF$48&gt;B10)*INDEX(M_Sims!$B$49:$CF$78,MATCH(A10,M_Sims!$A$49:$A$78,0),0))</f>
        <v>0.17778999999999998</v>
      </c>
      <c r="H10" s="38">
        <f t="shared" si="3"/>
        <v>-0.9434146474971622</v>
      </c>
      <c r="I10" s="9" t="str">
        <f t="shared" si="4"/>
        <v/>
      </c>
      <c r="J10" s="43">
        <f t="shared" si="5"/>
        <v>493.97994133381093</v>
      </c>
      <c r="K10" s="43">
        <f t="shared" si="6"/>
        <v>-493.97994133381093</v>
      </c>
      <c r="L10" s="32">
        <f>Odds_Input!F132</f>
        <v>135</v>
      </c>
      <c r="M10" s="32">
        <f>Odds_Input!F133</f>
        <v>-155</v>
      </c>
      <c r="N10" s="42">
        <f>M_DeVig!Q132</f>
        <v>0.40884438880822638</v>
      </c>
    </row>
    <row r="11" spans="1:14" ht="15" customHeight="1" x14ac:dyDescent="0.3">
      <c r="A11" s="6" t="s">
        <v>219</v>
      </c>
      <c r="B11" s="31">
        <f>Odds_Input!E134</f>
        <v>50.5</v>
      </c>
      <c r="C11" s="36">
        <f>INDEX(M_TeamRatings!$K$8:$K$37,MATCH(A11,M_TeamRatings!$A$8:$A$37,0))</f>
        <v>44.550706616595875</v>
      </c>
      <c r="D11" s="14">
        <f t="shared" si="0"/>
        <v>9.0786604447093211</v>
      </c>
      <c r="E11" s="34">
        <f t="shared" si="1"/>
        <v>0.25613563728459432</v>
      </c>
      <c r="F11" s="34">
        <f t="shared" si="2"/>
        <v>0.74386436271540568</v>
      </c>
      <c r="G11" s="42">
        <f>SUMPRODUCT((M_Sims!$B$48:$CF$48&gt;B11)*INDEX(M_Sims!$B$49:$CF$78,MATCH(A11,M_Sims!$A$49:$A$78,0),0))</f>
        <v>0.26109000000000004</v>
      </c>
      <c r="H11" s="38">
        <f t="shared" si="3"/>
        <v>-0.49543627154057246</v>
      </c>
      <c r="I11" s="9" t="str">
        <f t="shared" si="4"/>
        <v/>
      </c>
      <c r="J11" s="43">
        <f t="shared" si="5"/>
        <v>290.41814352795126</v>
      </c>
      <c r="K11" s="43">
        <f t="shared" si="6"/>
        <v>-290.41814352795126</v>
      </c>
      <c r="L11" s="32">
        <f>Odds_Input!F134</f>
        <v>100</v>
      </c>
      <c r="M11" s="32">
        <f>Odds_Input!F135</f>
        <v>-120</v>
      </c>
      <c r="N11" s="42">
        <f>M_DeVig!Q134</f>
        <v>0.4772727272430774</v>
      </c>
    </row>
    <row r="12" spans="1:14" ht="15" customHeight="1" x14ac:dyDescent="0.3">
      <c r="A12" s="6" t="s">
        <v>217</v>
      </c>
      <c r="B12" s="31">
        <f>Odds_Input!E136</f>
        <v>61.5</v>
      </c>
      <c r="C12" s="36">
        <f>INDEX(M_TeamRatings!$K$8:$K$37,MATCH(A12,M_TeamRatings!$A$8:$A$37,0))</f>
        <v>58.724035584789235</v>
      </c>
      <c r="D12" s="14">
        <f t="shared" si="0"/>
        <v>10.149290369595828</v>
      </c>
      <c r="E12" s="34">
        <f t="shared" si="1"/>
        <v>0.39222939131210977</v>
      </c>
      <c r="F12" s="34">
        <f t="shared" si="2"/>
        <v>0.60777060868789023</v>
      </c>
      <c r="G12" s="42">
        <f>SUMPRODUCT((M_Sims!$B$48:$CF$48&gt;B12)*INDEX(M_Sims!$B$49:$CF$78,MATCH(A12,M_Sims!$A$49:$A$78,0),0))</f>
        <v>0.39930999999999994</v>
      </c>
      <c r="H12" s="38">
        <f t="shared" si="3"/>
        <v>-0.70806086878901775</v>
      </c>
      <c r="I12" s="9" t="str">
        <f t="shared" si="4"/>
        <v/>
      </c>
      <c r="J12" s="43">
        <f t="shared" si="5"/>
        <v>154.95284702014268</v>
      </c>
      <c r="K12" s="43">
        <f t="shared" si="6"/>
        <v>-154.95284702014268</v>
      </c>
      <c r="L12" s="32">
        <f>Odds_Input!F136</f>
        <v>-125</v>
      </c>
      <c r="M12" s="32">
        <f>Odds_Input!F137</f>
        <v>105</v>
      </c>
      <c r="N12" s="42">
        <f>M_DeVig!Q136</f>
        <v>0.53387533873028026</v>
      </c>
    </row>
    <row r="13" spans="1:14" ht="15" customHeight="1" x14ac:dyDescent="0.3">
      <c r="A13" s="6" t="s">
        <v>223</v>
      </c>
      <c r="B13" s="31">
        <f>Odds_Input!E138</f>
        <v>59.5</v>
      </c>
      <c r="C13" s="36">
        <f>INDEX(M_TeamRatings!$K$8:$K$37,MATCH(A13,M_TeamRatings!$A$8:$A$37,0))</f>
        <v>53.937441613975466</v>
      </c>
      <c r="D13" s="14">
        <f t="shared" si="0"/>
        <v>9.5620751426969601</v>
      </c>
      <c r="E13" s="34">
        <f t="shared" si="1"/>
        <v>0.28037384316159275</v>
      </c>
      <c r="F13" s="34">
        <f t="shared" si="2"/>
        <v>0.71962615683840725</v>
      </c>
      <c r="G13" s="42">
        <f>SUMPRODUCT((M_Sims!$B$48:$CF$48&gt;B13)*INDEX(M_Sims!$B$49:$CF$78,MATCH(A13,M_Sims!$A$49:$A$78,0),0))</f>
        <v>0.27406000000000003</v>
      </c>
      <c r="H13" s="38">
        <f t="shared" si="3"/>
        <v>0.63138431615927249</v>
      </c>
      <c r="I13" s="9" t="str">
        <f t="shared" si="4"/>
        <v/>
      </c>
      <c r="J13" s="43">
        <f t="shared" si="5"/>
        <v>256.66665218254775</v>
      </c>
      <c r="K13" s="43">
        <f t="shared" si="6"/>
        <v>-256.66665218254775</v>
      </c>
      <c r="L13" s="32">
        <f>Odds_Input!F138</f>
        <v>-135</v>
      </c>
      <c r="M13" s="32">
        <f>Odds_Input!F139</f>
        <v>115</v>
      </c>
      <c r="N13" s="42">
        <f>M_DeVig!Q138</f>
        <v>0.55467590301630942</v>
      </c>
    </row>
    <row r="14" spans="1:14" ht="15" customHeight="1" x14ac:dyDescent="0.3">
      <c r="A14" s="6" t="s">
        <v>197</v>
      </c>
      <c r="B14" s="31">
        <f>Odds_Input!E140</f>
        <v>44.5</v>
      </c>
      <c r="C14" s="36">
        <f>INDEX(M_TeamRatings!$K$8:$K$37,MATCH(A14,M_TeamRatings!$A$8:$A$37,0))</f>
        <v>40.786749281555615</v>
      </c>
      <c r="D14" s="14">
        <f t="shared" si="0"/>
        <v>9.0444691968486701</v>
      </c>
      <c r="E14" s="34">
        <f t="shared" si="1"/>
        <v>0.34069948715040299</v>
      </c>
      <c r="F14" s="34">
        <f t="shared" si="2"/>
        <v>0.65930051284959701</v>
      </c>
      <c r="G14" s="42">
        <f>SUMPRODUCT((M_Sims!$B$48:$CF$48&gt;B14)*INDEX(M_Sims!$B$49:$CF$78,MATCH(A14,M_Sims!$A$49:$A$78,0),0))</f>
        <v>0.33594999999999997</v>
      </c>
      <c r="H14" s="38">
        <f t="shared" si="3"/>
        <v>0.47494871504030201</v>
      </c>
      <c r="I14" s="9" t="str">
        <f t="shared" si="4"/>
        <v/>
      </c>
      <c r="J14" s="43">
        <f t="shared" si="5"/>
        <v>193.51379667869782</v>
      </c>
      <c r="K14" s="43">
        <f t="shared" si="6"/>
        <v>-193.51379667869782</v>
      </c>
      <c r="L14" s="32">
        <f>Odds_Input!F140</f>
        <v>105</v>
      </c>
      <c r="M14" s="32">
        <f>Odds_Input!F141</f>
        <v>-125</v>
      </c>
      <c r="N14" s="42">
        <f>M_DeVig!Q140</f>
        <v>0.46612466122030238</v>
      </c>
    </row>
    <row r="15" spans="1:14" ht="15" customHeight="1" x14ac:dyDescent="0.3">
      <c r="A15" s="6" t="s">
        <v>213</v>
      </c>
      <c r="B15" s="31">
        <f>Odds_Input!E142</f>
        <v>25.5</v>
      </c>
      <c r="C15" s="36">
        <f>INDEX(M_TeamRatings!$K$8:$K$37,MATCH(A15,M_TeamRatings!$A$8:$A$37,0))</f>
        <v>30.058542071731551</v>
      </c>
      <c r="D15" s="14">
        <f t="shared" si="0"/>
        <v>9.4000753649317872</v>
      </c>
      <c r="E15" s="34">
        <f t="shared" si="1"/>
        <v>0.68614316968640954</v>
      </c>
      <c r="F15" s="34">
        <f t="shared" si="2"/>
        <v>0.31385683031359046</v>
      </c>
      <c r="G15" s="42">
        <f>SUMPRODUCT((M_Sims!$B$48:$CF$48&gt;B15)*INDEX(M_Sims!$B$49:$CF$78,MATCH(A15,M_Sims!$A$49:$A$78,0),0))</f>
        <v>0.68523999999999985</v>
      </c>
      <c r="H15" s="38">
        <f t="shared" si="3"/>
        <v>9.0316968640968831E-2</v>
      </c>
      <c r="I15" s="9" t="str">
        <f t="shared" si="4"/>
        <v/>
      </c>
      <c r="J15" s="43">
        <f t="shared" si="5"/>
        <v>-218.61661223075777</v>
      </c>
      <c r="K15" s="43">
        <f t="shared" si="6"/>
        <v>218.61661223075777</v>
      </c>
      <c r="L15" s="32">
        <f>Odds_Input!F142</f>
        <v>-120</v>
      </c>
      <c r="M15" s="32">
        <f>Odds_Input!F143</f>
        <v>100</v>
      </c>
      <c r="N15" s="42">
        <f>M_DeVig!Q142</f>
        <v>0.52272727270008856</v>
      </c>
    </row>
    <row r="16" spans="1:14" ht="15" customHeight="1" x14ac:dyDescent="0.3">
      <c r="A16" s="6" t="s">
        <v>218</v>
      </c>
      <c r="B16" s="31">
        <f>Odds_Input!E144</f>
        <v>43.5</v>
      </c>
      <c r="C16" s="36">
        <f>INDEX(M_TeamRatings!$K$8:$K$37,MATCH(A16,M_TeamRatings!$A$8:$A$37,0))</f>
        <v>43.96500120297366</v>
      </c>
      <c r="D16" s="14">
        <f t="shared" si="0"/>
        <v>9.0682003297657587</v>
      </c>
      <c r="E16" s="34">
        <f t="shared" si="1"/>
        <v>0.52044808978722279</v>
      </c>
      <c r="F16" s="34">
        <f t="shared" si="2"/>
        <v>0.47955191021277721</v>
      </c>
      <c r="G16" s="42">
        <f>SUMPRODUCT((M_Sims!$B$48:$CF$48&gt;B16)*INDEX(M_Sims!$B$49:$CF$78,MATCH(A16,M_Sims!$A$49:$A$78,0),0))</f>
        <v>0.52278999999999987</v>
      </c>
      <c r="H16" s="38">
        <f t="shared" si="3"/>
        <v>-0.23419102127770763</v>
      </c>
      <c r="I16" s="9" t="str">
        <f t="shared" si="4"/>
        <v/>
      </c>
      <c r="J16" s="43">
        <f t="shared" si="5"/>
        <v>-108.52799847180255</v>
      </c>
      <c r="K16" s="43">
        <f t="shared" si="6"/>
        <v>108.52799847180255</v>
      </c>
      <c r="L16" s="32">
        <f>Odds_Input!F144</f>
        <v>-130</v>
      </c>
      <c r="M16" s="32">
        <f>Odds_Input!F145</f>
        <v>110</v>
      </c>
      <c r="N16" s="42">
        <f>M_DeVig!Q144</f>
        <v>0.54451345754701419</v>
      </c>
    </row>
    <row r="17" spans="1:14" ht="15" customHeight="1" x14ac:dyDescent="0.3">
      <c r="A17" s="6" t="s">
        <v>226</v>
      </c>
      <c r="B17" s="31">
        <f>Odds_Input!E146</f>
        <v>35.5</v>
      </c>
      <c r="C17" s="36">
        <f>INDEX(M_TeamRatings!$K$8:$K$37,MATCH(A17,M_TeamRatings!$A$8:$A$37,0))</f>
        <v>27.814166659206549</v>
      </c>
      <c r="D17" s="14">
        <f t="shared" si="0"/>
        <v>9.585124017414639</v>
      </c>
      <c r="E17" s="34">
        <f t="shared" si="1"/>
        <v>0.21131981619171092</v>
      </c>
      <c r="F17" s="34">
        <f t="shared" si="2"/>
        <v>0.78868018380828908</v>
      </c>
      <c r="G17" s="42">
        <f>SUMPRODUCT((M_Sims!$B$48:$CF$48&gt;B17)*INDEX(M_Sims!$B$49:$CF$78,MATCH(A17,M_Sims!$A$49:$A$78,0),0))</f>
        <v>0.17716000000000001</v>
      </c>
      <c r="H17" s="38">
        <f t="shared" si="3"/>
        <v>3.4159816191710908</v>
      </c>
      <c r="I17" s="9" t="str">
        <f t="shared" si="4"/>
        <v>CHECK &gt;2pp</v>
      </c>
      <c r="J17" s="43">
        <f t="shared" si="5"/>
        <v>373.2163873797773</v>
      </c>
      <c r="K17" s="43">
        <f t="shared" si="6"/>
        <v>-373.2163873797773</v>
      </c>
      <c r="L17" s="32">
        <f>Odds_Input!F146</f>
        <v>120</v>
      </c>
      <c r="M17" s="32">
        <f>Odds_Input!F147</f>
        <v>-140</v>
      </c>
      <c r="N17" s="42">
        <f>M_DeVig!Q146</f>
        <v>0.4356060606181606</v>
      </c>
    </row>
    <row r="18" spans="1:14" ht="15" customHeight="1" x14ac:dyDescent="0.3">
      <c r="A18" s="6" t="s">
        <v>198</v>
      </c>
      <c r="B18" s="31">
        <f>Odds_Input!E148</f>
        <v>24.5</v>
      </c>
      <c r="C18" s="36">
        <f>INDEX(M_TeamRatings!$K$8:$K$37,MATCH(A18,M_TeamRatings!$A$8:$A$37,0))</f>
        <v>31.30890021121553</v>
      </c>
      <c r="D18" s="14">
        <f t="shared" si="0"/>
        <v>9.3174971916640885</v>
      </c>
      <c r="E18" s="34">
        <f t="shared" si="1"/>
        <v>0.76753862691459962</v>
      </c>
      <c r="F18" s="34">
        <f t="shared" si="2"/>
        <v>0.23246137308540038</v>
      </c>
      <c r="G18" s="42">
        <f>SUMPRODUCT((M_Sims!$B$48:$CF$48&gt;B18)*INDEX(M_Sims!$B$49:$CF$78,MATCH(A18,M_Sims!$A$49:$A$78,0),0))</f>
        <v>0.77991999999999995</v>
      </c>
      <c r="H18" s="38">
        <f t="shared" si="3"/>
        <v>-1.2381373085400327</v>
      </c>
      <c r="I18" s="9" t="str">
        <f t="shared" si="4"/>
        <v/>
      </c>
      <c r="J18" s="43">
        <f t="shared" si="5"/>
        <v>-330.17899564441848</v>
      </c>
      <c r="K18" s="43">
        <f t="shared" si="6"/>
        <v>330.17899564441848</v>
      </c>
      <c r="L18" s="32">
        <f>Odds_Input!F148</f>
        <v>110</v>
      </c>
      <c r="M18" s="32">
        <f>Odds_Input!F149</f>
        <v>-130</v>
      </c>
      <c r="N18" s="42">
        <f>M_DeVig!Q148</f>
        <v>0.45548654243129111</v>
      </c>
    </row>
    <row r="19" spans="1:14" ht="15" customHeight="1" x14ac:dyDescent="0.3">
      <c r="A19" s="6" t="s">
        <v>200</v>
      </c>
      <c r="B19" s="31">
        <f>Odds_Input!E150</f>
        <v>39.5</v>
      </c>
      <c r="C19" s="36">
        <f>INDEX(M_TeamRatings!$K$8:$K$37,MATCH(A19,M_TeamRatings!$A$8:$A$37,0))</f>
        <v>37.818211825207889</v>
      </c>
      <c r="D19" s="14">
        <f t="shared" si="0"/>
        <v>9.071845441218052</v>
      </c>
      <c r="E19" s="34">
        <f t="shared" si="1"/>
        <v>0.42646335882366748</v>
      </c>
      <c r="F19" s="34">
        <f t="shared" si="2"/>
        <v>0.57353664117633252</v>
      </c>
      <c r="G19" s="42">
        <f>SUMPRODUCT((M_Sims!$B$48:$CF$48&gt;B19)*INDEX(M_Sims!$B$49:$CF$78,MATCH(A19,M_Sims!$A$49:$A$78,0),0))</f>
        <v>0.41885</v>
      </c>
      <c r="H19" s="38">
        <f t="shared" si="3"/>
        <v>0.76133588236674821</v>
      </c>
      <c r="I19" s="9" t="str">
        <f t="shared" si="4"/>
        <v/>
      </c>
      <c r="J19" s="43">
        <f t="shared" si="5"/>
        <v>134.48673357503532</v>
      </c>
      <c r="K19" s="43">
        <f t="shared" si="6"/>
        <v>-134.48673357503532</v>
      </c>
      <c r="L19" s="32">
        <f>Odds_Input!F150</f>
        <v>150</v>
      </c>
      <c r="M19" s="32">
        <f>Odds_Input!F151</f>
        <v>-170</v>
      </c>
      <c r="N19" s="42">
        <f>M_DeVig!Q150</f>
        <v>0.38518518515043076</v>
      </c>
    </row>
    <row r="20" spans="1:14" ht="15" customHeight="1" x14ac:dyDescent="0.3">
      <c r="A20" s="6" t="s">
        <v>201</v>
      </c>
      <c r="B20" s="31">
        <f>Odds_Input!E152</f>
        <v>28.5</v>
      </c>
      <c r="C20" s="36">
        <f>INDEX(M_TeamRatings!$K$8:$K$37,MATCH(A20,M_TeamRatings!$A$8:$A$37,0))</f>
        <v>31.948128137493921</v>
      </c>
      <c r="D20" s="14">
        <f t="shared" si="0"/>
        <v>9.2803056382088371</v>
      </c>
      <c r="E20" s="34">
        <f t="shared" si="1"/>
        <v>0.64488726571329291</v>
      </c>
      <c r="F20" s="34">
        <f t="shared" si="2"/>
        <v>0.35511273428670709</v>
      </c>
      <c r="G20" s="42">
        <f>SUMPRODUCT((M_Sims!$B$48:$CF$48&gt;B20)*INDEX(M_Sims!$B$49:$CF$78,MATCH(A20,M_Sims!$A$49:$A$78,0),0))</f>
        <v>0.65264000000000033</v>
      </c>
      <c r="H20" s="38">
        <f t="shared" si="3"/>
        <v>-0.77527342867074189</v>
      </c>
      <c r="I20" s="9" t="str">
        <f t="shared" si="4"/>
        <v/>
      </c>
      <c r="J20" s="43">
        <f t="shared" si="5"/>
        <v>-181.60071533583215</v>
      </c>
      <c r="K20" s="43">
        <f t="shared" si="6"/>
        <v>181.60071533583215</v>
      </c>
      <c r="L20" s="32">
        <f>Odds_Input!F152</f>
        <v>-150</v>
      </c>
      <c r="M20" s="32">
        <f>Odds_Input!F153</f>
        <v>130</v>
      </c>
      <c r="N20" s="42">
        <f>M_DeVig!Q152</f>
        <v>0.58260869565205631</v>
      </c>
    </row>
    <row r="21" spans="1:14" ht="15" customHeight="1" x14ac:dyDescent="0.3">
      <c r="A21" s="6" t="s">
        <v>212</v>
      </c>
      <c r="B21" s="31">
        <f>Odds_Input!E154</f>
        <v>46.5</v>
      </c>
      <c r="C21" s="36">
        <f>INDEX(M_TeamRatings!$K$8:$K$37,MATCH(A21,M_TeamRatings!$A$8:$A$37,0))</f>
        <v>37.316596617560769</v>
      </c>
      <c r="D21" s="14">
        <f t="shared" si="0"/>
        <v>9.0813016694831266</v>
      </c>
      <c r="E21" s="34">
        <f t="shared" si="1"/>
        <v>0.15595005309898213</v>
      </c>
      <c r="F21" s="34">
        <f t="shared" si="2"/>
        <v>0.84404994690101787</v>
      </c>
      <c r="G21" s="42">
        <f>SUMPRODUCT((M_Sims!$B$48:$CF$48&gt;B21)*INDEX(M_Sims!$B$49:$CF$78,MATCH(A21,M_Sims!$A$49:$A$78,0),0))</f>
        <v>0.16706000000000004</v>
      </c>
      <c r="H21" s="38">
        <f t="shared" si="3"/>
        <v>-1.1109946901017909</v>
      </c>
      <c r="I21" s="9" t="str">
        <f t="shared" si="4"/>
        <v/>
      </c>
      <c r="J21" s="43">
        <f t="shared" si="5"/>
        <v>541.23094550361964</v>
      </c>
      <c r="K21" s="43">
        <f t="shared" si="6"/>
        <v>-541.23094550361964</v>
      </c>
      <c r="L21" s="32">
        <f>Odds_Input!F154</f>
        <v>100</v>
      </c>
      <c r="M21" s="32">
        <f>Odds_Input!F155</f>
        <v>-120</v>
      </c>
      <c r="N21" s="42">
        <f>M_DeVig!Q154</f>
        <v>0.4772727272430774</v>
      </c>
    </row>
    <row r="22" spans="1:14" ht="15" customHeight="1" x14ac:dyDescent="0.3">
      <c r="A22" s="6" t="s">
        <v>214</v>
      </c>
      <c r="B22" s="31">
        <f>Odds_Input!E156</f>
        <v>47.5</v>
      </c>
      <c r="C22" s="36">
        <f>INDEX(M_TeamRatings!$K$8:$K$37,MATCH(A22,M_TeamRatings!$A$8:$A$37,0))</f>
        <v>44.371378152861226</v>
      </c>
      <c r="D22" s="14">
        <f t="shared" si="0"/>
        <v>9.0752510389014205</v>
      </c>
      <c r="E22" s="34">
        <f t="shared" si="1"/>
        <v>0.36514410155480892</v>
      </c>
      <c r="F22" s="34">
        <f t="shared" si="2"/>
        <v>0.63485589844519108</v>
      </c>
      <c r="G22" s="42">
        <f>SUMPRODUCT((M_Sims!$B$48:$CF$48&gt;B22)*INDEX(M_Sims!$B$49:$CF$78,MATCH(A22,M_Sims!$A$49:$A$78,0),0))</f>
        <v>0.37585000000000002</v>
      </c>
      <c r="H22" s="38">
        <f t="shared" si="3"/>
        <v>-1.0705898445191098</v>
      </c>
      <c r="I22" s="9" t="str">
        <f t="shared" si="4"/>
        <v/>
      </c>
      <c r="J22" s="43">
        <f t="shared" si="5"/>
        <v>173.86448137651152</v>
      </c>
      <c r="K22" s="43">
        <f t="shared" si="6"/>
        <v>-173.86448137651152</v>
      </c>
      <c r="L22" s="32">
        <f>Odds_Input!F156</f>
        <v>-120</v>
      </c>
      <c r="M22" s="32">
        <f>Odds_Input!F157</f>
        <v>100</v>
      </c>
      <c r="N22" s="42">
        <f>M_DeVig!Q156</f>
        <v>0.52272727270008856</v>
      </c>
    </row>
    <row r="23" spans="1:14" ht="15" customHeight="1" x14ac:dyDescent="0.3">
      <c r="A23" s="6" t="s">
        <v>224</v>
      </c>
      <c r="B23" s="31">
        <f>Odds_Input!E158</f>
        <v>45.5</v>
      </c>
      <c r="C23" s="36">
        <f>INDEX(M_TeamRatings!$K$8:$K$37,MATCH(A23,M_TeamRatings!$A$8:$A$37,0))</f>
        <v>50.058631025067847</v>
      </c>
      <c r="D23" s="14">
        <f t="shared" si="0"/>
        <v>9.2806819941394636</v>
      </c>
      <c r="E23" s="34">
        <f t="shared" si="1"/>
        <v>0.68835597760520351</v>
      </c>
      <c r="F23" s="34">
        <f t="shared" si="2"/>
        <v>0.31164402239479649</v>
      </c>
      <c r="G23" s="42">
        <f>SUMPRODUCT((M_Sims!$B$48:$CF$48&gt;B23)*INDEX(M_Sims!$B$49:$CF$78,MATCH(A23,M_Sims!$A$49:$A$78,0),0))</f>
        <v>0.70168999999999981</v>
      </c>
      <c r="H23" s="38">
        <f t="shared" si="3"/>
        <v>-1.3334022394796308</v>
      </c>
      <c r="I23" s="9" t="str">
        <f t="shared" si="4"/>
        <v/>
      </c>
      <c r="J23" s="43">
        <f t="shared" si="5"/>
        <v>-220.87892856586907</v>
      </c>
      <c r="K23" s="43">
        <f t="shared" si="6"/>
        <v>220.87892856586907</v>
      </c>
      <c r="L23" s="32">
        <f>Odds_Input!F158</f>
        <v>-145</v>
      </c>
      <c r="M23" s="32">
        <f>Odds_Input!F159</f>
        <v>125</v>
      </c>
      <c r="N23" s="42">
        <f>M_DeVig!Q158</f>
        <v>0.57369614512677158</v>
      </c>
    </row>
    <row r="24" spans="1:14" ht="15" customHeight="1" x14ac:dyDescent="0.3">
      <c r="A24" s="6" t="s">
        <v>208</v>
      </c>
      <c r="B24" s="31">
        <f>Odds_Input!E160</f>
        <v>44.5</v>
      </c>
      <c r="C24" s="36">
        <f>INDEX(M_TeamRatings!$K$8:$K$37,MATCH(A24,M_TeamRatings!$A$8:$A$37,0))</f>
        <v>42.076646842599409</v>
      </c>
      <c r="D24" s="14">
        <f t="shared" si="0"/>
        <v>9.0474726731612591</v>
      </c>
      <c r="E24" s="34">
        <f t="shared" si="1"/>
        <v>0.39440791839995071</v>
      </c>
      <c r="F24" s="34">
        <f t="shared" si="2"/>
        <v>0.60559208160004929</v>
      </c>
      <c r="G24" s="42">
        <f>SUMPRODUCT((M_Sims!$B$48:$CF$48&gt;B24)*INDEX(M_Sims!$B$49:$CF$78,MATCH(A24,M_Sims!$A$49:$A$78,0),0))</f>
        <v>0.39609999999999995</v>
      </c>
      <c r="H24" s="38">
        <f t="shared" si="3"/>
        <v>-0.16920816000492445</v>
      </c>
      <c r="I24" s="9" t="str">
        <f t="shared" si="4"/>
        <v/>
      </c>
      <c r="J24" s="43">
        <f t="shared" si="5"/>
        <v>153.5446053052988</v>
      </c>
      <c r="K24" s="43">
        <f t="shared" si="6"/>
        <v>-153.5446053052988</v>
      </c>
      <c r="L24" s="32">
        <f>Odds_Input!F160</f>
        <v>-120</v>
      </c>
      <c r="M24" s="32">
        <f>Odds_Input!F161</f>
        <v>100</v>
      </c>
      <c r="N24" s="42">
        <f>M_DeVig!Q160</f>
        <v>0.52272727270008856</v>
      </c>
    </row>
    <row r="25" spans="1:14" ht="15" customHeight="1" x14ac:dyDescent="0.3">
      <c r="A25" s="6" t="s">
        <v>211</v>
      </c>
      <c r="B25" s="31">
        <f>Odds_Input!E162</f>
        <v>28.5</v>
      </c>
      <c r="C25" s="36">
        <f>INDEX(M_TeamRatings!$K$8:$K$37,MATCH(A25,M_TeamRatings!$A$8:$A$37,0))</f>
        <v>36.359431930191491</v>
      </c>
      <c r="D25" s="14">
        <f t="shared" si="0"/>
        <v>9.1033813691213492</v>
      </c>
      <c r="E25" s="34">
        <f t="shared" si="1"/>
        <v>0.80602830336554931</v>
      </c>
      <c r="F25" s="34">
        <f t="shared" si="2"/>
        <v>0.19397169663445069</v>
      </c>
      <c r="G25" s="42">
        <f>SUMPRODUCT((M_Sims!$B$48:$CF$48&gt;B25)*INDEX(M_Sims!$B$49:$CF$78,MATCH(A25,M_Sims!$A$49:$A$78,0),0))</f>
        <v>0.81510000000000005</v>
      </c>
      <c r="H25" s="38">
        <f t="shared" si="3"/>
        <v>-0.90716966344507322</v>
      </c>
      <c r="I25" s="9" t="str">
        <f t="shared" si="4"/>
        <v/>
      </c>
      <c r="J25" s="43">
        <f t="shared" si="5"/>
        <v>-415.53913140459338</v>
      </c>
      <c r="K25" s="43">
        <f t="shared" si="6"/>
        <v>415.53913140459338</v>
      </c>
      <c r="L25" s="32">
        <f>Odds_Input!F162</f>
        <v>-145</v>
      </c>
      <c r="M25" s="32">
        <f>Odds_Input!F163</f>
        <v>125</v>
      </c>
      <c r="N25" s="42">
        <f>M_DeVig!Q162</f>
        <v>0.57369614512677158</v>
      </c>
    </row>
    <row r="26" spans="1:14" ht="15" customHeight="1" x14ac:dyDescent="0.3">
      <c r="A26" s="6" t="s">
        <v>215</v>
      </c>
      <c r="B26" s="31">
        <f>Odds_Input!E164</f>
        <v>28.5</v>
      </c>
      <c r="C26" s="36">
        <f>INDEX(M_TeamRatings!$K$8:$K$37,MATCH(A26,M_TeamRatings!$A$8:$A$37,0))</f>
        <v>32.030757259195234</v>
      </c>
      <c r="D26" s="14">
        <f t="shared" si="0"/>
        <v>9.2757334487714083</v>
      </c>
      <c r="E26" s="34">
        <f t="shared" si="1"/>
        <v>0.6482664853323451</v>
      </c>
      <c r="F26" s="34">
        <f t="shared" si="2"/>
        <v>0.3517335146676549</v>
      </c>
      <c r="G26" s="42">
        <f>SUMPRODUCT((M_Sims!$B$48:$CF$48&gt;B26)*INDEX(M_Sims!$B$49:$CF$78,MATCH(A26,M_Sims!$A$49:$A$78,0),0))</f>
        <v>0.64117999999999964</v>
      </c>
      <c r="H26" s="38">
        <f t="shared" si="3"/>
        <v>0.70864853323454602</v>
      </c>
      <c r="I26" s="9" t="str">
        <f t="shared" si="4"/>
        <v/>
      </c>
      <c r="J26" s="43">
        <f t="shared" si="5"/>
        <v>-184.30614607336395</v>
      </c>
      <c r="K26" s="43">
        <f t="shared" si="6"/>
        <v>184.30614607336395</v>
      </c>
      <c r="L26" s="32">
        <f>Odds_Input!F164</f>
        <v>-120</v>
      </c>
      <c r="M26" s="32">
        <f>Odds_Input!F165</f>
        <v>100</v>
      </c>
      <c r="N26" s="42">
        <f>M_DeVig!Q164</f>
        <v>0.52272727270008856</v>
      </c>
    </row>
    <row r="27" spans="1:14" ht="15" customHeight="1" x14ac:dyDescent="0.3">
      <c r="A27" s="6" t="s">
        <v>225</v>
      </c>
      <c r="B27" s="31">
        <f>Odds_Input!E166</f>
        <v>37.5</v>
      </c>
      <c r="C27" s="36">
        <f>INDEX(M_TeamRatings!$K$8:$K$37,MATCH(A27,M_TeamRatings!$A$8:$A$37,0))</f>
        <v>33.269441131889621</v>
      </c>
      <c r="D27" s="14">
        <f t="shared" si="0"/>
        <v>9.213342728390657</v>
      </c>
      <c r="E27" s="34">
        <f t="shared" si="1"/>
        <v>0.32305338499421621</v>
      </c>
      <c r="F27" s="34">
        <f t="shared" si="2"/>
        <v>0.67694661500578379</v>
      </c>
      <c r="G27" s="42">
        <f>SUMPRODUCT((M_Sims!$B$48:$CF$48&gt;B27)*INDEX(M_Sims!$B$49:$CF$78,MATCH(A27,M_Sims!$A$49:$A$78,0),0))</f>
        <v>0.31018000000000007</v>
      </c>
      <c r="H27" s="38">
        <f t="shared" si="3"/>
        <v>1.2873384994216142</v>
      </c>
      <c r="I27" s="9" t="str">
        <f t="shared" si="4"/>
        <v/>
      </c>
      <c r="J27" s="43">
        <f t="shared" si="5"/>
        <v>209.54636182434785</v>
      </c>
      <c r="K27" s="43">
        <f t="shared" si="6"/>
        <v>-209.54636182434785</v>
      </c>
      <c r="L27" s="32">
        <f>Odds_Input!F166</f>
        <v>-135</v>
      </c>
      <c r="M27" s="32">
        <f>Odds_Input!F167</f>
        <v>115</v>
      </c>
      <c r="N27" s="42">
        <f>M_DeVig!Q166</f>
        <v>0.55467590301630942</v>
      </c>
    </row>
    <row r="28" spans="1:14" ht="15" customHeight="1" x14ac:dyDescent="0.3">
      <c r="A28" s="6" t="s">
        <v>203</v>
      </c>
      <c r="B28" s="31">
        <f>Odds_Input!E168</f>
        <v>34.5</v>
      </c>
      <c r="C28" s="36">
        <f>INDEX(M_TeamRatings!$K$8:$K$37,MATCH(A28,M_TeamRatings!$A$8:$A$37,0))</f>
        <v>34.028578995706546</v>
      </c>
      <c r="D28" s="14">
        <f t="shared" si="0"/>
        <v>9.1805354129322989</v>
      </c>
      <c r="E28" s="34">
        <f t="shared" si="1"/>
        <v>0.47952329102527536</v>
      </c>
      <c r="F28" s="34">
        <f t="shared" si="2"/>
        <v>0.52047670897472464</v>
      </c>
      <c r="G28" s="42">
        <f>SUMPRODUCT((M_Sims!$B$48:$CF$48&gt;B28)*INDEX(M_Sims!$B$49:$CF$78,MATCH(A28,M_Sims!$A$49:$A$78,0),0))</f>
        <v>0.46894000000000019</v>
      </c>
      <c r="H28" s="38">
        <f t="shared" si="3"/>
        <v>1.0583291025275166</v>
      </c>
      <c r="I28" s="9" t="str">
        <f t="shared" si="4"/>
        <v/>
      </c>
      <c r="J28" s="43">
        <f t="shared" si="5"/>
        <v>108.54044396089421</v>
      </c>
      <c r="K28" s="43">
        <f t="shared" si="6"/>
        <v>-108.54044396089421</v>
      </c>
      <c r="L28" s="32">
        <f>Odds_Input!F168</f>
        <v>-105</v>
      </c>
      <c r="M28" s="32">
        <f>Odds_Input!F169</f>
        <v>-115</v>
      </c>
      <c r="N28" s="42">
        <f>M_DeVig!Q168</f>
        <v>0.48865570050943602</v>
      </c>
    </row>
    <row r="29" spans="1:14" ht="15" customHeight="1" x14ac:dyDescent="0.3">
      <c r="A29" s="6" t="s">
        <v>207</v>
      </c>
      <c r="B29" s="31">
        <f>Odds_Input!E170</f>
        <v>47.5</v>
      </c>
      <c r="C29" s="36">
        <f>INDEX(M_TeamRatings!$K$8:$K$37,MATCH(A29,M_TeamRatings!$A$8:$A$37,0))</f>
        <v>53.617480537140423</v>
      </c>
      <c r="D29" s="14">
        <f t="shared" si="0"/>
        <v>9.5333784904359415</v>
      </c>
      <c r="E29" s="34">
        <f t="shared" si="1"/>
        <v>0.73946299308687036</v>
      </c>
      <c r="F29" s="34">
        <f t="shared" si="2"/>
        <v>0.26053700691312964</v>
      </c>
      <c r="G29" s="42">
        <f>SUMPRODUCT((M_Sims!$B$48:$CF$48&gt;B29)*INDEX(M_Sims!$B$49:$CF$78,MATCH(A29,M_Sims!$A$49:$A$78,0),0))</f>
        <v>0.76363999999999976</v>
      </c>
      <c r="H29" s="38">
        <f t="shared" si="3"/>
        <v>-2.4177006913129406</v>
      </c>
      <c r="I29" s="9" t="str">
        <f t="shared" si="4"/>
        <v>CHECK &gt;2pp</v>
      </c>
      <c r="J29" s="43">
        <f t="shared" si="5"/>
        <v>-283.82263304860487</v>
      </c>
      <c r="K29" s="43">
        <f t="shared" si="6"/>
        <v>283.82263304860487</v>
      </c>
      <c r="L29" s="32">
        <f>Odds_Input!F170</f>
        <v>-160</v>
      </c>
      <c r="M29" s="32">
        <f>Odds_Input!F171</f>
        <v>140</v>
      </c>
      <c r="N29" s="42">
        <f>M_DeVig!Q170</f>
        <v>0.59935897438219166</v>
      </c>
    </row>
    <row r="30" spans="1:14" ht="15" customHeight="1" x14ac:dyDescent="0.3">
      <c r="A30" s="6" t="s">
        <v>206</v>
      </c>
      <c r="B30" s="31">
        <f>Odds_Input!E172</f>
        <v>39.5</v>
      </c>
      <c r="C30" s="36">
        <f>INDEX(M_TeamRatings!$K$8:$K$37,MATCH(A30,M_TeamRatings!$A$8:$A$37,0))</f>
        <v>43.943176092197312</v>
      </c>
      <c r="D30" s="14">
        <f t="shared" si="0"/>
        <v>9.0678480158162209</v>
      </c>
      <c r="E30" s="34">
        <f t="shared" si="1"/>
        <v>0.68793034131757536</v>
      </c>
      <c r="F30" s="34">
        <f t="shared" si="2"/>
        <v>0.31206965868242464</v>
      </c>
      <c r="G30" s="42">
        <f>SUMPRODUCT((M_Sims!$B$48:$CF$48&gt;B30)*INDEX(M_Sims!$B$49:$CF$78,MATCH(A30,M_Sims!$A$49:$A$78,0),0))</f>
        <v>0.68458999999999992</v>
      </c>
      <c r="H30" s="38">
        <f t="shared" si="3"/>
        <v>0.33403413175754348</v>
      </c>
      <c r="I30" s="9" t="str">
        <f t="shared" si="4"/>
        <v/>
      </c>
      <c r="J30" s="43">
        <f t="shared" si="5"/>
        <v>-220.44127718857877</v>
      </c>
      <c r="K30" s="43">
        <f t="shared" si="6"/>
        <v>220.44127718857877</v>
      </c>
      <c r="L30" s="32">
        <f>Odds_Input!F172</f>
        <v>120</v>
      </c>
      <c r="M30" s="32">
        <f>Odds_Input!F173</f>
        <v>-140</v>
      </c>
      <c r="N30" s="42">
        <f>M_DeVig!Q172</f>
        <v>0.4356060606181606</v>
      </c>
    </row>
    <row r="31" spans="1:14" ht="15" customHeight="1" x14ac:dyDescent="0.3">
      <c r="A31" s="6" t="s">
        <v>210</v>
      </c>
      <c r="B31" s="31">
        <f>Odds_Input!E174</f>
        <v>45.5</v>
      </c>
      <c r="C31" s="36">
        <f>INDEX(M_TeamRatings!$K$8:$K$37,MATCH(A31,M_TeamRatings!$A$8:$A$37,0))</f>
        <v>46.022965553361551</v>
      </c>
      <c r="D31" s="14">
        <f t="shared" si="0"/>
        <v>9.1137183329071192</v>
      </c>
      <c r="E31" s="34">
        <f t="shared" si="1"/>
        <v>0.52287964409812904</v>
      </c>
      <c r="F31" s="34">
        <f t="shared" si="2"/>
        <v>0.47712035590187096</v>
      </c>
      <c r="G31" s="42">
        <f>SUMPRODUCT((M_Sims!$B$48:$CF$48&gt;B31)*INDEX(M_Sims!$B$49:$CF$78,MATCH(A31,M_Sims!$A$49:$A$78,0),0))</f>
        <v>0.53735000000000011</v>
      </c>
      <c r="H31" s="38">
        <f t="shared" si="3"/>
        <v>-1.4470355901871068</v>
      </c>
      <c r="I31" s="9" t="str">
        <f t="shared" si="4"/>
        <v/>
      </c>
      <c r="J31" s="43">
        <f t="shared" si="5"/>
        <v>-109.59072226330862</v>
      </c>
      <c r="K31" s="43">
        <f t="shared" si="6"/>
        <v>109.59072226330862</v>
      </c>
      <c r="L31" s="32">
        <f>Odds_Input!F174</f>
        <v>-140</v>
      </c>
      <c r="M31" s="32">
        <f>Odds_Input!F175</f>
        <v>120</v>
      </c>
      <c r="N31" s="42">
        <f>M_DeVig!Q174</f>
        <v>0.56439393940337157</v>
      </c>
    </row>
    <row r="32" spans="1:14" ht="15" customHeight="1" x14ac:dyDescent="0.3">
      <c r="A32" s="6" t="s">
        <v>220</v>
      </c>
      <c r="B32" s="31">
        <f>Odds_Input!E176</f>
        <v>39.5</v>
      </c>
      <c r="C32" s="36">
        <f>INDEX(M_TeamRatings!$K$8:$K$37,MATCH(A32,M_TeamRatings!$A$8:$A$37,0))</f>
        <v>39.538134765854018</v>
      </c>
      <c r="D32" s="14">
        <f t="shared" si="0"/>
        <v>9.0501143131302175</v>
      </c>
      <c r="E32" s="34">
        <f t="shared" si="1"/>
        <v>0.50168103130029507</v>
      </c>
      <c r="F32" s="34">
        <f t="shared" si="2"/>
        <v>0.49831896869970493</v>
      </c>
      <c r="G32" s="42">
        <f>SUMPRODUCT((M_Sims!$B$48:$CF$48&gt;B32)*INDEX(M_Sims!$B$49:$CF$78,MATCH(A32,M_Sims!$A$49:$A$78,0),0))</f>
        <v>0.50143000000000004</v>
      </c>
      <c r="H32" s="38">
        <f t="shared" si="3"/>
        <v>2.5103130029502374E-2</v>
      </c>
      <c r="I32" s="9" t="str">
        <f t="shared" si="4"/>
        <v/>
      </c>
      <c r="J32" s="43">
        <f t="shared" si="5"/>
        <v>-100.67468083933529</v>
      </c>
      <c r="K32" s="43">
        <f t="shared" si="6"/>
        <v>100.67468083933529</v>
      </c>
      <c r="L32" s="32">
        <f>Odds_Input!F176</f>
        <v>-115</v>
      </c>
      <c r="M32" s="32">
        <f>Odds_Input!F177</f>
        <v>-105</v>
      </c>
      <c r="N32" s="42">
        <f>M_DeVig!Q176</f>
        <v>0.51134429948849391</v>
      </c>
    </row>
    <row r="33" spans="1:14" ht="15" customHeight="1" x14ac:dyDescent="0.3">
      <c r="A33" s="6" t="s">
        <v>221</v>
      </c>
      <c r="B33" s="31">
        <f>Odds_Input!E178</f>
        <v>42.5</v>
      </c>
      <c r="C33" s="36">
        <f>INDEX(M_TeamRatings!$K$8:$K$37,MATCH(A33,M_TeamRatings!$A$8:$A$37,0))</f>
        <v>45.495811331143926</v>
      </c>
      <c r="D33" s="14">
        <f t="shared" si="0"/>
        <v>9.0996966567433155</v>
      </c>
      <c r="E33" s="34">
        <f t="shared" si="1"/>
        <v>0.6290056784859982</v>
      </c>
      <c r="F33" s="34">
        <f t="shared" si="2"/>
        <v>0.3709943215140018</v>
      </c>
      <c r="G33" s="42">
        <f>SUMPRODUCT((M_Sims!$B$48:$CF$48&gt;B33)*INDEX(M_Sims!$B$49:$CF$78,MATCH(A33,M_Sims!$A$49:$A$78,0),0))</f>
        <v>0.64047000000000009</v>
      </c>
      <c r="H33" s="38">
        <f t="shared" si="3"/>
        <v>-1.1464321514001896</v>
      </c>
      <c r="I33" s="9" t="str">
        <f t="shared" si="4"/>
        <v/>
      </c>
      <c r="J33" s="43">
        <f t="shared" si="5"/>
        <v>-169.54590461629445</v>
      </c>
      <c r="K33" s="43">
        <f t="shared" si="6"/>
        <v>169.54590461629445</v>
      </c>
      <c r="L33" s="32">
        <f>Odds_Input!F178</f>
        <v>115</v>
      </c>
      <c r="M33" s="32">
        <f>Odds_Input!F179</f>
        <v>-135</v>
      </c>
      <c r="N33" s="42">
        <f>M_DeVig!Q178</f>
        <v>0.44532409697922487</v>
      </c>
    </row>
    <row r="34" spans="1:14" ht="15" customHeight="1" x14ac:dyDescent="0.3">
      <c r="A34" s="6" t="s">
        <v>209</v>
      </c>
      <c r="B34" s="31">
        <f>Odds_Input!E180</f>
        <v>29.5</v>
      </c>
      <c r="C34" s="36">
        <f>INDEX(M_TeamRatings!$K$8:$K$37,MATCH(A34,M_TeamRatings!$A$8:$A$37,0))</f>
        <v>31.055588994594057</v>
      </c>
      <c r="D34" s="14">
        <f t="shared" si="0"/>
        <v>9.3331504606608</v>
      </c>
      <c r="E34" s="34">
        <f t="shared" si="1"/>
        <v>0.56618652707014649</v>
      </c>
      <c r="F34" s="34">
        <f t="shared" si="2"/>
        <v>0.43381347292985351</v>
      </c>
      <c r="G34" s="42">
        <f>SUMPRODUCT((M_Sims!$B$48:$CF$48&gt;B34)*INDEX(M_Sims!$B$49:$CF$78,MATCH(A34,M_Sims!$A$49:$A$78,0),0))</f>
        <v>0.55194999999999983</v>
      </c>
      <c r="H34" s="38">
        <f t="shared" si="3"/>
        <v>1.4236527070146665</v>
      </c>
      <c r="I34" s="9" t="str">
        <f t="shared" si="4"/>
        <v/>
      </c>
      <c r="J34" s="43">
        <f t="shared" si="5"/>
        <v>-130.51381812701271</v>
      </c>
      <c r="K34" s="43">
        <f t="shared" si="6"/>
        <v>130.51381812701271</v>
      </c>
      <c r="L34" s="32">
        <f>Odds_Input!F180</f>
        <v>135</v>
      </c>
      <c r="M34" s="32">
        <f>Odds_Input!F181</f>
        <v>-155</v>
      </c>
      <c r="N34" s="42">
        <f>M_DeVig!Q180</f>
        <v>0.40884438880822638</v>
      </c>
    </row>
    <row r="35" spans="1:14" ht="15" customHeight="1" x14ac:dyDescent="0.3">
      <c r="A35" s="6" t="s">
        <v>222</v>
      </c>
      <c r="B35" s="31">
        <f>Odds_Input!E182</f>
        <v>20.5</v>
      </c>
      <c r="C35" s="36">
        <f>INDEX(M_TeamRatings!$K$8:$K$37,MATCH(A35,M_TeamRatings!$A$8:$A$37,0))</f>
        <v>23.909143947268561</v>
      </c>
      <c r="D35" s="14">
        <f t="shared" si="0"/>
        <v>10.051595515183465</v>
      </c>
      <c r="E35" s="34">
        <f t="shared" si="1"/>
        <v>0.63275707885405186</v>
      </c>
      <c r="F35" s="34">
        <f t="shared" si="2"/>
        <v>0.36724292114594814</v>
      </c>
      <c r="G35" s="42">
        <f>SUMPRODUCT((M_Sims!$B$48:$CF$48&gt;B35)*INDEX(M_Sims!$B$49:$CF$78,MATCH(A35,M_Sims!$A$49:$A$78,0),0))</f>
        <v>0.65226000000000006</v>
      </c>
      <c r="H35" s="38">
        <f t="shared" si="3"/>
        <v>-1.9502921145948204</v>
      </c>
      <c r="I35" s="9" t="str">
        <f t="shared" si="4"/>
        <v/>
      </c>
      <c r="J35" s="43">
        <f t="shared" si="5"/>
        <v>-172.29932625510952</v>
      </c>
      <c r="K35" s="43">
        <f t="shared" si="6"/>
        <v>172.29932625510952</v>
      </c>
      <c r="L35" s="32">
        <f>Odds_Input!F182</f>
        <v>-135</v>
      </c>
      <c r="M35" s="32">
        <f>Odds_Input!F183</f>
        <v>115</v>
      </c>
      <c r="N35" s="42">
        <f>M_DeVig!Q182</f>
        <v>0.55467590301630942</v>
      </c>
    </row>
    <row r="36" spans="1:14" ht="15" customHeight="1" x14ac:dyDescent="0.3">
      <c r="A36" s="6" t="s">
        <v>202</v>
      </c>
      <c r="B36" s="31">
        <f>Odds_Input!E184</f>
        <v>47.5</v>
      </c>
      <c r="C36" s="36">
        <f>INDEX(M_TeamRatings!$K$8:$K$37,MATCH(A36,M_TeamRatings!$A$8:$A$37,0))</f>
        <v>46.600687058800119</v>
      </c>
      <c r="D36" s="14">
        <f t="shared" si="0"/>
        <v>9.1310231674701932</v>
      </c>
      <c r="E36" s="34">
        <f t="shared" si="1"/>
        <v>0.46077167264682917</v>
      </c>
      <c r="F36" s="34">
        <f t="shared" si="2"/>
        <v>0.53922832735317083</v>
      </c>
      <c r="G36" s="42">
        <f>SUMPRODUCT((M_Sims!$B$48:$CF$48&gt;B36)*INDEX(M_Sims!$B$49:$CF$78,MATCH(A36,M_Sims!$A$49:$A$78,0),0))</f>
        <v>0.47327999999999987</v>
      </c>
      <c r="H36" s="38">
        <f t="shared" si="3"/>
        <v>-1.2508327353170701</v>
      </c>
      <c r="I36" s="9" t="str">
        <f t="shared" si="4"/>
        <v/>
      </c>
      <c r="J36" s="43">
        <f t="shared" si="5"/>
        <v>117.02723048395315</v>
      </c>
      <c r="K36" s="43">
        <f t="shared" si="6"/>
        <v>-117.02723048395315</v>
      </c>
      <c r="L36" s="32">
        <f>Odds_Input!F184</f>
        <v>-125</v>
      </c>
      <c r="M36" s="32">
        <f>Odds_Input!F185</f>
        <v>105</v>
      </c>
      <c r="N36" s="42">
        <f>M_DeVig!Q184</f>
        <v>0.53387533873028026</v>
      </c>
    </row>
    <row r="37" spans="1:14" ht="15" customHeight="1" x14ac:dyDescent="0.3">
      <c r="A37" s="6" t="s">
        <v>204</v>
      </c>
      <c r="B37" s="31">
        <f>Odds_Input!E186</f>
        <v>49.5</v>
      </c>
      <c r="C37" s="36">
        <f>INDEX(M_TeamRatings!$K$8:$K$37,MATCH(A37,M_TeamRatings!$A$8:$A$37,0))</f>
        <v>47.439681215525937</v>
      </c>
      <c r="D37" s="14">
        <f t="shared" si="0"/>
        <v>9.1598799806448969</v>
      </c>
      <c r="E37" s="34">
        <f t="shared" si="1"/>
        <v>0.41101741818077187</v>
      </c>
      <c r="F37" s="34">
        <f t="shared" si="2"/>
        <v>0.58898258181922813</v>
      </c>
      <c r="G37" s="42">
        <f>SUMPRODUCT((M_Sims!$B$48:$CF$48&gt;B37)*INDEX(M_Sims!$B$49:$CF$78,MATCH(A37,M_Sims!$A$49:$A$78,0),0))</f>
        <v>0.42397000000000012</v>
      </c>
      <c r="H37" s="38">
        <f t="shared" si="3"/>
        <v>-1.2952581819228259</v>
      </c>
      <c r="I37" s="9" t="str">
        <f t="shared" si="4"/>
        <v/>
      </c>
      <c r="J37" s="43">
        <f t="shared" si="5"/>
        <v>143.29869143409013</v>
      </c>
      <c r="K37" s="43">
        <f t="shared" si="6"/>
        <v>-143.29869143409013</v>
      </c>
      <c r="L37" s="32">
        <f>Odds_Input!F186</f>
        <v>120</v>
      </c>
      <c r="M37" s="32">
        <f>Odds_Input!F187</f>
        <v>-140</v>
      </c>
      <c r="N37" s="42">
        <f>M_DeVig!Q186</f>
        <v>0.4356060606181606</v>
      </c>
    </row>
  </sheetData>
  <conditionalFormatting sqref="I8:I37">
    <cfRule type="expression" dxfId="6" priority="1">
      <formula>LEN(I8)&gt;0</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CF769"/>
  <sheetViews>
    <sheetView showGridLines="0" workbookViewId="0">
      <pane xSplit="1" ySplit="14" topLeftCell="B15" activePane="bottomRight" state="frozen"/>
      <selection pane="topRight"/>
      <selection pane="bottomLeft"/>
      <selection pane="bottomRight"/>
    </sheetView>
  </sheetViews>
  <sheetFormatPr defaultRowHeight="14.4" x14ac:dyDescent="0.3"/>
  <cols>
    <col min="1" max="1" width="26" customWidth="1"/>
    <col min="2" max="2" width="22" customWidth="1"/>
    <col min="3" max="84" width="14" customWidth="1"/>
  </cols>
  <sheetData>
    <row r="1" spans="1:35" ht="15" customHeight="1" x14ac:dyDescent="0.3">
      <c r="A1" s="1" t="s">
        <v>0</v>
      </c>
      <c r="B1" s="2"/>
      <c r="C1" s="2"/>
      <c r="D1" s="2"/>
      <c r="E1" s="2"/>
      <c r="F1" s="2"/>
      <c r="G1" s="2"/>
      <c r="H1" s="2"/>
      <c r="I1" s="2"/>
      <c r="J1" s="2"/>
      <c r="K1" s="2"/>
      <c r="L1" s="2"/>
    </row>
    <row r="2" spans="1:35" ht="15" customHeight="1" x14ac:dyDescent="0.3">
      <c r="A2" s="3" t="s">
        <v>899</v>
      </c>
    </row>
    <row r="3" spans="1:35" ht="15" customHeight="1" x14ac:dyDescent="0.3">
      <c r="A3" s="4" t="s">
        <v>2</v>
      </c>
    </row>
    <row r="4" spans="1:35" ht="6" customHeight="1" x14ac:dyDescent="0.3"/>
    <row r="5" spans="1:35" ht="15" customHeight="1" x14ac:dyDescent="0.3">
      <c r="A5" s="3" t="s">
        <v>9</v>
      </c>
      <c r="B5" s="10" t="s">
        <v>900</v>
      </c>
    </row>
    <row r="6" spans="1:35" ht="15" customHeight="1" x14ac:dyDescent="0.3">
      <c r="A6" s="3" t="s">
        <v>901</v>
      </c>
      <c r="B6" s="10">
        <v>100000</v>
      </c>
    </row>
    <row r="7" spans="1:35" ht="15" customHeight="1" x14ac:dyDescent="0.3">
      <c r="A7" s="3" t="s">
        <v>902</v>
      </c>
      <c r="B7" s="10">
        <v>2026</v>
      </c>
    </row>
    <row r="8" spans="1:35" ht="15" customHeight="1" x14ac:dyDescent="0.3">
      <c r="A8" s="3" t="s">
        <v>903</v>
      </c>
      <c r="B8" s="10" t="s">
        <v>904</v>
      </c>
    </row>
    <row r="9" spans="1:35" ht="15" customHeight="1" x14ac:dyDescent="0.3">
      <c r="A9" s="3" t="s">
        <v>905</v>
      </c>
      <c r="B9" s="10" t="s">
        <v>906</v>
      </c>
    </row>
    <row r="10" spans="1:35" ht="15" customHeight="1" x14ac:dyDescent="0.3"/>
    <row r="11" spans="1:35" ht="15" customHeight="1" x14ac:dyDescent="0.3">
      <c r="A11" s="3" t="s">
        <v>907</v>
      </c>
      <c r="B11" s="6" t="str">
        <f>IF(A_HashCurrent=B9,"OK - sims match current assumptions","STALE - rerun sims")</f>
        <v>OK - sims match current assumptions</v>
      </c>
    </row>
    <row r="12" spans="1:35" ht="15" customHeight="1" x14ac:dyDescent="0.3">
      <c r="A12" s="3" t="s">
        <v>908</v>
      </c>
      <c r="B12" s="16">
        <v>4</v>
      </c>
      <c r="C12" s="3" t="s">
        <v>909</v>
      </c>
      <c r="D12" s="16">
        <v>52</v>
      </c>
    </row>
    <row r="13" spans="1:35" ht="15" customHeight="1" x14ac:dyDescent="0.3">
      <c r="A13" s="3" t="s">
        <v>910</v>
      </c>
    </row>
    <row r="14" spans="1:35" ht="30" customHeight="1" x14ac:dyDescent="0.3">
      <c r="A14" s="11" t="s">
        <v>195</v>
      </c>
      <c r="B14" s="11" t="s">
        <v>911</v>
      </c>
      <c r="C14" s="11" t="s">
        <v>889</v>
      </c>
      <c r="D14" s="11" t="s">
        <v>912</v>
      </c>
      <c r="E14" s="11" t="s">
        <v>913</v>
      </c>
      <c r="F14" s="11" t="s">
        <v>914</v>
      </c>
      <c r="G14" s="11" t="s">
        <v>915</v>
      </c>
      <c r="H14" s="11" t="s">
        <v>916</v>
      </c>
      <c r="I14" s="11" t="s">
        <v>917</v>
      </c>
      <c r="J14" s="11" t="s">
        <v>918</v>
      </c>
      <c r="K14" s="11" t="s">
        <v>919</v>
      </c>
      <c r="L14" s="11" t="s">
        <v>920</v>
      </c>
      <c r="M14" s="11" t="s">
        <v>921</v>
      </c>
      <c r="N14" s="11" t="s">
        <v>922</v>
      </c>
      <c r="O14" s="11" t="s">
        <v>923</v>
      </c>
      <c r="P14" s="11" t="s">
        <v>924</v>
      </c>
      <c r="Q14" s="11" t="s">
        <v>925</v>
      </c>
      <c r="R14" s="11" t="s">
        <v>926</v>
      </c>
      <c r="U14" s="11" t="s">
        <v>927</v>
      </c>
      <c r="V14" s="11" t="s">
        <v>928</v>
      </c>
      <c r="W14" s="11" t="s">
        <v>929</v>
      </c>
      <c r="X14" s="11" t="s">
        <v>930</v>
      </c>
      <c r="Y14" s="11" t="s">
        <v>931</v>
      </c>
      <c r="Z14" s="11" t="s">
        <v>932</v>
      </c>
      <c r="AA14" s="11" t="s">
        <v>933</v>
      </c>
      <c r="AB14" s="11" t="s">
        <v>934</v>
      </c>
      <c r="AC14" s="11" t="s">
        <v>935</v>
      </c>
      <c r="AD14" s="11" t="s">
        <v>936</v>
      </c>
      <c r="AE14" s="11" t="s">
        <v>937</v>
      </c>
      <c r="AF14" s="11" t="s">
        <v>938</v>
      </c>
      <c r="AG14" s="11" t="s">
        <v>939</v>
      </c>
      <c r="AH14" s="11" t="s">
        <v>940</v>
      </c>
      <c r="AI14" s="11" t="s">
        <v>941</v>
      </c>
    </row>
    <row r="15" spans="1:35" ht="15" customHeight="1" x14ac:dyDescent="0.3">
      <c r="A15" s="10" t="s">
        <v>197</v>
      </c>
      <c r="B15" s="12">
        <v>40.601680000000002</v>
      </c>
      <c r="C15" s="12">
        <v>8.941648683414039</v>
      </c>
      <c r="D15" s="22">
        <v>0.72502</v>
      </c>
      <c r="E15" s="22">
        <v>0.54562999999999995</v>
      </c>
      <c r="F15" s="22">
        <v>0.36910999999999999</v>
      </c>
      <c r="G15" s="22">
        <v>0.25068000000000001</v>
      </c>
      <c r="H15" s="22">
        <v>4.4630000000000003E-2</v>
      </c>
      <c r="I15" s="22">
        <v>1.5689999999999999E-2</v>
      </c>
      <c r="J15" s="22">
        <v>0.20379</v>
      </c>
      <c r="K15" s="22">
        <v>2.1760000000000002E-2</v>
      </c>
      <c r="L15" s="22">
        <v>3.8260000000000002E-2</v>
      </c>
      <c r="M15" s="22">
        <v>0.14476</v>
      </c>
      <c r="N15" s="22">
        <v>0.17971000000000001</v>
      </c>
      <c r="O15" s="22">
        <v>0.54451000000000005</v>
      </c>
      <c r="P15" s="12">
        <v>14.53722</v>
      </c>
      <c r="Q15" s="22">
        <v>3.9298630892179999E-4</v>
      </c>
      <c r="R15" s="22">
        <v>1.4119702532276999E-3</v>
      </c>
      <c r="U15" s="22">
        <v>3.0040000000000001E-2</v>
      </c>
      <c r="V15" s="22">
        <v>4.7559999999999998E-2</v>
      </c>
      <c r="W15" s="22">
        <v>6.0100000000000001E-2</v>
      </c>
      <c r="X15" s="22">
        <v>6.9360000000000005E-2</v>
      </c>
      <c r="Y15" s="22">
        <v>7.8299999999999995E-2</v>
      </c>
      <c r="Z15" s="22">
        <v>8.3750000000000005E-2</v>
      </c>
      <c r="AA15" s="22">
        <v>8.7209999999999996E-2</v>
      </c>
      <c r="AB15" s="22">
        <v>8.967E-2</v>
      </c>
      <c r="AC15" s="22">
        <v>9.2560000000000003E-2</v>
      </c>
      <c r="AD15" s="22">
        <v>8.6470000000000005E-2</v>
      </c>
      <c r="AE15" s="22">
        <v>7.8100000000000003E-2</v>
      </c>
      <c r="AF15" s="22">
        <v>6.9470000000000004E-2</v>
      </c>
      <c r="AG15" s="22">
        <v>5.7619999999999998E-2</v>
      </c>
      <c r="AH15" s="22">
        <v>4.3040000000000002E-2</v>
      </c>
      <c r="AI15" s="22">
        <v>2.6749999999999999E-2</v>
      </c>
    </row>
    <row r="16" spans="1:35" ht="15" customHeight="1" x14ac:dyDescent="0.3">
      <c r="A16" s="10" t="s">
        <v>198</v>
      </c>
      <c r="B16" s="12">
        <v>31.326280000000001</v>
      </c>
      <c r="C16" s="12">
        <v>8.5162856552372634</v>
      </c>
      <c r="D16" s="22">
        <v>0.32099</v>
      </c>
      <c r="E16" s="22">
        <v>0.17657999999999999</v>
      </c>
      <c r="F16" s="22">
        <v>8.3110000000000003E-2</v>
      </c>
      <c r="G16" s="22">
        <v>8.5900000000000004E-3</v>
      </c>
      <c r="H16" s="22">
        <v>6.0600000000000003E-3</v>
      </c>
      <c r="I16" s="22">
        <v>1.6900000000000001E-3</v>
      </c>
      <c r="J16" s="22">
        <v>7.8609999999999999E-2</v>
      </c>
      <c r="K16" s="22">
        <v>4.1599999999999996E-3</v>
      </c>
      <c r="L16" s="22">
        <v>6.5670000000000006E-2</v>
      </c>
      <c r="M16" s="22">
        <v>0.24854999999999999</v>
      </c>
      <c r="N16" s="22">
        <v>0.30825999999999998</v>
      </c>
      <c r="O16" s="22">
        <v>0.87565999999999999</v>
      </c>
      <c r="P16" s="12">
        <v>9.4666800000000002</v>
      </c>
      <c r="Q16" s="22">
        <v>1.298901035491E-4</v>
      </c>
      <c r="R16" s="22">
        <v>1.4763313310363999E-3</v>
      </c>
      <c r="U16" s="22">
        <v>2.7399999999999998E-3</v>
      </c>
      <c r="V16" s="22">
        <v>5.2900000000000004E-3</v>
      </c>
      <c r="W16" s="22">
        <v>9.8200000000000006E-3</v>
      </c>
      <c r="X16" s="22">
        <v>1.5339999999999999E-2</v>
      </c>
      <c r="Y16" s="22">
        <v>2.1010000000000001E-2</v>
      </c>
      <c r="Z16" s="22">
        <v>2.8910000000000002E-2</v>
      </c>
      <c r="AA16" s="22">
        <v>4.0390000000000002E-2</v>
      </c>
      <c r="AB16" s="22">
        <v>5.0810000000000001E-2</v>
      </c>
      <c r="AC16" s="22">
        <v>6.5750000000000003E-2</v>
      </c>
      <c r="AD16" s="22">
        <v>8.0930000000000002E-2</v>
      </c>
      <c r="AE16" s="22">
        <v>0.10074</v>
      </c>
      <c r="AF16" s="22">
        <v>0.11903</v>
      </c>
      <c r="AG16" s="22">
        <v>0.14221</v>
      </c>
      <c r="AH16" s="22">
        <v>0.15947</v>
      </c>
      <c r="AI16" s="22">
        <v>0.15756000000000001</v>
      </c>
    </row>
    <row r="17" spans="1:35" ht="15" customHeight="1" x14ac:dyDescent="0.3">
      <c r="A17" s="10" t="s">
        <v>199</v>
      </c>
      <c r="B17" s="12">
        <v>51.132669999999997</v>
      </c>
      <c r="C17" s="12">
        <v>8.7815060593898124</v>
      </c>
      <c r="D17" s="22">
        <v>0.95481000000000005</v>
      </c>
      <c r="E17" s="22">
        <v>0.89695000000000003</v>
      </c>
      <c r="F17" s="22">
        <v>0.79857</v>
      </c>
      <c r="G17" s="22">
        <v>0.38512999999999997</v>
      </c>
      <c r="H17" s="22">
        <v>0.18912999999999999</v>
      </c>
      <c r="I17" s="22">
        <v>8.5879999999999998E-2</v>
      </c>
      <c r="J17" s="22">
        <v>0.45158999999999999</v>
      </c>
      <c r="K17" s="22">
        <v>9.6360000000000001E-2</v>
      </c>
      <c r="L17" s="22">
        <v>8.9999999999999993E-3</v>
      </c>
      <c r="M17" s="22">
        <v>3.5220000000000001E-2</v>
      </c>
      <c r="N17" s="22">
        <v>4.3589999999999997E-2</v>
      </c>
      <c r="O17" s="22">
        <v>0.14682999999999999</v>
      </c>
      <c r="P17" s="12">
        <v>22.439800000000002</v>
      </c>
      <c r="Q17" s="22">
        <v>8.8602836071989999E-4</v>
      </c>
      <c r="R17" s="22">
        <v>6.5687033651999995E-4</v>
      </c>
      <c r="U17" s="22">
        <v>0.24010000000000001</v>
      </c>
      <c r="V17" s="22">
        <v>0.16816999999999999</v>
      </c>
      <c r="W17" s="22">
        <v>0.12966</v>
      </c>
      <c r="X17" s="22">
        <v>0.10553</v>
      </c>
      <c r="Y17" s="22">
        <v>8.6449999999999999E-2</v>
      </c>
      <c r="Z17" s="22">
        <v>6.8659999999999999E-2</v>
      </c>
      <c r="AA17" s="22">
        <v>5.423E-2</v>
      </c>
      <c r="AB17" s="22">
        <v>4.3400000000000001E-2</v>
      </c>
      <c r="AC17" s="22">
        <v>3.3500000000000002E-2</v>
      </c>
      <c r="AD17" s="22">
        <v>2.511E-2</v>
      </c>
      <c r="AE17" s="22">
        <v>1.822E-2</v>
      </c>
      <c r="AF17" s="22">
        <v>1.2959999999999999E-2</v>
      </c>
      <c r="AG17" s="22">
        <v>7.7400000000000004E-3</v>
      </c>
      <c r="AH17" s="22">
        <v>4.4799999999999996E-3</v>
      </c>
      <c r="AI17" s="22">
        <v>1.7899999999999999E-3</v>
      </c>
    </row>
    <row r="18" spans="1:35" ht="15" customHeight="1" x14ac:dyDescent="0.3">
      <c r="A18" s="10" t="s">
        <v>200</v>
      </c>
      <c r="B18" s="12">
        <v>37.717269999999999</v>
      </c>
      <c r="C18" s="12">
        <v>8.888957967450402</v>
      </c>
      <c r="D18" s="22">
        <v>0.60677000000000003</v>
      </c>
      <c r="E18" s="22">
        <v>0.41615000000000002</v>
      </c>
      <c r="F18" s="22">
        <v>0.25575999999999999</v>
      </c>
      <c r="G18" s="22">
        <v>0.16164999999999999</v>
      </c>
      <c r="H18" s="22">
        <v>2.647E-2</v>
      </c>
      <c r="I18" s="22">
        <v>8.5000000000000006E-3</v>
      </c>
      <c r="J18" s="22">
        <v>0.17155000000000001</v>
      </c>
      <c r="K18" s="22">
        <v>1.426E-2</v>
      </c>
      <c r="L18" s="22">
        <v>4.8039999999999999E-2</v>
      </c>
      <c r="M18" s="22">
        <v>0.18279000000000001</v>
      </c>
      <c r="N18" s="22">
        <v>0.22733999999999999</v>
      </c>
      <c r="O18" s="22">
        <v>0.66810999999999998</v>
      </c>
      <c r="P18" s="12">
        <v>12.57901</v>
      </c>
      <c r="Q18" s="22">
        <v>2.9030587317510002E-4</v>
      </c>
      <c r="R18" s="22">
        <v>1.5446687900647E-3</v>
      </c>
      <c r="U18" s="22">
        <v>1.602E-2</v>
      </c>
      <c r="V18" s="22">
        <v>2.726E-2</v>
      </c>
      <c r="W18" s="22">
        <v>3.916E-2</v>
      </c>
      <c r="X18" s="22">
        <v>4.7919999999999997E-2</v>
      </c>
      <c r="Y18" s="22">
        <v>5.8020000000000002E-2</v>
      </c>
      <c r="Z18" s="22">
        <v>6.7379999999999995E-2</v>
      </c>
      <c r="AA18" s="22">
        <v>7.571E-2</v>
      </c>
      <c r="AB18" s="22">
        <v>8.6540000000000006E-2</v>
      </c>
      <c r="AC18" s="22">
        <v>9.0999999999999998E-2</v>
      </c>
      <c r="AD18" s="22">
        <v>9.776E-2</v>
      </c>
      <c r="AE18" s="22">
        <v>9.7890000000000005E-2</v>
      </c>
      <c r="AF18" s="22">
        <v>9.3090000000000006E-2</v>
      </c>
      <c r="AG18" s="22">
        <v>8.3659999999999998E-2</v>
      </c>
      <c r="AH18" s="22">
        <v>7.059E-2</v>
      </c>
      <c r="AI18" s="22">
        <v>4.8000000000000001E-2</v>
      </c>
    </row>
    <row r="19" spans="1:35" ht="15" customHeight="1" x14ac:dyDescent="0.3">
      <c r="A19" s="10" t="s">
        <v>201</v>
      </c>
      <c r="B19" s="12">
        <v>32.141179999999999</v>
      </c>
      <c r="C19" s="12">
        <v>8.5857514643506878</v>
      </c>
      <c r="D19" s="22">
        <v>0.35302</v>
      </c>
      <c r="E19" s="22">
        <v>0.20041999999999999</v>
      </c>
      <c r="F19" s="22">
        <v>9.8989999999999995E-2</v>
      </c>
      <c r="G19" s="22">
        <v>2.843E-2</v>
      </c>
      <c r="H19" s="22">
        <v>7.7299999999999999E-3</v>
      </c>
      <c r="I19" s="22">
        <v>2.2899999999999999E-3</v>
      </c>
      <c r="J19" s="22">
        <v>0.10303</v>
      </c>
      <c r="K19" s="22">
        <v>5.5700000000000003E-3</v>
      </c>
      <c r="L19" s="22">
        <v>6.4369999999999997E-2</v>
      </c>
      <c r="M19" s="22">
        <v>0.24179999999999999</v>
      </c>
      <c r="N19" s="22">
        <v>0.30113000000000001</v>
      </c>
      <c r="O19" s="22">
        <v>0.85675999999999997</v>
      </c>
      <c r="P19" s="12">
        <v>9.72607</v>
      </c>
      <c r="Q19" s="22">
        <v>1.511540902522E-4</v>
      </c>
      <c r="R19" s="22">
        <v>1.5112805153246001E-3</v>
      </c>
      <c r="U19" s="22">
        <v>3.3500000000000001E-3</v>
      </c>
      <c r="V19" s="22">
        <v>7.0600000000000003E-3</v>
      </c>
      <c r="W19" s="22">
        <v>1.2030000000000001E-2</v>
      </c>
      <c r="X19" s="22">
        <v>1.7420000000000001E-2</v>
      </c>
      <c r="Y19" s="22">
        <v>2.571E-2</v>
      </c>
      <c r="Z19" s="22">
        <v>3.3419999999999998E-2</v>
      </c>
      <c r="AA19" s="22">
        <v>4.3610000000000003E-2</v>
      </c>
      <c r="AB19" s="22">
        <v>5.577E-2</v>
      </c>
      <c r="AC19" s="22">
        <v>6.9129999999999997E-2</v>
      </c>
      <c r="AD19" s="22">
        <v>8.5519999999999999E-2</v>
      </c>
      <c r="AE19" s="22">
        <v>0.10648000000000001</v>
      </c>
      <c r="AF19" s="22">
        <v>0.1216</v>
      </c>
      <c r="AG19" s="22">
        <v>0.13525999999999999</v>
      </c>
      <c r="AH19" s="22">
        <v>0.14374000000000001</v>
      </c>
      <c r="AI19" s="22">
        <v>0.1399</v>
      </c>
    </row>
    <row r="20" spans="1:35" ht="15" customHeight="1" x14ac:dyDescent="0.3">
      <c r="A20" s="10" t="s">
        <v>202</v>
      </c>
      <c r="B20" s="12">
        <v>46.639479999999999</v>
      </c>
      <c r="C20" s="12">
        <v>9.0500378634346035</v>
      </c>
      <c r="D20" s="22">
        <v>0.88971999999999996</v>
      </c>
      <c r="E20" s="22">
        <v>0.78078000000000003</v>
      </c>
      <c r="F20" s="22">
        <v>0.63204000000000005</v>
      </c>
      <c r="G20" s="22">
        <v>0.37256</v>
      </c>
      <c r="H20" s="22">
        <v>0.11386</v>
      </c>
      <c r="I20" s="22">
        <v>4.6609999999999999E-2</v>
      </c>
      <c r="J20" s="22">
        <v>0.26196000000000003</v>
      </c>
      <c r="K20" s="22">
        <v>4.2169999999999999E-2</v>
      </c>
      <c r="L20" s="22">
        <v>1.8589999999999999E-2</v>
      </c>
      <c r="M20" s="22">
        <v>7.1629999999999999E-2</v>
      </c>
      <c r="N20" s="22">
        <v>8.9380000000000001E-2</v>
      </c>
      <c r="O20" s="22">
        <v>0.28872999999999999</v>
      </c>
      <c r="P20" s="12">
        <v>19.170010000000001</v>
      </c>
      <c r="Q20" s="22">
        <v>6.6661464055320005E-4</v>
      </c>
      <c r="R20" s="22">
        <v>9.9054692771209998E-4</v>
      </c>
      <c r="U20" s="22">
        <v>0.11015</v>
      </c>
      <c r="V20" s="22">
        <v>0.11876</v>
      </c>
      <c r="W20" s="22">
        <v>0.11326</v>
      </c>
      <c r="X20" s="22">
        <v>0.10575</v>
      </c>
      <c r="Y20" s="22">
        <v>9.6689999999999998E-2</v>
      </c>
      <c r="Z20" s="22">
        <v>8.7429999999999994E-2</v>
      </c>
      <c r="AA20" s="22">
        <v>8.0130000000000007E-2</v>
      </c>
      <c r="AB20" s="22">
        <v>6.8890000000000007E-2</v>
      </c>
      <c r="AC20" s="22">
        <v>5.8189999999999999E-2</v>
      </c>
      <c r="AD20" s="22">
        <v>5.0470000000000001E-2</v>
      </c>
      <c r="AE20" s="22">
        <v>3.8960000000000002E-2</v>
      </c>
      <c r="AF20" s="22">
        <v>2.9929999999999998E-2</v>
      </c>
      <c r="AG20" s="22">
        <v>2.104E-2</v>
      </c>
      <c r="AH20" s="22">
        <v>1.332E-2</v>
      </c>
      <c r="AI20" s="22">
        <v>7.0299999999999998E-3</v>
      </c>
    </row>
    <row r="21" spans="1:35" ht="15" customHeight="1" x14ac:dyDescent="0.3">
      <c r="A21" s="10" t="s">
        <v>203</v>
      </c>
      <c r="B21" s="12">
        <v>34.025779999999997</v>
      </c>
      <c r="C21" s="12">
        <v>8.7096082226240235</v>
      </c>
      <c r="D21" s="22">
        <v>0.43025999999999998</v>
      </c>
      <c r="E21" s="22">
        <v>0.2394</v>
      </c>
      <c r="F21" s="22">
        <v>0.10990999999999999</v>
      </c>
      <c r="G21" s="22">
        <v>1.4500000000000001E-2</v>
      </c>
      <c r="H21" s="22">
        <v>6.8700000000000002E-3</v>
      </c>
      <c r="I21" s="22">
        <v>2.5200000000000001E-3</v>
      </c>
      <c r="J21" s="22">
        <v>9.1889999999999999E-2</v>
      </c>
      <c r="K21" s="22">
        <v>5.2900000000000004E-3</v>
      </c>
      <c r="L21" s="22">
        <v>6.225E-2</v>
      </c>
      <c r="M21" s="22">
        <v>0.23225999999999999</v>
      </c>
      <c r="N21" s="22">
        <v>0.28841</v>
      </c>
      <c r="O21" s="22">
        <v>0.83277999999999996</v>
      </c>
      <c r="P21" s="12">
        <v>10.25437</v>
      </c>
      <c r="Q21" s="22">
        <v>1.585449336938E-4</v>
      </c>
      <c r="R21" s="22">
        <v>1.5656830215596E-3</v>
      </c>
      <c r="U21" s="22">
        <v>1.6800000000000001E-3</v>
      </c>
      <c r="V21" s="22">
        <v>5.5900000000000004E-3</v>
      </c>
      <c r="W21" s="22">
        <v>1.1270000000000001E-2</v>
      </c>
      <c r="X21" s="22">
        <v>1.959E-2</v>
      </c>
      <c r="Y21" s="22">
        <v>2.9860000000000001E-2</v>
      </c>
      <c r="Z21" s="22">
        <v>4.1919999999999999E-2</v>
      </c>
      <c r="AA21" s="22">
        <v>5.5140000000000002E-2</v>
      </c>
      <c r="AB21" s="22">
        <v>7.2050000000000003E-2</v>
      </c>
      <c r="AC21" s="22">
        <v>8.9099999999999999E-2</v>
      </c>
      <c r="AD21" s="22">
        <v>0.10406</v>
      </c>
      <c r="AE21" s="22">
        <v>0.1167</v>
      </c>
      <c r="AF21" s="22">
        <v>0.12736</v>
      </c>
      <c r="AG21" s="22">
        <v>0.12584000000000001</v>
      </c>
      <c r="AH21" s="22">
        <v>0.11712</v>
      </c>
      <c r="AI21" s="22">
        <v>8.2720000000000002E-2</v>
      </c>
    </row>
    <row r="22" spans="1:35" ht="15" customHeight="1" x14ac:dyDescent="0.3">
      <c r="A22" s="10" t="s">
        <v>204</v>
      </c>
      <c r="B22" s="12">
        <v>47.373350000000002</v>
      </c>
      <c r="C22" s="12">
        <v>9.3342916055531493</v>
      </c>
      <c r="D22" s="22">
        <v>0.89205000000000001</v>
      </c>
      <c r="E22" s="22">
        <v>0.77651000000000003</v>
      </c>
      <c r="F22" s="22">
        <v>0.60509999999999997</v>
      </c>
      <c r="G22" s="22">
        <v>0.14124999999999999</v>
      </c>
      <c r="H22" s="22">
        <v>8.4889999999999993E-2</v>
      </c>
      <c r="I22" s="22">
        <v>4.6010000000000002E-2</v>
      </c>
      <c r="J22" s="22">
        <v>0.28150999999999998</v>
      </c>
      <c r="K22" s="22">
        <v>4.589E-2</v>
      </c>
      <c r="L22" s="22">
        <v>1.9060000000000001E-2</v>
      </c>
      <c r="M22" s="22">
        <v>7.1879999999999999E-2</v>
      </c>
      <c r="N22" s="22">
        <v>9.0139999999999998E-2</v>
      </c>
      <c r="O22" s="22">
        <v>0.30224000000000001</v>
      </c>
      <c r="P22" s="12">
        <v>19.426739999999999</v>
      </c>
      <c r="Q22" s="22">
        <v>6.6251852728809997E-4</v>
      </c>
      <c r="R22" s="22">
        <v>9.8130931667839995E-4</v>
      </c>
      <c r="U22" s="22">
        <v>6.2059999999999997E-2</v>
      </c>
      <c r="V22" s="22">
        <v>9.5369999999999996E-2</v>
      </c>
      <c r="W22" s="22">
        <v>0.11217000000000001</v>
      </c>
      <c r="X22" s="22">
        <v>0.11794</v>
      </c>
      <c r="Y22" s="22">
        <v>0.11339</v>
      </c>
      <c r="Z22" s="22">
        <v>0.10417</v>
      </c>
      <c r="AA22" s="22">
        <v>9.1719999999999996E-2</v>
      </c>
      <c r="AB22" s="22">
        <v>7.9439999999999997E-2</v>
      </c>
      <c r="AC22" s="22">
        <v>6.454E-2</v>
      </c>
      <c r="AD22" s="22">
        <v>5.1249999999999997E-2</v>
      </c>
      <c r="AE22" s="22">
        <v>3.9289999999999999E-2</v>
      </c>
      <c r="AF22" s="22">
        <v>2.9940000000000001E-2</v>
      </c>
      <c r="AG22" s="22">
        <v>1.9910000000000001E-2</v>
      </c>
      <c r="AH22" s="22">
        <v>1.3169999999999999E-2</v>
      </c>
      <c r="AI22" s="22">
        <v>5.64E-3</v>
      </c>
    </row>
    <row r="23" spans="1:35" ht="15" customHeight="1" x14ac:dyDescent="0.3">
      <c r="A23" s="10" t="s">
        <v>205</v>
      </c>
      <c r="B23" s="12">
        <v>47.214210000000001</v>
      </c>
      <c r="C23" s="12">
        <v>8.9434961886222091</v>
      </c>
      <c r="D23" s="22">
        <v>0.90198999999999996</v>
      </c>
      <c r="E23" s="22">
        <v>0.79817000000000005</v>
      </c>
      <c r="F23" s="22">
        <v>0.65425999999999995</v>
      </c>
      <c r="G23" s="22">
        <v>0.39449000000000001</v>
      </c>
      <c r="H23" s="22">
        <v>0.11394</v>
      </c>
      <c r="I23" s="22">
        <v>4.6249999999999999E-2</v>
      </c>
      <c r="J23" s="22">
        <v>0.28122999999999998</v>
      </c>
      <c r="K23" s="22">
        <v>4.648E-2</v>
      </c>
      <c r="L23" s="22">
        <v>1.677E-2</v>
      </c>
      <c r="M23" s="22">
        <v>6.5079999999999999E-2</v>
      </c>
      <c r="N23" s="22">
        <v>8.1299999999999997E-2</v>
      </c>
      <c r="O23" s="22">
        <v>0.26763999999999999</v>
      </c>
      <c r="P23" s="12">
        <v>19.60464</v>
      </c>
      <c r="Q23" s="22">
        <v>6.6416065451060003E-4</v>
      </c>
      <c r="R23" s="22">
        <v>9.4023422560549996E-4</v>
      </c>
      <c r="U23" s="22">
        <v>0.12267</v>
      </c>
      <c r="V23" s="22">
        <v>0.12619</v>
      </c>
      <c r="W23" s="22">
        <v>0.11477</v>
      </c>
      <c r="X23" s="22">
        <v>0.10666</v>
      </c>
      <c r="Y23" s="22">
        <v>9.6100000000000005E-2</v>
      </c>
      <c r="Z23" s="22">
        <v>8.7870000000000004E-2</v>
      </c>
      <c r="AA23" s="22">
        <v>7.7090000000000006E-2</v>
      </c>
      <c r="AB23" s="22">
        <v>6.8159999999999998E-2</v>
      </c>
      <c r="AC23" s="22">
        <v>5.6939999999999998E-2</v>
      </c>
      <c r="AD23" s="22">
        <v>4.5539999999999997E-2</v>
      </c>
      <c r="AE23" s="22">
        <v>3.5200000000000002E-2</v>
      </c>
      <c r="AF23" s="22">
        <v>2.734E-2</v>
      </c>
      <c r="AG23" s="22">
        <v>1.8579999999999999E-2</v>
      </c>
      <c r="AH23" s="22">
        <v>1.1730000000000001E-2</v>
      </c>
      <c r="AI23" s="22">
        <v>5.1599999999999997E-3</v>
      </c>
    </row>
    <row r="24" spans="1:35" ht="15" customHeight="1" x14ac:dyDescent="0.3">
      <c r="A24" s="10" t="s">
        <v>206</v>
      </c>
      <c r="B24" s="12">
        <v>43.839089999999999</v>
      </c>
      <c r="C24" s="12">
        <v>8.930663915516023</v>
      </c>
      <c r="D24" s="22">
        <v>0.82193000000000005</v>
      </c>
      <c r="E24" s="22">
        <v>0.64947999999999995</v>
      </c>
      <c r="F24" s="22">
        <v>0.44785000000000003</v>
      </c>
      <c r="G24" s="22">
        <v>0.32805000000000001</v>
      </c>
      <c r="H24" s="22">
        <v>4.657E-2</v>
      </c>
      <c r="I24" s="22">
        <v>2.2679999999999999E-2</v>
      </c>
      <c r="J24" s="22">
        <v>0.16844999999999999</v>
      </c>
      <c r="K24" s="22">
        <v>2.171E-2</v>
      </c>
      <c r="L24" s="22">
        <v>2.886E-2</v>
      </c>
      <c r="M24" s="22">
        <v>0.11063000000000001</v>
      </c>
      <c r="N24" s="22">
        <v>0.13771</v>
      </c>
      <c r="O24" s="22">
        <v>0.44968999999999998</v>
      </c>
      <c r="P24" s="12">
        <v>16.560230000000001</v>
      </c>
      <c r="Q24" s="22">
        <v>4.7080375529510001E-4</v>
      </c>
      <c r="R24" s="22">
        <v>1.2097978140994999E-3</v>
      </c>
      <c r="U24" s="22">
        <v>2.5950000000000001E-2</v>
      </c>
      <c r="V24" s="22">
        <v>5.1040000000000002E-2</v>
      </c>
      <c r="W24" s="22">
        <v>7.3429999999999995E-2</v>
      </c>
      <c r="X24" s="22">
        <v>9.0639999999999998E-2</v>
      </c>
      <c r="Y24" s="22">
        <v>0.10016</v>
      </c>
      <c r="Z24" s="22">
        <v>0.10663</v>
      </c>
      <c r="AA24" s="22">
        <v>0.10577</v>
      </c>
      <c r="AB24" s="22">
        <v>0.10072</v>
      </c>
      <c r="AC24" s="22">
        <v>9.0679999999999997E-2</v>
      </c>
      <c r="AD24" s="22">
        <v>7.6910000000000006E-2</v>
      </c>
      <c r="AE24" s="22">
        <v>6.3780000000000003E-2</v>
      </c>
      <c r="AF24" s="22">
        <v>4.7780000000000003E-2</v>
      </c>
      <c r="AG24" s="22">
        <v>3.526E-2</v>
      </c>
      <c r="AH24" s="22">
        <v>2.1839999999999998E-2</v>
      </c>
      <c r="AI24" s="22">
        <v>9.41E-3</v>
      </c>
    </row>
    <row r="25" spans="1:35" ht="15" customHeight="1" x14ac:dyDescent="0.3">
      <c r="A25" s="10" t="s">
        <v>207</v>
      </c>
      <c r="B25" s="12">
        <v>53.557299999999998</v>
      </c>
      <c r="C25" s="12">
        <v>8.5687628459422314</v>
      </c>
      <c r="D25" s="22">
        <v>0.97338000000000002</v>
      </c>
      <c r="E25" s="22">
        <v>0.92684</v>
      </c>
      <c r="F25" s="22">
        <v>0.83335999999999999</v>
      </c>
      <c r="G25" s="22">
        <v>0.46250000000000002</v>
      </c>
      <c r="H25" s="22">
        <v>0.15376000000000001</v>
      </c>
      <c r="I25" s="22">
        <v>9.1990000000000002E-2</v>
      </c>
      <c r="J25" s="22">
        <v>0.40648000000000001</v>
      </c>
      <c r="K25" s="22">
        <v>9.375E-2</v>
      </c>
      <c r="L25" s="22">
        <v>6.1500000000000001E-3</v>
      </c>
      <c r="M25" s="22">
        <v>2.4330000000000001E-2</v>
      </c>
      <c r="N25" s="22">
        <v>3.0689999999999999E-2</v>
      </c>
      <c r="O25" s="22">
        <v>0.11219</v>
      </c>
      <c r="P25" s="12">
        <v>23.886019999999998</v>
      </c>
      <c r="Q25" s="22">
        <v>9.1393566458470004E-4</v>
      </c>
      <c r="R25" s="22">
        <v>5.0903217580029996E-4</v>
      </c>
      <c r="U25" s="22">
        <v>0.17824999999999999</v>
      </c>
      <c r="V25" s="22">
        <v>0.19152</v>
      </c>
      <c r="W25" s="22">
        <v>0.16317000000000001</v>
      </c>
      <c r="X25" s="22">
        <v>0.12798000000000001</v>
      </c>
      <c r="Y25" s="22">
        <v>9.7780000000000006E-2</v>
      </c>
      <c r="Z25" s="22">
        <v>7.4660000000000004E-2</v>
      </c>
      <c r="AA25" s="22">
        <v>5.5059999999999998E-2</v>
      </c>
      <c r="AB25" s="22">
        <v>3.9510000000000003E-2</v>
      </c>
      <c r="AC25" s="22">
        <v>2.6919999999999999E-2</v>
      </c>
      <c r="AD25" s="22">
        <v>1.8530000000000001E-2</v>
      </c>
      <c r="AE25" s="22">
        <v>1.2189999999999999E-2</v>
      </c>
      <c r="AF25" s="22">
        <v>7.5799999999999999E-3</v>
      </c>
      <c r="AG25" s="22">
        <v>4.2700000000000004E-3</v>
      </c>
      <c r="AH25" s="22">
        <v>1.8500000000000001E-3</v>
      </c>
      <c r="AI25" s="22">
        <v>7.2999999999999996E-4</v>
      </c>
    </row>
    <row r="26" spans="1:35" ht="15" customHeight="1" x14ac:dyDescent="0.3">
      <c r="A26" s="10" t="s">
        <v>208</v>
      </c>
      <c r="B26" s="12">
        <v>41.991669999999999</v>
      </c>
      <c r="C26" s="12">
        <v>9.0259991475237804</v>
      </c>
      <c r="D26" s="22">
        <v>0.76876999999999995</v>
      </c>
      <c r="E26" s="22">
        <v>0.60650000000000004</v>
      </c>
      <c r="F26" s="22">
        <v>0.42973</v>
      </c>
      <c r="G26" s="22">
        <v>0.18737999999999999</v>
      </c>
      <c r="H26" s="22">
        <v>5.2060000000000002E-2</v>
      </c>
      <c r="I26" s="22">
        <v>1.8239999999999999E-2</v>
      </c>
      <c r="J26" s="22">
        <v>0.18476999999999999</v>
      </c>
      <c r="K26" s="22">
        <v>2.1309999999999999E-2</v>
      </c>
      <c r="L26" s="22">
        <v>3.261E-2</v>
      </c>
      <c r="M26" s="22">
        <v>0.12470000000000001</v>
      </c>
      <c r="N26" s="22">
        <v>0.15626999999999999</v>
      </c>
      <c r="O26" s="22">
        <v>0.48191000000000001</v>
      </c>
      <c r="P26" s="12">
        <v>15.59995</v>
      </c>
      <c r="Q26" s="22">
        <v>4.231702068907E-4</v>
      </c>
      <c r="R26" s="22">
        <v>1.3332767420907001E-3</v>
      </c>
      <c r="U26" s="22">
        <v>4.3880000000000002E-2</v>
      </c>
      <c r="V26" s="22">
        <v>0.06</v>
      </c>
      <c r="W26" s="22">
        <v>7.238E-2</v>
      </c>
      <c r="X26" s="22">
        <v>7.8899999999999998E-2</v>
      </c>
      <c r="Y26" s="22">
        <v>8.5209999999999994E-2</v>
      </c>
      <c r="Z26" s="22">
        <v>8.9359999999999995E-2</v>
      </c>
      <c r="AA26" s="22">
        <v>8.9940000000000006E-2</v>
      </c>
      <c r="AB26" s="22">
        <v>8.7830000000000005E-2</v>
      </c>
      <c r="AC26" s="22">
        <v>8.3449999999999996E-2</v>
      </c>
      <c r="AD26" s="22">
        <v>7.782E-2</v>
      </c>
      <c r="AE26" s="22">
        <v>7.0379999999999998E-2</v>
      </c>
      <c r="AF26" s="22">
        <v>6.019E-2</v>
      </c>
      <c r="AG26" s="22">
        <v>4.6989999999999997E-2</v>
      </c>
      <c r="AH26" s="22">
        <v>3.3669999999999999E-2</v>
      </c>
      <c r="AI26" s="22">
        <v>0.02</v>
      </c>
    </row>
    <row r="27" spans="1:35" ht="15" customHeight="1" x14ac:dyDescent="0.3">
      <c r="A27" s="10" t="s">
        <v>209</v>
      </c>
      <c r="B27" s="12">
        <v>30.91039</v>
      </c>
      <c r="C27" s="12">
        <v>8.436194642603974</v>
      </c>
      <c r="D27" s="22">
        <v>0.29491000000000001</v>
      </c>
      <c r="E27" s="22">
        <v>0.14287</v>
      </c>
      <c r="F27" s="22">
        <v>5.7500000000000002E-2</v>
      </c>
      <c r="G27" s="22">
        <v>3.3680000000000002E-2</v>
      </c>
      <c r="H27" s="22">
        <v>3.0799999999999998E-3</v>
      </c>
      <c r="I27" s="22">
        <v>1.0499999999999999E-3</v>
      </c>
      <c r="J27" s="22">
        <v>6.2899999999999998E-2</v>
      </c>
      <c r="K27" s="22">
        <v>2.8E-3</v>
      </c>
      <c r="L27" s="22">
        <v>6.7510000000000001E-2</v>
      </c>
      <c r="M27" s="22">
        <v>0.25714999999999999</v>
      </c>
      <c r="N27" s="22">
        <v>0.31899</v>
      </c>
      <c r="O27" s="22">
        <v>0.90656999999999999</v>
      </c>
      <c r="P27" s="12">
        <v>9.0995500000000007</v>
      </c>
      <c r="Q27" s="22">
        <v>1.0241569703899999E-4</v>
      </c>
      <c r="R27" s="22">
        <v>1.4420058664928999E-3</v>
      </c>
      <c r="U27" s="22">
        <v>5.9000000000000003E-4</v>
      </c>
      <c r="V27" s="22">
        <v>2.2300000000000002E-3</v>
      </c>
      <c r="W27" s="22">
        <v>4.8900000000000002E-3</v>
      </c>
      <c r="X27" s="22">
        <v>9.41E-3</v>
      </c>
      <c r="Y27" s="22">
        <v>1.5970000000000002E-2</v>
      </c>
      <c r="Z27" s="22">
        <v>2.4410000000000001E-2</v>
      </c>
      <c r="AA27" s="22">
        <v>3.5049999999999998E-2</v>
      </c>
      <c r="AB27" s="22">
        <v>4.897E-2</v>
      </c>
      <c r="AC27" s="22">
        <v>6.7080000000000001E-2</v>
      </c>
      <c r="AD27" s="22">
        <v>8.6309999999999998E-2</v>
      </c>
      <c r="AE27" s="22">
        <v>0.1074</v>
      </c>
      <c r="AF27" s="22">
        <v>0.13027</v>
      </c>
      <c r="AG27" s="22">
        <v>0.15276000000000001</v>
      </c>
      <c r="AH27" s="22">
        <v>0.17061000000000001</v>
      </c>
      <c r="AI27" s="22">
        <v>0.14405000000000001</v>
      </c>
    </row>
    <row r="28" spans="1:35" ht="15" customHeight="1" x14ac:dyDescent="0.3">
      <c r="A28" s="10" t="s">
        <v>210</v>
      </c>
      <c r="B28" s="12">
        <v>46.137689999999999</v>
      </c>
      <c r="C28" s="12">
        <v>9.0778241591198494</v>
      </c>
      <c r="D28" s="22">
        <v>0.87595999999999996</v>
      </c>
      <c r="E28" s="22">
        <v>0.73926000000000003</v>
      </c>
      <c r="F28" s="22">
        <v>0.55556000000000005</v>
      </c>
      <c r="G28" s="22">
        <v>0.45612999999999998</v>
      </c>
      <c r="H28" s="22">
        <v>6.6220000000000001E-2</v>
      </c>
      <c r="I28" s="22">
        <v>3.4819999999999997E-2</v>
      </c>
      <c r="J28" s="22">
        <v>0.20934</v>
      </c>
      <c r="K28" s="22">
        <v>3.2820000000000002E-2</v>
      </c>
      <c r="L28" s="22">
        <v>2.239E-2</v>
      </c>
      <c r="M28" s="22">
        <v>8.3570000000000005E-2</v>
      </c>
      <c r="N28" s="22">
        <v>0.10492</v>
      </c>
      <c r="O28" s="22">
        <v>0.34838000000000002</v>
      </c>
      <c r="P28" s="12">
        <v>18.42764</v>
      </c>
      <c r="Q28" s="22">
        <v>5.79720342924E-4</v>
      </c>
      <c r="R28" s="22">
        <v>1.0423726704014999E-3</v>
      </c>
      <c r="U28" s="22">
        <v>4.4490000000000002E-2</v>
      </c>
      <c r="V28" s="22">
        <v>7.8710000000000002E-2</v>
      </c>
      <c r="W28" s="22">
        <v>0.10073</v>
      </c>
      <c r="X28" s="22">
        <v>0.11103</v>
      </c>
      <c r="Y28" s="22">
        <v>0.11282</v>
      </c>
      <c r="Z28" s="22">
        <v>0.10778</v>
      </c>
      <c r="AA28" s="22">
        <v>9.7600000000000006E-2</v>
      </c>
      <c r="AB28" s="22">
        <v>8.881E-2</v>
      </c>
      <c r="AC28" s="22">
        <v>7.4060000000000001E-2</v>
      </c>
      <c r="AD28" s="22">
        <v>5.9929999999999997E-2</v>
      </c>
      <c r="AE28" s="22">
        <v>4.5960000000000001E-2</v>
      </c>
      <c r="AF28" s="22">
        <v>3.3939999999999998E-2</v>
      </c>
      <c r="AG28" s="22">
        <v>2.383E-2</v>
      </c>
      <c r="AH28" s="22">
        <v>1.393E-2</v>
      </c>
      <c r="AI28" s="22">
        <v>6.3800000000000003E-3</v>
      </c>
    </row>
    <row r="29" spans="1:35" ht="15" customHeight="1" x14ac:dyDescent="0.3">
      <c r="A29" s="10" t="s">
        <v>211</v>
      </c>
      <c r="B29" s="12">
        <v>36.49344</v>
      </c>
      <c r="C29" s="12">
        <v>8.719334663057726</v>
      </c>
      <c r="D29" s="22">
        <v>0.54239000000000004</v>
      </c>
      <c r="E29" s="22">
        <v>0.33302999999999999</v>
      </c>
      <c r="F29" s="22">
        <v>0.16786999999999999</v>
      </c>
      <c r="G29" s="22">
        <v>2.436E-2</v>
      </c>
      <c r="H29" s="22">
        <v>1.0919999999999999E-2</v>
      </c>
      <c r="I29" s="22">
        <v>4.1700000000000001E-3</v>
      </c>
      <c r="J29" s="22">
        <v>0.11053</v>
      </c>
      <c r="K29" s="22">
        <v>8.0499999999999999E-3</v>
      </c>
      <c r="L29" s="22">
        <v>5.3629999999999997E-2</v>
      </c>
      <c r="M29" s="22">
        <v>0.20651</v>
      </c>
      <c r="N29" s="22">
        <v>0.25774000000000002</v>
      </c>
      <c r="O29" s="22">
        <v>0.75519999999999998</v>
      </c>
      <c r="P29" s="12">
        <v>11.45589</v>
      </c>
      <c r="Q29" s="22">
        <v>2.0377956472620001E-4</v>
      </c>
      <c r="R29" s="22">
        <v>1.5754462475754999E-3</v>
      </c>
      <c r="U29" s="22">
        <v>3.6099999999999999E-3</v>
      </c>
      <c r="V29" s="22">
        <v>9.8799999999999999E-3</v>
      </c>
      <c r="W29" s="22">
        <v>1.8589999999999999E-2</v>
      </c>
      <c r="X29" s="22">
        <v>3.1620000000000002E-2</v>
      </c>
      <c r="Y29" s="22">
        <v>4.5409999999999999E-2</v>
      </c>
      <c r="Z29" s="22">
        <v>5.876E-2</v>
      </c>
      <c r="AA29" s="22">
        <v>7.5079999999999994E-2</v>
      </c>
      <c r="AB29" s="22">
        <v>8.7959999999999997E-2</v>
      </c>
      <c r="AC29" s="22">
        <v>0.10126</v>
      </c>
      <c r="AD29" s="22">
        <v>0.11022</v>
      </c>
      <c r="AE29" s="22">
        <v>0.1154</v>
      </c>
      <c r="AF29" s="22">
        <v>0.11133</v>
      </c>
      <c r="AG29" s="22">
        <v>0.10051</v>
      </c>
      <c r="AH29" s="22">
        <v>8.2170000000000007E-2</v>
      </c>
      <c r="AI29" s="22">
        <v>4.82E-2</v>
      </c>
    </row>
    <row r="30" spans="1:35" ht="15" customHeight="1" x14ac:dyDescent="0.3">
      <c r="A30" s="10" t="s">
        <v>212</v>
      </c>
      <c r="B30" s="12">
        <v>37.501869999999997</v>
      </c>
      <c r="C30" s="12">
        <v>9.0985843131280593</v>
      </c>
      <c r="D30" s="22">
        <v>0.59614</v>
      </c>
      <c r="E30" s="22">
        <v>0.40927000000000002</v>
      </c>
      <c r="F30" s="22">
        <v>0.25333</v>
      </c>
      <c r="G30" s="22">
        <v>0.16111</v>
      </c>
      <c r="H30" s="22">
        <v>2.6589999999999999E-2</v>
      </c>
      <c r="I30" s="22">
        <v>8.5100000000000002E-3</v>
      </c>
      <c r="J30" s="22">
        <v>0.12114999999999999</v>
      </c>
      <c r="K30" s="22">
        <v>1.0460000000000001E-2</v>
      </c>
      <c r="L30" s="22">
        <v>4.8439999999999997E-2</v>
      </c>
      <c r="M30" s="22">
        <v>0.18209</v>
      </c>
      <c r="N30" s="22">
        <v>0.22577</v>
      </c>
      <c r="O30" s="22">
        <v>0.67190000000000005</v>
      </c>
      <c r="P30" s="12">
        <v>12.56193</v>
      </c>
      <c r="Q30" s="22">
        <v>2.904751263017E-4</v>
      </c>
      <c r="R30" s="22">
        <v>1.5516349454687999E-3</v>
      </c>
      <c r="U30" s="22">
        <v>1.5980000000000001E-2</v>
      </c>
      <c r="V30" s="22">
        <v>2.7089999999999999E-2</v>
      </c>
      <c r="W30" s="22">
        <v>3.8440000000000002E-2</v>
      </c>
      <c r="X30" s="22">
        <v>4.786E-2</v>
      </c>
      <c r="Y30" s="22">
        <v>5.9130000000000002E-2</v>
      </c>
      <c r="Z30" s="22">
        <v>6.4829999999999999E-2</v>
      </c>
      <c r="AA30" s="22">
        <v>7.596E-2</v>
      </c>
      <c r="AB30" s="22">
        <v>8.3260000000000001E-2</v>
      </c>
      <c r="AC30" s="22">
        <v>8.9149999999999993E-2</v>
      </c>
      <c r="AD30" s="22">
        <v>9.4439999999999996E-2</v>
      </c>
      <c r="AE30" s="22">
        <v>9.4899999999999998E-2</v>
      </c>
      <c r="AF30" s="22">
        <v>9.4149999999999998E-2</v>
      </c>
      <c r="AG30" s="22">
        <v>8.5980000000000001E-2</v>
      </c>
      <c r="AH30" s="22">
        <v>7.3359999999999995E-2</v>
      </c>
      <c r="AI30" s="22">
        <v>5.5469999999999998E-2</v>
      </c>
    </row>
    <row r="31" spans="1:35" ht="15" customHeight="1" x14ac:dyDescent="0.3">
      <c r="A31" s="10" t="s">
        <v>213</v>
      </c>
      <c r="B31" s="12">
        <v>29.92238</v>
      </c>
      <c r="C31" s="12">
        <v>8.4268069359396147</v>
      </c>
      <c r="D31" s="22">
        <v>0.26351000000000002</v>
      </c>
      <c r="E31" s="22">
        <v>0.13844999999999999</v>
      </c>
      <c r="F31" s="22">
        <v>6.3560000000000005E-2</v>
      </c>
      <c r="G31" s="22">
        <v>1.7139999999999999E-2</v>
      </c>
      <c r="H31" s="22">
        <v>4.8799999999999998E-3</v>
      </c>
      <c r="I31" s="22">
        <v>1.2800000000000001E-3</v>
      </c>
      <c r="J31" s="22">
        <v>6.2539999999999998E-2</v>
      </c>
      <c r="K31" s="22">
        <v>2.9399999999999999E-3</v>
      </c>
      <c r="L31" s="22">
        <v>6.8500000000000005E-2</v>
      </c>
      <c r="M31" s="22">
        <v>0.25741999999999998</v>
      </c>
      <c r="N31" s="22">
        <v>0.3196</v>
      </c>
      <c r="O31" s="22">
        <v>0.90446000000000004</v>
      </c>
      <c r="P31" s="12">
        <v>9.0372599999999998</v>
      </c>
      <c r="Q31" s="22">
        <v>1.130646540701E-4</v>
      </c>
      <c r="R31" s="22">
        <v>1.3930989910986001E-3</v>
      </c>
      <c r="U31" s="22">
        <v>1.5100000000000001E-3</v>
      </c>
      <c r="V31" s="22">
        <v>3.6099999999999999E-3</v>
      </c>
      <c r="W31" s="22">
        <v>7.1000000000000004E-3</v>
      </c>
      <c r="X31" s="22">
        <v>1.1089999999999999E-2</v>
      </c>
      <c r="Y31" s="22">
        <v>1.694E-2</v>
      </c>
      <c r="Z31" s="22">
        <v>2.3310000000000001E-2</v>
      </c>
      <c r="AA31" s="22">
        <v>3.1960000000000002E-2</v>
      </c>
      <c r="AB31" s="22">
        <v>4.1410000000000002E-2</v>
      </c>
      <c r="AC31" s="22">
        <v>5.5480000000000002E-2</v>
      </c>
      <c r="AD31" s="22">
        <v>7.1099999999999997E-2</v>
      </c>
      <c r="AE31" s="22">
        <v>9.2450000000000004E-2</v>
      </c>
      <c r="AF31" s="22">
        <v>0.11667</v>
      </c>
      <c r="AG31" s="22">
        <v>0.14651</v>
      </c>
      <c r="AH31" s="22">
        <v>0.17627000000000001</v>
      </c>
      <c r="AI31" s="22">
        <v>0.20458999999999999</v>
      </c>
    </row>
    <row r="32" spans="1:35" ht="15" customHeight="1" x14ac:dyDescent="0.3">
      <c r="A32" s="10" t="s">
        <v>214</v>
      </c>
      <c r="B32" s="12">
        <v>44.449019999999997</v>
      </c>
      <c r="C32" s="12">
        <v>8.9449841274090591</v>
      </c>
      <c r="D32" s="22">
        <v>0.83989999999999998</v>
      </c>
      <c r="E32" s="22">
        <v>0.68174999999999997</v>
      </c>
      <c r="F32" s="22">
        <v>0.47722999999999999</v>
      </c>
      <c r="G32" s="22">
        <v>7.7240000000000003E-2</v>
      </c>
      <c r="H32" s="22">
        <v>4.9660000000000003E-2</v>
      </c>
      <c r="I32" s="22">
        <v>2.4330000000000001E-2</v>
      </c>
      <c r="J32" s="22">
        <v>0.20311999999999999</v>
      </c>
      <c r="K32" s="22">
        <v>3.0769999999999999E-2</v>
      </c>
      <c r="L32" s="22">
        <v>2.734E-2</v>
      </c>
      <c r="M32" s="22">
        <v>0.10265000000000001</v>
      </c>
      <c r="N32" s="22">
        <v>0.12823999999999999</v>
      </c>
      <c r="O32" s="22">
        <v>0.41632000000000002</v>
      </c>
      <c r="P32" s="12">
        <v>17.111609999999999</v>
      </c>
      <c r="Q32" s="22">
        <v>4.872171086897E-4</v>
      </c>
      <c r="R32" s="22">
        <v>1.1596033373529001E-3</v>
      </c>
      <c r="U32" s="22">
        <v>2.9790000000000001E-2</v>
      </c>
      <c r="V32" s="22">
        <v>5.6570000000000002E-2</v>
      </c>
      <c r="W32" s="22">
        <v>7.9479999999999995E-2</v>
      </c>
      <c r="X32" s="22">
        <v>9.5519999999999994E-2</v>
      </c>
      <c r="Y32" s="22">
        <v>0.10758</v>
      </c>
      <c r="Z32" s="22">
        <v>0.10829</v>
      </c>
      <c r="AA32" s="22">
        <v>0.10706</v>
      </c>
      <c r="AB32" s="22">
        <v>9.7280000000000005E-2</v>
      </c>
      <c r="AC32" s="22">
        <v>8.5370000000000001E-2</v>
      </c>
      <c r="AD32" s="22">
        <v>7.2959999999999997E-2</v>
      </c>
      <c r="AE32" s="22">
        <v>5.8479999999999997E-2</v>
      </c>
      <c r="AF32" s="22">
        <v>4.4339999999999997E-2</v>
      </c>
      <c r="AG32" s="22">
        <v>3.0110000000000001E-2</v>
      </c>
      <c r="AH32" s="22">
        <v>1.882E-2</v>
      </c>
      <c r="AI32" s="22">
        <v>8.3499999999999998E-3</v>
      </c>
    </row>
    <row r="33" spans="1:84" ht="15" customHeight="1" x14ac:dyDescent="0.3">
      <c r="A33" s="10" t="s">
        <v>215</v>
      </c>
      <c r="B33" s="12">
        <v>31.92503</v>
      </c>
      <c r="C33" s="12">
        <v>8.5894987920774515</v>
      </c>
      <c r="D33" s="22">
        <v>0.33571000000000001</v>
      </c>
      <c r="E33" s="22">
        <v>0.17285</v>
      </c>
      <c r="F33" s="22">
        <v>7.1429999999999993E-2</v>
      </c>
      <c r="G33" s="22">
        <v>8.4100000000000008E-3</v>
      </c>
      <c r="H33" s="22">
        <v>4.7099999999999998E-3</v>
      </c>
      <c r="I33" s="22">
        <v>1.6299999999999999E-3</v>
      </c>
      <c r="J33" s="22">
        <v>7.0989999999999998E-2</v>
      </c>
      <c r="K33" s="22">
        <v>4.0400000000000002E-3</v>
      </c>
      <c r="L33" s="22">
        <v>6.6119999999999998E-2</v>
      </c>
      <c r="M33" s="22">
        <v>0.25146000000000002</v>
      </c>
      <c r="N33" s="22">
        <v>0.31264999999999998</v>
      </c>
      <c r="O33" s="22">
        <v>0.88502999999999998</v>
      </c>
      <c r="P33" s="12">
        <v>9.4304000000000006</v>
      </c>
      <c r="Q33" s="22">
        <v>1.275673586776E-4</v>
      </c>
      <c r="R33" s="22">
        <v>1.4933479028678999E-3</v>
      </c>
      <c r="U33" s="22">
        <v>9.8999999999999999E-4</v>
      </c>
      <c r="V33" s="22">
        <v>3.2100000000000002E-3</v>
      </c>
      <c r="W33" s="22">
        <v>6.8100000000000001E-3</v>
      </c>
      <c r="X33" s="22">
        <v>1.248E-2</v>
      </c>
      <c r="Y33" s="22">
        <v>1.934E-2</v>
      </c>
      <c r="Z33" s="22">
        <v>2.86E-2</v>
      </c>
      <c r="AA33" s="22">
        <v>4.1320000000000003E-2</v>
      </c>
      <c r="AB33" s="22">
        <v>5.6890000000000003E-2</v>
      </c>
      <c r="AC33" s="22">
        <v>7.3300000000000004E-2</v>
      </c>
      <c r="AD33" s="22">
        <v>9.2770000000000005E-2</v>
      </c>
      <c r="AE33" s="22">
        <v>0.11243</v>
      </c>
      <c r="AF33" s="22">
        <v>0.12978000000000001</v>
      </c>
      <c r="AG33" s="22">
        <v>0.14606</v>
      </c>
      <c r="AH33" s="22">
        <v>0.15342</v>
      </c>
      <c r="AI33" s="22">
        <v>0.1226</v>
      </c>
    </row>
    <row r="34" spans="1:84" ht="15" customHeight="1" x14ac:dyDescent="0.3">
      <c r="A34" s="10" t="s">
        <v>216</v>
      </c>
      <c r="B34" s="12">
        <v>43.866399999999999</v>
      </c>
      <c r="C34" s="12">
        <v>9.1237618907992122</v>
      </c>
      <c r="D34" s="22">
        <v>0.82377999999999996</v>
      </c>
      <c r="E34" s="22">
        <v>0.68301999999999996</v>
      </c>
      <c r="F34" s="22">
        <v>0.50985000000000003</v>
      </c>
      <c r="G34" s="22">
        <v>0.12997</v>
      </c>
      <c r="H34" s="22">
        <v>7.5980000000000006E-2</v>
      </c>
      <c r="I34" s="22">
        <v>2.87E-2</v>
      </c>
      <c r="J34" s="22">
        <v>0.21540000000000001</v>
      </c>
      <c r="K34" s="22">
        <v>2.964E-2</v>
      </c>
      <c r="L34" s="22">
        <v>2.6589999999999999E-2</v>
      </c>
      <c r="M34" s="22">
        <v>0.10058</v>
      </c>
      <c r="N34" s="22">
        <v>0.12659000000000001</v>
      </c>
      <c r="O34" s="22">
        <v>0.40105000000000002</v>
      </c>
      <c r="P34" s="12">
        <v>17.03632</v>
      </c>
      <c r="Q34" s="22">
        <v>5.2798020796229999E-4</v>
      </c>
      <c r="R34" s="22">
        <v>1.2048506612854001E-3</v>
      </c>
      <c r="U34" s="22">
        <v>6.8150000000000002E-2</v>
      </c>
      <c r="V34" s="22">
        <v>7.979E-2</v>
      </c>
      <c r="W34" s="22">
        <v>8.7900000000000006E-2</v>
      </c>
      <c r="X34" s="22">
        <v>9.2310000000000003E-2</v>
      </c>
      <c r="Y34" s="22">
        <v>9.1740000000000002E-2</v>
      </c>
      <c r="Z34" s="22">
        <v>8.9959999999999998E-2</v>
      </c>
      <c r="AA34" s="22">
        <v>8.8800000000000004E-2</v>
      </c>
      <c r="AB34" s="22">
        <v>8.3540000000000003E-2</v>
      </c>
      <c r="AC34" s="22">
        <v>7.5300000000000006E-2</v>
      </c>
      <c r="AD34" s="22">
        <v>6.6290000000000002E-2</v>
      </c>
      <c r="AE34" s="22">
        <v>5.6180000000000001E-2</v>
      </c>
      <c r="AF34" s="22">
        <v>4.5620000000000001E-2</v>
      </c>
      <c r="AG34" s="22">
        <v>3.6040000000000003E-2</v>
      </c>
      <c r="AH34" s="22">
        <v>2.5059999999999999E-2</v>
      </c>
      <c r="AI34" s="22">
        <v>1.332E-2</v>
      </c>
    </row>
    <row r="35" spans="1:84" ht="15" customHeight="1" x14ac:dyDescent="0.3">
      <c r="A35" s="10" t="s">
        <v>217</v>
      </c>
      <c r="B35" s="12">
        <v>58.74447</v>
      </c>
      <c r="C35" s="12">
        <v>8.3023680007031739</v>
      </c>
      <c r="D35" s="22">
        <v>0.99222999999999995</v>
      </c>
      <c r="E35" s="22">
        <v>0.97557000000000005</v>
      </c>
      <c r="F35" s="22">
        <v>0.93337000000000003</v>
      </c>
      <c r="G35" s="22">
        <v>0.68086999999999998</v>
      </c>
      <c r="H35" s="22">
        <v>0.32552999999999999</v>
      </c>
      <c r="I35" s="22">
        <v>0.22633</v>
      </c>
      <c r="J35" s="22">
        <v>0.55245999999999995</v>
      </c>
      <c r="K35" s="22">
        <v>0.18082999999999999</v>
      </c>
      <c r="L35" s="22">
        <v>2.2100000000000002E-3</v>
      </c>
      <c r="M35" s="22">
        <v>8.9099999999999995E-3</v>
      </c>
      <c r="N35" s="22">
        <v>1.091E-2</v>
      </c>
      <c r="O35" s="22">
        <v>4.0899999999999999E-2</v>
      </c>
      <c r="P35" s="12">
        <v>26.686229999999998</v>
      </c>
      <c r="Q35" s="22">
        <v>1.3232714426753001E-3</v>
      </c>
      <c r="R35" s="22">
        <v>2.776621526243E-4</v>
      </c>
      <c r="U35" s="22">
        <v>0.41533999999999999</v>
      </c>
      <c r="V35" s="22">
        <v>0.21162</v>
      </c>
      <c r="W35" s="22">
        <v>0.1298</v>
      </c>
      <c r="X35" s="22">
        <v>8.4580000000000002E-2</v>
      </c>
      <c r="Y35" s="22">
        <v>5.5230000000000001E-2</v>
      </c>
      <c r="Z35" s="22">
        <v>3.6799999999999999E-2</v>
      </c>
      <c r="AA35" s="22">
        <v>2.452E-2</v>
      </c>
      <c r="AB35" s="22">
        <v>1.6930000000000001E-2</v>
      </c>
      <c r="AC35" s="22">
        <v>1.09E-2</v>
      </c>
      <c r="AD35" s="22">
        <v>6.5100000000000002E-3</v>
      </c>
      <c r="AE35" s="22">
        <v>4.0200000000000001E-3</v>
      </c>
      <c r="AF35" s="22">
        <v>1.9499999999999999E-3</v>
      </c>
      <c r="AG35" s="22">
        <v>1.01E-3</v>
      </c>
      <c r="AH35" s="22">
        <v>6.0999999999999997E-4</v>
      </c>
      <c r="AI35" s="22">
        <v>1.8000000000000001E-4</v>
      </c>
    </row>
    <row r="36" spans="1:84" ht="15" customHeight="1" x14ac:dyDescent="0.3">
      <c r="A36" s="10" t="s">
        <v>218</v>
      </c>
      <c r="B36" s="12">
        <v>43.912939999999999</v>
      </c>
      <c r="C36" s="12">
        <v>8.9339935390842999</v>
      </c>
      <c r="D36" s="22">
        <v>0.82826999999999995</v>
      </c>
      <c r="E36" s="22">
        <v>0.68528999999999995</v>
      </c>
      <c r="F36" s="22">
        <v>0.51505000000000001</v>
      </c>
      <c r="G36" s="22">
        <v>0.40508</v>
      </c>
      <c r="H36" s="22">
        <v>7.3370000000000005E-2</v>
      </c>
      <c r="I36" s="22">
        <v>2.681E-2</v>
      </c>
      <c r="J36" s="22">
        <v>0.22398999999999999</v>
      </c>
      <c r="K36" s="22">
        <v>3.1350000000000003E-2</v>
      </c>
      <c r="L36" s="22">
        <v>2.6069999999999999E-2</v>
      </c>
      <c r="M36" s="22">
        <v>0.10136000000000001</v>
      </c>
      <c r="N36" s="22">
        <v>0.12637000000000001</v>
      </c>
      <c r="O36" s="22">
        <v>0.39787</v>
      </c>
      <c r="P36" s="12">
        <v>17.045480000000001</v>
      </c>
      <c r="Q36" s="22">
        <v>5.1079569203350004E-4</v>
      </c>
      <c r="R36" s="22">
        <v>1.1926391201868001E-3</v>
      </c>
      <c r="U36" s="22">
        <v>6.3589999999999994E-2</v>
      </c>
      <c r="V36" s="22">
        <v>8.3210000000000006E-2</v>
      </c>
      <c r="W36" s="22">
        <v>8.8340000000000002E-2</v>
      </c>
      <c r="X36" s="22">
        <v>9.4339999999999993E-2</v>
      </c>
      <c r="Y36" s="22">
        <v>9.3009999999999995E-2</v>
      </c>
      <c r="Z36" s="22">
        <v>9.2560000000000003E-2</v>
      </c>
      <c r="AA36" s="22">
        <v>8.7919999999999998E-2</v>
      </c>
      <c r="AB36" s="22">
        <v>8.2239999999999994E-2</v>
      </c>
      <c r="AC36" s="22">
        <v>7.6630000000000004E-2</v>
      </c>
      <c r="AD36" s="22">
        <v>6.6430000000000003E-2</v>
      </c>
      <c r="AE36" s="22">
        <v>5.713E-2</v>
      </c>
      <c r="AF36" s="22">
        <v>4.5370000000000001E-2</v>
      </c>
      <c r="AG36" s="22">
        <v>3.4099999999999998E-2</v>
      </c>
      <c r="AH36" s="22">
        <v>2.324E-2</v>
      </c>
      <c r="AI36" s="22">
        <v>1.189E-2</v>
      </c>
    </row>
    <row r="37" spans="1:84" ht="15" customHeight="1" x14ac:dyDescent="0.3">
      <c r="A37" s="10" t="s">
        <v>219</v>
      </c>
      <c r="B37" s="12">
        <v>44.390270000000001</v>
      </c>
      <c r="C37" s="12">
        <v>9.1627266316910276</v>
      </c>
      <c r="D37" s="22">
        <v>0.83579000000000003</v>
      </c>
      <c r="E37" s="22">
        <v>0.70028000000000001</v>
      </c>
      <c r="F37" s="22">
        <v>0.53647</v>
      </c>
      <c r="G37" s="22">
        <v>0.14221</v>
      </c>
      <c r="H37" s="22">
        <v>8.6370000000000002E-2</v>
      </c>
      <c r="I37" s="22">
        <v>3.3660000000000002E-2</v>
      </c>
      <c r="J37" s="22">
        <v>0.21672</v>
      </c>
      <c r="K37" s="22">
        <v>3.0509999999999999E-2</v>
      </c>
      <c r="L37" s="22">
        <v>2.5700000000000001E-2</v>
      </c>
      <c r="M37" s="22">
        <v>9.5759999999999998E-2</v>
      </c>
      <c r="N37" s="22">
        <v>0.1193</v>
      </c>
      <c r="O37" s="22">
        <v>0.37780999999999998</v>
      </c>
      <c r="P37" s="12">
        <v>17.450430000000001</v>
      </c>
      <c r="Q37" s="22">
        <v>5.7032450762699999E-4</v>
      </c>
      <c r="R37" s="22">
        <v>1.1715164356508E-3</v>
      </c>
      <c r="U37" s="22">
        <v>7.5329999999999994E-2</v>
      </c>
      <c r="V37" s="22">
        <v>8.7139999999999995E-2</v>
      </c>
      <c r="W37" s="22">
        <v>9.4289999999999999E-2</v>
      </c>
      <c r="X37" s="22">
        <v>9.4649999999999998E-2</v>
      </c>
      <c r="Y37" s="22">
        <v>9.2920000000000003E-2</v>
      </c>
      <c r="Z37" s="22">
        <v>9.214E-2</v>
      </c>
      <c r="AA37" s="22">
        <v>8.5980000000000001E-2</v>
      </c>
      <c r="AB37" s="22">
        <v>7.7670000000000003E-2</v>
      </c>
      <c r="AC37" s="22">
        <v>7.2230000000000003E-2</v>
      </c>
      <c r="AD37" s="22">
        <v>6.3439999999999996E-2</v>
      </c>
      <c r="AE37" s="22">
        <v>5.407E-2</v>
      </c>
      <c r="AF37" s="22">
        <v>4.3119999999999999E-2</v>
      </c>
      <c r="AG37" s="22">
        <v>3.3070000000000002E-2</v>
      </c>
      <c r="AH37" s="22">
        <v>2.198E-2</v>
      </c>
      <c r="AI37" s="22">
        <v>1.197E-2</v>
      </c>
    </row>
    <row r="38" spans="1:84" ht="15" customHeight="1" x14ac:dyDescent="0.3">
      <c r="A38" s="10" t="s">
        <v>220</v>
      </c>
      <c r="B38" s="12">
        <v>39.564869999999999</v>
      </c>
      <c r="C38" s="12">
        <v>8.9162880103269426</v>
      </c>
      <c r="D38" s="22">
        <v>0.67684999999999995</v>
      </c>
      <c r="E38" s="22">
        <v>0.46588000000000002</v>
      </c>
      <c r="F38" s="22">
        <v>0.27224999999999999</v>
      </c>
      <c r="G38" s="22">
        <v>0.17702999999999999</v>
      </c>
      <c r="H38" s="22">
        <v>2.2069999999999999E-2</v>
      </c>
      <c r="I38" s="22">
        <v>9.5300000000000003E-3</v>
      </c>
      <c r="J38" s="22">
        <v>0.1381</v>
      </c>
      <c r="K38" s="22">
        <v>1.3050000000000001E-2</v>
      </c>
      <c r="L38" s="22">
        <v>4.4389999999999999E-2</v>
      </c>
      <c r="M38" s="22">
        <v>0.16525999999999999</v>
      </c>
      <c r="N38" s="22">
        <v>0.20654</v>
      </c>
      <c r="O38" s="22">
        <v>0.63485999999999998</v>
      </c>
      <c r="P38" s="12">
        <v>13.40127</v>
      </c>
      <c r="Q38" s="22">
        <v>3.0723247061460003E-4</v>
      </c>
      <c r="R38" s="22">
        <v>1.4789323091338E-3</v>
      </c>
      <c r="U38" s="22">
        <v>8.6E-3</v>
      </c>
      <c r="V38" s="22">
        <v>2.171E-2</v>
      </c>
      <c r="W38" s="22">
        <v>3.6700000000000003E-2</v>
      </c>
      <c r="X38" s="22">
        <v>5.2650000000000002E-2</v>
      </c>
      <c r="Y38" s="22">
        <v>6.9500000000000006E-2</v>
      </c>
      <c r="Z38" s="22">
        <v>8.3089999999999997E-2</v>
      </c>
      <c r="AA38" s="22">
        <v>9.5159999999999995E-2</v>
      </c>
      <c r="AB38" s="22">
        <v>0.10082000000000001</v>
      </c>
      <c r="AC38" s="22">
        <v>0.10482</v>
      </c>
      <c r="AD38" s="22">
        <v>0.1038</v>
      </c>
      <c r="AE38" s="22">
        <v>9.468E-2</v>
      </c>
      <c r="AF38" s="22">
        <v>8.2710000000000006E-2</v>
      </c>
      <c r="AG38" s="22">
        <v>6.8449999999999997E-2</v>
      </c>
      <c r="AH38" s="22">
        <v>5.006E-2</v>
      </c>
      <c r="AI38" s="22">
        <v>2.725E-2</v>
      </c>
    </row>
    <row r="39" spans="1:84" ht="15" customHeight="1" x14ac:dyDescent="0.3">
      <c r="A39" s="10" t="s">
        <v>221</v>
      </c>
      <c r="B39" s="12">
        <v>45.594349999999999</v>
      </c>
      <c r="C39" s="12">
        <v>8.8068188398251959</v>
      </c>
      <c r="D39" s="22">
        <v>0.86975999999999998</v>
      </c>
      <c r="E39" s="22">
        <v>0.72260000000000002</v>
      </c>
      <c r="F39" s="22">
        <v>0.52498999999999996</v>
      </c>
      <c r="G39" s="22">
        <v>9.4039999999999999E-2</v>
      </c>
      <c r="H39" s="22">
        <v>5.2740000000000002E-2</v>
      </c>
      <c r="I39" s="22">
        <v>2.6360000000000001E-2</v>
      </c>
      <c r="J39" s="22">
        <v>0.22073999999999999</v>
      </c>
      <c r="K39" s="22">
        <v>3.2300000000000002E-2</v>
      </c>
      <c r="L39" s="22">
        <v>2.3269999999999999E-2</v>
      </c>
      <c r="M39" s="22">
        <v>8.899E-2</v>
      </c>
      <c r="N39" s="22">
        <v>0.11094</v>
      </c>
      <c r="O39" s="22">
        <v>0.37137999999999999</v>
      </c>
      <c r="P39" s="12">
        <v>17.967009999999998</v>
      </c>
      <c r="Q39" s="22">
        <v>5.0660784044460005E-4</v>
      </c>
      <c r="R39" s="22">
        <v>1.0643192303063001E-3</v>
      </c>
      <c r="U39" s="22">
        <v>3.6819999999999999E-2</v>
      </c>
      <c r="V39" s="22">
        <v>6.726E-2</v>
      </c>
      <c r="W39" s="22">
        <v>9.0670000000000001E-2</v>
      </c>
      <c r="X39" s="22">
        <v>0.10589999999999999</v>
      </c>
      <c r="Y39" s="22">
        <v>0.11125</v>
      </c>
      <c r="Z39" s="22">
        <v>0.11309</v>
      </c>
      <c r="AA39" s="22">
        <v>0.10648000000000001</v>
      </c>
      <c r="AB39" s="22">
        <v>9.3820000000000001E-2</v>
      </c>
      <c r="AC39" s="22">
        <v>7.9869999999999997E-2</v>
      </c>
      <c r="AD39" s="22">
        <v>6.4600000000000005E-2</v>
      </c>
      <c r="AE39" s="22">
        <v>5.067E-2</v>
      </c>
      <c r="AF39" s="22">
        <v>3.5619999999999999E-2</v>
      </c>
      <c r="AG39" s="22">
        <v>2.4209999999999999E-2</v>
      </c>
      <c r="AH39" s="22">
        <v>1.4080000000000001E-2</v>
      </c>
      <c r="AI39" s="22">
        <v>5.6600000000000001E-3</v>
      </c>
    </row>
    <row r="40" spans="1:84" ht="15" customHeight="1" x14ac:dyDescent="0.3">
      <c r="A40" s="10" t="s">
        <v>222</v>
      </c>
      <c r="B40" s="12">
        <v>23.963840000000001</v>
      </c>
      <c r="C40" s="12">
        <v>7.7048071004016716</v>
      </c>
      <c r="D40" s="22">
        <v>8.3940000000000001E-2</v>
      </c>
      <c r="E40" s="22">
        <v>3.0349999999999999E-2</v>
      </c>
      <c r="F40" s="22">
        <v>7.9299999999999995E-3</v>
      </c>
      <c r="G40" s="22">
        <v>5.11E-3</v>
      </c>
      <c r="H40" s="22">
        <v>5.4000000000000001E-4</v>
      </c>
      <c r="I40" s="22">
        <v>1.8000000000000001E-4</v>
      </c>
      <c r="J40" s="22">
        <v>2.4549999999999999E-2</v>
      </c>
      <c r="K40" s="22">
        <v>5.5999999999999995E-4</v>
      </c>
      <c r="L40" s="22">
        <v>7.1169999999999997E-2</v>
      </c>
      <c r="M40" s="22">
        <v>0.26817999999999997</v>
      </c>
      <c r="N40" s="22">
        <v>0.3342</v>
      </c>
      <c r="O40" s="22">
        <v>0.98333000000000004</v>
      </c>
      <c r="P40" s="12">
        <v>7.9886900000000001</v>
      </c>
      <c r="Q40" s="22">
        <v>4.2422588322732031E-5</v>
      </c>
      <c r="R40" s="22">
        <v>8.7689267530289996E-4</v>
      </c>
      <c r="U40" s="22">
        <v>3.0000000000000001E-5</v>
      </c>
      <c r="V40" s="22">
        <v>2.0000000000000001E-4</v>
      </c>
      <c r="W40" s="22">
        <v>4.6000000000000001E-4</v>
      </c>
      <c r="X40" s="22">
        <v>1.09E-3</v>
      </c>
      <c r="Y40" s="22">
        <v>2.0500000000000002E-3</v>
      </c>
      <c r="Z40" s="22">
        <v>4.1000000000000003E-3</v>
      </c>
      <c r="AA40" s="22">
        <v>7.7400000000000004E-3</v>
      </c>
      <c r="AB40" s="22">
        <v>1.315E-2</v>
      </c>
      <c r="AC40" s="22">
        <v>2.104E-2</v>
      </c>
      <c r="AD40" s="22">
        <v>3.4079999999999999E-2</v>
      </c>
      <c r="AE40" s="22">
        <v>5.2600000000000001E-2</v>
      </c>
      <c r="AF40" s="22">
        <v>7.9589999999999994E-2</v>
      </c>
      <c r="AG40" s="22">
        <v>0.12798999999999999</v>
      </c>
      <c r="AH40" s="22">
        <v>0.20993999999999999</v>
      </c>
      <c r="AI40" s="22">
        <v>0.44594</v>
      </c>
    </row>
    <row r="41" spans="1:84" ht="15" customHeight="1" x14ac:dyDescent="0.3">
      <c r="A41" s="10" t="s">
        <v>223</v>
      </c>
      <c r="B41" s="12">
        <v>53.945070000000001</v>
      </c>
      <c r="C41" s="12">
        <v>8.5788701292827607</v>
      </c>
      <c r="D41" s="22">
        <v>0.97563999999999995</v>
      </c>
      <c r="E41" s="22">
        <v>0.93133999999999995</v>
      </c>
      <c r="F41" s="22">
        <v>0.84287999999999996</v>
      </c>
      <c r="G41" s="22">
        <v>0.49023</v>
      </c>
      <c r="H41" s="22">
        <v>0.16697000000000001</v>
      </c>
      <c r="I41" s="22">
        <v>0.10163</v>
      </c>
      <c r="J41" s="22">
        <v>0.37691999999999998</v>
      </c>
      <c r="K41" s="22">
        <v>9.0529999999999999E-2</v>
      </c>
      <c r="L41" s="22">
        <v>5.8100000000000001E-3</v>
      </c>
      <c r="M41" s="22">
        <v>2.266E-2</v>
      </c>
      <c r="N41" s="22">
        <v>2.8500000000000001E-2</v>
      </c>
      <c r="O41" s="22">
        <v>0.10650999999999999</v>
      </c>
      <c r="P41" s="12">
        <v>24.123449999999998</v>
      </c>
      <c r="Q41" s="22">
        <v>9.5551736300280004E-4</v>
      </c>
      <c r="R41" s="22">
        <v>4.8750990143789998E-4</v>
      </c>
      <c r="U41" s="22">
        <v>0.19045999999999999</v>
      </c>
      <c r="V41" s="22">
        <v>0.20094999999999999</v>
      </c>
      <c r="W41" s="22">
        <v>0.16284999999999999</v>
      </c>
      <c r="X41" s="22">
        <v>0.12364</v>
      </c>
      <c r="Y41" s="22">
        <v>9.4079999999999997E-2</v>
      </c>
      <c r="Z41" s="22">
        <v>7.0900000000000005E-2</v>
      </c>
      <c r="AA41" s="22">
        <v>5.1090000000000003E-2</v>
      </c>
      <c r="AB41" s="22">
        <v>3.7470000000000003E-2</v>
      </c>
      <c r="AC41" s="22">
        <v>2.614E-2</v>
      </c>
      <c r="AD41" s="22">
        <v>1.806E-2</v>
      </c>
      <c r="AE41" s="22">
        <v>1.158E-2</v>
      </c>
      <c r="AF41" s="22">
        <v>6.7099999999999998E-3</v>
      </c>
      <c r="AG41" s="22">
        <v>3.9500000000000004E-3</v>
      </c>
      <c r="AH41" s="22">
        <v>1.5499999999999999E-3</v>
      </c>
      <c r="AI41" s="22">
        <v>5.6999999999999998E-4</v>
      </c>
    </row>
    <row r="42" spans="1:84" ht="15" customHeight="1" x14ac:dyDescent="0.3">
      <c r="A42" s="10" t="s">
        <v>224</v>
      </c>
      <c r="B42" s="12">
        <v>50.072789999999998</v>
      </c>
      <c r="C42" s="12">
        <v>8.9553041051602484</v>
      </c>
      <c r="D42" s="22">
        <v>0.94230999999999998</v>
      </c>
      <c r="E42" s="22">
        <v>0.87305999999999995</v>
      </c>
      <c r="F42" s="22">
        <v>0.76182000000000005</v>
      </c>
      <c r="G42" s="22">
        <v>0.33410000000000001</v>
      </c>
      <c r="H42" s="22">
        <v>0.17624000000000001</v>
      </c>
      <c r="I42" s="22">
        <v>8.0030000000000004E-2</v>
      </c>
      <c r="J42" s="22">
        <v>0.35363</v>
      </c>
      <c r="K42" s="22">
        <v>7.3999999999999996E-2</v>
      </c>
      <c r="L42" s="22">
        <v>1.123E-2</v>
      </c>
      <c r="M42" s="22">
        <v>4.2639999999999997E-2</v>
      </c>
      <c r="N42" s="22">
        <v>5.321E-2</v>
      </c>
      <c r="O42" s="22">
        <v>0.17662</v>
      </c>
      <c r="P42" s="12">
        <v>21.706479999999999</v>
      </c>
      <c r="Q42" s="22">
        <v>8.5805127527429997E-4</v>
      </c>
      <c r="R42" s="22">
        <v>7.3730498370750005E-4</v>
      </c>
      <c r="U42" s="22">
        <v>0.20566999999999999</v>
      </c>
      <c r="V42" s="22">
        <v>0.15659000000000001</v>
      </c>
      <c r="W42" s="22">
        <v>0.12869</v>
      </c>
      <c r="X42" s="22">
        <v>0.10645</v>
      </c>
      <c r="Y42" s="22">
        <v>8.8709999999999997E-2</v>
      </c>
      <c r="Z42" s="22">
        <v>7.571E-2</v>
      </c>
      <c r="AA42" s="22">
        <v>5.9679999999999997E-2</v>
      </c>
      <c r="AB42" s="22">
        <v>5.1369999999999999E-2</v>
      </c>
      <c r="AC42" s="22">
        <v>3.8379999999999997E-2</v>
      </c>
      <c r="AD42" s="22">
        <v>3.1060000000000001E-2</v>
      </c>
      <c r="AE42" s="22">
        <v>2.2179999999999998E-2</v>
      </c>
      <c r="AF42" s="22">
        <v>1.6330000000000001E-2</v>
      </c>
      <c r="AG42" s="22">
        <v>1.0580000000000001E-2</v>
      </c>
      <c r="AH42" s="22">
        <v>5.9199999999999999E-3</v>
      </c>
      <c r="AI42" s="22">
        <v>2.6800000000000001E-3</v>
      </c>
    </row>
    <row r="43" spans="1:84" ht="15" customHeight="1" x14ac:dyDescent="0.3">
      <c r="A43" s="10" t="s">
        <v>225</v>
      </c>
      <c r="B43" s="12">
        <v>33.254950000000001</v>
      </c>
      <c r="C43" s="12">
        <v>8.6171822829449294</v>
      </c>
      <c r="D43" s="22">
        <v>0.39509</v>
      </c>
      <c r="E43" s="22">
        <v>0.21226999999999999</v>
      </c>
      <c r="F43" s="22">
        <v>9.2770000000000005E-2</v>
      </c>
      <c r="G43" s="22">
        <v>6.6E-3</v>
      </c>
      <c r="H43" s="22">
        <v>5.47E-3</v>
      </c>
      <c r="I43" s="22">
        <v>1.98E-3</v>
      </c>
      <c r="J43" s="22">
        <v>8.2019999999999996E-2</v>
      </c>
      <c r="K43" s="22">
        <v>4.2599999999999999E-3</v>
      </c>
      <c r="L43" s="22">
        <v>0</v>
      </c>
      <c r="M43" s="22">
        <v>0</v>
      </c>
      <c r="N43" s="22">
        <v>0</v>
      </c>
      <c r="O43" s="22">
        <v>0.85462000000000005</v>
      </c>
      <c r="P43" s="12">
        <v>12.17291</v>
      </c>
      <c r="Q43" s="22">
        <v>1.4057309842209999E-4</v>
      </c>
      <c r="R43" s="22">
        <v>1.5459427282406E-3</v>
      </c>
      <c r="U43" s="22">
        <v>1.34E-3</v>
      </c>
      <c r="V43" s="22">
        <v>4.1399999999999996E-3</v>
      </c>
      <c r="W43" s="22">
        <v>8.9800000000000001E-3</v>
      </c>
      <c r="X43" s="22">
        <v>1.593E-2</v>
      </c>
      <c r="Y43" s="22">
        <v>2.5579999999999999E-2</v>
      </c>
      <c r="Z43" s="22">
        <v>3.6799999999999999E-2</v>
      </c>
      <c r="AA43" s="22">
        <v>5.1209999999999999E-2</v>
      </c>
      <c r="AB43" s="22">
        <v>6.6180000000000003E-2</v>
      </c>
      <c r="AC43" s="22">
        <v>8.4919999999999995E-2</v>
      </c>
      <c r="AD43" s="22">
        <v>0.10001</v>
      </c>
      <c r="AE43" s="22">
        <v>0.11482000000000001</v>
      </c>
      <c r="AF43" s="22">
        <v>0.13109999999999999</v>
      </c>
      <c r="AG43" s="22">
        <v>0.13583999999999999</v>
      </c>
      <c r="AH43" s="22">
        <v>0.13083</v>
      </c>
      <c r="AI43" s="22">
        <v>9.2319999999999999E-2</v>
      </c>
    </row>
    <row r="44" spans="1:84" ht="15" customHeight="1" x14ac:dyDescent="0.3">
      <c r="A44" s="10" t="s">
        <v>226</v>
      </c>
      <c r="B44" s="12">
        <v>27.79027</v>
      </c>
      <c r="C44" s="12">
        <v>8.294154768697048</v>
      </c>
      <c r="D44" s="22">
        <v>0.18911</v>
      </c>
      <c r="E44" s="22">
        <v>8.9450000000000002E-2</v>
      </c>
      <c r="F44" s="22">
        <v>3.8350000000000002E-2</v>
      </c>
      <c r="G44" s="22">
        <v>2.1479999999999999E-2</v>
      </c>
      <c r="H44" s="22">
        <v>2.6900000000000001E-3</v>
      </c>
      <c r="I44" s="22">
        <v>6.4999999999999997E-4</v>
      </c>
      <c r="J44" s="22">
        <v>7.0040000000000005E-2</v>
      </c>
      <c r="K44" s="22">
        <v>2.3800000000000002E-3</v>
      </c>
      <c r="L44" s="22">
        <v>0</v>
      </c>
      <c r="M44" s="22">
        <v>0.21118000000000001</v>
      </c>
      <c r="N44" s="22">
        <v>0.28160000000000002</v>
      </c>
      <c r="O44" s="22">
        <v>0.94013999999999998</v>
      </c>
      <c r="P44" s="12">
        <v>9.0467099999999991</v>
      </c>
      <c r="Q44" s="22">
        <v>8.0596370886039286E-5</v>
      </c>
      <c r="R44" s="22">
        <v>1.2383352046193999E-3</v>
      </c>
      <c r="U44" s="22">
        <v>8.1999999999999998E-4</v>
      </c>
      <c r="V44" s="22">
        <v>2.2799999999999999E-3</v>
      </c>
      <c r="W44" s="22">
        <v>4.0600000000000002E-3</v>
      </c>
      <c r="X44" s="22">
        <v>6.4200000000000004E-3</v>
      </c>
      <c r="Y44" s="22">
        <v>1.0059999999999999E-2</v>
      </c>
      <c r="Z44" s="22">
        <v>1.4710000000000001E-2</v>
      </c>
      <c r="AA44" s="22">
        <v>2.1389999999999999E-2</v>
      </c>
      <c r="AB44" s="22">
        <v>2.9440000000000001E-2</v>
      </c>
      <c r="AC44" s="22">
        <v>4.231E-2</v>
      </c>
      <c r="AD44" s="22">
        <v>5.7619999999999998E-2</v>
      </c>
      <c r="AE44" s="22">
        <v>7.7119999999999994E-2</v>
      </c>
      <c r="AF44" s="22">
        <v>0.10513</v>
      </c>
      <c r="AG44" s="22">
        <v>0.14061999999999999</v>
      </c>
      <c r="AH44" s="22">
        <v>0.19413</v>
      </c>
      <c r="AI44" s="22">
        <v>0.29388999999999998</v>
      </c>
    </row>
    <row r="45" spans="1:84" ht="15" customHeight="1" x14ac:dyDescent="0.3"/>
    <row r="46" spans="1:84" ht="15" customHeight="1" x14ac:dyDescent="0.3"/>
    <row r="47" spans="1:84" ht="15" customHeight="1" x14ac:dyDescent="0.3">
      <c r="A47" s="3" t="s">
        <v>942</v>
      </c>
    </row>
    <row r="48" spans="1:84" ht="30" customHeight="1" x14ac:dyDescent="0.3">
      <c r="A48" s="11" t="s">
        <v>943</v>
      </c>
      <c r="B48" s="11">
        <v>0</v>
      </c>
      <c r="C48" s="11">
        <v>1</v>
      </c>
      <c r="D48" s="11">
        <v>2</v>
      </c>
      <c r="E48" s="11">
        <v>3</v>
      </c>
      <c r="F48" s="11">
        <v>4</v>
      </c>
      <c r="G48" s="11">
        <v>5</v>
      </c>
      <c r="H48" s="11">
        <v>6</v>
      </c>
      <c r="I48" s="11">
        <v>7</v>
      </c>
      <c r="J48" s="11">
        <v>8</v>
      </c>
      <c r="K48" s="11">
        <v>9</v>
      </c>
      <c r="L48" s="11">
        <v>10</v>
      </c>
      <c r="M48" s="11">
        <v>11</v>
      </c>
      <c r="N48" s="11">
        <v>12</v>
      </c>
      <c r="O48" s="11">
        <v>13</v>
      </c>
      <c r="P48" s="11">
        <v>14</v>
      </c>
      <c r="Q48" s="11">
        <v>15</v>
      </c>
      <c r="R48" s="11">
        <v>16</v>
      </c>
      <c r="S48" s="11">
        <v>17</v>
      </c>
      <c r="T48" s="11">
        <v>18</v>
      </c>
      <c r="U48" s="11">
        <v>19</v>
      </c>
      <c r="V48" s="11">
        <v>20</v>
      </c>
      <c r="W48" s="11">
        <v>21</v>
      </c>
      <c r="X48" s="11">
        <v>22</v>
      </c>
      <c r="Y48" s="11">
        <v>23</v>
      </c>
      <c r="Z48" s="11">
        <v>24</v>
      </c>
      <c r="AA48" s="11">
        <v>25</v>
      </c>
      <c r="AB48" s="11">
        <v>26</v>
      </c>
      <c r="AC48" s="11">
        <v>27</v>
      </c>
      <c r="AD48" s="11">
        <v>28</v>
      </c>
      <c r="AE48" s="11">
        <v>29</v>
      </c>
      <c r="AF48" s="11">
        <v>30</v>
      </c>
      <c r="AG48" s="11">
        <v>31</v>
      </c>
      <c r="AH48" s="11">
        <v>32</v>
      </c>
      <c r="AI48" s="11">
        <v>33</v>
      </c>
      <c r="AJ48" s="11">
        <v>34</v>
      </c>
      <c r="AK48" s="11">
        <v>35</v>
      </c>
      <c r="AL48" s="11">
        <v>36</v>
      </c>
      <c r="AM48" s="11">
        <v>37</v>
      </c>
      <c r="AN48" s="11">
        <v>38</v>
      </c>
      <c r="AO48" s="11">
        <v>39</v>
      </c>
      <c r="AP48" s="11">
        <v>40</v>
      </c>
      <c r="AQ48" s="11">
        <v>41</v>
      </c>
      <c r="AR48" s="11">
        <v>42</v>
      </c>
      <c r="AS48" s="11">
        <v>43</v>
      </c>
      <c r="AT48" s="11">
        <v>44</v>
      </c>
      <c r="AU48" s="11">
        <v>45</v>
      </c>
      <c r="AV48" s="11">
        <v>46</v>
      </c>
      <c r="AW48" s="11">
        <v>47</v>
      </c>
      <c r="AX48" s="11">
        <v>48</v>
      </c>
      <c r="AY48" s="11">
        <v>49</v>
      </c>
      <c r="AZ48" s="11">
        <v>50</v>
      </c>
      <c r="BA48" s="11">
        <v>51</v>
      </c>
      <c r="BB48" s="11">
        <v>52</v>
      </c>
      <c r="BC48" s="11">
        <v>53</v>
      </c>
      <c r="BD48" s="11">
        <v>54</v>
      </c>
      <c r="BE48" s="11">
        <v>55</v>
      </c>
      <c r="BF48" s="11">
        <v>56</v>
      </c>
      <c r="BG48" s="11">
        <v>57</v>
      </c>
      <c r="BH48" s="11">
        <v>58</v>
      </c>
      <c r="BI48" s="11">
        <v>59</v>
      </c>
      <c r="BJ48" s="11">
        <v>60</v>
      </c>
      <c r="BK48" s="11">
        <v>61</v>
      </c>
      <c r="BL48" s="11">
        <v>62</v>
      </c>
      <c r="BM48" s="11">
        <v>63</v>
      </c>
      <c r="BN48" s="11">
        <v>64</v>
      </c>
      <c r="BO48" s="11">
        <v>65</v>
      </c>
      <c r="BP48" s="11">
        <v>66</v>
      </c>
      <c r="BQ48" s="11">
        <v>67</v>
      </c>
      <c r="BR48" s="11">
        <v>68</v>
      </c>
      <c r="BS48" s="11">
        <v>69</v>
      </c>
      <c r="BT48" s="11">
        <v>70</v>
      </c>
      <c r="BU48" s="11">
        <v>71</v>
      </c>
      <c r="BV48" s="11">
        <v>72</v>
      </c>
      <c r="BW48" s="11">
        <v>73</v>
      </c>
      <c r="BX48" s="11">
        <v>74</v>
      </c>
      <c r="BY48" s="11">
        <v>75</v>
      </c>
      <c r="BZ48" s="11">
        <v>76</v>
      </c>
      <c r="CA48" s="11">
        <v>77</v>
      </c>
      <c r="CB48" s="11">
        <v>78</v>
      </c>
      <c r="CC48" s="11">
        <v>79</v>
      </c>
      <c r="CD48" s="11">
        <v>80</v>
      </c>
      <c r="CE48" s="11">
        <v>81</v>
      </c>
      <c r="CF48" s="11">
        <v>82</v>
      </c>
    </row>
    <row r="49" spans="1:84" ht="15" customHeight="1" x14ac:dyDescent="0.3">
      <c r="A49" s="10" t="s">
        <v>197</v>
      </c>
      <c r="B49" s="44">
        <v>0</v>
      </c>
      <c r="C49" s="44">
        <v>0</v>
      </c>
      <c r="D49" s="44">
        <v>0</v>
      </c>
      <c r="E49" s="44">
        <v>0</v>
      </c>
      <c r="F49" s="44">
        <v>0</v>
      </c>
      <c r="G49" s="44">
        <v>0</v>
      </c>
      <c r="H49" s="44">
        <v>0</v>
      </c>
      <c r="I49" s="44">
        <v>1.0000000000000001E-5</v>
      </c>
      <c r="J49" s="44">
        <v>0</v>
      </c>
      <c r="K49" s="44">
        <v>5.0000000000000002E-5</v>
      </c>
      <c r="L49" s="44">
        <v>6.9999999999999994E-5</v>
      </c>
      <c r="M49" s="44">
        <v>6.0000000000000002E-5</v>
      </c>
      <c r="N49" s="44">
        <v>1.6000000000000001E-4</v>
      </c>
      <c r="O49" s="44">
        <v>2.3000000000000001E-4</v>
      </c>
      <c r="P49" s="44">
        <v>3.3E-4</v>
      </c>
      <c r="Q49" s="44">
        <v>5.1999999999999995E-4</v>
      </c>
      <c r="R49" s="44">
        <v>6.4000000000000005E-4</v>
      </c>
      <c r="S49" s="44">
        <v>1.42E-3</v>
      </c>
      <c r="T49" s="44">
        <v>1.6999999999999999E-3</v>
      </c>
      <c r="U49" s="44">
        <v>2.5899999999999999E-3</v>
      </c>
      <c r="V49" s="44">
        <v>3.4399999999999999E-3</v>
      </c>
      <c r="W49" s="44">
        <v>3.9500000000000004E-3</v>
      </c>
      <c r="X49" s="44">
        <v>5.4599999999999996E-3</v>
      </c>
      <c r="Y49" s="44">
        <v>6.7200000000000003E-3</v>
      </c>
      <c r="Z49" s="44">
        <v>8.5699999999999995E-3</v>
      </c>
      <c r="AA49" s="44">
        <v>1.0789999999999999E-2</v>
      </c>
      <c r="AB49" s="44">
        <v>1.1990000000000001E-2</v>
      </c>
      <c r="AC49" s="44">
        <v>1.465E-2</v>
      </c>
      <c r="AD49" s="44">
        <v>1.737E-2</v>
      </c>
      <c r="AE49" s="44">
        <v>1.9789999999999999E-2</v>
      </c>
      <c r="AF49" s="44">
        <v>2.274E-2</v>
      </c>
      <c r="AG49" s="44">
        <v>2.4490000000000001E-2</v>
      </c>
      <c r="AH49" s="44">
        <v>2.9090000000000001E-2</v>
      </c>
      <c r="AI49" s="44">
        <v>3.1119999999999998E-2</v>
      </c>
      <c r="AJ49" s="44">
        <v>3.3599999999999998E-2</v>
      </c>
      <c r="AK49" s="44">
        <v>3.6429999999999997E-2</v>
      </c>
      <c r="AL49" s="44">
        <v>3.8109999999999998E-2</v>
      </c>
      <c r="AM49" s="44">
        <v>4.0280000000000003E-2</v>
      </c>
      <c r="AN49" s="44">
        <v>4.2909999999999997E-2</v>
      </c>
      <c r="AO49" s="44">
        <v>4.317E-2</v>
      </c>
      <c r="AP49" s="44">
        <v>4.224E-2</v>
      </c>
      <c r="AQ49" s="44">
        <v>4.3929999999999997E-2</v>
      </c>
      <c r="AR49" s="44">
        <v>4.2770000000000002E-2</v>
      </c>
      <c r="AS49" s="44">
        <v>4.2029999999999998E-2</v>
      </c>
      <c r="AT49" s="44">
        <v>4.0629999999999999E-2</v>
      </c>
      <c r="AU49" s="44">
        <v>3.8719999999999997E-2</v>
      </c>
      <c r="AV49" s="44">
        <v>3.6499999999999998E-2</v>
      </c>
      <c r="AW49" s="44">
        <v>3.44E-2</v>
      </c>
      <c r="AX49" s="44">
        <v>3.243E-2</v>
      </c>
      <c r="AY49" s="44">
        <v>2.895E-2</v>
      </c>
      <c r="AZ49" s="44">
        <v>2.75E-2</v>
      </c>
      <c r="BA49" s="44">
        <v>2.4029999999999999E-2</v>
      </c>
      <c r="BB49" s="44">
        <v>2.068E-2</v>
      </c>
      <c r="BC49" s="44">
        <v>1.7919999999999998E-2</v>
      </c>
      <c r="BD49" s="44">
        <v>1.4579999999999999E-2</v>
      </c>
      <c r="BE49" s="44">
        <v>1.204E-2</v>
      </c>
      <c r="BF49" s="44">
        <v>1.094E-2</v>
      </c>
      <c r="BG49" s="44">
        <v>8.8000000000000005E-3</v>
      </c>
      <c r="BH49" s="44">
        <v>7.0499999999999998E-3</v>
      </c>
      <c r="BI49" s="44">
        <v>5.9199999999999999E-3</v>
      </c>
      <c r="BJ49" s="44">
        <v>4.2700000000000004E-3</v>
      </c>
      <c r="BK49" s="44">
        <v>3.2299999999999998E-3</v>
      </c>
      <c r="BL49" s="44">
        <v>2.2599999999999999E-3</v>
      </c>
      <c r="BM49" s="44">
        <v>1.9E-3</v>
      </c>
      <c r="BN49" s="44">
        <v>1.34E-3</v>
      </c>
      <c r="BO49" s="44">
        <v>8.1999999999999998E-4</v>
      </c>
      <c r="BP49" s="44">
        <v>5.4000000000000001E-4</v>
      </c>
      <c r="BQ49" s="44">
        <v>4.6999999999999999E-4</v>
      </c>
      <c r="BR49" s="44">
        <v>2.5000000000000001E-4</v>
      </c>
      <c r="BS49" s="44">
        <v>1.7000000000000001E-4</v>
      </c>
      <c r="BT49" s="44">
        <v>1E-4</v>
      </c>
      <c r="BU49" s="44">
        <v>4.0000000000000003E-5</v>
      </c>
      <c r="BV49" s="44">
        <v>6.0000000000000002E-5</v>
      </c>
      <c r="BW49" s="44">
        <v>2.0000000000000002E-5</v>
      </c>
      <c r="BX49" s="44">
        <v>2.0000000000000002E-5</v>
      </c>
      <c r="BY49" s="44">
        <v>0</v>
      </c>
      <c r="BZ49" s="44">
        <v>0</v>
      </c>
      <c r="CA49" s="44">
        <v>0</v>
      </c>
      <c r="CB49" s="44">
        <v>0</v>
      </c>
      <c r="CC49" s="44">
        <v>0</v>
      </c>
      <c r="CD49" s="44">
        <v>0</v>
      </c>
      <c r="CE49" s="44">
        <v>0</v>
      </c>
      <c r="CF49" s="44">
        <v>0</v>
      </c>
    </row>
    <row r="50" spans="1:84" ht="15" customHeight="1" x14ac:dyDescent="0.3">
      <c r="A50" s="10" t="s">
        <v>198</v>
      </c>
      <c r="B50" s="44">
        <v>0</v>
      </c>
      <c r="C50" s="44">
        <v>0</v>
      </c>
      <c r="D50" s="44">
        <v>0</v>
      </c>
      <c r="E50" s="44">
        <v>1.0000000000000001E-5</v>
      </c>
      <c r="F50" s="44">
        <v>2.0000000000000002E-5</v>
      </c>
      <c r="G50" s="44">
        <v>6.9999999999999994E-5</v>
      </c>
      <c r="H50" s="44">
        <v>1.1E-4</v>
      </c>
      <c r="I50" s="44">
        <v>2.7E-4</v>
      </c>
      <c r="J50" s="44">
        <v>3.2000000000000003E-4</v>
      </c>
      <c r="K50" s="44">
        <v>6.0999999999999997E-4</v>
      </c>
      <c r="L50" s="44">
        <v>1.23E-3</v>
      </c>
      <c r="M50" s="44">
        <v>1.91E-3</v>
      </c>
      <c r="N50" s="44">
        <v>2.66E-3</v>
      </c>
      <c r="O50" s="44">
        <v>4.2199999999999998E-3</v>
      </c>
      <c r="P50" s="44">
        <v>5.4000000000000003E-3</v>
      </c>
      <c r="Q50" s="44">
        <v>7.6899999999999998E-3</v>
      </c>
      <c r="R50" s="44">
        <v>9.5999999999999992E-3</v>
      </c>
      <c r="S50" s="44">
        <v>1.15E-2</v>
      </c>
      <c r="T50" s="44">
        <v>1.464E-2</v>
      </c>
      <c r="U50" s="44">
        <v>1.883E-2</v>
      </c>
      <c r="V50" s="44">
        <v>2.2249999999999999E-2</v>
      </c>
      <c r="W50" s="44">
        <v>2.4639999999999999E-2</v>
      </c>
      <c r="X50" s="44">
        <v>2.809E-2</v>
      </c>
      <c r="Y50" s="44">
        <v>3.0179999999999998E-2</v>
      </c>
      <c r="Z50" s="44">
        <v>3.5830000000000001E-2</v>
      </c>
      <c r="AA50" s="44">
        <v>3.73E-2</v>
      </c>
      <c r="AB50" s="44">
        <v>4.0099999999999997E-2</v>
      </c>
      <c r="AC50" s="44">
        <v>4.2680000000000003E-2</v>
      </c>
      <c r="AD50" s="44">
        <v>4.3819999999999998E-2</v>
      </c>
      <c r="AE50" s="44">
        <v>4.5749999999999999E-2</v>
      </c>
      <c r="AF50" s="44">
        <v>4.6960000000000002E-2</v>
      </c>
      <c r="AG50" s="44">
        <v>4.4699999999999997E-2</v>
      </c>
      <c r="AH50" s="44">
        <v>4.3740000000000001E-2</v>
      </c>
      <c r="AI50" s="44">
        <v>4.4359999999999997E-2</v>
      </c>
      <c r="AJ50" s="44">
        <v>4.1619999999999997E-2</v>
      </c>
      <c r="AK50" s="44">
        <v>4.0050000000000002E-2</v>
      </c>
      <c r="AL50" s="44">
        <v>3.7879999999999997E-2</v>
      </c>
      <c r="AM50" s="44">
        <v>3.6639999999999999E-2</v>
      </c>
      <c r="AN50" s="44">
        <v>3.2160000000000001E-2</v>
      </c>
      <c r="AO50" s="44">
        <v>2.9479999999999999E-2</v>
      </c>
      <c r="AP50" s="44">
        <v>2.7359999999999999E-2</v>
      </c>
      <c r="AQ50" s="44">
        <v>2.3800000000000002E-2</v>
      </c>
      <c r="AR50" s="44">
        <v>2.085E-2</v>
      </c>
      <c r="AS50" s="44">
        <v>1.78E-2</v>
      </c>
      <c r="AT50" s="44">
        <v>1.558E-2</v>
      </c>
      <c r="AU50" s="44">
        <v>1.3220000000000001E-2</v>
      </c>
      <c r="AV50" s="44">
        <v>1.123E-2</v>
      </c>
      <c r="AW50" s="44">
        <v>9.8300000000000002E-3</v>
      </c>
      <c r="AX50" s="44">
        <v>7.4200000000000004E-3</v>
      </c>
      <c r="AY50" s="44">
        <v>6.1000000000000004E-3</v>
      </c>
      <c r="AZ50" s="44">
        <v>4.8799999999999998E-3</v>
      </c>
      <c r="BA50" s="44">
        <v>3.3400000000000001E-3</v>
      </c>
      <c r="BB50" s="44">
        <v>3.0300000000000001E-3</v>
      </c>
      <c r="BC50" s="44">
        <v>2.32E-3</v>
      </c>
      <c r="BD50" s="44">
        <v>1.64E-3</v>
      </c>
      <c r="BE50" s="44">
        <v>1.25E-3</v>
      </c>
      <c r="BF50" s="44">
        <v>9.2000000000000003E-4</v>
      </c>
      <c r="BG50" s="44">
        <v>5.9000000000000003E-4</v>
      </c>
      <c r="BH50" s="44">
        <v>5.8E-4</v>
      </c>
      <c r="BI50" s="44">
        <v>2.9999999999999997E-4</v>
      </c>
      <c r="BJ50" s="44">
        <v>2.2000000000000001E-4</v>
      </c>
      <c r="BK50" s="44">
        <v>1.7000000000000001E-4</v>
      </c>
      <c r="BL50" s="44">
        <v>8.0000000000000007E-5</v>
      </c>
      <c r="BM50" s="44">
        <v>6.0000000000000002E-5</v>
      </c>
      <c r="BN50" s="44">
        <v>3.0000000000000001E-5</v>
      </c>
      <c r="BO50" s="44">
        <v>1.0000000000000001E-5</v>
      </c>
      <c r="BP50" s="44">
        <v>2.0000000000000002E-5</v>
      </c>
      <c r="BQ50" s="44">
        <v>4.0000000000000003E-5</v>
      </c>
      <c r="BR50" s="44">
        <v>0</v>
      </c>
      <c r="BS50" s="44">
        <v>0</v>
      </c>
      <c r="BT50" s="44">
        <v>1.0000000000000001E-5</v>
      </c>
      <c r="BU50" s="44">
        <v>0</v>
      </c>
      <c r="BV50" s="44">
        <v>0</v>
      </c>
      <c r="BW50" s="44">
        <v>0</v>
      </c>
      <c r="BX50" s="44">
        <v>0</v>
      </c>
      <c r="BY50" s="44">
        <v>0</v>
      </c>
      <c r="BZ50" s="44">
        <v>0</v>
      </c>
      <c r="CA50" s="44">
        <v>0</v>
      </c>
      <c r="CB50" s="44">
        <v>0</v>
      </c>
      <c r="CC50" s="44">
        <v>0</v>
      </c>
      <c r="CD50" s="44">
        <v>0</v>
      </c>
      <c r="CE50" s="44">
        <v>0</v>
      </c>
      <c r="CF50" s="44">
        <v>0</v>
      </c>
    </row>
    <row r="51" spans="1:84" ht="15" customHeight="1" x14ac:dyDescent="0.3">
      <c r="A51" s="10" t="s">
        <v>199</v>
      </c>
      <c r="B51" s="44">
        <v>0</v>
      </c>
      <c r="C51" s="44">
        <v>0</v>
      </c>
      <c r="D51" s="44">
        <v>0</v>
      </c>
      <c r="E51" s="44">
        <v>0</v>
      </c>
      <c r="F51" s="44">
        <v>0</v>
      </c>
      <c r="G51" s="44">
        <v>0</v>
      </c>
      <c r="H51" s="44">
        <v>0</v>
      </c>
      <c r="I51" s="44">
        <v>0</v>
      </c>
      <c r="J51" s="44">
        <v>0</v>
      </c>
      <c r="K51" s="44">
        <v>0</v>
      </c>
      <c r="L51" s="44">
        <v>0</v>
      </c>
      <c r="M51" s="44">
        <v>0</v>
      </c>
      <c r="N51" s="44">
        <v>0</v>
      </c>
      <c r="O51" s="44">
        <v>0</v>
      </c>
      <c r="P51" s="44">
        <v>1.0000000000000001E-5</v>
      </c>
      <c r="Q51" s="44">
        <v>1.0000000000000001E-5</v>
      </c>
      <c r="R51" s="44">
        <v>5.0000000000000002E-5</v>
      </c>
      <c r="S51" s="44">
        <v>3.0000000000000001E-5</v>
      </c>
      <c r="T51" s="44">
        <v>6.0000000000000002E-5</v>
      </c>
      <c r="U51" s="44">
        <v>6.9999999999999994E-5</v>
      </c>
      <c r="V51" s="44">
        <v>1.4999999999999999E-4</v>
      </c>
      <c r="W51" s="44">
        <v>2.3000000000000001E-4</v>
      </c>
      <c r="X51" s="44">
        <v>3.1E-4</v>
      </c>
      <c r="Y51" s="44">
        <v>4.8999999999999998E-4</v>
      </c>
      <c r="Z51" s="44">
        <v>5.4000000000000001E-4</v>
      </c>
      <c r="AA51" s="44">
        <v>8.7000000000000001E-4</v>
      </c>
      <c r="AB51" s="44">
        <v>9.7000000000000005E-4</v>
      </c>
      <c r="AC51" s="44">
        <v>1.6000000000000001E-3</v>
      </c>
      <c r="AD51" s="44">
        <v>1.7700000000000001E-3</v>
      </c>
      <c r="AE51" s="44">
        <v>2.5000000000000001E-3</v>
      </c>
      <c r="AF51" s="44">
        <v>3.14E-3</v>
      </c>
      <c r="AG51" s="44">
        <v>3.5400000000000002E-3</v>
      </c>
      <c r="AH51" s="44">
        <v>5.0200000000000002E-3</v>
      </c>
      <c r="AI51" s="44">
        <v>6.2599999999999999E-3</v>
      </c>
      <c r="AJ51" s="44">
        <v>7.3899999999999999E-3</v>
      </c>
      <c r="AK51" s="44">
        <v>9.2800000000000001E-3</v>
      </c>
      <c r="AL51" s="44">
        <v>1.056E-2</v>
      </c>
      <c r="AM51" s="44">
        <v>1.362E-2</v>
      </c>
      <c r="AN51" s="44">
        <v>1.4460000000000001E-2</v>
      </c>
      <c r="AO51" s="44">
        <v>1.6660000000000001E-2</v>
      </c>
      <c r="AP51" s="44">
        <v>1.976E-2</v>
      </c>
      <c r="AQ51" s="44">
        <v>2.2249999999999999E-2</v>
      </c>
      <c r="AR51" s="44">
        <v>2.4340000000000001E-2</v>
      </c>
      <c r="AS51" s="44">
        <v>2.7019999999999999E-2</v>
      </c>
      <c r="AT51" s="44">
        <v>3.1099999999999999E-2</v>
      </c>
      <c r="AU51" s="44">
        <v>3.3270000000000001E-2</v>
      </c>
      <c r="AV51" s="44">
        <v>3.5200000000000002E-2</v>
      </c>
      <c r="AW51" s="44">
        <v>3.7339999999999998E-2</v>
      </c>
      <c r="AX51" s="44">
        <v>4.07E-2</v>
      </c>
      <c r="AY51" s="44">
        <v>4.2079999999999999E-2</v>
      </c>
      <c r="AZ51" s="44">
        <v>4.2729999999999997E-2</v>
      </c>
      <c r="BA51" s="44">
        <v>4.4810000000000003E-2</v>
      </c>
      <c r="BB51" s="44">
        <v>4.5089999999999998E-2</v>
      </c>
      <c r="BC51" s="44">
        <v>4.444E-2</v>
      </c>
      <c r="BD51" s="44">
        <v>4.5600000000000002E-2</v>
      </c>
      <c r="BE51" s="44">
        <v>4.0820000000000002E-2</v>
      </c>
      <c r="BF51" s="44">
        <v>4.1880000000000001E-2</v>
      </c>
      <c r="BG51" s="44">
        <v>3.8769999999999999E-2</v>
      </c>
      <c r="BH51" s="44">
        <v>3.56E-2</v>
      </c>
      <c r="BI51" s="44">
        <v>3.2960000000000003E-2</v>
      </c>
      <c r="BJ51" s="44">
        <v>2.9579999999999999E-2</v>
      </c>
      <c r="BK51" s="44">
        <v>2.7150000000000001E-2</v>
      </c>
      <c r="BL51" s="44">
        <v>2.324E-2</v>
      </c>
      <c r="BM51" s="44">
        <v>2.0310000000000002E-2</v>
      </c>
      <c r="BN51" s="44">
        <v>1.7139999999999999E-2</v>
      </c>
      <c r="BO51" s="44">
        <v>1.4109999999999999E-2</v>
      </c>
      <c r="BP51" s="44">
        <v>1.149E-2</v>
      </c>
      <c r="BQ51" s="44">
        <v>9.0600000000000003E-3</v>
      </c>
      <c r="BR51" s="44">
        <v>7.1900000000000002E-3</v>
      </c>
      <c r="BS51" s="44">
        <v>5.28E-3</v>
      </c>
      <c r="BT51" s="44">
        <v>3.8400000000000001E-3</v>
      </c>
      <c r="BU51" s="44">
        <v>2.3E-3</v>
      </c>
      <c r="BV51" s="44">
        <v>1.4599999999999999E-3</v>
      </c>
      <c r="BW51" s="44">
        <v>1.17E-3</v>
      </c>
      <c r="BX51" s="44">
        <v>5.8E-4</v>
      </c>
      <c r="BY51" s="44">
        <v>3.2000000000000003E-4</v>
      </c>
      <c r="BZ51" s="44">
        <v>1.7000000000000001E-4</v>
      </c>
      <c r="CA51" s="44">
        <v>1.6000000000000001E-4</v>
      </c>
      <c r="CB51" s="44">
        <v>1E-4</v>
      </c>
      <c r="CC51" s="44">
        <v>0</v>
      </c>
      <c r="CD51" s="44">
        <v>0</v>
      </c>
      <c r="CE51" s="44">
        <v>0</v>
      </c>
      <c r="CF51" s="44">
        <v>0</v>
      </c>
    </row>
    <row r="52" spans="1:84" ht="15" customHeight="1" x14ac:dyDescent="0.3">
      <c r="A52" s="10" t="s">
        <v>200</v>
      </c>
      <c r="B52" s="44">
        <v>0</v>
      </c>
      <c r="C52" s="44">
        <v>0</v>
      </c>
      <c r="D52" s="44">
        <v>0</v>
      </c>
      <c r="E52" s="44">
        <v>0</v>
      </c>
      <c r="F52" s="44">
        <v>0</v>
      </c>
      <c r="G52" s="44">
        <v>2.0000000000000002E-5</v>
      </c>
      <c r="H52" s="44">
        <v>2.0000000000000002E-5</v>
      </c>
      <c r="I52" s="44">
        <v>2.0000000000000002E-5</v>
      </c>
      <c r="J52" s="44">
        <v>2.0000000000000002E-5</v>
      </c>
      <c r="K52" s="44">
        <v>6.9999999999999994E-5</v>
      </c>
      <c r="L52" s="44">
        <v>1.9000000000000001E-4</v>
      </c>
      <c r="M52" s="44">
        <v>2.5000000000000001E-4</v>
      </c>
      <c r="N52" s="44">
        <v>2.9E-4</v>
      </c>
      <c r="O52" s="44">
        <v>7.2000000000000005E-4</v>
      </c>
      <c r="P52" s="44">
        <v>8.5999999999999998E-4</v>
      </c>
      <c r="Q52" s="44">
        <v>1.41E-3</v>
      </c>
      <c r="R52" s="44">
        <v>1.89E-3</v>
      </c>
      <c r="S52" s="44">
        <v>3.0200000000000001E-3</v>
      </c>
      <c r="T52" s="44">
        <v>3.8800000000000002E-3</v>
      </c>
      <c r="U52" s="44">
        <v>4.62E-3</v>
      </c>
      <c r="V52" s="44">
        <v>6.4900000000000001E-3</v>
      </c>
      <c r="W52" s="44">
        <v>8.2000000000000007E-3</v>
      </c>
      <c r="X52" s="44">
        <v>9.6500000000000006E-3</v>
      </c>
      <c r="Y52" s="44">
        <v>1.2019999999999999E-2</v>
      </c>
      <c r="Z52" s="44">
        <v>1.4149999999999999E-2</v>
      </c>
      <c r="AA52" s="44">
        <v>1.7649999999999999E-2</v>
      </c>
      <c r="AB52" s="44">
        <v>2.017E-2</v>
      </c>
      <c r="AC52" s="44">
        <v>2.2620000000000001E-2</v>
      </c>
      <c r="AD52" s="44">
        <v>2.6110000000000001E-2</v>
      </c>
      <c r="AE52" s="44">
        <v>2.8910000000000002E-2</v>
      </c>
      <c r="AF52" s="44">
        <v>3.0720000000000001E-2</v>
      </c>
      <c r="AG52" s="44">
        <v>3.4500000000000003E-2</v>
      </c>
      <c r="AH52" s="44">
        <v>3.7420000000000002E-2</v>
      </c>
      <c r="AI52" s="44">
        <v>4.0039999999999999E-2</v>
      </c>
      <c r="AJ52" s="44">
        <v>3.9359999999999999E-2</v>
      </c>
      <c r="AK52" s="44">
        <v>4.1689999999999998E-2</v>
      </c>
      <c r="AL52" s="44">
        <v>4.2950000000000002E-2</v>
      </c>
      <c r="AM52" s="44">
        <v>4.4699999999999997E-2</v>
      </c>
      <c r="AN52" s="44">
        <v>4.403E-2</v>
      </c>
      <c r="AO52" s="44">
        <v>4.249E-2</v>
      </c>
      <c r="AP52" s="44">
        <v>4.1910000000000003E-2</v>
      </c>
      <c r="AQ52" s="44">
        <v>4.1450000000000001E-2</v>
      </c>
      <c r="AR52" s="44">
        <v>3.8859999999999999E-2</v>
      </c>
      <c r="AS52" s="44">
        <v>3.5990000000000001E-2</v>
      </c>
      <c r="AT52" s="44">
        <v>3.4599999999999999E-2</v>
      </c>
      <c r="AU52" s="44">
        <v>3.1530000000000002E-2</v>
      </c>
      <c r="AV52" s="44">
        <v>2.929E-2</v>
      </c>
      <c r="AW52" s="44">
        <v>2.5489999999999999E-2</v>
      </c>
      <c r="AX52" s="44">
        <v>2.3099999999999999E-2</v>
      </c>
      <c r="AY52" s="44">
        <v>2.1100000000000001E-2</v>
      </c>
      <c r="AZ52" s="44">
        <v>1.736E-2</v>
      </c>
      <c r="BA52" s="44">
        <v>1.5469999999999999E-2</v>
      </c>
      <c r="BB52" s="44">
        <v>1.291E-2</v>
      </c>
      <c r="BC52" s="44">
        <v>1.061E-2</v>
      </c>
      <c r="BD52" s="44">
        <v>8.7600000000000004E-3</v>
      </c>
      <c r="BE52" s="44">
        <v>7.3099999999999997E-3</v>
      </c>
      <c r="BF52" s="44">
        <v>5.5700000000000003E-3</v>
      </c>
      <c r="BG52" s="44">
        <v>4.3099999999999996E-3</v>
      </c>
      <c r="BH52" s="44">
        <v>3.8800000000000002E-3</v>
      </c>
      <c r="BI52" s="44">
        <v>2.8900000000000002E-3</v>
      </c>
      <c r="BJ52" s="44">
        <v>1.9599999999999999E-3</v>
      </c>
      <c r="BK52" s="44">
        <v>1.33E-3</v>
      </c>
      <c r="BL52" s="44">
        <v>1.09E-3</v>
      </c>
      <c r="BM52" s="44">
        <v>6.0999999999999997E-4</v>
      </c>
      <c r="BN52" s="44">
        <v>4.6999999999999999E-4</v>
      </c>
      <c r="BO52" s="44">
        <v>3.5E-4</v>
      </c>
      <c r="BP52" s="44">
        <v>2.5999999999999998E-4</v>
      </c>
      <c r="BQ52" s="44">
        <v>1.8000000000000001E-4</v>
      </c>
      <c r="BR52" s="44">
        <v>1.2E-4</v>
      </c>
      <c r="BS52" s="44">
        <v>6.0000000000000002E-5</v>
      </c>
      <c r="BT52" s="44">
        <v>0</v>
      </c>
      <c r="BU52" s="44">
        <v>1.0000000000000001E-5</v>
      </c>
      <c r="BV52" s="44">
        <v>0</v>
      </c>
      <c r="BW52" s="44">
        <v>2.0000000000000002E-5</v>
      </c>
      <c r="BX52" s="44">
        <v>0</v>
      </c>
      <c r="BY52" s="44">
        <v>0</v>
      </c>
      <c r="BZ52" s="44">
        <v>0</v>
      </c>
      <c r="CA52" s="44">
        <v>0</v>
      </c>
      <c r="CB52" s="44">
        <v>0</v>
      </c>
      <c r="CC52" s="44">
        <v>0</v>
      </c>
      <c r="CD52" s="44">
        <v>0</v>
      </c>
      <c r="CE52" s="44">
        <v>0</v>
      </c>
      <c r="CF52" s="44">
        <v>0</v>
      </c>
    </row>
    <row r="53" spans="1:84" ht="15" customHeight="1" x14ac:dyDescent="0.3">
      <c r="A53" s="10" t="s">
        <v>201</v>
      </c>
      <c r="B53" s="44">
        <v>0</v>
      </c>
      <c r="C53" s="44">
        <v>0</v>
      </c>
      <c r="D53" s="44">
        <v>1.0000000000000001E-5</v>
      </c>
      <c r="E53" s="44">
        <v>2.0000000000000002E-5</v>
      </c>
      <c r="F53" s="44">
        <v>2.0000000000000002E-5</v>
      </c>
      <c r="G53" s="44">
        <v>3.0000000000000001E-5</v>
      </c>
      <c r="H53" s="44">
        <v>1E-4</v>
      </c>
      <c r="I53" s="44">
        <v>1.6000000000000001E-4</v>
      </c>
      <c r="J53" s="44">
        <v>3.2000000000000003E-4</v>
      </c>
      <c r="K53" s="44">
        <v>4.8000000000000001E-4</v>
      </c>
      <c r="L53" s="44">
        <v>1.0200000000000001E-3</v>
      </c>
      <c r="M53" s="44">
        <v>1.4499999999999999E-3</v>
      </c>
      <c r="N53" s="44">
        <v>2.1900000000000001E-3</v>
      </c>
      <c r="O53" s="44">
        <v>3.3500000000000001E-3</v>
      </c>
      <c r="P53" s="44">
        <v>4.28E-3</v>
      </c>
      <c r="Q53" s="44">
        <v>5.8599999999999998E-3</v>
      </c>
      <c r="R53" s="44">
        <v>8.9200000000000008E-3</v>
      </c>
      <c r="S53" s="44">
        <v>1.044E-2</v>
      </c>
      <c r="T53" s="44">
        <v>1.2449999999999999E-2</v>
      </c>
      <c r="U53" s="44">
        <v>1.5810000000000001E-2</v>
      </c>
      <c r="V53" s="44">
        <v>1.9019999999999999E-2</v>
      </c>
      <c r="W53" s="44">
        <v>2.1760000000000002E-2</v>
      </c>
      <c r="X53" s="44">
        <v>2.4979999999999999E-2</v>
      </c>
      <c r="Y53" s="44">
        <v>2.7369999999999998E-2</v>
      </c>
      <c r="Z53" s="44">
        <v>3.2570000000000002E-2</v>
      </c>
      <c r="AA53" s="44">
        <v>3.4439999999999998E-2</v>
      </c>
      <c r="AB53" s="44">
        <v>3.7949999999999998E-2</v>
      </c>
      <c r="AC53" s="44">
        <v>3.9980000000000002E-2</v>
      </c>
      <c r="AD53" s="44">
        <v>4.2380000000000001E-2</v>
      </c>
      <c r="AE53" s="44">
        <v>4.3880000000000002E-2</v>
      </c>
      <c r="AF53" s="44">
        <v>4.58E-2</v>
      </c>
      <c r="AG53" s="44">
        <v>4.5319999999999999E-2</v>
      </c>
      <c r="AH53" s="44">
        <v>4.5940000000000002E-2</v>
      </c>
      <c r="AI53" s="44">
        <v>4.5469999999999997E-2</v>
      </c>
      <c r="AJ53" s="44">
        <v>4.1829999999999999E-2</v>
      </c>
      <c r="AK53" s="44">
        <v>4.2299999999999997E-2</v>
      </c>
      <c r="AL53" s="44">
        <v>4.0039999999999999E-2</v>
      </c>
      <c r="AM53" s="44">
        <v>3.7699999999999997E-2</v>
      </c>
      <c r="AN53" s="44">
        <v>3.474E-2</v>
      </c>
      <c r="AO53" s="44">
        <v>3.2370000000000003E-2</v>
      </c>
      <c r="AP53" s="44">
        <v>2.879E-2</v>
      </c>
      <c r="AQ53" s="44">
        <v>2.5940000000000001E-2</v>
      </c>
      <c r="AR53" s="44">
        <v>2.2700000000000001E-2</v>
      </c>
      <c r="AS53" s="44">
        <v>2.0910000000000002E-2</v>
      </c>
      <c r="AT53" s="44">
        <v>1.8360000000000001E-2</v>
      </c>
      <c r="AU53" s="44">
        <v>1.502E-2</v>
      </c>
      <c r="AV53" s="44">
        <v>1.2970000000000001E-2</v>
      </c>
      <c r="AW53" s="44">
        <v>1.098E-2</v>
      </c>
      <c r="AX53" s="44">
        <v>8.8500000000000002E-3</v>
      </c>
      <c r="AY53" s="44">
        <v>7.4599999999999996E-3</v>
      </c>
      <c r="AZ53" s="44">
        <v>6.1900000000000002E-3</v>
      </c>
      <c r="BA53" s="44">
        <v>4.8500000000000001E-3</v>
      </c>
      <c r="BB53" s="44">
        <v>3.5599999999999998E-3</v>
      </c>
      <c r="BC53" s="44">
        <v>2.8E-3</v>
      </c>
      <c r="BD53" s="44">
        <v>2.14E-3</v>
      </c>
      <c r="BE53" s="44">
        <v>1.5299999999999999E-3</v>
      </c>
      <c r="BF53" s="44">
        <v>1.16E-3</v>
      </c>
      <c r="BG53" s="44">
        <v>9.5E-4</v>
      </c>
      <c r="BH53" s="44">
        <v>6.2E-4</v>
      </c>
      <c r="BI53" s="44">
        <v>4.0000000000000002E-4</v>
      </c>
      <c r="BJ53" s="44">
        <v>3.2000000000000003E-4</v>
      </c>
      <c r="BK53" s="44">
        <v>3.1E-4</v>
      </c>
      <c r="BL53" s="44">
        <v>1.8000000000000001E-4</v>
      </c>
      <c r="BM53" s="44">
        <v>9.0000000000000006E-5</v>
      </c>
      <c r="BN53" s="44">
        <v>6.9999999999999994E-5</v>
      </c>
      <c r="BO53" s="44">
        <v>4.0000000000000003E-5</v>
      </c>
      <c r="BP53" s="44">
        <v>2.0000000000000002E-5</v>
      </c>
      <c r="BQ53" s="44">
        <v>3.0000000000000001E-5</v>
      </c>
      <c r="BR53" s="44">
        <v>1.0000000000000001E-5</v>
      </c>
      <c r="BS53" s="44">
        <v>0</v>
      </c>
      <c r="BT53" s="44">
        <v>0</v>
      </c>
      <c r="BU53" s="44">
        <v>0</v>
      </c>
      <c r="BV53" s="44">
        <v>0</v>
      </c>
      <c r="BW53" s="44">
        <v>0</v>
      </c>
      <c r="BX53" s="44">
        <v>0</v>
      </c>
      <c r="BY53" s="44">
        <v>0</v>
      </c>
      <c r="BZ53" s="44">
        <v>0</v>
      </c>
      <c r="CA53" s="44">
        <v>0</v>
      </c>
      <c r="CB53" s="44">
        <v>0</v>
      </c>
      <c r="CC53" s="44">
        <v>0</v>
      </c>
      <c r="CD53" s="44">
        <v>0</v>
      </c>
      <c r="CE53" s="44">
        <v>0</v>
      </c>
      <c r="CF53" s="44">
        <v>0</v>
      </c>
    </row>
    <row r="54" spans="1:84" ht="15" customHeight="1" x14ac:dyDescent="0.3">
      <c r="A54" s="10" t="s">
        <v>202</v>
      </c>
      <c r="B54" s="44">
        <v>0</v>
      </c>
      <c r="C54" s="44">
        <v>0</v>
      </c>
      <c r="D54" s="44">
        <v>0</v>
      </c>
      <c r="E54" s="44">
        <v>0</v>
      </c>
      <c r="F54" s="44">
        <v>0</v>
      </c>
      <c r="G54" s="44">
        <v>0</v>
      </c>
      <c r="H54" s="44">
        <v>0</v>
      </c>
      <c r="I54" s="44">
        <v>0</v>
      </c>
      <c r="J54" s="44">
        <v>0</v>
      </c>
      <c r="K54" s="44">
        <v>0</v>
      </c>
      <c r="L54" s="44">
        <v>0</v>
      </c>
      <c r="M54" s="44">
        <v>0</v>
      </c>
      <c r="N54" s="44">
        <v>1.0000000000000001E-5</v>
      </c>
      <c r="O54" s="44">
        <v>1.0000000000000001E-5</v>
      </c>
      <c r="P54" s="44">
        <v>5.0000000000000002E-5</v>
      </c>
      <c r="Q54" s="44">
        <v>1.3999999999999999E-4</v>
      </c>
      <c r="R54" s="44">
        <v>1.2999999999999999E-4</v>
      </c>
      <c r="S54" s="44">
        <v>2.7999999999999998E-4</v>
      </c>
      <c r="T54" s="44">
        <v>2.9999999999999997E-4</v>
      </c>
      <c r="U54" s="44">
        <v>4.6999999999999999E-4</v>
      </c>
      <c r="V54" s="44">
        <v>6.8999999999999997E-4</v>
      </c>
      <c r="W54" s="44">
        <v>1.06E-3</v>
      </c>
      <c r="X54" s="44">
        <v>1.2700000000000001E-3</v>
      </c>
      <c r="Y54" s="44">
        <v>1.6999999999999999E-3</v>
      </c>
      <c r="Z54" s="44">
        <v>2.0100000000000001E-3</v>
      </c>
      <c r="AA54" s="44">
        <v>2.97E-3</v>
      </c>
      <c r="AB54" s="44">
        <v>3.7599999999999999E-3</v>
      </c>
      <c r="AC54" s="44">
        <v>4.5599999999999998E-3</v>
      </c>
      <c r="AD54" s="44">
        <v>6.0499999999999998E-3</v>
      </c>
      <c r="AE54" s="44">
        <v>7.4200000000000004E-3</v>
      </c>
      <c r="AF54" s="44">
        <v>8.5199999999999998E-3</v>
      </c>
      <c r="AG54" s="44">
        <v>1.052E-2</v>
      </c>
      <c r="AH54" s="44">
        <v>1.255E-2</v>
      </c>
      <c r="AI54" s="44">
        <v>1.406E-2</v>
      </c>
      <c r="AJ54" s="44">
        <v>1.6930000000000001E-2</v>
      </c>
      <c r="AK54" s="44">
        <v>1.9460000000000002E-2</v>
      </c>
      <c r="AL54" s="44">
        <v>2.1340000000000001E-2</v>
      </c>
      <c r="AM54" s="44">
        <v>2.4330000000000001E-2</v>
      </c>
      <c r="AN54" s="44">
        <v>2.7459999999999998E-2</v>
      </c>
      <c r="AO54" s="44">
        <v>2.9780000000000001E-2</v>
      </c>
      <c r="AP54" s="44">
        <v>3.236E-2</v>
      </c>
      <c r="AQ54" s="44">
        <v>3.56E-2</v>
      </c>
      <c r="AR54" s="44">
        <v>3.6080000000000001E-2</v>
      </c>
      <c r="AS54" s="44">
        <v>3.7479999999999999E-2</v>
      </c>
      <c r="AT54" s="44">
        <v>3.993E-2</v>
      </c>
      <c r="AU54" s="44">
        <v>4.1059999999999999E-2</v>
      </c>
      <c r="AV54" s="44">
        <v>4.2889999999999998E-2</v>
      </c>
      <c r="AW54" s="44">
        <v>4.3490000000000001E-2</v>
      </c>
      <c r="AX54" s="44">
        <v>4.3200000000000002E-2</v>
      </c>
      <c r="AY54" s="44">
        <v>4.2549999999999998E-2</v>
      </c>
      <c r="AZ54" s="44">
        <v>4.2160000000000003E-2</v>
      </c>
      <c r="BA54" s="44">
        <v>3.9989999999999998E-2</v>
      </c>
      <c r="BB54" s="44">
        <v>3.7150000000000002E-2</v>
      </c>
      <c r="BC54" s="44">
        <v>3.6020000000000003E-2</v>
      </c>
      <c r="BD54" s="44">
        <v>3.3239999999999999E-2</v>
      </c>
      <c r="BE54" s="44">
        <v>3.0849999999999999E-2</v>
      </c>
      <c r="BF54" s="44">
        <v>2.794E-2</v>
      </c>
      <c r="BG54" s="44">
        <v>2.5350000000000001E-2</v>
      </c>
      <c r="BH54" s="44">
        <v>2.1319999999999999E-2</v>
      </c>
      <c r="BI54" s="44">
        <v>1.8800000000000001E-2</v>
      </c>
      <c r="BJ54" s="44">
        <v>1.5610000000000001E-2</v>
      </c>
      <c r="BK54" s="44">
        <v>1.3610000000000001E-2</v>
      </c>
      <c r="BL54" s="44">
        <v>1.1259999999999999E-2</v>
      </c>
      <c r="BM54" s="44">
        <v>9.0399999999999994E-3</v>
      </c>
      <c r="BN54" s="44">
        <v>7.0499999999999998E-3</v>
      </c>
      <c r="BO54" s="44">
        <v>5.0299999999999997E-3</v>
      </c>
      <c r="BP54" s="44">
        <v>4.1999999999999997E-3</v>
      </c>
      <c r="BQ54" s="44">
        <v>2.9399999999999999E-3</v>
      </c>
      <c r="BR54" s="44">
        <v>2.0300000000000001E-3</v>
      </c>
      <c r="BS54" s="44">
        <v>1.49E-3</v>
      </c>
      <c r="BT54" s="44">
        <v>9.5E-4</v>
      </c>
      <c r="BU54" s="44">
        <v>5.9000000000000003E-4</v>
      </c>
      <c r="BV54" s="44">
        <v>4.2000000000000002E-4</v>
      </c>
      <c r="BW54" s="44">
        <v>2.5000000000000001E-4</v>
      </c>
      <c r="BX54" s="44">
        <v>1.6000000000000001E-4</v>
      </c>
      <c r="BY54" s="44">
        <v>6.9999999999999994E-5</v>
      </c>
      <c r="BZ54" s="44">
        <v>1.0000000000000001E-5</v>
      </c>
      <c r="CA54" s="44">
        <v>0</v>
      </c>
      <c r="CB54" s="44">
        <v>0</v>
      </c>
      <c r="CC54" s="44">
        <v>0</v>
      </c>
      <c r="CD54" s="44">
        <v>0</v>
      </c>
      <c r="CE54" s="44">
        <v>0</v>
      </c>
      <c r="CF54" s="44">
        <v>0</v>
      </c>
    </row>
    <row r="55" spans="1:84" ht="15" customHeight="1" x14ac:dyDescent="0.3">
      <c r="A55" s="10" t="s">
        <v>203</v>
      </c>
      <c r="B55" s="44">
        <v>0</v>
      </c>
      <c r="C55" s="44">
        <v>0</v>
      </c>
      <c r="D55" s="44">
        <v>0</v>
      </c>
      <c r="E55" s="44">
        <v>0</v>
      </c>
      <c r="F55" s="44">
        <v>1.0000000000000001E-5</v>
      </c>
      <c r="G55" s="44">
        <v>1.0000000000000001E-5</v>
      </c>
      <c r="H55" s="44">
        <v>5.0000000000000002E-5</v>
      </c>
      <c r="I55" s="44">
        <v>1E-4</v>
      </c>
      <c r="J55" s="44">
        <v>2.7E-4</v>
      </c>
      <c r="K55" s="44">
        <v>4.8000000000000001E-4</v>
      </c>
      <c r="L55" s="44">
        <v>5.1999999999999995E-4</v>
      </c>
      <c r="M55" s="44">
        <v>5.6999999999999998E-4</v>
      </c>
      <c r="N55" s="44">
        <v>1.1999999999999999E-3</v>
      </c>
      <c r="O55" s="44">
        <v>1.7899999999999999E-3</v>
      </c>
      <c r="P55" s="44">
        <v>2.6199999999999999E-3</v>
      </c>
      <c r="Q55" s="44">
        <v>3.9899999999999996E-3</v>
      </c>
      <c r="R55" s="44">
        <v>4.7699999999999999E-3</v>
      </c>
      <c r="S55" s="44">
        <v>6.8599999999999998E-3</v>
      </c>
      <c r="T55" s="44">
        <v>8.7799999999999996E-3</v>
      </c>
      <c r="U55" s="44">
        <v>1.0999999999999999E-2</v>
      </c>
      <c r="V55" s="44">
        <v>1.3050000000000001E-2</v>
      </c>
      <c r="W55" s="44">
        <v>1.6389999999999998E-2</v>
      </c>
      <c r="X55" s="44">
        <v>1.9449999999999999E-2</v>
      </c>
      <c r="Y55" s="44">
        <v>2.2579999999999999E-2</v>
      </c>
      <c r="Z55" s="44">
        <v>2.6040000000000001E-2</v>
      </c>
      <c r="AA55" s="44">
        <v>2.8160000000000001E-2</v>
      </c>
      <c r="AB55" s="44">
        <v>3.1820000000000001E-2</v>
      </c>
      <c r="AC55" s="44">
        <v>3.4770000000000002E-2</v>
      </c>
      <c r="AD55" s="44">
        <v>3.6459999999999999E-2</v>
      </c>
      <c r="AE55" s="44">
        <v>4.0590000000000001E-2</v>
      </c>
      <c r="AF55" s="44">
        <v>4.1140000000000003E-2</v>
      </c>
      <c r="AG55" s="44">
        <v>4.3369999999999999E-2</v>
      </c>
      <c r="AH55" s="44">
        <v>4.5150000000000003E-2</v>
      </c>
      <c r="AI55" s="44">
        <v>4.4490000000000002E-2</v>
      </c>
      <c r="AJ55" s="44">
        <v>4.4580000000000002E-2</v>
      </c>
      <c r="AK55" s="44">
        <v>4.4409999999999998E-2</v>
      </c>
      <c r="AL55" s="44">
        <v>4.163E-2</v>
      </c>
      <c r="AM55" s="44">
        <v>4.0960000000000003E-2</v>
      </c>
      <c r="AN55" s="44">
        <v>3.8609999999999998E-2</v>
      </c>
      <c r="AO55" s="44">
        <v>3.7650000000000003E-2</v>
      </c>
      <c r="AP55" s="44">
        <v>3.4529999999999998E-2</v>
      </c>
      <c r="AQ55" s="44">
        <v>3.2649999999999998E-2</v>
      </c>
      <c r="AR55" s="44">
        <v>2.8809999999999999E-2</v>
      </c>
      <c r="AS55" s="44">
        <v>2.571E-2</v>
      </c>
      <c r="AT55" s="44">
        <v>2.3109999999999999E-2</v>
      </c>
      <c r="AU55" s="44">
        <v>2.1499999999999998E-2</v>
      </c>
      <c r="AV55" s="44">
        <v>1.8499999999999999E-2</v>
      </c>
      <c r="AW55" s="44">
        <v>1.566E-2</v>
      </c>
      <c r="AX55" s="44">
        <v>1.281E-2</v>
      </c>
      <c r="AY55" s="44">
        <v>1.167E-2</v>
      </c>
      <c r="AZ55" s="44">
        <v>8.4499999999999992E-3</v>
      </c>
      <c r="BA55" s="44">
        <v>7.3899999999999999E-3</v>
      </c>
      <c r="BB55" s="44">
        <v>5.5399999999999998E-3</v>
      </c>
      <c r="BC55" s="44">
        <v>5.1200000000000004E-3</v>
      </c>
      <c r="BD55" s="44">
        <v>3.8500000000000001E-3</v>
      </c>
      <c r="BE55" s="44">
        <v>2.8800000000000002E-3</v>
      </c>
      <c r="BF55" s="44">
        <v>1.9499999999999999E-3</v>
      </c>
      <c r="BG55" s="44">
        <v>1.65E-3</v>
      </c>
      <c r="BH55" s="44">
        <v>1.16E-3</v>
      </c>
      <c r="BI55" s="44">
        <v>1.09E-3</v>
      </c>
      <c r="BJ55" s="44">
        <v>6.3000000000000003E-4</v>
      </c>
      <c r="BK55" s="44">
        <v>3.3E-4</v>
      </c>
      <c r="BL55" s="44">
        <v>2.7E-4</v>
      </c>
      <c r="BM55" s="44">
        <v>1.8000000000000001E-4</v>
      </c>
      <c r="BN55" s="44">
        <v>6.9999999999999994E-5</v>
      </c>
      <c r="BO55" s="44">
        <v>1E-4</v>
      </c>
      <c r="BP55" s="44">
        <v>2.0000000000000002E-5</v>
      </c>
      <c r="BQ55" s="44">
        <v>2.0000000000000002E-5</v>
      </c>
      <c r="BR55" s="44">
        <v>2.0000000000000002E-5</v>
      </c>
      <c r="BS55" s="44">
        <v>1.0000000000000001E-5</v>
      </c>
      <c r="BT55" s="44">
        <v>0</v>
      </c>
      <c r="BU55" s="44">
        <v>0</v>
      </c>
      <c r="BV55" s="44">
        <v>0</v>
      </c>
      <c r="BW55" s="44">
        <v>0</v>
      </c>
      <c r="BX55" s="44">
        <v>0</v>
      </c>
      <c r="BY55" s="44">
        <v>0</v>
      </c>
      <c r="BZ55" s="44">
        <v>0</v>
      </c>
      <c r="CA55" s="44">
        <v>0</v>
      </c>
      <c r="CB55" s="44">
        <v>0</v>
      </c>
      <c r="CC55" s="44">
        <v>0</v>
      </c>
      <c r="CD55" s="44">
        <v>0</v>
      </c>
      <c r="CE55" s="44">
        <v>0</v>
      </c>
      <c r="CF55" s="44">
        <v>0</v>
      </c>
    </row>
    <row r="56" spans="1:84" ht="15" customHeight="1" x14ac:dyDescent="0.3">
      <c r="A56" s="10" t="s">
        <v>204</v>
      </c>
      <c r="B56" s="44">
        <v>0</v>
      </c>
      <c r="C56" s="44">
        <v>0</v>
      </c>
      <c r="D56" s="44">
        <v>0</v>
      </c>
      <c r="E56" s="44">
        <v>0</v>
      </c>
      <c r="F56" s="44">
        <v>0</v>
      </c>
      <c r="G56" s="44">
        <v>0</v>
      </c>
      <c r="H56" s="44">
        <v>0</v>
      </c>
      <c r="I56" s="44">
        <v>0</v>
      </c>
      <c r="J56" s="44">
        <v>0</v>
      </c>
      <c r="K56" s="44">
        <v>1.0000000000000001E-5</v>
      </c>
      <c r="L56" s="44">
        <v>1.0000000000000001E-5</v>
      </c>
      <c r="M56" s="44">
        <v>3.0000000000000001E-5</v>
      </c>
      <c r="N56" s="44">
        <v>2.0000000000000002E-5</v>
      </c>
      <c r="O56" s="44">
        <v>5.0000000000000002E-5</v>
      </c>
      <c r="P56" s="44">
        <v>1E-4</v>
      </c>
      <c r="Q56" s="44">
        <v>1.1E-4</v>
      </c>
      <c r="R56" s="44">
        <v>1.7000000000000001E-4</v>
      </c>
      <c r="S56" s="44">
        <v>2.2000000000000001E-4</v>
      </c>
      <c r="T56" s="44">
        <v>2.7E-4</v>
      </c>
      <c r="U56" s="44">
        <v>4.4999999999999999E-4</v>
      </c>
      <c r="V56" s="44">
        <v>8.1999999999999998E-4</v>
      </c>
      <c r="W56" s="44">
        <v>9.1E-4</v>
      </c>
      <c r="X56" s="44">
        <v>1.5200000000000001E-3</v>
      </c>
      <c r="Y56" s="44">
        <v>1.73E-3</v>
      </c>
      <c r="Z56" s="44">
        <v>2.5600000000000002E-3</v>
      </c>
      <c r="AA56" s="44">
        <v>3.2299999999999998E-3</v>
      </c>
      <c r="AB56" s="44">
        <v>3.63E-3</v>
      </c>
      <c r="AC56" s="44">
        <v>4.81E-3</v>
      </c>
      <c r="AD56" s="44">
        <v>5.7000000000000002E-3</v>
      </c>
      <c r="AE56" s="44">
        <v>6.7299999999999999E-3</v>
      </c>
      <c r="AF56" s="44">
        <v>7.8600000000000007E-3</v>
      </c>
      <c r="AG56" s="44">
        <v>9.3399999999999993E-3</v>
      </c>
      <c r="AH56" s="44">
        <v>1.1350000000000001E-2</v>
      </c>
      <c r="AI56" s="44">
        <v>1.3129999999999999E-2</v>
      </c>
      <c r="AJ56" s="44">
        <v>1.567E-2</v>
      </c>
      <c r="AK56" s="44">
        <v>1.7489999999999999E-2</v>
      </c>
      <c r="AL56" s="44">
        <v>1.9740000000000001E-2</v>
      </c>
      <c r="AM56" s="44">
        <v>2.2440000000000002E-2</v>
      </c>
      <c r="AN56" s="44">
        <v>2.5610000000000001E-2</v>
      </c>
      <c r="AO56" s="44">
        <v>2.6939999999999999E-2</v>
      </c>
      <c r="AP56" s="44">
        <v>2.9690000000000001E-2</v>
      </c>
      <c r="AQ56" s="44">
        <v>3.2140000000000002E-2</v>
      </c>
      <c r="AR56" s="44">
        <v>3.2960000000000003E-2</v>
      </c>
      <c r="AS56" s="44">
        <v>3.5999999999999997E-2</v>
      </c>
      <c r="AT56" s="44">
        <v>3.7479999999999999E-2</v>
      </c>
      <c r="AU56" s="44">
        <v>3.9960000000000002E-2</v>
      </c>
      <c r="AV56" s="44">
        <v>4.0469999999999999E-2</v>
      </c>
      <c r="AW56" s="44">
        <v>4.206E-2</v>
      </c>
      <c r="AX56" s="44">
        <v>4.197E-2</v>
      </c>
      <c r="AY56" s="44">
        <v>4.0649999999999999E-2</v>
      </c>
      <c r="AZ56" s="44">
        <v>4.0559999999999999E-2</v>
      </c>
      <c r="BA56" s="44">
        <v>4.0059999999999998E-2</v>
      </c>
      <c r="BB56" s="44">
        <v>3.8890000000000001E-2</v>
      </c>
      <c r="BC56" s="44">
        <v>3.7760000000000002E-2</v>
      </c>
      <c r="BD56" s="44">
        <v>3.4669999999999999E-2</v>
      </c>
      <c r="BE56" s="44">
        <v>3.4070000000000003E-2</v>
      </c>
      <c r="BF56" s="44">
        <v>3.0329999999999999E-2</v>
      </c>
      <c r="BG56" s="44">
        <v>2.6780000000000002E-2</v>
      </c>
      <c r="BH56" s="44">
        <v>2.4160000000000001E-2</v>
      </c>
      <c r="BI56" s="44">
        <v>2.1100000000000001E-2</v>
      </c>
      <c r="BJ56" s="44">
        <v>1.9259999999999999E-2</v>
      </c>
      <c r="BK56" s="44">
        <v>1.6129999999999999E-2</v>
      </c>
      <c r="BL56" s="44">
        <v>1.4200000000000001E-2</v>
      </c>
      <c r="BM56" s="44">
        <v>1.2070000000000001E-2</v>
      </c>
      <c r="BN56" s="44">
        <v>8.5699999999999995E-3</v>
      </c>
      <c r="BO56" s="44">
        <v>6.9100000000000003E-3</v>
      </c>
      <c r="BP56" s="44">
        <v>5.6600000000000001E-3</v>
      </c>
      <c r="BQ56" s="44">
        <v>4.0899999999999999E-3</v>
      </c>
      <c r="BR56" s="44">
        <v>3.1099999999999999E-3</v>
      </c>
      <c r="BS56" s="44">
        <v>1.99E-3</v>
      </c>
      <c r="BT56" s="44">
        <v>1.33E-3</v>
      </c>
      <c r="BU56" s="44">
        <v>9.3000000000000005E-4</v>
      </c>
      <c r="BV56" s="44">
        <v>5.5999999999999995E-4</v>
      </c>
      <c r="BW56" s="44">
        <v>4.2000000000000002E-4</v>
      </c>
      <c r="BX56" s="44">
        <v>1.9000000000000001E-4</v>
      </c>
      <c r="BY56" s="44">
        <v>6.0000000000000002E-5</v>
      </c>
      <c r="BZ56" s="44">
        <v>6.9999999999999994E-5</v>
      </c>
      <c r="CA56" s="44">
        <v>3.0000000000000001E-5</v>
      </c>
      <c r="CB56" s="44">
        <v>1.0000000000000001E-5</v>
      </c>
      <c r="CC56" s="44">
        <v>0</v>
      </c>
      <c r="CD56" s="44">
        <v>0</v>
      </c>
      <c r="CE56" s="44">
        <v>0</v>
      </c>
      <c r="CF56" s="44">
        <v>0</v>
      </c>
    </row>
    <row r="57" spans="1:84" ht="15" customHeight="1" x14ac:dyDescent="0.3">
      <c r="A57" s="10" t="s">
        <v>205</v>
      </c>
      <c r="B57" s="44">
        <v>0</v>
      </c>
      <c r="C57" s="44">
        <v>0</v>
      </c>
      <c r="D57" s="44">
        <v>0</v>
      </c>
      <c r="E57" s="44">
        <v>0</v>
      </c>
      <c r="F57" s="44">
        <v>0</v>
      </c>
      <c r="G57" s="44">
        <v>0</v>
      </c>
      <c r="H57" s="44">
        <v>0</v>
      </c>
      <c r="I57" s="44">
        <v>0</v>
      </c>
      <c r="J57" s="44">
        <v>0</v>
      </c>
      <c r="K57" s="44">
        <v>0</v>
      </c>
      <c r="L57" s="44">
        <v>0</v>
      </c>
      <c r="M57" s="44">
        <v>0</v>
      </c>
      <c r="N57" s="44">
        <v>2.0000000000000002E-5</v>
      </c>
      <c r="O57" s="44">
        <v>2.0000000000000002E-5</v>
      </c>
      <c r="P57" s="44">
        <v>5.0000000000000002E-5</v>
      </c>
      <c r="Q57" s="44">
        <v>6.0000000000000002E-5</v>
      </c>
      <c r="R57" s="44">
        <v>1E-4</v>
      </c>
      <c r="S57" s="44">
        <v>1.2999999999999999E-4</v>
      </c>
      <c r="T57" s="44">
        <v>2.3000000000000001E-4</v>
      </c>
      <c r="U57" s="44">
        <v>4.2000000000000002E-4</v>
      </c>
      <c r="V57" s="44">
        <v>4.6999999999999999E-4</v>
      </c>
      <c r="W57" s="44">
        <v>6.2E-4</v>
      </c>
      <c r="X57" s="44">
        <v>9.8999999999999999E-4</v>
      </c>
      <c r="Y57" s="44">
        <v>1.25E-3</v>
      </c>
      <c r="Z57" s="44">
        <v>1.49E-3</v>
      </c>
      <c r="AA57" s="44">
        <v>2.0799999999999998E-3</v>
      </c>
      <c r="AB57" s="44">
        <v>3.13E-3</v>
      </c>
      <c r="AC57" s="44">
        <v>4.3800000000000002E-3</v>
      </c>
      <c r="AD57" s="44">
        <v>4.79E-3</v>
      </c>
      <c r="AE57" s="44">
        <v>6.2300000000000003E-3</v>
      </c>
      <c r="AF57" s="44">
        <v>7.5100000000000002E-3</v>
      </c>
      <c r="AG57" s="44">
        <v>9.5200000000000007E-3</v>
      </c>
      <c r="AH57" s="44">
        <v>1.0500000000000001E-2</v>
      </c>
      <c r="AI57" s="44">
        <v>1.353E-2</v>
      </c>
      <c r="AJ57" s="44">
        <v>1.536E-2</v>
      </c>
      <c r="AK57" s="44">
        <v>1.7510000000000001E-2</v>
      </c>
      <c r="AL57" s="44">
        <v>2.026E-2</v>
      </c>
      <c r="AM57" s="44">
        <v>2.24E-2</v>
      </c>
      <c r="AN57" s="44">
        <v>2.496E-2</v>
      </c>
      <c r="AO57" s="44">
        <v>2.9139999999999999E-2</v>
      </c>
      <c r="AP57" s="44">
        <v>3.117E-2</v>
      </c>
      <c r="AQ57" s="44">
        <v>3.4139999999999997E-2</v>
      </c>
      <c r="AR57" s="44">
        <v>3.5040000000000002E-2</v>
      </c>
      <c r="AS57" s="44">
        <v>3.848E-2</v>
      </c>
      <c r="AT57" s="44">
        <v>3.9120000000000002E-2</v>
      </c>
      <c r="AU57" s="44">
        <v>4.165E-2</v>
      </c>
      <c r="AV57" s="44">
        <v>4.2410000000000003E-2</v>
      </c>
      <c r="AW57" s="44">
        <v>4.3310000000000001E-2</v>
      </c>
      <c r="AX57" s="44">
        <v>4.2270000000000002E-2</v>
      </c>
      <c r="AY57" s="44">
        <v>4.3299999999999998E-2</v>
      </c>
      <c r="AZ57" s="44">
        <v>4.2880000000000001E-2</v>
      </c>
      <c r="BA57" s="44">
        <v>4.1250000000000002E-2</v>
      </c>
      <c r="BB57" s="44">
        <v>4.0099999999999997E-2</v>
      </c>
      <c r="BC57" s="44">
        <v>3.7490000000000002E-2</v>
      </c>
      <c r="BD57" s="44">
        <v>3.5680000000000003E-2</v>
      </c>
      <c r="BE57" s="44">
        <v>3.2039999999999999E-2</v>
      </c>
      <c r="BF57" s="44">
        <v>2.9780000000000001E-2</v>
      </c>
      <c r="BG57" s="44">
        <v>2.6179999999999998E-2</v>
      </c>
      <c r="BH57" s="44">
        <v>2.333E-2</v>
      </c>
      <c r="BI57" s="44">
        <v>2.0039999999999999E-2</v>
      </c>
      <c r="BJ57" s="44">
        <v>1.6969999999999999E-2</v>
      </c>
      <c r="BK57" s="44">
        <v>1.545E-2</v>
      </c>
      <c r="BL57" s="44">
        <v>1.1950000000000001E-2</v>
      </c>
      <c r="BM57" s="44">
        <v>9.6799999999999994E-3</v>
      </c>
      <c r="BN57" s="44">
        <v>7.7000000000000002E-3</v>
      </c>
      <c r="BO57" s="44">
        <v>6.2500000000000003E-3</v>
      </c>
      <c r="BP57" s="44">
        <v>4.6600000000000001E-3</v>
      </c>
      <c r="BQ57" s="44">
        <v>3.49E-3</v>
      </c>
      <c r="BR57" s="44">
        <v>2.6199999999999999E-3</v>
      </c>
      <c r="BS57" s="44">
        <v>1.6800000000000001E-3</v>
      </c>
      <c r="BT57" s="44">
        <v>1.1199999999999999E-3</v>
      </c>
      <c r="BU57" s="44">
        <v>5.9999999999999995E-4</v>
      </c>
      <c r="BV57" s="44">
        <v>3.6999999999999999E-4</v>
      </c>
      <c r="BW57" s="44">
        <v>3.1E-4</v>
      </c>
      <c r="BX57" s="44">
        <v>1.3999999999999999E-4</v>
      </c>
      <c r="BY57" s="44">
        <v>1.1E-4</v>
      </c>
      <c r="BZ57" s="44">
        <v>5.0000000000000002E-5</v>
      </c>
      <c r="CA57" s="44">
        <v>2.0000000000000002E-5</v>
      </c>
      <c r="CB57" s="44">
        <v>2.0000000000000002E-5</v>
      </c>
      <c r="CC57" s="44">
        <v>0</v>
      </c>
      <c r="CD57" s="44">
        <v>0</v>
      </c>
      <c r="CE57" s="44">
        <v>0</v>
      </c>
      <c r="CF57" s="44">
        <v>0</v>
      </c>
    </row>
    <row r="58" spans="1:84" ht="15" customHeight="1" x14ac:dyDescent="0.3">
      <c r="A58" s="10" t="s">
        <v>206</v>
      </c>
      <c r="B58" s="44">
        <v>0</v>
      </c>
      <c r="C58" s="44">
        <v>0</v>
      </c>
      <c r="D58" s="44">
        <v>0</v>
      </c>
      <c r="E58" s="44">
        <v>0</v>
      </c>
      <c r="F58" s="44">
        <v>0</v>
      </c>
      <c r="G58" s="44">
        <v>0</v>
      </c>
      <c r="H58" s="44">
        <v>0</v>
      </c>
      <c r="I58" s="44">
        <v>0</v>
      </c>
      <c r="J58" s="44">
        <v>0</v>
      </c>
      <c r="K58" s="44">
        <v>0</v>
      </c>
      <c r="L58" s="44">
        <v>1.0000000000000001E-5</v>
      </c>
      <c r="M58" s="44">
        <v>3.0000000000000001E-5</v>
      </c>
      <c r="N58" s="44">
        <v>9.0000000000000006E-5</v>
      </c>
      <c r="O58" s="44">
        <v>9.0000000000000006E-5</v>
      </c>
      <c r="P58" s="44">
        <v>3.0000000000000001E-5</v>
      </c>
      <c r="Q58" s="44">
        <v>1.9000000000000001E-4</v>
      </c>
      <c r="R58" s="44">
        <v>2.3000000000000001E-4</v>
      </c>
      <c r="S58" s="44">
        <v>5.0000000000000001E-4</v>
      </c>
      <c r="T58" s="44">
        <v>5.1000000000000004E-4</v>
      </c>
      <c r="U58" s="44">
        <v>9.5E-4</v>
      </c>
      <c r="V58" s="44">
        <v>1.5E-3</v>
      </c>
      <c r="W58" s="44">
        <v>1.4400000000000001E-3</v>
      </c>
      <c r="X58" s="44">
        <v>2.16E-3</v>
      </c>
      <c r="Y58" s="44">
        <v>3.0999999999999999E-3</v>
      </c>
      <c r="Z58" s="44">
        <v>4.0099999999999997E-3</v>
      </c>
      <c r="AA58" s="44">
        <v>4.96E-3</v>
      </c>
      <c r="AB58" s="44">
        <v>6.2199999999999998E-3</v>
      </c>
      <c r="AC58" s="44">
        <v>8.5500000000000003E-3</v>
      </c>
      <c r="AD58" s="44">
        <v>9.7999999999999997E-3</v>
      </c>
      <c r="AE58" s="44">
        <v>1.1809999999999999E-2</v>
      </c>
      <c r="AF58" s="44">
        <v>1.4239999999999999E-2</v>
      </c>
      <c r="AG58" s="44">
        <v>1.626E-2</v>
      </c>
      <c r="AH58" s="44">
        <v>1.8679999999999999E-2</v>
      </c>
      <c r="AI58" s="44">
        <v>2.198E-2</v>
      </c>
      <c r="AJ58" s="44">
        <v>2.4889999999999999E-2</v>
      </c>
      <c r="AK58" s="44">
        <v>2.7109999999999999E-2</v>
      </c>
      <c r="AL58" s="44">
        <v>3.014E-2</v>
      </c>
      <c r="AM58" s="44">
        <v>3.2899999999999999E-2</v>
      </c>
      <c r="AN58" s="44">
        <v>3.5490000000000001E-2</v>
      </c>
      <c r="AO58" s="44">
        <v>3.7539999999999997E-2</v>
      </c>
      <c r="AP58" s="44">
        <v>3.9829999999999997E-2</v>
      </c>
      <c r="AQ58" s="44">
        <v>4.1610000000000001E-2</v>
      </c>
      <c r="AR58" s="44">
        <v>4.2950000000000002E-2</v>
      </c>
      <c r="AS58" s="44">
        <v>4.2680000000000003E-2</v>
      </c>
      <c r="AT58" s="44">
        <v>4.3540000000000002E-2</v>
      </c>
      <c r="AU58" s="44">
        <v>4.3200000000000002E-2</v>
      </c>
      <c r="AV58" s="44">
        <v>4.172E-2</v>
      </c>
      <c r="AW58" s="44">
        <v>4.2459999999999998E-2</v>
      </c>
      <c r="AX58" s="44">
        <v>3.8600000000000002E-2</v>
      </c>
      <c r="AY58" s="44">
        <v>3.7089999999999998E-2</v>
      </c>
      <c r="AZ58" s="44">
        <v>3.5749999999999997E-2</v>
      </c>
      <c r="BA58" s="44">
        <v>3.3029999999999997E-2</v>
      </c>
      <c r="BB58" s="44">
        <v>3.074E-2</v>
      </c>
      <c r="BC58" s="44">
        <v>2.7380000000000002E-2</v>
      </c>
      <c r="BD58" s="44">
        <v>2.3689999999999999E-2</v>
      </c>
      <c r="BE58" s="44">
        <v>2.2450000000000001E-2</v>
      </c>
      <c r="BF58" s="44">
        <v>1.8380000000000001E-2</v>
      </c>
      <c r="BG58" s="44">
        <v>1.6480000000000002E-2</v>
      </c>
      <c r="BH58" s="44">
        <v>1.417E-2</v>
      </c>
      <c r="BI58" s="44">
        <v>1.154E-2</v>
      </c>
      <c r="BJ58" s="44">
        <v>9.1699999999999993E-3</v>
      </c>
      <c r="BK58" s="44">
        <v>7.2399999999999999E-3</v>
      </c>
      <c r="BL58" s="44">
        <v>5.62E-3</v>
      </c>
      <c r="BM58" s="44">
        <v>4.3600000000000002E-3</v>
      </c>
      <c r="BN58" s="44">
        <v>3.3300000000000001E-3</v>
      </c>
      <c r="BO58" s="44">
        <v>2.3E-3</v>
      </c>
      <c r="BP58" s="44">
        <v>1.82E-3</v>
      </c>
      <c r="BQ58" s="44">
        <v>1.32E-3</v>
      </c>
      <c r="BR58" s="44">
        <v>7.9000000000000001E-4</v>
      </c>
      <c r="BS58" s="44">
        <v>5.9000000000000003E-4</v>
      </c>
      <c r="BT58" s="44">
        <v>3.6000000000000002E-4</v>
      </c>
      <c r="BU58" s="44">
        <v>1.8000000000000001E-4</v>
      </c>
      <c r="BV58" s="44">
        <v>1.3999999999999999E-4</v>
      </c>
      <c r="BW58" s="44">
        <v>2.0000000000000002E-5</v>
      </c>
      <c r="BX58" s="44">
        <v>4.0000000000000003E-5</v>
      </c>
      <c r="BY58" s="44">
        <v>1.0000000000000001E-5</v>
      </c>
      <c r="BZ58" s="44">
        <v>1.0000000000000001E-5</v>
      </c>
      <c r="CA58" s="44">
        <v>0</v>
      </c>
      <c r="CB58" s="44">
        <v>0</v>
      </c>
      <c r="CC58" s="44">
        <v>0</v>
      </c>
      <c r="CD58" s="44">
        <v>0</v>
      </c>
      <c r="CE58" s="44">
        <v>0</v>
      </c>
      <c r="CF58" s="44">
        <v>0</v>
      </c>
    </row>
    <row r="59" spans="1:84" ht="15" customHeight="1" x14ac:dyDescent="0.3">
      <c r="A59" s="10" t="s">
        <v>207</v>
      </c>
      <c r="B59" s="44">
        <v>0</v>
      </c>
      <c r="C59" s="44">
        <v>0</v>
      </c>
      <c r="D59" s="44">
        <v>0</v>
      </c>
      <c r="E59" s="44">
        <v>0</v>
      </c>
      <c r="F59" s="44">
        <v>0</v>
      </c>
      <c r="G59" s="44">
        <v>0</v>
      </c>
      <c r="H59" s="44">
        <v>0</v>
      </c>
      <c r="I59" s="44">
        <v>0</v>
      </c>
      <c r="J59" s="44">
        <v>0</v>
      </c>
      <c r="K59" s="44">
        <v>0</v>
      </c>
      <c r="L59" s="44">
        <v>0</v>
      </c>
      <c r="M59" s="44">
        <v>0</v>
      </c>
      <c r="N59" s="44">
        <v>0</v>
      </c>
      <c r="O59" s="44">
        <v>1.0000000000000001E-5</v>
      </c>
      <c r="P59" s="44">
        <v>1.0000000000000001E-5</v>
      </c>
      <c r="Q59" s="44">
        <v>0</v>
      </c>
      <c r="R59" s="44">
        <v>2.0000000000000002E-5</v>
      </c>
      <c r="S59" s="44">
        <v>1.0000000000000001E-5</v>
      </c>
      <c r="T59" s="44">
        <v>3.0000000000000001E-5</v>
      </c>
      <c r="U59" s="44">
        <v>2.0000000000000002E-5</v>
      </c>
      <c r="V59" s="44">
        <v>5.0000000000000002E-5</v>
      </c>
      <c r="W59" s="44">
        <v>9.0000000000000006E-5</v>
      </c>
      <c r="X59" s="44">
        <v>1E-4</v>
      </c>
      <c r="Y59" s="44">
        <v>2.2000000000000001E-4</v>
      </c>
      <c r="Z59" s="44">
        <v>2.2000000000000001E-4</v>
      </c>
      <c r="AA59" s="44">
        <v>3.5E-4</v>
      </c>
      <c r="AB59" s="44">
        <v>4.2000000000000002E-4</v>
      </c>
      <c r="AC59" s="44">
        <v>4.6000000000000001E-4</v>
      </c>
      <c r="AD59" s="44">
        <v>9.8999999999999999E-4</v>
      </c>
      <c r="AE59" s="44">
        <v>1.2099999999999999E-3</v>
      </c>
      <c r="AF59" s="44">
        <v>1.4499999999999999E-3</v>
      </c>
      <c r="AG59" s="44">
        <v>2.1099999999999999E-3</v>
      </c>
      <c r="AH59" s="44">
        <v>2.7399999999999998E-3</v>
      </c>
      <c r="AI59" s="44">
        <v>3.46E-3</v>
      </c>
      <c r="AJ59" s="44">
        <v>4.4299999999999999E-3</v>
      </c>
      <c r="AK59" s="44">
        <v>5.3200000000000001E-3</v>
      </c>
      <c r="AL59" s="44">
        <v>6.5900000000000004E-3</v>
      </c>
      <c r="AM59" s="44">
        <v>7.9500000000000005E-3</v>
      </c>
      <c r="AN59" s="44">
        <v>9.6600000000000002E-3</v>
      </c>
      <c r="AO59" s="44">
        <v>1.0959999999999999E-2</v>
      </c>
      <c r="AP59" s="44">
        <v>1.355E-2</v>
      </c>
      <c r="AQ59" s="44">
        <v>1.516E-2</v>
      </c>
      <c r="AR59" s="44">
        <v>1.7489999999999999E-2</v>
      </c>
      <c r="AS59" s="44">
        <v>1.9990000000000001E-2</v>
      </c>
      <c r="AT59" s="44">
        <v>2.2460000000000001E-2</v>
      </c>
      <c r="AU59" s="44">
        <v>2.657E-2</v>
      </c>
      <c r="AV59" s="44">
        <v>2.9510000000000002E-2</v>
      </c>
      <c r="AW59" s="44">
        <v>3.2750000000000001E-2</v>
      </c>
      <c r="AX59" s="44">
        <v>3.4729999999999997E-2</v>
      </c>
      <c r="AY59" s="44">
        <v>3.7310000000000003E-2</v>
      </c>
      <c r="AZ59" s="44">
        <v>4.1160000000000002E-2</v>
      </c>
      <c r="BA59" s="44">
        <v>4.113E-2</v>
      </c>
      <c r="BB59" s="44">
        <v>4.48E-2</v>
      </c>
      <c r="BC59" s="44">
        <v>4.4979999999999999E-2</v>
      </c>
      <c r="BD59" s="44">
        <v>4.5879999999999997E-2</v>
      </c>
      <c r="BE59" s="44">
        <v>4.5339999999999998E-2</v>
      </c>
      <c r="BF59" s="44">
        <v>4.4600000000000001E-2</v>
      </c>
      <c r="BG59" s="44">
        <v>4.3920000000000001E-2</v>
      </c>
      <c r="BH59" s="44">
        <v>4.2590000000000003E-2</v>
      </c>
      <c r="BI59" s="44">
        <v>4.0189999999999997E-2</v>
      </c>
      <c r="BJ59" s="44">
        <v>3.8550000000000001E-2</v>
      </c>
      <c r="BK59" s="44">
        <v>3.5779999999999999E-2</v>
      </c>
      <c r="BL59" s="44">
        <v>3.2169999999999997E-2</v>
      </c>
      <c r="BM59" s="44">
        <v>2.845E-2</v>
      </c>
      <c r="BN59" s="44">
        <v>2.5610000000000001E-2</v>
      </c>
      <c r="BO59" s="44">
        <v>2.1590000000000002E-2</v>
      </c>
      <c r="BP59" s="44">
        <v>1.813E-2</v>
      </c>
      <c r="BQ59" s="44">
        <v>1.452E-2</v>
      </c>
      <c r="BR59" s="44">
        <v>1.1939999999999999E-2</v>
      </c>
      <c r="BS59" s="44">
        <v>9.41E-3</v>
      </c>
      <c r="BT59" s="44">
        <v>6.8900000000000003E-3</v>
      </c>
      <c r="BU59" s="44">
        <v>5.2199999999999998E-3</v>
      </c>
      <c r="BV59" s="44">
        <v>3.3E-3</v>
      </c>
      <c r="BW59" s="44">
        <v>2.1099999999999999E-3</v>
      </c>
      <c r="BX59" s="44">
        <v>1.6199999999999999E-3</v>
      </c>
      <c r="BY59" s="44">
        <v>8.9999999999999998E-4</v>
      </c>
      <c r="BZ59" s="44">
        <v>4.4000000000000002E-4</v>
      </c>
      <c r="CA59" s="44">
        <v>2.4000000000000001E-4</v>
      </c>
      <c r="CB59" s="44">
        <v>6.9999999999999994E-5</v>
      </c>
      <c r="CC59" s="44">
        <v>6.0000000000000002E-5</v>
      </c>
      <c r="CD59" s="44">
        <v>1.0000000000000001E-5</v>
      </c>
      <c r="CE59" s="44">
        <v>0</v>
      </c>
      <c r="CF59" s="44">
        <v>0</v>
      </c>
    </row>
    <row r="60" spans="1:84" ht="15" customHeight="1" x14ac:dyDescent="0.3">
      <c r="A60" s="10" t="s">
        <v>208</v>
      </c>
      <c r="B60" s="44">
        <v>0</v>
      </c>
      <c r="C60" s="44">
        <v>0</v>
      </c>
      <c r="D60" s="44">
        <v>0</v>
      </c>
      <c r="E60" s="44">
        <v>0</v>
      </c>
      <c r="F60" s="44">
        <v>0</v>
      </c>
      <c r="G60" s="44">
        <v>1.0000000000000001E-5</v>
      </c>
      <c r="H60" s="44">
        <v>0</v>
      </c>
      <c r="I60" s="44">
        <v>0</v>
      </c>
      <c r="J60" s="44">
        <v>1.0000000000000001E-5</v>
      </c>
      <c r="K60" s="44">
        <v>2.0000000000000002E-5</v>
      </c>
      <c r="L60" s="44">
        <v>2.0000000000000002E-5</v>
      </c>
      <c r="M60" s="44">
        <v>3.0000000000000001E-5</v>
      </c>
      <c r="N60" s="44">
        <v>6.0000000000000002E-5</v>
      </c>
      <c r="O60" s="44">
        <v>1.2999999999999999E-4</v>
      </c>
      <c r="P60" s="44">
        <v>2.5999999999999998E-4</v>
      </c>
      <c r="Q60" s="44">
        <v>1.9000000000000001E-4</v>
      </c>
      <c r="R60" s="44">
        <v>5.9000000000000003E-4</v>
      </c>
      <c r="S60" s="44">
        <v>8.4999999999999995E-4</v>
      </c>
      <c r="T60" s="44">
        <v>1.1299999999999999E-3</v>
      </c>
      <c r="U60" s="44">
        <v>1.8699999999999999E-3</v>
      </c>
      <c r="V60" s="44">
        <v>2.31E-3</v>
      </c>
      <c r="W60" s="44">
        <v>3.0699999999999998E-3</v>
      </c>
      <c r="X60" s="44">
        <v>3.8700000000000002E-3</v>
      </c>
      <c r="Y60" s="44">
        <v>5.4000000000000003E-3</v>
      </c>
      <c r="Z60" s="44">
        <v>6.45E-3</v>
      </c>
      <c r="AA60" s="44">
        <v>7.7499999999999999E-3</v>
      </c>
      <c r="AB60" s="44">
        <v>1.0160000000000001E-2</v>
      </c>
      <c r="AC60" s="44">
        <v>1.1990000000000001E-2</v>
      </c>
      <c r="AD60" s="44">
        <v>1.383E-2</v>
      </c>
      <c r="AE60" s="44">
        <v>1.6719999999999999E-2</v>
      </c>
      <c r="AF60" s="44">
        <v>1.857E-2</v>
      </c>
      <c r="AG60" s="44">
        <v>2.206E-2</v>
      </c>
      <c r="AH60" s="44">
        <v>2.4549999999999999E-2</v>
      </c>
      <c r="AI60" s="44">
        <v>2.6710000000000001E-2</v>
      </c>
      <c r="AJ60" s="44">
        <v>2.998E-2</v>
      </c>
      <c r="AK60" s="44">
        <v>3.2309999999999998E-2</v>
      </c>
      <c r="AL60" s="44">
        <v>3.5189999999999999E-2</v>
      </c>
      <c r="AM60" s="44">
        <v>3.7289999999999997E-2</v>
      </c>
      <c r="AN60" s="44">
        <v>3.7900000000000003E-2</v>
      </c>
      <c r="AO60" s="44">
        <v>4.0930000000000001E-2</v>
      </c>
      <c r="AP60" s="44">
        <v>4.1239999999999999E-2</v>
      </c>
      <c r="AQ60" s="44">
        <v>4.2869999999999998E-2</v>
      </c>
      <c r="AR60" s="44">
        <v>4.308E-2</v>
      </c>
      <c r="AS60" s="44">
        <v>4.2290000000000001E-2</v>
      </c>
      <c r="AT60" s="44">
        <v>4.2209999999999998E-2</v>
      </c>
      <c r="AU60" s="44">
        <v>4.2139999999999997E-2</v>
      </c>
      <c r="AV60" s="44">
        <v>3.9820000000000001E-2</v>
      </c>
      <c r="AW60" s="44">
        <v>3.7699999999999997E-2</v>
      </c>
      <c r="AX60" s="44">
        <v>3.5749999999999997E-2</v>
      </c>
      <c r="AY60" s="44">
        <v>3.2750000000000001E-2</v>
      </c>
      <c r="AZ60" s="44">
        <v>2.9659999999999999E-2</v>
      </c>
      <c r="BA60" s="44">
        <v>2.7699999999999999E-2</v>
      </c>
      <c r="BB60" s="44">
        <v>2.4899999999999999E-2</v>
      </c>
      <c r="BC60" s="44">
        <v>2.2200000000000001E-2</v>
      </c>
      <c r="BD60" s="44">
        <v>1.9400000000000001E-2</v>
      </c>
      <c r="BE60" s="44">
        <v>1.6650000000000002E-2</v>
      </c>
      <c r="BF60" s="44">
        <v>1.396E-2</v>
      </c>
      <c r="BG60" s="44">
        <v>1.1560000000000001E-2</v>
      </c>
      <c r="BH60" s="44">
        <v>9.7199999999999995E-3</v>
      </c>
      <c r="BI60" s="44">
        <v>8.1799999999999998E-3</v>
      </c>
      <c r="BJ60" s="44">
        <v>6.5399999999999998E-3</v>
      </c>
      <c r="BK60" s="44">
        <v>4.9800000000000001E-3</v>
      </c>
      <c r="BL60" s="44">
        <v>3.5599999999999998E-3</v>
      </c>
      <c r="BM60" s="44">
        <v>2.5400000000000002E-3</v>
      </c>
      <c r="BN60" s="44">
        <v>2.2699999999999999E-3</v>
      </c>
      <c r="BO60" s="44">
        <v>1.5299999999999999E-3</v>
      </c>
      <c r="BP60" s="44">
        <v>9.1E-4</v>
      </c>
      <c r="BQ60" s="44">
        <v>7.5000000000000002E-4</v>
      </c>
      <c r="BR60" s="44">
        <v>3.6000000000000002E-4</v>
      </c>
      <c r="BS60" s="44">
        <v>2.0000000000000001E-4</v>
      </c>
      <c r="BT60" s="44">
        <v>1.7000000000000001E-4</v>
      </c>
      <c r="BU60" s="44">
        <v>9.0000000000000006E-5</v>
      </c>
      <c r="BV60" s="44">
        <v>6.9999999999999994E-5</v>
      </c>
      <c r="BW60" s="44">
        <v>3.0000000000000001E-5</v>
      </c>
      <c r="BX60" s="44">
        <v>1.0000000000000001E-5</v>
      </c>
      <c r="BY60" s="44">
        <v>0</v>
      </c>
      <c r="BZ60" s="44">
        <v>0</v>
      </c>
      <c r="CA60" s="44">
        <v>0</v>
      </c>
      <c r="CB60" s="44">
        <v>0</v>
      </c>
      <c r="CC60" s="44">
        <v>0</v>
      </c>
      <c r="CD60" s="44">
        <v>0</v>
      </c>
      <c r="CE60" s="44">
        <v>0</v>
      </c>
      <c r="CF60" s="44">
        <v>0</v>
      </c>
    </row>
    <row r="61" spans="1:84" ht="15" customHeight="1" x14ac:dyDescent="0.3">
      <c r="A61" s="10" t="s">
        <v>209</v>
      </c>
      <c r="B61" s="44">
        <v>0</v>
      </c>
      <c r="C61" s="44">
        <v>0</v>
      </c>
      <c r="D61" s="44">
        <v>0</v>
      </c>
      <c r="E61" s="44">
        <v>0</v>
      </c>
      <c r="F61" s="44">
        <v>2.0000000000000002E-5</v>
      </c>
      <c r="G61" s="44">
        <v>4.0000000000000003E-5</v>
      </c>
      <c r="H61" s="44">
        <v>1.1E-4</v>
      </c>
      <c r="I61" s="44">
        <v>2.1000000000000001E-4</v>
      </c>
      <c r="J61" s="44">
        <v>4.2000000000000002E-4</v>
      </c>
      <c r="K61" s="44">
        <v>7.5000000000000002E-4</v>
      </c>
      <c r="L61" s="44">
        <v>1.14E-3</v>
      </c>
      <c r="M61" s="44">
        <v>2.1900000000000001E-3</v>
      </c>
      <c r="N61" s="44">
        <v>2.8800000000000002E-3</v>
      </c>
      <c r="O61" s="44">
        <v>4.0299999999999997E-3</v>
      </c>
      <c r="P61" s="44">
        <v>5.7499999999999999E-3</v>
      </c>
      <c r="Q61" s="44">
        <v>8.2299999999999995E-3</v>
      </c>
      <c r="R61" s="44">
        <v>1.039E-2</v>
      </c>
      <c r="S61" s="44">
        <v>1.307E-2</v>
      </c>
      <c r="T61" s="44">
        <v>1.5869999999999999E-2</v>
      </c>
      <c r="U61" s="44">
        <v>1.9429999999999999E-2</v>
      </c>
      <c r="V61" s="44">
        <v>2.2890000000000001E-2</v>
      </c>
      <c r="W61" s="44">
        <v>2.6089999999999999E-2</v>
      </c>
      <c r="X61" s="44">
        <v>3.031E-2</v>
      </c>
      <c r="Y61" s="44">
        <v>3.3799999999999997E-2</v>
      </c>
      <c r="Z61" s="44">
        <v>3.5909999999999997E-2</v>
      </c>
      <c r="AA61" s="44">
        <v>3.9750000000000001E-2</v>
      </c>
      <c r="AB61" s="44">
        <v>4.1329999999999999E-2</v>
      </c>
      <c r="AC61" s="44">
        <v>4.3459999999999999E-2</v>
      </c>
      <c r="AD61" s="44">
        <v>4.4600000000000001E-2</v>
      </c>
      <c r="AE61" s="44">
        <v>4.5379999999999997E-2</v>
      </c>
      <c r="AF61" s="44">
        <v>4.6940000000000003E-2</v>
      </c>
      <c r="AG61" s="44">
        <v>4.6640000000000001E-2</v>
      </c>
      <c r="AH61" s="44">
        <v>4.4940000000000001E-2</v>
      </c>
      <c r="AI61" s="44">
        <v>4.2680000000000003E-2</v>
      </c>
      <c r="AJ61" s="44">
        <v>4.2130000000000001E-2</v>
      </c>
      <c r="AK61" s="44">
        <v>3.9750000000000001E-2</v>
      </c>
      <c r="AL61" s="44">
        <v>3.6810000000000002E-2</v>
      </c>
      <c r="AM61" s="44">
        <v>3.3149999999999999E-2</v>
      </c>
      <c r="AN61" s="44">
        <v>3.1119999999999998E-2</v>
      </c>
      <c r="AO61" s="44">
        <v>2.9010000000000001E-2</v>
      </c>
      <c r="AP61" s="44">
        <v>2.562E-2</v>
      </c>
      <c r="AQ61" s="44">
        <v>2.2360000000000001E-2</v>
      </c>
      <c r="AR61" s="44">
        <v>1.9349999999999999E-2</v>
      </c>
      <c r="AS61" s="44">
        <v>1.6899999999999998E-2</v>
      </c>
      <c r="AT61" s="44">
        <v>1.477E-2</v>
      </c>
      <c r="AU61" s="44">
        <v>1.204E-2</v>
      </c>
      <c r="AV61" s="44">
        <v>1.001E-2</v>
      </c>
      <c r="AW61" s="44">
        <v>7.8899999999999994E-3</v>
      </c>
      <c r="AX61" s="44">
        <v>6.5500000000000003E-3</v>
      </c>
      <c r="AY61" s="44">
        <v>5.94E-3</v>
      </c>
      <c r="AZ61" s="44">
        <v>4.5799999999999999E-3</v>
      </c>
      <c r="BA61" s="44">
        <v>3.1800000000000001E-3</v>
      </c>
      <c r="BB61" s="44">
        <v>2.8300000000000001E-3</v>
      </c>
      <c r="BC61" s="44">
        <v>1.74E-3</v>
      </c>
      <c r="BD61" s="44">
        <v>1.25E-3</v>
      </c>
      <c r="BE61" s="44">
        <v>1.1900000000000001E-3</v>
      </c>
      <c r="BF61" s="44">
        <v>9.3999999999999997E-4</v>
      </c>
      <c r="BG61" s="44">
        <v>5.4000000000000001E-4</v>
      </c>
      <c r="BH61" s="44">
        <v>4.0999999999999999E-4</v>
      </c>
      <c r="BI61" s="44">
        <v>1.7000000000000001E-4</v>
      </c>
      <c r="BJ61" s="44">
        <v>1.8000000000000001E-4</v>
      </c>
      <c r="BK61" s="44">
        <v>1.2E-4</v>
      </c>
      <c r="BL61" s="44">
        <v>9.0000000000000006E-5</v>
      </c>
      <c r="BM61" s="44">
        <v>6.9999999999999994E-5</v>
      </c>
      <c r="BN61" s="44">
        <v>3.0000000000000001E-5</v>
      </c>
      <c r="BO61" s="44">
        <v>3.0000000000000001E-5</v>
      </c>
      <c r="BP61" s="44">
        <v>0</v>
      </c>
      <c r="BQ61" s="44">
        <v>0</v>
      </c>
      <c r="BR61" s="44">
        <v>0</v>
      </c>
      <c r="BS61" s="44">
        <v>0</v>
      </c>
      <c r="BT61" s="44">
        <v>0</v>
      </c>
      <c r="BU61" s="44">
        <v>0</v>
      </c>
      <c r="BV61" s="44">
        <v>0</v>
      </c>
      <c r="BW61" s="44">
        <v>0</v>
      </c>
      <c r="BX61" s="44">
        <v>0</v>
      </c>
      <c r="BY61" s="44">
        <v>0</v>
      </c>
      <c r="BZ61" s="44">
        <v>0</v>
      </c>
      <c r="CA61" s="44">
        <v>0</v>
      </c>
      <c r="CB61" s="44">
        <v>0</v>
      </c>
      <c r="CC61" s="44">
        <v>0</v>
      </c>
      <c r="CD61" s="44">
        <v>0</v>
      </c>
      <c r="CE61" s="44">
        <v>0</v>
      </c>
      <c r="CF61" s="44">
        <v>0</v>
      </c>
    </row>
    <row r="62" spans="1:84" ht="15" customHeight="1" x14ac:dyDescent="0.3">
      <c r="A62" s="10" t="s">
        <v>210</v>
      </c>
      <c r="B62" s="44">
        <v>0</v>
      </c>
      <c r="C62" s="44">
        <v>0</v>
      </c>
      <c r="D62" s="44">
        <v>0</v>
      </c>
      <c r="E62" s="44">
        <v>0</v>
      </c>
      <c r="F62" s="44">
        <v>0</v>
      </c>
      <c r="G62" s="44">
        <v>0</v>
      </c>
      <c r="H62" s="44">
        <v>0</v>
      </c>
      <c r="I62" s="44">
        <v>1.0000000000000001E-5</v>
      </c>
      <c r="J62" s="44">
        <v>0</v>
      </c>
      <c r="K62" s="44">
        <v>0</v>
      </c>
      <c r="L62" s="44">
        <v>1.0000000000000001E-5</v>
      </c>
      <c r="M62" s="44">
        <v>0</v>
      </c>
      <c r="N62" s="44">
        <v>5.0000000000000002E-5</v>
      </c>
      <c r="O62" s="44">
        <v>5.0000000000000002E-5</v>
      </c>
      <c r="P62" s="44">
        <v>8.0000000000000007E-5</v>
      </c>
      <c r="Q62" s="44">
        <v>1.2999999999999999E-4</v>
      </c>
      <c r="R62" s="44">
        <v>2.1000000000000001E-4</v>
      </c>
      <c r="S62" s="44">
        <v>2.9E-4</v>
      </c>
      <c r="T62" s="44">
        <v>3.8000000000000002E-4</v>
      </c>
      <c r="U62" s="44">
        <v>7.2999999999999996E-4</v>
      </c>
      <c r="V62" s="44">
        <v>6.4000000000000005E-4</v>
      </c>
      <c r="W62" s="44">
        <v>1.0499999999999999E-3</v>
      </c>
      <c r="X62" s="44">
        <v>1.65E-3</v>
      </c>
      <c r="Y62" s="44">
        <v>1.92E-3</v>
      </c>
      <c r="Z62" s="44">
        <v>2.5200000000000001E-3</v>
      </c>
      <c r="AA62" s="44">
        <v>3.3500000000000001E-3</v>
      </c>
      <c r="AB62" s="44">
        <v>3.96E-3</v>
      </c>
      <c r="AC62" s="44">
        <v>5.3200000000000001E-3</v>
      </c>
      <c r="AD62" s="44">
        <v>6.5799999999999999E-3</v>
      </c>
      <c r="AE62" s="44">
        <v>8.3400000000000002E-3</v>
      </c>
      <c r="AF62" s="44">
        <v>1.0189999999999999E-2</v>
      </c>
      <c r="AG62" s="44">
        <v>1.1140000000000001E-2</v>
      </c>
      <c r="AH62" s="44">
        <v>1.346E-2</v>
      </c>
      <c r="AI62" s="44">
        <v>1.5469999999999999E-2</v>
      </c>
      <c r="AJ62" s="44">
        <v>1.8010000000000002E-2</v>
      </c>
      <c r="AK62" s="44">
        <v>2.0660000000000001E-2</v>
      </c>
      <c r="AL62" s="44">
        <v>2.264E-2</v>
      </c>
      <c r="AM62" s="44">
        <v>2.605E-2</v>
      </c>
      <c r="AN62" s="44">
        <v>2.809E-2</v>
      </c>
      <c r="AO62" s="44">
        <v>3.04E-2</v>
      </c>
      <c r="AP62" s="44">
        <v>3.2939999999999997E-2</v>
      </c>
      <c r="AQ62" s="44">
        <v>3.5099999999999999E-2</v>
      </c>
      <c r="AR62" s="44">
        <v>3.8390000000000001E-2</v>
      </c>
      <c r="AS62" s="44">
        <v>3.9919999999999997E-2</v>
      </c>
      <c r="AT62" s="44">
        <v>4.1149999999999999E-2</v>
      </c>
      <c r="AU62" s="44">
        <v>4.1770000000000002E-2</v>
      </c>
      <c r="AV62" s="44">
        <v>4.2259999999999999E-2</v>
      </c>
      <c r="AW62" s="44">
        <v>4.3229999999999998E-2</v>
      </c>
      <c r="AX62" s="44">
        <v>4.367E-2</v>
      </c>
      <c r="AY62" s="44">
        <v>4.2189999999999998E-2</v>
      </c>
      <c r="AZ62" s="44">
        <v>4.0570000000000002E-2</v>
      </c>
      <c r="BA62" s="44">
        <v>3.925E-2</v>
      </c>
      <c r="BB62" s="44">
        <v>3.7089999999999998E-2</v>
      </c>
      <c r="BC62" s="44">
        <v>3.4430000000000002E-2</v>
      </c>
      <c r="BD62" s="44">
        <v>3.2870000000000003E-2</v>
      </c>
      <c r="BE62" s="44">
        <v>2.8289999999999999E-2</v>
      </c>
      <c r="BF62" s="44">
        <v>2.5680000000000001E-2</v>
      </c>
      <c r="BG62" s="44">
        <v>2.2859999999999998E-2</v>
      </c>
      <c r="BH62" s="44">
        <v>2.0109999999999999E-2</v>
      </c>
      <c r="BI62" s="44">
        <v>1.7999999999999999E-2</v>
      </c>
      <c r="BJ62" s="44">
        <v>1.396E-2</v>
      </c>
      <c r="BK62" s="44">
        <v>1.191E-2</v>
      </c>
      <c r="BL62" s="44">
        <v>1.035E-2</v>
      </c>
      <c r="BM62" s="44">
        <v>8.09E-3</v>
      </c>
      <c r="BN62" s="44">
        <v>5.9500000000000004E-3</v>
      </c>
      <c r="BO62" s="44">
        <v>4.8999999999999998E-3</v>
      </c>
      <c r="BP62" s="44">
        <v>4.0499999999999998E-3</v>
      </c>
      <c r="BQ62" s="44">
        <v>2.5799999999999998E-3</v>
      </c>
      <c r="BR62" s="44">
        <v>1.82E-3</v>
      </c>
      <c r="BS62" s="44">
        <v>1.2800000000000001E-3</v>
      </c>
      <c r="BT62" s="44">
        <v>8.3000000000000001E-4</v>
      </c>
      <c r="BU62" s="44">
        <v>4.8999999999999998E-4</v>
      </c>
      <c r="BV62" s="44">
        <v>2.5999999999999998E-4</v>
      </c>
      <c r="BW62" s="44">
        <v>1.1E-4</v>
      </c>
      <c r="BX62" s="44">
        <v>1.1E-4</v>
      </c>
      <c r="BY62" s="44">
        <v>9.0000000000000006E-5</v>
      </c>
      <c r="BZ62" s="44">
        <v>5.0000000000000002E-5</v>
      </c>
      <c r="CA62" s="44">
        <v>0</v>
      </c>
      <c r="CB62" s="44">
        <v>1.0000000000000001E-5</v>
      </c>
      <c r="CC62" s="44">
        <v>1.0000000000000001E-5</v>
      </c>
      <c r="CD62" s="44">
        <v>0</v>
      </c>
      <c r="CE62" s="44">
        <v>0</v>
      </c>
      <c r="CF62" s="44">
        <v>0</v>
      </c>
    </row>
    <row r="63" spans="1:84" ht="15" customHeight="1" x14ac:dyDescent="0.3">
      <c r="A63" s="10" t="s">
        <v>211</v>
      </c>
      <c r="B63" s="44">
        <v>0</v>
      </c>
      <c r="C63" s="44">
        <v>0</v>
      </c>
      <c r="D63" s="44">
        <v>0</v>
      </c>
      <c r="E63" s="44">
        <v>1.0000000000000001E-5</v>
      </c>
      <c r="F63" s="44">
        <v>0</v>
      </c>
      <c r="G63" s="44">
        <v>0</v>
      </c>
      <c r="H63" s="44">
        <v>2.0000000000000002E-5</v>
      </c>
      <c r="I63" s="44">
        <v>2.0000000000000002E-5</v>
      </c>
      <c r="J63" s="44">
        <v>6.9999999999999994E-5</v>
      </c>
      <c r="K63" s="44">
        <v>6.0000000000000002E-5</v>
      </c>
      <c r="L63" s="44">
        <v>1.9000000000000001E-4</v>
      </c>
      <c r="M63" s="44">
        <v>2.7999999999999998E-4</v>
      </c>
      <c r="N63" s="44">
        <v>6.3000000000000003E-4</v>
      </c>
      <c r="O63" s="44">
        <v>7.3999999999999999E-4</v>
      </c>
      <c r="P63" s="44">
        <v>1.3500000000000001E-3</v>
      </c>
      <c r="Q63" s="44">
        <v>1.74E-3</v>
      </c>
      <c r="R63" s="44">
        <v>2.5000000000000001E-3</v>
      </c>
      <c r="S63" s="44">
        <v>3.62E-3</v>
      </c>
      <c r="T63" s="44">
        <v>4.64E-3</v>
      </c>
      <c r="U63" s="44">
        <v>5.77E-3</v>
      </c>
      <c r="V63" s="44">
        <v>8.0000000000000002E-3</v>
      </c>
      <c r="W63" s="44">
        <v>9.4800000000000006E-3</v>
      </c>
      <c r="X63" s="44">
        <v>1.2189999999999999E-2</v>
      </c>
      <c r="Y63" s="44">
        <v>1.504E-2</v>
      </c>
      <c r="Z63" s="44">
        <v>1.7319999999999999E-2</v>
      </c>
      <c r="AA63" s="44">
        <v>2.0369999999999999E-2</v>
      </c>
      <c r="AB63" s="44">
        <v>2.4340000000000001E-2</v>
      </c>
      <c r="AC63" s="44">
        <v>2.7320000000000001E-2</v>
      </c>
      <c r="AD63" s="44">
        <v>2.92E-2</v>
      </c>
      <c r="AE63" s="44">
        <v>3.2190000000000003E-2</v>
      </c>
      <c r="AF63" s="44">
        <v>3.5900000000000001E-2</v>
      </c>
      <c r="AG63" s="44">
        <v>3.9539999999999999E-2</v>
      </c>
      <c r="AH63" s="44">
        <v>4.0460000000000003E-2</v>
      </c>
      <c r="AI63" s="44">
        <v>4.2009999999999999E-2</v>
      </c>
      <c r="AJ63" s="44">
        <v>4.3229999999999998E-2</v>
      </c>
      <c r="AK63" s="44">
        <v>4.4380000000000003E-2</v>
      </c>
      <c r="AL63" s="44">
        <v>4.4490000000000002E-2</v>
      </c>
      <c r="AM63" s="44">
        <v>4.3889999999999998E-2</v>
      </c>
      <c r="AN63" s="44">
        <v>4.1959999999999997E-2</v>
      </c>
      <c r="AO63" s="44">
        <v>4.2810000000000001E-2</v>
      </c>
      <c r="AP63" s="44">
        <v>4.0620000000000003E-2</v>
      </c>
      <c r="AQ63" s="44">
        <v>3.7620000000000001E-2</v>
      </c>
      <c r="AR63" s="44">
        <v>3.6589999999999998E-2</v>
      </c>
      <c r="AS63" s="44">
        <v>3.2809999999999999E-2</v>
      </c>
      <c r="AT63" s="44">
        <v>3.1559999999999998E-2</v>
      </c>
      <c r="AU63" s="44">
        <v>2.818E-2</v>
      </c>
      <c r="AV63" s="44">
        <v>2.598E-2</v>
      </c>
      <c r="AW63" s="44">
        <v>2.1749999999999999E-2</v>
      </c>
      <c r="AX63" s="44">
        <v>1.976E-2</v>
      </c>
      <c r="AY63" s="44">
        <v>1.711E-2</v>
      </c>
      <c r="AZ63" s="44">
        <v>1.472E-2</v>
      </c>
      <c r="BA63" s="44">
        <v>1.2120000000000001E-2</v>
      </c>
      <c r="BB63" s="44">
        <v>1.059E-2</v>
      </c>
      <c r="BC63" s="44">
        <v>8.6899999999999998E-3</v>
      </c>
      <c r="BD63" s="44">
        <v>6.3699999999999998E-3</v>
      </c>
      <c r="BE63" s="44">
        <v>5.3E-3</v>
      </c>
      <c r="BF63" s="44">
        <v>4.0499999999999998E-3</v>
      </c>
      <c r="BG63" s="44">
        <v>2.8900000000000002E-3</v>
      </c>
      <c r="BH63" s="44">
        <v>2.1900000000000001E-3</v>
      </c>
      <c r="BI63" s="44">
        <v>1.72E-3</v>
      </c>
      <c r="BJ63" s="44">
        <v>9.6000000000000002E-4</v>
      </c>
      <c r="BK63" s="44">
        <v>8.1999999999999998E-4</v>
      </c>
      <c r="BL63" s="44">
        <v>6.3000000000000003E-4</v>
      </c>
      <c r="BM63" s="44">
        <v>4.0999999999999999E-4</v>
      </c>
      <c r="BN63" s="44">
        <v>3.3E-4</v>
      </c>
      <c r="BO63" s="44">
        <v>1.8000000000000001E-4</v>
      </c>
      <c r="BP63" s="44">
        <v>1.2E-4</v>
      </c>
      <c r="BQ63" s="44">
        <v>8.0000000000000007E-5</v>
      </c>
      <c r="BR63" s="44">
        <v>4.0000000000000003E-5</v>
      </c>
      <c r="BS63" s="44">
        <v>4.0000000000000003E-5</v>
      </c>
      <c r="BT63" s="44">
        <v>1.0000000000000001E-5</v>
      </c>
      <c r="BU63" s="44">
        <v>0</v>
      </c>
      <c r="BV63" s="44">
        <v>0</v>
      </c>
      <c r="BW63" s="44">
        <v>0</v>
      </c>
      <c r="BX63" s="44">
        <v>0</v>
      </c>
      <c r="BY63" s="44">
        <v>0</v>
      </c>
      <c r="BZ63" s="44">
        <v>0</v>
      </c>
      <c r="CA63" s="44">
        <v>0</v>
      </c>
      <c r="CB63" s="44">
        <v>0</v>
      </c>
      <c r="CC63" s="44">
        <v>0</v>
      </c>
      <c r="CD63" s="44">
        <v>0</v>
      </c>
      <c r="CE63" s="44">
        <v>0</v>
      </c>
      <c r="CF63" s="44">
        <v>0</v>
      </c>
    </row>
    <row r="64" spans="1:84" ht="15" customHeight="1" x14ac:dyDescent="0.3">
      <c r="A64" s="10" t="s">
        <v>212</v>
      </c>
      <c r="B64" s="44">
        <v>0</v>
      </c>
      <c r="C64" s="44">
        <v>0</v>
      </c>
      <c r="D64" s="44">
        <v>0</v>
      </c>
      <c r="E64" s="44">
        <v>1.0000000000000001E-5</v>
      </c>
      <c r="F64" s="44">
        <v>0</v>
      </c>
      <c r="G64" s="44">
        <v>1.0000000000000001E-5</v>
      </c>
      <c r="H64" s="44">
        <v>1.0000000000000001E-5</v>
      </c>
      <c r="I64" s="44">
        <v>5.0000000000000002E-5</v>
      </c>
      <c r="J64" s="44">
        <v>1.1E-4</v>
      </c>
      <c r="K64" s="44">
        <v>1.2999999999999999E-4</v>
      </c>
      <c r="L64" s="44">
        <v>2.5999999999999998E-4</v>
      </c>
      <c r="M64" s="44">
        <v>3.6000000000000002E-4</v>
      </c>
      <c r="N64" s="44">
        <v>5.8E-4</v>
      </c>
      <c r="O64" s="44">
        <v>8.4999999999999995E-4</v>
      </c>
      <c r="P64" s="44">
        <v>1.3500000000000001E-3</v>
      </c>
      <c r="Q64" s="44">
        <v>1.9400000000000001E-3</v>
      </c>
      <c r="R64" s="44">
        <v>2.49E-3</v>
      </c>
      <c r="S64" s="44">
        <v>3.31E-3</v>
      </c>
      <c r="T64" s="44">
        <v>4.0499999999999998E-3</v>
      </c>
      <c r="U64" s="44">
        <v>5.62E-3</v>
      </c>
      <c r="V64" s="44">
        <v>6.96E-3</v>
      </c>
      <c r="W64" s="44">
        <v>8.5000000000000006E-3</v>
      </c>
      <c r="X64" s="44">
        <v>1.125E-2</v>
      </c>
      <c r="Y64" s="44">
        <v>1.4030000000000001E-2</v>
      </c>
      <c r="Z64" s="44">
        <v>1.457E-2</v>
      </c>
      <c r="AA64" s="44">
        <v>1.84E-2</v>
      </c>
      <c r="AB64" s="44">
        <v>2.0549999999999999E-2</v>
      </c>
      <c r="AC64" s="44">
        <v>2.4240000000000001E-2</v>
      </c>
      <c r="AD64" s="44">
        <v>2.664E-2</v>
      </c>
      <c r="AE64" s="44">
        <v>2.9399999999999999E-2</v>
      </c>
      <c r="AF64" s="44">
        <v>3.168E-2</v>
      </c>
      <c r="AG64" s="44">
        <v>3.5040000000000002E-2</v>
      </c>
      <c r="AH64" s="44">
        <v>3.6700000000000003E-2</v>
      </c>
      <c r="AI64" s="44">
        <v>3.8519999999999999E-2</v>
      </c>
      <c r="AJ64" s="44">
        <v>4.0669999999999998E-2</v>
      </c>
      <c r="AK64" s="44">
        <v>4.0669999999999998E-2</v>
      </c>
      <c r="AL64" s="44">
        <v>4.233E-2</v>
      </c>
      <c r="AM64" s="44">
        <v>4.3189999999999999E-2</v>
      </c>
      <c r="AN64" s="44">
        <v>4.1619999999999997E-2</v>
      </c>
      <c r="AO64" s="44">
        <v>4.0980000000000003E-2</v>
      </c>
      <c r="AP64" s="44">
        <v>4.0980000000000003E-2</v>
      </c>
      <c r="AQ64" s="44">
        <v>4.0189999999999997E-2</v>
      </c>
      <c r="AR64" s="44">
        <v>3.6549999999999999E-2</v>
      </c>
      <c r="AS64" s="44">
        <v>3.4520000000000002E-2</v>
      </c>
      <c r="AT64" s="44">
        <v>3.372E-2</v>
      </c>
      <c r="AU64" s="44">
        <v>3.032E-2</v>
      </c>
      <c r="AV64" s="44">
        <v>2.9590000000000002E-2</v>
      </c>
      <c r="AW64" s="44">
        <v>2.6239999999999999E-2</v>
      </c>
      <c r="AX64" s="44">
        <v>2.3400000000000001E-2</v>
      </c>
      <c r="AY64" s="44">
        <v>2.053E-2</v>
      </c>
      <c r="AZ64" s="44">
        <v>1.7270000000000001E-2</v>
      </c>
      <c r="BA64" s="44">
        <v>1.5570000000000001E-2</v>
      </c>
      <c r="BB64" s="44">
        <v>1.323E-2</v>
      </c>
      <c r="BC64" s="44">
        <v>1.0449999999999999E-2</v>
      </c>
      <c r="BD64" s="44">
        <v>9.2499999999999995E-3</v>
      </c>
      <c r="BE64" s="44">
        <v>7.5799999999999999E-3</v>
      </c>
      <c r="BF64" s="44">
        <v>5.77E-3</v>
      </c>
      <c r="BG64" s="44">
        <v>4.7800000000000004E-3</v>
      </c>
      <c r="BH64" s="44">
        <v>3.5000000000000001E-3</v>
      </c>
      <c r="BI64" s="44">
        <v>2.8999999999999998E-3</v>
      </c>
      <c r="BJ64" s="44">
        <v>2.0300000000000001E-3</v>
      </c>
      <c r="BK64" s="44">
        <v>1.1199999999999999E-3</v>
      </c>
      <c r="BL64" s="44">
        <v>1.1000000000000001E-3</v>
      </c>
      <c r="BM64" s="44">
        <v>7.1000000000000002E-4</v>
      </c>
      <c r="BN64" s="44">
        <v>6.8999999999999997E-4</v>
      </c>
      <c r="BO64" s="44">
        <v>3.5E-4</v>
      </c>
      <c r="BP64" s="44">
        <v>2.1000000000000001E-4</v>
      </c>
      <c r="BQ64" s="44">
        <v>1E-4</v>
      </c>
      <c r="BR64" s="44">
        <v>1.2E-4</v>
      </c>
      <c r="BS64" s="44">
        <v>9.0000000000000006E-5</v>
      </c>
      <c r="BT64" s="44">
        <v>3.0000000000000001E-5</v>
      </c>
      <c r="BU64" s="44">
        <v>4.0000000000000003E-5</v>
      </c>
      <c r="BV64" s="44">
        <v>0</v>
      </c>
      <c r="BW64" s="44">
        <v>0</v>
      </c>
      <c r="BX64" s="44">
        <v>0</v>
      </c>
      <c r="BY64" s="44">
        <v>0</v>
      </c>
      <c r="BZ64" s="44">
        <v>0</v>
      </c>
      <c r="CA64" s="44">
        <v>0</v>
      </c>
      <c r="CB64" s="44">
        <v>0</v>
      </c>
      <c r="CC64" s="44">
        <v>0</v>
      </c>
      <c r="CD64" s="44">
        <v>0</v>
      </c>
      <c r="CE64" s="44">
        <v>0</v>
      </c>
      <c r="CF64" s="44">
        <v>0</v>
      </c>
    </row>
    <row r="65" spans="1:84" ht="15" customHeight="1" x14ac:dyDescent="0.3">
      <c r="A65" s="10" t="s">
        <v>213</v>
      </c>
      <c r="B65" s="44">
        <v>0</v>
      </c>
      <c r="C65" s="44">
        <v>0</v>
      </c>
      <c r="D65" s="44">
        <v>0</v>
      </c>
      <c r="E65" s="44">
        <v>0</v>
      </c>
      <c r="F65" s="44">
        <v>4.0000000000000003E-5</v>
      </c>
      <c r="G65" s="44">
        <v>8.0000000000000007E-5</v>
      </c>
      <c r="H65" s="44">
        <v>1.8000000000000001E-4</v>
      </c>
      <c r="I65" s="44">
        <v>3.3E-4</v>
      </c>
      <c r="J65" s="44">
        <v>6.8999999999999997E-4</v>
      </c>
      <c r="K65" s="44">
        <v>1.25E-3</v>
      </c>
      <c r="L65" s="44">
        <v>1.47E-3</v>
      </c>
      <c r="M65" s="44">
        <v>2.8600000000000001E-3</v>
      </c>
      <c r="N65" s="44">
        <v>4.2900000000000004E-3</v>
      </c>
      <c r="O65" s="44">
        <v>5.4599999999999996E-3</v>
      </c>
      <c r="P65" s="44">
        <v>7.5199999999999998E-3</v>
      </c>
      <c r="Q65" s="44">
        <v>1.0460000000000001E-2</v>
      </c>
      <c r="R65" s="44">
        <v>1.3270000000000001E-2</v>
      </c>
      <c r="S65" s="44">
        <v>1.5800000000000002E-2</v>
      </c>
      <c r="T65" s="44">
        <v>1.9130000000000001E-2</v>
      </c>
      <c r="U65" s="44">
        <v>2.3720000000000001E-2</v>
      </c>
      <c r="V65" s="44">
        <v>2.7220000000000001E-2</v>
      </c>
      <c r="W65" s="44">
        <v>2.9489999999999999E-2</v>
      </c>
      <c r="X65" s="44">
        <v>3.3450000000000001E-2</v>
      </c>
      <c r="Y65" s="44">
        <v>3.6749999999999998E-2</v>
      </c>
      <c r="Z65" s="44">
        <v>3.8929999999999999E-2</v>
      </c>
      <c r="AA65" s="44">
        <v>4.2369999999999998E-2</v>
      </c>
      <c r="AB65" s="44">
        <v>4.3540000000000002E-2</v>
      </c>
      <c r="AC65" s="44">
        <v>4.5510000000000002E-2</v>
      </c>
      <c r="AD65" s="44">
        <v>4.6149999999999997E-2</v>
      </c>
      <c r="AE65" s="44">
        <v>4.6760000000000003E-2</v>
      </c>
      <c r="AF65" s="44">
        <v>4.6399999999999997E-2</v>
      </c>
      <c r="AG65" s="44">
        <v>4.4499999999999998E-2</v>
      </c>
      <c r="AH65" s="44">
        <v>4.3650000000000001E-2</v>
      </c>
      <c r="AI65" s="44">
        <v>4.1360000000000001E-2</v>
      </c>
      <c r="AJ65" s="44">
        <v>3.9469999999999998E-2</v>
      </c>
      <c r="AK65" s="44">
        <v>3.5959999999999999E-2</v>
      </c>
      <c r="AL65" s="44">
        <v>3.431E-2</v>
      </c>
      <c r="AM65" s="44">
        <v>3.092E-2</v>
      </c>
      <c r="AN65" s="44">
        <v>2.7969999999999998E-2</v>
      </c>
      <c r="AO65" s="44">
        <v>2.5489999999999999E-2</v>
      </c>
      <c r="AP65" s="44">
        <v>2.2110000000000001E-2</v>
      </c>
      <c r="AQ65" s="44">
        <v>1.8800000000000001E-2</v>
      </c>
      <c r="AR65" s="44">
        <v>1.6639999999999999E-2</v>
      </c>
      <c r="AS65" s="44">
        <v>1.427E-2</v>
      </c>
      <c r="AT65" s="44">
        <v>1.2789999999999999E-2</v>
      </c>
      <c r="AU65" s="44">
        <v>9.9100000000000004E-3</v>
      </c>
      <c r="AV65" s="44">
        <v>8.3000000000000001E-3</v>
      </c>
      <c r="AW65" s="44">
        <v>7.0000000000000001E-3</v>
      </c>
      <c r="AX65" s="44">
        <v>5.9199999999999999E-3</v>
      </c>
      <c r="AY65" s="44">
        <v>4.5100000000000001E-3</v>
      </c>
      <c r="AZ65" s="44">
        <v>3.2699999999999999E-3</v>
      </c>
      <c r="BA65" s="44">
        <v>2.4399999999999999E-3</v>
      </c>
      <c r="BB65" s="44">
        <v>1.89E-3</v>
      </c>
      <c r="BC65" s="44">
        <v>1.6199999999999999E-3</v>
      </c>
      <c r="BD65" s="44">
        <v>1.14E-3</v>
      </c>
      <c r="BE65" s="44">
        <v>9.7000000000000005E-4</v>
      </c>
      <c r="BF65" s="44">
        <v>4.4999999999999999E-4</v>
      </c>
      <c r="BG65" s="44">
        <v>4.8999999999999998E-4</v>
      </c>
      <c r="BH65" s="44">
        <v>2.9E-4</v>
      </c>
      <c r="BI65" s="44">
        <v>2.0000000000000001E-4</v>
      </c>
      <c r="BJ65" s="44">
        <v>9.0000000000000006E-5</v>
      </c>
      <c r="BK65" s="44">
        <v>8.0000000000000007E-5</v>
      </c>
      <c r="BL65" s="44">
        <v>3.0000000000000001E-5</v>
      </c>
      <c r="BM65" s="44">
        <v>3.0000000000000001E-5</v>
      </c>
      <c r="BN65" s="44">
        <v>1.0000000000000001E-5</v>
      </c>
      <c r="BO65" s="44">
        <v>0</v>
      </c>
      <c r="BP65" s="44">
        <v>0</v>
      </c>
      <c r="BQ65" s="44">
        <v>0</v>
      </c>
      <c r="BR65" s="44">
        <v>0</v>
      </c>
      <c r="BS65" s="44">
        <v>0</v>
      </c>
      <c r="BT65" s="44">
        <v>0</v>
      </c>
      <c r="BU65" s="44">
        <v>0</v>
      </c>
      <c r="BV65" s="44">
        <v>0</v>
      </c>
      <c r="BW65" s="44">
        <v>0</v>
      </c>
      <c r="BX65" s="44">
        <v>0</v>
      </c>
      <c r="BY65" s="44">
        <v>0</v>
      </c>
      <c r="BZ65" s="44">
        <v>0</v>
      </c>
      <c r="CA65" s="44">
        <v>0</v>
      </c>
      <c r="CB65" s="44">
        <v>0</v>
      </c>
      <c r="CC65" s="44">
        <v>0</v>
      </c>
      <c r="CD65" s="44">
        <v>0</v>
      </c>
      <c r="CE65" s="44">
        <v>0</v>
      </c>
      <c r="CF65" s="44">
        <v>0</v>
      </c>
    </row>
    <row r="66" spans="1:84" ht="15" customHeight="1" x14ac:dyDescent="0.3">
      <c r="A66" s="10" t="s">
        <v>214</v>
      </c>
      <c r="B66" s="44">
        <v>0</v>
      </c>
      <c r="C66" s="44">
        <v>0</v>
      </c>
      <c r="D66" s="44">
        <v>0</v>
      </c>
      <c r="E66" s="44">
        <v>0</v>
      </c>
      <c r="F66" s="44">
        <v>0</v>
      </c>
      <c r="G66" s="44">
        <v>0</v>
      </c>
      <c r="H66" s="44">
        <v>0</v>
      </c>
      <c r="I66" s="44">
        <v>0</v>
      </c>
      <c r="J66" s="44">
        <v>0</v>
      </c>
      <c r="K66" s="44">
        <v>0</v>
      </c>
      <c r="L66" s="44">
        <v>1.0000000000000001E-5</v>
      </c>
      <c r="M66" s="44">
        <v>4.0000000000000003E-5</v>
      </c>
      <c r="N66" s="44">
        <v>5.0000000000000002E-5</v>
      </c>
      <c r="O66" s="44">
        <v>1.1E-4</v>
      </c>
      <c r="P66" s="44">
        <v>1.3999999999999999E-4</v>
      </c>
      <c r="Q66" s="44">
        <v>2.1000000000000001E-4</v>
      </c>
      <c r="R66" s="44">
        <v>3.2000000000000003E-4</v>
      </c>
      <c r="S66" s="44">
        <v>4.2000000000000002E-4</v>
      </c>
      <c r="T66" s="44">
        <v>5.6999999999999998E-4</v>
      </c>
      <c r="U66" s="44">
        <v>8.3000000000000001E-4</v>
      </c>
      <c r="V66" s="44">
        <v>1.0499999999999999E-3</v>
      </c>
      <c r="W66" s="44">
        <v>1.56E-3</v>
      </c>
      <c r="X66" s="44">
        <v>1.8600000000000001E-3</v>
      </c>
      <c r="Y66" s="44">
        <v>2.7599999999999999E-3</v>
      </c>
      <c r="Z66" s="44">
        <v>3.5999999999999999E-3</v>
      </c>
      <c r="AA66" s="44">
        <v>4.4000000000000003E-3</v>
      </c>
      <c r="AB66" s="44">
        <v>5.7200000000000003E-3</v>
      </c>
      <c r="AC66" s="44">
        <v>7.2500000000000004E-3</v>
      </c>
      <c r="AD66" s="44">
        <v>9.1800000000000007E-3</v>
      </c>
      <c r="AE66" s="44">
        <v>1.014E-2</v>
      </c>
      <c r="AF66" s="44">
        <v>1.2919999999999999E-2</v>
      </c>
      <c r="AG66" s="44">
        <v>1.54E-2</v>
      </c>
      <c r="AH66" s="44">
        <v>1.7659999999999999E-2</v>
      </c>
      <c r="AI66" s="44">
        <v>1.9599999999999999E-2</v>
      </c>
      <c r="AJ66" s="44">
        <v>2.2460000000000001E-2</v>
      </c>
      <c r="AK66" s="44">
        <v>2.5399999999999999E-2</v>
      </c>
      <c r="AL66" s="44">
        <v>2.7560000000000001E-2</v>
      </c>
      <c r="AM66" s="44">
        <v>2.988E-2</v>
      </c>
      <c r="AN66" s="44">
        <v>3.3619999999999997E-2</v>
      </c>
      <c r="AO66" s="44">
        <v>3.4799999999999998E-2</v>
      </c>
      <c r="AP66" s="44">
        <v>3.7629999999999997E-2</v>
      </c>
      <c r="AQ66" s="44">
        <v>3.9870000000000003E-2</v>
      </c>
      <c r="AR66" s="44">
        <v>4.0930000000000001E-2</v>
      </c>
      <c r="AS66" s="44">
        <v>4.3240000000000001E-2</v>
      </c>
      <c r="AT66" s="44">
        <v>4.2999999999999997E-2</v>
      </c>
      <c r="AU66" s="44">
        <v>4.505E-2</v>
      </c>
      <c r="AV66" s="44">
        <v>4.2880000000000001E-2</v>
      </c>
      <c r="AW66" s="44">
        <v>4.2029999999999998E-2</v>
      </c>
      <c r="AX66" s="44">
        <v>4.061E-2</v>
      </c>
      <c r="AY66" s="44">
        <v>3.9469999999999998E-2</v>
      </c>
      <c r="AZ66" s="44">
        <v>3.8550000000000001E-2</v>
      </c>
      <c r="BA66" s="44">
        <v>3.5650000000000001E-2</v>
      </c>
      <c r="BB66" s="44">
        <v>3.1539999999999999E-2</v>
      </c>
      <c r="BC66" s="44">
        <v>3.0259999999999999E-2</v>
      </c>
      <c r="BD66" s="44">
        <v>2.6700000000000002E-2</v>
      </c>
      <c r="BE66" s="44">
        <v>2.4580000000000001E-2</v>
      </c>
      <c r="BF66" s="44">
        <v>2.0279999999999999E-2</v>
      </c>
      <c r="BG66" s="44">
        <v>1.7749999999999998E-2</v>
      </c>
      <c r="BH66" s="44">
        <v>1.533E-2</v>
      </c>
      <c r="BI66" s="44">
        <v>1.269E-2</v>
      </c>
      <c r="BJ66" s="44">
        <v>1.0789999999999999E-2</v>
      </c>
      <c r="BK66" s="44">
        <v>7.79E-3</v>
      </c>
      <c r="BL66" s="44">
        <v>6.2700000000000004E-3</v>
      </c>
      <c r="BM66" s="44">
        <v>5.0800000000000003E-3</v>
      </c>
      <c r="BN66" s="44">
        <v>3.82E-3</v>
      </c>
      <c r="BO66" s="44">
        <v>2.9299999999999999E-3</v>
      </c>
      <c r="BP66" s="44">
        <v>1.81E-3</v>
      </c>
      <c r="BQ66" s="44">
        <v>1.41E-3</v>
      </c>
      <c r="BR66" s="44">
        <v>9.3000000000000005E-4</v>
      </c>
      <c r="BS66" s="44">
        <v>7.2999999999999996E-4</v>
      </c>
      <c r="BT66" s="44">
        <v>3.6000000000000002E-4</v>
      </c>
      <c r="BU66" s="44">
        <v>2.2000000000000001E-4</v>
      </c>
      <c r="BV66" s="44">
        <v>2.1000000000000001E-4</v>
      </c>
      <c r="BW66" s="44">
        <v>6.9999999999999994E-5</v>
      </c>
      <c r="BX66" s="44">
        <v>1.0000000000000001E-5</v>
      </c>
      <c r="BY66" s="44">
        <v>1.0000000000000001E-5</v>
      </c>
      <c r="BZ66" s="44">
        <v>0</v>
      </c>
      <c r="CA66" s="44">
        <v>0</v>
      </c>
      <c r="CB66" s="44">
        <v>0</v>
      </c>
      <c r="CC66" s="44">
        <v>0</v>
      </c>
      <c r="CD66" s="44">
        <v>0</v>
      </c>
      <c r="CE66" s="44">
        <v>0</v>
      </c>
      <c r="CF66" s="44">
        <v>0</v>
      </c>
    </row>
    <row r="67" spans="1:84" ht="15" customHeight="1" x14ac:dyDescent="0.3">
      <c r="A67" s="10" t="s">
        <v>215</v>
      </c>
      <c r="B67" s="44">
        <v>0</v>
      </c>
      <c r="C67" s="44">
        <v>0</v>
      </c>
      <c r="D67" s="44">
        <v>0</v>
      </c>
      <c r="E67" s="44">
        <v>0</v>
      </c>
      <c r="F67" s="44">
        <v>2.0000000000000002E-5</v>
      </c>
      <c r="G67" s="44">
        <v>5.0000000000000002E-5</v>
      </c>
      <c r="H67" s="44">
        <v>1.3999999999999999E-4</v>
      </c>
      <c r="I67" s="44">
        <v>2.0000000000000001E-4</v>
      </c>
      <c r="J67" s="44">
        <v>4.0000000000000002E-4</v>
      </c>
      <c r="K67" s="44">
        <v>4.6000000000000001E-4</v>
      </c>
      <c r="L67" s="44">
        <v>9.8999999999999999E-4</v>
      </c>
      <c r="M67" s="44">
        <v>1.6199999999999999E-3</v>
      </c>
      <c r="N67" s="44">
        <v>2.33E-3</v>
      </c>
      <c r="O67" s="44">
        <v>3.4199999999999999E-3</v>
      </c>
      <c r="P67" s="44">
        <v>4.6299999999999996E-3</v>
      </c>
      <c r="Q67" s="44">
        <v>6.3899999999999998E-3</v>
      </c>
      <c r="R67" s="44">
        <v>8.7799999999999996E-3</v>
      </c>
      <c r="S67" s="44">
        <v>1.0789999999999999E-2</v>
      </c>
      <c r="T67" s="44">
        <v>1.2999999999999999E-2</v>
      </c>
      <c r="U67" s="44">
        <v>1.627E-2</v>
      </c>
      <c r="V67" s="44">
        <v>1.9140000000000001E-2</v>
      </c>
      <c r="W67" s="44">
        <v>2.3060000000000001E-2</v>
      </c>
      <c r="X67" s="44">
        <v>2.5729999999999999E-2</v>
      </c>
      <c r="Y67" s="44">
        <v>2.9069999999999999E-2</v>
      </c>
      <c r="Z67" s="44">
        <v>3.3430000000000001E-2</v>
      </c>
      <c r="AA67" s="44">
        <v>3.6200000000000003E-2</v>
      </c>
      <c r="AB67" s="44">
        <v>3.8420000000000003E-2</v>
      </c>
      <c r="AC67" s="44">
        <v>4.0550000000000003E-2</v>
      </c>
      <c r="AD67" s="44">
        <v>4.3729999999999998E-2</v>
      </c>
      <c r="AE67" s="44">
        <v>4.4670000000000001E-2</v>
      </c>
      <c r="AF67" s="44">
        <v>4.555E-2</v>
      </c>
      <c r="AG67" s="44">
        <v>4.4569999999999999E-2</v>
      </c>
      <c r="AH67" s="44">
        <v>4.5760000000000002E-2</v>
      </c>
      <c r="AI67" s="44">
        <v>4.3909999999999998E-2</v>
      </c>
      <c r="AJ67" s="44">
        <v>4.3029999999999999E-2</v>
      </c>
      <c r="AK67" s="44">
        <v>4.0770000000000001E-2</v>
      </c>
      <c r="AL67" s="44">
        <v>3.9300000000000002E-2</v>
      </c>
      <c r="AM67" s="44">
        <v>3.7130000000000003E-2</v>
      </c>
      <c r="AN67" s="44">
        <v>3.4020000000000002E-2</v>
      </c>
      <c r="AO67" s="44">
        <v>3.0470000000000001E-2</v>
      </c>
      <c r="AP67" s="44">
        <v>2.8850000000000001E-2</v>
      </c>
      <c r="AQ67" s="44">
        <v>2.4910000000000002E-2</v>
      </c>
      <c r="AR67" s="44">
        <v>2.2530000000000001E-2</v>
      </c>
      <c r="AS67" s="44">
        <v>2.0039999999999999E-2</v>
      </c>
      <c r="AT67" s="44">
        <v>1.7420000000000001E-2</v>
      </c>
      <c r="AU67" s="44">
        <v>1.523E-2</v>
      </c>
      <c r="AV67" s="44">
        <v>1.2959999999999999E-2</v>
      </c>
      <c r="AW67" s="44">
        <v>1.039E-2</v>
      </c>
      <c r="AX67" s="44">
        <v>8.09E-3</v>
      </c>
      <c r="AY67" s="44">
        <v>7.3000000000000001E-3</v>
      </c>
      <c r="AZ67" s="44">
        <v>5.8399999999999997E-3</v>
      </c>
      <c r="BA67" s="44">
        <v>4.4900000000000001E-3</v>
      </c>
      <c r="BB67" s="44">
        <v>3.4399999999999999E-3</v>
      </c>
      <c r="BC67" s="44">
        <v>2.6900000000000001E-3</v>
      </c>
      <c r="BD67" s="44">
        <v>2.1700000000000001E-3</v>
      </c>
      <c r="BE67" s="44">
        <v>1.6900000000000001E-3</v>
      </c>
      <c r="BF67" s="44">
        <v>1.25E-3</v>
      </c>
      <c r="BG67" s="44">
        <v>8.4999999999999995E-4</v>
      </c>
      <c r="BH67" s="44">
        <v>5.9000000000000003E-4</v>
      </c>
      <c r="BI67" s="44">
        <v>4.4999999999999999E-4</v>
      </c>
      <c r="BJ67" s="44">
        <v>2.5000000000000001E-4</v>
      </c>
      <c r="BK67" s="44">
        <v>2.1000000000000001E-4</v>
      </c>
      <c r="BL67" s="44">
        <v>1.2E-4</v>
      </c>
      <c r="BM67" s="44">
        <v>6.9999999999999994E-5</v>
      </c>
      <c r="BN67" s="44">
        <v>6.0000000000000002E-5</v>
      </c>
      <c r="BO67" s="44">
        <v>5.0000000000000002E-5</v>
      </c>
      <c r="BP67" s="44">
        <v>2.0000000000000002E-5</v>
      </c>
      <c r="BQ67" s="44">
        <v>3.0000000000000001E-5</v>
      </c>
      <c r="BR67" s="44">
        <v>0</v>
      </c>
      <c r="BS67" s="44">
        <v>1.0000000000000001E-5</v>
      </c>
      <c r="BT67" s="44">
        <v>0</v>
      </c>
      <c r="BU67" s="44">
        <v>0</v>
      </c>
      <c r="BV67" s="44">
        <v>0</v>
      </c>
      <c r="BW67" s="44">
        <v>0</v>
      </c>
      <c r="BX67" s="44">
        <v>0</v>
      </c>
      <c r="BY67" s="44">
        <v>0</v>
      </c>
      <c r="BZ67" s="44">
        <v>0</v>
      </c>
      <c r="CA67" s="44">
        <v>0</v>
      </c>
      <c r="CB67" s="44">
        <v>0</v>
      </c>
      <c r="CC67" s="44">
        <v>0</v>
      </c>
      <c r="CD67" s="44">
        <v>0</v>
      </c>
      <c r="CE67" s="44">
        <v>0</v>
      </c>
      <c r="CF67" s="44">
        <v>0</v>
      </c>
    </row>
    <row r="68" spans="1:84" ht="15" customHeight="1" x14ac:dyDescent="0.3">
      <c r="A68" s="10" t="s">
        <v>216</v>
      </c>
      <c r="B68" s="44">
        <v>0</v>
      </c>
      <c r="C68" s="44">
        <v>0</v>
      </c>
      <c r="D68" s="44">
        <v>0</v>
      </c>
      <c r="E68" s="44">
        <v>0</v>
      </c>
      <c r="F68" s="44">
        <v>0</v>
      </c>
      <c r="G68" s="44">
        <v>0</v>
      </c>
      <c r="H68" s="44">
        <v>0</v>
      </c>
      <c r="I68" s="44">
        <v>0</v>
      </c>
      <c r="J68" s="44">
        <v>0</v>
      </c>
      <c r="K68" s="44">
        <v>1.0000000000000001E-5</v>
      </c>
      <c r="L68" s="44">
        <v>2.0000000000000002E-5</v>
      </c>
      <c r="M68" s="44">
        <v>4.0000000000000003E-5</v>
      </c>
      <c r="N68" s="44">
        <v>3.0000000000000001E-5</v>
      </c>
      <c r="O68" s="44">
        <v>1.1E-4</v>
      </c>
      <c r="P68" s="44">
        <v>1.4999999999999999E-4</v>
      </c>
      <c r="Q68" s="44">
        <v>2.0000000000000001E-4</v>
      </c>
      <c r="R68" s="44">
        <v>3.2000000000000003E-4</v>
      </c>
      <c r="S68" s="44">
        <v>4.8999999999999998E-4</v>
      </c>
      <c r="T68" s="44">
        <v>8.0000000000000004E-4</v>
      </c>
      <c r="U68" s="44">
        <v>9.8999999999999999E-4</v>
      </c>
      <c r="V68" s="44">
        <v>1.3699999999999999E-3</v>
      </c>
      <c r="W68" s="44">
        <v>1.97E-3</v>
      </c>
      <c r="X68" s="44">
        <v>2.5899999999999999E-3</v>
      </c>
      <c r="Y68" s="44">
        <v>3.5799999999999998E-3</v>
      </c>
      <c r="Z68" s="44">
        <v>4.6299999999999996E-3</v>
      </c>
      <c r="AA68" s="44">
        <v>5.5500000000000002E-3</v>
      </c>
      <c r="AB68" s="44">
        <v>6.8199999999999997E-3</v>
      </c>
      <c r="AC68" s="44">
        <v>8.9700000000000005E-3</v>
      </c>
      <c r="AD68" s="44">
        <v>1.01E-2</v>
      </c>
      <c r="AE68" s="44">
        <v>1.2279999999999999E-2</v>
      </c>
      <c r="AF68" s="44">
        <v>1.469E-2</v>
      </c>
      <c r="AG68" s="44">
        <v>1.669E-2</v>
      </c>
      <c r="AH68" s="44">
        <v>1.925E-2</v>
      </c>
      <c r="AI68" s="44">
        <v>2.1489999999999999E-2</v>
      </c>
      <c r="AJ68" s="44">
        <v>2.4410000000000001E-2</v>
      </c>
      <c r="AK68" s="44">
        <v>2.631E-2</v>
      </c>
      <c r="AL68" s="44">
        <v>3.0040000000000001E-2</v>
      </c>
      <c r="AM68" s="44">
        <v>3.2349999999999997E-2</v>
      </c>
      <c r="AN68" s="44">
        <v>3.4000000000000002E-2</v>
      </c>
      <c r="AO68" s="44">
        <v>3.6600000000000001E-2</v>
      </c>
      <c r="AP68" s="44">
        <v>3.8710000000000001E-2</v>
      </c>
      <c r="AQ68" s="44">
        <v>3.9879999999999999E-2</v>
      </c>
      <c r="AR68" s="44">
        <v>4.1399999999999999E-2</v>
      </c>
      <c r="AS68" s="44">
        <v>4.2180000000000002E-2</v>
      </c>
      <c r="AT68" s="44">
        <v>4.2229999999999997E-2</v>
      </c>
      <c r="AU68" s="44">
        <v>4.1930000000000002E-2</v>
      </c>
      <c r="AV68" s="44">
        <v>4.2459999999999998E-2</v>
      </c>
      <c r="AW68" s="44">
        <v>4.0559999999999999E-2</v>
      </c>
      <c r="AX68" s="44">
        <v>4.0149999999999998E-2</v>
      </c>
      <c r="AY68" s="44">
        <v>3.705E-2</v>
      </c>
      <c r="AZ68" s="44">
        <v>3.5990000000000001E-2</v>
      </c>
      <c r="BA68" s="44">
        <v>3.227E-2</v>
      </c>
      <c r="BB68" s="44">
        <v>3.0550000000000001E-2</v>
      </c>
      <c r="BC68" s="44">
        <v>2.8719999999999999E-2</v>
      </c>
      <c r="BD68" s="44">
        <v>2.495E-2</v>
      </c>
      <c r="BE68" s="44">
        <v>2.1170000000000001E-2</v>
      </c>
      <c r="BF68" s="44">
        <v>1.9699999999999999E-2</v>
      </c>
      <c r="BG68" s="44">
        <v>1.6150000000000001E-2</v>
      </c>
      <c r="BH68" s="44">
        <v>1.426E-2</v>
      </c>
      <c r="BI68" s="44">
        <v>1.2149999999999999E-2</v>
      </c>
      <c r="BJ68" s="44">
        <v>1.0240000000000001E-2</v>
      </c>
      <c r="BK68" s="44">
        <v>7.4099999999999999E-3</v>
      </c>
      <c r="BL68" s="44">
        <v>5.7600000000000004E-3</v>
      </c>
      <c r="BM68" s="44">
        <v>4.8300000000000001E-3</v>
      </c>
      <c r="BN68" s="44">
        <v>3.9100000000000003E-3</v>
      </c>
      <c r="BO68" s="44">
        <v>2.5300000000000001E-3</v>
      </c>
      <c r="BP68" s="44">
        <v>2.0600000000000002E-3</v>
      </c>
      <c r="BQ68" s="44">
        <v>1.5399999999999999E-3</v>
      </c>
      <c r="BR68" s="44">
        <v>1E-3</v>
      </c>
      <c r="BS68" s="44">
        <v>5.6999999999999998E-4</v>
      </c>
      <c r="BT68" s="44">
        <v>3.6999999999999999E-4</v>
      </c>
      <c r="BU68" s="44">
        <v>2.7E-4</v>
      </c>
      <c r="BV68" s="44">
        <v>1E-4</v>
      </c>
      <c r="BW68" s="44">
        <v>5.0000000000000002E-5</v>
      </c>
      <c r="BX68" s="44">
        <v>4.0000000000000003E-5</v>
      </c>
      <c r="BY68" s="44">
        <v>0</v>
      </c>
      <c r="BZ68" s="44">
        <v>1.0000000000000001E-5</v>
      </c>
      <c r="CA68" s="44">
        <v>0</v>
      </c>
      <c r="CB68" s="44">
        <v>0</v>
      </c>
      <c r="CC68" s="44">
        <v>0</v>
      </c>
      <c r="CD68" s="44">
        <v>0</v>
      </c>
      <c r="CE68" s="44">
        <v>0</v>
      </c>
      <c r="CF68" s="44">
        <v>0</v>
      </c>
    </row>
    <row r="69" spans="1:84" ht="15" customHeight="1" x14ac:dyDescent="0.3">
      <c r="A69" s="10" t="s">
        <v>217</v>
      </c>
      <c r="B69" s="44">
        <v>0</v>
      </c>
      <c r="C69" s="44">
        <v>0</v>
      </c>
      <c r="D69" s="44">
        <v>0</v>
      </c>
      <c r="E69" s="44">
        <v>0</v>
      </c>
      <c r="F69" s="44">
        <v>0</v>
      </c>
      <c r="G69" s="44">
        <v>0</v>
      </c>
      <c r="H69" s="44">
        <v>0</v>
      </c>
      <c r="I69" s="44">
        <v>0</v>
      </c>
      <c r="J69" s="44">
        <v>0</v>
      </c>
      <c r="K69" s="44">
        <v>0</v>
      </c>
      <c r="L69" s="44">
        <v>0</v>
      </c>
      <c r="M69" s="44">
        <v>0</v>
      </c>
      <c r="N69" s="44">
        <v>0</v>
      </c>
      <c r="O69" s="44">
        <v>0</v>
      </c>
      <c r="P69" s="44">
        <v>0</v>
      </c>
      <c r="Q69" s="44">
        <v>0</v>
      </c>
      <c r="R69" s="44">
        <v>0</v>
      </c>
      <c r="S69" s="44">
        <v>1.0000000000000001E-5</v>
      </c>
      <c r="T69" s="44">
        <v>0</v>
      </c>
      <c r="U69" s="44">
        <v>0</v>
      </c>
      <c r="V69" s="44">
        <v>0</v>
      </c>
      <c r="W69" s="44">
        <v>2.0000000000000002E-5</v>
      </c>
      <c r="X69" s="44">
        <v>1.0000000000000001E-5</v>
      </c>
      <c r="Y69" s="44">
        <v>5.0000000000000002E-5</v>
      </c>
      <c r="Z69" s="44">
        <v>4.0000000000000003E-5</v>
      </c>
      <c r="AA69" s="44">
        <v>1E-4</v>
      </c>
      <c r="AB69" s="44">
        <v>1.7000000000000001E-4</v>
      </c>
      <c r="AC69" s="44">
        <v>1.6000000000000001E-4</v>
      </c>
      <c r="AD69" s="44">
        <v>2.3000000000000001E-4</v>
      </c>
      <c r="AE69" s="44">
        <v>2.1000000000000001E-4</v>
      </c>
      <c r="AF69" s="44">
        <v>3.8000000000000002E-4</v>
      </c>
      <c r="AG69" s="44">
        <v>5.9000000000000003E-4</v>
      </c>
      <c r="AH69" s="44">
        <v>6.7000000000000002E-4</v>
      </c>
      <c r="AI69" s="44">
        <v>1.0499999999999999E-3</v>
      </c>
      <c r="AJ69" s="44">
        <v>1.15E-3</v>
      </c>
      <c r="AK69" s="44">
        <v>1.5299999999999999E-3</v>
      </c>
      <c r="AL69" s="44">
        <v>2.2300000000000002E-3</v>
      </c>
      <c r="AM69" s="44">
        <v>2.3900000000000002E-3</v>
      </c>
      <c r="AN69" s="44">
        <v>3.1800000000000001E-3</v>
      </c>
      <c r="AO69" s="44">
        <v>3.8300000000000001E-3</v>
      </c>
      <c r="AP69" s="44">
        <v>5.1000000000000004E-3</v>
      </c>
      <c r="AQ69" s="44">
        <v>5.94E-3</v>
      </c>
      <c r="AR69" s="44">
        <v>7.1799999999999998E-3</v>
      </c>
      <c r="AS69" s="44">
        <v>8.3999999999999995E-3</v>
      </c>
      <c r="AT69" s="44">
        <v>1.005E-2</v>
      </c>
      <c r="AU69" s="44">
        <v>1.231E-2</v>
      </c>
      <c r="AV69" s="44">
        <v>1.4279999999999999E-2</v>
      </c>
      <c r="AW69" s="44">
        <v>1.6789999999999999E-2</v>
      </c>
      <c r="AX69" s="44">
        <v>1.8710000000000001E-2</v>
      </c>
      <c r="AY69" s="44">
        <v>2.0920000000000001E-2</v>
      </c>
      <c r="AZ69" s="44">
        <v>2.4510000000000001E-2</v>
      </c>
      <c r="BA69" s="44">
        <v>2.8479999999999998E-2</v>
      </c>
      <c r="BB69" s="44">
        <v>2.9389999999999999E-2</v>
      </c>
      <c r="BC69" s="44">
        <v>3.2779999999999997E-2</v>
      </c>
      <c r="BD69" s="44">
        <v>3.6240000000000001E-2</v>
      </c>
      <c r="BE69" s="44">
        <v>3.7859999999999998E-2</v>
      </c>
      <c r="BF69" s="44">
        <v>4.1860000000000001E-2</v>
      </c>
      <c r="BG69" s="44">
        <v>4.1849999999999998E-2</v>
      </c>
      <c r="BH69" s="44">
        <v>4.6719999999999998E-2</v>
      </c>
      <c r="BI69" s="44">
        <v>4.6989999999999997E-2</v>
      </c>
      <c r="BJ69" s="44">
        <v>4.7260000000000003E-2</v>
      </c>
      <c r="BK69" s="44">
        <v>4.9070000000000003E-2</v>
      </c>
      <c r="BL69" s="44">
        <v>4.8349999999999997E-2</v>
      </c>
      <c r="BM69" s="44">
        <v>4.6789999999999998E-2</v>
      </c>
      <c r="BN69" s="44">
        <v>4.3970000000000002E-2</v>
      </c>
      <c r="BO69" s="44">
        <v>4.1540000000000001E-2</v>
      </c>
      <c r="BP69" s="44">
        <v>3.8159999999999999E-2</v>
      </c>
      <c r="BQ69" s="44">
        <v>3.5409999999999997E-2</v>
      </c>
      <c r="BR69" s="44">
        <v>3.1399999999999997E-2</v>
      </c>
      <c r="BS69" s="44">
        <v>2.7640000000000001E-2</v>
      </c>
      <c r="BT69" s="44">
        <v>2.2380000000000001E-2</v>
      </c>
      <c r="BU69" s="44">
        <v>1.8290000000000001E-2</v>
      </c>
      <c r="BV69" s="44">
        <v>1.451E-2</v>
      </c>
      <c r="BW69" s="44">
        <v>1.0919999999999999E-2</v>
      </c>
      <c r="BX69" s="44">
        <v>8.1399999999999997E-3</v>
      </c>
      <c r="BY69" s="44">
        <v>5.1599999999999997E-3</v>
      </c>
      <c r="BZ69" s="44">
        <v>3.0899999999999999E-3</v>
      </c>
      <c r="CA69" s="44">
        <v>1.8799999999999999E-3</v>
      </c>
      <c r="CB69" s="44">
        <v>1E-3</v>
      </c>
      <c r="CC69" s="44">
        <v>5.5000000000000003E-4</v>
      </c>
      <c r="CD69" s="44">
        <v>1.1E-4</v>
      </c>
      <c r="CE69" s="44">
        <v>1.0000000000000001E-5</v>
      </c>
      <c r="CF69" s="44">
        <v>1.0000000000000001E-5</v>
      </c>
    </row>
    <row r="70" spans="1:84" ht="15" customHeight="1" x14ac:dyDescent="0.3">
      <c r="A70" s="10" t="s">
        <v>218</v>
      </c>
      <c r="B70" s="44">
        <v>0</v>
      </c>
      <c r="C70" s="44">
        <v>0</v>
      </c>
      <c r="D70" s="44">
        <v>0</v>
      </c>
      <c r="E70" s="44">
        <v>0</v>
      </c>
      <c r="F70" s="44">
        <v>0</v>
      </c>
      <c r="G70" s="44">
        <v>0</v>
      </c>
      <c r="H70" s="44">
        <v>0</v>
      </c>
      <c r="I70" s="44">
        <v>0</v>
      </c>
      <c r="J70" s="44">
        <v>1.0000000000000001E-5</v>
      </c>
      <c r="K70" s="44">
        <v>1.0000000000000001E-5</v>
      </c>
      <c r="L70" s="44">
        <v>1.0000000000000001E-5</v>
      </c>
      <c r="M70" s="44">
        <v>3.0000000000000001E-5</v>
      </c>
      <c r="N70" s="44">
        <v>1.0000000000000001E-5</v>
      </c>
      <c r="O70" s="44">
        <v>6.0000000000000002E-5</v>
      </c>
      <c r="P70" s="44">
        <v>1.2999999999999999E-4</v>
      </c>
      <c r="Q70" s="44">
        <v>1.2E-4</v>
      </c>
      <c r="R70" s="44">
        <v>3.5E-4</v>
      </c>
      <c r="S70" s="44">
        <v>3.4000000000000002E-4</v>
      </c>
      <c r="T70" s="44">
        <v>5.9000000000000003E-4</v>
      </c>
      <c r="U70" s="44">
        <v>9.5E-4</v>
      </c>
      <c r="V70" s="44">
        <v>1.16E-3</v>
      </c>
      <c r="W70" s="44">
        <v>1.6900000000000001E-3</v>
      </c>
      <c r="X70" s="44">
        <v>2.0200000000000001E-3</v>
      </c>
      <c r="Y70" s="44">
        <v>3.0100000000000001E-3</v>
      </c>
      <c r="Z70" s="44">
        <v>3.7799999999999999E-3</v>
      </c>
      <c r="AA70" s="44">
        <v>5.2100000000000002E-3</v>
      </c>
      <c r="AB70" s="44">
        <v>6.4900000000000001E-3</v>
      </c>
      <c r="AC70" s="44">
        <v>7.8499999999999993E-3</v>
      </c>
      <c r="AD70" s="44">
        <v>9.4699999999999993E-3</v>
      </c>
      <c r="AE70" s="44">
        <v>1.15E-2</v>
      </c>
      <c r="AF70" s="44">
        <v>1.464E-2</v>
      </c>
      <c r="AG70" s="44">
        <v>1.6840000000000001E-2</v>
      </c>
      <c r="AH70" s="44">
        <v>1.8540000000000001E-2</v>
      </c>
      <c r="AI70" s="44">
        <v>2.1850000000000001E-2</v>
      </c>
      <c r="AJ70" s="44">
        <v>2.4930000000000001E-2</v>
      </c>
      <c r="AK70" s="44">
        <v>2.7550000000000002E-2</v>
      </c>
      <c r="AL70" s="44">
        <v>2.9499999999999998E-2</v>
      </c>
      <c r="AM70" s="44">
        <v>3.3020000000000001E-2</v>
      </c>
      <c r="AN70" s="44">
        <v>3.4840000000000003E-2</v>
      </c>
      <c r="AO70" s="44">
        <v>3.7470000000000003E-2</v>
      </c>
      <c r="AP70" s="44">
        <v>3.8269999999999998E-2</v>
      </c>
      <c r="AQ70" s="44">
        <v>4.0809999999999999E-2</v>
      </c>
      <c r="AR70" s="44">
        <v>4.147E-2</v>
      </c>
      <c r="AS70" s="44">
        <v>4.2689999999999999E-2</v>
      </c>
      <c r="AT70" s="44">
        <v>4.3220000000000001E-2</v>
      </c>
      <c r="AU70" s="44">
        <v>4.2290000000000001E-2</v>
      </c>
      <c r="AV70" s="44">
        <v>4.2840000000000003E-2</v>
      </c>
      <c r="AW70" s="44">
        <v>4.1430000000000002E-2</v>
      </c>
      <c r="AX70" s="44">
        <v>4.0599999999999997E-2</v>
      </c>
      <c r="AY70" s="44">
        <v>3.8269999999999998E-2</v>
      </c>
      <c r="AZ70" s="44">
        <v>3.6159999999999998E-2</v>
      </c>
      <c r="BA70" s="44">
        <v>3.3489999999999999E-2</v>
      </c>
      <c r="BB70" s="44">
        <v>3.073E-2</v>
      </c>
      <c r="BC70" s="44">
        <v>2.802E-2</v>
      </c>
      <c r="BD70" s="44">
        <v>2.469E-2</v>
      </c>
      <c r="BE70" s="44">
        <v>2.2519999999999998E-2</v>
      </c>
      <c r="BF70" s="44">
        <v>1.8800000000000001E-2</v>
      </c>
      <c r="BG70" s="44">
        <v>1.6310000000000002E-2</v>
      </c>
      <c r="BH70" s="44">
        <v>1.3559999999999999E-2</v>
      </c>
      <c r="BI70" s="44">
        <v>1.193E-2</v>
      </c>
      <c r="BJ70" s="44">
        <v>9.2200000000000008E-3</v>
      </c>
      <c r="BK70" s="44">
        <v>7.3000000000000001E-3</v>
      </c>
      <c r="BL70" s="44">
        <v>6.0699999999999999E-3</v>
      </c>
      <c r="BM70" s="44">
        <v>4.3600000000000002E-3</v>
      </c>
      <c r="BN70" s="44">
        <v>3.3999999999999998E-3</v>
      </c>
      <c r="BO70" s="44">
        <v>2.7100000000000002E-3</v>
      </c>
      <c r="BP70" s="44">
        <v>1.6999999999999999E-3</v>
      </c>
      <c r="BQ70" s="44">
        <v>1.1900000000000001E-3</v>
      </c>
      <c r="BR70" s="44">
        <v>7.1000000000000002E-4</v>
      </c>
      <c r="BS70" s="44">
        <v>5.6999999999999998E-4</v>
      </c>
      <c r="BT70" s="44">
        <v>3.1E-4</v>
      </c>
      <c r="BU70" s="44">
        <v>2.3000000000000001E-4</v>
      </c>
      <c r="BV70" s="44">
        <v>6.0000000000000002E-5</v>
      </c>
      <c r="BW70" s="44">
        <v>9.0000000000000006E-5</v>
      </c>
      <c r="BX70" s="44">
        <v>1.0000000000000001E-5</v>
      </c>
      <c r="BY70" s="44">
        <v>0</v>
      </c>
      <c r="BZ70" s="44">
        <v>0</v>
      </c>
      <c r="CA70" s="44">
        <v>0</v>
      </c>
      <c r="CB70" s="44">
        <v>0</v>
      </c>
      <c r="CC70" s="44">
        <v>0</v>
      </c>
      <c r="CD70" s="44">
        <v>0</v>
      </c>
      <c r="CE70" s="44">
        <v>0</v>
      </c>
      <c r="CF70" s="44">
        <v>0</v>
      </c>
    </row>
    <row r="71" spans="1:84" ht="15" customHeight="1" x14ac:dyDescent="0.3">
      <c r="A71" s="10" t="s">
        <v>219</v>
      </c>
      <c r="B71" s="44">
        <v>0</v>
      </c>
      <c r="C71" s="44">
        <v>0</v>
      </c>
      <c r="D71" s="44">
        <v>0</v>
      </c>
      <c r="E71" s="44">
        <v>0</v>
      </c>
      <c r="F71" s="44">
        <v>0</v>
      </c>
      <c r="G71" s="44">
        <v>0</v>
      </c>
      <c r="H71" s="44">
        <v>0</v>
      </c>
      <c r="I71" s="44">
        <v>0</v>
      </c>
      <c r="J71" s="44">
        <v>0</v>
      </c>
      <c r="K71" s="44">
        <v>0</v>
      </c>
      <c r="L71" s="44">
        <v>1.0000000000000001E-5</v>
      </c>
      <c r="M71" s="44">
        <v>3.0000000000000001E-5</v>
      </c>
      <c r="N71" s="44">
        <v>6.0000000000000002E-5</v>
      </c>
      <c r="O71" s="44">
        <v>8.0000000000000007E-5</v>
      </c>
      <c r="P71" s="44">
        <v>1.7000000000000001E-4</v>
      </c>
      <c r="Q71" s="44">
        <v>2.1000000000000001E-4</v>
      </c>
      <c r="R71" s="44">
        <v>3.5E-4</v>
      </c>
      <c r="S71" s="44">
        <v>5.5999999999999995E-4</v>
      </c>
      <c r="T71" s="44">
        <v>7.3999999999999999E-4</v>
      </c>
      <c r="U71" s="44">
        <v>1.1100000000000001E-3</v>
      </c>
      <c r="V71" s="44">
        <v>1.39E-3</v>
      </c>
      <c r="W71" s="44">
        <v>1.6900000000000001E-3</v>
      </c>
      <c r="X71" s="44">
        <v>2.5100000000000001E-3</v>
      </c>
      <c r="Y71" s="44">
        <v>2.8400000000000001E-3</v>
      </c>
      <c r="Z71" s="44">
        <v>3.7799999999999999E-3</v>
      </c>
      <c r="AA71" s="44">
        <v>4.96E-3</v>
      </c>
      <c r="AB71" s="44">
        <v>5.8700000000000002E-3</v>
      </c>
      <c r="AC71" s="44">
        <v>7.6E-3</v>
      </c>
      <c r="AD71" s="44">
        <v>9.5300000000000003E-3</v>
      </c>
      <c r="AE71" s="44">
        <v>1.129E-2</v>
      </c>
      <c r="AF71" s="44">
        <v>1.2970000000000001E-2</v>
      </c>
      <c r="AG71" s="44">
        <v>1.5469999999999999E-2</v>
      </c>
      <c r="AH71" s="44">
        <v>1.7690000000000001E-2</v>
      </c>
      <c r="AI71" s="44">
        <v>2.1440000000000001E-2</v>
      </c>
      <c r="AJ71" s="44">
        <v>2.3099999999999999E-2</v>
      </c>
      <c r="AK71" s="44">
        <v>2.5780000000000001E-2</v>
      </c>
      <c r="AL71" s="44">
        <v>2.7720000000000002E-2</v>
      </c>
      <c r="AM71" s="44">
        <v>3.1570000000000001E-2</v>
      </c>
      <c r="AN71" s="44">
        <v>3.2730000000000002E-2</v>
      </c>
      <c r="AO71" s="44">
        <v>3.4979999999999997E-2</v>
      </c>
      <c r="AP71" s="44">
        <v>3.6209999999999999E-2</v>
      </c>
      <c r="AQ71" s="44">
        <v>3.8600000000000002E-2</v>
      </c>
      <c r="AR71" s="44">
        <v>4.104E-2</v>
      </c>
      <c r="AS71" s="44">
        <v>4.2299999999999997E-2</v>
      </c>
      <c r="AT71" s="44">
        <v>4.0469999999999999E-2</v>
      </c>
      <c r="AU71" s="44">
        <v>4.1829999999999999E-2</v>
      </c>
      <c r="AV71" s="44">
        <v>4.2369999999999998E-2</v>
      </c>
      <c r="AW71" s="44">
        <v>4.1599999999999998E-2</v>
      </c>
      <c r="AX71" s="44">
        <v>4.0809999999999999E-2</v>
      </c>
      <c r="AY71" s="44">
        <v>3.8539999999999998E-2</v>
      </c>
      <c r="AZ71" s="44">
        <v>3.6909999999999998E-2</v>
      </c>
      <c r="BA71" s="44">
        <v>3.4770000000000002E-2</v>
      </c>
      <c r="BB71" s="44">
        <v>3.2230000000000002E-2</v>
      </c>
      <c r="BC71" s="44">
        <v>2.8850000000000001E-2</v>
      </c>
      <c r="BD71" s="44">
        <v>2.6960000000000001E-2</v>
      </c>
      <c r="BE71" s="44">
        <v>2.3449999999999999E-2</v>
      </c>
      <c r="BF71" s="44">
        <v>2.1399999999999999E-2</v>
      </c>
      <c r="BG71" s="44">
        <v>1.83E-2</v>
      </c>
      <c r="BH71" s="44">
        <v>1.54E-2</v>
      </c>
      <c r="BI71" s="44">
        <v>1.3129999999999999E-2</v>
      </c>
      <c r="BJ71" s="44">
        <v>1.074E-2</v>
      </c>
      <c r="BK71" s="44">
        <v>8.8299999999999993E-3</v>
      </c>
      <c r="BL71" s="44">
        <v>7.2100000000000003E-3</v>
      </c>
      <c r="BM71" s="44">
        <v>5.5599999999999998E-3</v>
      </c>
      <c r="BN71" s="44">
        <v>4.1599999999999996E-3</v>
      </c>
      <c r="BO71" s="44">
        <v>3.0799999999999998E-3</v>
      </c>
      <c r="BP71" s="44">
        <v>2.2699999999999999E-3</v>
      </c>
      <c r="BQ71" s="44">
        <v>1.5299999999999999E-3</v>
      </c>
      <c r="BR71" s="44">
        <v>1.23E-3</v>
      </c>
      <c r="BS71" s="44">
        <v>8.7000000000000001E-4</v>
      </c>
      <c r="BT71" s="44">
        <v>5.8E-4</v>
      </c>
      <c r="BU71" s="44">
        <v>2.3000000000000001E-4</v>
      </c>
      <c r="BV71" s="44">
        <v>1.7000000000000001E-4</v>
      </c>
      <c r="BW71" s="44">
        <v>1E-4</v>
      </c>
      <c r="BX71" s="44">
        <v>3.0000000000000001E-5</v>
      </c>
      <c r="BY71" s="44">
        <v>0</v>
      </c>
      <c r="BZ71" s="44">
        <v>1.0000000000000001E-5</v>
      </c>
      <c r="CA71" s="44">
        <v>0</v>
      </c>
      <c r="CB71" s="44">
        <v>0</v>
      </c>
      <c r="CC71" s="44">
        <v>0</v>
      </c>
      <c r="CD71" s="44">
        <v>0</v>
      </c>
      <c r="CE71" s="44">
        <v>0</v>
      </c>
      <c r="CF71" s="44">
        <v>0</v>
      </c>
    </row>
    <row r="72" spans="1:84" ht="15" customHeight="1" x14ac:dyDescent="0.3">
      <c r="A72" s="10" t="s">
        <v>220</v>
      </c>
      <c r="B72" s="44">
        <v>0</v>
      </c>
      <c r="C72" s="44">
        <v>0</v>
      </c>
      <c r="D72" s="44">
        <v>0</v>
      </c>
      <c r="E72" s="44">
        <v>0</v>
      </c>
      <c r="F72" s="44">
        <v>0</v>
      </c>
      <c r="G72" s="44">
        <v>0</v>
      </c>
      <c r="H72" s="44">
        <v>1.0000000000000001E-5</v>
      </c>
      <c r="I72" s="44">
        <v>0</v>
      </c>
      <c r="J72" s="44">
        <v>4.0000000000000003E-5</v>
      </c>
      <c r="K72" s="44">
        <v>4.0000000000000003E-5</v>
      </c>
      <c r="L72" s="44">
        <v>5.0000000000000002E-5</v>
      </c>
      <c r="M72" s="44">
        <v>1.4999999999999999E-4</v>
      </c>
      <c r="N72" s="44">
        <v>1.7000000000000001E-4</v>
      </c>
      <c r="O72" s="44">
        <v>3.4000000000000002E-4</v>
      </c>
      <c r="P72" s="44">
        <v>4.2999999999999999E-4</v>
      </c>
      <c r="Q72" s="44">
        <v>6.8999999999999997E-4</v>
      </c>
      <c r="R72" s="44">
        <v>1.0300000000000001E-3</v>
      </c>
      <c r="S72" s="44">
        <v>1.47E-3</v>
      </c>
      <c r="T72" s="44">
        <v>2.4599999999999999E-3</v>
      </c>
      <c r="U72" s="44">
        <v>3.1800000000000001E-3</v>
      </c>
      <c r="V72" s="44">
        <v>4.5900000000000003E-3</v>
      </c>
      <c r="W72" s="44">
        <v>5.3099999999999996E-3</v>
      </c>
      <c r="X72" s="44">
        <v>6.6E-3</v>
      </c>
      <c r="Y72" s="44">
        <v>8.0999999999999996E-3</v>
      </c>
      <c r="Z72" s="44">
        <v>1.0659999999999999E-2</v>
      </c>
      <c r="AA72" s="44">
        <v>1.2460000000000001E-2</v>
      </c>
      <c r="AB72" s="44">
        <v>1.507E-2</v>
      </c>
      <c r="AC72" s="44">
        <v>1.7000000000000001E-2</v>
      </c>
      <c r="AD72" s="44">
        <v>1.967E-2</v>
      </c>
      <c r="AE72" s="44">
        <v>2.232E-2</v>
      </c>
      <c r="AF72" s="44">
        <v>2.6780000000000002E-2</v>
      </c>
      <c r="AG72" s="44">
        <v>2.9610000000000001E-2</v>
      </c>
      <c r="AH72" s="44">
        <v>3.1489999999999997E-2</v>
      </c>
      <c r="AI72" s="44">
        <v>3.3590000000000002E-2</v>
      </c>
      <c r="AJ72" s="44">
        <v>3.6240000000000001E-2</v>
      </c>
      <c r="AK72" s="44">
        <v>4.052E-2</v>
      </c>
      <c r="AL72" s="44">
        <v>4.0669999999999998E-2</v>
      </c>
      <c r="AM72" s="44">
        <v>4.163E-2</v>
      </c>
      <c r="AN72" s="44">
        <v>4.301E-2</v>
      </c>
      <c r="AO72" s="44">
        <v>4.3189999999999999E-2</v>
      </c>
      <c r="AP72" s="44">
        <v>4.2500000000000003E-2</v>
      </c>
      <c r="AQ72" s="44">
        <v>4.2790000000000002E-2</v>
      </c>
      <c r="AR72" s="44">
        <v>4.1820000000000003E-2</v>
      </c>
      <c r="AS72" s="44">
        <v>4.0099999999999997E-2</v>
      </c>
      <c r="AT72" s="44">
        <v>3.9129999999999998E-2</v>
      </c>
      <c r="AU72" s="44">
        <v>3.6720000000000003E-2</v>
      </c>
      <c r="AV72" s="44">
        <v>3.4360000000000002E-2</v>
      </c>
      <c r="AW72" s="44">
        <v>3.2079999999999997E-2</v>
      </c>
      <c r="AX72" s="44">
        <v>2.878E-2</v>
      </c>
      <c r="AY72" s="44">
        <v>2.6630000000000001E-2</v>
      </c>
      <c r="AZ72" s="44">
        <v>2.3439999999999999E-2</v>
      </c>
      <c r="BA72" s="44">
        <v>2.043E-2</v>
      </c>
      <c r="BB72" s="44">
        <v>1.7690000000000001E-2</v>
      </c>
      <c r="BC72" s="44">
        <v>1.495E-2</v>
      </c>
      <c r="BD72" s="44">
        <v>1.256E-2</v>
      </c>
      <c r="BE72" s="44">
        <v>1.0410000000000001E-2</v>
      </c>
      <c r="BF72" s="44">
        <v>8.9999999999999993E-3</v>
      </c>
      <c r="BG72" s="44">
        <v>6.7400000000000003E-3</v>
      </c>
      <c r="BH72" s="44">
        <v>5.6299999999999996E-3</v>
      </c>
      <c r="BI72" s="44">
        <v>4.2399999999999998E-3</v>
      </c>
      <c r="BJ72" s="44">
        <v>3.1700000000000001E-3</v>
      </c>
      <c r="BK72" s="44">
        <v>2.5500000000000002E-3</v>
      </c>
      <c r="BL72" s="44">
        <v>1.83E-3</v>
      </c>
      <c r="BM72" s="44">
        <v>1.17E-3</v>
      </c>
      <c r="BN72" s="44">
        <v>8.7000000000000001E-4</v>
      </c>
      <c r="BO72" s="44">
        <v>8.1999999999999998E-4</v>
      </c>
      <c r="BP72" s="44">
        <v>3.4000000000000002E-4</v>
      </c>
      <c r="BQ72" s="44">
        <v>2.1000000000000001E-4</v>
      </c>
      <c r="BR72" s="44">
        <v>2.5000000000000001E-4</v>
      </c>
      <c r="BS72" s="44">
        <v>9.0000000000000006E-5</v>
      </c>
      <c r="BT72" s="44">
        <v>3.0000000000000001E-5</v>
      </c>
      <c r="BU72" s="44">
        <v>5.0000000000000002E-5</v>
      </c>
      <c r="BV72" s="44">
        <v>3.0000000000000001E-5</v>
      </c>
      <c r="BW72" s="44">
        <v>1.0000000000000001E-5</v>
      </c>
      <c r="BX72" s="44">
        <v>1.0000000000000001E-5</v>
      </c>
      <c r="BY72" s="44">
        <v>0</v>
      </c>
      <c r="BZ72" s="44">
        <v>0</v>
      </c>
      <c r="CA72" s="44">
        <v>0</v>
      </c>
      <c r="CB72" s="44">
        <v>0</v>
      </c>
      <c r="CC72" s="44">
        <v>0</v>
      </c>
      <c r="CD72" s="44">
        <v>0</v>
      </c>
      <c r="CE72" s="44">
        <v>0</v>
      </c>
      <c r="CF72" s="44">
        <v>0</v>
      </c>
    </row>
    <row r="73" spans="1:84" ht="15" customHeight="1" x14ac:dyDescent="0.3">
      <c r="A73" s="10" t="s">
        <v>221</v>
      </c>
      <c r="B73" s="44">
        <v>0</v>
      </c>
      <c r="C73" s="44">
        <v>0</v>
      </c>
      <c r="D73" s="44">
        <v>0</v>
      </c>
      <c r="E73" s="44">
        <v>0</v>
      </c>
      <c r="F73" s="44">
        <v>0</v>
      </c>
      <c r="G73" s="44">
        <v>0</v>
      </c>
      <c r="H73" s="44">
        <v>0</v>
      </c>
      <c r="I73" s="44">
        <v>0</v>
      </c>
      <c r="J73" s="44">
        <v>0</v>
      </c>
      <c r="K73" s="44">
        <v>0</v>
      </c>
      <c r="L73" s="44">
        <v>0</v>
      </c>
      <c r="M73" s="44">
        <v>2.0000000000000002E-5</v>
      </c>
      <c r="N73" s="44">
        <v>0</v>
      </c>
      <c r="O73" s="44">
        <v>1.0000000000000001E-5</v>
      </c>
      <c r="P73" s="44">
        <v>2.0000000000000002E-5</v>
      </c>
      <c r="Q73" s="44">
        <v>1.1E-4</v>
      </c>
      <c r="R73" s="44">
        <v>6.9999999999999994E-5</v>
      </c>
      <c r="S73" s="44">
        <v>2.7999999999999998E-4</v>
      </c>
      <c r="T73" s="44">
        <v>3.6000000000000002E-4</v>
      </c>
      <c r="U73" s="44">
        <v>5.6999999999999998E-4</v>
      </c>
      <c r="V73" s="44">
        <v>7.5000000000000002E-4</v>
      </c>
      <c r="W73" s="44">
        <v>9.7000000000000005E-4</v>
      </c>
      <c r="X73" s="44">
        <v>1.34E-3</v>
      </c>
      <c r="Y73" s="44">
        <v>2.1299999999999999E-3</v>
      </c>
      <c r="Z73" s="44">
        <v>2.2699999999999999E-3</v>
      </c>
      <c r="AA73" s="44">
        <v>3.3E-3</v>
      </c>
      <c r="AB73" s="44">
        <v>4.0699999999999998E-3</v>
      </c>
      <c r="AC73" s="44">
        <v>5.0499999999999998E-3</v>
      </c>
      <c r="AD73" s="44">
        <v>6.5900000000000004E-3</v>
      </c>
      <c r="AE73" s="44">
        <v>8.1399999999999997E-3</v>
      </c>
      <c r="AF73" s="44">
        <v>1.021E-2</v>
      </c>
      <c r="AG73" s="44">
        <v>1.2699999999999999E-2</v>
      </c>
      <c r="AH73" s="44">
        <v>1.358E-2</v>
      </c>
      <c r="AI73" s="44">
        <v>1.6549999999999999E-2</v>
      </c>
      <c r="AJ73" s="44">
        <v>1.915E-2</v>
      </c>
      <c r="AK73" s="44">
        <v>2.222E-2</v>
      </c>
      <c r="AL73" s="44">
        <v>2.5170000000000001E-2</v>
      </c>
      <c r="AM73" s="44">
        <v>2.81E-2</v>
      </c>
      <c r="AN73" s="44">
        <v>2.9919999999999999E-2</v>
      </c>
      <c r="AO73" s="44">
        <v>3.3230000000000003E-2</v>
      </c>
      <c r="AP73" s="44">
        <v>3.533E-2</v>
      </c>
      <c r="AQ73" s="44">
        <v>3.7900000000000003E-2</v>
      </c>
      <c r="AR73" s="44">
        <v>3.9419999999999997E-2</v>
      </c>
      <c r="AS73" s="44">
        <v>4.2750000000000003E-2</v>
      </c>
      <c r="AT73" s="44">
        <v>4.292E-2</v>
      </c>
      <c r="AU73" s="44">
        <v>4.3490000000000001E-2</v>
      </c>
      <c r="AV73" s="44">
        <v>4.3799999999999999E-2</v>
      </c>
      <c r="AW73" s="44">
        <v>4.514E-2</v>
      </c>
      <c r="AX73" s="44">
        <v>4.3180000000000003E-2</v>
      </c>
      <c r="AY73" s="44">
        <v>4.2889999999999998E-2</v>
      </c>
      <c r="AZ73" s="44">
        <v>3.9239999999999997E-2</v>
      </c>
      <c r="BA73" s="44">
        <v>3.7609999999999998E-2</v>
      </c>
      <c r="BB73" s="44">
        <v>3.6249999999999998E-2</v>
      </c>
      <c r="BC73" s="44">
        <v>3.2849999999999997E-2</v>
      </c>
      <c r="BD73" s="44">
        <v>0.03</v>
      </c>
      <c r="BE73" s="44">
        <v>2.7199999999999998E-2</v>
      </c>
      <c r="BF73" s="44">
        <v>2.4080000000000001E-2</v>
      </c>
      <c r="BG73" s="44">
        <v>2.0899999999999998E-2</v>
      </c>
      <c r="BH73" s="44">
        <v>1.8429999999999998E-2</v>
      </c>
      <c r="BI73" s="44">
        <v>1.5599999999999999E-2</v>
      </c>
      <c r="BJ73" s="44">
        <v>1.225E-2</v>
      </c>
      <c r="BK73" s="44">
        <v>9.9699999999999997E-3</v>
      </c>
      <c r="BL73" s="44">
        <v>8.1399999999999997E-3</v>
      </c>
      <c r="BM73" s="44">
        <v>6.6400000000000001E-3</v>
      </c>
      <c r="BN73" s="44">
        <v>5.0800000000000003E-3</v>
      </c>
      <c r="BO73" s="44">
        <v>3.9199999999999999E-3</v>
      </c>
      <c r="BP73" s="44">
        <v>2.7399999999999998E-3</v>
      </c>
      <c r="BQ73" s="44">
        <v>1.9400000000000001E-3</v>
      </c>
      <c r="BR73" s="44">
        <v>1.48E-3</v>
      </c>
      <c r="BS73" s="44">
        <v>7.2000000000000005E-4</v>
      </c>
      <c r="BT73" s="44">
        <v>5.9999999999999995E-4</v>
      </c>
      <c r="BU73" s="44">
        <v>3.5E-4</v>
      </c>
      <c r="BV73" s="44">
        <v>1.3999999999999999E-4</v>
      </c>
      <c r="BW73" s="44">
        <v>9.0000000000000006E-5</v>
      </c>
      <c r="BX73" s="44">
        <v>4.0000000000000003E-5</v>
      </c>
      <c r="BY73" s="44">
        <v>1.0000000000000001E-5</v>
      </c>
      <c r="BZ73" s="44">
        <v>2.0000000000000002E-5</v>
      </c>
      <c r="CA73" s="44">
        <v>0</v>
      </c>
      <c r="CB73" s="44">
        <v>1.0000000000000001E-5</v>
      </c>
      <c r="CC73" s="44">
        <v>0</v>
      </c>
      <c r="CD73" s="44">
        <v>0</v>
      </c>
      <c r="CE73" s="44">
        <v>0</v>
      </c>
      <c r="CF73" s="44">
        <v>0</v>
      </c>
    </row>
    <row r="74" spans="1:84" ht="15" customHeight="1" x14ac:dyDescent="0.3">
      <c r="A74" s="10" t="s">
        <v>222</v>
      </c>
      <c r="B74" s="44">
        <v>0</v>
      </c>
      <c r="C74" s="44">
        <v>2.0000000000000002E-5</v>
      </c>
      <c r="D74" s="44">
        <v>0</v>
      </c>
      <c r="E74" s="44">
        <v>2.2000000000000001E-4</v>
      </c>
      <c r="F74" s="44">
        <v>3.6999999999999999E-4</v>
      </c>
      <c r="G74" s="44">
        <v>8.4999999999999995E-4</v>
      </c>
      <c r="H74" s="44">
        <v>1.89E-3</v>
      </c>
      <c r="I74" s="44">
        <v>2.5400000000000002E-3</v>
      </c>
      <c r="J74" s="44">
        <v>4.45E-3</v>
      </c>
      <c r="K74" s="44">
        <v>7.0099999999999997E-3</v>
      </c>
      <c r="L74" s="44">
        <v>9.7300000000000008E-3</v>
      </c>
      <c r="M74" s="44">
        <v>1.315E-2</v>
      </c>
      <c r="N74" s="44">
        <v>1.7430000000000001E-2</v>
      </c>
      <c r="O74" s="44">
        <v>2.01E-2</v>
      </c>
      <c r="P74" s="44">
        <v>2.6409999999999999E-2</v>
      </c>
      <c r="Q74" s="44">
        <v>3.075E-2</v>
      </c>
      <c r="R74" s="44">
        <v>3.5889999999999998E-2</v>
      </c>
      <c r="S74" s="44">
        <v>3.8920000000000003E-2</v>
      </c>
      <c r="T74" s="44">
        <v>4.3060000000000001E-2</v>
      </c>
      <c r="U74" s="44">
        <v>4.6339999999999999E-2</v>
      </c>
      <c r="V74" s="44">
        <v>4.861E-2</v>
      </c>
      <c r="W74" s="44">
        <v>5.0189999999999999E-2</v>
      </c>
      <c r="X74" s="44">
        <v>5.2409999999999998E-2</v>
      </c>
      <c r="Y74" s="44">
        <v>5.0779999999999999E-2</v>
      </c>
      <c r="Z74" s="44">
        <v>5.0299999999999997E-2</v>
      </c>
      <c r="AA74" s="44">
        <v>4.7140000000000001E-2</v>
      </c>
      <c r="AB74" s="44">
        <v>4.7329999999999997E-2</v>
      </c>
      <c r="AC74" s="44">
        <v>4.3970000000000002E-2</v>
      </c>
      <c r="AD74" s="44">
        <v>4.1079999999999998E-2</v>
      </c>
      <c r="AE74" s="44">
        <v>3.705E-2</v>
      </c>
      <c r="AF74" s="44">
        <v>3.4369999999999998E-2</v>
      </c>
      <c r="AG74" s="44">
        <v>3.1150000000000001E-2</v>
      </c>
      <c r="AH74" s="44">
        <v>2.7609999999999999E-2</v>
      </c>
      <c r="AI74" s="44">
        <v>2.409E-2</v>
      </c>
      <c r="AJ74" s="44">
        <v>2.0830000000000001E-2</v>
      </c>
      <c r="AK74" s="44">
        <v>1.8020000000000001E-2</v>
      </c>
      <c r="AL74" s="44">
        <v>1.52E-2</v>
      </c>
      <c r="AM74" s="44">
        <v>1.2239999999999999E-2</v>
      </c>
      <c r="AN74" s="44">
        <v>1.04E-2</v>
      </c>
      <c r="AO74" s="44">
        <v>8.5100000000000002E-3</v>
      </c>
      <c r="AP74" s="44">
        <v>6.9800000000000001E-3</v>
      </c>
      <c r="AQ74" s="44">
        <v>5.1399999999999996E-3</v>
      </c>
      <c r="AR74" s="44">
        <v>4.15E-3</v>
      </c>
      <c r="AS74" s="44">
        <v>3.4499999999999999E-3</v>
      </c>
      <c r="AT74" s="44">
        <v>2.49E-3</v>
      </c>
      <c r="AU74" s="44">
        <v>1.97E-3</v>
      </c>
      <c r="AV74" s="44">
        <v>1.6000000000000001E-3</v>
      </c>
      <c r="AW74" s="44">
        <v>1.09E-3</v>
      </c>
      <c r="AX74" s="44">
        <v>8.8000000000000003E-4</v>
      </c>
      <c r="AY74" s="44">
        <v>5.1999999999999995E-4</v>
      </c>
      <c r="AZ74" s="44">
        <v>4.2999999999999999E-4</v>
      </c>
      <c r="BA74" s="44">
        <v>2.0000000000000001E-4</v>
      </c>
      <c r="BB74" s="44">
        <v>2.2000000000000001E-4</v>
      </c>
      <c r="BC74" s="44">
        <v>1.4999999999999999E-4</v>
      </c>
      <c r="BD74" s="44">
        <v>1.8000000000000001E-4</v>
      </c>
      <c r="BE74" s="44">
        <v>3.0000000000000001E-5</v>
      </c>
      <c r="BF74" s="44">
        <v>0</v>
      </c>
      <c r="BG74" s="44">
        <v>1.0000000000000001E-5</v>
      </c>
      <c r="BH74" s="44">
        <v>4.0000000000000003E-5</v>
      </c>
      <c r="BI74" s="44">
        <v>2.0000000000000002E-5</v>
      </c>
      <c r="BJ74" s="44">
        <v>3.0000000000000001E-5</v>
      </c>
      <c r="BK74" s="44">
        <v>0</v>
      </c>
      <c r="BL74" s="44">
        <v>1.0000000000000001E-5</v>
      </c>
      <c r="BM74" s="44">
        <v>0</v>
      </c>
      <c r="BN74" s="44">
        <v>0</v>
      </c>
      <c r="BO74" s="44">
        <v>0</v>
      </c>
      <c r="BP74" s="44">
        <v>0</v>
      </c>
      <c r="BQ74" s="44">
        <v>0</v>
      </c>
      <c r="BR74" s="44">
        <v>0</v>
      </c>
      <c r="BS74" s="44">
        <v>0</v>
      </c>
      <c r="BT74" s="44">
        <v>0</v>
      </c>
      <c r="BU74" s="44">
        <v>0</v>
      </c>
      <c r="BV74" s="44">
        <v>0</v>
      </c>
      <c r="BW74" s="44">
        <v>0</v>
      </c>
      <c r="BX74" s="44">
        <v>0</v>
      </c>
      <c r="BY74" s="44">
        <v>0</v>
      </c>
      <c r="BZ74" s="44">
        <v>0</v>
      </c>
      <c r="CA74" s="44">
        <v>0</v>
      </c>
      <c r="CB74" s="44">
        <v>0</v>
      </c>
      <c r="CC74" s="44">
        <v>0</v>
      </c>
      <c r="CD74" s="44">
        <v>0</v>
      </c>
      <c r="CE74" s="44">
        <v>0</v>
      </c>
      <c r="CF74" s="44">
        <v>0</v>
      </c>
    </row>
    <row r="75" spans="1:84" ht="15" customHeight="1" x14ac:dyDescent="0.3">
      <c r="A75" s="10" t="s">
        <v>223</v>
      </c>
      <c r="B75" s="44">
        <v>0</v>
      </c>
      <c r="C75" s="44">
        <v>0</v>
      </c>
      <c r="D75" s="44">
        <v>0</v>
      </c>
      <c r="E75" s="44">
        <v>0</v>
      </c>
      <c r="F75" s="44">
        <v>0</v>
      </c>
      <c r="G75" s="44">
        <v>0</v>
      </c>
      <c r="H75" s="44">
        <v>0</v>
      </c>
      <c r="I75" s="44">
        <v>0</v>
      </c>
      <c r="J75" s="44">
        <v>0</v>
      </c>
      <c r="K75" s="44">
        <v>0</v>
      </c>
      <c r="L75" s="44">
        <v>0</v>
      </c>
      <c r="M75" s="44">
        <v>0</v>
      </c>
      <c r="N75" s="44">
        <v>0</v>
      </c>
      <c r="O75" s="44">
        <v>0</v>
      </c>
      <c r="P75" s="44">
        <v>1.0000000000000001E-5</v>
      </c>
      <c r="Q75" s="44">
        <v>0</v>
      </c>
      <c r="R75" s="44">
        <v>0</v>
      </c>
      <c r="S75" s="44">
        <v>0</v>
      </c>
      <c r="T75" s="44">
        <v>1.0000000000000001E-5</v>
      </c>
      <c r="U75" s="44">
        <v>5.0000000000000002E-5</v>
      </c>
      <c r="V75" s="44">
        <v>3.0000000000000001E-5</v>
      </c>
      <c r="W75" s="44">
        <v>6.0000000000000002E-5</v>
      </c>
      <c r="X75" s="44">
        <v>9.0000000000000006E-5</v>
      </c>
      <c r="Y75" s="44">
        <v>1.4999999999999999E-4</v>
      </c>
      <c r="Z75" s="44">
        <v>1.2E-4</v>
      </c>
      <c r="AA75" s="44">
        <v>4.6999999999999999E-4</v>
      </c>
      <c r="AB75" s="44">
        <v>2.9999999999999997E-4</v>
      </c>
      <c r="AC75" s="44">
        <v>5.5999999999999995E-4</v>
      </c>
      <c r="AD75" s="44">
        <v>8.4999999999999995E-4</v>
      </c>
      <c r="AE75" s="44">
        <v>1.1800000000000001E-3</v>
      </c>
      <c r="AF75" s="44">
        <v>1.2600000000000001E-3</v>
      </c>
      <c r="AG75" s="44">
        <v>2.0400000000000001E-3</v>
      </c>
      <c r="AH75" s="44">
        <v>2.4499999999999999E-3</v>
      </c>
      <c r="AI75" s="44">
        <v>3.1099999999999999E-3</v>
      </c>
      <c r="AJ75" s="44">
        <v>4.0000000000000001E-3</v>
      </c>
      <c r="AK75" s="44">
        <v>4.9100000000000003E-3</v>
      </c>
      <c r="AL75" s="44">
        <v>5.8399999999999997E-3</v>
      </c>
      <c r="AM75" s="44">
        <v>7.45E-3</v>
      </c>
      <c r="AN75" s="44">
        <v>8.7200000000000003E-3</v>
      </c>
      <c r="AO75" s="44">
        <v>1.116E-2</v>
      </c>
      <c r="AP75" s="44">
        <v>1.2800000000000001E-2</v>
      </c>
      <c r="AQ75" s="44">
        <v>1.439E-2</v>
      </c>
      <c r="AR75" s="44">
        <v>1.7299999999999999E-2</v>
      </c>
      <c r="AS75" s="44">
        <v>1.941E-2</v>
      </c>
      <c r="AT75" s="44">
        <v>2.222E-2</v>
      </c>
      <c r="AU75" s="44">
        <v>2.529E-2</v>
      </c>
      <c r="AV75" s="44">
        <v>2.7009999999999999E-2</v>
      </c>
      <c r="AW75" s="44">
        <v>3.0609999999999998E-2</v>
      </c>
      <c r="AX75" s="44">
        <v>3.4229999999999997E-2</v>
      </c>
      <c r="AY75" s="44">
        <v>3.6049999999999999E-2</v>
      </c>
      <c r="AZ75" s="44">
        <v>3.8550000000000001E-2</v>
      </c>
      <c r="BA75" s="44">
        <v>4.052E-2</v>
      </c>
      <c r="BB75" s="44">
        <v>4.2909999999999997E-2</v>
      </c>
      <c r="BC75" s="44">
        <v>4.3979999999999998E-2</v>
      </c>
      <c r="BD75" s="44">
        <v>4.5589999999999999E-2</v>
      </c>
      <c r="BE75" s="44">
        <v>4.5780000000000001E-2</v>
      </c>
      <c r="BF75" s="44">
        <v>4.5220000000000003E-2</v>
      </c>
      <c r="BG75" s="44">
        <v>4.4979999999999999E-2</v>
      </c>
      <c r="BH75" s="44">
        <v>4.2799999999999998E-2</v>
      </c>
      <c r="BI75" s="44">
        <v>4.1480000000000003E-2</v>
      </c>
      <c r="BJ75" s="44">
        <v>3.9320000000000001E-2</v>
      </c>
      <c r="BK75" s="44">
        <v>3.6850000000000001E-2</v>
      </c>
      <c r="BL75" s="44">
        <v>3.3750000000000002E-2</v>
      </c>
      <c r="BM75" s="44">
        <v>3.1600000000000003E-2</v>
      </c>
      <c r="BN75" s="44">
        <v>2.6800000000000001E-2</v>
      </c>
      <c r="BO75" s="44">
        <v>2.3310000000000001E-2</v>
      </c>
      <c r="BP75" s="44">
        <v>2.002E-2</v>
      </c>
      <c r="BQ75" s="44">
        <v>1.5959999999999998E-2</v>
      </c>
      <c r="BR75" s="44">
        <v>1.295E-2</v>
      </c>
      <c r="BS75" s="44">
        <v>9.7199999999999995E-3</v>
      </c>
      <c r="BT75" s="44">
        <v>8.09E-3</v>
      </c>
      <c r="BU75" s="44">
        <v>6.0000000000000001E-3</v>
      </c>
      <c r="BV75" s="44">
        <v>3.7399999999999998E-3</v>
      </c>
      <c r="BW75" s="44">
        <v>2.33E-3</v>
      </c>
      <c r="BX75" s="44">
        <v>1.9599999999999999E-3</v>
      </c>
      <c r="BY75" s="44">
        <v>7.5000000000000002E-4</v>
      </c>
      <c r="BZ75" s="44">
        <v>5.1000000000000004E-4</v>
      </c>
      <c r="CA75" s="44">
        <v>2.1000000000000001E-4</v>
      </c>
      <c r="CB75" s="44">
        <v>1.7000000000000001E-4</v>
      </c>
      <c r="CC75" s="44">
        <v>1.0000000000000001E-5</v>
      </c>
      <c r="CD75" s="44">
        <v>1.0000000000000001E-5</v>
      </c>
      <c r="CE75" s="44">
        <v>0</v>
      </c>
      <c r="CF75" s="44">
        <v>0</v>
      </c>
    </row>
    <row r="76" spans="1:84" ht="15" customHeight="1" x14ac:dyDescent="0.3">
      <c r="A76" s="10" t="s">
        <v>224</v>
      </c>
      <c r="B76" s="44">
        <v>0</v>
      </c>
      <c r="C76" s="44">
        <v>0</v>
      </c>
      <c r="D76" s="44">
        <v>0</v>
      </c>
      <c r="E76" s="44">
        <v>0</v>
      </c>
      <c r="F76" s="44">
        <v>0</v>
      </c>
      <c r="G76" s="44">
        <v>0</v>
      </c>
      <c r="H76" s="44">
        <v>0</v>
      </c>
      <c r="I76" s="44">
        <v>0</v>
      </c>
      <c r="J76" s="44">
        <v>0</v>
      </c>
      <c r="K76" s="44">
        <v>0</v>
      </c>
      <c r="L76" s="44">
        <v>1.0000000000000001E-5</v>
      </c>
      <c r="M76" s="44">
        <v>1.0000000000000001E-5</v>
      </c>
      <c r="N76" s="44">
        <v>1.0000000000000001E-5</v>
      </c>
      <c r="O76" s="44">
        <v>1.0000000000000001E-5</v>
      </c>
      <c r="P76" s="44">
        <v>4.0000000000000003E-5</v>
      </c>
      <c r="Q76" s="44">
        <v>0</v>
      </c>
      <c r="R76" s="44">
        <v>4.0000000000000003E-5</v>
      </c>
      <c r="S76" s="44">
        <v>6.9999999999999994E-5</v>
      </c>
      <c r="T76" s="44">
        <v>1E-4</v>
      </c>
      <c r="U76" s="44">
        <v>1.6000000000000001E-4</v>
      </c>
      <c r="V76" s="44">
        <v>2.9E-4</v>
      </c>
      <c r="W76" s="44">
        <v>4.8000000000000001E-4</v>
      </c>
      <c r="X76" s="44">
        <v>4.2999999999999999E-4</v>
      </c>
      <c r="Y76" s="44">
        <v>5.0000000000000001E-4</v>
      </c>
      <c r="Z76" s="44">
        <v>8.7000000000000001E-4</v>
      </c>
      <c r="AA76" s="44">
        <v>1.1199999999999999E-3</v>
      </c>
      <c r="AB76" s="44">
        <v>1.6800000000000001E-3</v>
      </c>
      <c r="AC76" s="44">
        <v>2.0999999999999999E-3</v>
      </c>
      <c r="AD76" s="44">
        <v>2.5100000000000001E-3</v>
      </c>
      <c r="AE76" s="44">
        <v>3.5999999999999999E-3</v>
      </c>
      <c r="AF76" s="44">
        <v>4.3200000000000001E-3</v>
      </c>
      <c r="AG76" s="44">
        <v>5.47E-3</v>
      </c>
      <c r="AH76" s="44">
        <v>6.6600000000000001E-3</v>
      </c>
      <c r="AI76" s="44">
        <v>7.7600000000000004E-3</v>
      </c>
      <c r="AJ76" s="44">
        <v>9.2099999999999994E-3</v>
      </c>
      <c r="AK76" s="44">
        <v>1.1180000000000001E-2</v>
      </c>
      <c r="AL76" s="44">
        <v>1.3129999999999999E-2</v>
      </c>
      <c r="AM76" s="44">
        <v>1.533E-2</v>
      </c>
      <c r="AN76" s="44">
        <v>1.721E-2</v>
      </c>
      <c r="AO76" s="44">
        <v>2.0250000000000001E-2</v>
      </c>
      <c r="AP76" s="44">
        <v>2.2179999999999998E-2</v>
      </c>
      <c r="AQ76" s="44">
        <v>2.5090000000000001E-2</v>
      </c>
      <c r="AR76" s="44">
        <v>2.7640000000000001E-2</v>
      </c>
      <c r="AS76" s="44">
        <v>3.0530000000000002E-2</v>
      </c>
      <c r="AT76" s="44">
        <v>3.3450000000000001E-2</v>
      </c>
      <c r="AU76" s="44">
        <v>3.4869999999999998E-2</v>
      </c>
      <c r="AV76" s="44">
        <v>3.8059999999999997E-2</v>
      </c>
      <c r="AW76" s="44">
        <v>3.9849999999999997E-2</v>
      </c>
      <c r="AX76" s="44">
        <v>4.1110000000000001E-2</v>
      </c>
      <c r="AY76" s="44">
        <v>4.2209999999999998E-2</v>
      </c>
      <c r="AZ76" s="44">
        <v>4.3589999999999997E-2</v>
      </c>
      <c r="BA76" s="44">
        <v>4.3900000000000002E-2</v>
      </c>
      <c r="BB76" s="44">
        <v>4.4080000000000001E-2</v>
      </c>
      <c r="BC76" s="44">
        <v>4.2639999999999997E-2</v>
      </c>
      <c r="BD76" s="44">
        <v>4.2900000000000001E-2</v>
      </c>
      <c r="BE76" s="44">
        <v>3.8670000000000003E-2</v>
      </c>
      <c r="BF76" s="44">
        <v>3.6760000000000001E-2</v>
      </c>
      <c r="BG76" s="44">
        <v>3.6179999999999997E-2</v>
      </c>
      <c r="BH76" s="44">
        <v>3.3270000000000001E-2</v>
      </c>
      <c r="BI76" s="44">
        <v>3.0499999999999999E-2</v>
      </c>
      <c r="BJ76" s="44">
        <v>2.6409999999999999E-2</v>
      </c>
      <c r="BK76" s="44">
        <v>2.3220000000000001E-2</v>
      </c>
      <c r="BL76" s="44">
        <v>2.0959999999999999E-2</v>
      </c>
      <c r="BM76" s="44">
        <v>1.668E-2</v>
      </c>
      <c r="BN76" s="44">
        <v>1.455E-2</v>
      </c>
      <c r="BO76" s="44">
        <v>1.167E-2</v>
      </c>
      <c r="BP76" s="44">
        <v>9.4500000000000001E-3</v>
      </c>
      <c r="BQ76" s="44">
        <v>7.4799999999999997E-3</v>
      </c>
      <c r="BR76" s="44">
        <v>5.6499999999999996E-3</v>
      </c>
      <c r="BS76" s="44">
        <v>4.1200000000000004E-3</v>
      </c>
      <c r="BT76" s="44">
        <v>2.64E-3</v>
      </c>
      <c r="BU76" s="44">
        <v>2.0200000000000001E-3</v>
      </c>
      <c r="BV76" s="44">
        <v>1.2600000000000001E-3</v>
      </c>
      <c r="BW76" s="44">
        <v>9.1E-4</v>
      </c>
      <c r="BX76" s="44">
        <v>3.6999999999999999E-4</v>
      </c>
      <c r="BY76" s="44">
        <v>2.7E-4</v>
      </c>
      <c r="BZ76" s="44">
        <v>1.4999999999999999E-4</v>
      </c>
      <c r="CA76" s="44">
        <v>8.0000000000000007E-5</v>
      </c>
      <c r="CB76" s="44">
        <v>6.0000000000000002E-5</v>
      </c>
      <c r="CC76" s="44">
        <v>2.0000000000000002E-5</v>
      </c>
      <c r="CD76" s="44">
        <v>0</v>
      </c>
      <c r="CE76" s="44">
        <v>0</v>
      </c>
      <c r="CF76" s="44">
        <v>0</v>
      </c>
    </row>
    <row r="77" spans="1:84" ht="15" customHeight="1" x14ac:dyDescent="0.3">
      <c r="A77" s="10" t="s">
        <v>225</v>
      </c>
      <c r="B77" s="44">
        <v>0</v>
      </c>
      <c r="C77" s="44">
        <v>0</v>
      </c>
      <c r="D77" s="44">
        <v>0</v>
      </c>
      <c r="E77" s="44">
        <v>0</v>
      </c>
      <c r="F77" s="44">
        <v>0</v>
      </c>
      <c r="G77" s="44">
        <v>3.0000000000000001E-5</v>
      </c>
      <c r="H77" s="44">
        <v>4.0000000000000003E-5</v>
      </c>
      <c r="I77" s="44">
        <v>1.3999999999999999E-4</v>
      </c>
      <c r="J77" s="44">
        <v>1.2E-4</v>
      </c>
      <c r="K77" s="44">
        <v>2.5000000000000001E-4</v>
      </c>
      <c r="L77" s="44">
        <v>7.2999999999999996E-4</v>
      </c>
      <c r="M77" s="44">
        <v>1.0499999999999999E-3</v>
      </c>
      <c r="N77" s="44">
        <v>1.47E-3</v>
      </c>
      <c r="O77" s="44">
        <v>2.4399999999999999E-3</v>
      </c>
      <c r="P77" s="44">
        <v>3.1900000000000001E-3</v>
      </c>
      <c r="Q77" s="44">
        <v>4.81E-3</v>
      </c>
      <c r="R77" s="44">
        <v>6.1500000000000001E-3</v>
      </c>
      <c r="S77" s="44">
        <v>7.77E-3</v>
      </c>
      <c r="T77" s="44">
        <v>1.043E-2</v>
      </c>
      <c r="U77" s="44">
        <v>1.259E-2</v>
      </c>
      <c r="V77" s="44">
        <v>1.489E-2</v>
      </c>
      <c r="W77" s="44">
        <v>1.821E-2</v>
      </c>
      <c r="X77" s="44">
        <v>2.1360000000000001E-2</v>
      </c>
      <c r="Y77" s="44">
        <v>2.4250000000000001E-2</v>
      </c>
      <c r="Z77" s="44">
        <v>2.8500000000000001E-2</v>
      </c>
      <c r="AA77" s="44">
        <v>3.073E-2</v>
      </c>
      <c r="AB77" s="44">
        <v>3.4950000000000002E-2</v>
      </c>
      <c r="AC77" s="44">
        <v>3.7609999999999998E-2</v>
      </c>
      <c r="AD77" s="44">
        <v>4.0469999999999999E-2</v>
      </c>
      <c r="AE77" s="44">
        <v>4.1329999999999999E-2</v>
      </c>
      <c r="AF77" s="44">
        <v>4.3529999999999999E-2</v>
      </c>
      <c r="AG77" s="44">
        <v>4.4790000000000003E-2</v>
      </c>
      <c r="AH77" s="44">
        <v>4.3999999999999997E-2</v>
      </c>
      <c r="AI77" s="44">
        <v>4.6010000000000002E-2</v>
      </c>
      <c r="AJ77" s="44">
        <v>4.3589999999999997E-2</v>
      </c>
      <c r="AK77" s="44">
        <v>4.3619999999999999E-2</v>
      </c>
      <c r="AL77" s="44">
        <v>4.0160000000000001E-2</v>
      </c>
      <c r="AM77" s="44">
        <v>4.061E-2</v>
      </c>
      <c r="AN77" s="44">
        <v>3.8559999999999997E-2</v>
      </c>
      <c r="AO77" s="44">
        <v>3.5639999999999998E-2</v>
      </c>
      <c r="AP77" s="44">
        <v>3.2550000000000003E-2</v>
      </c>
      <c r="AQ77" s="44">
        <v>2.988E-2</v>
      </c>
      <c r="AR77" s="44">
        <v>2.743E-2</v>
      </c>
      <c r="AS77" s="44">
        <v>2.359E-2</v>
      </c>
      <c r="AT77" s="44">
        <v>2.1049999999999999E-2</v>
      </c>
      <c r="AU77" s="44">
        <v>1.9300000000000001E-2</v>
      </c>
      <c r="AV77" s="44">
        <v>1.583E-2</v>
      </c>
      <c r="AW77" s="44">
        <v>1.302E-2</v>
      </c>
      <c r="AX77" s="44">
        <v>1.1339999999999999E-2</v>
      </c>
      <c r="AY77" s="44">
        <v>8.9700000000000005E-3</v>
      </c>
      <c r="AZ77" s="44">
        <v>7.3600000000000002E-3</v>
      </c>
      <c r="BA77" s="44">
        <v>6.3499999999999997E-3</v>
      </c>
      <c r="BB77" s="44">
        <v>4.7000000000000002E-3</v>
      </c>
      <c r="BC77" s="44">
        <v>3.8300000000000001E-3</v>
      </c>
      <c r="BD77" s="44">
        <v>3.0100000000000001E-3</v>
      </c>
      <c r="BE77" s="44">
        <v>2.0100000000000001E-3</v>
      </c>
      <c r="BF77" s="44">
        <v>1.5399999999999999E-3</v>
      </c>
      <c r="BG77" s="44">
        <v>1.2600000000000001E-3</v>
      </c>
      <c r="BH77" s="44">
        <v>8.8999999999999995E-4</v>
      </c>
      <c r="BI77" s="44">
        <v>6.7000000000000002E-4</v>
      </c>
      <c r="BJ77" s="44">
        <v>5.1999999999999995E-4</v>
      </c>
      <c r="BK77" s="44">
        <v>3.4000000000000002E-4</v>
      </c>
      <c r="BL77" s="44">
        <v>1.9000000000000001E-4</v>
      </c>
      <c r="BM77" s="44">
        <v>1.7000000000000001E-4</v>
      </c>
      <c r="BN77" s="44">
        <v>8.0000000000000007E-5</v>
      </c>
      <c r="BO77" s="44">
        <v>6.0000000000000002E-5</v>
      </c>
      <c r="BP77" s="44">
        <v>4.0000000000000003E-5</v>
      </c>
      <c r="BQ77" s="44">
        <v>0</v>
      </c>
      <c r="BR77" s="44">
        <v>0</v>
      </c>
      <c r="BS77" s="44">
        <v>0</v>
      </c>
      <c r="BT77" s="44">
        <v>0</v>
      </c>
      <c r="BU77" s="44">
        <v>0</v>
      </c>
      <c r="BV77" s="44">
        <v>0</v>
      </c>
      <c r="BW77" s="44">
        <v>0</v>
      </c>
      <c r="BX77" s="44">
        <v>0</v>
      </c>
      <c r="BY77" s="44">
        <v>0</v>
      </c>
      <c r="BZ77" s="44">
        <v>0</v>
      </c>
      <c r="CA77" s="44">
        <v>0</v>
      </c>
      <c r="CB77" s="44">
        <v>0</v>
      </c>
      <c r="CC77" s="44">
        <v>0</v>
      </c>
      <c r="CD77" s="44">
        <v>0</v>
      </c>
      <c r="CE77" s="44">
        <v>0</v>
      </c>
      <c r="CF77" s="44">
        <v>0</v>
      </c>
    </row>
    <row r="78" spans="1:84" ht="15" customHeight="1" x14ac:dyDescent="0.3">
      <c r="A78" s="10" t="s">
        <v>226</v>
      </c>
      <c r="B78" s="44">
        <v>0</v>
      </c>
      <c r="C78" s="44">
        <v>0</v>
      </c>
      <c r="D78" s="44">
        <v>1.0000000000000001E-5</v>
      </c>
      <c r="E78" s="44">
        <v>3.0000000000000001E-5</v>
      </c>
      <c r="F78" s="44">
        <v>8.0000000000000007E-5</v>
      </c>
      <c r="G78" s="44">
        <v>2.9E-4</v>
      </c>
      <c r="H78" s="44">
        <v>6.4999999999999997E-4</v>
      </c>
      <c r="I78" s="44">
        <v>8.5999999999999998E-4</v>
      </c>
      <c r="J78" s="44">
        <v>1.4499999999999999E-3</v>
      </c>
      <c r="K78" s="44">
        <v>2.0899999999999998E-3</v>
      </c>
      <c r="L78" s="44">
        <v>3.48E-3</v>
      </c>
      <c r="M78" s="44">
        <v>4.8199999999999996E-3</v>
      </c>
      <c r="N78" s="44">
        <v>7.6800000000000002E-3</v>
      </c>
      <c r="O78" s="44">
        <v>1.0290000000000001E-2</v>
      </c>
      <c r="P78" s="44">
        <v>1.2919999999999999E-2</v>
      </c>
      <c r="Q78" s="44">
        <v>1.6549999999999999E-2</v>
      </c>
      <c r="R78" s="44">
        <v>1.9640000000000001E-2</v>
      </c>
      <c r="S78" s="44">
        <v>2.3290000000000002E-2</v>
      </c>
      <c r="T78" s="44">
        <v>2.7050000000000001E-2</v>
      </c>
      <c r="U78" s="44">
        <v>3.1179999999999999E-2</v>
      </c>
      <c r="V78" s="44">
        <v>3.5360000000000003E-2</v>
      </c>
      <c r="W78" s="44">
        <v>3.7990000000000003E-2</v>
      </c>
      <c r="X78" s="44">
        <v>4.0800000000000003E-2</v>
      </c>
      <c r="Y78" s="44">
        <v>4.3740000000000001E-2</v>
      </c>
      <c r="Z78" s="44">
        <v>4.5240000000000002E-2</v>
      </c>
      <c r="AA78" s="44">
        <v>4.5089999999999998E-2</v>
      </c>
      <c r="AB78" s="44">
        <v>4.6550000000000001E-2</v>
      </c>
      <c r="AC78" s="44">
        <v>4.6149999999999997E-2</v>
      </c>
      <c r="AD78" s="44">
        <v>4.7419999999999997E-2</v>
      </c>
      <c r="AE78" s="44">
        <v>4.471E-2</v>
      </c>
      <c r="AF78" s="44">
        <v>4.3880000000000002E-2</v>
      </c>
      <c r="AG78" s="44">
        <v>4.2459999999999998E-2</v>
      </c>
      <c r="AH78" s="44">
        <v>3.8929999999999999E-2</v>
      </c>
      <c r="AI78" s="44">
        <v>3.7069999999999999E-2</v>
      </c>
      <c r="AJ78" s="44">
        <v>3.499E-2</v>
      </c>
      <c r="AK78" s="44">
        <v>3.0099999999999998E-2</v>
      </c>
      <c r="AL78" s="44">
        <v>2.7660000000000001E-2</v>
      </c>
      <c r="AM78" s="44">
        <v>2.4119999999999999E-2</v>
      </c>
      <c r="AN78" s="44">
        <v>2.121E-2</v>
      </c>
      <c r="AO78" s="44">
        <v>1.8030000000000001E-2</v>
      </c>
      <c r="AP78" s="44">
        <v>1.5679999999999999E-2</v>
      </c>
      <c r="AQ78" s="44">
        <v>1.349E-2</v>
      </c>
      <c r="AR78" s="44">
        <v>1.0789999999999999E-2</v>
      </c>
      <c r="AS78" s="44">
        <v>9.7199999999999995E-3</v>
      </c>
      <c r="AT78" s="44">
        <v>7.9799999999999992E-3</v>
      </c>
      <c r="AU78" s="44">
        <v>6.96E-3</v>
      </c>
      <c r="AV78" s="44">
        <v>4.8300000000000001E-3</v>
      </c>
      <c r="AW78" s="44">
        <v>3.8800000000000002E-3</v>
      </c>
      <c r="AX78" s="44">
        <v>3.1800000000000001E-3</v>
      </c>
      <c r="AY78" s="44">
        <v>2.4599999999999999E-3</v>
      </c>
      <c r="AZ78" s="44">
        <v>1.9499999999999999E-3</v>
      </c>
      <c r="BA78" s="44">
        <v>1.31E-3</v>
      </c>
      <c r="BB78" s="44">
        <v>1.1800000000000001E-3</v>
      </c>
      <c r="BC78" s="44">
        <v>8.8999999999999995E-4</v>
      </c>
      <c r="BD78" s="44">
        <v>5.5000000000000003E-4</v>
      </c>
      <c r="BE78" s="44">
        <v>3.6999999999999999E-4</v>
      </c>
      <c r="BF78" s="44">
        <v>2.7999999999999998E-4</v>
      </c>
      <c r="BG78" s="44">
        <v>2.2000000000000001E-4</v>
      </c>
      <c r="BH78" s="44">
        <v>1.2E-4</v>
      </c>
      <c r="BI78" s="44">
        <v>1.2E-4</v>
      </c>
      <c r="BJ78" s="44">
        <v>9.0000000000000006E-5</v>
      </c>
      <c r="BK78" s="44">
        <v>2.0000000000000002E-5</v>
      </c>
      <c r="BL78" s="44">
        <v>3.0000000000000001E-5</v>
      </c>
      <c r="BM78" s="44">
        <v>2.0000000000000002E-5</v>
      </c>
      <c r="BN78" s="44">
        <v>1.0000000000000001E-5</v>
      </c>
      <c r="BO78" s="44">
        <v>0</v>
      </c>
      <c r="BP78" s="44">
        <v>0</v>
      </c>
      <c r="BQ78" s="44">
        <v>1.0000000000000001E-5</v>
      </c>
      <c r="BR78" s="44">
        <v>0</v>
      </c>
      <c r="BS78" s="44">
        <v>0</v>
      </c>
      <c r="BT78" s="44">
        <v>0</v>
      </c>
      <c r="BU78" s="44">
        <v>0</v>
      </c>
      <c r="BV78" s="44">
        <v>0</v>
      </c>
      <c r="BW78" s="44">
        <v>0</v>
      </c>
      <c r="BX78" s="44">
        <v>0</v>
      </c>
      <c r="BY78" s="44">
        <v>0</v>
      </c>
      <c r="BZ78" s="44">
        <v>0</v>
      </c>
      <c r="CA78" s="44">
        <v>0</v>
      </c>
      <c r="CB78" s="44">
        <v>0</v>
      </c>
      <c r="CC78" s="44">
        <v>0</v>
      </c>
      <c r="CD78" s="44">
        <v>0</v>
      </c>
      <c r="CE78" s="44">
        <v>0</v>
      </c>
      <c r="CF78" s="44">
        <v>0</v>
      </c>
    </row>
    <row r="79" spans="1:84" ht="15" customHeight="1" x14ac:dyDescent="0.3"/>
    <row r="80" spans="1:84" ht="15" customHeight="1" x14ac:dyDescent="0.3"/>
    <row r="81" spans="1:19" ht="15" customHeight="1" x14ac:dyDescent="0.3">
      <c r="A81" s="3" t="s">
        <v>944</v>
      </c>
    </row>
    <row r="82" spans="1:19" ht="30" customHeight="1" x14ac:dyDescent="0.3">
      <c r="A82" s="11" t="s">
        <v>229</v>
      </c>
      <c r="B82" s="11" t="s">
        <v>945</v>
      </c>
      <c r="C82" s="11" t="s">
        <v>946</v>
      </c>
      <c r="D82" s="11" t="s">
        <v>947</v>
      </c>
      <c r="E82" s="11" t="s">
        <v>948</v>
      </c>
      <c r="F82" s="11" t="s">
        <v>949</v>
      </c>
      <c r="G82" s="11" t="s">
        <v>950</v>
      </c>
      <c r="H82" s="11" t="s">
        <v>951</v>
      </c>
      <c r="I82" s="11" t="s">
        <v>952</v>
      </c>
      <c r="J82" s="11" t="s">
        <v>953</v>
      </c>
      <c r="K82" s="11" t="s">
        <v>954</v>
      </c>
      <c r="L82" s="11" t="s">
        <v>955</v>
      </c>
      <c r="M82" s="11" t="s">
        <v>956</v>
      </c>
      <c r="N82" s="11" t="s">
        <v>957</v>
      </c>
      <c r="O82" s="11" t="s">
        <v>958</v>
      </c>
      <c r="P82" s="11" t="s">
        <v>959</v>
      </c>
      <c r="Q82" s="11" t="s">
        <v>960</v>
      </c>
      <c r="R82" s="11" t="s">
        <v>961</v>
      </c>
      <c r="S82" s="11" t="s">
        <v>962</v>
      </c>
    </row>
    <row r="83" spans="1:19" ht="15" customHeight="1" x14ac:dyDescent="0.3">
      <c r="A83" s="16">
        <v>0</v>
      </c>
      <c r="B83" s="15">
        <v>-0.35571999999999998</v>
      </c>
      <c r="C83" s="15">
        <v>0.28435999999999989</v>
      </c>
      <c r="D83" s="22">
        <v>0.45</v>
      </c>
      <c r="E83" s="15">
        <v>-1.153E-2</v>
      </c>
      <c r="F83" s="15">
        <v>-0.35571999999999998</v>
      </c>
      <c r="G83" s="15">
        <v>0.28435999999999989</v>
      </c>
      <c r="H83" s="16">
        <v>1</v>
      </c>
      <c r="I83" s="15">
        <v>-2.2239999999999899E-2</v>
      </c>
      <c r="J83" s="15">
        <v>-4.6179999999999999E-2</v>
      </c>
      <c r="K83" s="15">
        <v>-0.11233</v>
      </c>
      <c r="L83" s="15">
        <v>-3.4839999999999899E-2</v>
      </c>
      <c r="M83" s="19">
        <v>0</v>
      </c>
      <c r="N83" s="16">
        <v>0</v>
      </c>
      <c r="O83" s="15" t="s">
        <v>33</v>
      </c>
      <c r="P83" s="16">
        <v>0</v>
      </c>
      <c r="Q83" s="16">
        <v>0</v>
      </c>
      <c r="R83" s="19">
        <v>0</v>
      </c>
      <c r="S83" s="20" t="s">
        <v>33</v>
      </c>
    </row>
    <row r="84" spans="1:19" ht="15" customHeight="1" x14ac:dyDescent="0.3">
      <c r="A84" s="16">
        <v>1</v>
      </c>
      <c r="B84" s="15">
        <v>0.20680000000000001</v>
      </c>
      <c r="C84" s="15">
        <v>0.3660000000000001</v>
      </c>
      <c r="D84" s="22">
        <v>1</v>
      </c>
      <c r="E84" s="15">
        <v>0.28820000000000001</v>
      </c>
      <c r="F84" s="15">
        <v>0.20680000000000001</v>
      </c>
      <c r="G84" s="15">
        <v>0.3660000000000001</v>
      </c>
      <c r="H84" s="16">
        <v>1</v>
      </c>
      <c r="I84" s="15">
        <v>0.27829999999999999</v>
      </c>
      <c r="J84" s="15">
        <v>0.28505000000000003</v>
      </c>
      <c r="K84" s="15">
        <v>0.3204499999999999</v>
      </c>
      <c r="L84" s="15">
        <v>0.2559499999999999</v>
      </c>
      <c r="M84" s="19">
        <v>9.2843870954166486E-6</v>
      </c>
      <c r="N84" s="16">
        <v>0</v>
      </c>
      <c r="O84" s="15" t="s">
        <v>33</v>
      </c>
      <c r="P84" s="16">
        <v>0</v>
      </c>
      <c r="Q84" s="16">
        <v>0</v>
      </c>
      <c r="R84" s="19">
        <v>0</v>
      </c>
      <c r="S84" s="20" t="s">
        <v>33</v>
      </c>
    </row>
    <row r="85" spans="1:19" ht="15" customHeight="1" x14ac:dyDescent="0.3">
      <c r="A85" s="16">
        <v>2</v>
      </c>
      <c r="B85" s="15">
        <v>-0.79920000000000002</v>
      </c>
      <c r="C85" s="15">
        <v>-0.3289933333333333</v>
      </c>
      <c r="D85" s="22">
        <v>1.6666666666666601E-2</v>
      </c>
      <c r="E85" s="15">
        <v>-0.57580999999999993</v>
      </c>
      <c r="F85" s="15">
        <v>-0.79920000000000002</v>
      </c>
      <c r="G85" s="15">
        <v>-0.3289933333333333</v>
      </c>
      <c r="H85" s="16">
        <v>0</v>
      </c>
      <c r="I85" s="15">
        <v>-0.55573000000000006</v>
      </c>
      <c r="J85" s="15">
        <v>-0.58333999999999997</v>
      </c>
      <c r="K85" s="15">
        <v>-0.70382</v>
      </c>
      <c r="L85" s="15">
        <v>-0.49046999999999991</v>
      </c>
      <c r="M85" s="19">
        <v>0</v>
      </c>
      <c r="N85" s="16">
        <v>1</v>
      </c>
      <c r="O85" s="15" t="s">
        <v>33</v>
      </c>
      <c r="P85" s="16">
        <v>0</v>
      </c>
      <c r="Q85" s="16">
        <v>0</v>
      </c>
      <c r="R85" s="19">
        <v>0</v>
      </c>
      <c r="S85" s="20" t="s">
        <v>963</v>
      </c>
    </row>
    <row r="86" spans="1:19" ht="15" customHeight="1" x14ac:dyDescent="0.3">
      <c r="A86" s="16">
        <v>3</v>
      </c>
      <c r="B86" s="15">
        <v>-0.53078000000000003</v>
      </c>
      <c r="C86" s="15">
        <v>1.7320000000000099E-2</v>
      </c>
      <c r="D86" s="22">
        <v>0.1166666666666666</v>
      </c>
      <c r="E86" s="15">
        <v>-0.2604999999999999</v>
      </c>
      <c r="F86" s="15">
        <v>-0.53078000000000003</v>
      </c>
      <c r="G86" s="15">
        <v>1.7320000000000099E-2</v>
      </c>
      <c r="H86" s="16">
        <v>1</v>
      </c>
      <c r="I86" s="15">
        <v>-0.30747999999999998</v>
      </c>
      <c r="J86" s="15">
        <v>-0.25875999999999999</v>
      </c>
      <c r="K86" s="15">
        <v>-0.38839000000000001</v>
      </c>
      <c r="L86" s="15">
        <v>-0.1761100000000001</v>
      </c>
      <c r="M86" s="19">
        <v>0</v>
      </c>
      <c r="N86" s="16">
        <v>0</v>
      </c>
      <c r="O86" s="15" t="s">
        <v>33</v>
      </c>
      <c r="P86" s="16">
        <v>0</v>
      </c>
      <c r="Q86" s="16">
        <v>0</v>
      </c>
      <c r="R86" s="19">
        <v>0</v>
      </c>
      <c r="S86" s="20" t="s">
        <v>33</v>
      </c>
    </row>
    <row r="87" spans="1:19" ht="15" customHeight="1" x14ac:dyDescent="0.3">
      <c r="A87" s="16">
        <v>4</v>
      </c>
      <c r="B87" s="15">
        <v>-0.7239000000000001</v>
      </c>
      <c r="C87" s="15">
        <v>7.0933333333333196E-2</v>
      </c>
      <c r="D87" s="22">
        <v>0.1333333333333333</v>
      </c>
      <c r="E87" s="15">
        <v>-0.42520999999999998</v>
      </c>
      <c r="F87" s="15">
        <v>-0.7239000000000001</v>
      </c>
      <c r="G87" s="15">
        <v>7.0933333333333196E-2</v>
      </c>
      <c r="H87" s="16">
        <v>0</v>
      </c>
      <c r="I87" s="15">
        <v>-0.44528999999999991</v>
      </c>
      <c r="J87" s="15">
        <v>-0.41266000000000003</v>
      </c>
      <c r="K87" s="15">
        <v>-0.52812000000000003</v>
      </c>
      <c r="L87" s="15">
        <v>-0.31477000000000011</v>
      </c>
      <c r="M87" s="19">
        <v>0</v>
      </c>
      <c r="N87" s="16">
        <v>1</v>
      </c>
      <c r="O87" s="15" t="s">
        <v>33</v>
      </c>
      <c r="P87" s="16">
        <v>0</v>
      </c>
      <c r="Q87" s="16">
        <v>1</v>
      </c>
      <c r="R87" s="19">
        <v>0</v>
      </c>
      <c r="S87" s="20" t="s">
        <v>964</v>
      </c>
    </row>
    <row r="88" spans="1:19" ht="15" customHeight="1" x14ac:dyDescent="0.3">
      <c r="A88" s="16">
        <v>5</v>
      </c>
      <c r="B88" s="15">
        <v>-1.91666666666667E-2</v>
      </c>
      <c r="C88" s="15">
        <v>0.28083333333333338</v>
      </c>
      <c r="D88" s="22">
        <v>0.81666666666666665</v>
      </c>
      <c r="E88" s="15">
        <v>0.1652499999999999</v>
      </c>
      <c r="F88" s="15">
        <v>-1.91666666666667E-2</v>
      </c>
      <c r="G88" s="15">
        <v>0.28083333333333338</v>
      </c>
      <c r="H88" s="16">
        <v>1</v>
      </c>
      <c r="I88" s="15">
        <v>0.15349999999999989</v>
      </c>
      <c r="J88" s="15">
        <v>0.16225000000000001</v>
      </c>
      <c r="K88" s="15">
        <v>0.20100000000000001</v>
      </c>
      <c r="L88" s="15">
        <v>0.1764999999999998</v>
      </c>
      <c r="M88" s="19">
        <v>0</v>
      </c>
      <c r="N88" s="16">
        <v>0</v>
      </c>
      <c r="O88" s="15" t="s">
        <v>33</v>
      </c>
      <c r="P88" s="16">
        <v>0</v>
      </c>
      <c r="Q88" s="16">
        <v>0</v>
      </c>
      <c r="R88" s="19">
        <v>0</v>
      </c>
      <c r="S88" s="20" t="s">
        <v>33</v>
      </c>
    </row>
    <row r="89" spans="1:19" ht="15" customHeight="1" x14ac:dyDescent="0.3">
      <c r="A89" s="16">
        <v>6</v>
      </c>
      <c r="B89" s="15">
        <v>-0.80787333333333333</v>
      </c>
      <c r="C89" s="15">
        <v>-0.25939999999999991</v>
      </c>
      <c r="D89" s="22">
        <v>3.3333333333333298E-2</v>
      </c>
      <c r="E89" s="15">
        <v>-0.59427999999999992</v>
      </c>
      <c r="F89" s="15">
        <v>-0.80787333333333333</v>
      </c>
      <c r="G89" s="15">
        <v>-0.25939999999999991</v>
      </c>
      <c r="H89" s="16">
        <v>0</v>
      </c>
      <c r="I89" s="15">
        <v>-0.60555000000000003</v>
      </c>
      <c r="J89" s="15">
        <v>-0.52827000000000002</v>
      </c>
      <c r="K89" s="15">
        <v>-0.61360000000000003</v>
      </c>
      <c r="L89" s="15">
        <v>-0.47192000000000001</v>
      </c>
      <c r="M89" s="19">
        <v>0</v>
      </c>
      <c r="N89" s="16">
        <v>1</v>
      </c>
      <c r="O89" s="15" t="s">
        <v>33</v>
      </c>
      <c r="P89" s="16">
        <v>0</v>
      </c>
      <c r="Q89" s="16">
        <v>0</v>
      </c>
      <c r="R89" s="19">
        <v>0</v>
      </c>
      <c r="S89" s="20" t="s">
        <v>33</v>
      </c>
    </row>
    <row r="90" spans="1:19" ht="15" customHeight="1" x14ac:dyDescent="0.3">
      <c r="A90" s="16">
        <v>7</v>
      </c>
      <c r="B90" s="15">
        <v>1.6959999999999999E-2</v>
      </c>
      <c r="C90" s="15">
        <v>0.5571733333333333</v>
      </c>
      <c r="D90" s="22">
        <v>0.95</v>
      </c>
      <c r="E90" s="15">
        <v>0.28828000000000009</v>
      </c>
      <c r="F90" s="15">
        <v>1.6959999999999999E-2</v>
      </c>
      <c r="G90" s="15">
        <v>0.5571733333333333</v>
      </c>
      <c r="H90" s="16">
        <v>1</v>
      </c>
      <c r="I90" s="15">
        <v>0.31319999999999992</v>
      </c>
      <c r="J90" s="15">
        <v>0.31851999999999991</v>
      </c>
      <c r="K90" s="15">
        <v>0.26895999999999981</v>
      </c>
      <c r="L90" s="15">
        <v>0.30143999999999987</v>
      </c>
      <c r="M90" s="19">
        <v>0</v>
      </c>
      <c r="N90" s="16">
        <v>0</v>
      </c>
      <c r="O90" s="15" t="s">
        <v>33</v>
      </c>
      <c r="P90" s="16">
        <v>0</v>
      </c>
      <c r="Q90" s="16">
        <v>0</v>
      </c>
      <c r="R90" s="19">
        <v>0</v>
      </c>
      <c r="S90" s="20" t="s">
        <v>33</v>
      </c>
    </row>
    <row r="91" spans="1:19" ht="15" customHeight="1" x14ac:dyDescent="0.3">
      <c r="A91" s="16">
        <v>8</v>
      </c>
      <c r="B91" s="15">
        <v>0.31378</v>
      </c>
      <c r="C91" s="15">
        <v>0.5836866666666668</v>
      </c>
      <c r="D91" s="22">
        <v>1</v>
      </c>
      <c r="E91" s="15">
        <v>0.43375000000000008</v>
      </c>
      <c r="F91" s="15">
        <v>0.31378</v>
      </c>
      <c r="G91" s="15">
        <v>0.5836866666666668</v>
      </c>
      <c r="H91" s="16">
        <v>1</v>
      </c>
      <c r="I91" s="15">
        <v>0.44521999999999989</v>
      </c>
      <c r="J91" s="15">
        <v>0.44769999999999999</v>
      </c>
      <c r="K91" s="15">
        <v>0.46660999999999991</v>
      </c>
      <c r="L91" s="15">
        <v>0.46289000000000002</v>
      </c>
      <c r="M91" s="19">
        <v>0</v>
      </c>
      <c r="N91" s="16">
        <v>0</v>
      </c>
      <c r="O91" s="15" t="s">
        <v>33</v>
      </c>
      <c r="P91" s="16">
        <v>0</v>
      </c>
      <c r="Q91" s="16">
        <v>0</v>
      </c>
      <c r="R91" s="19">
        <v>0</v>
      </c>
      <c r="S91" s="20" t="s">
        <v>33</v>
      </c>
    </row>
    <row r="92" spans="1:19" ht="15" customHeight="1" x14ac:dyDescent="0.3">
      <c r="A92" s="16">
        <v>9</v>
      </c>
      <c r="B92" s="15">
        <v>1.8439999999999901E-2</v>
      </c>
      <c r="C92" s="15">
        <v>0.41840000000000011</v>
      </c>
      <c r="D92" s="22">
        <v>0.95</v>
      </c>
      <c r="E92" s="15">
        <v>0.22472</v>
      </c>
      <c r="F92" s="15">
        <v>1.8439999999999901E-2</v>
      </c>
      <c r="G92" s="15">
        <v>0.41840000000000011</v>
      </c>
      <c r="H92" s="16">
        <v>1</v>
      </c>
      <c r="I92" s="15">
        <v>0.24199999999999999</v>
      </c>
      <c r="J92" s="15">
        <v>0.21553999999999979</v>
      </c>
      <c r="K92" s="15">
        <v>0.15776000000000009</v>
      </c>
      <c r="L92" s="15">
        <v>0.26252000000000009</v>
      </c>
      <c r="M92" s="19">
        <v>0</v>
      </c>
      <c r="N92" s="16">
        <v>0</v>
      </c>
      <c r="O92" s="15" t="s">
        <v>33</v>
      </c>
      <c r="P92" s="16">
        <v>0</v>
      </c>
      <c r="Q92" s="16">
        <v>0</v>
      </c>
      <c r="R92" s="19">
        <v>0</v>
      </c>
      <c r="S92" s="20" t="s">
        <v>33</v>
      </c>
    </row>
    <row r="93" spans="1:19" ht="15" customHeight="1" x14ac:dyDescent="0.3">
      <c r="A93" s="16">
        <v>10</v>
      </c>
      <c r="B93" s="15">
        <v>2.7453333333333338</v>
      </c>
      <c r="C93" s="15">
        <v>4.7133333333333338</v>
      </c>
      <c r="D93" s="22">
        <v>1</v>
      </c>
      <c r="E93" s="15">
        <v>3.5994999999999999</v>
      </c>
      <c r="F93" s="15">
        <v>2.7453333333333338</v>
      </c>
      <c r="G93" s="15">
        <v>4.7133333333333338</v>
      </c>
      <c r="H93" s="16">
        <v>1</v>
      </c>
      <c r="I93" s="15">
        <v>3.5865</v>
      </c>
      <c r="J93" s="15">
        <v>3.5655000000000001</v>
      </c>
      <c r="K93" s="15">
        <v>3.6305000000000001</v>
      </c>
      <c r="L93" s="15">
        <v>3.4075000000000011</v>
      </c>
      <c r="M93" s="19">
        <v>2.8331647524742001E-3</v>
      </c>
      <c r="N93" s="16">
        <v>0</v>
      </c>
      <c r="O93" s="15" t="s">
        <v>33</v>
      </c>
      <c r="P93" s="16">
        <v>0</v>
      </c>
      <c r="Q93" s="16">
        <v>0</v>
      </c>
      <c r="R93" s="19">
        <v>0</v>
      </c>
      <c r="S93" s="20" t="s">
        <v>33</v>
      </c>
    </row>
    <row r="94" spans="1:19" ht="15" customHeight="1" x14ac:dyDescent="0.3">
      <c r="A94" s="16">
        <v>11</v>
      </c>
      <c r="B94" s="15">
        <v>-0.25573999999999991</v>
      </c>
      <c r="C94" s="15">
        <v>0.1362799999999999</v>
      </c>
      <c r="D94" s="22">
        <v>0.3</v>
      </c>
      <c r="E94" s="15">
        <v>-6.9760000000000003E-2</v>
      </c>
      <c r="F94" s="15">
        <v>-0.25573999999999991</v>
      </c>
      <c r="G94" s="15">
        <v>0.1362799999999999</v>
      </c>
      <c r="H94" s="16">
        <v>1</v>
      </c>
      <c r="I94" s="15">
        <v>-4.5789999999999997E-2</v>
      </c>
      <c r="J94" s="15">
        <v>-9.3729999999999897E-2</v>
      </c>
      <c r="K94" s="15">
        <v>-0.11055999999999989</v>
      </c>
      <c r="L94" s="15">
        <v>-5.7520000000000002E-2</v>
      </c>
      <c r="M94" s="19">
        <v>0</v>
      </c>
      <c r="N94" s="16">
        <v>0</v>
      </c>
      <c r="O94" s="15" t="s">
        <v>33</v>
      </c>
      <c r="P94" s="16">
        <v>0</v>
      </c>
      <c r="Q94" s="16">
        <v>0</v>
      </c>
      <c r="R94" s="19">
        <v>0</v>
      </c>
      <c r="S94" s="20" t="s">
        <v>33</v>
      </c>
    </row>
    <row r="95" spans="1:19" ht="15" customHeight="1" x14ac:dyDescent="0.3">
      <c r="A95" s="16">
        <v>12</v>
      </c>
      <c r="B95" s="15">
        <v>-0.86613333333333331</v>
      </c>
      <c r="C95" s="15">
        <v>-0.4226999999999998</v>
      </c>
      <c r="D95" s="22">
        <v>1.6666666666666601E-2</v>
      </c>
      <c r="E95" s="15">
        <v>-0.73645000000000005</v>
      </c>
      <c r="F95" s="15">
        <v>-0.86613333333333331</v>
      </c>
      <c r="G95" s="15">
        <v>-0.4226999999999998</v>
      </c>
      <c r="H95" s="16">
        <v>0</v>
      </c>
      <c r="I95" s="15">
        <v>-0.71134999999999993</v>
      </c>
      <c r="J95" s="15">
        <v>-0.71636999999999995</v>
      </c>
      <c r="K95" s="15">
        <v>-0.77912000000000003</v>
      </c>
      <c r="L95" s="15">
        <v>-0.62851999999999997</v>
      </c>
      <c r="M95" s="19">
        <v>0</v>
      </c>
      <c r="N95" s="16">
        <v>1</v>
      </c>
      <c r="O95" s="15" t="s">
        <v>33</v>
      </c>
      <c r="P95" s="16">
        <v>0</v>
      </c>
      <c r="Q95" s="16">
        <v>0</v>
      </c>
      <c r="R95" s="19">
        <v>0</v>
      </c>
      <c r="S95" s="20" t="s">
        <v>33</v>
      </c>
    </row>
    <row r="96" spans="1:19" ht="15" customHeight="1" x14ac:dyDescent="0.3">
      <c r="A96" s="16">
        <v>13</v>
      </c>
      <c r="B96" s="15">
        <v>0.17207999999999979</v>
      </c>
      <c r="C96" s="15">
        <v>0.48096</v>
      </c>
      <c r="D96" s="22">
        <v>1</v>
      </c>
      <c r="E96" s="15">
        <v>0.35797999999999991</v>
      </c>
      <c r="F96" s="15">
        <v>0.17207999999999979</v>
      </c>
      <c r="G96" s="15">
        <v>0.48096</v>
      </c>
      <c r="H96" s="16">
        <v>1</v>
      </c>
      <c r="I96" s="15">
        <v>0.3564199999999999</v>
      </c>
      <c r="J96" s="15">
        <v>0.35759000000000007</v>
      </c>
      <c r="K96" s="15">
        <v>0.28738999999999981</v>
      </c>
      <c r="L96" s="15">
        <v>0.3564199999999999</v>
      </c>
      <c r="M96" s="19">
        <v>0</v>
      </c>
      <c r="N96" s="16">
        <v>0</v>
      </c>
      <c r="O96" s="15" t="s">
        <v>33</v>
      </c>
      <c r="P96" s="16">
        <v>0</v>
      </c>
      <c r="Q96" s="16">
        <v>1</v>
      </c>
      <c r="R96" s="19">
        <v>0</v>
      </c>
      <c r="S96" s="20" t="s">
        <v>965</v>
      </c>
    </row>
    <row r="97" spans="1:19" ht="15" customHeight="1" x14ac:dyDescent="0.3">
      <c r="A97" s="16">
        <v>14</v>
      </c>
      <c r="B97" s="15">
        <v>-0.3691533333333335</v>
      </c>
      <c r="C97" s="15">
        <v>0.68170000000000008</v>
      </c>
      <c r="D97" s="22">
        <v>0.56666666666666665</v>
      </c>
      <c r="E97" s="15">
        <v>4.6669999999999899E-2</v>
      </c>
      <c r="F97" s="15">
        <v>-0.3691533333333335</v>
      </c>
      <c r="G97" s="15">
        <v>0.68170000000000008</v>
      </c>
      <c r="H97" s="16">
        <v>0</v>
      </c>
      <c r="I97" s="15">
        <v>1.404E-2</v>
      </c>
      <c r="J97" s="15">
        <v>2.6589999999999801E-2</v>
      </c>
      <c r="K97" s="15">
        <v>-0.19679999999999989</v>
      </c>
      <c r="L97" s="15">
        <v>0.18973999999999999</v>
      </c>
      <c r="M97" s="19">
        <v>0</v>
      </c>
      <c r="N97" s="16">
        <v>1</v>
      </c>
      <c r="O97" s="15" t="s">
        <v>33</v>
      </c>
      <c r="P97" s="16">
        <v>0</v>
      </c>
      <c r="Q97" s="16">
        <v>0</v>
      </c>
      <c r="R97" s="19">
        <v>0</v>
      </c>
      <c r="S97" s="20" t="s">
        <v>33</v>
      </c>
    </row>
    <row r="98" spans="1:19" ht="15" customHeight="1" x14ac:dyDescent="0.3">
      <c r="A98" s="16">
        <v>15</v>
      </c>
      <c r="B98" s="15">
        <v>-0.8146000000000001</v>
      </c>
      <c r="C98" s="15">
        <v>-0.62380000000000002</v>
      </c>
      <c r="D98" s="22">
        <v>0</v>
      </c>
      <c r="E98" s="15">
        <v>-0.74469999999999992</v>
      </c>
      <c r="F98" s="15">
        <v>-0.8146000000000001</v>
      </c>
      <c r="G98" s="15">
        <v>-0.62380000000000002</v>
      </c>
      <c r="H98" s="16">
        <v>1</v>
      </c>
      <c r="I98" s="15">
        <v>-0.73</v>
      </c>
      <c r="J98" s="15">
        <v>-0.73839999999999995</v>
      </c>
      <c r="K98" s="15">
        <v>-0.75340000000000007</v>
      </c>
      <c r="L98" s="15">
        <v>-0.71530000000000005</v>
      </c>
      <c r="M98" s="19">
        <v>0</v>
      </c>
      <c r="N98" s="16">
        <v>0</v>
      </c>
      <c r="O98" s="15" t="s">
        <v>33</v>
      </c>
      <c r="P98" s="16">
        <v>0</v>
      </c>
      <c r="Q98" s="16">
        <v>0</v>
      </c>
      <c r="R98" s="19">
        <v>0</v>
      </c>
      <c r="S98" s="20" t="s">
        <v>966</v>
      </c>
    </row>
    <row r="99" spans="1:19" ht="15" customHeight="1" x14ac:dyDescent="0.3">
      <c r="A99" s="16">
        <v>16</v>
      </c>
      <c r="B99" s="15">
        <v>-0.83434000000000008</v>
      </c>
      <c r="C99" s="15">
        <v>-0.34405333333333332</v>
      </c>
      <c r="D99" s="22">
        <v>1.6666666666666601E-2</v>
      </c>
      <c r="E99" s="15">
        <v>-0.67871999999999999</v>
      </c>
      <c r="F99" s="15">
        <v>-0.83434000000000008</v>
      </c>
      <c r="G99" s="15">
        <v>-0.34405333333333332</v>
      </c>
      <c r="H99" s="16">
        <v>0</v>
      </c>
      <c r="I99" s="15">
        <v>-0.71385999999999994</v>
      </c>
      <c r="J99" s="15">
        <v>-0.67369999999999997</v>
      </c>
      <c r="K99" s="15">
        <v>-0.72389999999999999</v>
      </c>
      <c r="L99" s="15">
        <v>-0.55573000000000006</v>
      </c>
      <c r="M99" s="19">
        <v>0</v>
      </c>
      <c r="N99" s="16">
        <v>1</v>
      </c>
      <c r="O99" s="15" t="s">
        <v>33</v>
      </c>
      <c r="P99" s="16">
        <v>0</v>
      </c>
      <c r="Q99" s="16">
        <v>0</v>
      </c>
      <c r="R99" s="19">
        <v>0</v>
      </c>
      <c r="S99" s="20" t="s">
        <v>33</v>
      </c>
    </row>
    <row r="100" spans="1:19" ht="15" customHeight="1" x14ac:dyDescent="0.3">
      <c r="A100" s="16">
        <v>17</v>
      </c>
      <c r="B100" s="15">
        <v>-0.48399999999999999</v>
      </c>
      <c r="C100" s="15">
        <v>-0.2548333333333333</v>
      </c>
      <c r="D100" s="22">
        <v>0</v>
      </c>
      <c r="E100" s="15">
        <v>-0.39174999999999988</v>
      </c>
      <c r="F100" s="15">
        <v>-0.48399999999999999</v>
      </c>
      <c r="G100" s="15">
        <v>-0.2548333333333333</v>
      </c>
      <c r="H100" s="16">
        <v>1</v>
      </c>
      <c r="I100" s="15">
        <v>-0.40125</v>
      </c>
      <c r="J100" s="15">
        <v>-0.38674999999999998</v>
      </c>
      <c r="K100" s="15">
        <v>-0.40175</v>
      </c>
      <c r="L100" s="15">
        <v>-0.36699999999999999</v>
      </c>
      <c r="M100" s="19">
        <v>0</v>
      </c>
      <c r="N100" s="16">
        <v>0</v>
      </c>
      <c r="O100" s="15" t="s">
        <v>33</v>
      </c>
      <c r="P100" s="16">
        <v>0</v>
      </c>
      <c r="Q100" s="16">
        <v>1</v>
      </c>
      <c r="R100" s="19">
        <v>0</v>
      </c>
      <c r="S100" s="20" t="s">
        <v>967</v>
      </c>
    </row>
    <row r="101" spans="1:19" ht="15" customHeight="1" x14ac:dyDescent="0.3">
      <c r="A101" s="16">
        <v>18</v>
      </c>
      <c r="B101" s="15">
        <v>-0.7690800000000001</v>
      </c>
      <c r="C101" s="15">
        <v>-0.27711999999999992</v>
      </c>
      <c r="D101" s="22">
        <v>3.3333333333333298E-2</v>
      </c>
      <c r="E101" s="15">
        <v>-0.59087000000000001</v>
      </c>
      <c r="F101" s="15">
        <v>-0.7690800000000001</v>
      </c>
      <c r="G101" s="15">
        <v>-0.27711999999999992</v>
      </c>
      <c r="H101" s="16">
        <v>0</v>
      </c>
      <c r="I101" s="15">
        <v>-0.59840000000000004</v>
      </c>
      <c r="J101" s="15">
        <v>-0.56325999999999998</v>
      </c>
      <c r="K101" s="15">
        <v>-0.67118999999999995</v>
      </c>
      <c r="L101" s="15">
        <v>-0.49548999999999999</v>
      </c>
      <c r="M101" s="19">
        <v>0</v>
      </c>
      <c r="N101" s="16">
        <v>1</v>
      </c>
      <c r="O101" s="15" t="s">
        <v>33</v>
      </c>
      <c r="P101" s="16">
        <v>0</v>
      </c>
      <c r="Q101" s="16">
        <v>0</v>
      </c>
      <c r="R101" s="19">
        <v>0</v>
      </c>
      <c r="S101" s="20" t="s">
        <v>968</v>
      </c>
    </row>
    <row r="102" spans="1:19" ht="15" customHeight="1" x14ac:dyDescent="0.3">
      <c r="A102" s="16">
        <v>19</v>
      </c>
      <c r="B102" s="15">
        <v>-0.80463499999999999</v>
      </c>
      <c r="C102" s="15">
        <v>-0.56574166666666659</v>
      </c>
      <c r="D102" s="22">
        <v>0</v>
      </c>
      <c r="E102" s="15">
        <v>-0.70582499999999992</v>
      </c>
      <c r="F102" s="15">
        <v>-0.80463499999999999</v>
      </c>
      <c r="G102" s="15">
        <v>-0.56574166666666659</v>
      </c>
      <c r="H102" s="16">
        <v>1</v>
      </c>
      <c r="I102" s="15">
        <v>-0.70274999999999999</v>
      </c>
      <c r="J102" s="15">
        <v>-0.702955</v>
      </c>
      <c r="K102" s="15">
        <v>-0.71197500000000002</v>
      </c>
      <c r="L102" s="15">
        <v>-0.70223750000000007</v>
      </c>
      <c r="M102" s="19">
        <v>0</v>
      </c>
      <c r="N102" s="16">
        <v>0</v>
      </c>
      <c r="O102" s="15" t="s">
        <v>33</v>
      </c>
      <c r="P102" s="16">
        <v>0</v>
      </c>
      <c r="Q102" s="16">
        <v>0</v>
      </c>
      <c r="R102" s="19">
        <v>0</v>
      </c>
      <c r="S102" s="20" t="s">
        <v>969</v>
      </c>
    </row>
    <row r="103" spans="1:19" ht="15" customHeight="1" x14ac:dyDescent="0.3">
      <c r="A103" s="16">
        <v>20</v>
      </c>
      <c r="B103" s="15">
        <v>-0.3780033333333333</v>
      </c>
      <c r="C103" s="15">
        <v>-4.0649999999999901E-2</v>
      </c>
      <c r="D103" s="22">
        <v>6.6666666666666596E-2</v>
      </c>
      <c r="E103" s="15">
        <v>-0.20784499999999989</v>
      </c>
      <c r="F103" s="15">
        <v>-0.3780033333333333</v>
      </c>
      <c r="G103" s="15">
        <v>-4.0649999999999901E-2</v>
      </c>
      <c r="H103" s="16">
        <v>1</v>
      </c>
      <c r="I103" s="15">
        <v>-0.208125</v>
      </c>
      <c r="J103" s="15">
        <v>-0.21113499999999991</v>
      </c>
      <c r="K103" s="15">
        <v>-0.19367000000000001</v>
      </c>
      <c r="L103" s="15">
        <v>-0.23399</v>
      </c>
      <c r="M103" s="19">
        <v>0</v>
      </c>
      <c r="N103" s="16">
        <v>0</v>
      </c>
      <c r="O103" s="15" t="s">
        <v>33</v>
      </c>
      <c r="P103" s="16">
        <v>0</v>
      </c>
      <c r="Q103" s="16">
        <v>1</v>
      </c>
      <c r="R103" s="19">
        <v>0</v>
      </c>
      <c r="S103" s="20" t="s">
        <v>970</v>
      </c>
    </row>
    <row r="104" spans="1:19" ht="15" customHeight="1" x14ac:dyDescent="0.3">
      <c r="A104" s="16">
        <v>21</v>
      </c>
      <c r="B104" s="15">
        <v>0.14725333333333321</v>
      </c>
      <c r="C104" s="15">
        <v>0.83157333333333305</v>
      </c>
      <c r="D104" s="22">
        <v>0.96666666666666679</v>
      </c>
      <c r="E104" s="15">
        <v>0.50136000000000003</v>
      </c>
      <c r="F104" s="15">
        <v>0.14725333333333321</v>
      </c>
      <c r="G104" s="15">
        <v>0.83157333333333305</v>
      </c>
      <c r="H104" s="16">
        <v>1</v>
      </c>
      <c r="I104" s="15">
        <v>0.47671999999999998</v>
      </c>
      <c r="J104" s="15">
        <v>0.54280000000000017</v>
      </c>
      <c r="K104" s="15">
        <v>0.48903999999999992</v>
      </c>
      <c r="L104" s="15">
        <v>0.51536000000000004</v>
      </c>
      <c r="M104" s="19">
        <v>0</v>
      </c>
      <c r="N104" s="16">
        <v>0</v>
      </c>
      <c r="O104" s="15" t="s">
        <v>33</v>
      </c>
      <c r="P104" s="16">
        <v>0</v>
      </c>
      <c r="Q104" s="16">
        <v>0</v>
      </c>
      <c r="R104" s="19">
        <v>0</v>
      </c>
      <c r="S104" s="20" t="s">
        <v>33</v>
      </c>
    </row>
    <row r="105" spans="1:19" ht="15" customHeight="1" x14ac:dyDescent="0.3">
      <c r="A105" s="16">
        <v>22</v>
      </c>
      <c r="B105" s="15">
        <v>-0.74426000000000003</v>
      </c>
      <c r="C105" s="15">
        <v>-0.63247666666666658</v>
      </c>
      <c r="D105" s="22">
        <v>0</v>
      </c>
      <c r="E105" s="15">
        <v>-0.68023</v>
      </c>
      <c r="F105" s="15">
        <v>-0.74426000000000003</v>
      </c>
      <c r="G105" s="15">
        <v>-0.63247666666666658</v>
      </c>
      <c r="H105" s="16">
        <v>1</v>
      </c>
      <c r="I105" s="15">
        <v>-0.68051499999999998</v>
      </c>
      <c r="J105" s="15">
        <v>-0.67491000000000001</v>
      </c>
      <c r="K105" s="15">
        <v>-0.69096499999999994</v>
      </c>
      <c r="L105" s="15">
        <v>-0.66959000000000002</v>
      </c>
      <c r="M105" s="19">
        <v>0</v>
      </c>
      <c r="N105" s="16">
        <v>0</v>
      </c>
      <c r="O105" s="15" t="s">
        <v>33</v>
      </c>
      <c r="P105" s="16">
        <v>0</v>
      </c>
      <c r="Q105" s="16">
        <v>0</v>
      </c>
      <c r="R105" s="19">
        <v>0</v>
      </c>
      <c r="S105" s="20" t="s">
        <v>33</v>
      </c>
    </row>
    <row r="106" spans="1:19" ht="15" customHeight="1" x14ac:dyDescent="0.3">
      <c r="A106" s="16">
        <v>23</v>
      </c>
      <c r="B106" s="15">
        <v>0.13788666666666641</v>
      </c>
      <c r="C106" s="15">
        <v>1.462806666666667</v>
      </c>
      <c r="D106" s="22">
        <v>0.96666666666666679</v>
      </c>
      <c r="E106" s="15">
        <v>0.72493000000000007</v>
      </c>
      <c r="F106" s="15">
        <v>0.13788666666666641</v>
      </c>
      <c r="G106" s="15">
        <v>1.462806666666667</v>
      </c>
      <c r="H106" s="16">
        <v>1</v>
      </c>
      <c r="I106" s="15">
        <v>0.71768999999999994</v>
      </c>
      <c r="J106" s="15">
        <v>0.71768999999999994</v>
      </c>
      <c r="K106" s="15">
        <v>0.41179999999999989</v>
      </c>
      <c r="L106" s="15">
        <v>0.82990999999999993</v>
      </c>
      <c r="M106" s="19">
        <v>0</v>
      </c>
      <c r="N106" s="16">
        <v>0</v>
      </c>
      <c r="O106" s="15" t="s">
        <v>33</v>
      </c>
      <c r="P106" s="16">
        <v>0</v>
      </c>
      <c r="Q106" s="16">
        <v>0</v>
      </c>
      <c r="R106" s="19">
        <v>0</v>
      </c>
      <c r="S106" s="20" t="s">
        <v>33</v>
      </c>
    </row>
    <row r="107" spans="1:19" ht="15" customHeight="1" x14ac:dyDescent="0.3">
      <c r="A107" s="16">
        <v>24</v>
      </c>
      <c r="B107" s="15">
        <v>1.1997800000000001</v>
      </c>
      <c r="C107" s="15">
        <v>2.21584</v>
      </c>
      <c r="D107" s="22">
        <v>1</v>
      </c>
      <c r="E107" s="15">
        <v>1.6623600000000001</v>
      </c>
      <c r="F107" s="15">
        <v>1.1997800000000001</v>
      </c>
      <c r="G107" s="15">
        <v>2.21584</v>
      </c>
      <c r="H107" s="16">
        <v>1</v>
      </c>
      <c r="I107" s="15">
        <v>1.6956899999999999</v>
      </c>
      <c r="J107" s="15">
        <v>1.7219500000000001</v>
      </c>
      <c r="K107" s="15">
        <v>1.57853</v>
      </c>
      <c r="L107" s="15">
        <v>1.8785000000000009</v>
      </c>
      <c r="M107" s="19">
        <v>0</v>
      </c>
      <c r="N107" s="16">
        <v>0</v>
      </c>
      <c r="O107" s="15" t="s">
        <v>33</v>
      </c>
      <c r="P107" s="16">
        <v>0</v>
      </c>
      <c r="Q107" s="16">
        <v>0</v>
      </c>
      <c r="R107" s="19">
        <v>0</v>
      </c>
      <c r="S107" s="20" t="s">
        <v>33</v>
      </c>
    </row>
    <row r="108" spans="1:19" ht="15" customHeight="1" x14ac:dyDescent="0.3">
      <c r="A108" s="16">
        <v>25</v>
      </c>
      <c r="B108" s="15">
        <v>-1</v>
      </c>
      <c r="C108" s="15">
        <v>-0.91633333333333322</v>
      </c>
      <c r="D108" s="22">
        <v>0</v>
      </c>
      <c r="E108" s="15">
        <v>-0.95482</v>
      </c>
      <c r="F108" s="15">
        <v>-1</v>
      </c>
      <c r="G108" s="15">
        <v>-0.91633333333333322</v>
      </c>
      <c r="H108" s="16">
        <v>0</v>
      </c>
      <c r="I108" s="15">
        <v>-0.94728999999999997</v>
      </c>
      <c r="J108" s="15">
        <v>-0.97238999999999998</v>
      </c>
      <c r="K108" s="15">
        <v>-0.99246999999999996</v>
      </c>
      <c r="L108" s="15">
        <v>-0.96235000000000004</v>
      </c>
      <c r="M108" s="19">
        <v>0</v>
      </c>
      <c r="N108" s="16">
        <v>1</v>
      </c>
      <c r="O108" s="15" t="s">
        <v>33</v>
      </c>
      <c r="P108" s="16">
        <v>0</v>
      </c>
      <c r="Q108" s="16">
        <v>0</v>
      </c>
      <c r="R108" s="19">
        <v>0</v>
      </c>
      <c r="S108" s="20" t="s">
        <v>33</v>
      </c>
    </row>
    <row r="109" spans="1:19" ht="15" customHeight="1" x14ac:dyDescent="0.3">
      <c r="A109" s="16">
        <v>26</v>
      </c>
      <c r="B109" s="15">
        <v>-0.69475333333333333</v>
      </c>
      <c r="C109" s="15">
        <v>-0.59000999999999992</v>
      </c>
      <c r="D109" s="22">
        <v>0</v>
      </c>
      <c r="E109" s="15">
        <v>-0.64429500000000006</v>
      </c>
      <c r="F109" s="15">
        <v>-0.69475333333333333</v>
      </c>
      <c r="G109" s="15">
        <v>-0.59000999999999992</v>
      </c>
      <c r="H109" s="16">
        <v>1</v>
      </c>
      <c r="I109" s="15">
        <v>-0.64341999999999999</v>
      </c>
      <c r="J109" s="15">
        <v>-0.64835500000000001</v>
      </c>
      <c r="K109" s="15">
        <v>-0.62910500000000003</v>
      </c>
      <c r="L109" s="15">
        <v>-0.6488799999999999</v>
      </c>
      <c r="M109" s="19">
        <v>0</v>
      </c>
      <c r="N109" s="16">
        <v>0</v>
      </c>
      <c r="O109" s="15" t="s">
        <v>33</v>
      </c>
      <c r="P109" s="16">
        <v>0</v>
      </c>
      <c r="Q109" s="16">
        <v>0</v>
      </c>
      <c r="R109" s="19">
        <v>0</v>
      </c>
      <c r="S109" s="20" t="s">
        <v>33</v>
      </c>
    </row>
    <row r="110" spans="1:19" ht="15" customHeight="1" x14ac:dyDescent="0.3">
      <c r="A110" s="16">
        <v>27</v>
      </c>
      <c r="B110" s="15">
        <v>0.90781999999999963</v>
      </c>
      <c r="C110" s="15">
        <v>1.4784200000000001</v>
      </c>
      <c r="D110" s="22">
        <v>1</v>
      </c>
      <c r="E110" s="15">
        <v>1.1608099999999999</v>
      </c>
      <c r="F110" s="15">
        <v>0.90781999999999963</v>
      </c>
      <c r="G110" s="15">
        <v>1.4784200000000001</v>
      </c>
      <c r="H110" s="16">
        <v>1</v>
      </c>
      <c r="I110" s="15">
        <v>1.154870000000001</v>
      </c>
      <c r="J110" s="15">
        <v>1.1527099999999999</v>
      </c>
      <c r="K110" s="15">
        <v>1.2239899999999999</v>
      </c>
      <c r="L110" s="15">
        <v>1.18808</v>
      </c>
      <c r="M110" s="19">
        <v>4.2365657574930003E-4</v>
      </c>
      <c r="N110" s="16">
        <v>0</v>
      </c>
      <c r="O110" s="15" t="s">
        <v>33</v>
      </c>
      <c r="P110" s="16">
        <v>0</v>
      </c>
      <c r="Q110" s="16">
        <v>1</v>
      </c>
      <c r="R110" s="19">
        <v>0</v>
      </c>
      <c r="S110" s="20" t="s">
        <v>971</v>
      </c>
    </row>
    <row r="111" spans="1:19" ht="15" customHeight="1" x14ac:dyDescent="0.3">
      <c r="A111" s="16">
        <v>28</v>
      </c>
      <c r="B111" s="15">
        <v>-0.85887999999999998</v>
      </c>
      <c r="C111" s="15">
        <v>-0.4783599999999999</v>
      </c>
      <c r="D111" s="22">
        <v>0</v>
      </c>
      <c r="E111" s="15">
        <v>-0.75051999999999996</v>
      </c>
      <c r="F111" s="15">
        <v>-0.85887999999999998</v>
      </c>
      <c r="G111" s="15">
        <v>-0.4783599999999999</v>
      </c>
      <c r="H111" s="16">
        <v>0</v>
      </c>
      <c r="I111" s="15">
        <v>-0.73540000000000005</v>
      </c>
      <c r="J111" s="15">
        <v>-0.748</v>
      </c>
      <c r="K111" s="15">
        <v>-0.79336000000000007</v>
      </c>
      <c r="L111" s="15">
        <v>-0.69886000000000004</v>
      </c>
      <c r="M111" s="19">
        <v>0</v>
      </c>
      <c r="N111" s="16">
        <v>1</v>
      </c>
      <c r="O111" s="15" t="s">
        <v>33</v>
      </c>
      <c r="P111" s="16">
        <v>0</v>
      </c>
      <c r="Q111" s="16">
        <v>0</v>
      </c>
      <c r="R111" s="19">
        <v>0</v>
      </c>
      <c r="S111" s="20" t="s">
        <v>33</v>
      </c>
    </row>
    <row r="112" spans="1:19" ht="15" customHeight="1" x14ac:dyDescent="0.3">
      <c r="A112" s="16">
        <v>29</v>
      </c>
      <c r="B112" s="15">
        <v>-0.96106666666666662</v>
      </c>
      <c r="C112" s="15">
        <v>-0.79462666666666659</v>
      </c>
      <c r="D112" s="22">
        <v>0</v>
      </c>
      <c r="E112" s="15">
        <v>-0.90510000000000002</v>
      </c>
      <c r="F112" s="15">
        <v>-0.96106666666666662</v>
      </c>
      <c r="G112" s="15">
        <v>-0.79462666666666659</v>
      </c>
      <c r="H112" s="16">
        <v>0</v>
      </c>
      <c r="I112" s="15">
        <v>-0.90071999999999997</v>
      </c>
      <c r="J112" s="15">
        <v>-0.90364</v>
      </c>
      <c r="K112" s="15">
        <v>-0.90656000000000003</v>
      </c>
      <c r="L112" s="15">
        <v>-0.87590000000000001</v>
      </c>
      <c r="M112" s="19">
        <v>0</v>
      </c>
      <c r="N112" s="16">
        <v>1</v>
      </c>
      <c r="O112" s="15" t="s">
        <v>33</v>
      </c>
      <c r="P112" s="16">
        <v>0</v>
      </c>
      <c r="Q112" s="16">
        <v>0</v>
      </c>
      <c r="R112" s="19">
        <v>0</v>
      </c>
      <c r="S112" s="20" t="s">
        <v>33</v>
      </c>
    </row>
    <row r="113" spans="1:19" ht="15" customHeight="1" x14ac:dyDescent="0.3">
      <c r="A113" s="16">
        <v>30</v>
      </c>
      <c r="B113" s="15">
        <v>-0.28711999999999999</v>
      </c>
      <c r="C113" s="15">
        <v>0.17152000000000009</v>
      </c>
      <c r="D113" s="22">
        <v>0.41666666666666669</v>
      </c>
      <c r="E113" s="15">
        <v>-6.2769999999999895E-2</v>
      </c>
      <c r="F113" s="15">
        <v>-0.28711999999999999</v>
      </c>
      <c r="G113" s="15">
        <v>0.17152000000000009</v>
      </c>
      <c r="H113" s="16">
        <v>1</v>
      </c>
      <c r="I113" s="15">
        <v>-4.9329999999999999E-2</v>
      </c>
      <c r="J113" s="15">
        <v>-7.8729999999999897E-2</v>
      </c>
      <c r="K113" s="15">
        <v>-9.826E-2</v>
      </c>
      <c r="L113" s="15">
        <v>-5.5419999999999997E-2</v>
      </c>
      <c r="M113" s="19">
        <v>0</v>
      </c>
      <c r="N113" s="16">
        <v>0</v>
      </c>
      <c r="O113" s="15" t="s">
        <v>33</v>
      </c>
      <c r="P113" s="16">
        <v>0</v>
      </c>
      <c r="Q113" s="16">
        <v>0</v>
      </c>
      <c r="R113" s="19">
        <v>0</v>
      </c>
      <c r="S113" s="20" t="s">
        <v>33</v>
      </c>
    </row>
    <row r="114" spans="1:19" ht="15" customHeight="1" x14ac:dyDescent="0.3">
      <c r="A114" s="16">
        <v>31</v>
      </c>
      <c r="B114" s="15">
        <v>6.0791666666666799E-2</v>
      </c>
      <c r="C114" s="15">
        <v>0.30212500000000009</v>
      </c>
      <c r="D114" s="22">
        <v>0.98333333333333317</v>
      </c>
      <c r="E114" s="15">
        <v>0.18206249999999999</v>
      </c>
      <c r="F114" s="15">
        <v>6.0791666666666799E-2</v>
      </c>
      <c r="G114" s="15">
        <v>0.30212500000000009</v>
      </c>
      <c r="H114" s="16">
        <v>1</v>
      </c>
      <c r="I114" s="15">
        <v>0.18274999999999991</v>
      </c>
      <c r="J114" s="15">
        <v>0.1810624999999999</v>
      </c>
      <c r="K114" s="15">
        <v>0.19906249999999989</v>
      </c>
      <c r="L114" s="15">
        <v>0.13506249999999981</v>
      </c>
      <c r="M114" s="19">
        <v>0</v>
      </c>
      <c r="N114" s="16">
        <v>0</v>
      </c>
      <c r="O114" s="15" t="s">
        <v>33</v>
      </c>
      <c r="P114" s="16">
        <v>0</v>
      </c>
      <c r="Q114" s="16">
        <v>0</v>
      </c>
      <c r="R114" s="19">
        <v>0</v>
      </c>
      <c r="S114" s="20" t="s">
        <v>33</v>
      </c>
    </row>
    <row r="115" spans="1:19" ht="15" customHeight="1" x14ac:dyDescent="0.3">
      <c r="A115" s="16">
        <v>32</v>
      </c>
      <c r="B115" s="15">
        <v>-3.7833333333333399E-2</v>
      </c>
      <c r="C115" s="15">
        <v>1.22888</v>
      </c>
      <c r="D115" s="22">
        <v>0.8666666666666667</v>
      </c>
      <c r="E115" s="15">
        <v>0.52106000000000008</v>
      </c>
      <c r="F115" s="15">
        <v>-3.7833333333333399E-2</v>
      </c>
      <c r="G115" s="15">
        <v>1.22888</v>
      </c>
      <c r="H115" s="16">
        <v>1</v>
      </c>
      <c r="I115" s="15">
        <v>0.53862999999999994</v>
      </c>
      <c r="J115" s="15">
        <v>0.62396999999999991</v>
      </c>
      <c r="K115" s="15">
        <v>0.25248999999999988</v>
      </c>
      <c r="L115" s="15">
        <v>0.88751999999999986</v>
      </c>
      <c r="M115" s="19">
        <v>0</v>
      </c>
      <c r="N115" s="16">
        <v>1</v>
      </c>
      <c r="O115" s="15" t="s">
        <v>33</v>
      </c>
      <c r="P115" s="16">
        <v>0</v>
      </c>
      <c r="Q115" s="16">
        <v>0</v>
      </c>
      <c r="R115" s="19">
        <v>0</v>
      </c>
      <c r="S115" s="20" t="s">
        <v>963</v>
      </c>
    </row>
    <row r="116" spans="1:19" ht="15" customHeight="1" x14ac:dyDescent="0.3">
      <c r="A116" s="16">
        <v>33</v>
      </c>
      <c r="B116" s="15">
        <v>-0.41120000000000001</v>
      </c>
      <c r="C116" s="15">
        <v>-1.35999999999998E-2</v>
      </c>
      <c r="D116" s="22">
        <v>0.1</v>
      </c>
      <c r="E116" s="15">
        <v>-0.20589999999999989</v>
      </c>
      <c r="F116" s="15">
        <v>-0.41120000000000001</v>
      </c>
      <c r="G116" s="15">
        <v>-1.35999999999998E-2</v>
      </c>
      <c r="H116" s="16">
        <v>1</v>
      </c>
      <c r="I116" s="15">
        <v>-0.23319999999999999</v>
      </c>
      <c r="J116" s="15">
        <v>-0.20200000000000001</v>
      </c>
      <c r="K116" s="15">
        <v>-0.31</v>
      </c>
      <c r="L116" s="15">
        <v>-0.1492</v>
      </c>
      <c r="M116" s="19">
        <v>0</v>
      </c>
      <c r="N116" s="16">
        <v>0</v>
      </c>
      <c r="O116" s="15" t="s">
        <v>33</v>
      </c>
      <c r="P116" s="16">
        <v>0</v>
      </c>
      <c r="Q116" s="16">
        <v>0</v>
      </c>
      <c r="R116" s="19">
        <v>0</v>
      </c>
      <c r="S116" s="20" t="s">
        <v>33</v>
      </c>
    </row>
    <row r="117" spans="1:19" ht="15" customHeight="1" x14ac:dyDescent="0.3">
      <c r="A117" s="16">
        <v>34</v>
      </c>
      <c r="B117" s="15">
        <v>-6.6760000000000097E-2</v>
      </c>
      <c r="C117" s="15">
        <v>2.0984799999999999</v>
      </c>
      <c r="D117" s="22">
        <v>0.8833333333333333</v>
      </c>
      <c r="E117" s="15">
        <v>0.78563000000000005</v>
      </c>
      <c r="F117" s="15">
        <v>-6.6760000000000097E-2</v>
      </c>
      <c r="G117" s="15">
        <v>2.0984799999999999</v>
      </c>
      <c r="H117" s="16">
        <v>1</v>
      </c>
      <c r="I117" s="15">
        <v>0.82721</v>
      </c>
      <c r="J117" s="15">
        <v>0.9126799999999996</v>
      </c>
      <c r="K117" s="15">
        <v>0.56848999999999994</v>
      </c>
      <c r="L117" s="15">
        <v>1.18526</v>
      </c>
      <c r="M117" s="19">
        <v>0</v>
      </c>
      <c r="N117" s="16">
        <v>1</v>
      </c>
      <c r="O117" s="15" t="s">
        <v>33</v>
      </c>
      <c r="P117" s="16">
        <v>0</v>
      </c>
      <c r="Q117" s="16">
        <v>1</v>
      </c>
      <c r="R117" s="19">
        <v>0</v>
      </c>
      <c r="S117" s="20" t="s">
        <v>964</v>
      </c>
    </row>
    <row r="118" spans="1:19" ht="15" customHeight="1" x14ac:dyDescent="0.3">
      <c r="A118" s="16">
        <v>35</v>
      </c>
      <c r="B118" s="15">
        <v>-1.4999999999999901E-2</v>
      </c>
      <c r="C118" s="15">
        <v>0.25419999999999998</v>
      </c>
      <c r="D118" s="22">
        <v>0.83333333333333337</v>
      </c>
      <c r="E118" s="15">
        <v>0.1386</v>
      </c>
      <c r="F118" s="15">
        <v>-1.4999999999999901E-2</v>
      </c>
      <c r="G118" s="15">
        <v>0.25419999999999998</v>
      </c>
      <c r="H118" s="16">
        <v>1</v>
      </c>
      <c r="I118" s="15">
        <v>0.14349999999999991</v>
      </c>
      <c r="J118" s="15">
        <v>0.14649999999999999</v>
      </c>
      <c r="K118" s="15">
        <v>0.17359999999999989</v>
      </c>
      <c r="L118" s="15">
        <v>0.1196000000000001</v>
      </c>
      <c r="M118" s="19">
        <v>0</v>
      </c>
      <c r="N118" s="16">
        <v>0</v>
      </c>
      <c r="O118" s="15" t="s">
        <v>33</v>
      </c>
      <c r="P118" s="16">
        <v>0</v>
      </c>
      <c r="Q118" s="16">
        <v>0</v>
      </c>
      <c r="R118" s="19">
        <v>0</v>
      </c>
      <c r="S118" s="20" t="s">
        <v>33</v>
      </c>
    </row>
    <row r="119" spans="1:19" ht="15" customHeight="1" x14ac:dyDescent="0.3">
      <c r="A119" s="16">
        <v>36</v>
      </c>
      <c r="B119" s="15">
        <v>8.2333333333333397E-2</v>
      </c>
      <c r="C119" s="15">
        <v>0.2227333333333332</v>
      </c>
      <c r="D119" s="22">
        <v>1</v>
      </c>
      <c r="E119" s="15">
        <v>0.13939999999999991</v>
      </c>
      <c r="F119" s="15">
        <v>8.2333333333333397E-2</v>
      </c>
      <c r="G119" s="15">
        <v>0.2227333333333332</v>
      </c>
      <c r="H119" s="16">
        <v>1</v>
      </c>
      <c r="I119" s="15">
        <v>0.1432999999999999</v>
      </c>
      <c r="J119" s="15">
        <v>0.13289999999999999</v>
      </c>
      <c r="K119" s="15">
        <v>0.16409999999999991</v>
      </c>
      <c r="L119" s="15">
        <v>0.15399999999999989</v>
      </c>
      <c r="M119" s="19">
        <v>0</v>
      </c>
      <c r="N119" s="16">
        <v>0</v>
      </c>
      <c r="O119" s="15" t="s">
        <v>33</v>
      </c>
      <c r="P119" s="16">
        <v>0</v>
      </c>
      <c r="Q119" s="16">
        <v>0</v>
      </c>
      <c r="R119" s="19">
        <v>0</v>
      </c>
      <c r="S119" s="20" t="s">
        <v>33</v>
      </c>
    </row>
    <row r="120" spans="1:19" ht="15" customHeight="1" x14ac:dyDescent="0.3">
      <c r="A120" s="16">
        <v>37</v>
      </c>
      <c r="B120" s="15">
        <v>-0.19589999999999999</v>
      </c>
      <c r="C120" s="15">
        <v>-2.03466666666667E-2</v>
      </c>
      <c r="D120" s="22">
        <v>0.05</v>
      </c>
      <c r="E120" s="15">
        <v>-0.1149799999999999</v>
      </c>
      <c r="F120" s="15">
        <v>-0.19589999999999999</v>
      </c>
      <c r="G120" s="15">
        <v>-2.03466666666667E-2</v>
      </c>
      <c r="H120" s="16">
        <v>1</v>
      </c>
      <c r="I120" s="15">
        <v>-0.11736000000000001</v>
      </c>
      <c r="J120" s="15">
        <v>-0.13146999999999989</v>
      </c>
      <c r="K120" s="15">
        <v>-0.1238199999999999</v>
      </c>
      <c r="L120" s="15">
        <v>-8.8799999999999907E-2</v>
      </c>
      <c r="M120" s="19">
        <v>0</v>
      </c>
      <c r="N120" s="16">
        <v>0</v>
      </c>
      <c r="O120" s="15" t="s">
        <v>33</v>
      </c>
      <c r="P120" s="16">
        <v>0</v>
      </c>
      <c r="Q120" s="16">
        <v>0</v>
      </c>
      <c r="R120" s="19">
        <v>0</v>
      </c>
      <c r="S120" s="20" t="s">
        <v>33</v>
      </c>
    </row>
    <row r="121" spans="1:19" ht="15" customHeight="1" x14ac:dyDescent="0.3">
      <c r="A121" s="16">
        <v>38</v>
      </c>
      <c r="B121" s="15">
        <v>-0.74424000000000001</v>
      </c>
      <c r="C121" s="15">
        <v>-0.58504</v>
      </c>
      <c r="D121" s="22">
        <v>0</v>
      </c>
      <c r="E121" s="15">
        <v>-0.68091999999999997</v>
      </c>
      <c r="F121" s="15">
        <v>-0.74424000000000001</v>
      </c>
      <c r="G121" s="15">
        <v>-0.58504</v>
      </c>
      <c r="H121" s="16">
        <v>1</v>
      </c>
      <c r="I121" s="15">
        <v>-0.67708000000000002</v>
      </c>
      <c r="J121" s="15">
        <v>-0.66964000000000001</v>
      </c>
      <c r="K121" s="15">
        <v>-0.69567999999999997</v>
      </c>
      <c r="L121" s="15">
        <v>-0.65260000000000007</v>
      </c>
      <c r="M121" s="19">
        <v>0</v>
      </c>
      <c r="N121" s="16">
        <v>0</v>
      </c>
      <c r="O121" s="15" t="s">
        <v>33</v>
      </c>
      <c r="P121" s="16">
        <v>0</v>
      </c>
      <c r="Q121" s="16">
        <v>0</v>
      </c>
      <c r="R121" s="19">
        <v>0</v>
      </c>
      <c r="S121" s="20" t="s">
        <v>966</v>
      </c>
    </row>
    <row r="122" spans="1:19" ht="15" customHeight="1" x14ac:dyDescent="0.3">
      <c r="A122" s="16">
        <v>39</v>
      </c>
      <c r="B122" s="15">
        <v>-0.20182</v>
      </c>
      <c r="C122" s="15">
        <v>0.97286000000000017</v>
      </c>
      <c r="D122" s="22">
        <v>0.75</v>
      </c>
      <c r="E122" s="15">
        <v>0.22487999999999991</v>
      </c>
      <c r="F122" s="15">
        <v>-0.20182</v>
      </c>
      <c r="G122" s="15">
        <v>0.97286000000000017</v>
      </c>
      <c r="H122" s="16">
        <v>1</v>
      </c>
      <c r="I122" s="15">
        <v>0.2123300000000001</v>
      </c>
      <c r="J122" s="15">
        <v>0.31774999999999998</v>
      </c>
      <c r="K122" s="15">
        <v>8.1809999999999897E-2</v>
      </c>
      <c r="L122" s="15">
        <v>0.4758799999999998</v>
      </c>
      <c r="M122" s="19">
        <v>0</v>
      </c>
      <c r="N122" s="16">
        <v>1</v>
      </c>
      <c r="O122" s="15" t="s">
        <v>33</v>
      </c>
      <c r="P122" s="16">
        <v>0</v>
      </c>
      <c r="Q122" s="16">
        <v>0</v>
      </c>
      <c r="R122" s="19">
        <v>0</v>
      </c>
      <c r="S122" s="20" t="s">
        <v>33</v>
      </c>
    </row>
    <row r="123" spans="1:19" ht="15" customHeight="1" x14ac:dyDescent="0.3">
      <c r="A123" s="16">
        <v>40</v>
      </c>
      <c r="B123" s="15">
        <v>-0.73159333333333332</v>
      </c>
      <c r="C123" s="15">
        <v>-0.52189666666666668</v>
      </c>
      <c r="D123" s="22">
        <v>0</v>
      </c>
      <c r="E123" s="15">
        <v>-0.63909499999999997</v>
      </c>
      <c r="F123" s="15">
        <v>-0.73159333333333332</v>
      </c>
      <c r="G123" s="15">
        <v>-0.52189666666666668</v>
      </c>
      <c r="H123" s="16">
        <v>1</v>
      </c>
      <c r="I123" s="15">
        <v>-0.64066250000000002</v>
      </c>
      <c r="J123" s="15">
        <v>-0.64127999999999996</v>
      </c>
      <c r="K123" s="15">
        <v>-0.64541250000000006</v>
      </c>
      <c r="L123" s="15">
        <v>-0.64622000000000002</v>
      </c>
      <c r="M123" s="19">
        <v>0</v>
      </c>
      <c r="N123" s="16">
        <v>0</v>
      </c>
      <c r="O123" s="15" t="s">
        <v>33</v>
      </c>
      <c r="P123" s="16">
        <v>0</v>
      </c>
      <c r="Q123" s="16">
        <v>0</v>
      </c>
      <c r="R123" s="19">
        <v>0</v>
      </c>
      <c r="S123" s="20" t="s">
        <v>969</v>
      </c>
    </row>
    <row r="124" spans="1:19" ht="15" customHeight="1" x14ac:dyDescent="0.3">
      <c r="A124" s="16">
        <v>41</v>
      </c>
      <c r="B124" s="15">
        <v>0.18790666666666669</v>
      </c>
      <c r="C124" s="15">
        <v>0.79634666666666654</v>
      </c>
      <c r="D124" s="22">
        <v>0.98333333333333317</v>
      </c>
      <c r="E124" s="15">
        <v>0.50408500000000012</v>
      </c>
      <c r="F124" s="15">
        <v>0.18790666666666669</v>
      </c>
      <c r="G124" s="15">
        <v>0.79634666666666654</v>
      </c>
      <c r="H124" s="16">
        <v>1</v>
      </c>
      <c r="I124" s="15">
        <v>0.47538500000000011</v>
      </c>
      <c r="J124" s="15">
        <v>0.50203500000000001</v>
      </c>
      <c r="K124" s="15">
        <v>0.50695500000000004</v>
      </c>
      <c r="L124" s="15">
        <v>0.48891499999999999</v>
      </c>
      <c r="M124" s="19">
        <v>0</v>
      </c>
      <c r="N124" s="16">
        <v>0</v>
      </c>
      <c r="O124" s="15" t="s">
        <v>33</v>
      </c>
      <c r="P124" s="16">
        <v>0</v>
      </c>
      <c r="Q124" s="16">
        <v>0</v>
      </c>
      <c r="R124" s="19">
        <v>0</v>
      </c>
      <c r="S124" s="20" t="s">
        <v>33</v>
      </c>
    </row>
    <row r="125" spans="1:19" ht="15" customHeight="1" x14ac:dyDescent="0.3">
      <c r="A125" s="16">
        <v>42</v>
      </c>
      <c r="B125" s="15">
        <v>-0.69456666666666667</v>
      </c>
      <c r="C125" s="15">
        <v>-0.58347166666666661</v>
      </c>
      <c r="D125" s="22">
        <v>0</v>
      </c>
      <c r="E125" s="15">
        <v>-0.63292749999999998</v>
      </c>
      <c r="F125" s="15">
        <v>-0.69456666666666667</v>
      </c>
      <c r="G125" s="15">
        <v>-0.58347166666666661</v>
      </c>
      <c r="H125" s="16">
        <v>1</v>
      </c>
      <c r="I125" s="15">
        <v>-0.63178000000000001</v>
      </c>
      <c r="J125" s="15">
        <v>-0.63573250000000003</v>
      </c>
      <c r="K125" s="15">
        <v>-0.64138500000000009</v>
      </c>
      <c r="L125" s="15">
        <v>-0.63139750000000006</v>
      </c>
      <c r="M125" s="19">
        <v>0</v>
      </c>
      <c r="N125" s="16">
        <v>0</v>
      </c>
      <c r="O125" s="15" t="s">
        <v>33</v>
      </c>
      <c r="P125" s="16">
        <v>0</v>
      </c>
      <c r="Q125" s="16">
        <v>0</v>
      </c>
      <c r="R125" s="19">
        <v>0</v>
      </c>
      <c r="S125" s="20" t="s">
        <v>33</v>
      </c>
    </row>
    <row r="126" spans="1:19" ht="15" customHeight="1" x14ac:dyDescent="0.3">
      <c r="A126" s="16">
        <v>43</v>
      </c>
      <c r="B126" s="15">
        <v>0.58166666666666667</v>
      </c>
      <c r="C126" s="15">
        <v>0.94940000000000002</v>
      </c>
      <c r="D126" s="22">
        <v>1</v>
      </c>
      <c r="E126" s="15">
        <v>0.76239999999999997</v>
      </c>
      <c r="F126" s="15">
        <v>0.58166666666666667</v>
      </c>
      <c r="G126" s="15">
        <v>0.94940000000000002</v>
      </c>
      <c r="H126" s="16">
        <v>1</v>
      </c>
      <c r="I126" s="15">
        <v>0.76460000000000017</v>
      </c>
      <c r="J126" s="15">
        <v>0.76550000000000007</v>
      </c>
      <c r="K126" s="15">
        <v>0.80689999999999995</v>
      </c>
      <c r="L126" s="15">
        <v>0.75019999999999998</v>
      </c>
      <c r="M126" s="19">
        <v>1.0742813765179999E-4</v>
      </c>
      <c r="N126" s="16">
        <v>0</v>
      </c>
      <c r="O126" s="15" t="s">
        <v>33</v>
      </c>
      <c r="P126" s="16">
        <v>0</v>
      </c>
      <c r="Q126" s="16">
        <v>1</v>
      </c>
      <c r="R126" s="19">
        <v>0</v>
      </c>
      <c r="S126" s="20" t="s">
        <v>971</v>
      </c>
    </row>
    <row r="127" spans="1:19" ht="15" customHeight="1" x14ac:dyDescent="0.3">
      <c r="A127" s="16">
        <v>44</v>
      </c>
      <c r="B127" s="15">
        <v>-0.92579999999999996</v>
      </c>
      <c r="C127" s="15">
        <v>-0.74913333333333332</v>
      </c>
      <c r="D127" s="22">
        <v>0</v>
      </c>
      <c r="E127" s="15">
        <v>-0.85743000000000003</v>
      </c>
      <c r="F127" s="15">
        <v>-0.92579999999999996</v>
      </c>
      <c r="G127" s="15">
        <v>-0.74913333333333332</v>
      </c>
      <c r="H127" s="16">
        <v>0</v>
      </c>
      <c r="I127" s="15">
        <v>-0.85000999999999993</v>
      </c>
      <c r="J127" s="15">
        <v>-0.84365000000000001</v>
      </c>
      <c r="K127" s="15">
        <v>-0.88234000000000001</v>
      </c>
      <c r="L127" s="15">
        <v>-0.81874000000000002</v>
      </c>
      <c r="M127" s="19">
        <v>0</v>
      </c>
      <c r="N127" s="16">
        <v>1</v>
      </c>
      <c r="O127" s="15" t="s">
        <v>33</v>
      </c>
      <c r="P127" s="16">
        <v>0</v>
      </c>
      <c r="Q127" s="16">
        <v>0</v>
      </c>
      <c r="R127" s="19">
        <v>0</v>
      </c>
      <c r="S127" s="20" t="s">
        <v>33</v>
      </c>
    </row>
    <row r="128" spans="1:19" ht="15" customHeight="1" x14ac:dyDescent="0.3">
      <c r="A128" s="16">
        <v>45</v>
      </c>
      <c r="B128" s="15">
        <v>-0.72229333333333345</v>
      </c>
      <c r="C128" s="15">
        <v>-5.2626666666666599E-2</v>
      </c>
      <c r="D128" s="22">
        <v>6.6666666666666596E-2</v>
      </c>
      <c r="E128" s="15">
        <v>-0.43665999999999988</v>
      </c>
      <c r="F128" s="15">
        <v>-0.72229333333333345</v>
      </c>
      <c r="G128" s="15">
        <v>-5.2626666666666599E-2</v>
      </c>
      <c r="H128" s="16">
        <v>0</v>
      </c>
      <c r="I128" s="15">
        <v>-0.43830000000000002</v>
      </c>
      <c r="J128" s="15">
        <v>-0.3891</v>
      </c>
      <c r="K128" s="15">
        <v>-0.49159999999999998</v>
      </c>
      <c r="L128" s="15">
        <v>-0.3267799999999999</v>
      </c>
      <c r="M128" s="19">
        <v>0</v>
      </c>
      <c r="N128" s="16">
        <v>1</v>
      </c>
      <c r="O128" s="15" t="s">
        <v>33</v>
      </c>
      <c r="P128" s="16">
        <v>0</v>
      </c>
      <c r="Q128" s="16">
        <v>0</v>
      </c>
      <c r="R128" s="19">
        <v>0</v>
      </c>
      <c r="S128" s="20" t="s">
        <v>33</v>
      </c>
    </row>
    <row r="129" spans="1:19" ht="15" customHeight="1" x14ac:dyDescent="0.3">
      <c r="A129" s="16">
        <v>46</v>
      </c>
      <c r="B129" s="15">
        <v>2.7E-2</v>
      </c>
      <c r="C129" s="15">
        <v>0.47079999999999989</v>
      </c>
      <c r="D129" s="22">
        <v>0.93333333333333324</v>
      </c>
      <c r="E129" s="15">
        <v>0.27334999999999998</v>
      </c>
      <c r="F129" s="15">
        <v>2.7E-2</v>
      </c>
      <c r="G129" s="15">
        <v>0.47079999999999989</v>
      </c>
      <c r="H129" s="16">
        <v>1</v>
      </c>
      <c r="I129" s="15">
        <v>0.27560000000000001</v>
      </c>
      <c r="J129" s="15">
        <v>0.28475</v>
      </c>
      <c r="K129" s="15">
        <v>0.24304999999999999</v>
      </c>
      <c r="L129" s="15">
        <v>0.28084999999999982</v>
      </c>
      <c r="M129" s="19">
        <v>0</v>
      </c>
      <c r="N129" s="16">
        <v>0</v>
      </c>
      <c r="O129" s="15" t="s">
        <v>33</v>
      </c>
      <c r="P129" s="16">
        <v>0</v>
      </c>
      <c r="Q129" s="16">
        <v>0</v>
      </c>
      <c r="R129" s="19">
        <v>0</v>
      </c>
      <c r="S129" s="20" t="s">
        <v>33</v>
      </c>
    </row>
    <row r="130" spans="1:19" ht="15" customHeight="1" x14ac:dyDescent="0.3">
      <c r="A130" s="16">
        <v>47</v>
      </c>
      <c r="B130" s="15">
        <v>5.4439999999999898E-2</v>
      </c>
      <c r="C130" s="15">
        <v>0.46051999999999998</v>
      </c>
      <c r="D130" s="22">
        <v>0.98333333333333317</v>
      </c>
      <c r="E130" s="15">
        <v>0.25739000000000001</v>
      </c>
      <c r="F130" s="15">
        <v>5.4439999999999898E-2</v>
      </c>
      <c r="G130" s="15">
        <v>0.46051999999999998</v>
      </c>
      <c r="H130" s="16">
        <v>1</v>
      </c>
      <c r="I130" s="15">
        <v>0.27143</v>
      </c>
      <c r="J130" s="15">
        <v>0.26252000000000009</v>
      </c>
      <c r="K130" s="15">
        <v>0.23066000000000009</v>
      </c>
      <c r="L130" s="15">
        <v>0.27710000000000012</v>
      </c>
      <c r="M130" s="19">
        <v>0</v>
      </c>
      <c r="N130" s="16">
        <v>0</v>
      </c>
      <c r="O130" s="15" t="s">
        <v>33</v>
      </c>
      <c r="P130" s="16">
        <v>0</v>
      </c>
      <c r="Q130" s="16">
        <v>0</v>
      </c>
      <c r="R130" s="19">
        <v>0</v>
      </c>
      <c r="S130" s="20" t="s">
        <v>33</v>
      </c>
    </row>
    <row r="131" spans="1:19" ht="15" customHeight="1" x14ac:dyDescent="0.3">
      <c r="A131" s="16">
        <v>48</v>
      </c>
      <c r="B131" s="15">
        <v>1.8644000000000001</v>
      </c>
      <c r="C131" s="15">
        <v>3.1563500000000002</v>
      </c>
      <c r="D131" s="22">
        <v>1</v>
      </c>
      <c r="E131" s="15">
        <v>2.4596</v>
      </c>
      <c r="F131" s="15">
        <v>1.8644000000000001</v>
      </c>
      <c r="G131" s="15">
        <v>3.1563500000000002</v>
      </c>
      <c r="H131" s="16">
        <v>1</v>
      </c>
      <c r="I131" s="15">
        <v>2.4566750000000002</v>
      </c>
      <c r="J131" s="15">
        <v>2.445875</v>
      </c>
      <c r="K131" s="15">
        <v>2.5005500000000001</v>
      </c>
      <c r="L131" s="15">
        <v>2.3353999999999999</v>
      </c>
      <c r="M131" s="19">
        <v>2.0587205071140001E-3</v>
      </c>
      <c r="N131" s="16">
        <v>0</v>
      </c>
      <c r="O131" s="15" t="s">
        <v>33</v>
      </c>
      <c r="P131" s="16">
        <v>0</v>
      </c>
      <c r="Q131" s="16">
        <v>0</v>
      </c>
      <c r="R131" s="19">
        <v>0</v>
      </c>
      <c r="S131" s="20" t="s">
        <v>33</v>
      </c>
    </row>
    <row r="132" spans="1:19" ht="15" customHeight="1" x14ac:dyDescent="0.3">
      <c r="A132" s="16">
        <v>49</v>
      </c>
      <c r="B132" s="15">
        <v>-0.61440000000000006</v>
      </c>
      <c r="C132" s="15">
        <v>0.60666666666666669</v>
      </c>
      <c r="D132" s="22">
        <v>0.4</v>
      </c>
      <c r="E132" s="15">
        <v>-0.25772</v>
      </c>
      <c r="F132" s="15">
        <v>-0.61440000000000006</v>
      </c>
      <c r="G132" s="15">
        <v>0.60666666666666669</v>
      </c>
      <c r="H132" s="16">
        <v>0</v>
      </c>
      <c r="I132" s="15">
        <v>-0.22156999999999999</v>
      </c>
      <c r="J132" s="15">
        <v>-0.20952000000000001</v>
      </c>
      <c r="K132" s="15">
        <v>-0.30832999999999999</v>
      </c>
      <c r="L132" s="15">
        <v>1.9429999999999999E-2</v>
      </c>
      <c r="M132" s="19">
        <v>0</v>
      </c>
      <c r="N132" s="16">
        <v>1</v>
      </c>
      <c r="O132" s="15" t="s">
        <v>33</v>
      </c>
      <c r="P132" s="16">
        <v>0</v>
      </c>
      <c r="Q132" s="16">
        <v>0</v>
      </c>
      <c r="R132" s="19">
        <v>0</v>
      </c>
      <c r="S132" s="20" t="s">
        <v>33</v>
      </c>
    </row>
    <row r="133" spans="1:19" ht="15" customHeight="1" x14ac:dyDescent="0.3">
      <c r="A133" s="16">
        <v>50</v>
      </c>
      <c r="B133" s="15">
        <v>6.0811666666666597E-2</v>
      </c>
      <c r="C133" s="15">
        <v>0.33516999999999991</v>
      </c>
      <c r="D133" s="22">
        <v>0.96666666666666679</v>
      </c>
      <c r="E133" s="15">
        <v>0.20851500000000001</v>
      </c>
      <c r="F133" s="15">
        <v>6.0811666666666597E-2</v>
      </c>
      <c r="G133" s="15">
        <v>0.33516999999999991</v>
      </c>
      <c r="H133" s="16">
        <v>1</v>
      </c>
      <c r="I133" s="15">
        <v>0.21453749999999999</v>
      </c>
      <c r="J133" s="15">
        <v>0.20230999999999999</v>
      </c>
      <c r="K133" s="15">
        <v>0.17365749999999999</v>
      </c>
      <c r="L133" s="15">
        <v>0.21088750000000009</v>
      </c>
      <c r="M133" s="19">
        <v>0</v>
      </c>
      <c r="N133" s="16">
        <v>0</v>
      </c>
      <c r="O133" s="15" t="s">
        <v>33</v>
      </c>
      <c r="P133" s="16">
        <v>0</v>
      </c>
      <c r="Q133" s="16">
        <v>1</v>
      </c>
      <c r="R133" s="19">
        <v>0</v>
      </c>
      <c r="S133" s="20" t="s">
        <v>965</v>
      </c>
    </row>
    <row r="134" spans="1:19" ht="15" customHeight="1" x14ac:dyDescent="0.3">
      <c r="A134" s="16">
        <v>51</v>
      </c>
      <c r="B134" s="15">
        <v>0.85070666666666672</v>
      </c>
      <c r="C134" s="15">
        <v>2.8336066666666682</v>
      </c>
      <c r="D134" s="22">
        <v>1</v>
      </c>
      <c r="E134" s="15">
        <v>1.74092</v>
      </c>
      <c r="F134" s="15">
        <v>0.85070666666666672</v>
      </c>
      <c r="G134" s="15">
        <v>2.8336066666666682</v>
      </c>
      <c r="H134" s="16">
        <v>1</v>
      </c>
      <c r="I134" s="15">
        <v>1.73841</v>
      </c>
      <c r="J134" s="15">
        <v>1.7509600000000001</v>
      </c>
      <c r="K134" s="15">
        <v>1.2966500000000001</v>
      </c>
      <c r="L134" s="15">
        <v>2.0898099999999999</v>
      </c>
      <c r="M134" s="19">
        <v>0</v>
      </c>
      <c r="N134" s="16">
        <v>1</v>
      </c>
      <c r="O134" s="15" t="s">
        <v>33</v>
      </c>
      <c r="P134" s="16">
        <v>0</v>
      </c>
      <c r="Q134" s="16">
        <v>0</v>
      </c>
      <c r="R134" s="19">
        <v>0</v>
      </c>
      <c r="S134" s="20" t="s">
        <v>33</v>
      </c>
    </row>
    <row r="135" spans="1:19" ht="15" customHeight="1" x14ac:dyDescent="0.3">
      <c r="A135" s="16">
        <v>52</v>
      </c>
      <c r="B135" s="15">
        <v>-0.4366000000000001</v>
      </c>
      <c r="C135" s="15">
        <v>-0.1979199999999999</v>
      </c>
      <c r="D135" s="22">
        <v>0</v>
      </c>
      <c r="E135" s="15">
        <v>-0.32958999999999988</v>
      </c>
      <c r="F135" s="15">
        <v>-0.4366000000000001</v>
      </c>
      <c r="G135" s="15">
        <v>-0.1979199999999999</v>
      </c>
      <c r="H135" s="16">
        <v>1</v>
      </c>
      <c r="I135" s="15">
        <v>-0.34065999999999991</v>
      </c>
      <c r="J135" s="15">
        <v>-0.3248649999999999</v>
      </c>
      <c r="K135" s="15">
        <v>-0.33890500000000001</v>
      </c>
      <c r="L135" s="15">
        <v>-0.3051549999999999</v>
      </c>
      <c r="M135" s="19">
        <v>0</v>
      </c>
      <c r="N135" s="16">
        <v>0</v>
      </c>
      <c r="O135" s="15" t="s">
        <v>33</v>
      </c>
      <c r="P135" s="16">
        <v>0</v>
      </c>
      <c r="Q135" s="16">
        <v>1</v>
      </c>
      <c r="R135" s="19">
        <v>0</v>
      </c>
      <c r="S135" s="20" t="s">
        <v>967</v>
      </c>
    </row>
    <row r="136" spans="1:19" ht="15" customHeight="1" x14ac:dyDescent="0.3">
      <c r="A136" s="16">
        <v>53</v>
      </c>
      <c r="B136" s="15">
        <v>-0.32680666666666669</v>
      </c>
      <c r="C136" s="15">
        <v>0.8380266666666667</v>
      </c>
      <c r="D136" s="22">
        <v>0.6166666666666667</v>
      </c>
      <c r="E136" s="15">
        <v>0.13510999999999981</v>
      </c>
      <c r="F136" s="15">
        <v>-0.32680666666666669</v>
      </c>
      <c r="G136" s="15">
        <v>0.8380266666666667</v>
      </c>
      <c r="H136" s="16">
        <v>0</v>
      </c>
      <c r="I136" s="15">
        <v>8.9319999999999802E-2</v>
      </c>
      <c r="J136" s="15">
        <v>0.1495699999999999</v>
      </c>
      <c r="K136" s="15">
        <v>-0.1082999999999999</v>
      </c>
      <c r="L136" s="15">
        <v>0.3062200000000001</v>
      </c>
      <c r="M136" s="19">
        <v>0</v>
      </c>
      <c r="N136" s="16">
        <v>1</v>
      </c>
      <c r="O136" s="15" t="s">
        <v>33</v>
      </c>
      <c r="P136" s="16">
        <v>0</v>
      </c>
      <c r="Q136" s="16">
        <v>0</v>
      </c>
      <c r="R136" s="19">
        <v>0</v>
      </c>
      <c r="S136" s="20" t="s">
        <v>968</v>
      </c>
    </row>
    <row r="137" spans="1:19" ht="15" customHeight="1" x14ac:dyDescent="0.3">
      <c r="A137" s="16">
        <v>54</v>
      </c>
      <c r="B137" s="15">
        <v>-0.39119500000000001</v>
      </c>
      <c r="C137" s="15">
        <v>-0.13998999999999989</v>
      </c>
      <c r="D137" s="22">
        <v>0</v>
      </c>
      <c r="E137" s="15">
        <v>-0.2675575</v>
      </c>
      <c r="F137" s="15">
        <v>-0.39119500000000001</v>
      </c>
      <c r="G137" s="15">
        <v>-0.13998999999999989</v>
      </c>
      <c r="H137" s="16">
        <v>1</v>
      </c>
      <c r="I137" s="15">
        <v>-0.26832250000000002</v>
      </c>
      <c r="J137" s="15">
        <v>-0.26742250000000001</v>
      </c>
      <c r="K137" s="15">
        <v>-0.25061499999999992</v>
      </c>
      <c r="L137" s="15">
        <v>-0.28006750000000002</v>
      </c>
      <c r="M137" s="19">
        <v>0</v>
      </c>
      <c r="N137" s="16">
        <v>0</v>
      </c>
      <c r="O137" s="15" t="s">
        <v>33</v>
      </c>
      <c r="P137" s="16">
        <v>0</v>
      </c>
      <c r="Q137" s="16">
        <v>1</v>
      </c>
      <c r="R137" s="19">
        <v>0</v>
      </c>
      <c r="S137" s="20" t="s">
        <v>970</v>
      </c>
    </row>
    <row r="138" spans="1:19" ht="15" customHeight="1" x14ac:dyDescent="0.3">
      <c r="A138" s="16">
        <v>55</v>
      </c>
      <c r="B138" s="15">
        <v>0.25961333333333331</v>
      </c>
      <c r="C138" s="15">
        <v>1.6144000000000009</v>
      </c>
      <c r="D138" s="22">
        <v>0.98333333333333317</v>
      </c>
      <c r="E138" s="15">
        <v>0.89802000000000004</v>
      </c>
      <c r="F138" s="15">
        <v>0.25961333333333331</v>
      </c>
      <c r="G138" s="15">
        <v>1.6144000000000009</v>
      </c>
      <c r="H138" s="16">
        <v>1</v>
      </c>
      <c r="I138" s="15">
        <v>0.87823999999999991</v>
      </c>
      <c r="J138" s="15">
        <v>0.87049999999999983</v>
      </c>
      <c r="K138" s="15">
        <v>0.62797999999999998</v>
      </c>
      <c r="L138" s="15">
        <v>0.91608000000000001</v>
      </c>
      <c r="M138" s="19">
        <v>0</v>
      </c>
      <c r="N138" s="16">
        <v>0</v>
      </c>
      <c r="O138" s="15" t="s">
        <v>33</v>
      </c>
      <c r="P138" s="16">
        <v>0</v>
      </c>
      <c r="Q138" s="16">
        <v>0</v>
      </c>
      <c r="R138" s="19">
        <v>0</v>
      </c>
      <c r="S138" s="20" t="s">
        <v>33</v>
      </c>
    </row>
    <row r="139" spans="1:19" ht="15" customHeight="1" x14ac:dyDescent="0.3">
      <c r="A139" s="16">
        <v>56</v>
      </c>
      <c r="B139" s="15">
        <v>1.299333333333333</v>
      </c>
      <c r="C139" s="15">
        <v>2.1606666666666672</v>
      </c>
      <c r="D139" s="22">
        <v>1</v>
      </c>
      <c r="E139" s="15">
        <v>1.637</v>
      </c>
      <c r="F139" s="15">
        <v>1.299333333333333</v>
      </c>
      <c r="G139" s="15">
        <v>2.1606666666666672</v>
      </c>
      <c r="H139" s="16">
        <v>1</v>
      </c>
      <c r="I139" s="15">
        <v>1.659</v>
      </c>
      <c r="J139" s="15">
        <v>1.6845000000000001</v>
      </c>
      <c r="K139" s="15">
        <v>1.581</v>
      </c>
      <c r="L139" s="15">
        <v>1.829</v>
      </c>
      <c r="M139" s="19">
        <v>4.4339072628389999E-4</v>
      </c>
      <c r="N139" s="16">
        <v>0</v>
      </c>
      <c r="O139" s="15" t="s">
        <v>33</v>
      </c>
      <c r="P139" s="16">
        <v>0</v>
      </c>
      <c r="Q139" s="16">
        <v>0</v>
      </c>
      <c r="R139" s="19">
        <v>0</v>
      </c>
      <c r="S139" s="20" t="s">
        <v>33</v>
      </c>
    </row>
    <row r="140" spans="1:19" ht="15" customHeight="1" x14ac:dyDescent="0.3">
      <c r="A140" s="16">
        <v>57</v>
      </c>
      <c r="B140" s="15">
        <v>-0.98326666666666662</v>
      </c>
      <c r="C140" s="15">
        <v>-0.69712666666666667</v>
      </c>
      <c r="D140" s="22">
        <v>0</v>
      </c>
      <c r="E140" s="15">
        <v>-0.86446000000000001</v>
      </c>
      <c r="F140" s="15">
        <v>-0.98326666666666662</v>
      </c>
      <c r="G140" s="15">
        <v>-0.69712666666666667</v>
      </c>
      <c r="H140" s="16">
        <v>0</v>
      </c>
      <c r="I140" s="15">
        <v>-0.87450000000000006</v>
      </c>
      <c r="J140" s="15">
        <v>-0.88705000000000001</v>
      </c>
      <c r="K140" s="15">
        <v>-0.94227000000000005</v>
      </c>
      <c r="L140" s="15">
        <v>-0.85943999999999998</v>
      </c>
      <c r="M140" s="19">
        <v>0</v>
      </c>
      <c r="N140" s="16">
        <v>1</v>
      </c>
      <c r="O140" s="15" t="s">
        <v>33</v>
      </c>
      <c r="P140" s="16">
        <v>0</v>
      </c>
      <c r="Q140" s="16">
        <v>0</v>
      </c>
      <c r="R140" s="19">
        <v>0</v>
      </c>
      <c r="S140" s="20" t="s">
        <v>33</v>
      </c>
    </row>
    <row r="141" spans="1:19" ht="15" customHeight="1" x14ac:dyDescent="0.3">
      <c r="A141" s="16">
        <v>58</v>
      </c>
      <c r="B141" s="15">
        <v>-0.63670000000000004</v>
      </c>
      <c r="C141" s="15">
        <v>-0.52523333333333344</v>
      </c>
      <c r="D141" s="22">
        <v>0</v>
      </c>
      <c r="E141" s="15">
        <v>-0.58257499999999995</v>
      </c>
      <c r="F141" s="15">
        <v>-0.63670000000000004</v>
      </c>
      <c r="G141" s="15">
        <v>-0.52523333333333344</v>
      </c>
      <c r="H141" s="16">
        <v>1</v>
      </c>
      <c r="I141" s="15">
        <v>-0.58277500000000004</v>
      </c>
      <c r="J141" s="15">
        <v>-0.58702500000000002</v>
      </c>
      <c r="K141" s="15">
        <v>-0.570075</v>
      </c>
      <c r="L141" s="15">
        <v>-0.58735000000000004</v>
      </c>
      <c r="M141" s="19">
        <v>0</v>
      </c>
      <c r="N141" s="16">
        <v>0</v>
      </c>
      <c r="O141" s="15" t="s">
        <v>33</v>
      </c>
      <c r="P141" s="16">
        <v>0</v>
      </c>
      <c r="Q141" s="16">
        <v>0</v>
      </c>
      <c r="R141" s="19">
        <v>0</v>
      </c>
      <c r="S141" s="20" t="s">
        <v>33</v>
      </c>
    </row>
    <row r="142" spans="1:19" ht="15" customHeight="1" x14ac:dyDescent="0.3">
      <c r="A142" s="16">
        <v>59</v>
      </c>
      <c r="B142" s="15">
        <v>-0.74480000000000002</v>
      </c>
      <c r="C142" s="15">
        <v>-0.30158333333333331</v>
      </c>
      <c r="D142" s="22">
        <v>1.6666666666666601E-2</v>
      </c>
      <c r="E142" s="15">
        <v>-0.60342499999999999</v>
      </c>
      <c r="F142" s="15">
        <v>-0.74480000000000002</v>
      </c>
      <c r="G142" s="15">
        <v>-0.30158333333333331</v>
      </c>
      <c r="H142" s="16">
        <v>0</v>
      </c>
      <c r="I142" s="15">
        <v>-0.58384999999999998</v>
      </c>
      <c r="J142" s="15">
        <v>-0.60704999999999998</v>
      </c>
      <c r="K142" s="15">
        <v>-0.64040000000000008</v>
      </c>
      <c r="L142" s="15">
        <v>-0.51932500000000004</v>
      </c>
      <c r="M142" s="19">
        <v>0</v>
      </c>
      <c r="N142" s="16">
        <v>1</v>
      </c>
      <c r="O142" s="15" t="s">
        <v>33</v>
      </c>
      <c r="P142" s="16">
        <v>0</v>
      </c>
      <c r="Q142" s="16">
        <v>0</v>
      </c>
      <c r="R142" s="19">
        <v>0</v>
      </c>
      <c r="S142" s="20" t="s">
        <v>33</v>
      </c>
    </row>
    <row r="143" spans="1:19" ht="15" customHeight="1" x14ac:dyDescent="0.3">
      <c r="A143" s="16">
        <v>60</v>
      </c>
      <c r="B143" s="15">
        <v>6.5893666666666503E-2</v>
      </c>
      <c r="C143" s="15">
        <v>0.27245999999999992</v>
      </c>
      <c r="D143" s="22">
        <v>1</v>
      </c>
      <c r="E143" s="15">
        <v>0.1746464999999999</v>
      </c>
      <c r="F143" s="15">
        <v>6.5893666666666503E-2</v>
      </c>
      <c r="G143" s="15">
        <v>0.27245999999999992</v>
      </c>
      <c r="H143" s="16">
        <v>1</v>
      </c>
      <c r="I143" s="15">
        <v>0.1709864999999999</v>
      </c>
      <c r="J143" s="15">
        <v>0.17623249999999999</v>
      </c>
      <c r="K143" s="15">
        <v>0.1954475</v>
      </c>
      <c r="L143" s="15">
        <v>0.1391139999999999</v>
      </c>
      <c r="M143" s="19">
        <v>0</v>
      </c>
      <c r="N143" s="16">
        <v>0</v>
      </c>
      <c r="O143" s="15" t="s">
        <v>33</v>
      </c>
      <c r="P143" s="16">
        <v>0</v>
      </c>
      <c r="Q143" s="16">
        <v>0</v>
      </c>
      <c r="R143" s="19">
        <v>0</v>
      </c>
      <c r="S143" s="20" t="s">
        <v>33</v>
      </c>
    </row>
    <row r="144" spans="1:19" ht="15" customHeight="1" x14ac:dyDescent="0.3">
      <c r="A144" s="16">
        <v>61</v>
      </c>
      <c r="B144" s="15">
        <v>4.9179999999999897E-2</v>
      </c>
      <c r="C144" s="15">
        <v>1.9818800000000001</v>
      </c>
      <c r="D144" s="22">
        <v>0.91666666666666663</v>
      </c>
      <c r="E144" s="15">
        <v>1.156090000000001</v>
      </c>
      <c r="F144" s="15">
        <v>4.9179999999999897E-2</v>
      </c>
      <c r="G144" s="15">
        <v>1.9818800000000001</v>
      </c>
      <c r="H144" s="16">
        <v>1</v>
      </c>
      <c r="I144" s="15">
        <v>1.1309899999999991</v>
      </c>
      <c r="J144" s="15">
        <v>1.14354</v>
      </c>
      <c r="K144" s="15">
        <v>0.52106000000000008</v>
      </c>
      <c r="L144" s="15">
        <v>1.64052</v>
      </c>
      <c r="M144" s="19">
        <v>0</v>
      </c>
      <c r="N144" s="16">
        <v>1</v>
      </c>
      <c r="O144" s="15" t="s">
        <v>33</v>
      </c>
      <c r="P144" s="16">
        <v>0</v>
      </c>
      <c r="Q144" s="16">
        <v>0</v>
      </c>
      <c r="R144" s="19">
        <v>0</v>
      </c>
      <c r="S144" s="20" t="s">
        <v>963</v>
      </c>
    </row>
    <row r="145" spans="1:19" ht="15" customHeight="1" x14ac:dyDescent="0.3">
      <c r="A145" s="16">
        <v>62</v>
      </c>
      <c r="B145" s="15">
        <v>-0.74830166666666675</v>
      </c>
      <c r="C145" s="15">
        <v>-0.5203266666666666</v>
      </c>
      <c r="D145" s="22">
        <v>0</v>
      </c>
      <c r="E145" s="15">
        <v>-0.64258250000000006</v>
      </c>
      <c r="F145" s="15">
        <v>-0.74830166666666675</v>
      </c>
      <c r="G145" s="15">
        <v>-0.5203266666666666</v>
      </c>
      <c r="H145" s="16">
        <v>1</v>
      </c>
      <c r="I145" s="15">
        <v>-0.64241749999999997</v>
      </c>
      <c r="J145" s="15">
        <v>-0.64398500000000003</v>
      </c>
      <c r="K145" s="15">
        <v>-0.66032000000000002</v>
      </c>
      <c r="L145" s="15">
        <v>-0.62872250000000007</v>
      </c>
      <c r="M145" s="19">
        <v>0</v>
      </c>
      <c r="N145" s="16">
        <v>0</v>
      </c>
      <c r="O145" s="15" t="s">
        <v>33</v>
      </c>
      <c r="P145" s="16">
        <v>0</v>
      </c>
      <c r="Q145" s="16">
        <v>0</v>
      </c>
      <c r="R145" s="19">
        <v>0</v>
      </c>
      <c r="S145" s="20" t="s">
        <v>969</v>
      </c>
    </row>
    <row r="146" spans="1:19" ht="15" customHeight="1" x14ac:dyDescent="0.3">
      <c r="A146" s="16">
        <v>63</v>
      </c>
      <c r="B146" s="15">
        <v>-0.65234499999999995</v>
      </c>
      <c r="C146" s="15">
        <v>-0.45515499999999998</v>
      </c>
      <c r="D146" s="22">
        <v>0</v>
      </c>
      <c r="E146" s="15">
        <v>-0.55203849999999999</v>
      </c>
      <c r="F146" s="15">
        <v>-0.65234499999999995</v>
      </c>
      <c r="G146" s="15">
        <v>-0.45515499999999998</v>
      </c>
      <c r="H146" s="16">
        <v>1</v>
      </c>
      <c r="I146" s="15">
        <v>-0.55109350000000001</v>
      </c>
      <c r="J146" s="15">
        <v>-0.5485104999999999</v>
      </c>
      <c r="K146" s="15">
        <v>-0.56580399999999997</v>
      </c>
      <c r="L146" s="15">
        <v>-0.53427249999999993</v>
      </c>
      <c r="M146" s="19">
        <v>0</v>
      </c>
      <c r="N146" s="16">
        <v>0</v>
      </c>
      <c r="O146" s="15" t="s">
        <v>33</v>
      </c>
      <c r="P146" s="16">
        <v>0</v>
      </c>
      <c r="Q146" s="16">
        <v>0</v>
      </c>
      <c r="R146" s="19">
        <v>0</v>
      </c>
      <c r="S146" s="20" t="s">
        <v>33</v>
      </c>
    </row>
    <row r="147" spans="1:19" ht="15" customHeight="1" x14ac:dyDescent="0.3">
      <c r="A147" s="16">
        <v>64</v>
      </c>
      <c r="B147" s="15">
        <v>1.3141499999999999</v>
      </c>
      <c r="C147" s="15">
        <v>1.6638999999999999</v>
      </c>
      <c r="D147" s="22">
        <v>1</v>
      </c>
      <c r="E147" s="15">
        <v>1.5057499999999999</v>
      </c>
      <c r="F147" s="15">
        <v>1.3141499999999999</v>
      </c>
      <c r="G147" s="15">
        <v>1.6638999999999999</v>
      </c>
      <c r="H147" s="16">
        <v>1</v>
      </c>
      <c r="I147" s="15">
        <v>1.5127999999999999</v>
      </c>
      <c r="J147" s="15">
        <v>1.4976499999999999</v>
      </c>
      <c r="K147" s="15">
        <v>1.5547249999999999</v>
      </c>
      <c r="L147" s="15">
        <v>1.49855</v>
      </c>
      <c r="M147" s="19">
        <v>9.2953489008118003E-3</v>
      </c>
      <c r="N147" s="16">
        <v>0</v>
      </c>
      <c r="O147" s="15" t="s">
        <v>33</v>
      </c>
      <c r="P147" s="16">
        <v>0</v>
      </c>
      <c r="Q147" s="16">
        <v>1</v>
      </c>
      <c r="R147" s="19">
        <v>8.1758484704372997E-3</v>
      </c>
      <c r="S147" s="20" t="s">
        <v>971</v>
      </c>
    </row>
    <row r="148" spans="1:19" ht="15" customHeight="1" x14ac:dyDescent="0.3">
      <c r="A148" s="16">
        <v>65</v>
      </c>
      <c r="B148" s="15">
        <v>-0.1370533333333333</v>
      </c>
      <c r="C148" s="15">
        <v>1.7657400000000001</v>
      </c>
      <c r="D148" s="22">
        <v>0.83333333333333337</v>
      </c>
      <c r="E148" s="15">
        <v>0.73422999999999994</v>
      </c>
      <c r="F148" s="15">
        <v>-0.1370533333333333</v>
      </c>
      <c r="G148" s="15">
        <v>1.7657400000000001</v>
      </c>
      <c r="H148" s="16">
        <v>1</v>
      </c>
      <c r="I148" s="15">
        <v>0.71715000000000018</v>
      </c>
      <c r="J148" s="15">
        <v>0.69518999999999997</v>
      </c>
      <c r="K148" s="15">
        <v>0.36579</v>
      </c>
      <c r="L148" s="15">
        <v>1.0361800000000001</v>
      </c>
      <c r="M148" s="19">
        <v>0</v>
      </c>
      <c r="N148" s="16">
        <v>1</v>
      </c>
      <c r="O148" s="15" t="s">
        <v>33</v>
      </c>
      <c r="P148" s="16">
        <v>0</v>
      </c>
      <c r="Q148" s="16">
        <v>1</v>
      </c>
      <c r="R148" s="19">
        <v>0</v>
      </c>
      <c r="S148" s="20" t="s">
        <v>964</v>
      </c>
    </row>
    <row r="149" spans="1:19" ht="15" customHeight="1" x14ac:dyDescent="0.3">
      <c r="A149" s="16">
        <v>66</v>
      </c>
      <c r="B149" s="15">
        <v>-0.223936</v>
      </c>
      <c r="C149" s="15">
        <v>-7.0465333333333199E-2</v>
      </c>
      <c r="D149" s="22">
        <v>0</v>
      </c>
      <c r="E149" s="15">
        <v>-0.1244839999999999</v>
      </c>
      <c r="F149" s="15">
        <v>-0.223936</v>
      </c>
      <c r="G149" s="15">
        <v>-7.0465333333333199E-2</v>
      </c>
      <c r="H149" s="16">
        <v>1</v>
      </c>
      <c r="I149" s="15">
        <v>-0.1230034999999999</v>
      </c>
      <c r="J149" s="15">
        <v>-0.12824399999999991</v>
      </c>
      <c r="K149" s="15">
        <v>-0.1176454999999999</v>
      </c>
      <c r="L149" s="15">
        <v>-0.14861849999999999</v>
      </c>
      <c r="M149" s="19">
        <v>0</v>
      </c>
      <c r="N149" s="16">
        <v>0</v>
      </c>
      <c r="O149" s="15" t="s">
        <v>33</v>
      </c>
      <c r="P149" s="16">
        <v>0</v>
      </c>
      <c r="Q149" s="16">
        <v>0</v>
      </c>
      <c r="R149" s="19">
        <v>0</v>
      </c>
      <c r="S149" s="20" t="s">
        <v>33</v>
      </c>
    </row>
    <row r="150" spans="1:19" ht="15" customHeight="1" x14ac:dyDescent="0.3">
      <c r="A150" s="16">
        <v>67</v>
      </c>
      <c r="B150" s="15">
        <v>-0.16712499999999991</v>
      </c>
      <c r="C150" s="15">
        <v>-2.596E-2</v>
      </c>
      <c r="D150" s="22">
        <v>6.6666666666666596E-2</v>
      </c>
      <c r="E150" s="15">
        <v>-0.1123974999999999</v>
      </c>
      <c r="F150" s="15">
        <v>-0.16712499999999991</v>
      </c>
      <c r="G150" s="15">
        <v>-2.596E-2</v>
      </c>
      <c r="H150" s="16">
        <v>1</v>
      </c>
      <c r="I150" s="15">
        <v>-0.11064249999999989</v>
      </c>
      <c r="J150" s="15">
        <v>-0.1068175</v>
      </c>
      <c r="K150" s="15">
        <v>-8.5892499999999899E-2</v>
      </c>
      <c r="L150" s="15">
        <v>-0.1176174999999999</v>
      </c>
      <c r="M150" s="19">
        <v>0</v>
      </c>
      <c r="N150" s="16">
        <v>0</v>
      </c>
      <c r="O150" s="15" t="s">
        <v>33</v>
      </c>
      <c r="P150" s="16">
        <v>0</v>
      </c>
      <c r="Q150" s="16">
        <v>0</v>
      </c>
      <c r="R150" s="19">
        <v>0</v>
      </c>
      <c r="S150" s="20" t="s">
        <v>33</v>
      </c>
    </row>
    <row r="151" spans="1:19" ht="15" customHeight="1" x14ac:dyDescent="0.3">
      <c r="A151" s="16">
        <v>68</v>
      </c>
      <c r="B151" s="15">
        <v>-0.25991999999999998</v>
      </c>
      <c r="C151" s="15">
        <v>-8.4470000000000003E-2</v>
      </c>
      <c r="D151" s="22">
        <v>0</v>
      </c>
      <c r="E151" s="15">
        <v>-0.18489700000000009</v>
      </c>
      <c r="F151" s="15">
        <v>-0.25991999999999998</v>
      </c>
      <c r="G151" s="15">
        <v>-8.4470000000000003E-2</v>
      </c>
      <c r="H151" s="16">
        <v>1</v>
      </c>
      <c r="I151" s="15">
        <v>-0.18959500000000001</v>
      </c>
      <c r="J151" s="15">
        <v>-0.1847665</v>
      </c>
      <c r="K151" s="15">
        <v>-0.2089524999999999</v>
      </c>
      <c r="L151" s="15">
        <v>-0.16680100000000009</v>
      </c>
      <c r="M151" s="19">
        <v>0</v>
      </c>
      <c r="N151" s="16">
        <v>0</v>
      </c>
      <c r="O151" s="15" t="s">
        <v>33</v>
      </c>
      <c r="P151" s="16">
        <v>0</v>
      </c>
      <c r="Q151" s="16">
        <v>0</v>
      </c>
      <c r="R151" s="19">
        <v>0</v>
      </c>
      <c r="S151" s="20" t="s">
        <v>33</v>
      </c>
    </row>
    <row r="152" spans="1:19" ht="15" customHeight="1" x14ac:dyDescent="0.3">
      <c r="A152" s="16">
        <v>69</v>
      </c>
      <c r="B152" s="15">
        <v>0.77529333333333306</v>
      </c>
      <c r="C152" s="15">
        <v>2.9133733333333329</v>
      </c>
      <c r="D152" s="22">
        <v>0.98333333333333317</v>
      </c>
      <c r="E152" s="15">
        <v>1.7595400000000001</v>
      </c>
      <c r="F152" s="15">
        <v>0.77529333333333306</v>
      </c>
      <c r="G152" s="15">
        <v>2.9133733333333329</v>
      </c>
      <c r="H152" s="16">
        <v>1</v>
      </c>
      <c r="I152" s="15">
        <v>1.75149</v>
      </c>
      <c r="J152" s="15">
        <v>1.71607</v>
      </c>
      <c r="K152" s="15">
        <v>1.25722</v>
      </c>
      <c r="L152" s="15">
        <v>2.31982</v>
      </c>
      <c r="M152" s="19">
        <v>0</v>
      </c>
      <c r="N152" s="16">
        <v>1</v>
      </c>
      <c r="O152" s="15" t="s">
        <v>33</v>
      </c>
      <c r="P152" s="16">
        <v>0</v>
      </c>
      <c r="Q152" s="16">
        <v>0</v>
      </c>
      <c r="R152" s="19">
        <v>0</v>
      </c>
      <c r="S152" s="20" t="s">
        <v>33</v>
      </c>
    </row>
    <row r="153" spans="1:19" ht="15" customHeight="1" x14ac:dyDescent="0.3">
      <c r="A153" s="16">
        <v>70</v>
      </c>
      <c r="B153" s="15">
        <v>-0.33901333333333339</v>
      </c>
      <c r="C153" s="15">
        <v>0.13439666666666669</v>
      </c>
      <c r="D153" s="22">
        <v>0.3166666666666666</v>
      </c>
      <c r="E153" s="15">
        <v>-0.1226199999999999</v>
      </c>
      <c r="F153" s="15">
        <v>-0.33901333333333339</v>
      </c>
      <c r="G153" s="15">
        <v>0.13439666666666669</v>
      </c>
      <c r="H153" s="16">
        <v>1</v>
      </c>
      <c r="I153" s="15">
        <v>-0.122725</v>
      </c>
      <c r="J153" s="15">
        <v>-0.12745000000000001</v>
      </c>
      <c r="K153" s="15">
        <v>-0.11611</v>
      </c>
      <c r="L153" s="15">
        <v>-0.1160049999999999</v>
      </c>
      <c r="M153" s="19">
        <v>0</v>
      </c>
      <c r="N153" s="16">
        <v>0</v>
      </c>
      <c r="O153" s="15" t="s">
        <v>33</v>
      </c>
      <c r="P153" s="16">
        <v>0</v>
      </c>
      <c r="Q153" s="16">
        <v>0</v>
      </c>
      <c r="R153" s="19">
        <v>0</v>
      </c>
      <c r="S153" s="20" t="s">
        <v>33</v>
      </c>
    </row>
    <row r="154" spans="1:19" ht="15" customHeight="1" x14ac:dyDescent="0.3">
      <c r="A154" s="16">
        <v>71</v>
      </c>
      <c r="B154" s="15">
        <v>-2.79683333333333E-2</v>
      </c>
      <c r="C154" s="15">
        <v>0.36425666666666667</v>
      </c>
      <c r="D154" s="22">
        <v>0.8666666666666667</v>
      </c>
      <c r="E154" s="15">
        <v>0.17196249999999999</v>
      </c>
      <c r="F154" s="15">
        <v>-2.79683333333333E-2</v>
      </c>
      <c r="G154" s="15">
        <v>0.36425666666666667</v>
      </c>
      <c r="H154" s="16">
        <v>1</v>
      </c>
      <c r="I154" s="15">
        <v>0.17000499999999991</v>
      </c>
      <c r="J154" s="15">
        <v>0.17812500000000009</v>
      </c>
      <c r="K154" s="15">
        <v>0.1415125000000001</v>
      </c>
      <c r="L154" s="15">
        <v>0.1989324999999999</v>
      </c>
      <c r="M154" s="19">
        <v>0</v>
      </c>
      <c r="N154" s="16">
        <v>0</v>
      </c>
      <c r="O154" s="15" t="s">
        <v>33</v>
      </c>
      <c r="P154" s="16">
        <v>0</v>
      </c>
      <c r="Q154" s="16">
        <v>0</v>
      </c>
      <c r="R154" s="19">
        <v>0</v>
      </c>
      <c r="S154" s="20" t="s">
        <v>33</v>
      </c>
    </row>
    <row r="155" spans="1:19" ht="15" customHeight="1" x14ac:dyDescent="0.3">
      <c r="A155" s="16">
        <v>72</v>
      </c>
      <c r="B155" s="15">
        <v>-0.63962166666666664</v>
      </c>
      <c r="C155" s="15">
        <v>-0.47671166666666659</v>
      </c>
      <c r="D155" s="22">
        <v>0</v>
      </c>
      <c r="E155" s="15">
        <v>-0.55694749999999993</v>
      </c>
      <c r="F155" s="15">
        <v>-0.63962166666666664</v>
      </c>
      <c r="G155" s="15">
        <v>-0.47671166666666659</v>
      </c>
      <c r="H155" s="16">
        <v>1</v>
      </c>
      <c r="I155" s="15">
        <v>-0.55650749999999993</v>
      </c>
      <c r="J155" s="15">
        <v>-0.55713999999999997</v>
      </c>
      <c r="K155" s="15">
        <v>-0.57146750000000002</v>
      </c>
      <c r="L155" s="15">
        <v>-0.55139249999999995</v>
      </c>
      <c r="M155" s="19">
        <v>0</v>
      </c>
      <c r="N155" s="16">
        <v>0</v>
      </c>
      <c r="O155" s="15" t="s">
        <v>33</v>
      </c>
      <c r="P155" s="16">
        <v>0</v>
      </c>
      <c r="Q155" s="16">
        <v>0</v>
      </c>
      <c r="R155" s="19">
        <v>0</v>
      </c>
      <c r="S155" s="20" t="s">
        <v>966</v>
      </c>
    </row>
    <row r="156" spans="1:19" ht="15" customHeight="1" x14ac:dyDescent="0.3">
      <c r="A156" s="16">
        <v>73</v>
      </c>
      <c r="B156" s="15">
        <v>0.27660866666666661</v>
      </c>
      <c r="C156" s="15">
        <v>0.8025186666666666</v>
      </c>
      <c r="D156" s="22">
        <v>1</v>
      </c>
      <c r="E156" s="15">
        <v>0.559558</v>
      </c>
      <c r="F156" s="15">
        <v>0.27660866666666661</v>
      </c>
      <c r="G156" s="15">
        <v>0.8025186666666666</v>
      </c>
      <c r="H156" s="16">
        <v>1</v>
      </c>
      <c r="I156" s="15">
        <v>0.560867</v>
      </c>
      <c r="J156" s="15">
        <v>0.56171400000000005</v>
      </c>
      <c r="K156" s="15">
        <v>0.604603</v>
      </c>
      <c r="L156" s="15">
        <v>0.515822</v>
      </c>
      <c r="M156" s="19">
        <v>0</v>
      </c>
      <c r="N156" s="16">
        <v>0</v>
      </c>
      <c r="O156" s="15" t="s">
        <v>33</v>
      </c>
      <c r="P156" s="16">
        <v>0</v>
      </c>
      <c r="Q156" s="16">
        <v>0</v>
      </c>
      <c r="R156" s="19">
        <v>0</v>
      </c>
      <c r="S156" s="20" t="s">
        <v>33</v>
      </c>
    </row>
    <row r="157" spans="1:19" ht="15" customHeight="1" x14ac:dyDescent="0.3">
      <c r="A157" s="16">
        <v>74</v>
      </c>
      <c r="B157" s="15">
        <v>-0.79485333333333341</v>
      </c>
      <c r="C157" s="15">
        <v>-0.58410666666666666</v>
      </c>
      <c r="D157" s="22">
        <v>0</v>
      </c>
      <c r="E157" s="15">
        <v>-0.69928000000000001</v>
      </c>
      <c r="F157" s="15">
        <v>-0.79485333333333341</v>
      </c>
      <c r="G157" s="15">
        <v>-0.58410666666666666</v>
      </c>
      <c r="H157" s="16">
        <v>0</v>
      </c>
      <c r="I157" s="15">
        <v>-0.70208000000000004</v>
      </c>
      <c r="J157" s="15">
        <v>-0.69872000000000001</v>
      </c>
      <c r="K157" s="15">
        <v>-0.75639999999999996</v>
      </c>
      <c r="L157" s="15">
        <v>-0.64705999999999997</v>
      </c>
      <c r="M157" s="19">
        <v>0</v>
      </c>
      <c r="N157" s="16">
        <v>1</v>
      </c>
      <c r="O157" s="15" t="s">
        <v>33</v>
      </c>
      <c r="P157" s="16">
        <v>0</v>
      </c>
      <c r="Q157" s="16">
        <v>0</v>
      </c>
      <c r="R157" s="19">
        <v>0</v>
      </c>
      <c r="S157" s="20" t="s">
        <v>33</v>
      </c>
    </row>
    <row r="158" spans="1:19" ht="15" customHeight="1" x14ac:dyDescent="0.3">
      <c r="A158" s="16">
        <v>75</v>
      </c>
      <c r="B158" s="15">
        <v>0.2629366666666666</v>
      </c>
      <c r="C158" s="15">
        <v>0.5435133333333334</v>
      </c>
      <c r="D158" s="22">
        <v>1</v>
      </c>
      <c r="E158" s="15">
        <v>0.44781249999999989</v>
      </c>
      <c r="F158" s="15">
        <v>0.2629366666666666</v>
      </c>
      <c r="G158" s="15">
        <v>0.5435133333333334</v>
      </c>
      <c r="H158" s="16">
        <v>1</v>
      </c>
      <c r="I158" s="15">
        <v>0.4485300000000001</v>
      </c>
      <c r="J158" s="15">
        <v>0.44535249999999998</v>
      </c>
      <c r="K158" s="15">
        <v>0.39953499999999997</v>
      </c>
      <c r="L158" s="15">
        <v>0.4996775</v>
      </c>
      <c r="M158" s="19">
        <v>1.6132923528899999E-4</v>
      </c>
      <c r="N158" s="16">
        <v>0</v>
      </c>
      <c r="O158" s="15" t="s">
        <v>33</v>
      </c>
      <c r="P158" s="16">
        <v>0</v>
      </c>
      <c r="Q158" s="16">
        <v>0</v>
      </c>
      <c r="R158" s="19">
        <v>0</v>
      </c>
      <c r="S158" s="20" t="s">
        <v>33</v>
      </c>
    </row>
    <row r="159" spans="1:19" ht="15" customHeight="1" x14ac:dyDescent="0.3">
      <c r="A159" s="16">
        <v>76</v>
      </c>
      <c r="B159" s="15">
        <v>-0.50086499999999989</v>
      </c>
      <c r="C159" s="15">
        <v>0.1625899999999999</v>
      </c>
      <c r="D159" s="22">
        <v>0.21666666666666659</v>
      </c>
      <c r="E159" s="15">
        <v>-0.24690999999999991</v>
      </c>
      <c r="F159" s="15">
        <v>-0.50086499999999989</v>
      </c>
      <c r="G159" s="15">
        <v>0.1625899999999999</v>
      </c>
      <c r="H159" s="16">
        <v>1</v>
      </c>
      <c r="I159" s="15">
        <v>-0.24388750000000001</v>
      </c>
      <c r="J159" s="15">
        <v>-0.23657500000000009</v>
      </c>
      <c r="K159" s="15">
        <v>-0.30102249999999992</v>
      </c>
      <c r="L159" s="15">
        <v>-0.17358999999999999</v>
      </c>
      <c r="M159" s="19">
        <v>0</v>
      </c>
      <c r="N159" s="16">
        <v>0</v>
      </c>
      <c r="O159" s="15" t="s">
        <v>33</v>
      </c>
      <c r="P159" s="16">
        <v>0</v>
      </c>
      <c r="Q159" s="16">
        <v>1</v>
      </c>
      <c r="R159" s="19">
        <v>0</v>
      </c>
      <c r="S159" s="20" t="s">
        <v>967</v>
      </c>
    </row>
    <row r="160" spans="1:19" ht="15" customHeight="1" x14ac:dyDescent="0.3">
      <c r="A160" s="16">
        <v>77</v>
      </c>
      <c r="B160" s="15">
        <v>-0.32832307692307688</v>
      </c>
      <c r="C160" s="15">
        <v>-0.14062307692307699</v>
      </c>
      <c r="D160" s="22">
        <v>0</v>
      </c>
      <c r="E160" s="15">
        <v>-0.21438076923076929</v>
      </c>
      <c r="F160" s="15">
        <v>-0.32832307692307688</v>
      </c>
      <c r="G160" s="15">
        <v>-0.14062307692307699</v>
      </c>
      <c r="H160" s="16">
        <v>1</v>
      </c>
      <c r="I160" s="15">
        <v>-0.21435769230769239</v>
      </c>
      <c r="J160" s="15">
        <v>-0.2146000000000001</v>
      </c>
      <c r="K160" s="15">
        <v>-0.1905307692307692</v>
      </c>
      <c r="L160" s="15">
        <v>-0.23954615384615391</v>
      </c>
      <c r="M160" s="19">
        <v>0</v>
      </c>
      <c r="N160" s="16">
        <v>0</v>
      </c>
      <c r="O160" s="15" t="s">
        <v>33</v>
      </c>
      <c r="P160" s="16">
        <v>0</v>
      </c>
      <c r="Q160" s="16">
        <v>1</v>
      </c>
      <c r="R160" s="19">
        <v>0</v>
      </c>
      <c r="S160" s="20" t="s">
        <v>970</v>
      </c>
    </row>
    <row r="161" spans="1:19" ht="15" customHeight="1" x14ac:dyDescent="0.3">
      <c r="A161" s="16">
        <v>78</v>
      </c>
      <c r="B161" s="15">
        <v>1.6879599999999999</v>
      </c>
      <c r="C161" s="15">
        <v>4.7607733333333329</v>
      </c>
      <c r="D161" s="22">
        <v>1</v>
      </c>
      <c r="E161" s="15">
        <v>2.8556400000000002</v>
      </c>
      <c r="F161" s="15">
        <v>1.6879599999999999</v>
      </c>
      <c r="G161" s="15">
        <v>4.7607733333333329</v>
      </c>
      <c r="H161" s="16">
        <v>1</v>
      </c>
      <c r="I161" s="15">
        <v>2.8310399999999998</v>
      </c>
      <c r="J161" s="15">
        <v>2.8326799999999999</v>
      </c>
      <c r="K161" s="15">
        <v>2.4993500000000002</v>
      </c>
      <c r="L161" s="15">
        <v>3.1348500000000001</v>
      </c>
      <c r="M161" s="19">
        <v>3.0938662245783002E-3</v>
      </c>
      <c r="N161" s="16">
        <v>0</v>
      </c>
      <c r="O161" s="15" t="s">
        <v>33</v>
      </c>
      <c r="P161" s="16">
        <v>0</v>
      </c>
      <c r="Q161" s="16">
        <v>0</v>
      </c>
      <c r="R161" s="19">
        <v>0</v>
      </c>
      <c r="S161" s="20" t="s">
        <v>33</v>
      </c>
    </row>
    <row r="162" spans="1:19" ht="15" customHeight="1" x14ac:dyDescent="0.3">
      <c r="A162" s="16">
        <v>79</v>
      </c>
      <c r="B162" s="15">
        <v>-0.87426666666666664</v>
      </c>
      <c r="C162" s="15">
        <v>-0.37317333333333319</v>
      </c>
      <c r="D162" s="22">
        <v>0</v>
      </c>
      <c r="E162" s="15">
        <v>-0.69640000000000002</v>
      </c>
      <c r="F162" s="15">
        <v>-0.87426666666666664</v>
      </c>
      <c r="G162" s="15">
        <v>-0.37317333333333319</v>
      </c>
      <c r="H162" s="16">
        <v>0</v>
      </c>
      <c r="I162" s="15">
        <v>-0.68720000000000003</v>
      </c>
      <c r="J162" s="15">
        <v>-0.69961999999999991</v>
      </c>
      <c r="K162" s="15">
        <v>-0.77551999999999999</v>
      </c>
      <c r="L162" s="15">
        <v>-0.58508000000000004</v>
      </c>
      <c r="M162" s="19">
        <v>0</v>
      </c>
      <c r="N162" s="16">
        <v>1</v>
      </c>
      <c r="O162" s="15" t="s">
        <v>33</v>
      </c>
      <c r="P162" s="16">
        <v>0</v>
      </c>
      <c r="Q162" s="16">
        <v>0</v>
      </c>
      <c r="R162" s="19">
        <v>0</v>
      </c>
      <c r="S162" s="20" t="s">
        <v>33</v>
      </c>
    </row>
    <row r="163" spans="1:19" ht="15" customHeight="1" x14ac:dyDescent="0.3">
      <c r="A163" s="16">
        <v>80</v>
      </c>
      <c r="B163" s="15">
        <v>0.37053999999999998</v>
      </c>
      <c r="C163" s="15">
        <v>0.44358333333333338</v>
      </c>
      <c r="D163" s="22">
        <v>1</v>
      </c>
      <c r="E163" s="15">
        <v>0.39421250000000008</v>
      </c>
      <c r="F163" s="15">
        <v>0.37053999999999998</v>
      </c>
      <c r="G163" s="15">
        <v>0.44358333333333338</v>
      </c>
      <c r="H163" s="16">
        <v>1</v>
      </c>
      <c r="I163" s="15">
        <v>0.39650750000000001</v>
      </c>
      <c r="J163" s="15">
        <v>0.3982925000000001</v>
      </c>
      <c r="K163" s="15">
        <v>0.4292749999999998</v>
      </c>
      <c r="L163" s="15">
        <v>0.3878375</v>
      </c>
      <c r="M163" s="19">
        <v>0</v>
      </c>
      <c r="N163" s="16">
        <v>0</v>
      </c>
      <c r="O163" s="15" t="s">
        <v>33</v>
      </c>
      <c r="P163" s="16">
        <v>0</v>
      </c>
      <c r="Q163" s="16">
        <v>0</v>
      </c>
      <c r="R163" s="19">
        <v>0</v>
      </c>
      <c r="S163" s="20" t="s">
        <v>33</v>
      </c>
    </row>
    <row r="164" spans="1:19" ht="15" customHeight="1" x14ac:dyDescent="0.3">
      <c r="A164" s="16">
        <v>81</v>
      </c>
      <c r="B164" s="15">
        <v>-0.51620666666666659</v>
      </c>
      <c r="C164" s="15">
        <v>0.38424999999999992</v>
      </c>
      <c r="D164" s="22">
        <v>0.33333333333333331</v>
      </c>
      <c r="E164" s="15">
        <v>-0.17484</v>
      </c>
      <c r="F164" s="15">
        <v>-0.51620666666666659</v>
      </c>
      <c r="G164" s="15">
        <v>0.38424999999999992</v>
      </c>
      <c r="H164" s="16">
        <v>0</v>
      </c>
      <c r="I164" s="15">
        <v>-0.17630999999999999</v>
      </c>
      <c r="J164" s="15">
        <v>-0.18341499999999999</v>
      </c>
      <c r="K164" s="15">
        <v>-0.31596000000000002</v>
      </c>
      <c r="L164" s="15">
        <v>-6.2875E-2</v>
      </c>
      <c r="M164" s="19">
        <v>0</v>
      </c>
      <c r="N164" s="16">
        <v>1</v>
      </c>
      <c r="O164" s="15" t="s">
        <v>33</v>
      </c>
      <c r="P164" s="16">
        <v>0</v>
      </c>
      <c r="Q164" s="16">
        <v>0</v>
      </c>
      <c r="R164" s="19">
        <v>0</v>
      </c>
      <c r="S164" s="20" t="s">
        <v>33</v>
      </c>
    </row>
    <row r="165" spans="1:19" ht="15" customHeight="1" x14ac:dyDescent="0.3">
      <c r="A165" s="16">
        <v>82</v>
      </c>
      <c r="B165" s="15">
        <v>-0.39017047619047618</v>
      </c>
      <c r="C165" s="15">
        <v>-0.2199952380952381</v>
      </c>
      <c r="D165" s="22">
        <v>0</v>
      </c>
      <c r="E165" s="15">
        <v>-0.28322428571428571</v>
      </c>
      <c r="F165" s="15">
        <v>-0.39017047619047618</v>
      </c>
      <c r="G165" s="15">
        <v>-0.2199952380952381</v>
      </c>
      <c r="H165" s="16">
        <v>1</v>
      </c>
      <c r="I165" s="15">
        <v>-0.28440285714285718</v>
      </c>
      <c r="J165" s="15">
        <v>-0.28429285714285712</v>
      </c>
      <c r="K165" s="15">
        <v>-0.27274285714285718</v>
      </c>
      <c r="L165" s="15">
        <v>-0.30286714285714278</v>
      </c>
      <c r="M165" s="19">
        <v>0</v>
      </c>
      <c r="N165" s="16">
        <v>0</v>
      </c>
      <c r="O165" s="15" t="s">
        <v>33</v>
      </c>
      <c r="P165" s="16">
        <v>0</v>
      </c>
      <c r="Q165" s="16">
        <v>1</v>
      </c>
      <c r="R165" s="19">
        <v>0</v>
      </c>
      <c r="S165" s="20" t="s">
        <v>965</v>
      </c>
    </row>
    <row r="166" spans="1:19" ht="15" customHeight="1" x14ac:dyDescent="0.3">
      <c r="A166" s="16">
        <v>83</v>
      </c>
      <c r="B166" s="15">
        <v>-0.24616666666666659</v>
      </c>
      <c r="C166" s="15">
        <v>6.7699999999999996E-2</v>
      </c>
      <c r="D166" s="22">
        <v>0.3166666666666666</v>
      </c>
      <c r="E166" s="15">
        <v>-0.11484999999999999</v>
      </c>
      <c r="F166" s="15">
        <v>-0.24616666666666659</v>
      </c>
      <c r="G166" s="15">
        <v>6.7699999999999996E-2</v>
      </c>
      <c r="H166" s="16">
        <v>1</v>
      </c>
      <c r="I166" s="15">
        <v>-0.11345</v>
      </c>
      <c r="J166" s="15">
        <v>-0.1137</v>
      </c>
      <c r="K166" s="15">
        <v>-0.15279999999999991</v>
      </c>
      <c r="L166" s="15">
        <v>-8.0249999999999905E-2</v>
      </c>
      <c r="M166" s="19">
        <v>0</v>
      </c>
      <c r="N166" s="16">
        <v>0</v>
      </c>
      <c r="O166" s="15" t="s">
        <v>33</v>
      </c>
      <c r="P166" s="16">
        <v>0</v>
      </c>
      <c r="Q166" s="16">
        <v>0</v>
      </c>
      <c r="R166" s="19">
        <v>0</v>
      </c>
      <c r="S166" s="20" t="s">
        <v>33</v>
      </c>
    </row>
    <row r="167" spans="1:19" ht="15" customHeight="1" x14ac:dyDescent="0.3">
      <c r="A167" s="16">
        <v>84</v>
      </c>
      <c r="B167" s="15">
        <v>-0.52234000000000003</v>
      </c>
      <c r="C167" s="15">
        <v>0.70430000000000004</v>
      </c>
      <c r="D167" s="22">
        <v>0.4</v>
      </c>
      <c r="E167" s="15">
        <v>-0.12619</v>
      </c>
      <c r="F167" s="15">
        <v>-0.52234000000000003</v>
      </c>
      <c r="G167" s="15">
        <v>0.70430000000000004</v>
      </c>
      <c r="H167" s="16">
        <v>0</v>
      </c>
      <c r="I167" s="15">
        <v>-0.1278999999999999</v>
      </c>
      <c r="J167" s="15">
        <v>-0.15354999999999991</v>
      </c>
      <c r="K167" s="15">
        <v>-0.39466000000000001</v>
      </c>
      <c r="L167" s="15">
        <v>0.30302000000000001</v>
      </c>
      <c r="M167" s="19">
        <v>0</v>
      </c>
      <c r="N167" s="16">
        <v>1</v>
      </c>
      <c r="O167" s="15" t="s">
        <v>33</v>
      </c>
      <c r="P167" s="16">
        <v>0</v>
      </c>
      <c r="Q167" s="16">
        <v>0</v>
      </c>
      <c r="R167" s="19">
        <v>0</v>
      </c>
      <c r="S167" s="20" t="s">
        <v>33</v>
      </c>
    </row>
    <row r="168" spans="1:19" ht="15" customHeight="1" x14ac:dyDescent="0.3">
      <c r="A168" s="16">
        <v>85</v>
      </c>
      <c r="B168" s="15">
        <v>-0.82264000000000015</v>
      </c>
      <c r="C168" s="15">
        <v>5.00000000000001E-2</v>
      </c>
      <c r="D168" s="22">
        <v>0.1333333333333333</v>
      </c>
      <c r="E168" s="15">
        <v>-0.47799999999999998</v>
      </c>
      <c r="F168" s="15">
        <v>-0.82264000000000015</v>
      </c>
      <c r="G168" s="15">
        <v>5.00000000000001E-2</v>
      </c>
      <c r="H168" s="16">
        <v>0</v>
      </c>
      <c r="I168" s="15">
        <v>-0.48124</v>
      </c>
      <c r="J168" s="15">
        <v>-0.47799999999999998</v>
      </c>
      <c r="K168" s="15">
        <v>-0.59499999999999997</v>
      </c>
      <c r="L168" s="15">
        <v>-0.33400000000000007</v>
      </c>
      <c r="M168" s="19">
        <v>0</v>
      </c>
      <c r="N168" s="16">
        <v>1</v>
      </c>
      <c r="O168" s="15" t="s">
        <v>33</v>
      </c>
      <c r="P168" s="16">
        <v>0</v>
      </c>
      <c r="Q168" s="16">
        <v>0</v>
      </c>
      <c r="R168" s="19">
        <v>0</v>
      </c>
      <c r="S168" s="20" t="s">
        <v>33</v>
      </c>
    </row>
    <row r="169" spans="1:19" ht="15" customHeight="1" x14ac:dyDescent="0.3">
      <c r="A169" s="16">
        <v>86</v>
      </c>
      <c r="B169" s="15">
        <v>1.4751466666666671</v>
      </c>
      <c r="C169" s="15">
        <v>1.6660699999999999</v>
      </c>
      <c r="D169" s="22">
        <v>1</v>
      </c>
      <c r="E169" s="15">
        <v>1.54375</v>
      </c>
      <c r="F169" s="15">
        <v>1.4751466666666671</v>
      </c>
      <c r="G169" s="15">
        <v>1.6660699999999999</v>
      </c>
      <c r="H169" s="16">
        <v>1</v>
      </c>
      <c r="I169" s="15">
        <v>1.5422100000000001</v>
      </c>
      <c r="J169" s="15">
        <v>1.5446850000000001</v>
      </c>
      <c r="K169" s="15">
        <v>1.563385</v>
      </c>
      <c r="L169" s="15">
        <v>1.512235</v>
      </c>
      <c r="M169" s="19">
        <v>9.3272440024644004E-3</v>
      </c>
      <c r="N169" s="16">
        <v>0</v>
      </c>
      <c r="O169" s="15" t="s">
        <v>33</v>
      </c>
      <c r="P169" s="16">
        <v>0</v>
      </c>
      <c r="Q169" s="16">
        <v>0</v>
      </c>
      <c r="R169" s="19">
        <v>0</v>
      </c>
      <c r="S169" s="20" t="s">
        <v>33</v>
      </c>
    </row>
    <row r="170" spans="1:19" ht="15" customHeight="1" x14ac:dyDescent="0.3">
      <c r="A170" s="16">
        <v>87</v>
      </c>
      <c r="B170" s="15">
        <v>2.0833400000000002</v>
      </c>
      <c r="C170" s="15">
        <v>5.989440000000001</v>
      </c>
      <c r="D170" s="22">
        <v>1</v>
      </c>
      <c r="E170" s="15">
        <v>3.89636</v>
      </c>
      <c r="F170" s="15">
        <v>2.0833400000000002</v>
      </c>
      <c r="G170" s="15">
        <v>5.989440000000001</v>
      </c>
      <c r="H170" s="16">
        <v>1</v>
      </c>
      <c r="I170" s="15">
        <v>3.8822899999999998</v>
      </c>
      <c r="J170" s="15">
        <v>3.8199800000000002</v>
      </c>
      <c r="K170" s="15">
        <v>2.7848299999999999</v>
      </c>
      <c r="L170" s="15">
        <v>4.8189500000000001</v>
      </c>
      <c r="M170" s="19">
        <v>8.1133681635999996E-4</v>
      </c>
      <c r="N170" s="16">
        <v>1</v>
      </c>
      <c r="O170" s="15" t="s">
        <v>33</v>
      </c>
      <c r="P170" s="16">
        <v>0</v>
      </c>
      <c r="Q170" s="16">
        <v>0</v>
      </c>
      <c r="R170" s="19">
        <v>0</v>
      </c>
      <c r="S170" s="20" t="s">
        <v>33</v>
      </c>
    </row>
    <row r="171" spans="1:19" ht="15" customHeight="1" x14ac:dyDescent="0.3">
      <c r="A171" s="16">
        <v>88</v>
      </c>
      <c r="B171" s="15">
        <v>-0.27460000000000018</v>
      </c>
      <c r="C171" s="15">
        <v>1.42048</v>
      </c>
      <c r="D171" s="22">
        <v>0.83333333333333337</v>
      </c>
      <c r="E171" s="15">
        <v>0.56426000000000021</v>
      </c>
      <c r="F171" s="15">
        <v>-0.27460000000000018</v>
      </c>
      <c r="G171" s="15">
        <v>1.42048</v>
      </c>
      <c r="H171" s="16">
        <v>1</v>
      </c>
      <c r="I171" s="15">
        <v>0.54566000000000003</v>
      </c>
      <c r="J171" s="15">
        <v>0.64424000000000015</v>
      </c>
      <c r="K171" s="15">
        <v>0.21085999999999999</v>
      </c>
      <c r="L171" s="15">
        <v>1.1204000000000001</v>
      </c>
      <c r="M171" s="19">
        <v>0</v>
      </c>
      <c r="N171" s="16">
        <v>1</v>
      </c>
      <c r="O171" s="15" t="s">
        <v>33</v>
      </c>
      <c r="P171" s="16">
        <v>0</v>
      </c>
      <c r="Q171" s="16">
        <v>0</v>
      </c>
      <c r="R171" s="19">
        <v>0</v>
      </c>
      <c r="S171" s="20" t="s">
        <v>968</v>
      </c>
    </row>
    <row r="172" spans="1:19" ht="15" customHeight="1" x14ac:dyDescent="0.3">
      <c r="A172" s="16">
        <v>89</v>
      </c>
      <c r="B172" s="15">
        <v>-0.48737799999999992</v>
      </c>
      <c r="C172" s="15">
        <v>-0.45704733333333331</v>
      </c>
      <c r="D172" s="22">
        <v>0</v>
      </c>
      <c r="E172" s="15">
        <v>-0.46074699999999991</v>
      </c>
      <c r="F172" s="15">
        <v>-0.48737799999999992</v>
      </c>
      <c r="G172" s="15">
        <v>-0.45704733333333331</v>
      </c>
      <c r="H172" s="16">
        <v>1</v>
      </c>
      <c r="I172" s="15">
        <v>-0.46015299999999992</v>
      </c>
      <c r="J172" s="15">
        <v>-0.46098899999999998</v>
      </c>
      <c r="K172" s="15">
        <v>-0.45292599999999988</v>
      </c>
      <c r="L172" s="15">
        <v>-0.46718199999999999</v>
      </c>
      <c r="M172" s="19">
        <v>0</v>
      </c>
      <c r="N172" s="16">
        <v>0</v>
      </c>
      <c r="O172" s="15" t="s">
        <v>33</v>
      </c>
      <c r="P172" s="16">
        <v>0</v>
      </c>
      <c r="Q172" s="16">
        <v>0</v>
      </c>
      <c r="R172" s="19">
        <v>0</v>
      </c>
      <c r="S172" s="20" t="s">
        <v>33</v>
      </c>
    </row>
    <row r="173" spans="1:19" ht="15" customHeight="1" x14ac:dyDescent="0.3">
      <c r="A173" s="16">
        <v>90</v>
      </c>
      <c r="B173" s="15">
        <v>-0.31803333333333339</v>
      </c>
      <c r="C173" s="15">
        <v>-0.2282023333333332</v>
      </c>
      <c r="D173" s="22">
        <v>0</v>
      </c>
      <c r="E173" s="15">
        <v>-0.27038450000000003</v>
      </c>
      <c r="F173" s="15">
        <v>-0.31803333333333339</v>
      </c>
      <c r="G173" s="15">
        <v>-0.2282023333333332</v>
      </c>
      <c r="H173" s="16">
        <v>1</v>
      </c>
      <c r="I173" s="15">
        <v>-0.27140950000000008</v>
      </c>
      <c r="J173" s="15">
        <v>-0.26255350000000011</v>
      </c>
      <c r="K173" s="15">
        <v>-0.2473219999999999</v>
      </c>
      <c r="L173" s="15">
        <v>-0.29406199999999999</v>
      </c>
      <c r="M173" s="19">
        <v>0</v>
      </c>
      <c r="N173" s="16">
        <v>0</v>
      </c>
      <c r="O173" s="15" t="s">
        <v>33</v>
      </c>
      <c r="P173" s="16">
        <v>0</v>
      </c>
      <c r="Q173" s="16">
        <v>0</v>
      </c>
      <c r="R173" s="19">
        <v>0</v>
      </c>
      <c r="S173" s="20" t="s">
        <v>33</v>
      </c>
    </row>
    <row r="174" spans="1:19" ht="15" customHeight="1" x14ac:dyDescent="0.3">
      <c r="A174" s="16">
        <v>91</v>
      </c>
      <c r="B174" s="15">
        <v>-0.48412499999999992</v>
      </c>
      <c r="C174" s="15">
        <v>-0.34284999999999988</v>
      </c>
      <c r="D174" s="22">
        <v>0</v>
      </c>
      <c r="E174" s="15">
        <v>-0.41410000000000002</v>
      </c>
      <c r="F174" s="15">
        <v>-0.48412499999999992</v>
      </c>
      <c r="G174" s="15">
        <v>-0.34284999999999988</v>
      </c>
      <c r="H174" s="16">
        <v>1</v>
      </c>
      <c r="I174" s="15">
        <v>-0.41455000000000009</v>
      </c>
      <c r="J174" s="15">
        <v>-0.4140625</v>
      </c>
      <c r="K174" s="15">
        <v>-0.44087499999999991</v>
      </c>
      <c r="L174" s="15">
        <v>-0.37941249999999999</v>
      </c>
      <c r="M174" s="19">
        <v>0</v>
      </c>
      <c r="N174" s="16">
        <v>0</v>
      </c>
      <c r="O174" s="15" t="s">
        <v>33</v>
      </c>
      <c r="P174" s="16">
        <v>0</v>
      </c>
      <c r="Q174" s="16">
        <v>0</v>
      </c>
      <c r="R174" s="19">
        <v>0</v>
      </c>
      <c r="S174" s="20" t="s">
        <v>33</v>
      </c>
    </row>
    <row r="175" spans="1:19" ht="15" customHeight="1" x14ac:dyDescent="0.3">
      <c r="A175" s="16">
        <v>92</v>
      </c>
      <c r="B175" s="15">
        <v>2.3037000000000001</v>
      </c>
      <c r="C175" s="15">
        <v>2.7080000000000002</v>
      </c>
      <c r="D175" s="22">
        <v>1</v>
      </c>
      <c r="E175" s="15">
        <v>2.5682</v>
      </c>
      <c r="F175" s="15">
        <v>2.3037000000000001</v>
      </c>
      <c r="G175" s="15">
        <v>2.7080000000000002</v>
      </c>
      <c r="H175" s="16">
        <v>1</v>
      </c>
      <c r="I175" s="15">
        <v>2.5488499999999989</v>
      </c>
      <c r="J175" s="15">
        <v>2.5991</v>
      </c>
      <c r="K175" s="15">
        <v>2.4335</v>
      </c>
      <c r="L175" s="15">
        <v>2.5938500000000002</v>
      </c>
      <c r="M175" s="19">
        <v>1.06352447784758E-2</v>
      </c>
      <c r="N175" s="16">
        <v>1</v>
      </c>
      <c r="O175" s="15" t="s">
        <v>33</v>
      </c>
      <c r="P175" s="16">
        <v>0</v>
      </c>
      <c r="Q175" s="16">
        <v>0</v>
      </c>
      <c r="R175" s="19">
        <v>0</v>
      </c>
      <c r="S175" s="20" t="s">
        <v>963</v>
      </c>
    </row>
    <row r="176" spans="1:19" ht="15" customHeight="1" x14ac:dyDescent="0.3">
      <c r="A176" s="16">
        <v>93</v>
      </c>
      <c r="B176" s="15">
        <v>-0.21560133333333331</v>
      </c>
      <c r="C176" s="15">
        <v>-0.140511</v>
      </c>
      <c r="D176" s="22">
        <v>0</v>
      </c>
      <c r="E176" s="15">
        <v>-0.17512649999999991</v>
      </c>
      <c r="F176" s="15">
        <v>-0.21560133333333331</v>
      </c>
      <c r="G176" s="15">
        <v>-0.140511</v>
      </c>
      <c r="H176" s="16">
        <v>1</v>
      </c>
      <c r="I176" s="15">
        <v>-0.17164850000000009</v>
      </c>
      <c r="J176" s="15">
        <v>-0.1797089999999999</v>
      </c>
      <c r="K176" s="15">
        <v>-0.15021649999999989</v>
      </c>
      <c r="L176" s="15">
        <v>-0.19058949999999991</v>
      </c>
      <c r="M176" s="19">
        <v>0</v>
      </c>
      <c r="N176" s="16">
        <v>0</v>
      </c>
      <c r="O176" s="15" t="s">
        <v>33</v>
      </c>
      <c r="P176" s="16">
        <v>0</v>
      </c>
      <c r="Q176" s="16">
        <v>0</v>
      </c>
      <c r="R176" s="19">
        <v>0</v>
      </c>
      <c r="S176" s="20" t="s">
        <v>33</v>
      </c>
    </row>
    <row r="177" spans="1:19" ht="15" customHeight="1" x14ac:dyDescent="0.3">
      <c r="A177" s="16">
        <v>94</v>
      </c>
      <c r="B177" s="15">
        <v>0.87140000000000017</v>
      </c>
      <c r="C177" s="15">
        <v>1.6649</v>
      </c>
      <c r="D177" s="22">
        <v>1</v>
      </c>
      <c r="E177" s="15">
        <v>1.28627</v>
      </c>
      <c r="F177" s="15">
        <v>0.87140000000000017</v>
      </c>
      <c r="G177" s="15">
        <v>1.6649</v>
      </c>
      <c r="H177" s="16">
        <v>1</v>
      </c>
      <c r="I177" s="15">
        <v>1.2931999999999999</v>
      </c>
      <c r="J177" s="15">
        <v>1.27952</v>
      </c>
      <c r="K177" s="15">
        <v>1.2455000000000001</v>
      </c>
      <c r="L177" s="15">
        <v>1.3138099999999999</v>
      </c>
      <c r="M177" s="19">
        <v>7.7874567743248004E-3</v>
      </c>
      <c r="N177" s="16">
        <v>1</v>
      </c>
      <c r="O177" s="15" t="s">
        <v>33</v>
      </c>
      <c r="P177" s="16">
        <v>0</v>
      </c>
      <c r="Q177" s="16">
        <v>1</v>
      </c>
      <c r="R177" s="19">
        <v>6.1219400545634997E-3</v>
      </c>
      <c r="S177" s="20" t="s">
        <v>964</v>
      </c>
    </row>
    <row r="178" spans="1:19" ht="15" customHeight="1" x14ac:dyDescent="0.3">
      <c r="A178" s="16">
        <v>95</v>
      </c>
      <c r="B178" s="15">
        <v>-0.21737833333333331</v>
      </c>
      <c r="C178" s="15">
        <v>-7.1171666666666702E-2</v>
      </c>
      <c r="D178" s="22">
        <v>0</v>
      </c>
      <c r="E178" s="15">
        <v>-0.16253999999999991</v>
      </c>
      <c r="F178" s="15">
        <v>-0.21737833333333331</v>
      </c>
      <c r="G178" s="15">
        <v>-7.1171666666666702E-2</v>
      </c>
      <c r="H178" s="16">
        <v>1</v>
      </c>
      <c r="I178" s="15">
        <v>-0.16358</v>
      </c>
      <c r="J178" s="15">
        <v>-0.16016749999999991</v>
      </c>
      <c r="K178" s="15">
        <v>-0.1725499999999999</v>
      </c>
      <c r="L178" s="15">
        <v>-0.15847749999999999</v>
      </c>
      <c r="M178" s="19">
        <v>0</v>
      </c>
      <c r="N178" s="16">
        <v>0</v>
      </c>
      <c r="O178" s="15" t="s">
        <v>33</v>
      </c>
      <c r="P178" s="16">
        <v>0</v>
      </c>
      <c r="Q178" s="16">
        <v>0</v>
      </c>
      <c r="R178" s="19">
        <v>0</v>
      </c>
      <c r="S178" s="20" t="s">
        <v>33</v>
      </c>
    </row>
    <row r="179" spans="1:19" ht="15" customHeight="1" x14ac:dyDescent="0.3">
      <c r="A179" s="16">
        <v>96</v>
      </c>
      <c r="B179" s="15">
        <v>-5.9253333333333297E-2</v>
      </c>
      <c r="C179" s="15">
        <v>3.0933333333332002E-3</v>
      </c>
      <c r="D179" s="22">
        <v>0.1166666666666666</v>
      </c>
      <c r="E179" s="15">
        <v>-9.0799999999999995E-3</v>
      </c>
      <c r="F179" s="15">
        <v>-5.9253333333333297E-2</v>
      </c>
      <c r="G179" s="15">
        <v>3.0933333333332002E-3</v>
      </c>
      <c r="H179" s="16">
        <v>1</v>
      </c>
      <c r="I179" s="15">
        <v>-1.172E-2</v>
      </c>
      <c r="J179" s="15">
        <v>-1.5599999999999999E-2</v>
      </c>
      <c r="K179" s="15">
        <v>-3.9079999999999997E-2</v>
      </c>
      <c r="L179" s="15">
        <v>-1.448E-2</v>
      </c>
      <c r="M179" s="19">
        <v>0</v>
      </c>
      <c r="N179" s="16">
        <v>0</v>
      </c>
      <c r="O179" s="15" t="s">
        <v>33</v>
      </c>
      <c r="P179" s="16">
        <v>0</v>
      </c>
      <c r="Q179" s="16">
        <v>0</v>
      </c>
      <c r="R179" s="19">
        <v>0</v>
      </c>
      <c r="S179" s="20" t="s">
        <v>33</v>
      </c>
    </row>
    <row r="180" spans="1:19" ht="15" customHeight="1" x14ac:dyDescent="0.3">
      <c r="A180" s="16">
        <v>97</v>
      </c>
      <c r="B180" s="15">
        <v>-0.22905900000000001</v>
      </c>
      <c r="C180" s="15">
        <v>-0.1535769999999998</v>
      </c>
      <c r="D180" s="22">
        <v>0</v>
      </c>
      <c r="E180" s="15">
        <v>-0.20325599999999999</v>
      </c>
      <c r="F180" s="15">
        <v>-0.22905900000000001</v>
      </c>
      <c r="G180" s="15">
        <v>-0.1535769999999998</v>
      </c>
      <c r="H180" s="16">
        <v>1</v>
      </c>
      <c r="I180" s="15">
        <v>-0.20363200000000001</v>
      </c>
      <c r="J180" s="15">
        <v>-0.20823799999999981</v>
      </c>
      <c r="K180" s="15">
        <v>-0.17702999999999999</v>
      </c>
      <c r="L180" s="15">
        <v>-0.21444199999999991</v>
      </c>
      <c r="M180" s="19">
        <v>0</v>
      </c>
      <c r="N180" s="16">
        <v>0</v>
      </c>
      <c r="O180" s="15" t="s">
        <v>33</v>
      </c>
      <c r="P180" s="16">
        <v>0</v>
      </c>
      <c r="Q180" s="16">
        <v>0</v>
      </c>
      <c r="R180" s="19">
        <v>0</v>
      </c>
      <c r="S180" s="20" t="s">
        <v>33</v>
      </c>
    </row>
    <row r="181" spans="1:19" ht="15" customHeight="1" x14ac:dyDescent="0.3">
      <c r="A181" s="16">
        <v>98</v>
      </c>
      <c r="B181" s="15">
        <v>-0.10659833333333329</v>
      </c>
      <c r="C181" s="15">
        <v>2.3201666666666499E-2</v>
      </c>
      <c r="D181" s="22">
        <v>0.15</v>
      </c>
      <c r="E181" s="15">
        <v>-5.7272500000000101E-2</v>
      </c>
      <c r="F181" s="15">
        <v>-0.10659833333333329</v>
      </c>
      <c r="G181" s="15">
        <v>2.3201666666666499E-2</v>
      </c>
      <c r="H181" s="16">
        <v>1</v>
      </c>
      <c r="I181" s="15">
        <v>-5.2679999999999901E-2</v>
      </c>
      <c r="J181" s="15">
        <v>-5.8619999999999998E-2</v>
      </c>
      <c r="K181" s="15">
        <v>-4.1927500000000097E-2</v>
      </c>
      <c r="L181" s="15">
        <v>-7.5642499999999793E-2</v>
      </c>
      <c r="M181" s="19">
        <v>0</v>
      </c>
      <c r="N181" s="16">
        <v>0</v>
      </c>
      <c r="O181" s="15" t="s">
        <v>33</v>
      </c>
      <c r="P181" s="16">
        <v>0</v>
      </c>
      <c r="Q181" s="16">
        <v>0</v>
      </c>
      <c r="R181" s="19">
        <v>0</v>
      </c>
      <c r="S181" s="20" t="s">
        <v>966</v>
      </c>
    </row>
    <row r="182" spans="1:19" ht="15" customHeight="1" x14ac:dyDescent="0.3">
      <c r="A182" s="16">
        <v>99</v>
      </c>
      <c r="B182" s="15">
        <v>1.3803000000000001</v>
      </c>
      <c r="C182" s="15">
        <v>1.8437066666666659</v>
      </c>
      <c r="D182" s="22">
        <v>1</v>
      </c>
      <c r="E182" s="15">
        <v>1.59935</v>
      </c>
      <c r="F182" s="15">
        <v>1.3803000000000001</v>
      </c>
      <c r="G182" s="15">
        <v>1.8437066666666659</v>
      </c>
      <c r="H182" s="16">
        <v>1</v>
      </c>
      <c r="I182" s="15">
        <v>1.5888199999999999</v>
      </c>
      <c r="J182" s="15">
        <v>1.6317200000000001</v>
      </c>
      <c r="K182" s="15">
        <v>1.54722</v>
      </c>
      <c r="L182" s="15">
        <v>1.7279199999999999</v>
      </c>
      <c r="M182" s="19">
        <v>6.8865437022796998E-3</v>
      </c>
      <c r="N182" s="16">
        <v>1</v>
      </c>
      <c r="O182" s="15" t="s">
        <v>33</v>
      </c>
      <c r="P182" s="16">
        <v>0</v>
      </c>
      <c r="Q182" s="16">
        <v>0</v>
      </c>
      <c r="R182" s="19">
        <v>0</v>
      </c>
      <c r="S182" s="20" t="s">
        <v>33</v>
      </c>
    </row>
    <row r="183" spans="1:19" ht="15" customHeight="1" x14ac:dyDescent="0.3">
      <c r="A183" s="16">
        <v>100</v>
      </c>
      <c r="B183" s="15">
        <v>0.66279999999999994</v>
      </c>
      <c r="C183" s="15">
        <v>1.0312399999999999</v>
      </c>
      <c r="D183" s="22">
        <v>1</v>
      </c>
      <c r="E183" s="15">
        <v>0.88357999999999981</v>
      </c>
      <c r="F183" s="15">
        <v>0.66279999999999994</v>
      </c>
      <c r="G183" s="15">
        <v>1.0312399999999999</v>
      </c>
      <c r="H183" s="16">
        <v>1</v>
      </c>
      <c r="I183" s="15">
        <v>0.87542000000000009</v>
      </c>
      <c r="J183" s="15">
        <v>0.89611999999999981</v>
      </c>
      <c r="K183" s="15">
        <v>0.90697999999999956</v>
      </c>
      <c r="L183" s="15">
        <v>0.85568</v>
      </c>
      <c r="M183" s="19">
        <v>5.9347224916840996E-3</v>
      </c>
      <c r="N183" s="16">
        <v>0</v>
      </c>
      <c r="O183" s="15" t="s">
        <v>33</v>
      </c>
      <c r="P183" s="16">
        <v>0</v>
      </c>
      <c r="Q183" s="16">
        <v>0</v>
      </c>
      <c r="R183" s="19">
        <v>0</v>
      </c>
      <c r="S183" s="20" t="s">
        <v>969</v>
      </c>
    </row>
    <row r="184" spans="1:19" ht="15" customHeight="1" x14ac:dyDescent="0.3">
      <c r="A184" s="16">
        <v>101</v>
      </c>
      <c r="B184" s="15">
        <v>-0.39543433333333328</v>
      </c>
      <c r="C184" s="15">
        <v>-0.26001299999999999</v>
      </c>
      <c r="D184" s="22">
        <v>0</v>
      </c>
      <c r="E184" s="15">
        <v>-0.32657700000000001</v>
      </c>
      <c r="F184" s="15">
        <v>-0.39543433333333328</v>
      </c>
      <c r="G184" s="15">
        <v>-0.26001299999999999</v>
      </c>
      <c r="H184" s="16">
        <v>1</v>
      </c>
      <c r="I184" s="15">
        <v>-0.326104</v>
      </c>
      <c r="J184" s="15">
        <v>-0.33431699999999998</v>
      </c>
      <c r="K184" s="15">
        <v>-0.31124750000000001</v>
      </c>
      <c r="L184" s="15">
        <v>-0.33427400000000002</v>
      </c>
      <c r="M184" s="19">
        <v>0</v>
      </c>
      <c r="N184" s="16">
        <v>0</v>
      </c>
      <c r="O184" s="15" t="s">
        <v>33</v>
      </c>
      <c r="P184" s="16">
        <v>0</v>
      </c>
      <c r="Q184" s="16">
        <v>0</v>
      </c>
      <c r="R184" s="19">
        <v>0</v>
      </c>
      <c r="S184" s="20" t="s">
        <v>33</v>
      </c>
    </row>
    <row r="185" spans="1:19" ht="15" customHeight="1" x14ac:dyDescent="0.3">
      <c r="A185" s="16">
        <v>102</v>
      </c>
      <c r="B185" s="15">
        <v>0.1171466666666667</v>
      </c>
      <c r="C185" s="15">
        <v>0.3173333333333333</v>
      </c>
      <c r="D185" s="22">
        <v>1</v>
      </c>
      <c r="E185" s="15">
        <v>0.19728000000000009</v>
      </c>
      <c r="F185" s="15">
        <v>0.1171466666666667</v>
      </c>
      <c r="G185" s="15">
        <v>0.3173333333333333</v>
      </c>
      <c r="H185" s="16">
        <v>1</v>
      </c>
      <c r="I185" s="15">
        <v>0.20316000000000001</v>
      </c>
      <c r="J185" s="15">
        <v>0.19547999999999979</v>
      </c>
      <c r="K185" s="15">
        <v>0.22248000000000001</v>
      </c>
      <c r="L185" s="15">
        <v>0.18364</v>
      </c>
      <c r="M185" s="19">
        <v>2.4152625722746999E-3</v>
      </c>
      <c r="N185" s="16">
        <v>0</v>
      </c>
      <c r="O185" s="15" t="s">
        <v>33</v>
      </c>
      <c r="P185" s="16">
        <v>0</v>
      </c>
      <c r="Q185" s="16">
        <v>0</v>
      </c>
      <c r="R185" s="19">
        <v>0</v>
      </c>
      <c r="S185" s="20" t="s">
        <v>33</v>
      </c>
    </row>
    <row r="186" spans="1:19" ht="15" customHeight="1" x14ac:dyDescent="0.3">
      <c r="A186" s="16">
        <v>103</v>
      </c>
      <c r="B186" s="15">
        <v>-0.60321666666666662</v>
      </c>
      <c r="C186" s="15">
        <v>-0.50545000000000007</v>
      </c>
      <c r="D186" s="22">
        <v>0</v>
      </c>
      <c r="E186" s="15">
        <v>-0.54877500000000001</v>
      </c>
      <c r="F186" s="15">
        <v>-0.60321666666666662</v>
      </c>
      <c r="G186" s="15">
        <v>-0.50545000000000007</v>
      </c>
      <c r="H186" s="16">
        <v>1</v>
      </c>
      <c r="I186" s="15">
        <v>-0.54879999999999995</v>
      </c>
      <c r="J186" s="15">
        <v>-0.54695000000000005</v>
      </c>
      <c r="K186" s="15">
        <v>-0.56742499999999996</v>
      </c>
      <c r="L186" s="15">
        <v>-0.53110000000000002</v>
      </c>
      <c r="M186" s="19">
        <v>0</v>
      </c>
      <c r="N186" s="16">
        <v>0</v>
      </c>
      <c r="O186" s="15" t="s">
        <v>33</v>
      </c>
      <c r="P186" s="16">
        <v>0</v>
      </c>
      <c r="Q186" s="16">
        <v>1</v>
      </c>
      <c r="R186" s="19">
        <v>0</v>
      </c>
      <c r="S186" s="20" t="s">
        <v>971</v>
      </c>
    </row>
    <row r="187" spans="1:19" ht="15" customHeight="1" x14ac:dyDescent="0.3">
      <c r="A187" s="16">
        <v>104</v>
      </c>
      <c r="B187" s="15">
        <v>-0.60005500000000001</v>
      </c>
      <c r="C187" s="15">
        <v>-0.44427166666666668</v>
      </c>
      <c r="D187" s="22">
        <v>0</v>
      </c>
      <c r="E187" s="15">
        <v>-0.51002999999999998</v>
      </c>
      <c r="F187" s="15">
        <v>-0.60005500000000001</v>
      </c>
      <c r="G187" s="15">
        <v>-0.44427166666666668</v>
      </c>
      <c r="H187" s="16">
        <v>0</v>
      </c>
      <c r="I187" s="15">
        <v>-0.51126500000000008</v>
      </c>
      <c r="J187" s="15">
        <v>-0.51308500000000001</v>
      </c>
      <c r="K187" s="15">
        <v>-0.55299500000000001</v>
      </c>
      <c r="L187" s="15">
        <v>-0.47645749999999998</v>
      </c>
      <c r="M187" s="19">
        <v>0</v>
      </c>
      <c r="N187" s="16">
        <v>1</v>
      </c>
      <c r="O187" s="15" t="s">
        <v>33</v>
      </c>
      <c r="P187" s="16">
        <v>0</v>
      </c>
      <c r="Q187" s="16">
        <v>0</v>
      </c>
      <c r="R187" s="19">
        <v>0</v>
      </c>
      <c r="S187" s="20" t="s">
        <v>33</v>
      </c>
    </row>
    <row r="188" spans="1:19" ht="15" customHeight="1" x14ac:dyDescent="0.3">
      <c r="A188" s="16">
        <v>105</v>
      </c>
      <c r="B188" s="15">
        <v>-0.42821366666666671</v>
      </c>
      <c r="C188" s="15">
        <v>-0.1162276666666667</v>
      </c>
      <c r="D188" s="22">
        <v>0</v>
      </c>
      <c r="E188" s="15">
        <v>-0.24717749999999999</v>
      </c>
      <c r="F188" s="15">
        <v>-0.42821366666666671</v>
      </c>
      <c r="G188" s="15">
        <v>-0.1162276666666667</v>
      </c>
      <c r="H188" s="16">
        <v>0</v>
      </c>
      <c r="I188" s="15">
        <v>-0.24604949999999989</v>
      </c>
      <c r="J188" s="15">
        <v>-0.2390934999999999</v>
      </c>
      <c r="K188" s="15">
        <v>-0.24047999999999989</v>
      </c>
      <c r="L188" s="15">
        <v>-0.24473349999999991</v>
      </c>
      <c r="M188" s="19">
        <v>0</v>
      </c>
      <c r="N188" s="16">
        <v>1</v>
      </c>
      <c r="O188" s="15" t="s">
        <v>33</v>
      </c>
      <c r="P188" s="16">
        <v>0</v>
      </c>
      <c r="Q188" s="16">
        <v>0</v>
      </c>
      <c r="R188" s="19">
        <v>0</v>
      </c>
      <c r="S188" s="20" t="s">
        <v>33</v>
      </c>
    </row>
    <row r="189" spans="1:19" ht="15" customHeight="1" x14ac:dyDescent="0.3">
      <c r="A189" s="16">
        <v>106</v>
      </c>
      <c r="B189" s="15">
        <v>-1.3553333333333299E-2</v>
      </c>
      <c r="C189" s="15">
        <v>0.27764066666666659</v>
      </c>
      <c r="D189" s="22">
        <v>0.8666666666666667</v>
      </c>
      <c r="E189" s="15">
        <v>0.13345249999999989</v>
      </c>
      <c r="F189" s="15">
        <v>-1.3553333333333299E-2</v>
      </c>
      <c r="G189" s="15">
        <v>0.27764066666666659</v>
      </c>
      <c r="H189" s="16">
        <v>1</v>
      </c>
      <c r="I189" s="15">
        <v>0.13131950000000001</v>
      </c>
      <c r="J189" s="15">
        <v>0.141629</v>
      </c>
      <c r="K189" s="15">
        <v>0.12764600000000009</v>
      </c>
      <c r="L189" s="15">
        <v>0.12752749999999999</v>
      </c>
      <c r="M189" s="19">
        <v>0</v>
      </c>
      <c r="N189" s="16">
        <v>0</v>
      </c>
      <c r="O189" s="15" t="s">
        <v>33</v>
      </c>
      <c r="P189" s="16">
        <v>0</v>
      </c>
      <c r="Q189" s="16">
        <v>0</v>
      </c>
      <c r="R189" s="19">
        <v>0</v>
      </c>
      <c r="S189" s="20" t="s">
        <v>33</v>
      </c>
    </row>
    <row r="190" spans="1:19" ht="15" customHeight="1" x14ac:dyDescent="0.3">
      <c r="A190" s="16">
        <v>107</v>
      </c>
      <c r="B190" s="15">
        <v>-0.24989366666666671</v>
      </c>
      <c r="C190" s="15">
        <v>-0.1624603333333334</v>
      </c>
      <c r="D190" s="22">
        <v>0</v>
      </c>
      <c r="E190" s="15">
        <v>-0.1957280000000001</v>
      </c>
      <c r="F190" s="15">
        <v>-0.24989366666666671</v>
      </c>
      <c r="G190" s="15">
        <v>-0.1624603333333334</v>
      </c>
      <c r="H190" s="16">
        <v>1</v>
      </c>
      <c r="I190" s="15">
        <v>-0.19314799999999999</v>
      </c>
      <c r="J190" s="15">
        <v>-0.19772749999999989</v>
      </c>
      <c r="K190" s="15">
        <v>-0.1859885</v>
      </c>
      <c r="L190" s="15">
        <v>-0.2169055</v>
      </c>
      <c r="M190" s="19">
        <v>0</v>
      </c>
      <c r="N190" s="16">
        <v>0</v>
      </c>
      <c r="O190" s="15" t="s">
        <v>33</v>
      </c>
      <c r="P190" s="16">
        <v>0</v>
      </c>
      <c r="Q190" s="16">
        <v>0</v>
      </c>
      <c r="R190" s="19">
        <v>0</v>
      </c>
      <c r="S190" s="20" t="s">
        <v>33</v>
      </c>
    </row>
    <row r="191" spans="1:19" ht="15" customHeight="1" x14ac:dyDescent="0.3">
      <c r="A191" s="16">
        <v>108</v>
      </c>
      <c r="B191" s="15">
        <v>-0.65844666666666674</v>
      </c>
      <c r="C191" s="15">
        <v>-0.45194166666666669</v>
      </c>
      <c r="D191" s="22">
        <v>0</v>
      </c>
      <c r="E191" s="15">
        <v>-0.54493499999999995</v>
      </c>
      <c r="F191" s="15">
        <v>-0.65844666666666674</v>
      </c>
      <c r="G191" s="15">
        <v>-0.45194166666666669</v>
      </c>
      <c r="H191" s="16">
        <v>1</v>
      </c>
      <c r="I191" s="15">
        <v>-0.54340750000000004</v>
      </c>
      <c r="J191" s="15">
        <v>-0.54327750000000008</v>
      </c>
      <c r="K191" s="15">
        <v>-0.57168250000000009</v>
      </c>
      <c r="L191" s="15">
        <v>-0.50564249999999999</v>
      </c>
      <c r="M191" s="19">
        <v>0</v>
      </c>
      <c r="N191" s="16">
        <v>0</v>
      </c>
      <c r="O191" s="15" t="s">
        <v>33</v>
      </c>
      <c r="P191" s="16">
        <v>0</v>
      </c>
      <c r="Q191" s="16">
        <v>0</v>
      </c>
      <c r="R191" s="19">
        <v>0</v>
      </c>
      <c r="S191" s="20" t="s">
        <v>33</v>
      </c>
    </row>
    <row r="192" spans="1:19" ht="15" customHeight="1" x14ac:dyDescent="0.3">
      <c r="A192" s="16">
        <v>109</v>
      </c>
      <c r="B192" s="15">
        <v>-0.15298</v>
      </c>
      <c r="C192" s="15">
        <v>0.32578999999999991</v>
      </c>
      <c r="D192" s="22">
        <v>0.68333333333333335</v>
      </c>
      <c r="E192" s="15">
        <v>6.83450000000001E-2</v>
      </c>
      <c r="F192" s="15">
        <v>-0.15298</v>
      </c>
      <c r="G192" s="15">
        <v>0.32578999999999991</v>
      </c>
      <c r="H192" s="16">
        <v>1</v>
      </c>
      <c r="I192" s="15">
        <v>6.1640000000000097E-2</v>
      </c>
      <c r="J192" s="15">
        <v>7.5814999999999896E-2</v>
      </c>
      <c r="K192" s="15">
        <v>3.1984999999999902E-2</v>
      </c>
      <c r="L192" s="15">
        <v>9.2284999999999895E-2</v>
      </c>
      <c r="M192" s="19">
        <v>0</v>
      </c>
      <c r="N192" s="16">
        <v>1</v>
      </c>
      <c r="O192" s="15" t="s">
        <v>33</v>
      </c>
      <c r="P192" s="16">
        <v>0</v>
      </c>
      <c r="Q192" s="16">
        <v>0</v>
      </c>
      <c r="R192" s="19">
        <v>0</v>
      </c>
      <c r="S192" s="20" t="s">
        <v>33</v>
      </c>
    </row>
    <row r="193" spans="1:19" ht="15" customHeight="1" x14ac:dyDescent="0.3">
      <c r="A193" s="16">
        <v>110</v>
      </c>
      <c r="B193" s="15">
        <v>-0.2075616666666667</v>
      </c>
      <c r="C193" s="15">
        <v>-8.2941000000000001E-2</v>
      </c>
      <c r="D193" s="22">
        <v>0</v>
      </c>
      <c r="E193" s="15">
        <v>-0.15093999999999991</v>
      </c>
      <c r="F193" s="15">
        <v>-0.2075616666666667</v>
      </c>
      <c r="G193" s="15">
        <v>-8.2941000000000001E-2</v>
      </c>
      <c r="H193" s="16">
        <v>1</v>
      </c>
      <c r="I193" s="15">
        <v>-0.15099299999999999</v>
      </c>
      <c r="J193" s="15">
        <v>-0.14948249999999991</v>
      </c>
      <c r="K193" s="15">
        <v>-0.1399689999999999</v>
      </c>
      <c r="L193" s="15">
        <v>-0.151841</v>
      </c>
      <c r="M193" s="19">
        <v>0</v>
      </c>
      <c r="N193" s="16">
        <v>0</v>
      </c>
      <c r="O193" s="15" t="s">
        <v>33</v>
      </c>
      <c r="P193" s="16">
        <v>0</v>
      </c>
      <c r="Q193" s="16">
        <v>1</v>
      </c>
      <c r="R193" s="19">
        <v>0</v>
      </c>
      <c r="S193" s="20" t="s">
        <v>965</v>
      </c>
    </row>
    <row r="194" spans="1:19" ht="15" customHeight="1" x14ac:dyDescent="0.3">
      <c r="A194" s="16">
        <v>111</v>
      </c>
      <c r="B194" s="15">
        <v>0.52413500000000002</v>
      </c>
      <c r="C194" s="15">
        <v>0.68826999999999994</v>
      </c>
      <c r="D194" s="22">
        <v>1</v>
      </c>
      <c r="E194" s="15">
        <v>0.59170999999999996</v>
      </c>
      <c r="F194" s="15">
        <v>0.52413500000000002</v>
      </c>
      <c r="G194" s="15">
        <v>0.68826999999999994</v>
      </c>
      <c r="H194" s="16">
        <v>1</v>
      </c>
      <c r="I194" s="15">
        <v>0.59765999999999986</v>
      </c>
      <c r="J194" s="15">
        <v>0.58104250000000013</v>
      </c>
      <c r="K194" s="15">
        <v>0.65172000000000008</v>
      </c>
      <c r="L194" s="15">
        <v>0.56085499999999988</v>
      </c>
      <c r="M194" s="19">
        <v>2.1103783879526002E-3</v>
      </c>
      <c r="N194" s="16">
        <v>1</v>
      </c>
      <c r="O194" s="15" t="s">
        <v>33</v>
      </c>
      <c r="P194" s="16">
        <v>0</v>
      </c>
      <c r="Q194" s="16">
        <v>0</v>
      </c>
      <c r="R194" s="19">
        <v>0</v>
      </c>
      <c r="S194" s="20" t="s">
        <v>33</v>
      </c>
    </row>
    <row r="195" spans="1:19" ht="15" customHeight="1" x14ac:dyDescent="0.3">
      <c r="A195" s="16">
        <v>112</v>
      </c>
      <c r="B195" s="15">
        <v>0.20157333333333349</v>
      </c>
      <c r="C195" s="15">
        <v>0.33599666666666661</v>
      </c>
      <c r="D195" s="22">
        <v>1</v>
      </c>
      <c r="E195" s="15">
        <v>0.26934500000000011</v>
      </c>
      <c r="F195" s="15">
        <v>0.20157333333333349</v>
      </c>
      <c r="G195" s="15">
        <v>0.33599666666666661</v>
      </c>
      <c r="H195" s="16">
        <v>1</v>
      </c>
      <c r="I195" s="15">
        <v>0.2665099999999998</v>
      </c>
      <c r="J195" s="15">
        <v>0.268785</v>
      </c>
      <c r="K195" s="15">
        <v>0.29443999999999998</v>
      </c>
      <c r="L195" s="15">
        <v>0.2415199999999999</v>
      </c>
      <c r="M195" s="19">
        <v>0</v>
      </c>
      <c r="N195" s="16">
        <v>0</v>
      </c>
      <c r="O195" s="15" t="s">
        <v>33</v>
      </c>
      <c r="P195" s="16">
        <v>0</v>
      </c>
      <c r="Q195" s="16">
        <v>1</v>
      </c>
      <c r="R195" s="19">
        <v>0</v>
      </c>
      <c r="S195" s="20" t="s">
        <v>967</v>
      </c>
    </row>
    <row r="196" spans="1:19" ht="15" customHeight="1" x14ac:dyDescent="0.3">
      <c r="A196" s="16">
        <v>113</v>
      </c>
      <c r="B196" s="15">
        <v>0.15219166666666659</v>
      </c>
      <c r="C196" s="15">
        <v>0.35786666666666672</v>
      </c>
      <c r="D196" s="22">
        <v>1</v>
      </c>
      <c r="E196" s="15">
        <v>0.25533</v>
      </c>
      <c r="F196" s="15">
        <v>0.15219166666666659</v>
      </c>
      <c r="G196" s="15">
        <v>0.35786666666666672</v>
      </c>
      <c r="H196" s="16">
        <v>1</v>
      </c>
      <c r="I196" s="15">
        <v>0.2540474999999997</v>
      </c>
      <c r="J196" s="15">
        <v>0.24511749999999979</v>
      </c>
      <c r="K196" s="15">
        <v>0.24449999999999991</v>
      </c>
      <c r="L196" s="15">
        <v>0.25946249999999987</v>
      </c>
      <c r="M196" s="19">
        <v>1.1990015591821E-3</v>
      </c>
      <c r="N196" s="16">
        <v>1</v>
      </c>
      <c r="O196" s="15" t="s">
        <v>33</v>
      </c>
      <c r="P196" s="16">
        <v>0</v>
      </c>
      <c r="Q196" s="16">
        <v>1</v>
      </c>
      <c r="R196" s="19">
        <v>0</v>
      </c>
      <c r="S196" s="20" t="s">
        <v>968</v>
      </c>
    </row>
    <row r="197" spans="1:19" ht="15" customHeight="1" x14ac:dyDescent="0.3">
      <c r="A197" s="16">
        <v>114</v>
      </c>
      <c r="B197" s="15">
        <v>0.45276666666666648</v>
      </c>
      <c r="C197" s="15">
        <v>3.1904733333333342</v>
      </c>
      <c r="D197" s="22">
        <v>0.98333333333333317</v>
      </c>
      <c r="E197" s="15">
        <v>1.41326</v>
      </c>
      <c r="F197" s="15">
        <v>0.45276666666666648</v>
      </c>
      <c r="G197" s="15">
        <v>3.1904733333333342</v>
      </c>
      <c r="H197" s="16">
        <v>1</v>
      </c>
      <c r="I197" s="15">
        <v>1.40916</v>
      </c>
      <c r="J197" s="15">
        <v>1.40629</v>
      </c>
      <c r="K197" s="15">
        <v>1.0770599999999999</v>
      </c>
      <c r="L197" s="15">
        <v>1.7478199999999999</v>
      </c>
      <c r="M197" s="19">
        <v>1.1968157120296999E-3</v>
      </c>
      <c r="N197" s="16">
        <v>0</v>
      </c>
      <c r="O197" s="15" t="s">
        <v>33</v>
      </c>
      <c r="P197" s="16">
        <v>0</v>
      </c>
      <c r="Q197" s="16">
        <v>1</v>
      </c>
      <c r="R197" s="19">
        <v>0</v>
      </c>
      <c r="S197" s="20" t="s">
        <v>970</v>
      </c>
    </row>
    <row r="198" spans="1:19" ht="15" customHeight="1" x14ac:dyDescent="0.3">
      <c r="A198" s="16">
        <v>115</v>
      </c>
      <c r="B198" s="15">
        <v>-0.28459217391304348</v>
      </c>
      <c r="C198" s="15">
        <v>-0.18991739130434779</v>
      </c>
      <c r="D198" s="22">
        <v>0</v>
      </c>
      <c r="E198" s="15">
        <v>-0.24357391304347839</v>
      </c>
      <c r="F198" s="15">
        <v>-0.28459217391304348</v>
      </c>
      <c r="G198" s="15">
        <v>-0.18991739130434779</v>
      </c>
      <c r="H198" s="16">
        <v>1</v>
      </c>
      <c r="I198" s="15">
        <v>-0.24435913043478269</v>
      </c>
      <c r="J198" s="15">
        <v>-0.2386382608695653</v>
      </c>
      <c r="K198" s="15">
        <v>-0.21569869565217389</v>
      </c>
      <c r="L198" s="15">
        <v>-0.26780347826086959</v>
      </c>
      <c r="M198" s="19">
        <v>0</v>
      </c>
      <c r="N198" s="16">
        <v>0</v>
      </c>
      <c r="O198" s="15" t="s">
        <v>33</v>
      </c>
      <c r="P198" s="16">
        <v>0</v>
      </c>
      <c r="Q198" s="16">
        <v>0</v>
      </c>
      <c r="R198" s="19">
        <v>0</v>
      </c>
      <c r="S198" s="20" t="s">
        <v>33</v>
      </c>
    </row>
    <row r="199" spans="1:19" ht="15" customHeight="1" x14ac:dyDescent="0.3">
      <c r="A199" s="16">
        <v>116</v>
      </c>
      <c r="B199" s="15">
        <v>-0.3554666666666666</v>
      </c>
      <c r="C199" s="15">
        <v>-0.27987999999999991</v>
      </c>
      <c r="D199" s="22">
        <v>0</v>
      </c>
      <c r="E199" s="15">
        <v>-0.3104599999999999</v>
      </c>
      <c r="F199" s="15">
        <v>-0.3554666666666666</v>
      </c>
      <c r="G199" s="15">
        <v>-0.27987999999999991</v>
      </c>
      <c r="H199" s="16">
        <v>1</v>
      </c>
      <c r="I199" s="15">
        <v>-0.30981999999999998</v>
      </c>
      <c r="J199" s="15">
        <v>-0.31813999999999998</v>
      </c>
      <c r="K199" s="15">
        <v>-0.29631999999999992</v>
      </c>
      <c r="L199" s="15">
        <v>-0.32440000000000002</v>
      </c>
      <c r="M199" s="19">
        <v>0</v>
      </c>
      <c r="N199" s="16">
        <v>0</v>
      </c>
      <c r="O199" s="15" t="s">
        <v>33</v>
      </c>
      <c r="P199" s="16">
        <v>0</v>
      </c>
      <c r="Q199" s="16">
        <v>0</v>
      </c>
      <c r="R199" s="19">
        <v>0</v>
      </c>
      <c r="S199" s="20" t="s">
        <v>33</v>
      </c>
    </row>
    <row r="200" spans="1:19" ht="15" customHeight="1" x14ac:dyDescent="0.3">
      <c r="A200" s="16">
        <v>117</v>
      </c>
      <c r="B200" s="15">
        <v>-0.2576</v>
      </c>
      <c r="C200" s="15">
        <v>0.51429999999999998</v>
      </c>
      <c r="D200" s="22">
        <v>0.7</v>
      </c>
      <c r="E200" s="15">
        <v>0.14015</v>
      </c>
      <c r="F200" s="15">
        <v>-0.2576</v>
      </c>
      <c r="G200" s="15">
        <v>0.51429999999999998</v>
      </c>
      <c r="H200" s="16">
        <v>0</v>
      </c>
      <c r="I200" s="15">
        <v>0.1443499999999999</v>
      </c>
      <c r="J200" s="15">
        <v>0.1242499999999999</v>
      </c>
      <c r="K200" s="15">
        <v>-6.1899999999999997E-2</v>
      </c>
      <c r="L200" s="15">
        <v>0.3148999999999999</v>
      </c>
      <c r="M200" s="19">
        <v>0</v>
      </c>
      <c r="N200" s="16">
        <v>1</v>
      </c>
      <c r="O200" s="15" t="s">
        <v>33</v>
      </c>
      <c r="P200" s="16">
        <v>0</v>
      </c>
      <c r="Q200" s="16">
        <v>0</v>
      </c>
      <c r="R200" s="19">
        <v>0</v>
      </c>
      <c r="S200" s="20" t="s">
        <v>33</v>
      </c>
    </row>
    <row r="201" spans="1:19" ht="15" customHeight="1" x14ac:dyDescent="0.3">
      <c r="A201" s="16">
        <v>118</v>
      </c>
      <c r="B201" s="15">
        <v>2.7235999999999998</v>
      </c>
      <c r="C201" s="15">
        <v>4.5924800000000001</v>
      </c>
      <c r="D201" s="22">
        <v>1</v>
      </c>
      <c r="E201" s="15">
        <v>3.7793600000000001</v>
      </c>
      <c r="F201" s="15">
        <v>2.7235999999999998</v>
      </c>
      <c r="G201" s="15">
        <v>4.5924800000000001</v>
      </c>
      <c r="H201" s="16">
        <v>1</v>
      </c>
      <c r="I201" s="15">
        <v>3.7826</v>
      </c>
      <c r="J201" s="15">
        <v>3.7941199999999999</v>
      </c>
      <c r="K201" s="15">
        <v>3.3754400000000002</v>
      </c>
      <c r="L201" s="15">
        <v>4.1001200000000004</v>
      </c>
      <c r="M201" s="19">
        <v>6.0619804602142996E-3</v>
      </c>
      <c r="N201" s="16">
        <v>0</v>
      </c>
      <c r="O201" s="15" t="s">
        <v>33</v>
      </c>
      <c r="P201" s="16">
        <v>0</v>
      </c>
      <c r="Q201" s="16">
        <v>0</v>
      </c>
      <c r="R201" s="19">
        <v>0</v>
      </c>
      <c r="S201" s="20" t="s">
        <v>33</v>
      </c>
    </row>
    <row r="202" spans="1:19" ht="15" customHeight="1" x14ac:dyDescent="0.3">
      <c r="A202" s="16">
        <v>119</v>
      </c>
      <c r="B202" s="15">
        <v>-0.38944299999999998</v>
      </c>
      <c r="C202" s="15">
        <v>-0.31297466666666668</v>
      </c>
      <c r="D202" s="22">
        <v>0</v>
      </c>
      <c r="E202" s="15">
        <v>-0.3500120000000001</v>
      </c>
      <c r="F202" s="15">
        <v>-0.38944299999999998</v>
      </c>
      <c r="G202" s="15">
        <v>-0.31297466666666668</v>
      </c>
      <c r="H202" s="16">
        <v>0</v>
      </c>
      <c r="I202" s="15">
        <v>-0.3512805</v>
      </c>
      <c r="J202" s="15">
        <v>-0.35100100000000001</v>
      </c>
      <c r="K202" s="15">
        <v>-0.353968</v>
      </c>
      <c r="L202" s="15">
        <v>-0.35261350000000002</v>
      </c>
      <c r="M202" s="19">
        <v>0</v>
      </c>
      <c r="N202" s="16">
        <v>1</v>
      </c>
      <c r="O202" s="15" t="s">
        <v>33</v>
      </c>
      <c r="P202" s="16">
        <v>0</v>
      </c>
      <c r="Q202" s="16">
        <v>0</v>
      </c>
      <c r="R202" s="19">
        <v>0</v>
      </c>
      <c r="S202" s="20" t="s">
        <v>33</v>
      </c>
    </row>
    <row r="203" spans="1:19" ht="15" customHeight="1" x14ac:dyDescent="0.3">
      <c r="A203" s="16">
        <v>120</v>
      </c>
      <c r="B203" s="15">
        <v>-2.5866E-2</v>
      </c>
      <c r="C203" s="15">
        <v>0.1238779999999999</v>
      </c>
      <c r="D203" s="22">
        <v>0.81666666666666665</v>
      </c>
      <c r="E203" s="15">
        <v>4.9978999999999899E-2</v>
      </c>
      <c r="F203" s="15">
        <v>-2.5866E-2</v>
      </c>
      <c r="G203" s="15">
        <v>0.1238779999999999</v>
      </c>
      <c r="H203" s="16">
        <v>1</v>
      </c>
      <c r="I203" s="15">
        <v>4.8550999999999997E-2</v>
      </c>
      <c r="J203" s="15">
        <v>5.3233999999999997E-2</v>
      </c>
      <c r="K203" s="15">
        <v>3.9205999999999998E-2</v>
      </c>
      <c r="L203" s="15">
        <v>4.5232999999999801E-2</v>
      </c>
      <c r="M203" s="19">
        <v>0</v>
      </c>
      <c r="N203" s="16">
        <v>0</v>
      </c>
      <c r="O203" s="15">
        <v>8.9328666666667004E-3</v>
      </c>
      <c r="P203" s="16">
        <v>0</v>
      </c>
      <c r="Q203" s="16">
        <v>0</v>
      </c>
      <c r="R203" s="19">
        <v>0</v>
      </c>
      <c r="S203" s="20" t="s">
        <v>33</v>
      </c>
    </row>
    <row r="204" spans="1:19" ht="15" customHeight="1" x14ac:dyDescent="0.3">
      <c r="A204" s="16">
        <v>121</v>
      </c>
      <c r="B204" s="15">
        <v>-0.17762615384615371</v>
      </c>
      <c r="C204" s="15">
        <v>-5.1468205128204998E-2</v>
      </c>
      <c r="D204" s="22">
        <v>1.6666666666666601E-2</v>
      </c>
      <c r="E204" s="15">
        <v>-0.11536692307692289</v>
      </c>
      <c r="F204" s="15">
        <v>-0.17762615384615371</v>
      </c>
      <c r="G204" s="15">
        <v>-5.1468205128204998E-2</v>
      </c>
      <c r="H204" s="16">
        <v>1</v>
      </c>
      <c r="I204" s="15">
        <v>-0.1141638461538462</v>
      </c>
      <c r="J204" s="15">
        <v>-0.1181092307692307</v>
      </c>
      <c r="K204" s="15">
        <v>-0.1062907692307694</v>
      </c>
      <c r="L204" s="15">
        <v>-0.1113684615384615</v>
      </c>
      <c r="M204" s="19">
        <v>0</v>
      </c>
      <c r="N204" s="16">
        <v>0</v>
      </c>
      <c r="O204" s="15">
        <v>-0.20770504273504251</v>
      </c>
      <c r="P204" s="16">
        <v>1</v>
      </c>
      <c r="Q204" s="16">
        <v>0</v>
      </c>
      <c r="R204" s="19">
        <v>0</v>
      </c>
      <c r="S204" s="20" t="s">
        <v>33</v>
      </c>
    </row>
    <row r="205" spans="1:19" ht="15" customHeight="1" x14ac:dyDescent="0.3">
      <c r="A205" s="16">
        <v>122</v>
      </c>
      <c r="B205" s="15">
        <v>-0.1558383333333333</v>
      </c>
      <c r="C205" s="15">
        <v>-4.35653333333334E-2</v>
      </c>
      <c r="D205" s="22">
        <v>1.6666666666666601E-2</v>
      </c>
      <c r="E205" s="15">
        <v>-0.1157694999999999</v>
      </c>
      <c r="F205" s="15">
        <v>-0.1558383333333333</v>
      </c>
      <c r="G205" s="15">
        <v>-4.35653333333334E-2</v>
      </c>
      <c r="H205" s="16">
        <v>1</v>
      </c>
      <c r="I205" s="15">
        <v>-0.1131895</v>
      </c>
      <c r="J205" s="15">
        <v>-0.11015800000000001</v>
      </c>
      <c r="K205" s="15">
        <v>-0.1225205</v>
      </c>
      <c r="L205" s="15">
        <v>-9.7817000000000001E-2</v>
      </c>
      <c r="M205" s="19">
        <v>0</v>
      </c>
      <c r="N205" s="16">
        <v>0</v>
      </c>
      <c r="O205" s="15">
        <v>-0.1251564</v>
      </c>
      <c r="P205" s="16">
        <v>0</v>
      </c>
      <c r="Q205" s="16">
        <v>0</v>
      </c>
      <c r="R205" s="19">
        <v>0</v>
      </c>
      <c r="S205" s="20" t="s">
        <v>33</v>
      </c>
    </row>
    <row r="206" spans="1:19" ht="15" customHeight="1" x14ac:dyDescent="0.3">
      <c r="A206" s="16">
        <v>123</v>
      </c>
      <c r="B206" s="15">
        <v>-3.3633580246913597E-2</v>
      </c>
      <c r="C206" s="15">
        <v>5.7267901234567702E-2</v>
      </c>
      <c r="D206" s="22">
        <v>0.65</v>
      </c>
      <c r="E206" s="15">
        <v>2.48262962962961E-2</v>
      </c>
      <c r="F206" s="15">
        <v>-3.3633580246913597E-2</v>
      </c>
      <c r="G206" s="15">
        <v>5.7267901234567702E-2</v>
      </c>
      <c r="H206" s="16">
        <v>1</v>
      </c>
      <c r="I206" s="15">
        <v>2.27374074074073E-2</v>
      </c>
      <c r="J206" s="15">
        <v>2.0282962962962801E-2</v>
      </c>
      <c r="K206" s="15">
        <v>3.0292222222222099E-2</v>
      </c>
      <c r="L206" s="15">
        <v>1.0291111111110999E-2</v>
      </c>
      <c r="M206" s="19">
        <v>0</v>
      </c>
      <c r="N206" s="16">
        <v>0</v>
      </c>
      <c r="O206" s="15">
        <v>-6.3014576131687206E-2</v>
      </c>
      <c r="P206" s="16">
        <v>0</v>
      </c>
      <c r="Q206" s="16">
        <v>0</v>
      </c>
      <c r="R206" s="19">
        <v>0</v>
      </c>
      <c r="S206" s="20" t="s">
        <v>33</v>
      </c>
    </row>
    <row r="207" spans="1:19" ht="15" customHeight="1" x14ac:dyDescent="0.3">
      <c r="A207" s="16">
        <v>124</v>
      </c>
      <c r="B207" s="15">
        <v>-0.71533666666666651</v>
      </c>
      <c r="C207" s="15">
        <v>-0.41940899999999992</v>
      </c>
      <c r="D207" s="22">
        <v>0</v>
      </c>
      <c r="E207" s="15">
        <v>-0.58332150000000005</v>
      </c>
      <c r="F207" s="15">
        <v>-0.71533666666666651</v>
      </c>
      <c r="G207" s="15">
        <v>-0.41940899999999992</v>
      </c>
      <c r="H207" s="16">
        <v>1</v>
      </c>
      <c r="I207" s="15">
        <v>-0.58329799999999998</v>
      </c>
      <c r="J207" s="15">
        <v>-0.58350950000000001</v>
      </c>
      <c r="K207" s="15">
        <v>-0.62254300000000007</v>
      </c>
      <c r="L207" s="15">
        <v>-0.54823599999999995</v>
      </c>
      <c r="M207" s="19">
        <v>0</v>
      </c>
      <c r="N207" s="16">
        <v>0</v>
      </c>
      <c r="O207" s="15">
        <v>-0.69490367777777773</v>
      </c>
      <c r="P207" s="16">
        <v>0</v>
      </c>
      <c r="Q207" s="16">
        <v>0</v>
      </c>
      <c r="R207" s="19">
        <v>0</v>
      </c>
      <c r="S207" s="20" t="s">
        <v>969</v>
      </c>
    </row>
    <row r="208" spans="1:19" ht="15" customHeight="1" x14ac:dyDescent="0.3">
      <c r="A208" s="16">
        <v>125</v>
      </c>
      <c r="B208" s="15">
        <v>0.2387077419354838</v>
      </c>
      <c r="C208" s="15">
        <v>0.44587741935483871</v>
      </c>
      <c r="D208" s="22">
        <v>1</v>
      </c>
      <c r="E208" s="15">
        <v>0.35345774193548379</v>
      </c>
      <c r="F208" s="15">
        <v>0.2387077419354838</v>
      </c>
      <c r="G208" s="15">
        <v>0.44587741935483871</v>
      </c>
      <c r="H208" s="16">
        <v>1</v>
      </c>
      <c r="I208" s="15">
        <v>0.35344129032258048</v>
      </c>
      <c r="J208" s="15">
        <v>0.35358935483870968</v>
      </c>
      <c r="K208" s="15">
        <v>0.38091548387096757</v>
      </c>
      <c r="L208" s="15">
        <v>0.32889548387096768</v>
      </c>
      <c r="M208" s="19">
        <v>0</v>
      </c>
      <c r="N208" s="16">
        <v>0</v>
      </c>
      <c r="O208" s="15">
        <v>0.21831066666666649</v>
      </c>
      <c r="P208" s="16">
        <v>1</v>
      </c>
      <c r="Q208" s="16">
        <v>0</v>
      </c>
      <c r="R208" s="19">
        <v>0</v>
      </c>
      <c r="S208" s="20" t="s">
        <v>969</v>
      </c>
    </row>
    <row r="209" spans="1:19" ht="15" customHeight="1" x14ac:dyDescent="0.3">
      <c r="A209" s="16">
        <v>126</v>
      </c>
      <c r="B209" s="15">
        <v>-0.55076000000000003</v>
      </c>
      <c r="C209" s="15">
        <v>-0.41248000000000001</v>
      </c>
      <c r="D209" s="22">
        <v>0</v>
      </c>
      <c r="E209" s="15">
        <v>-0.47873999999999989</v>
      </c>
      <c r="F209" s="15">
        <v>-0.55076000000000003</v>
      </c>
      <c r="G209" s="15">
        <v>-0.41248000000000001</v>
      </c>
      <c r="H209" s="16">
        <v>1</v>
      </c>
      <c r="I209" s="15">
        <v>-0.47809999999999991</v>
      </c>
      <c r="J209" s="15">
        <v>-0.47443999999999997</v>
      </c>
      <c r="K209" s="15">
        <v>-0.50381999999999993</v>
      </c>
      <c r="L209" s="15">
        <v>-0.44966</v>
      </c>
      <c r="M209" s="19">
        <v>0</v>
      </c>
      <c r="N209" s="16">
        <v>0</v>
      </c>
      <c r="O209" s="15">
        <v>-0.52514400000000006</v>
      </c>
      <c r="P209" s="16">
        <v>0</v>
      </c>
      <c r="Q209" s="16">
        <v>0</v>
      </c>
      <c r="R209" s="19">
        <v>0</v>
      </c>
      <c r="S209" s="20" t="s">
        <v>33</v>
      </c>
    </row>
    <row r="210" spans="1:19" ht="15" customHeight="1" x14ac:dyDescent="0.3">
      <c r="A210" s="16">
        <v>127</v>
      </c>
      <c r="B210" s="15">
        <v>0.29477333333333339</v>
      </c>
      <c r="C210" s="15">
        <v>0.42153000000000002</v>
      </c>
      <c r="D210" s="22">
        <v>1</v>
      </c>
      <c r="E210" s="15">
        <v>0.35551166666666661</v>
      </c>
      <c r="F210" s="15">
        <v>0.29477333333333339</v>
      </c>
      <c r="G210" s="15">
        <v>0.42153000000000002</v>
      </c>
      <c r="H210" s="16">
        <v>1</v>
      </c>
      <c r="I210" s="15">
        <v>0.3549250000000001</v>
      </c>
      <c r="J210" s="15">
        <v>0.3515700000000001</v>
      </c>
      <c r="K210" s="15">
        <v>0.37850166666666668</v>
      </c>
      <c r="L210" s="15">
        <v>0.32885500000000029</v>
      </c>
      <c r="M210" s="19">
        <v>0</v>
      </c>
      <c r="N210" s="16">
        <v>0</v>
      </c>
      <c r="O210" s="15">
        <v>0.27041199999999999</v>
      </c>
      <c r="P210" s="16">
        <v>1</v>
      </c>
      <c r="Q210" s="16">
        <v>0</v>
      </c>
      <c r="R210" s="19">
        <v>0</v>
      </c>
      <c r="S210" s="20" t="s">
        <v>33</v>
      </c>
    </row>
    <row r="211" spans="1:19" ht="15" customHeight="1" x14ac:dyDescent="0.3">
      <c r="A211" s="16">
        <v>128</v>
      </c>
      <c r="B211" s="15">
        <v>-0.47977600000000009</v>
      </c>
      <c r="C211" s="15">
        <v>-9.7275999999999904E-2</v>
      </c>
      <c r="D211" s="22">
        <v>1.6666666666666601E-2</v>
      </c>
      <c r="E211" s="15">
        <v>-0.2807019999999999</v>
      </c>
      <c r="F211" s="15">
        <v>-0.47977600000000009</v>
      </c>
      <c r="G211" s="15">
        <v>-9.7275999999999904E-2</v>
      </c>
      <c r="H211" s="16">
        <v>1</v>
      </c>
      <c r="I211" s="15">
        <v>-0.28068399999999988</v>
      </c>
      <c r="J211" s="15">
        <v>-0.28239399999999998</v>
      </c>
      <c r="K211" s="15">
        <v>-0.299008</v>
      </c>
      <c r="L211" s="15">
        <v>-0.27002799999999982</v>
      </c>
      <c r="M211" s="19">
        <v>0</v>
      </c>
      <c r="N211" s="16">
        <v>0</v>
      </c>
      <c r="O211" s="15">
        <v>-0.45140040000000009</v>
      </c>
      <c r="P211" s="16">
        <v>0</v>
      </c>
      <c r="Q211" s="16">
        <v>1</v>
      </c>
      <c r="R211" s="19">
        <v>0</v>
      </c>
      <c r="S211" s="20" t="s">
        <v>970</v>
      </c>
    </row>
    <row r="212" spans="1:19" ht="15" customHeight="1" x14ac:dyDescent="0.3">
      <c r="A212" s="16">
        <v>129</v>
      </c>
      <c r="B212" s="15">
        <v>2.1897666666666499E-2</v>
      </c>
      <c r="C212" s="15">
        <v>0.45752266666666658</v>
      </c>
      <c r="D212" s="22">
        <v>0.91666666666666663</v>
      </c>
      <c r="E212" s="15">
        <v>0.2307994999999998</v>
      </c>
      <c r="F212" s="15">
        <v>2.1897666666666499E-2</v>
      </c>
      <c r="G212" s="15">
        <v>0.45752266666666658</v>
      </c>
      <c r="H212" s="16">
        <v>1</v>
      </c>
      <c r="I212" s="15">
        <v>0.2307789999999996</v>
      </c>
      <c r="J212" s="15">
        <v>0.2327265</v>
      </c>
      <c r="K212" s="15">
        <v>0.25164799999999982</v>
      </c>
      <c r="L212" s="15">
        <v>0.21864299999999989</v>
      </c>
      <c r="M212" s="19">
        <v>0</v>
      </c>
      <c r="N212" s="16">
        <v>0</v>
      </c>
      <c r="O212" s="15">
        <v>-1.4994133333333401E-2</v>
      </c>
      <c r="P212" s="16">
        <v>1</v>
      </c>
      <c r="Q212" s="16">
        <v>0</v>
      </c>
      <c r="R212" s="19">
        <v>0</v>
      </c>
      <c r="S212" s="20" t="s">
        <v>970</v>
      </c>
    </row>
    <row r="213" spans="1:19" ht="15" customHeight="1" x14ac:dyDescent="0.3">
      <c r="A213" s="16">
        <v>130</v>
      </c>
      <c r="B213" s="15">
        <v>-0.60557135802469131</v>
      </c>
      <c r="C213" s="15">
        <v>-0.42382641975308638</v>
      </c>
      <c r="D213" s="22">
        <v>0</v>
      </c>
      <c r="E213" s="15">
        <v>-0.52244518518518512</v>
      </c>
      <c r="F213" s="15">
        <v>-0.60557135802469131</v>
      </c>
      <c r="G213" s="15">
        <v>-0.42382641975308638</v>
      </c>
      <c r="H213" s="16">
        <v>1</v>
      </c>
      <c r="I213" s="15">
        <v>-0.52260185185185182</v>
      </c>
      <c r="J213" s="15">
        <v>-0.52127888888888896</v>
      </c>
      <c r="K213" s="15">
        <v>-0.54794703703703695</v>
      </c>
      <c r="L213" s="15">
        <v>-0.50068592592592576</v>
      </c>
      <c r="M213" s="19">
        <v>0</v>
      </c>
      <c r="N213" s="16">
        <v>0</v>
      </c>
      <c r="O213" s="15">
        <v>-0.58247869135802466</v>
      </c>
      <c r="P213" s="16">
        <v>0</v>
      </c>
      <c r="Q213" s="16">
        <v>0</v>
      </c>
      <c r="R213" s="19">
        <v>0</v>
      </c>
      <c r="S213" s="20" t="s">
        <v>33</v>
      </c>
    </row>
    <row r="214" spans="1:19" ht="15" customHeight="1" x14ac:dyDescent="0.3">
      <c r="A214" s="16">
        <v>131</v>
      </c>
      <c r="B214" s="15">
        <v>0.43836433333333341</v>
      </c>
      <c r="C214" s="15">
        <v>0.66283866666666658</v>
      </c>
      <c r="D214" s="22">
        <v>1</v>
      </c>
      <c r="E214" s="15">
        <v>0.56016899999999992</v>
      </c>
      <c r="F214" s="15">
        <v>0.43836433333333341</v>
      </c>
      <c r="G214" s="15">
        <v>0.66283866666666658</v>
      </c>
      <c r="H214" s="16">
        <v>1</v>
      </c>
      <c r="I214" s="15">
        <v>0.56036249999999965</v>
      </c>
      <c r="J214" s="15">
        <v>0.55872849999999996</v>
      </c>
      <c r="K214" s="15">
        <v>0.5916665000000001</v>
      </c>
      <c r="L214" s="15">
        <v>0.53329399999999971</v>
      </c>
      <c r="M214" s="19">
        <v>0</v>
      </c>
      <c r="N214" s="16">
        <v>0</v>
      </c>
      <c r="O214" s="15">
        <v>0.4017961777777776</v>
      </c>
      <c r="P214" s="16">
        <v>1</v>
      </c>
      <c r="Q214" s="16">
        <v>0</v>
      </c>
      <c r="R214" s="19">
        <v>0</v>
      </c>
      <c r="S214" s="20" t="s">
        <v>33</v>
      </c>
    </row>
    <row r="215" spans="1:19" ht="15" customHeight="1" x14ac:dyDescent="0.3">
      <c r="A215" s="16">
        <v>132</v>
      </c>
      <c r="B215" s="15">
        <v>-0.44373933333333337</v>
      </c>
      <c r="C215" s="15">
        <v>-0.158024</v>
      </c>
      <c r="D215" s="22">
        <v>0</v>
      </c>
      <c r="E215" s="15">
        <v>-0.31052350000000001</v>
      </c>
      <c r="F215" s="15">
        <v>-0.44373933333333337</v>
      </c>
      <c r="G215" s="15">
        <v>-0.158024</v>
      </c>
      <c r="H215" s="16">
        <v>1</v>
      </c>
      <c r="I215" s="15">
        <v>-0.31117949999999989</v>
      </c>
      <c r="J215" s="15">
        <v>-0.31380350000000012</v>
      </c>
      <c r="K215" s="15">
        <v>-0.33003949999999987</v>
      </c>
      <c r="L215" s="15">
        <v>-0.28707149999999998</v>
      </c>
      <c r="M215" s="19">
        <v>0</v>
      </c>
      <c r="N215" s="16">
        <v>0</v>
      </c>
      <c r="O215" s="15">
        <v>-0.41427901111111121</v>
      </c>
      <c r="P215" s="16">
        <v>0</v>
      </c>
      <c r="Q215" s="16">
        <v>0</v>
      </c>
      <c r="R215" s="19">
        <v>0</v>
      </c>
      <c r="S215" s="20" t="s">
        <v>33</v>
      </c>
    </row>
    <row r="216" spans="1:19" ht="15" customHeight="1" x14ac:dyDescent="0.3">
      <c r="A216" s="16">
        <v>133</v>
      </c>
      <c r="B216" s="15">
        <v>6.07039999999998E-2</v>
      </c>
      <c r="C216" s="15">
        <v>0.31157599999999991</v>
      </c>
      <c r="D216" s="22">
        <v>1</v>
      </c>
      <c r="E216" s="15">
        <v>0.194606</v>
      </c>
      <c r="F216" s="15">
        <v>6.07039999999998E-2</v>
      </c>
      <c r="G216" s="15">
        <v>0.31157599999999991</v>
      </c>
      <c r="H216" s="16">
        <v>1</v>
      </c>
      <c r="I216" s="15">
        <v>0.19518199999999991</v>
      </c>
      <c r="J216" s="15">
        <v>0.19748599999999999</v>
      </c>
      <c r="K216" s="15">
        <v>0.21174199999999979</v>
      </c>
      <c r="L216" s="15">
        <v>0.17401399999999989</v>
      </c>
      <c r="M216" s="19">
        <v>9.1408861279461996E-3</v>
      </c>
      <c r="N216" s="16">
        <v>0</v>
      </c>
      <c r="O216" s="15">
        <v>3.2592400000000001E-2</v>
      </c>
      <c r="P216" s="16">
        <v>0</v>
      </c>
      <c r="Q216" s="16">
        <v>0</v>
      </c>
      <c r="R216" s="19">
        <v>0</v>
      </c>
      <c r="S216" s="20" t="s">
        <v>33</v>
      </c>
    </row>
    <row r="217" spans="1:19" ht="15" customHeight="1" x14ac:dyDescent="0.3">
      <c r="A217" s="16">
        <v>134</v>
      </c>
      <c r="B217" s="15">
        <v>0.18681444444444439</v>
      </c>
      <c r="C217" s="15">
        <v>0.33593777777777778</v>
      </c>
      <c r="D217" s="22">
        <v>1</v>
      </c>
      <c r="E217" s="15">
        <v>0.2560900000000001</v>
      </c>
      <c r="F217" s="15">
        <v>0.18681444444444439</v>
      </c>
      <c r="G217" s="15">
        <v>0.33593777777777778</v>
      </c>
      <c r="H217" s="16">
        <v>1</v>
      </c>
      <c r="I217" s="15">
        <v>0.25458666666666668</v>
      </c>
      <c r="J217" s="15">
        <v>0.2561083333333336</v>
      </c>
      <c r="K217" s="15">
        <v>0.29128999999999999</v>
      </c>
      <c r="L217" s="15">
        <v>0.2341083333333335</v>
      </c>
      <c r="M217" s="19">
        <v>0</v>
      </c>
      <c r="N217" s="16">
        <v>1</v>
      </c>
      <c r="O217" s="15">
        <v>0.21429407407407411</v>
      </c>
      <c r="P217" s="16">
        <v>1</v>
      </c>
      <c r="Q217" s="16">
        <v>0</v>
      </c>
      <c r="R217" s="19">
        <v>0</v>
      </c>
      <c r="S217" s="20" t="s">
        <v>33</v>
      </c>
    </row>
    <row r="218" spans="1:19" ht="15" customHeight="1" x14ac:dyDescent="0.3">
      <c r="A218" s="16">
        <v>135</v>
      </c>
      <c r="B218" s="15">
        <v>-0.4573866666666665</v>
      </c>
      <c r="C218" s="15">
        <v>-0.29470666666666662</v>
      </c>
      <c r="D218" s="22">
        <v>0</v>
      </c>
      <c r="E218" s="15">
        <v>-0.37028000000000011</v>
      </c>
      <c r="F218" s="15">
        <v>-0.4573866666666665</v>
      </c>
      <c r="G218" s="15">
        <v>-0.29470666666666662</v>
      </c>
      <c r="H218" s="16">
        <v>0</v>
      </c>
      <c r="I218" s="15">
        <v>-0.36864000000000008</v>
      </c>
      <c r="J218" s="15">
        <v>-0.37030000000000007</v>
      </c>
      <c r="K218" s="15">
        <v>-0.40867999999999988</v>
      </c>
      <c r="L218" s="15">
        <v>-0.3463</v>
      </c>
      <c r="M218" s="19">
        <v>0</v>
      </c>
      <c r="N218" s="16">
        <v>1</v>
      </c>
      <c r="O218" s="15">
        <v>-0.48397244444444432</v>
      </c>
      <c r="P218" s="16">
        <v>0</v>
      </c>
      <c r="Q218" s="16">
        <v>0</v>
      </c>
      <c r="R218" s="19">
        <v>0</v>
      </c>
      <c r="S218" s="20" t="s">
        <v>33</v>
      </c>
    </row>
    <row r="219" spans="1:19" ht="15" customHeight="1" x14ac:dyDescent="0.3">
      <c r="A219" s="16">
        <v>136</v>
      </c>
      <c r="B219" s="15">
        <v>-0.1699123076923077</v>
      </c>
      <c r="C219" s="15">
        <v>2.8725128205128101E-2</v>
      </c>
      <c r="D219" s="22">
        <v>0.21666666666666659</v>
      </c>
      <c r="E219" s="15">
        <v>-7.60192307692307E-2</v>
      </c>
      <c r="F219" s="15">
        <v>-0.1699123076923077</v>
      </c>
      <c r="G219" s="15">
        <v>2.8725128205128101E-2</v>
      </c>
      <c r="H219" s="16">
        <v>1</v>
      </c>
      <c r="I219" s="15">
        <v>-7.6319999999999805E-2</v>
      </c>
      <c r="J219" s="15">
        <v>-7.2321538461538395E-2</v>
      </c>
      <c r="K219" s="15">
        <v>-7.0233846153846202E-2</v>
      </c>
      <c r="L219" s="15">
        <v>-7.5099230769230793E-2</v>
      </c>
      <c r="M219" s="19">
        <v>0</v>
      </c>
      <c r="N219" s="16">
        <v>0</v>
      </c>
      <c r="O219" s="15">
        <v>-0.1428780683760684</v>
      </c>
      <c r="P219" s="16">
        <v>0</v>
      </c>
      <c r="Q219" s="16">
        <v>0</v>
      </c>
      <c r="R219" s="19">
        <v>0</v>
      </c>
      <c r="S219" s="20" t="s">
        <v>33</v>
      </c>
    </row>
    <row r="220" spans="1:19" ht="15" customHeight="1" x14ac:dyDescent="0.3">
      <c r="A220" s="16">
        <v>137</v>
      </c>
      <c r="B220" s="15">
        <v>-0.1210519999999999</v>
      </c>
      <c r="C220" s="15">
        <v>0.1147220000000001</v>
      </c>
      <c r="D220" s="22">
        <v>0.58333333333333337</v>
      </c>
      <c r="E220" s="15">
        <v>3.2750000000000999E-3</v>
      </c>
      <c r="F220" s="15">
        <v>-0.1210519999999999</v>
      </c>
      <c r="G220" s="15">
        <v>0.1147220000000001</v>
      </c>
      <c r="H220" s="16">
        <v>1</v>
      </c>
      <c r="I220" s="15">
        <v>3.6319999999997999E-3</v>
      </c>
      <c r="J220" s="15">
        <v>-1.114E-3</v>
      </c>
      <c r="K220" s="15">
        <v>-3.5919999999999E-3</v>
      </c>
      <c r="L220" s="15">
        <v>2.183E-3</v>
      </c>
      <c r="M220" s="19">
        <v>0</v>
      </c>
      <c r="N220" s="16">
        <v>0</v>
      </c>
      <c r="O220" s="15">
        <v>-0.1543570666666666</v>
      </c>
      <c r="P220" s="16">
        <v>0</v>
      </c>
      <c r="Q220" s="16">
        <v>0</v>
      </c>
      <c r="R220" s="19">
        <v>0</v>
      </c>
      <c r="S220" s="20" t="s">
        <v>33</v>
      </c>
    </row>
    <row r="221" spans="1:19" ht="15" customHeight="1" x14ac:dyDescent="0.3">
      <c r="A221" s="16">
        <v>138</v>
      </c>
      <c r="B221" s="15">
        <v>-0.70565466666666665</v>
      </c>
      <c r="C221" s="15">
        <v>-0.52988933333333332</v>
      </c>
      <c r="D221" s="22">
        <v>0</v>
      </c>
      <c r="E221" s="15">
        <v>-0.60956600000000005</v>
      </c>
      <c r="F221" s="15">
        <v>-0.70565466666666665</v>
      </c>
      <c r="G221" s="15">
        <v>-0.52988933333333332</v>
      </c>
      <c r="H221" s="16">
        <v>0</v>
      </c>
      <c r="I221" s="15">
        <v>-0.60883999999999994</v>
      </c>
      <c r="J221" s="15">
        <v>-0.61464800000000008</v>
      </c>
      <c r="K221" s="15">
        <v>-0.64230199999999993</v>
      </c>
      <c r="L221" s="15">
        <v>-0.580152</v>
      </c>
      <c r="M221" s="19">
        <v>0</v>
      </c>
      <c r="N221" s="16">
        <v>1</v>
      </c>
      <c r="O221" s="15">
        <v>-0.68423497777777786</v>
      </c>
      <c r="P221" s="16">
        <v>0</v>
      </c>
      <c r="Q221" s="16">
        <v>0</v>
      </c>
      <c r="R221" s="19">
        <v>0</v>
      </c>
      <c r="S221" s="20" t="s">
        <v>33</v>
      </c>
    </row>
    <row r="222" spans="1:19" ht="15" customHeight="1" x14ac:dyDescent="0.3">
      <c r="A222" s="16">
        <v>139</v>
      </c>
      <c r="B222" s="15">
        <v>0.34796571428571438</v>
      </c>
      <c r="C222" s="15">
        <v>0.4849257142857144</v>
      </c>
      <c r="D222" s="22">
        <v>1</v>
      </c>
      <c r="E222" s="15">
        <v>0.41005142857142868</v>
      </c>
      <c r="F222" s="15">
        <v>0.34796571428571438</v>
      </c>
      <c r="G222" s="15">
        <v>0.4849257142857144</v>
      </c>
      <c r="H222" s="16">
        <v>1</v>
      </c>
      <c r="I222" s="15">
        <v>0.4094857142857144</v>
      </c>
      <c r="J222" s="15">
        <v>0.4140114285714287</v>
      </c>
      <c r="K222" s="15">
        <v>0.43556000000000011</v>
      </c>
      <c r="L222" s="15">
        <v>0.38713142857142868</v>
      </c>
      <c r="M222" s="19">
        <v>2.35551717308091E-2</v>
      </c>
      <c r="N222" s="16">
        <v>1</v>
      </c>
      <c r="O222" s="15">
        <v>0.32668495238095258</v>
      </c>
      <c r="P222" s="16">
        <v>0</v>
      </c>
      <c r="Q222" s="16">
        <v>0</v>
      </c>
      <c r="R222" s="19">
        <v>0</v>
      </c>
      <c r="S222" s="20" t="s">
        <v>33</v>
      </c>
    </row>
    <row r="223" spans="1:19" ht="15" customHeight="1" x14ac:dyDescent="0.3">
      <c r="A223" s="16">
        <v>140</v>
      </c>
      <c r="B223" s="15">
        <v>0.57707200000000036</v>
      </c>
      <c r="C223" s="15">
        <v>0.69190000000000018</v>
      </c>
      <c r="D223" s="22">
        <v>1</v>
      </c>
      <c r="E223" s="15">
        <v>0.63753799999999994</v>
      </c>
      <c r="F223" s="15">
        <v>0.57707200000000036</v>
      </c>
      <c r="G223" s="15">
        <v>0.69190000000000018</v>
      </c>
      <c r="H223" s="16">
        <v>1</v>
      </c>
      <c r="I223" s="15">
        <v>0.63797900000000007</v>
      </c>
      <c r="J223" s="15">
        <v>0.63629899999999995</v>
      </c>
      <c r="K223" s="15">
        <v>0.66878599999999988</v>
      </c>
      <c r="L223" s="15">
        <v>0.59759600000000024</v>
      </c>
      <c r="M223" s="19">
        <v>0</v>
      </c>
      <c r="N223" s="16">
        <v>1</v>
      </c>
      <c r="O223" s="15">
        <v>0.60885060000000013</v>
      </c>
      <c r="P223" s="16">
        <v>1</v>
      </c>
      <c r="Q223" s="16">
        <v>0</v>
      </c>
      <c r="R223" s="19">
        <v>0</v>
      </c>
      <c r="S223" s="20" t="s">
        <v>963</v>
      </c>
    </row>
    <row r="224" spans="1:19" ht="15" customHeight="1" x14ac:dyDescent="0.3">
      <c r="A224" s="16">
        <v>141</v>
      </c>
      <c r="B224" s="15">
        <v>-0.65617948717948726</v>
      </c>
      <c r="C224" s="15">
        <v>-0.55943794871794894</v>
      </c>
      <c r="D224" s="22">
        <v>0</v>
      </c>
      <c r="E224" s="15">
        <v>-0.61037999999999992</v>
      </c>
      <c r="F224" s="15">
        <v>-0.65617948717948726</v>
      </c>
      <c r="G224" s="15">
        <v>-0.55943794871794894</v>
      </c>
      <c r="H224" s="16">
        <v>0</v>
      </c>
      <c r="I224" s="15">
        <v>-0.6107515384615384</v>
      </c>
      <c r="J224" s="15">
        <v>-0.60933615384615369</v>
      </c>
      <c r="K224" s="15">
        <v>-0.6367061538461537</v>
      </c>
      <c r="L224" s="15">
        <v>-0.57672923076923099</v>
      </c>
      <c r="M224" s="19">
        <v>0</v>
      </c>
      <c r="N224" s="16">
        <v>1</v>
      </c>
      <c r="O224" s="15">
        <v>-0.67597403418803448</v>
      </c>
      <c r="P224" s="16">
        <v>0</v>
      </c>
      <c r="Q224" s="16">
        <v>0</v>
      </c>
      <c r="R224" s="19">
        <v>0</v>
      </c>
      <c r="S224" s="20" t="s">
        <v>963</v>
      </c>
    </row>
    <row r="225" spans="1:19" ht="15" customHeight="1" x14ac:dyDescent="0.3">
      <c r="A225" s="16">
        <v>142</v>
      </c>
      <c r="B225" s="15">
        <v>-7.6149999999999801E-2</v>
      </c>
      <c r="C225" s="15">
        <v>0.1808833333333334</v>
      </c>
      <c r="D225" s="22">
        <v>0.6166666666666667</v>
      </c>
      <c r="E225" s="15">
        <v>4.7425000000000002E-2</v>
      </c>
      <c r="F225" s="15">
        <v>-7.6149999999999801E-2</v>
      </c>
      <c r="G225" s="15">
        <v>0.1808833333333334</v>
      </c>
      <c r="H225" s="16">
        <v>1</v>
      </c>
      <c r="I225" s="15">
        <v>5.00499999999999E-2</v>
      </c>
      <c r="J225" s="15">
        <v>4.4350000000000098E-2</v>
      </c>
      <c r="K225" s="15">
        <v>3.9974999999999802E-2</v>
      </c>
      <c r="L225" s="15">
        <v>5.9924999999999701E-2</v>
      </c>
      <c r="M225" s="19">
        <v>0</v>
      </c>
      <c r="N225" s="16">
        <v>0</v>
      </c>
      <c r="O225" s="15">
        <v>-3.7625555555555398E-2</v>
      </c>
      <c r="P225" s="16">
        <v>0</v>
      </c>
      <c r="Q225" s="16">
        <v>0</v>
      </c>
      <c r="R225" s="19">
        <v>0</v>
      </c>
      <c r="S225" s="20" t="s">
        <v>33</v>
      </c>
    </row>
    <row r="226" spans="1:19" ht="15" customHeight="1" x14ac:dyDescent="0.3">
      <c r="A226" s="16">
        <v>143</v>
      </c>
      <c r="B226" s="15">
        <v>-0.16197294117647029</v>
      </c>
      <c r="C226" s="15">
        <v>1.3188235294117E-3</v>
      </c>
      <c r="D226" s="22">
        <v>0.1166666666666666</v>
      </c>
      <c r="E226" s="15">
        <v>-7.71876470588235E-2</v>
      </c>
      <c r="F226" s="15">
        <v>-0.16197294117647029</v>
      </c>
      <c r="G226" s="15">
        <v>1.3188235294117E-3</v>
      </c>
      <c r="H226" s="16">
        <v>1</v>
      </c>
      <c r="I226" s="15">
        <v>-7.8855294117646996E-2</v>
      </c>
      <c r="J226" s="15">
        <v>-7.5234117647058701E-2</v>
      </c>
      <c r="K226" s="15">
        <v>-7.2454705882352796E-2</v>
      </c>
      <c r="L226" s="15">
        <v>-8.5128823529411604E-2</v>
      </c>
      <c r="M226" s="19">
        <v>0</v>
      </c>
      <c r="N226" s="16">
        <v>0</v>
      </c>
      <c r="O226" s="15">
        <v>-0.18728588235294111</v>
      </c>
      <c r="P226" s="16">
        <v>0</v>
      </c>
      <c r="Q226" s="16">
        <v>0</v>
      </c>
      <c r="R226" s="19">
        <v>0</v>
      </c>
      <c r="S226" s="20" t="s">
        <v>33</v>
      </c>
    </row>
    <row r="227" spans="1:19" ht="15" customHeight="1" x14ac:dyDescent="0.3">
      <c r="A227" s="16">
        <v>144</v>
      </c>
      <c r="B227" s="15">
        <v>-8.9755555555555699E-2</v>
      </c>
      <c r="C227" s="15">
        <v>0.2461555555555556</v>
      </c>
      <c r="D227" s="22">
        <v>0.65</v>
      </c>
      <c r="E227" s="15">
        <v>8.7883333333333299E-2</v>
      </c>
      <c r="F227" s="15">
        <v>-8.9755555555555699E-2</v>
      </c>
      <c r="G227" s="15">
        <v>0.2461555555555556</v>
      </c>
      <c r="H227" s="16">
        <v>1</v>
      </c>
      <c r="I227" s="15">
        <v>8.7533333333333199E-2</v>
      </c>
      <c r="J227" s="15">
        <v>9.0066666666666503E-2</v>
      </c>
      <c r="K227" s="15">
        <v>0.1046</v>
      </c>
      <c r="L227" s="15">
        <v>6.5399999999999903E-2</v>
      </c>
      <c r="M227" s="19">
        <v>0</v>
      </c>
      <c r="N227" s="16">
        <v>1</v>
      </c>
      <c r="O227" s="15">
        <v>-6.0727777777777998E-2</v>
      </c>
      <c r="P227" s="16">
        <v>0</v>
      </c>
      <c r="Q227" s="16">
        <v>1</v>
      </c>
      <c r="R227" s="19">
        <v>0</v>
      </c>
      <c r="S227" s="20" t="s">
        <v>964</v>
      </c>
    </row>
    <row r="228" spans="1:19" ht="15" customHeight="1" x14ac:dyDescent="0.3">
      <c r="A228" s="16">
        <v>145</v>
      </c>
      <c r="B228" s="15">
        <v>-0.41969466666666672</v>
      </c>
      <c r="C228" s="15">
        <v>4.3862666666666703E-2</v>
      </c>
      <c r="D228" s="22">
        <v>0.15</v>
      </c>
      <c r="E228" s="15">
        <v>-0.2012790000000001</v>
      </c>
      <c r="F228" s="15">
        <v>-0.41969466666666672</v>
      </c>
      <c r="G228" s="15">
        <v>4.3862666666666703E-2</v>
      </c>
      <c r="H228" s="16">
        <v>0</v>
      </c>
      <c r="I228" s="15">
        <v>-0.200796</v>
      </c>
      <c r="J228" s="15">
        <v>-0.20429199999999989</v>
      </c>
      <c r="K228" s="15">
        <v>-0.2243480000000001</v>
      </c>
      <c r="L228" s="15">
        <v>-0.1702520000000001</v>
      </c>
      <c r="M228" s="19">
        <v>0</v>
      </c>
      <c r="N228" s="16">
        <v>1</v>
      </c>
      <c r="O228" s="15">
        <v>-0.45040733333333349</v>
      </c>
      <c r="P228" s="16">
        <v>0</v>
      </c>
      <c r="Q228" s="16">
        <v>1</v>
      </c>
      <c r="R228" s="19">
        <v>0</v>
      </c>
      <c r="S228" s="20" t="s">
        <v>964</v>
      </c>
    </row>
    <row r="229" spans="1:19" ht="15" customHeight="1" x14ac:dyDescent="0.3">
      <c r="A229" s="16">
        <v>146</v>
      </c>
      <c r="B229" s="15">
        <v>-0.72575999999999996</v>
      </c>
      <c r="C229" s="15">
        <v>-0.58640000000000003</v>
      </c>
      <c r="D229" s="22">
        <v>0</v>
      </c>
      <c r="E229" s="15">
        <v>-0.66555999999999993</v>
      </c>
      <c r="F229" s="15">
        <v>-0.72575999999999996</v>
      </c>
      <c r="G229" s="15">
        <v>-0.58640000000000003</v>
      </c>
      <c r="H229" s="16">
        <v>1</v>
      </c>
      <c r="I229" s="15">
        <v>-0.66633999999999993</v>
      </c>
      <c r="J229" s="15">
        <v>-0.66517999999999999</v>
      </c>
      <c r="K229" s="15">
        <v>-0.69894000000000001</v>
      </c>
      <c r="L229" s="15">
        <v>-0.63800000000000001</v>
      </c>
      <c r="M229" s="19">
        <v>0</v>
      </c>
      <c r="N229" s="16">
        <v>0</v>
      </c>
      <c r="O229" s="15">
        <v>-0.70466133333333336</v>
      </c>
      <c r="P229" s="16">
        <v>0</v>
      </c>
      <c r="Q229" s="16">
        <v>0</v>
      </c>
      <c r="R229" s="19">
        <v>0</v>
      </c>
      <c r="S229" s="20" t="s">
        <v>966</v>
      </c>
    </row>
    <row r="230" spans="1:19" ht="15" customHeight="1" x14ac:dyDescent="0.3">
      <c r="A230" s="16">
        <v>147</v>
      </c>
      <c r="B230" s="15">
        <v>0.45419999999999999</v>
      </c>
      <c r="C230" s="15">
        <v>0.58194666666666683</v>
      </c>
      <c r="D230" s="22">
        <v>1</v>
      </c>
      <c r="E230" s="15">
        <v>0.52676333333333347</v>
      </c>
      <c r="F230" s="15">
        <v>0.45419999999999999</v>
      </c>
      <c r="G230" s="15">
        <v>0.58194666666666683</v>
      </c>
      <c r="H230" s="16">
        <v>1</v>
      </c>
      <c r="I230" s="15">
        <v>0.52747833333333349</v>
      </c>
      <c r="J230" s="15">
        <v>0.52641500000000008</v>
      </c>
      <c r="K230" s="15">
        <v>0.55736166666666676</v>
      </c>
      <c r="L230" s="15">
        <v>0.50150000000000006</v>
      </c>
      <c r="M230" s="19">
        <v>1.9350412969654798E-2</v>
      </c>
      <c r="N230" s="16">
        <v>0</v>
      </c>
      <c r="O230" s="15">
        <v>0.43325803703703719</v>
      </c>
      <c r="P230" s="16">
        <v>0</v>
      </c>
      <c r="Q230" s="16">
        <v>0</v>
      </c>
      <c r="R230" s="19">
        <v>0</v>
      </c>
      <c r="S230" s="20" t="s">
        <v>966</v>
      </c>
    </row>
    <row r="231" spans="1:19" ht="15" customHeight="1" x14ac:dyDescent="0.3">
      <c r="A231" s="16">
        <v>148</v>
      </c>
      <c r="B231" s="15">
        <v>-0.37665444444444429</v>
      </c>
      <c r="C231" s="15">
        <v>-0.26105666666666638</v>
      </c>
      <c r="D231" s="22">
        <v>0</v>
      </c>
      <c r="E231" s="15">
        <v>-0.3104099999999998</v>
      </c>
      <c r="F231" s="15">
        <v>-0.37665444444444429</v>
      </c>
      <c r="G231" s="15">
        <v>-0.26105666666666638</v>
      </c>
      <c r="H231" s="16">
        <v>1</v>
      </c>
      <c r="I231" s="15">
        <v>-0.31152833333333318</v>
      </c>
      <c r="J231" s="15">
        <v>-0.30921833333333337</v>
      </c>
      <c r="K231" s="15">
        <v>-0.32685500000000001</v>
      </c>
      <c r="L231" s="15">
        <v>-0.29887833333333319</v>
      </c>
      <c r="M231" s="19">
        <v>0</v>
      </c>
      <c r="N231" s="16">
        <v>0</v>
      </c>
      <c r="O231" s="15">
        <v>-0.34883788888888878</v>
      </c>
      <c r="P231" s="16">
        <v>0</v>
      </c>
      <c r="Q231" s="16">
        <v>1</v>
      </c>
      <c r="R231" s="19">
        <v>0</v>
      </c>
      <c r="S231" s="20" t="s">
        <v>967</v>
      </c>
    </row>
    <row r="232" spans="1:19" ht="15" customHeight="1" x14ac:dyDescent="0.3">
      <c r="A232" s="16">
        <v>149</v>
      </c>
      <c r="B232" s="15">
        <v>0.1938799999999998</v>
      </c>
      <c r="C232" s="15">
        <v>0.31998666666666647</v>
      </c>
      <c r="D232" s="22">
        <v>1</v>
      </c>
      <c r="E232" s="15">
        <v>0.24771999999999991</v>
      </c>
      <c r="F232" s="15">
        <v>0.1938799999999998</v>
      </c>
      <c r="G232" s="15">
        <v>0.31998666666666647</v>
      </c>
      <c r="H232" s="16">
        <v>1</v>
      </c>
      <c r="I232" s="15">
        <v>0.24893999999999991</v>
      </c>
      <c r="J232" s="15">
        <v>0.24642</v>
      </c>
      <c r="K232" s="15">
        <v>0.26566000000000001</v>
      </c>
      <c r="L232" s="15">
        <v>0.2351399999999999</v>
      </c>
      <c r="M232" s="19">
        <v>8.6856439771728997E-3</v>
      </c>
      <c r="N232" s="16">
        <v>0</v>
      </c>
      <c r="O232" s="15">
        <v>0.16092222222222199</v>
      </c>
      <c r="P232" s="16">
        <v>0</v>
      </c>
      <c r="Q232" s="16">
        <v>1</v>
      </c>
      <c r="R232" s="19">
        <v>0</v>
      </c>
      <c r="S232" s="20" t="s">
        <v>967</v>
      </c>
    </row>
    <row r="233" spans="1:19" ht="15" customHeight="1" x14ac:dyDescent="0.3">
      <c r="A233" s="16">
        <v>150</v>
      </c>
      <c r="B233" s="15">
        <v>0.1157919540229886</v>
      </c>
      <c r="C233" s="15">
        <v>0.27215264367816089</v>
      </c>
      <c r="D233" s="22">
        <v>1</v>
      </c>
      <c r="E233" s="15">
        <v>0.1846341379310345</v>
      </c>
      <c r="F233" s="15">
        <v>0.1157919540229886</v>
      </c>
      <c r="G233" s="15">
        <v>0.27215264367816089</v>
      </c>
      <c r="H233" s="16">
        <v>1</v>
      </c>
      <c r="I233" s="15">
        <v>0.18640827586206879</v>
      </c>
      <c r="J233" s="15">
        <v>0.1868813793103449</v>
      </c>
      <c r="K233" s="15">
        <v>0.2010237931034482</v>
      </c>
      <c r="L233" s="15">
        <v>0.17209689655172419</v>
      </c>
      <c r="M233" s="19">
        <v>2.8275630110855998E-3</v>
      </c>
      <c r="N233" s="16">
        <v>0</v>
      </c>
      <c r="O233" s="15">
        <v>0.13947791570881229</v>
      </c>
      <c r="P233" s="16">
        <v>0</v>
      </c>
      <c r="Q233" s="16">
        <v>1</v>
      </c>
      <c r="R233" s="19">
        <v>0</v>
      </c>
      <c r="S233" s="20" t="s">
        <v>971</v>
      </c>
    </row>
    <row r="234" spans="1:19" ht="15" customHeight="1" x14ac:dyDescent="0.3">
      <c r="A234" s="16">
        <v>151</v>
      </c>
      <c r="B234" s="15">
        <v>-0.44403999999999971</v>
      </c>
      <c r="C234" s="15">
        <v>-0.2358250000000002</v>
      </c>
      <c r="D234" s="22">
        <v>0</v>
      </c>
      <c r="E234" s="15">
        <v>-0.3274975</v>
      </c>
      <c r="F234" s="15">
        <v>-0.44403999999999971</v>
      </c>
      <c r="G234" s="15">
        <v>-0.2358250000000002</v>
      </c>
      <c r="H234" s="16">
        <v>1</v>
      </c>
      <c r="I234" s="15">
        <v>-0.32985999999999982</v>
      </c>
      <c r="J234" s="15">
        <v>-0.33049000000000017</v>
      </c>
      <c r="K234" s="15">
        <v>-0.34932249999999981</v>
      </c>
      <c r="L234" s="15">
        <v>-0.31080250000000009</v>
      </c>
      <c r="M234" s="19">
        <v>0</v>
      </c>
      <c r="N234" s="16">
        <v>0</v>
      </c>
      <c r="O234" s="15">
        <v>-0.4709239999999999</v>
      </c>
      <c r="P234" s="16">
        <v>0</v>
      </c>
      <c r="Q234" s="16">
        <v>1</v>
      </c>
      <c r="R234" s="19">
        <v>0</v>
      </c>
      <c r="S234" s="20" t="s">
        <v>971</v>
      </c>
    </row>
    <row r="235" spans="1:19" ht="15" customHeight="1" x14ac:dyDescent="0.3">
      <c r="A235" s="16">
        <v>152</v>
      </c>
      <c r="B235" s="15">
        <v>-0.3107644444444444</v>
      </c>
      <c r="C235" s="15">
        <v>-0.22926666666666651</v>
      </c>
      <c r="D235" s="22">
        <v>0</v>
      </c>
      <c r="E235" s="15">
        <v>-0.27310166666666658</v>
      </c>
      <c r="F235" s="15">
        <v>-0.3107644444444444</v>
      </c>
      <c r="G235" s="15">
        <v>-0.22926666666666651</v>
      </c>
      <c r="H235" s="16">
        <v>1</v>
      </c>
      <c r="I235" s="15">
        <v>-0.2751916666666665</v>
      </c>
      <c r="J235" s="15">
        <v>-0.27016833333333312</v>
      </c>
      <c r="K235" s="15">
        <v>-0.28421166666666658</v>
      </c>
      <c r="L235" s="15">
        <v>-0.26241333333333328</v>
      </c>
      <c r="M235" s="19">
        <v>0</v>
      </c>
      <c r="N235" s="16">
        <v>0</v>
      </c>
      <c r="O235" s="15">
        <v>-0.28043377777777778</v>
      </c>
      <c r="P235" s="16">
        <v>0</v>
      </c>
      <c r="Q235" s="16">
        <v>0</v>
      </c>
      <c r="R235" s="19">
        <v>0</v>
      </c>
      <c r="S235" s="20" t="s">
        <v>33</v>
      </c>
    </row>
    <row r="236" spans="1:19" ht="15" customHeight="1" x14ac:dyDescent="0.3">
      <c r="A236" s="16">
        <v>153</v>
      </c>
      <c r="B236" s="15">
        <v>0.1591999999999999</v>
      </c>
      <c r="C236" s="15">
        <v>0.24810666666666659</v>
      </c>
      <c r="D236" s="22">
        <v>1</v>
      </c>
      <c r="E236" s="15">
        <v>0.2070199999999999</v>
      </c>
      <c r="F236" s="15">
        <v>0.1591999999999999</v>
      </c>
      <c r="G236" s="15">
        <v>0.24810666666666659</v>
      </c>
      <c r="H236" s="16">
        <v>1</v>
      </c>
      <c r="I236" s="15">
        <v>0.20929999999999979</v>
      </c>
      <c r="J236" s="15">
        <v>0.20381999999999989</v>
      </c>
      <c r="K236" s="15">
        <v>0.21913999999999989</v>
      </c>
      <c r="L236" s="15">
        <v>0.19535999999999989</v>
      </c>
      <c r="M236" s="19">
        <v>0</v>
      </c>
      <c r="N236" s="16">
        <v>0</v>
      </c>
      <c r="O236" s="15">
        <v>0.13069466666666649</v>
      </c>
      <c r="P236" s="16">
        <v>0</v>
      </c>
      <c r="Q236" s="16">
        <v>0</v>
      </c>
      <c r="R236" s="19">
        <v>0</v>
      </c>
      <c r="S236" s="20" t="s">
        <v>33</v>
      </c>
    </row>
    <row r="237" spans="1:19" ht="15" customHeight="1" x14ac:dyDescent="0.3">
      <c r="A237" s="16">
        <v>154</v>
      </c>
      <c r="B237" s="15">
        <v>0.35016965517241389</v>
      </c>
      <c r="C237" s="15">
        <v>0.41790229885057462</v>
      </c>
      <c r="D237" s="22">
        <v>1</v>
      </c>
      <c r="E237" s="15">
        <v>0.37661275862068971</v>
      </c>
      <c r="F237" s="15">
        <v>0.35016965517241389</v>
      </c>
      <c r="G237" s="15">
        <v>0.41790229885057462</v>
      </c>
      <c r="H237" s="16">
        <v>1</v>
      </c>
      <c r="I237" s="15">
        <v>0.37642689655172412</v>
      </c>
      <c r="J237" s="15">
        <v>0.3752779310344827</v>
      </c>
      <c r="K237" s="15">
        <v>0.40471172413793122</v>
      </c>
      <c r="L237" s="15">
        <v>0.34601310344827602</v>
      </c>
      <c r="M237" s="19">
        <v>8.4498941276847008E-3</v>
      </c>
      <c r="N237" s="16">
        <v>1</v>
      </c>
      <c r="O237" s="15">
        <v>0.36942083524904218</v>
      </c>
      <c r="P237" s="16">
        <v>0</v>
      </c>
      <c r="Q237" s="16">
        <v>0</v>
      </c>
      <c r="R237" s="19">
        <v>0</v>
      </c>
      <c r="S237" s="20" t="s">
        <v>33</v>
      </c>
    </row>
    <row r="238" spans="1:19" ht="15" customHeight="1" x14ac:dyDescent="0.3">
      <c r="A238" s="16">
        <v>155</v>
      </c>
      <c r="B238" s="15">
        <v>-0.63812499999999994</v>
      </c>
      <c r="C238" s="15">
        <v>-0.54793000000000014</v>
      </c>
      <c r="D238" s="22">
        <v>0</v>
      </c>
      <c r="E238" s="15">
        <v>-0.58314250000000012</v>
      </c>
      <c r="F238" s="15">
        <v>-0.63812499999999994</v>
      </c>
      <c r="G238" s="15">
        <v>-0.54793000000000014</v>
      </c>
      <c r="H238" s="16">
        <v>0</v>
      </c>
      <c r="I238" s="15">
        <v>-0.58289500000000005</v>
      </c>
      <c r="J238" s="15">
        <v>-0.58136500000000002</v>
      </c>
      <c r="K238" s="15">
        <v>-0.62056000000000022</v>
      </c>
      <c r="L238" s="15">
        <v>-0.54239500000000018</v>
      </c>
      <c r="M238" s="19">
        <v>0</v>
      </c>
      <c r="N238" s="16">
        <v>1</v>
      </c>
      <c r="O238" s="15">
        <v>-0.66020199999999984</v>
      </c>
      <c r="P238" s="16">
        <v>0</v>
      </c>
      <c r="Q238" s="16">
        <v>0</v>
      </c>
      <c r="R238" s="19">
        <v>0</v>
      </c>
      <c r="S238" s="20" t="s">
        <v>33</v>
      </c>
    </row>
    <row r="239" spans="1:19" ht="15" customHeight="1" x14ac:dyDescent="0.3">
      <c r="A239" s="16">
        <v>156</v>
      </c>
      <c r="B239" s="15">
        <v>0.11749000000000009</v>
      </c>
      <c r="C239" s="15">
        <v>0.2449677777777779</v>
      </c>
      <c r="D239" s="22">
        <v>1</v>
      </c>
      <c r="E239" s="15">
        <v>0.1753133333333336</v>
      </c>
      <c r="F239" s="15">
        <v>0.11749000000000009</v>
      </c>
      <c r="G239" s="15">
        <v>0.2449677777777779</v>
      </c>
      <c r="H239" s="16">
        <v>1</v>
      </c>
      <c r="I239" s="15">
        <v>0.17575333333333359</v>
      </c>
      <c r="J239" s="15">
        <v>0.17654166666666679</v>
      </c>
      <c r="K239" s="15">
        <v>0.2043166666666667</v>
      </c>
      <c r="L239" s="15">
        <v>0.15659500000000021</v>
      </c>
      <c r="M239" s="19">
        <v>0</v>
      </c>
      <c r="N239" s="16">
        <v>1</v>
      </c>
      <c r="O239" s="15">
        <v>0.1489858518518519</v>
      </c>
      <c r="P239" s="16">
        <v>1</v>
      </c>
      <c r="Q239" s="16">
        <v>0</v>
      </c>
      <c r="R239" s="19">
        <v>0</v>
      </c>
      <c r="S239" s="20" t="s">
        <v>968</v>
      </c>
    </row>
    <row r="240" spans="1:19" ht="15" customHeight="1" x14ac:dyDescent="0.3">
      <c r="A240" s="16">
        <v>157</v>
      </c>
      <c r="B240" s="15">
        <v>-0.35814666666666661</v>
      </c>
      <c r="C240" s="15">
        <v>-0.21908</v>
      </c>
      <c r="D240" s="22">
        <v>0</v>
      </c>
      <c r="E240" s="15">
        <v>-0.28216000000000019</v>
      </c>
      <c r="F240" s="15">
        <v>-0.35814666666666661</v>
      </c>
      <c r="G240" s="15">
        <v>-0.21908</v>
      </c>
      <c r="H240" s="16">
        <v>0</v>
      </c>
      <c r="I240" s="15">
        <v>-0.28264000000000022</v>
      </c>
      <c r="J240" s="15">
        <v>-0.28350000000000009</v>
      </c>
      <c r="K240" s="15">
        <v>-0.3137999999999998</v>
      </c>
      <c r="L240" s="15">
        <v>-0.26174000000000008</v>
      </c>
      <c r="M240" s="19">
        <v>0</v>
      </c>
      <c r="N240" s="16">
        <v>1</v>
      </c>
      <c r="O240" s="15">
        <v>-0.38911511111111108</v>
      </c>
      <c r="P240" s="16">
        <v>0</v>
      </c>
      <c r="Q240" s="16">
        <v>1</v>
      </c>
      <c r="R240" s="19">
        <v>0</v>
      </c>
      <c r="S240" s="20" t="s">
        <v>968</v>
      </c>
    </row>
    <row r="241" spans="1:19" ht="15" customHeight="1" x14ac:dyDescent="0.3">
      <c r="A241" s="16">
        <v>158</v>
      </c>
      <c r="B241" s="15">
        <v>-0.53480444444444442</v>
      </c>
      <c r="C241" s="15">
        <v>-0.3717782716049382</v>
      </c>
      <c r="D241" s="22">
        <v>0</v>
      </c>
      <c r="E241" s="15">
        <v>-0.46031814814814809</v>
      </c>
      <c r="F241" s="15">
        <v>-0.53480444444444442</v>
      </c>
      <c r="G241" s="15">
        <v>-0.3717782716049382</v>
      </c>
      <c r="H241" s="16">
        <v>0</v>
      </c>
      <c r="I241" s="15">
        <v>-0.4596392592592593</v>
      </c>
      <c r="J241" s="15">
        <v>-0.46388666666666661</v>
      </c>
      <c r="K241" s="15">
        <v>-0.48373111111111111</v>
      </c>
      <c r="L241" s="15">
        <v>-0.44472111111111112</v>
      </c>
      <c r="M241" s="19">
        <v>0</v>
      </c>
      <c r="N241" s="16">
        <v>1</v>
      </c>
      <c r="O241" s="15">
        <v>-0.50864381893004118</v>
      </c>
      <c r="P241" s="16">
        <v>0</v>
      </c>
      <c r="Q241" s="16">
        <v>0</v>
      </c>
      <c r="R241" s="19">
        <v>0</v>
      </c>
      <c r="S241" s="20" t="s">
        <v>33</v>
      </c>
    </row>
    <row r="242" spans="1:19" ht="15" customHeight="1" x14ac:dyDescent="0.3">
      <c r="A242" s="16">
        <v>159</v>
      </c>
      <c r="B242" s="15">
        <v>0.3740793333333331</v>
      </c>
      <c r="C242" s="15">
        <v>0.57543399999999989</v>
      </c>
      <c r="D242" s="22">
        <v>1</v>
      </c>
      <c r="E242" s="15">
        <v>0.48343549999999991</v>
      </c>
      <c r="F242" s="15">
        <v>0.3740793333333331</v>
      </c>
      <c r="G242" s="15">
        <v>0.57543399999999989</v>
      </c>
      <c r="H242" s="16">
        <v>1</v>
      </c>
      <c r="I242" s="15">
        <v>0.48259700000000011</v>
      </c>
      <c r="J242" s="15">
        <v>0.48784300000000003</v>
      </c>
      <c r="K242" s="15">
        <v>0.51235299999999984</v>
      </c>
      <c r="L242" s="15">
        <v>0.4641714999999999</v>
      </c>
      <c r="M242" s="19">
        <v>1.73110253251572E-2</v>
      </c>
      <c r="N242" s="16">
        <v>1</v>
      </c>
      <c r="O242" s="15">
        <v>0.34360236666666649</v>
      </c>
      <c r="P242" s="16">
        <v>0</v>
      </c>
      <c r="Q242" s="16">
        <v>0</v>
      </c>
      <c r="R242" s="19">
        <v>0</v>
      </c>
      <c r="S242" s="20" t="s">
        <v>33</v>
      </c>
    </row>
    <row r="243" spans="1:19" ht="15" customHeight="1" x14ac:dyDescent="0.3">
      <c r="A243" s="16">
        <v>160</v>
      </c>
      <c r="B243" s="15">
        <v>-0.32124825396825402</v>
      </c>
      <c r="C243" s="15">
        <v>0.1239857142857142</v>
      </c>
      <c r="D243" s="22">
        <v>0.3166666666666666</v>
      </c>
      <c r="E243" s="15">
        <v>-8.4411428571428498E-2</v>
      </c>
      <c r="F243" s="15">
        <v>-0.32124825396825402</v>
      </c>
      <c r="G243" s="15">
        <v>0.1239857142857142</v>
      </c>
      <c r="H243" s="16">
        <v>0</v>
      </c>
      <c r="I243" s="15">
        <v>-8.5543809523809397E-2</v>
      </c>
      <c r="J243" s="15">
        <v>-8.3532857142857103E-2</v>
      </c>
      <c r="K243" s="15">
        <v>-8.5621904761904705E-2</v>
      </c>
      <c r="L243" s="15">
        <v>-7.3868571428571395E-2</v>
      </c>
      <c r="M243" s="19">
        <v>0</v>
      </c>
      <c r="N243" s="16">
        <v>1</v>
      </c>
      <c r="O243" s="15">
        <v>-0.2889337460317461</v>
      </c>
      <c r="P243" s="16">
        <v>0</v>
      </c>
      <c r="Q243" s="16">
        <v>0</v>
      </c>
      <c r="R243" s="19">
        <v>0</v>
      </c>
      <c r="S243" s="20" t="s">
        <v>33</v>
      </c>
    </row>
    <row r="244" spans="1:19" ht="15" customHeight="1" x14ac:dyDescent="0.3">
      <c r="A244" s="16">
        <v>161</v>
      </c>
      <c r="B244" s="15">
        <v>-0.20674347826086961</v>
      </c>
      <c r="C244" s="15">
        <v>0.21960463768115929</v>
      </c>
      <c r="D244" s="22">
        <v>0.6333333333333333</v>
      </c>
      <c r="E244" s="15">
        <v>-7.1860869565217996E-3</v>
      </c>
      <c r="F244" s="15">
        <v>-0.20674347826086961</v>
      </c>
      <c r="G244" s="15">
        <v>0.21960463768115929</v>
      </c>
      <c r="H244" s="16">
        <v>0</v>
      </c>
      <c r="I244" s="15">
        <v>-6.1017391304348002E-3</v>
      </c>
      <c r="J244" s="15">
        <v>-8.0273913043478994E-3</v>
      </c>
      <c r="K244" s="15">
        <v>-6.0269565217390998E-3</v>
      </c>
      <c r="L244" s="15">
        <v>-1.7281739130434799E-2</v>
      </c>
      <c r="M244" s="19">
        <v>0</v>
      </c>
      <c r="N244" s="16">
        <v>1</v>
      </c>
      <c r="O244" s="15">
        <v>-0.2371342995169082</v>
      </c>
      <c r="P244" s="16">
        <v>0</v>
      </c>
      <c r="Q244" s="16">
        <v>0</v>
      </c>
      <c r="R244" s="19">
        <v>0</v>
      </c>
      <c r="S244" s="20" t="s">
        <v>33</v>
      </c>
    </row>
    <row r="245" spans="1:19" ht="15" customHeight="1" x14ac:dyDescent="0.3">
      <c r="A245" s="16">
        <v>162</v>
      </c>
      <c r="B245" s="15">
        <v>0.1618533333333334</v>
      </c>
      <c r="C245" s="15">
        <v>0.34161083333333331</v>
      </c>
      <c r="D245" s="22">
        <v>1</v>
      </c>
      <c r="E245" s="15">
        <v>0.2417762499999998</v>
      </c>
      <c r="F245" s="15">
        <v>0.1618533333333334</v>
      </c>
      <c r="G245" s="15">
        <v>0.34161083333333331</v>
      </c>
      <c r="H245" s="16">
        <v>1</v>
      </c>
      <c r="I245" s="15">
        <v>0.24059</v>
      </c>
      <c r="J245" s="15">
        <v>0.24096374999999989</v>
      </c>
      <c r="K245" s="15">
        <v>0.25612499999999988</v>
      </c>
      <c r="L245" s="15">
        <v>0.22121999999999989</v>
      </c>
      <c r="M245" s="19">
        <v>7.0459787284329997E-4</v>
      </c>
      <c r="N245" s="16">
        <v>0</v>
      </c>
      <c r="O245" s="15">
        <v>0.18175813888888889</v>
      </c>
      <c r="P245" s="16">
        <v>0</v>
      </c>
      <c r="Q245" s="16">
        <v>0</v>
      </c>
      <c r="R245" s="19">
        <v>0</v>
      </c>
      <c r="S245" s="20" t="s">
        <v>33</v>
      </c>
    </row>
    <row r="246" spans="1:19" ht="15" customHeight="1" x14ac:dyDescent="0.3">
      <c r="A246" s="16">
        <v>163</v>
      </c>
      <c r="B246" s="15">
        <v>-0.58145599999999997</v>
      </c>
      <c r="C246" s="15">
        <v>-0.31596800000000008</v>
      </c>
      <c r="D246" s="22">
        <v>0</v>
      </c>
      <c r="E246" s="15">
        <v>-0.43400799999999978</v>
      </c>
      <c r="F246" s="15">
        <v>-0.58145599999999997</v>
      </c>
      <c r="G246" s="15">
        <v>-0.31596800000000008</v>
      </c>
      <c r="H246" s="16">
        <v>1</v>
      </c>
      <c r="I246" s="15">
        <v>-0.43225600000000008</v>
      </c>
      <c r="J246" s="15">
        <v>-0.43280799999999992</v>
      </c>
      <c r="K246" s="15">
        <v>-0.45519999999999999</v>
      </c>
      <c r="L246" s="15">
        <v>-0.4036479999999999</v>
      </c>
      <c r="M246" s="19">
        <v>0</v>
      </c>
      <c r="N246" s="16">
        <v>0</v>
      </c>
      <c r="O246" s="15">
        <v>-0.60757440000000007</v>
      </c>
      <c r="P246" s="16">
        <v>0</v>
      </c>
      <c r="Q246" s="16">
        <v>0</v>
      </c>
      <c r="R246" s="19">
        <v>0</v>
      </c>
      <c r="S246" s="20" t="s">
        <v>33</v>
      </c>
    </row>
    <row r="247" spans="1:19" ht="15" customHeight="1" x14ac:dyDescent="0.3">
      <c r="A247" s="16">
        <v>164</v>
      </c>
      <c r="B247" s="15">
        <v>0.47353066666666671</v>
      </c>
      <c r="C247" s="15">
        <v>0.55083866666666648</v>
      </c>
      <c r="D247" s="22">
        <v>1</v>
      </c>
      <c r="E247" s="15">
        <v>0.50587800000000027</v>
      </c>
      <c r="F247" s="15">
        <v>0.47353066666666671</v>
      </c>
      <c r="G247" s="15">
        <v>0.55083866666666648</v>
      </c>
      <c r="H247" s="16">
        <v>1</v>
      </c>
      <c r="I247" s="15">
        <v>0.50779200000000002</v>
      </c>
      <c r="J247" s="15">
        <v>0.50414000000000003</v>
      </c>
      <c r="K247" s="15">
        <v>0.53496200000000016</v>
      </c>
      <c r="L247" s="15">
        <v>0.4787300000000001</v>
      </c>
      <c r="M247" s="19">
        <v>1.8781710094477901E-2</v>
      </c>
      <c r="N247" s="16">
        <v>0</v>
      </c>
      <c r="O247" s="15">
        <v>0.50293195555555581</v>
      </c>
      <c r="P247" s="16">
        <v>0</v>
      </c>
      <c r="Q247" s="16">
        <v>0</v>
      </c>
      <c r="R247" s="19">
        <v>0</v>
      </c>
      <c r="S247" s="20" t="s">
        <v>33</v>
      </c>
    </row>
    <row r="248" spans="1:19" ht="15" customHeight="1" x14ac:dyDescent="0.3">
      <c r="A248" s="16">
        <v>165</v>
      </c>
      <c r="B248" s="15">
        <v>-0.49415999999999982</v>
      </c>
      <c r="C248" s="15">
        <v>-0.43391999999999981</v>
      </c>
      <c r="D248" s="22">
        <v>0</v>
      </c>
      <c r="E248" s="15">
        <v>-0.4591257142857143</v>
      </c>
      <c r="F248" s="15">
        <v>-0.49415999999999982</v>
      </c>
      <c r="G248" s="15">
        <v>-0.43391999999999981</v>
      </c>
      <c r="H248" s="16">
        <v>1</v>
      </c>
      <c r="I248" s="15">
        <v>-0.46061714285714273</v>
      </c>
      <c r="J248" s="15">
        <v>-0.4577714285714285</v>
      </c>
      <c r="K248" s="15">
        <v>-0.4817885714285714</v>
      </c>
      <c r="L248" s="15">
        <v>-0.43797142857142851</v>
      </c>
      <c r="M248" s="19">
        <v>0</v>
      </c>
      <c r="N248" s="16">
        <v>0</v>
      </c>
      <c r="O248" s="15">
        <v>-0.51918247619047631</v>
      </c>
      <c r="P248" s="16">
        <v>0</v>
      </c>
      <c r="Q248" s="16">
        <v>0</v>
      </c>
      <c r="R248" s="19">
        <v>0</v>
      </c>
      <c r="S248" s="20" t="s">
        <v>33</v>
      </c>
    </row>
    <row r="249" spans="1:19" ht="15" customHeight="1" x14ac:dyDescent="0.3">
      <c r="A249" s="16">
        <v>166</v>
      </c>
      <c r="B249" s="15">
        <v>-0.1618399999999999</v>
      </c>
      <c r="C249" s="15">
        <v>-2.2822857142856999E-2</v>
      </c>
      <c r="D249" s="22">
        <v>3.3333333333333298E-2</v>
      </c>
      <c r="E249" s="15">
        <v>-7.8468571428571596E-2</v>
      </c>
      <c r="F249" s="15">
        <v>-0.1618399999999999</v>
      </c>
      <c r="G249" s="15">
        <v>-2.2822857142856999E-2</v>
      </c>
      <c r="H249" s="16">
        <v>1</v>
      </c>
      <c r="I249" s="15">
        <v>-7.9428571428571501E-2</v>
      </c>
      <c r="J249" s="15">
        <v>-7.8365714285714205E-2</v>
      </c>
      <c r="K249" s="15">
        <v>-8.3628571428571302E-2</v>
      </c>
      <c r="L249" s="15">
        <v>-8.3902857142857001E-2</v>
      </c>
      <c r="M249" s="19">
        <v>0</v>
      </c>
      <c r="N249" s="16">
        <v>0</v>
      </c>
      <c r="O249" s="15">
        <v>-0.1345474285714284</v>
      </c>
      <c r="P249" s="16">
        <v>0</v>
      </c>
      <c r="Q249" s="16">
        <v>1</v>
      </c>
      <c r="R249" s="19">
        <v>0</v>
      </c>
      <c r="S249" s="20" t="s">
        <v>965</v>
      </c>
    </row>
    <row r="250" spans="1:19" ht="15" customHeight="1" x14ac:dyDescent="0.3">
      <c r="A250" s="16">
        <v>167</v>
      </c>
      <c r="B250" s="15">
        <v>-5.4043999999999898E-2</v>
      </c>
      <c r="C250" s="15">
        <v>0.12436133333333339</v>
      </c>
      <c r="D250" s="22">
        <v>0.73333333333333328</v>
      </c>
      <c r="E250" s="15">
        <v>1.73680000000004E-2</v>
      </c>
      <c r="F250" s="15">
        <v>-5.4043999999999898E-2</v>
      </c>
      <c r="G250" s="15">
        <v>0.12436133333333339</v>
      </c>
      <c r="H250" s="16">
        <v>1</v>
      </c>
      <c r="I250" s="15">
        <v>1.8600000000000099E-2</v>
      </c>
      <c r="J250" s="15">
        <v>1.7236000000000001E-2</v>
      </c>
      <c r="K250" s="15">
        <v>2.3990000000000102E-2</v>
      </c>
      <c r="L250" s="15">
        <v>2.4341999999999999E-2</v>
      </c>
      <c r="M250" s="19">
        <v>0</v>
      </c>
      <c r="N250" s="16">
        <v>0</v>
      </c>
      <c r="O250" s="15">
        <v>-8.7671244444444296E-2</v>
      </c>
      <c r="P250" s="16">
        <v>0</v>
      </c>
      <c r="Q250" s="16">
        <v>1</v>
      </c>
      <c r="R250" s="19">
        <v>0</v>
      </c>
      <c r="S250" s="20" t="s">
        <v>965</v>
      </c>
    </row>
    <row r="251" spans="1:19" ht="15" customHeight="1" x14ac:dyDescent="0.3">
      <c r="A251" s="16">
        <v>168</v>
      </c>
      <c r="B251" s="15">
        <v>-0.13911507246376811</v>
      </c>
      <c r="C251" s="15">
        <v>4.3915362318840502E-2</v>
      </c>
      <c r="D251" s="22">
        <v>0.35</v>
      </c>
      <c r="E251" s="15">
        <v>-6.31234782608696E-2</v>
      </c>
      <c r="F251" s="15">
        <v>-0.13911507246376811</v>
      </c>
      <c r="G251" s="15">
        <v>4.3915362318840502E-2</v>
      </c>
      <c r="H251" s="16">
        <v>1</v>
      </c>
      <c r="I251" s="15">
        <v>-6.3067391304347895E-2</v>
      </c>
      <c r="J251" s="15">
        <v>-5.74773913043478E-2</v>
      </c>
      <c r="K251" s="15">
        <v>-5.9683478260869498E-2</v>
      </c>
      <c r="L251" s="15">
        <v>-5.6598695652174E-2</v>
      </c>
      <c r="M251" s="19">
        <v>0</v>
      </c>
      <c r="N251" s="16">
        <v>0</v>
      </c>
      <c r="O251" s="15">
        <v>-0.1105136328502416</v>
      </c>
      <c r="P251" s="16">
        <v>0</v>
      </c>
      <c r="Q251" s="16">
        <v>0</v>
      </c>
      <c r="R251" s="19">
        <v>0</v>
      </c>
      <c r="S251" s="20" t="s">
        <v>33</v>
      </c>
    </row>
    <row r="252" spans="1:19" ht="15" customHeight="1" x14ac:dyDescent="0.3">
      <c r="A252" s="16">
        <v>169</v>
      </c>
      <c r="B252" s="15">
        <v>-0.137776507936508</v>
      </c>
      <c r="C252" s="15">
        <v>5.3361587301587202E-2</v>
      </c>
      <c r="D252" s="22">
        <v>0.26666666666666661</v>
      </c>
      <c r="E252" s="15">
        <v>-2.5996190476190499E-2</v>
      </c>
      <c r="F252" s="15">
        <v>-0.137776507936508</v>
      </c>
      <c r="G252" s="15">
        <v>5.3361587301587202E-2</v>
      </c>
      <c r="H252" s="16">
        <v>1</v>
      </c>
      <c r="I252" s="15">
        <v>-2.6054761904761799E-2</v>
      </c>
      <c r="J252" s="15">
        <v>-3.1892380952380998E-2</v>
      </c>
      <c r="K252" s="15">
        <v>-2.9588571428571599E-2</v>
      </c>
      <c r="L252" s="15">
        <v>-3.2809999999999999E-2</v>
      </c>
      <c r="M252" s="19">
        <v>0</v>
      </c>
      <c r="N252" s="16">
        <v>0</v>
      </c>
      <c r="O252" s="15">
        <v>-0.1682444973544974</v>
      </c>
      <c r="P252" s="16">
        <v>0</v>
      </c>
      <c r="Q252" s="16">
        <v>0</v>
      </c>
      <c r="R252" s="19">
        <v>0</v>
      </c>
      <c r="S252" s="20" t="s">
        <v>33</v>
      </c>
    </row>
    <row r="253" spans="1:19" ht="15" customHeight="1" x14ac:dyDescent="0.3">
      <c r="A253" s="16">
        <v>170</v>
      </c>
      <c r="B253" s="15">
        <v>0.29280933333333309</v>
      </c>
      <c r="C253" s="15">
        <v>0.45024666666666679</v>
      </c>
      <c r="D253" s="22">
        <v>1</v>
      </c>
      <c r="E253" s="15">
        <v>0.37722550000000021</v>
      </c>
      <c r="F253" s="15">
        <v>0.29280933333333309</v>
      </c>
      <c r="G253" s="15">
        <v>0.45024666666666679</v>
      </c>
      <c r="H253" s="16">
        <v>1</v>
      </c>
      <c r="I253" s="15">
        <v>0.37576350000000008</v>
      </c>
      <c r="J253" s="15">
        <v>0.37283949999999999</v>
      </c>
      <c r="K253" s="15">
        <v>0.38963099999999978</v>
      </c>
      <c r="L253" s="15">
        <v>0.36067050000000012</v>
      </c>
      <c r="M253" s="19">
        <v>4.5272494425428996E-3</v>
      </c>
      <c r="N253" s="16">
        <v>0</v>
      </c>
      <c r="O253" s="15">
        <v>0.32442532222222198</v>
      </c>
      <c r="P253" s="16">
        <v>0</v>
      </c>
      <c r="Q253" s="16">
        <v>0</v>
      </c>
      <c r="R253" s="19">
        <v>0</v>
      </c>
      <c r="S253" s="20" t="s">
        <v>33</v>
      </c>
    </row>
    <row r="254" spans="1:19" ht="15" customHeight="1" x14ac:dyDescent="0.3">
      <c r="A254" s="16">
        <v>171</v>
      </c>
      <c r="B254" s="15">
        <v>-0.43344691358024712</v>
      </c>
      <c r="C254" s="15">
        <v>-0.30597827160493818</v>
      </c>
      <c r="D254" s="22">
        <v>0</v>
      </c>
      <c r="E254" s="15">
        <v>-0.37432555555555569</v>
      </c>
      <c r="F254" s="15">
        <v>-0.43344691358024712</v>
      </c>
      <c r="G254" s="15">
        <v>-0.30597827160493818</v>
      </c>
      <c r="H254" s="16">
        <v>1</v>
      </c>
      <c r="I254" s="15">
        <v>-0.373141851851852</v>
      </c>
      <c r="J254" s="15">
        <v>-0.37077444444444452</v>
      </c>
      <c r="K254" s="15">
        <v>-0.38436962962962951</v>
      </c>
      <c r="L254" s="15">
        <v>-0.36092185185185199</v>
      </c>
      <c r="M254" s="19">
        <v>0</v>
      </c>
      <c r="N254" s="16">
        <v>0</v>
      </c>
      <c r="O254" s="15">
        <v>-0.46224998353909469</v>
      </c>
      <c r="P254" s="16">
        <v>0</v>
      </c>
      <c r="Q254" s="16">
        <v>0</v>
      </c>
      <c r="R254" s="19">
        <v>0</v>
      </c>
      <c r="S254" s="20" t="s">
        <v>33</v>
      </c>
    </row>
    <row r="255" spans="1:19" ht="15" customHeight="1" x14ac:dyDescent="0.3">
      <c r="A255" s="16">
        <v>172</v>
      </c>
      <c r="B255" s="15">
        <v>7.8321000000000002E-2</v>
      </c>
      <c r="C255" s="15">
        <v>0.53519233333333349</v>
      </c>
      <c r="D255" s="22">
        <v>0.96666666666666679</v>
      </c>
      <c r="E255" s="15">
        <v>0.2963774999999999</v>
      </c>
      <c r="F255" s="15">
        <v>7.8321000000000002E-2</v>
      </c>
      <c r="G255" s="15">
        <v>0.53519233333333349</v>
      </c>
      <c r="H255" s="16">
        <v>1</v>
      </c>
      <c r="I255" s="15">
        <v>0.29593100000000011</v>
      </c>
      <c r="J255" s="15">
        <v>0.29663600000000012</v>
      </c>
      <c r="K255" s="15">
        <v>0.3104305</v>
      </c>
      <c r="L255" s="15">
        <v>0.28378149999999991</v>
      </c>
      <c r="M255" s="19">
        <v>0</v>
      </c>
      <c r="N255" s="16">
        <v>1</v>
      </c>
      <c r="O255" s="15">
        <v>0.1185493444444444</v>
      </c>
      <c r="P255" s="16">
        <v>1</v>
      </c>
      <c r="Q255" s="16">
        <v>0</v>
      </c>
      <c r="R255" s="19">
        <v>0</v>
      </c>
      <c r="S255" s="20" t="s">
        <v>33</v>
      </c>
    </row>
    <row r="256" spans="1:19" ht="15" customHeight="1" x14ac:dyDescent="0.3">
      <c r="A256" s="16">
        <v>173</v>
      </c>
      <c r="B256" s="15">
        <v>-0.42957870967741951</v>
      </c>
      <c r="C256" s="15">
        <v>-0.10973741935483861</v>
      </c>
      <c r="D256" s="22">
        <v>1.6666666666666601E-2</v>
      </c>
      <c r="E256" s="15">
        <v>-0.26239193548387091</v>
      </c>
      <c r="F256" s="15">
        <v>-0.42957870967741951</v>
      </c>
      <c r="G256" s="15">
        <v>-0.10973741935483861</v>
      </c>
      <c r="H256" s="16">
        <v>0</v>
      </c>
      <c r="I256" s="15">
        <v>-0.26207935483870981</v>
      </c>
      <c r="J256" s="15">
        <v>-0.26257290322580651</v>
      </c>
      <c r="K256" s="15">
        <v>-0.27222999999999992</v>
      </c>
      <c r="L256" s="15">
        <v>-0.25357387096774181</v>
      </c>
      <c r="M256" s="19">
        <v>0</v>
      </c>
      <c r="N256" s="16">
        <v>1</v>
      </c>
      <c r="O256" s="15">
        <v>-0.4538887096774194</v>
      </c>
      <c r="P256" s="16">
        <v>0</v>
      </c>
      <c r="Q256" s="16">
        <v>0</v>
      </c>
      <c r="R256" s="19">
        <v>0</v>
      </c>
      <c r="S256" s="20" t="s">
        <v>33</v>
      </c>
    </row>
    <row r="257" spans="1:19" ht="15" customHeight="1" x14ac:dyDescent="0.3">
      <c r="A257" s="16">
        <v>174</v>
      </c>
      <c r="B257" s="15">
        <v>3.9732839506172603E-2</v>
      </c>
      <c r="C257" s="15">
        <v>0.23134197530864209</v>
      </c>
      <c r="D257" s="22">
        <v>0.95</v>
      </c>
      <c r="E257" s="15">
        <v>0.13586814814814799</v>
      </c>
      <c r="F257" s="15">
        <v>3.9732839506172603E-2</v>
      </c>
      <c r="G257" s="15">
        <v>0.23134197530864209</v>
      </c>
      <c r="H257" s="16">
        <v>1</v>
      </c>
      <c r="I257" s="15">
        <v>0.1352937037037038</v>
      </c>
      <c r="J257" s="15">
        <v>0.14018518518518519</v>
      </c>
      <c r="K257" s="15">
        <v>0.15543407407407381</v>
      </c>
      <c r="L257" s="15">
        <v>0.1135344444444443</v>
      </c>
      <c r="M257" s="19">
        <v>0</v>
      </c>
      <c r="N257" s="16">
        <v>1</v>
      </c>
      <c r="O257" s="15">
        <v>7.5029259259259101E-2</v>
      </c>
      <c r="P257" s="16">
        <v>1</v>
      </c>
      <c r="Q257" s="16">
        <v>0</v>
      </c>
      <c r="R257" s="19">
        <v>0</v>
      </c>
      <c r="S257" s="20" t="s">
        <v>33</v>
      </c>
    </row>
    <row r="258" spans="1:19" ht="15" customHeight="1" x14ac:dyDescent="0.3">
      <c r="A258" s="16">
        <v>175</v>
      </c>
      <c r="B258" s="15">
        <v>-0.37083833333333349</v>
      </c>
      <c r="C258" s="15">
        <v>-0.1341806666666665</v>
      </c>
      <c r="D258" s="22">
        <v>1.6666666666666601E-2</v>
      </c>
      <c r="E258" s="15">
        <v>-0.25291799999999998</v>
      </c>
      <c r="F258" s="15">
        <v>-0.37083833333333349</v>
      </c>
      <c r="G258" s="15">
        <v>-0.1341806666666665</v>
      </c>
      <c r="H258" s="16">
        <v>0</v>
      </c>
      <c r="I258" s="15">
        <v>-0.25220850000000011</v>
      </c>
      <c r="J258" s="15">
        <v>-0.25825000000000009</v>
      </c>
      <c r="K258" s="15">
        <v>-0.27708399999999977</v>
      </c>
      <c r="L258" s="15">
        <v>-0.22533349999999991</v>
      </c>
      <c r="M258" s="19">
        <v>0</v>
      </c>
      <c r="N258" s="16">
        <v>1</v>
      </c>
      <c r="O258" s="15">
        <v>-0.4051991555555558</v>
      </c>
      <c r="P258" s="16">
        <v>0</v>
      </c>
      <c r="Q258" s="16">
        <v>0</v>
      </c>
      <c r="R258" s="19">
        <v>0</v>
      </c>
      <c r="S258" s="20" t="s">
        <v>33</v>
      </c>
    </row>
    <row r="259" spans="1:19" ht="15" customHeight="1" x14ac:dyDescent="0.3">
      <c r="A259" s="16">
        <v>176</v>
      </c>
      <c r="B259" s="15">
        <v>-0.2346639999999999</v>
      </c>
      <c r="C259" s="15">
        <v>-9.4047999999999896E-2</v>
      </c>
      <c r="D259" s="22">
        <v>0</v>
      </c>
      <c r="E259" s="15">
        <v>-0.146476</v>
      </c>
      <c r="F259" s="15">
        <v>-0.2346639999999999</v>
      </c>
      <c r="G259" s="15">
        <v>-9.4047999999999896E-2</v>
      </c>
      <c r="H259" s="16">
        <v>1</v>
      </c>
      <c r="I259" s="15">
        <v>-0.14546799999999999</v>
      </c>
      <c r="J259" s="15">
        <v>-0.14535999999999991</v>
      </c>
      <c r="K259" s="15">
        <v>-0.15009399999999989</v>
      </c>
      <c r="L259" s="15">
        <v>-0.14415400000000009</v>
      </c>
      <c r="M259" s="19">
        <v>0</v>
      </c>
      <c r="N259" s="16">
        <v>0</v>
      </c>
      <c r="O259" s="15">
        <v>-0.20517440000000001</v>
      </c>
      <c r="P259" s="16">
        <v>0</v>
      </c>
      <c r="Q259" s="16">
        <v>0</v>
      </c>
      <c r="R259" s="19">
        <v>0</v>
      </c>
      <c r="S259" s="20" t="s">
        <v>33</v>
      </c>
    </row>
    <row r="260" spans="1:19" ht="15" customHeight="1" x14ac:dyDescent="0.3">
      <c r="A260" s="16">
        <v>177</v>
      </c>
      <c r="B260" s="15">
        <v>1.82213333333331E-2</v>
      </c>
      <c r="C260" s="15">
        <v>0.17836733333333321</v>
      </c>
      <c r="D260" s="22">
        <v>0.93333333333333324</v>
      </c>
      <c r="E260" s="15">
        <v>7.7930999999999695E-2</v>
      </c>
      <c r="F260" s="15">
        <v>1.82213333333331E-2</v>
      </c>
      <c r="G260" s="15">
        <v>0.17836733333333321</v>
      </c>
      <c r="H260" s="16">
        <v>1</v>
      </c>
      <c r="I260" s="15">
        <v>7.6783000000000004E-2</v>
      </c>
      <c r="J260" s="15">
        <v>7.6659999999999895E-2</v>
      </c>
      <c r="K260" s="15">
        <v>8.2051499999999902E-2</v>
      </c>
      <c r="L260" s="15">
        <v>7.5286500000000006E-2</v>
      </c>
      <c r="M260" s="19">
        <v>0</v>
      </c>
      <c r="N260" s="16">
        <v>0</v>
      </c>
      <c r="O260" s="15">
        <v>-1.4826944444444601E-2</v>
      </c>
      <c r="P260" s="16">
        <v>0</v>
      </c>
      <c r="Q260" s="16">
        <v>0</v>
      </c>
      <c r="R260" s="19">
        <v>0</v>
      </c>
      <c r="S260" s="20" t="s">
        <v>33</v>
      </c>
    </row>
    <row r="261" spans="1:19" ht="15" customHeight="1" x14ac:dyDescent="0.3">
      <c r="A261" s="16">
        <v>178</v>
      </c>
      <c r="B261" s="15">
        <v>-0.2221533333333332</v>
      </c>
      <c r="C261" s="15">
        <v>7.1267999999999998E-2</v>
      </c>
      <c r="D261" s="22">
        <v>0.21666666666666659</v>
      </c>
      <c r="E261" s="15">
        <v>-6.6473999999999894E-2</v>
      </c>
      <c r="F261" s="15">
        <v>-0.2221533333333332</v>
      </c>
      <c r="G261" s="15">
        <v>7.1267999999999998E-2</v>
      </c>
      <c r="H261" s="16">
        <v>1</v>
      </c>
      <c r="I261" s="15">
        <v>-6.5967999999999902E-2</v>
      </c>
      <c r="J261" s="15">
        <v>-6.7705999999999905E-2</v>
      </c>
      <c r="K261" s="15">
        <v>-7.1313999999999794E-2</v>
      </c>
      <c r="L261" s="15">
        <v>-5.6639999999999899E-2</v>
      </c>
      <c r="M261" s="19">
        <v>0</v>
      </c>
      <c r="N261" s="16">
        <v>0</v>
      </c>
      <c r="O261" s="15">
        <v>-0.19073537777777769</v>
      </c>
      <c r="P261" s="16">
        <v>0</v>
      </c>
      <c r="Q261" s="16">
        <v>0</v>
      </c>
      <c r="R261" s="19">
        <v>0</v>
      </c>
      <c r="S261" s="20" t="s">
        <v>33</v>
      </c>
    </row>
    <row r="262" spans="1:19" ht="15" customHeight="1" x14ac:dyDescent="0.3">
      <c r="A262" s="16">
        <v>179</v>
      </c>
      <c r="B262" s="15">
        <v>-0.1204685714285714</v>
      </c>
      <c r="C262" s="15">
        <v>0.1081714285714286</v>
      </c>
      <c r="D262" s="22">
        <v>0.58333333333333337</v>
      </c>
      <c r="E262" s="15">
        <v>-1.31371428571427E-2</v>
      </c>
      <c r="F262" s="15">
        <v>-0.1204685714285714</v>
      </c>
      <c r="G262" s="15">
        <v>0.1081714285714286</v>
      </c>
      <c r="H262" s="16">
        <v>1</v>
      </c>
      <c r="I262" s="15">
        <v>-1.35314285714285E-2</v>
      </c>
      <c r="J262" s="15">
        <v>-1.2177142857142701E-2</v>
      </c>
      <c r="K262" s="15">
        <v>-9.3657142857141995E-3</v>
      </c>
      <c r="L262" s="15">
        <v>-2.0799999999999999E-2</v>
      </c>
      <c r="M262" s="19">
        <v>0</v>
      </c>
      <c r="N262" s="16">
        <v>0</v>
      </c>
      <c r="O262" s="15">
        <v>-0.1468434285714284</v>
      </c>
      <c r="P262" s="16">
        <v>0</v>
      </c>
      <c r="Q262" s="16">
        <v>0</v>
      </c>
      <c r="R262" s="19">
        <v>0</v>
      </c>
      <c r="S262" s="20" t="s">
        <v>33</v>
      </c>
    </row>
    <row r="263" spans="1:19" ht="15" customHeight="1" x14ac:dyDescent="0.3">
      <c r="A263" s="16">
        <v>180</v>
      </c>
      <c r="B263" s="15">
        <v>-3.2175999999999899E-2</v>
      </c>
      <c r="C263" s="15">
        <v>2.5848571428571401E-2</v>
      </c>
      <c r="D263" s="22">
        <v>0.56666666666666665</v>
      </c>
      <c r="E263" s="15">
        <v>6.3931142857142895E-2</v>
      </c>
      <c r="F263" s="15">
        <v>4.4063428571428503E-2</v>
      </c>
      <c r="G263" s="15">
        <v>7.9757714285714196E-2</v>
      </c>
      <c r="H263" s="16">
        <v>1</v>
      </c>
      <c r="I263" s="15">
        <v>-1.276857142857E-3</v>
      </c>
      <c r="J263" s="15">
        <v>-1.1542857142856E-3</v>
      </c>
      <c r="K263" s="15">
        <v>1.15708571428572E-2</v>
      </c>
      <c r="L263" s="15">
        <v>-1.55842857142857E-2</v>
      </c>
      <c r="M263" s="19">
        <v>0</v>
      </c>
      <c r="N263" s="16">
        <v>0</v>
      </c>
      <c r="O263" s="15" t="s">
        <v>33</v>
      </c>
      <c r="P263" s="16">
        <v>0</v>
      </c>
      <c r="Q263" s="16">
        <v>0</v>
      </c>
      <c r="R263" s="19">
        <v>0</v>
      </c>
      <c r="S263" s="20" t="s">
        <v>33</v>
      </c>
    </row>
    <row r="264" spans="1:19" ht="15" customHeight="1" x14ac:dyDescent="0.3">
      <c r="A264" s="16">
        <v>181</v>
      </c>
      <c r="B264" s="15">
        <v>-0.54364166666666658</v>
      </c>
      <c r="C264" s="15">
        <v>-0.2442200000000001</v>
      </c>
      <c r="D264" s="22">
        <v>0</v>
      </c>
      <c r="E264" s="15">
        <v>-0.74015750000000025</v>
      </c>
      <c r="F264" s="15">
        <v>-0.82182666666666648</v>
      </c>
      <c r="G264" s="15">
        <v>-0.63763500000000017</v>
      </c>
      <c r="H264" s="16">
        <v>1</v>
      </c>
      <c r="I264" s="15">
        <v>-0.40366750000000018</v>
      </c>
      <c r="J264" s="15">
        <v>-0.40429999999999988</v>
      </c>
      <c r="K264" s="15">
        <v>-0.46996499999999969</v>
      </c>
      <c r="L264" s="15">
        <v>-0.32983749999999978</v>
      </c>
      <c r="M264" s="19">
        <v>0</v>
      </c>
      <c r="N264" s="16">
        <v>0</v>
      </c>
      <c r="O264" s="15" t="s">
        <v>33</v>
      </c>
      <c r="P264" s="16">
        <v>0</v>
      </c>
      <c r="Q264" s="16">
        <v>0</v>
      </c>
      <c r="R264" s="19">
        <v>0</v>
      </c>
      <c r="S264" s="20" t="s">
        <v>33</v>
      </c>
    </row>
    <row r="265" spans="1:19" ht="15" customHeight="1" x14ac:dyDescent="0.3">
      <c r="A265" s="16">
        <v>182</v>
      </c>
      <c r="B265" s="15">
        <v>-7.9111515151515002E-2</v>
      </c>
      <c r="C265" s="15">
        <v>-1.9532121212121101E-2</v>
      </c>
      <c r="D265" s="22">
        <v>1.6666666666666601E-2</v>
      </c>
      <c r="E265" s="15">
        <v>6.5988181818181696E-2</v>
      </c>
      <c r="F265" s="15">
        <v>4.6823030303030297E-2</v>
      </c>
      <c r="G265" s="15">
        <v>9.4040606060606005E-2</v>
      </c>
      <c r="H265" s="16">
        <v>1</v>
      </c>
      <c r="I265" s="15">
        <v>-5.4746363636363503E-2</v>
      </c>
      <c r="J265" s="15">
        <v>-5.6696363636363503E-2</v>
      </c>
      <c r="K265" s="15">
        <v>-3.7137272727272699E-2</v>
      </c>
      <c r="L265" s="15">
        <v>-6.8632727272727095E-2</v>
      </c>
      <c r="M265" s="19">
        <v>0</v>
      </c>
      <c r="N265" s="16">
        <v>0</v>
      </c>
      <c r="O265" s="15" t="s">
        <v>33</v>
      </c>
      <c r="P265" s="16">
        <v>0</v>
      </c>
      <c r="Q265" s="16">
        <v>0</v>
      </c>
      <c r="R265" s="19">
        <v>0</v>
      </c>
      <c r="S265" s="20" t="s">
        <v>33</v>
      </c>
    </row>
    <row r="266" spans="1:19" ht="15" customHeight="1" x14ac:dyDescent="0.3">
      <c r="A266" s="16">
        <v>183</v>
      </c>
      <c r="B266" s="15">
        <v>-0.19072666666666679</v>
      </c>
      <c r="C266" s="15">
        <v>4.8736666666666602E-2</v>
      </c>
      <c r="D266" s="22">
        <v>0.2</v>
      </c>
      <c r="E266" s="15">
        <v>-0.53445249999999977</v>
      </c>
      <c r="F266" s="15">
        <v>-0.64720166666666645</v>
      </c>
      <c r="G266" s="15">
        <v>-0.4574233333333334</v>
      </c>
      <c r="H266" s="16">
        <v>1</v>
      </c>
      <c r="I266" s="15">
        <v>-4.9192500000000097E-2</v>
      </c>
      <c r="J266" s="15">
        <v>-4.1355000000000003E-2</v>
      </c>
      <c r="K266" s="15">
        <v>-0.1199674999999997</v>
      </c>
      <c r="L266" s="15">
        <v>6.62E-3</v>
      </c>
      <c r="M266" s="19">
        <v>0</v>
      </c>
      <c r="N266" s="16">
        <v>0</v>
      </c>
      <c r="O266" s="15" t="s">
        <v>33</v>
      </c>
      <c r="P266" s="16">
        <v>0</v>
      </c>
      <c r="Q266" s="16">
        <v>0</v>
      </c>
      <c r="R266" s="19">
        <v>0</v>
      </c>
      <c r="S266" s="20" t="s">
        <v>33</v>
      </c>
    </row>
    <row r="267" spans="1:19" ht="15" customHeight="1" x14ac:dyDescent="0.3">
      <c r="A267" s="16">
        <v>184</v>
      </c>
      <c r="B267" s="15">
        <v>-0.35774545454545459</v>
      </c>
      <c r="C267" s="15">
        <v>-0.1661163636363637</v>
      </c>
      <c r="D267" s="22">
        <v>0</v>
      </c>
      <c r="E267" s="15">
        <v>-0.10133090909090919</v>
      </c>
      <c r="F267" s="15">
        <v>-0.17949090909090909</v>
      </c>
      <c r="G267" s="15">
        <v>-3.8494545454545497E-2</v>
      </c>
      <c r="H267" s="16">
        <v>1</v>
      </c>
      <c r="I267" s="15">
        <v>-0.25452727272727271</v>
      </c>
      <c r="J267" s="15">
        <v>-0.25310909090909089</v>
      </c>
      <c r="K267" s="15">
        <v>-0.2467709090909091</v>
      </c>
      <c r="L267" s="15">
        <v>-0.26352727272727272</v>
      </c>
      <c r="M267" s="19">
        <v>0</v>
      </c>
      <c r="N267" s="16">
        <v>0</v>
      </c>
      <c r="O267" s="15" t="s">
        <v>33</v>
      </c>
      <c r="P267" s="16">
        <v>0</v>
      </c>
      <c r="Q267" s="16">
        <v>0</v>
      </c>
      <c r="R267" s="19">
        <v>0</v>
      </c>
      <c r="S267" s="20" t="s">
        <v>969</v>
      </c>
    </row>
    <row r="268" spans="1:19" ht="15" customHeight="1" x14ac:dyDescent="0.3">
      <c r="A268" s="16">
        <v>185</v>
      </c>
      <c r="B268" s="15">
        <v>0.76705000000000001</v>
      </c>
      <c r="C268" s="15">
        <v>2.0844999999999998</v>
      </c>
      <c r="D268" s="22">
        <v>1</v>
      </c>
      <c r="E268" s="15">
        <v>0.32165000000000038</v>
      </c>
      <c r="F268" s="15">
        <v>-0.1103499999999997</v>
      </c>
      <c r="G268" s="15">
        <v>0.85900000000000021</v>
      </c>
      <c r="H268" s="16">
        <v>1</v>
      </c>
      <c r="I268" s="15">
        <v>1.3748750000000001</v>
      </c>
      <c r="J268" s="15">
        <v>1.3651249999999999</v>
      </c>
      <c r="K268" s="15">
        <v>1.32155</v>
      </c>
      <c r="L268" s="15">
        <v>1.43675</v>
      </c>
      <c r="M268" s="19">
        <v>8.8610428930349008E-3</v>
      </c>
      <c r="N268" s="16">
        <v>0</v>
      </c>
      <c r="O268" s="15" t="s">
        <v>33</v>
      </c>
      <c r="P268" s="16">
        <v>0</v>
      </c>
      <c r="Q268" s="16">
        <v>0</v>
      </c>
      <c r="R268" s="19">
        <v>0</v>
      </c>
      <c r="S268" s="20" t="s">
        <v>969</v>
      </c>
    </row>
    <row r="269" spans="1:19" ht="15" customHeight="1" x14ac:dyDescent="0.3">
      <c r="A269" s="16">
        <v>186</v>
      </c>
      <c r="B269" s="15">
        <v>-0.27372592592592582</v>
      </c>
      <c r="C269" s="15">
        <v>-0.1836074074074073</v>
      </c>
      <c r="D269" s="22">
        <v>0</v>
      </c>
      <c r="E269" s="15">
        <v>-7.1344444444444294E-2</v>
      </c>
      <c r="F269" s="15">
        <v>-0.1082</v>
      </c>
      <c r="G269" s="15">
        <v>-4.5074074074073898E-2</v>
      </c>
      <c r="H269" s="16">
        <v>1</v>
      </c>
      <c r="I269" s="15">
        <v>-0.220911111111111</v>
      </c>
      <c r="J269" s="15">
        <v>-0.2218222222222222</v>
      </c>
      <c r="K269" s="15">
        <v>-0.21144444444444441</v>
      </c>
      <c r="L269" s="15">
        <v>-0.22955555555555551</v>
      </c>
      <c r="M269" s="19">
        <v>0</v>
      </c>
      <c r="N269" s="16">
        <v>0</v>
      </c>
      <c r="O269" s="15" t="s">
        <v>33</v>
      </c>
      <c r="P269" s="16">
        <v>0</v>
      </c>
      <c r="Q269" s="16">
        <v>0</v>
      </c>
      <c r="R269" s="19">
        <v>0</v>
      </c>
      <c r="S269" s="20" t="s">
        <v>33</v>
      </c>
    </row>
    <row r="270" spans="1:19" ht="15" customHeight="1" x14ac:dyDescent="0.3">
      <c r="A270" s="16">
        <v>187</v>
      </c>
      <c r="B270" s="15">
        <v>0.59147999999999978</v>
      </c>
      <c r="C270" s="15">
        <v>1.07812</v>
      </c>
      <c r="D270" s="22">
        <v>1</v>
      </c>
      <c r="E270" s="15">
        <v>-1.47400000000001E-2</v>
      </c>
      <c r="F270" s="15">
        <v>-0.15660000000000029</v>
      </c>
      <c r="G270" s="15">
        <v>0.18428000000000019</v>
      </c>
      <c r="H270" s="16">
        <v>1</v>
      </c>
      <c r="I270" s="15">
        <v>0.79291999999999985</v>
      </c>
      <c r="J270" s="15">
        <v>0.7978400000000001</v>
      </c>
      <c r="K270" s="15">
        <v>0.74180000000000001</v>
      </c>
      <c r="L270" s="15">
        <v>0.8395999999999999</v>
      </c>
      <c r="M270" s="19">
        <v>0</v>
      </c>
      <c r="N270" s="16">
        <v>0</v>
      </c>
      <c r="O270" s="15" t="s">
        <v>33</v>
      </c>
      <c r="P270" s="16">
        <v>0</v>
      </c>
      <c r="Q270" s="16">
        <v>0</v>
      </c>
      <c r="R270" s="19">
        <v>0</v>
      </c>
      <c r="S270" s="20" t="s">
        <v>33</v>
      </c>
    </row>
    <row r="271" spans="1:19" ht="15" customHeight="1" x14ac:dyDescent="0.3">
      <c r="A271" s="16">
        <v>188</v>
      </c>
      <c r="B271" s="15">
        <v>-4.4061933333333303E-2</v>
      </c>
      <c r="C271" s="15">
        <v>-1.6957999999999999E-3</v>
      </c>
      <c r="D271" s="22">
        <v>3.3333333333333298E-2</v>
      </c>
      <c r="E271" s="15">
        <v>2.1522999999997999E-3</v>
      </c>
      <c r="F271" s="15">
        <v>-1.0907E-2</v>
      </c>
      <c r="G271" s="15">
        <v>6.5121333333333E-3</v>
      </c>
      <c r="H271" s="16">
        <v>1</v>
      </c>
      <c r="I271" s="15">
        <v>-1.43915E-2</v>
      </c>
      <c r="J271" s="15">
        <v>-1.4967199999999899E-2</v>
      </c>
      <c r="K271" s="15">
        <v>-9.7555999999999008E-3</v>
      </c>
      <c r="L271" s="15">
        <v>-2.0683799999999902E-2</v>
      </c>
      <c r="M271" s="19">
        <v>0</v>
      </c>
      <c r="N271" s="16">
        <v>0</v>
      </c>
      <c r="O271" s="15" t="s">
        <v>33</v>
      </c>
      <c r="P271" s="16">
        <v>0</v>
      </c>
      <c r="Q271" s="16">
        <v>1</v>
      </c>
      <c r="R271" s="19">
        <v>0</v>
      </c>
      <c r="S271" s="20" t="s">
        <v>970</v>
      </c>
    </row>
    <row r="272" spans="1:19" ht="15" customHeight="1" x14ac:dyDescent="0.3">
      <c r="A272" s="16">
        <v>189</v>
      </c>
      <c r="B272" s="15">
        <v>-0.71628999999999887</v>
      </c>
      <c r="C272" s="15">
        <v>0.31140333333333331</v>
      </c>
      <c r="D272" s="22">
        <v>0.25</v>
      </c>
      <c r="E272" s="15">
        <v>-0.80963499999999866</v>
      </c>
      <c r="F272" s="15">
        <v>-0.91539333333333439</v>
      </c>
      <c r="G272" s="15">
        <v>-0.49284999999999879</v>
      </c>
      <c r="H272" s="16">
        <v>1</v>
      </c>
      <c r="I272" s="15">
        <v>-0.40832499999999983</v>
      </c>
      <c r="J272" s="15">
        <v>-0.39436000000000088</v>
      </c>
      <c r="K272" s="15">
        <v>-0.52077999999999947</v>
      </c>
      <c r="L272" s="15">
        <v>-0.25569000000000081</v>
      </c>
      <c r="M272" s="19">
        <v>0</v>
      </c>
      <c r="N272" s="16">
        <v>0</v>
      </c>
      <c r="O272" s="15" t="s">
        <v>33</v>
      </c>
      <c r="P272" s="16">
        <v>0</v>
      </c>
      <c r="Q272" s="16">
        <v>0</v>
      </c>
      <c r="R272" s="19">
        <v>0</v>
      </c>
      <c r="S272" s="20" t="s">
        <v>970</v>
      </c>
    </row>
    <row r="273" spans="1:19" ht="15" customHeight="1" x14ac:dyDescent="0.3">
      <c r="A273" s="16">
        <v>190</v>
      </c>
      <c r="B273" s="15">
        <v>-8.1748399999999999E-2</v>
      </c>
      <c r="C273" s="15">
        <v>-3.5652000000000003E-2</v>
      </c>
      <c r="D273" s="22">
        <v>0</v>
      </c>
      <c r="E273" s="15">
        <v>-1.46036E-2</v>
      </c>
      <c r="F273" s="15">
        <v>-2.7699933333333301E-2</v>
      </c>
      <c r="G273" s="15">
        <v>-4.3487333333332998E-3</v>
      </c>
      <c r="H273" s="16">
        <v>1</v>
      </c>
      <c r="I273" s="15">
        <v>-5.9144599999999901E-2</v>
      </c>
      <c r="J273" s="15">
        <v>-5.9114299999999897E-2</v>
      </c>
      <c r="K273" s="15">
        <v>-4.9529399999999897E-2</v>
      </c>
      <c r="L273" s="15">
        <v>-6.9244599999999906E-2</v>
      </c>
      <c r="M273" s="19">
        <v>0</v>
      </c>
      <c r="N273" s="16">
        <v>0</v>
      </c>
      <c r="O273" s="15" t="s">
        <v>33</v>
      </c>
      <c r="P273" s="16">
        <v>0</v>
      </c>
      <c r="Q273" s="16">
        <v>0</v>
      </c>
      <c r="R273" s="19">
        <v>0</v>
      </c>
      <c r="S273" s="20" t="s">
        <v>33</v>
      </c>
    </row>
    <row r="274" spans="1:19" ht="15" customHeight="1" x14ac:dyDescent="0.3">
      <c r="A274" s="16">
        <v>191</v>
      </c>
      <c r="B274" s="15">
        <v>0.1073999999999994</v>
      </c>
      <c r="C274" s="15">
        <v>1.2255799999999999</v>
      </c>
      <c r="D274" s="22">
        <v>0.91666666666666663</v>
      </c>
      <c r="E274" s="15">
        <v>-0.40317999999999871</v>
      </c>
      <c r="F274" s="15">
        <v>-0.6519366666666675</v>
      </c>
      <c r="G274" s="15">
        <v>-8.5496666666666499E-2</v>
      </c>
      <c r="H274" s="16">
        <v>1</v>
      </c>
      <c r="I274" s="15">
        <v>0.67726999999999915</v>
      </c>
      <c r="J274" s="15">
        <v>0.67653499999999989</v>
      </c>
      <c r="K274" s="15">
        <v>0.4440299999999997</v>
      </c>
      <c r="L274" s="15">
        <v>0.92226999999999915</v>
      </c>
      <c r="M274" s="19">
        <v>0</v>
      </c>
      <c r="N274" s="16">
        <v>0</v>
      </c>
      <c r="O274" s="15" t="s">
        <v>33</v>
      </c>
      <c r="P274" s="16">
        <v>0</v>
      </c>
      <c r="Q274" s="16">
        <v>0</v>
      </c>
      <c r="R274" s="19">
        <v>0</v>
      </c>
      <c r="S274" s="20" t="s">
        <v>33</v>
      </c>
    </row>
    <row r="275" spans="1:19" ht="15" customHeight="1" x14ac:dyDescent="0.3">
      <c r="A275" s="16">
        <v>192</v>
      </c>
      <c r="B275" s="15">
        <v>-0.20951172413793101</v>
      </c>
      <c r="C275" s="15">
        <v>5.0638850574712603E-2</v>
      </c>
      <c r="D275" s="22">
        <v>0.23333333333333331</v>
      </c>
      <c r="E275" s="15">
        <v>0.22503379310344829</v>
      </c>
      <c r="F275" s="15">
        <v>0.1091910344827586</v>
      </c>
      <c r="G275" s="15">
        <v>0.33026551724137931</v>
      </c>
      <c r="H275" s="16">
        <v>1</v>
      </c>
      <c r="I275" s="15">
        <v>-7.6738620689654993E-2</v>
      </c>
      <c r="J275" s="15">
        <v>-7.7042758620689697E-2</v>
      </c>
      <c r="K275" s="15">
        <v>-7.5792413793103405E-2</v>
      </c>
      <c r="L275" s="15">
        <v>-7.3967586206896502E-2</v>
      </c>
      <c r="M275" s="19">
        <v>0</v>
      </c>
      <c r="N275" s="16">
        <v>0</v>
      </c>
      <c r="O275" s="15" t="s">
        <v>33</v>
      </c>
      <c r="P275" s="16">
        <v>0</v>
      </c>
      <c r="Q275" s="16">
        <v>0</v>
      </c>
      <c r="R275" s="19">
        <v>0</v>
      </c>
      <c r="S275" s="20" t="s">
        <v>33</v>
      </c>
    </row>
    <row r="276" spans="1:19" ht="15" customHeight="1" x14ac:dyDescent="0.3">
      <c r="A276" s="16">
        <v>193</v>
      </c>
      <c r="B276" s="15">
        <v>-0.18688433333333329</v>
      </c>
      <c r="C276" s="15">
        <v>0.14414399999999991</v>
      </c>
      <c r="D276" s="22">
        <v>0.3833333333333333</v>
      </c>
      <c r="E276" s="15">
        <v>-0.40879300000000007</v>
      </c>
      <c r="F276" s="15">
        <v>-0.54269500000000015</v>
      </c>
      <c r="G276" s="15">
        <v>-0.26138899999999998</v>
      </c>
      <c r="H276" s="16">
        <v>1</v>
      </c>
      <c r="I276" s="15">
        <v>-2.4803000000000099E-2</v>
      </c>
      <c r="J276" s="15">
        <v>-2.4415999999999799E-2</v>
      </c>
      <c r="K276" s="15">
        <v>-2.6007000000000099E-2</v>
      </c>
      <c r="L276" s="15">
        <v>-2.8329E-2</v>
      </c>
      <c r="M276" s="19">
        <v>0</v>
      </c>
      <c r="N276" s="16">
        <v>0</v>
      </c>
      <c r="O276" s="15" t="s">
        <v>33</v>
      </c>
      <c r="P276" s="16">
        <v>0</v>
      </c>
      <c r="Q276" s="16">
        <v>0</v>
      </c>
      <c r="R276" s="19">
        <v>0</v>
      </c>
      <c r="S276" s="20" t="s">
        <v>33</v>
      </c>
    </row>
    <row r="277" spans="1:19" ht="15" customHeight="1" x14ac:dyDescent="0.3">
      <c r="A277" s="16">
        <v>194</v>
      </c>
      <c r="B277" s="15">
        <v>0.91664000000000001</v>
      </c>
      <c r="C277" s="15">
        <v>1.99916</v>
      </c>
      <c r="D277" s="22">
        <v>1</v>
      </c>
      <c r="E277" s="15">
        <v>3.7431800000000011</v>
      </c>
      <c r="F277" s="15">
        <v>3.02156</v>
      </c>
      <c r="G277" s="15">
        <v>4.4206399999999997</v>
      </c>
      <c r="H277" s="16">
        <v>1</v>
      </c>
      <c r="I277" s="15">
        <v>1.46834</v>
      </c>
      <c r="J277" s="15">
        <v>1.48526</v>
      </c>
      <c r="K277" s="15">
        <v>1.2275</v>
      </c>
      <c r="L277" s="15">
        <v>1.78424</v>
      </c>
      <c r="M277" s="19">
        <v>0</v>
      </c>
      <c r="N277" s="16">
        <v>1</v>
      </c>
      <c r="O277" s="15" t="s">
        <v>33</v>
      </c>
      <c r="P277" s="16">
        <v>0</v>
      </c>
      <c r="Q277" s="16">
        <v>0</v>
      </c>
      <c r="R277" s="19">
        <v>0</v>
      </c>
      <c r="S277" s="20" t="s">
        <v>33</v>
      </c>
    </row>
    <row r="278" spans="1:19" ht="15" customHeight="1" x14ac:dyDescent="0.3">
      <c r="A278" s="16">
        <v>195</v>
      </c>
      <c r="B278" s="15">
        <v>-0.1519992982456139</v>
      </c>
      <c r="C278" s="15">
        <v>-9.0804210526315696E-2</v>
      </c>
      <c r="D278" s="22">
        <v>0</v>
      </c>
      <c r="E278" s="15">
        <v>-0.25058912280701751</v>
      </c>
      <c r="F278" s="15">
        <v>-0.2888860818713449</v>
      </c>
      <c r="G278" s="15">
        <v>-0.2097957894736841</v>
      </c>
      <c r="H278" s="16">
        <v>0</v>
      </c>
      <c r="I278" s="15">
        <v>-0.12199192982456129</v>
      </c>
      <c r="J278" s="15">
        <v>-0.1229484210526316</v>
      </c>
      <c r="K278" s="15">
        <v>-0.108377192982456</v>
      </c>
      <c r="L278" s="15">
        <v>-0.13984982456140349</v>
      </c>
      <c r="M278" s="19">
        <v>0</v>
      </c>
      <c r="N278" s="16">
        <v>1</v>
      </c>
      <c r="O278" s="15" t="s">
        <v>33</v>
      </c>
      <c r="P278" s="16">
        <v>0</v>
      </c>
      <c r="Q278" s="16">
        <v>0</v>
      </c>
      <c r="R278" s="19">
        <v>0</v>
      </c>
      <c r="S278" s="20" t="s">
        <v>33</v>
      </c>
    </row>
    <row r="279" spans="1:19" ht="15" customHeight="1" x14ac:dyDescent="0.3">
      <c r="A279" s="16">
        <v>196</v>
      </c>
      <c r="B279" s="15">
        <v>9.6968395061728302E-2</v>
      </c>
      <c r="C279" s="15">
        <v>0.28090666666666669</v>
      </c>
      <c r="D279" s="22">
        <v>1</v>
      </c>
      <c r="E279" s="15">
        <v>0.4418033333333331</v>
      </c>
      <c r="F279" s="15">
        <v>0.37754098765432081</v>
      </c>
      <c r="G279" s="15">
        <v>0.49780296296296289</v>
      </c>
      <c r="H279" s="16">
        <v>1</v>
      </c>
      <c r="I279" s="15">
        <v>0.19339962962962959</v>
      </c>
      <c r="J279" s="15">
        <v>0.19197222222222221</v>
      </c>
      <c r="K279" s="15">
        <v>0.2081088888888889</v>
      </c>
      <c r="L279" s="15">
        <v>0.18079666666666669</v>
      </c>
      <c r="M279" s="19">
        <v>6.3343176913385002E-3</v>
      </c>
      <c r="N279" s="16">
        <v>0</v>
      </c>
      <c r="O279" s="15" t="s">
        <v>33</v>
      </c>
      <c r="P279" s="16">
        <v>0</v>
      </c>
      <c r="Q279" s="16">
        <v>0</v>
      </c>
      <c r="R279" s="19">
        <v>0</v>
      </c>
      <c r="S279" s="20" t="s">
        <v>33</v>
      </c>
    </row>
    <row r="280" spans="1:19" ht="15" customHeight="1" x14ac:dyDescent="0.3">
      <c r="A280" s="16">
        <v>197</v>
      </c>
      <c r="B280" s="15">
        <v>-0.45847199999999999</v>
      </c>
      <c r="C280" s="15">
        <v>-0.24185533333333331</v>
      </c>
      <c r="D280" s="22">
        <v>0</v>
      </c>
      <c r="E280" s="15">
        <v>-0.64795349999999985</v>
      </c>
      <c r="F280" s="15">
        <v>-0.71390199999999993</v>
      </c>
      <c r="G280" s="15">
        <v>-0.57227433333333333</v>
      </c>
      <c r="H280" s="16">
        <v>1</v>
      </c>
      <c r="I280" s="15">
        <v>-0.35541850000000008</v>
      </c>
      <c r="J280" s="15">
        <v>-0.35373749999999998</v>
      </c>
      <c r="K280" s="15">
        <v>-0.37274099999999999</v>
      </c>
      <c r="L280" s="15">
        <v>-0.3405765</v>
      </c>
      <c r="M280" s="19">
        <v>0</v>
      </c>
      <c r="N280" s="16">
        <v>0</v>
      </c>
      <c r="O280" s="15" t="s">
        <v>33</v>
      </c>
      <c r="P280" s="16">
        <v>0</v>
      </c>
      <c r="Q280" s="16">
        <v>0</v>
      </c>
      <c r="R280" s="19">
        <v>0</v>
      </c>
      <c r="S280" s="20" t="s">
        <v>33</v>
      </c>
    </row>
    <row r="281" spans="1:19" ht="15" customHeight="1" x14ac:dyDescent="0.3">
      <c r="A281" s="16">
        <v>198</v>
      </c>
      <c r="B281" s="15">
        <v>-0.77543200000000001</v>
      </c>
      <c r="C281" s="15">
        <v>-0.5818239999999999</v>
      </c>
      <c r="D281" s="22">
        <v>0</v>
      </c>
      <c r="E281" s="15">
        <v>-0.31920399999999988</v>
      </c>
      <c r="F281" s="15">
        <v>-0.46739199999999997</v>
      </c>
      <c r="G281" s="15">
        <v>-0.18685599999999999</v>
      </c>
      <c r="H281" s="16">
        <v>0</v>
      </c>
      <c r="I281" s="15">
        <v>-0.67632399999999993</v>
      </c>
      <c r="J281" s="15">
        <v>-0.67614400000000008</v>
      </c>
      <c r="K281" s="15">
        <v>-0.7249239999999999</v>
      </c>
      <c r="L281" s="15">
        <v>-0.62282799999999994</v>
      </c>
      <c r="M281" s="19">
        <v>0</v>
      </c>
      <c r="N281" s="16">
        <v>1</v>
      </c>
      <c r="O281" s="15" t="s">
        <v>33</v>
      </c>
      <c r="P281" s="16">
        <v>0</v>
      </c>
      <c r="Q281" s="16">
        <v>0</v>
      </c>
      <c r="R281" s="19">
        <v>0</v>
      </c>
      <c r="S281" s="20" t="s">
        <v>33</v>
      </c>
    </row>
    <row r="282" spans="1:19" ht="15" customHeight="1" x14ac:dyDescent="0.3">
      <c r="A282" s="16">
        <v>199</v>
      </c>
      <c r="B282" s="15">
        <v>0.14379294117647071</v>
      </c>
      <c r="C282" s="15">
        <v>0.21339058823529411</v>
      </c>
      <c r="D282" s="22">
        <v>1</v>
      </c>
      <c r="E282" s="15">
        <v>4.9387058823529402E-2</v>
      </c>
      <c r="F282" s="15">
        <v>1.8109803921569001E-3</v>
      </c>
      <c r="G282" s="15">
        <v>0.1026572549019608</v>
      </c>
      <c r="H282" s="16">
        <v>1</v>
      </c>
      <c r="I282" s="15">
        <v>0.17776352941176471</v>
      </c>
      <c r="J282" s="15">
        <v>0.17769882352941169</v>
      </c>
      <c r="K282" s="15">
        <v>0.19523411764705889</v>
      </c>
      <c r="L282" s="15">
        <v>0.1585329411764706</v>
      </c>
      <c r="M282" s="19">
        <v>0</v>
      </c>
      <c r="N282" s="16">
        <v>1</v>
      </c>
      <c r="O282" s="15" t="s">
        <v>33</v>
      </c>
      <c r="P282" s="16">
        <v>0</v>
      </c>
      <c r="Q282" s="16">
        <v>0</v>
      </c>
      <c r="R282" s="19">
        <v>0</v>
      </c>
      <c r="S282" s="20" t="s">
        <v>33</v>
      </c>
    </row>
    <row r="283" spans="1:19" ht="15" customHeight="1" x14ac:dyDescent="0.3">
      <c r="A283" s="16">
        <v>200</v>
      </c>
      <c r="B283" s="15">
        <v>1.4276</v>
      </c>
      <c r="C283" s="15">
        <v>2.5148066666666669</v>
      </c>
      <c r="D283" s="22">
        <v>1</v>
      </c>
      <c r="E283" s="15">
        <v>4.4568300000000001</v>
      </c>
      <c r="F283" s="15">
        <v>3.808053333333334</v>
      </c>
      <c r="G283" s="15">
        <v>5.0351133333333333</v>
      </c>
      <c r="H283" s="16">
        <v>1</v>
      </c>
      <c r="I283" s="15">
        <v>1.9852000000000001</v>
      </c>
      <c r="J283" s="15">
        <v>2.0186899999999999</v>
      </c>
      <c r="K283" s="15">
        <v>1.6606700000000001</v>
      </c>
      <c r="L283" s="15">
        <v>2.24071</v>
      </c>
      <c r="M283" s="19">
        <v>3.3853243611215002E-3</v>
      </c>
      <c r="N283" s="16">
        <v>1</v>
      </c>
      <c r="O283" s="15" t="s">
        <v>33</v>
      </c>
      <c r="P283" s="16">
        <v>0</v>
      </c>
      <c r="Q283" s="16">
        <v>0</v>
      </c>
      <c r="R283" s="19">
        <v>0</v>
      </c>
      <c r="S283" s="20" t="s">
        <v>963</v>
      </c>
    </row>
    <row r="284" spans="1:19" ht="15" customHeight="1" x14ac:dyDescent="0.3">
      <c r="A284" s="16">
        <v>201</v>
      </c>
      <c r="B284" s="15">
        <v>-0.19258821428571429</v>
      </c>
      <c r="C284" s="15">
        <v>-0.1274928571428571</v>
      </c>
      <c r="D284" s="22">
        <v>0</v>
      </c>
      <c r="E284" s="15">
        <v>-0.30886482142857152</v>
      </c>
      <c r="F284" s="15">
        <v>-0.34348892857142849</v>
      </c>
      <c r="G284" s="15">
        <v>-0.27001999999999998</v>
      </c>
      <c r="H284" s="16">
        <v>0</v>
      </c>
      <c r="I284" s="15">
        <v>-0.1608785714285714</v>
      </c>
      <c r="J284" s="15">
        <v>-0.1628837500000001</v>
      </c>
      <c r="K284" s="15">
        <v>-0.1414476785714287</v>
      </c>
      <c r="L284" s="15">
        <v>-0.17617696428571419</v>
      </c>
      <c r="M284" s="19">
        <v>0</v>
      </c>
      <c r="N284" s="16">
        <v>1</v>
      </c>
      <c r="O284" s="15" t="s">
        <v>33</v>
      </c>
      <c r="P284" s="16">
        <v>0</v>
      </c>
      <c r="Q284" s="16">
        <v>0</v>
      </c>
      <c r="R284" s="19">
        <v>0</v>
      </c>
      <c r="S284" s="20" t="s">
        <v>963</v>
      </c>
    </row>
    <row r="285" spans="1:19" ht="15" customHeight="1" x14ac:dyDescent="0.3">
      <c r="A285" s="16">
        <v>202</v>
      </c>
      <c r="B285" s="15">
        <v>-5.4431999999999897E-2</v>
      </c>
      <c r="C285" s="15">
        <v>0.2188973333333333</v>
      </c>
      <c r="D285" s="22">
        <v>0.76666666666666672</v>
      </c>
      <c r="E285" s="15">
        <v>0.57760200000000017</v>
      </c>
      <c r="F285" s="15">
        <v>0.4667466666666667</v>
      </c>
      <c r="G285" s="15">
        <v>0.69854533333333335</v>
      </c>
      <c r="H285" s="16">
        <v>1</v>
      </c>
      <c r="I285" s="15">
        <v>8.2250000000000101E-2</v>
      </c>
      <c r="J285" s="15">
        <v>8.0507999999999996E-2</v>
      </c>
      <c r="K285" s="15">
        <v>6.1658000000000199E-2</v>
      </c>
      <c r="L285" s="15">
        <v>0.10128200000000009</v>
      </c>
      <c r="M285" s="19">
        <v>0</v>
      </c>
      <c r="N285" s="16">
        <v>0</v>
      </c>
      <c r="O285" s="15" t="s">
        <v>33</v>
      </c>
      <c r="P285" s="16">
        <v>0</v>
      </c>
      <c r="Q285" s="16">
        <v>0</v>
      </c>
      <c r="R285" s="19">
        <v>0</v>
      </c>
      <c r="S285" s="20" t="s">
        <v>33</v>
      </c>
    </row>
    <row r="286" spans="1:19" ht="15" customHeight="1" x14ac:dyDescent="0.3">
      <c r="A286" s="16">
        <v>203</v>
      </c>
      <c r="B286" s="15">
        <v>-0.20320999999999989</v>
      </c>
      <c r="C286" s="15">
        <v>-4.5519999999999998E-2</v>
      </c>
      <c r="D286" s="22">
        <v>1.6666666666666601E-2</v>
      </c>
      <c r="E286" s="15">
        <v>-0.41015499999999999</v>
      </c>
      <c r="F286" s="15">
        <v>-0.47992999999999991</v>
      </c>
      <c r="G286" s="15">
        <v>-0.34620000000000001</v>
      </c>
      <c r="H286" s="16">
        <v>1</v>
      </c>
      <c r="I286" s="15">
        <v>-0.124375</v>
      </c>
      <c r="J286" s="15">
        <v>-0.12336999999999999</v>
      </c>
      <c r="K286" s="15">
        <v>-0.11249500000000009</v>
      </c>
      <c r="L286" s="15">
        <v>-0.135355</v>
      </c>
      <c r="M286" s="19">
        <v>0</v>
      </c>
      <c r="N286" s="16">
        <v>0</v>
      </c>
      <c r="O286" s="15" t="s">
        <v>33</v>
      </c>
      <c r="P286" s="16">
        <v>0</v>
      </c>
      <c r="Q286" s="16">
        <v>0</v>
      </c>
      <c r="R286" s="19">
        <v>0</v>
      </c>
      <c r="S286" s="20" t="s">
        <v>33</v>
      </c>
    </row>
    <row r="287" spans="1:19" ht="15" customHeight="1" x14ac:dyDescent="0.3">
      <c r="A287" s="16">
        <v>204</v>
      </c>
      <c r="B287" s="15">
        <v>0.65183333333333338</v>
      </c>
      <c r="C287" s="15">
        <v>2.434333333333333</v>
      </c>
      <c r="D287" s="22">
        <v>0.98333333333333317</v>
      </c>
      <c r="E287" s="15">
        <v>3.41275</v>
      </c>
      <c r="F287" s="15">
        <v>2.4111666666666669</v>
      </c>
      <c r="G287" s="15">
        <v>4.5746666666666673</v>
      </c>
      <c r="H287" s="16">
        <v>1</v>
      </c>
      <c r="I287" s="15">
        <v>1.49925</v>
      </c>
      <c r="J287" s="15">
        <v>1.493125</v>
      </c>
      <c r="K287" s="15">
        <v>1.2702500000000001</v>
      </c>
      <c r="L287" s="15">
        <v>1.679875</v>
      </c>
      <c r="M287" s="19">
        <v>0</v>
      </c>
      <c r="N287" s="16">
        <v>1</v>
      </c>
      <c r="O287" s="15" t="s">
        <v>33</v>
      </c>
      <c r="P287" s="16">
        <v>0</v>
      </c>
      <c r="Q287" s="16">
        <v>1</v>
      </c>
      <c r="R287" s="19">
        <v>0</v>
      </c>
      <c r="S287" s="20" t="s">
        <v>964</v>
      </c>
    </row>
    <row r="288" spans="1:19" ht="15" customHeight="1" x14ac:dyDescent="0.3">
      <c r="A288" s="16">
        <v>205</v>
      </c>
      <c r="B288" s="15">
        <v>-0.2410139534883719</v>
      </c>
      <c r="C288" s="15">
        <v>-9.1781395348837197E-2</v>
      </c>
      <c r="D288" s="22">
        <v>0</v>
      </c>
      <c r="E288" s="15">
        <v>-0.32292790697674412</v>
      </c>
      <c r="F288" s="15">
        <v>-0.4202046511627906</v>
      </c>
      <c r="G288" s="15">
        <v>-0.23907441860465109</v>
      </c>
      <c r="H288" s="16">
        <v>0</v>
      </c>
      <c r="I288" s="15">
        <v>-0.16272790697674411</v>
      </c>
      <c r="J288" s="15">
        <v>-0.1622151162790697</v>
      </c>
      <c r="K288" s="15">
        <v>-0.14355581395348821</v>
      </c>
      <c r="L288" s="15">
        <v>-0.1778499999999999</v>
      </c>
      <c r="M288" s="19">
        <v>0</v>
      </c>
      <c r="N288" s="16">
        <v>1</v>
      </c>
      <c r="O288" s="15" t="s">
        <v>33</v>
      </c>
      <c r="P288" s="16">
        <v>0</v>
      </c>
      <c r="Q288" s="16">
        <v>1</v>
      </c>
      <c r="R288" s="19">
        <v>0</v>
      </c>
      <c r="S288" s="20" t="s">
        <v>964</v>
      </c>
    </row>
    <row r="289" spans="1:19" ht="15" customHeight="1" x14ac:dyDescent="0.3">
      <c r="A289" s="16">
        <v>206</v>
      </c>
      <c r="B289" s="15">
        <v>-0.51583111111111124</v>
      </c>
      <c r="C289" s="15">
        <v>-0.38758222222222222</v>
      </c>
      <c r="D289" s="22">
        <v>0</v>
      </c>
      <c r="E289" s="15">
        <v>-0.2051466666666667</v>
      </c>
      <c r="F289" s="15">
        <v>-0.26681777777777771</v>
      </c>
      <c r="G289" s="15">
        <v>-0.13616000000000009</v>
      </c>
      <c r="H289" s="16">
        <v>1</v>
      </c>
      <c r="I289" s="15">
        <v>-0.45550666666666673</v>
      </c>
      <c r="J289" s="15">
        <v>-0.45612000000000008</v>
      </c>
      <c r="K289" s="15">
        <v>-0.47106666666666669</v>
      </c>
      <c r="L289" s="15">
        <v>-0.45104000000000011</v>
      </c>
      <c r="M289" s="19">
        <v>0</v>
      </c>
      <c r="N289" s="16">
        <v>0</v>
      </c>
      <c r="O289" s="15" t="s">
        <v>33</v>
      </c>
      <c r="P289" s="16">
        <v>0</v>
      </c>
      <c r="Q289" s="16">
        <v>0</v>
      </c>
      <c r="R289" s="19">
        <v>0</v>
      </c>
      <c r="S289" s="20" t="s">
        <v>966</v>
      </c>
    </row>
    <row r="290" spans="1:19" ht="15" customHeight="1" x14ac:dyDescent="0.3">
      <c r="A290" s="16">
        <v>207</v>
      </c>
      <c r="B290" s="15">
        <v>0.81130033333333307</v>
      </c>
      <c r="C290" s="15">
        <v>1.1335256666666671</v>
      </c>
      <c r="D290" s="22">
        <v>1</v>
      </c>
      <c r="E290" s="15">
        <v>0.35293100000000011</v>
      </c>
      <c r="F290" s="15">
        <v>0.17960200000000001</v>
      </c>
      <c r="G290" s="15">
        <v>0.50787966666666662</v>
      </c>
      <c r="H290" s="16">
        <v>1</v>
      </c>
      <c r="I290" s="15">
        <v>0.98196050000000001</v>
      </c>
      <c r="J290" s="15">
        <v>0.98350150000000003</v>
      </c>
      <c r="K290" s="15">
        <v>1.021055</v>
      </c>
      <c r="L290" s="15">
        <v>0.97073799999999999</v>
      </c>
      <c r="M290" s="19">
        <v>1.322527441286E-2</v>
      </c>
      <c r="N290" s="16">
        <v>0</v>
      </c>
      <c r="O290" s="15" t="s">
        <v>33</v>
      </c>
      <c r="P290" s="16">
        <v>0</v>
      </c>
      <c r="Q290" s="16">
        <v>0</v>
      </c>
      <c r="R290" s="19">
        <v>0</v>
      </c>
      <c r="S290" s="20" t="s">
        <v>966</v>
      </c>
    </row>
    <row r="291" spans="1:19" ht="15" customHeight="1" x14ac:dyDescent="0.3">
      <c r="A291" s="16">
        <v>208</v>
      </c>
      <c r="B291" s="15">
        <v>-0.27339263157894739</v>
      </c>
      <c r="C291" s="15">
        <v>-0.21789368421052641</v>
      </c>
      <c r="D291" s="22">
        <v>0</v>
      </c>
      <c r="E291" s="15">
        <v>-7.1689473684210595E-2</v>
      </c>
      <c r="F291" s="15">
        <v>-9.5533684210526396E-2</v>
      </c>
      <c r="G291" s="15">
        <v>-4.6511578947368598E-2</v>
      </c>
      <c r="H291" s="16">
        <v>1</v>
      </c>
      <c r="I291" s="15">
        <v>-0.2457573684210527</v>
      </c>
      <c r="J291" s="15">
        <v>-0.24328157894736849</v>
      </c>
      <c r="K291" s="15">
        <v>-0.23627421052631589</v>
      </c>
      <c r="L291" s="15">
        <v>-0.25918631578947382</v>
      </c>
      <c r="M291" s="19">
        <v>0</v>
      </c>
      <c r="N291" s="16">
        <v>0</v>
      </c>
      <c r="O291" s="15" t="s">
        <v>33</v>
      </c>
      <c r="P291" s="16">
        <v>0</v>
      </c>
      <c r="Q291" s="16">
        <v>1</v>
      </c>
      <c r="R291" s="19">
        <v>0</v>
      </c>
      <c r="S291" s="20" t="s">
        <v>967</v>
      </c>
    </row>
    <row r="292" spans="1:19" ht="15" customHeight="1" x14ac:dyDescent="0.3">
      <c r="A292" s="16">
        <v>209</v>
      </c>
      <c r="B292" s="15">
        <v>0.90046999999999999</v>
      </c>
      <c r="C292" s="15">
        <v>1.2268566666666669</v>
      </c>
      <c r="D292" s="22">
        <v>1</v>
      </c>
      <c r="E292" s="15">
        <v>4.0649999999999999E-2</v>
      </c>
      <c r="F292" s="15">
        <v>-0.10741999999999979</v>
      </c>
      <c r="G292" s="15">
        <v>0.18087666666666649</v>
      </c>
      <c r="H292" s="16">
        <v>1</v>
      </c>
      <c r="I292" s="15">
        <v>1.064335</v>
      </c>
      <c r="J292" s="15">
        <v>1.0497749999999999</v>
      </c>
      <c r="K292" s="15">
        <v>1.0085649999999999</v>
      </c>
      <c r="L292" s="15">
        <v>1.14331</v>
      </c>
      <c r="M292" s="19">
        <v>4.4525437964573998E-3</v>
      </c>
      <c r="N292" s="16">
        <v>0</v>
      </c>
      <c r="O292" s="15" t="s">
        <v>33</v>
      </c>
      <c r="P292" s="16">
        <v>0</v>
      </c>
      <c r="Q292" s="16">
        <v>1</v>
      </c>
      <c r="R292" s="19">
        <v>5.7721984997517002E-3</v>
      </c>
      <c r="S292" s="20" t="s">
        <v>967</v>
      </c>
    </row>
    <row r="293" spans="1:19" ht="15" customHeight="1" x14ac:dyDescent="0.3">
      <c r="A293" s="16">
        <v>210</v>
      </c>
      <c r="B293" s="15">
        <v>-0.1434472727272727</v>
      </c>
      <c r="C293" s="15">
        <v>-8.4518787878787804E-2</v>
      </c>
      <c r="D293" s="22">
        <v>0</v>
      </c>
      <c r="E293" s="15">
        <v>0.1182109090909091</v>
      </c>
      <c r="F293" s="15">
        <v>9.2557575757575797E-2</v>
      </c>
      <c r="G293" s="15">
        <v>0.16380121212121199</v>
      </c>
      <c r="H293" s="16">
        <v>1</v>
      </c>
      <c r="I293" s="15">
        <v>-0.1180218181818181</v>
      </c>
      <c r="J293" s="15">
        <v>-0.1201454545454545</v>
      </c>
      <c r="K293" s="15">
        <v>-0.1111272727272727</v>
      </c>
      <c r="L293" s="15">
        <v>-0.12469818181818169</v>
      </c>
      <c r="M293" s="19">
        <v>0</v>
      </c>
      <c r="N293" s="16">
        <v>0</v>
      </c>
      <c r="O293" s="15" t="s">
        <v>33</v>
      </c>
      <c r="P293" s="16">
        <v>0</v>
      </c>
      <c r="Q293" s="16">
        <v>0</v>
      </c>
      <c r="R293" s="19">
        <v>0</v>
      </c>
      <c r="S293" s="20" t="s">
        <v>33</v>
      </c>
    </row>
    <row r="294" spans="1:19" ht="15" customHeight="1" x14ac:dyDescent="0.3">
      <c r="A294" s="16">
        <v>211</v>
      </c>
      <c r="B294" s="15">
        <v>3.7698666666666603E-2</v>
      </c>
      <c r="C294" s="15">
        <v>0.15113599999999991</v>
      </c>
      <c r="D294" s="22">
        <v>0.98333333333333317</v>
      </c>
      <c r="E294" s="15">
        <v>-0.35255599999999981</v>
      </c>
      <c r="F294" s="15">
        <v>-0.44031733333333328</v>
      </c>
      <c r="G294" s="15">
        <v>-0.30317333333333329</v>
      </c>
      <c r="H294" s="16">
        <v>1</v>
      </c>
      <c r="I294" s="15">
        <v>0.1021919999999998</v>
      </c>
      <c r="J294" s="15">
        <v>0.1062799999999999</v>
      </c>
      <c r="K294" s="15">
        <v>8.8919999999999805E-2</v>
      </c>
      <c r="L294" s="15">
        <v>0.1150439999999999</v>
      </c>
      <c r="M294" s="19">
        <v>0</v>
      </c>
      <c r="N294" s="16">
        <v>0</v>
      </c>
      <c r="O294" s="15" t="s">
        <v>33</v>
      </c>
      <c r="P294" s="16">
        <v>0</v>
      </c>
      <c r="Q294" s="16">
        <v>0</v>
      </c>
      <c r="R294" s="19">
        <v>0</v>
      </c>
      <c r="S294" s="20" t="s">
        <v>33</v>
      </c>
    </row>
    <row r="295" spans="1:19" ht="15" customHeight="1" x14ac:dyDescent="0.3">
      <c r="A295" s="16">
        <v>212</v>
      </c>
      <c r="B295" s="15">
        <v>0.84176000000000006</v>
      </c>
      <c r="C295" s="15">
        <v>1.13792</v>
      </c>
      <c r="D295" s="22">
        <v>1</v>
      </c>
      <c r="E295" s="15">
        <v>2.25434</v>
      </c>
      <c r="F295" s="15">
        <v>2.15036</v>
      </c>
      <c r="G295" s="15">
        <v>2.3551600000000001</v>
      </c>
      <c r="H295" s="16">
        <v>1</v>
      </c>
      <c r="I295" s="15">
        <v>1.00238</v>
      </c>
      <c r="J295" s="15">
        <v>0.98143999999999998</v>
      </c>
      <c r="K295" s="15">
        <v>0.92101999999999995</v>
      </c>
      <c r="L295" s="15">
        <v>1.0358000000000001</v>
      </c>
      <c r="M295" s="19">
        <v>5.6364848860797996E-3</v>
      </c>
      <c r="N295" s="16">
        <v>1</v>
      </c>
      <c r="O295" s="15" t="s">
        <v>33</v>
      </c>
      <c r="P295" s="16">
        <v>0</v>
      </c>
      <c r="Q295" s="16">
        <v>0</v>
      </c>
      <c r="R295" s="19">
        <v>0</v>
      </c>
      <c r="S295" s="20" t="s">
        <v>33</v>
      </c>
    </row>
    <row r="296" spans="1:19" ht="15" customHeight="1" x14ac:dyDescent="0.3">
      <c r="A296" s="16">
        <v>213</v>
      </c>
      <c r="B296" s="15">
        <v>-0.2848</v>
      </c>
      <c r="C296" s="15">
        <v>-0.22995555555555541</v>
      </c>
      <c r="D296" s="22">
        <v>0</v>
      </c>
      <c r="E296" s="15">
        <v>-0.49154444444444439</v>
      </c>
      <c r="F296" s="15">
        <v>-0.5102148148148149</v>
      </c>
      <c r="G296" s="15">
        <v>-0.47228888888888892</v>
      </c>
      <c r="H296" s="16">
        <v>0</v>
      </c>
      <c r="I296" s="15">
        <v>-0.25969999999999999</v>
      </c>
      <c r="J296" s="15">
        <v>-0.25582222222222217</v>
      </c>
      <c r="K296" s="15">
        <v>-0.24463333333333331</v>
      </c>
      <c r="L296" s="15">
        <v>-0.26588888888888867</v>
      </c>
      <c r="M296" s="19">
        <v>0</v>
      </c>
      <c r="N296" s="16">
        <v>1</v>
      </c>
      <c r="O296" s="15" t="s">
        <v>33</v>
      </c>
      <c r="P296" s="16">
        <v>0</v>
      </c>
      <c r="Q296" s="16">
        <v>0</v>
      </c>
      <c r="R296" s="19">
        <v>0</v>
      </c>
      <c r="S296" s="20" t="s">
        <v>33</v>
      </c>
    </row>
    <row r="297" spans="1:19" ht="15" customHeight="1" x14ac:dyDescent="0.3">
      <c r="A297" s="16">
        <v>214</v>
      </c>
      <c r="B297" s="15">
        <v>-0.1187733333333334</v>
      </c>
      <c r="C297" s="15">
        <v>0.27906999999999998</v>
      </c>
      <c r="D297" s="22">
        <v>0.83333333333333337</v>
      </c>
      <c r="E297" s="15">
        <v>1.182115</v>
      </c>
      <c r="F297" s="15">
        <v>0.91693666666666662</v>
      </c>
      <c r="G297" s="15">
        <v>1.4120633333333339</v>
      </c>
      <c r="H297" s="16">
        <v>1</v>
      </c>
      <c r="I297" s="15">
        <v>0.12138</v>
      </c>
      <c r="J297" s="15">
        <v>0.1228749999999998</v>
      </c>
      <c r="K297" s="15">
        <v>3.1549999999999898E-2</v>
      </c>
      <c r="L297" s="15">
        <v>0.22043999999999991</v>
      </c>
      <c r="M297" s="19">
        <v>0</v>
      </c>
      <c r="N297" s="16">
        <v>1</v>
      </c>
      <c r="O297" s="15" t="s">
        <v>33</v>
      </c>
      <c r="P297" s="16">
        <v>0</v>
      </c>
      <c r="Q297" s="16">
        <v>0</v>
      </c>
      <c r="R297" s="19">
        <v>0</v>
      </c>
      <c r="S297" s="20" t="s">
        <v>968</v>
      </c>
    </row>
    <row r="298" spans="1:19" ht="15" customHeight="1" x14ac:dyDescent="0.3">
      <c r="A298" s="16">
        <v>215</v>
      </c>
      <c r="B298" s="15">
        <v>-0.1122305263157895</v>
      </c>
      <c r="C298" s="15">
        <v>-4.4581052631578903E-2</v>
      </c>
      <c r="D298" s="22">
        <v>0</v>
      </c>
      <c r="E298" s="15">
        <v>-0.26578473684210518</v>
      </c>
      <c r="F298" s="15">
        <v>-0.30488526315789488</v>
      </c>
      <c r="G298" s="15">
        <v>-0.2206936842105264</v>
      </c>
      <c r="H298" s="16">
        <v>0</v>
      </c>
      <c r="I298" s="15">
        <v>-8.5416842105263194E-2</v>
      </c>
      <c r="J298" s="15">
        <v>-8.5671052631578995E-2</v>
      </c>
      <c r="K298" s="15">
        <v>-7.0142105263158103E-2</v>
      </c>
      <c r="L298" s="15">
        <v>-0.102261052631579</v>
      </c>
      <c r="M298" s="19">
        <v>0</v>
      </c>
      <c r="N298" s="16">
        <v>1</v>
      </c>
      <c r="O298" s="15" t="s">
        <v>33</v>
      </c>
      <c r="P298" s="16">
        <v>0</v>
      </c>
      <c r="Q298" s="16">
        <v>1</v>
      </c>
      <c r="R298" s="19">
        <v>0</v>
      </c>
      <c r="S298" s="20" t="s">
        <v>968</v>
      </c>
    </row>
    <row r="299" spans="1:19" ht="15" customHeight="1" x14ac:dyDescent="0.3">
      <c r="A299" s="16">
        <v>216</v>
      </c>
      <c r="B299" s="15">
        <v>-0.578739</v>
      </c>
      <c r="C299" s="15">
        <v>-0.40004499999999998</v>
      </c>
      <c r="D299" s="22">
        <v>0</v>
      </c>
      <c r="E299" s="15">
        <v>-7.1538499999999894E-2</v>
      </c>
      <c r="F299" s="15">
        <v>-0.1551279999999999</v>
      </c>
      <c r="G299" s="15">
        <v>4.4966666666666599E-2</v>
      </c>
      <c r="H299" s="16">
        <v>0</v>
      </c>
      <c r="I299" s="15">
        <v>-0.49959100000000001</v>
      </c>
      <c r="J299" s="15">
        <v>-0.50328050000000002</v>
      </c>
      <c r="K299" s="15">
        <v>-0.53368949999999993</v>
      </c>
      <c r="L299" s="15">
        <v>-0.46887649999999997</v>
      </c>
      <c r="M299" s="19">
        <v>0</v>
      </c>
      <c r="N299" s="16">
        <v>1</v>
      </c>
      <c r="O299" s="15" t="s">
        <v>33</v>
      </c>
      <c r="P299" s="16">
        <v>0</v>
      </c>
      <c r="Q299" s="16">
        <v>0</v>
      </c>
      <c r="R299" s="19">
        <v>0</v>
      </c>
      <c r="S299" s="20" t="s">
        <v>33</v>
      </c>
    </row>
    <row r="300" spans="1:19" ht="15" customHeight="1" x14ac:dyDescent="0.3">
      <c r="A300" s="16">
        <v>217</v>
      </c>
      <c r="B300" s="15">
        <v>0.1960333333333332</v>
      </c>
      <c r="C300" s="15">
        <v>0.31815818181818167</v>
      </c>
      <c r="D300" s="22">
        <v>1</v>
      </c>
      <c r="E300" s="15">
        <v>-2.8477878787878701E-2</v>
      </c>
      <c r="F300" s="15">
        <v>-0.1081010101010101</v>
      </c>
      <c r="G300" s="15">
        <v>2.86496969696967E-2</v>
      </c>
      <c r="H300" s="16">
        <v>1</v>
      </c>
      <c r="I300" s="15">
        <v>0.26406606060606053</v>
      </c>
      <c r="J300" s="15">
        <v>0.26658757575757552</v>
      </c>
      <c r="K300" s="15">
        <v>0.2873699999999999</v>
      </c>
      <c r="L300" s="15">
        <v>0.24307484848484839</v>
      </c>
      <c r="M300" s="19">
        <v>8.2526577168880004E-4</v>
      </c>
      <c r="N300" s="16">
        <v>1</v>
      </c>
      <c r="O300" s="15" t="s">
        <v>33</v>
      </c>
      <c r="P300" s="16">
        <v>0</v>
      </c>
      <c r="Q300" s="16">
        <v>0</v>
      </c>
      <c r="R300" s="19">
        <v>0</v>
      </c>
      <c r="S300" s="20" t="s">
        <v>33</v>
      </c>
    </row>
    <row r="301" spans="1:19" ht="15" customHeight="1" x14ac:dyDescent="0.3">
      <c r="A301" s="16">
        <v>218</v>
      </c>
      <c r="B301" s="15">
        <v>-0.48335833333333339</v>
      </c>
      <c r="C301" s="15">
        <v>6.5934999999999799E-2</v>
      </c>
      <c r="D301" s="22">
        <v>0.1666666666666666</v>
      </c>
      <c r="E301" s="15">
        <v>0.39834499999999989</v>
      </c>
      <c r="F301" s="15">
        <v>9.3633333333334005E-3</v>
      </c>
      <c r="G301" s="15">
        <v>0.75300666666666671</v>
      </c>
      <c r="H301" s="16">
        <v>0</v>
      </c>
      <c r="I301" s="15">
        <v>-0.22220999999999999</v>
      </c>
      <c r="J301" s="15">
        <v>-0.21180999999999989</v>
      </c>
      <c r="K301" s="15">
        <v>-0.26514249999999989</v>
      </c>
      <c r="L301" s="15">
        <v>-0.16273499999999991</v>
      </c>
      <c r="M301" s="19">
        <v>0</v>
      </c>
      <c r="N301" s="16">
        <v>1</v>
      </c>
      <c r="O301" s="15" t="s">
        <v>33</v>
      </c>
      <c r="P301" s="16">
        <v>0</v>
      </c>
      <c r="Q301" s="16">
        <v>0</v>
      </c>
      <c r="R301" s="19">
        <v>0</v>
      </c>
      <c r="S301" s="20" t="s">
        <v>33</v>
      </c>
    </row>
    <row r="302" spans="1:19" ht="15" customHeight="1" x14ac:dyDescent="0.3">
      <c r="A302" s="16">
        <v>219</v>
      </c>
      <c r="B302" s="15">
        <v>-8.7972857142856895E-2</v>
      </c>
      <c r="C302" s="15">
        <v>0.141402380952381</v>
      </c>
      <c r="D302" s="22">
        <v>0.68333333333333335</v>
      </c>
      <c r="E302" s="15">
        <v>-0.22678142857142841</v>
      </c>
      <c r="F302" s="15">
        <v>-0.37488190476190469</v>
      </c>
      <c r="G302" s="15">
        <v>-6.4349523809523801E-2</v>
      </c>
      <c r="H302" s="16">
        <v>1</v>
      </c>
      <c r="I302" s="15">
        <v>3.2351428571428503E-2</v>
      </c>
      <c r="J302" s="15">
        <v>2.8008571428571299E-2</v>
      </c>
      <c r="K302" s="15">
        <v>5.02792857142857E-2</v>
      </c>
      <c r="L302" s="15">
        <v>7.5157142857142003E-3</v>
      </c>
      <c r="M302" s="19">
        <v>0</v>
      </c>
      <c r="N302" s="16">
        <v>1</v>
      </c>
      <c r="O302" s="15" t="s">
        <v>33</v>
      </c>
      <c r="P302" s="16">
        <v>0</v>
      </c>
      <c r="Q302" s="16">
        <v>0</v>
      </c>
      <c r="R302" s="19">
        <v>0</v>
      </c>
      <c r="S302" s="20" t="s">
        <v>33</v>
      </c>
    </row>
    <row r="303" spans="1:19" ht="15" customHeight="1" x14ac:dyDescent="0.3">
      <c r="A303" s="16">
        <v>220</v>
      </c>
      <c r="B303" s="15">
        <v>6.9466666666666801E-2</v>
      </c>
      <c r="C303" s="15">
        <v>0.12858121212121201</v>
      </c>
      <c r="D303" s="22">
        <v>1</v>
      </c>
      <c r="E303" s="15">
        <v>0.15035818181818181</v>
      </c>
      <c r="F303" s="15">
        <v>0.1383193939393938</v>
      </c>
      <c r="G303" s="15">
        <v>0.16600545454545459</v>
      </c>
      <c r="H303" s="16">
        <v>1</v>
      </c>
      <c r="I303" s="15">
        <v>9.5190909090909104E-2</v>
      </c>
      <c r="J303" s="15">
        <v>9.4091818181818193E-2</v>
      </c>
      <c r="K303" s="15">
        <v>0.1080136363636363</v>
      </c>
      <c r="L303" s="15">
        <v>8.1316363636363603E-2</v>
      </c>
      <c r="M303" s="19">
        <v>1.7712700794594399E-2</v>
      </c>
      <c r="N303" s="16">
        <v>0</v>
      </c>
      <c r="O303" s="15" t="s">
        <v>33</v>
      </c>
      <c r="P303" s="16">
        <v>0</v>
      </c>
      <c r="Q303" s="16">
        <v>0</v>
      </c>
      <c r="R303" s="19">
        <v>0</v>
      </c>
      <c r="S303" s="20" t="s">
        <v>33</v>
      </c>
    </row>
    <row r="304" spans="1:19" ht="15" customHeight="1" x14ac:dyDescent="0.3">
      <c r="A304" s="16">
        <v>221</v>
      </c>
      <c r="B304" s="15">
        <v>-0.78602833333333322</v>
      </c>
      <c r="C304" s="15">
        <v>-0.54843333333333344</v>
      </c>
      <c r="D304" s="22">
        <v>0</v>
      </c>
      <c r="E304" s="15">
        <v>-0.87355500000000008</v>
      </c>
      <c r="F304" s="15">
        <v>-0.93644500000000019</v>
      </c>
      <c r="G304" s="15">
        <v>-0.82516833333333306</v>
      </c>
      <c r="H304" s="16">
        <v>1</v>
      </c>
      <c r="I304" s="15">
        <v>-0.65182499999999988</v>
      </c>
      <c r="J304" s="15">
        <v>-0.64740749999999991</v>
      </c>
      <c r="K304" s="15">
        <v>-0.7033625</v>
      </c>
      <c r="L304" s="15">
        <v>-0.59606000000000003</v>
      </c>
      <c r="M304" s="19">
        <v>0</v>
      </c>
      <c r="N304" s="16">
        <v>0</v>
      </c>
      <c r="O304" s="15" t="s">
        <v>33</v>
      </c>
      <c r="P304" s="16">
        <v>0</v>
      </c>
      <c r="Q304" s="16">
        <v>0</v>
      </c>
      <c r="R304" s="19">
        <v>0</v>
      </c>
      <c r="S304" s="20" t="s">
        <v>33</v>
      </c>
    </row>
    <row r="305" spans="1:19" ht="15" customHeight="1" x14ac:dyDescent="0.3">
      <c r="A305" s="16">
        <v>222</v>
      </c>
      <c r="B305" s="15">
        <v>-0.1384666666666666</v>
      </c>
      <c r="C305" s="15">
        <v>-3.5791666666666701E-2</v>
      </c>
      <c r="D305" s="22">
        <v>0</v>
      </c>
      <c r="E305" s="15">
        <v>9.4949999999999798E-2</v>
      </c>
      <c r="F305" s="15">
        <v>5.4116666666666598E-2</v>
      </c>
      <c r="G305" s="15">
        <v>0.12545833333333339</v>
      </c>
      <c r="H305" s="16">
        <v>1</v>
      </c>
      <c r="I305" s="15">
        <v>-7.6100000000000001E-2</v>
      </c>
      <c r="J305" s="15">
        <v>-7.4912499999999896E-2</v>
      </c>
      <c r="K305" s="15">
        <v>-6.2687499999999993E-2</v>
      </c>
      <c r="L305" s="15">
        <v>-8.9274999999999993E-2</v>
      </c>
      <c r="M305" s="19">
        <v>0</v>
      </c>
      <c r="N305" s="16">
        <v>0</v>
      </c>
      <c r="O305" s="15" t="s">
        <v>33</v>
      </c>
      <c r="P305" s="16">
        <v>0</v>
      </c>
      <c r="Q305" s="16">
        <v>1</v>
      </c>
      <c r="R305" s="19">
        <v>0</v>
      </c>
      <c r="S305" s="20" t="s">
        <v>965</v>
      </c>
    </row>
    <row r="306" spans="1:19" ht="15" customHeight="1" x14ac:dyDescent="0.3">
      <c r="A306" s="16">
        <v>223</v>
      </c>
      <c r="B306" s="15">
        <v>-8.5466666666666496E-2</v>
      </c>
      <c r="C306" s="15">
        <v>0.24309333333333319</v>
      </c>
      <c r="D306" s="22">
        <v>0.6333333333333333</v>
      </c>
      <c r="E306" s="15">
        <v>-0.50383999999999984</v>
      </c>
      <c r="F306" s="15">
        <v>-0.6014666666666667</v>
      </c>
      <c r="G306" s="15">
        <v>-0.3731733333333333</v>
      </c>
      <c r="H306" s="16">
        <v>1</v>
      </c>
      <c r="I306" s="15">
        <v>4.3520000000000003E-2</v>
      </c>
      <c r="J306" s="15">
        <v>3.9719999999999901E-2</v>
      </c>
      <c r="K306" s="15">
        <v>5.9999999999989998E-4</v>
      </c>
      <c r="L306" s="15">
        <v>8.5679999999999895E-2</v>
      </c>
      <c r="M306" s="19">
        <v>0</v>
      </c>
      <c r="N306" s="16">
        <v>0</v>
      </c>
      <c r="O306" s="15" t="s">
        <v>33</v>
      </c>
      <c r="P306" s="16">
        <v>0</v>
      </c>
      <c r="Q306" s="16">
        <v>1</v>
      </c>
      <c r="R306" s="19">
        <v>0</v>
      </c>
      <c r="S306" s="20" t="s">
        <v>965</v>
      </c>
    </row>
    <row r="307" spans="1:19" ht="15" customHeight="1" x14ac:dyDescent="0.3">
      <c r="A307" s="16">
        <v>224</v>
      </c>
      <c r="B307" s="15">
        <v>-0.19459130434782621</v>
      </c>
      <c r="C307" s="15">
        <v>-3.2101159420289897E-2</v>
      </c>
      <c r="D307" s="22">
        <v>0</v>
      </c>
      <c r="E307" s="15">
        <v>0.26541521739130419</v>
      </c>
      <c r="F307" s="15">
        <v>0.2105185507246376</v>
      </c>
      <c r="G307" s="15">
        <v>0.34040347826086947</v>
      </c>
      <c r="H307" s="16">
        <v>1</v>
      </c>
      <c r="I307" s="15">
        <v>-0.13192347826086959</v>
      </c>
      <c r="J307" s="15">
        <v>-0.12504347826086959</v>
      </c>
      <c r="K307" s="15">
        <v>-0.1379621739130435</v>
      </c>
      <c r="L307" s="15">
        <v>-0.1226317391304349</v>
      </c>
      <c r="M307" s="19">
        <v>0</v>
      </c>
      <c r="N307" s="16">
        <v>0</v>
      </c>
      <c r="O307" s="15" t="s">
        <v>33</v>
      </c>
      <c r="P307" s="16">
        <v>0</v>
      </c>
      <c r="Q307" s="16">
        <v>0</v>
      </c>
      <c r="R307" s="19">
        <v>0</v>
      </c>
      <c r="S307" s="20" t="s">
        <v>33</v>
      </c>
    </row>
    <row r="308" spans="1:19" ht="15" customHeight="1" x14ac:dyDescent="0.3">
      <c r="A308" s="16">
        <v>225</v>
      </c>
      <c r="B308" s="15">
        <v>-9.83336231884058E-2</v>
      </c>
      <c r="C308" s="15">
        <v>6.4156521739130307E-2</v>
      </c>
      <c r="D308" s="22">
        <v>0.33333333333333331</v>
      </c>
      <c r="E308" s="15">
        <v>-0.39584999999999992</v>
      </c>
      <c r="F308" s="15">
        <v>-0.47083826086956532</v>
      </c>
      <c r="G308" s="15">
        <v>-0.34095333333333339</v>
      </c>
      <c r="H308" s="16">
        <v>1</v>
      </c>
      <c r="I308" s="15">
        <v>1.4886956521737E-3</v>
      </c>
      <c r="J308" s="15">
        <v>-5.3913043478260002E-3</v>
      </c>
      <c r="K308" s="15">
        <v>7.5273913043475997E-3</v>
      </c>
      <c r="L308" s="15">
        <v>-7.8030434782607998E-3</v>
      </c>
      <c r="M308" s="19">
        <v>0</v>
      </c>
      <c r="N308" s="16">
        <v>0</v>
      </c>
      <c r="O308" s="15" t="s">
        <v>33</v>
      </c>
      <c r="P308" s="16">
        <v>0</v>
      </c>
      <c r="Q308" s="16">
        <v>0</v>
      </c>
      <c r="R308" s="19">
        <v>0</v>
      </c>
      <c r="S308" s="20" t="s">
        <v>33</v>
      </c>
    </row>
    <row r="309" spans="1:19" ht="15" customHeight="1" x14ac:dyDescent="0.3">
      <c r="A309" s="16">
        <v>226</v>
      </c>
      <c r="B309" s="15">
        <v>0.1041411764705884</v>
      </c>
      <c r="C309" s="15">
        <v>0.1949670588235296</v>
      </c>
      <c r="D309" s="22">
        <v>1</v>
      </c>
      <c r="E309" s="15">
        <v>0.38138352941176468</v>
      </c>
      <c r="F309" s="15">
        <v>0.35082588235294121</v>
      </c>
      <c r="G309" s="15">
        <v>0.4202952941176471</v>
      </c>
      <c r="H309" s="16">
        <v>1</v>
      </c>
      <c r="I309" s="15">
        <v>0.1471823529411766</v>
      </c>
      <c r="J309" s="15">
        <v>0.14173470588235301</v>
      </c>
      <c r="K309" s="15">
        <v>0.16824235294117651</v>
      </c>
      <c r="L309" s="15">
        <v>0.1304423529411764</v>
      </c>
      <c r="M309" s="19">
        <v>0</v>
      </c>
      <c r="N309" s="16">
        <v>0</v>
      </c>
      <c r="O309" s="15" t="s">
        <v>33</v>
      </c>
      <c r="P309" s="16">
        <v>0</v>
      </c>
      <c r="Q309" s="16">
        <v>0</v>
      </c>
      <c r="R309" s="19">
        <v>0</v>
      </c>
      <c r="S309" s="20" t="s">
        <v>33</v>
      </c>
    </row>
    <row r="310" spans="1:19" ht="15" customHeight="1" x14ac:dyDescent="0.3">
      <c r="A310" s="16">
        <v>227</v>
      </c>
      <c r="B310" s="15">
        <v>-0.40572800000000009</v>
      </c>
      <c r="C310" s="15">
        <v>-0.26848000000000011</v>
      </c>
      <c r="D310" s="22">
        <v>0</v>
      </c>
      <c r="E310" s="15">
        <v>-0.68742400000000004</v>
      </c>
      <c r="F310" s="15">
        <v>-0.74622400000000011</v>
      </c>
      <c r="G310" s="15">
        <v>-0.64124799999999993</v>
      </c>
      <c r="H310" s="16">
        <v>1</v>
      </c>
      <c r="I310" s="15">
        <v>-0.33352000000000009</v>
      </c>
      <c r="J310" s="15">
        <v>-0.32528800000000002</v>
      </c>
      <c r="K310" s="15">
        <v>-0.365344</v>
      </c>
      <c r="L310" s="15">
        <v>-0.30822399999999989</v>
      </c>
      <c r="M310" s="19">
        <v>0</v>
      </c>
      <c r="N310" s="16">
        <v>0</v>
      </c>
      <c r="O310" s="15" t="s">
        <v>33</v>
      </c>
      <c r="P310" s="16">
        <v>0</v>
      </c>
      <c r="Q310" s="16">
        <v>0</v>
      </c>
      <c r="R310" s="19">
        <v>0</v>
      </c>
      <c r="S310" s="20" t="s">
        <v>33</v>
      </c>
    </row>
    <row r="311" spans="1:19" ht="15" customHeight="1" x14ac:dyDescent="0.3">
      <c r="A311" s="16">
        <v>228</v>
      </c>
      <c r="B311" s="15">
        <v>-0.58268333333333344</v>
      </c>
      <c r="C311" s="15">
        <v>0.25831999999999999</v>
      </c>
      <c r="D311" s="22">
        <v>0.2</v>
      </c>
      <c r="E311" s="15">
        <v>1.05653</v>
      </c>
      <c r="F311" s="15">
        <v>0.32299999999999979</v>
      </c>
      <c r="G311" s="15">
        <v>1.9450633333333329</v>
      </c>
      <c r="H311" s="16">
        <v>0</v>
      </c>
      <c r="I311" s="15">
        <v>-0.24834000000000001</v>
      </c>
      <c r="J311" s="15">
        <v>-0.271615</v>
      </c>
      <c r="K311" s="15">
        <v>-0.47373999999999999</v>
      </c>
      <c r="L311" s="15">
        <v>-5.7485000000000099E-2</v>
      </c>
      <c r="M311" s="19">
        <v>0</v>
      </c>
      <c r="N311" s="16">
        <v>1</v>
      </c>
      <c r="O311" s="15" t="s">
        <v>33</v>
      </c>
      <c r="P311" s="16">
        <v>0</v>
      </c>
      <c r="Q311" s="16">
        <v>0</v>
      </c>
      <c r="R311" s="19">
        <v>0</v>
      </c>
      <c r="S311" s="20" t="s">
        <v>33</v>
      </c>
    </row>
    <row r="312" spans="1:19" ht="15" customHeight="1" x14ac:dyDescent="0.3">
      <c r="A312" s="16">
        <v>229</v>
      </c>
      <c r="B312" s="15">
        <v>-4.18735999999999E-2</v>
      </c>
      <c r="C312" s="15">
        <v>-7.2036666666665996E-3</v>
      </c>
      <c r="D312" s="22">
        <v>1.6666666666666601E-2</v>
      </c>
      <c r="E312" s="15">
        <v>-7.4779399999999996E-2</v>
      </c>
      <c r="F312" s="15">
        <v>-0.1114087333333333</v>
      </c>
      <c r="G312" s="15">
        <v>-4.4540000000000003E-2</v>
      </c>
      <c r="H312" s="16">
        <v>0</v>
      </c>
      <c r="I312" s="15">
        <v>-2.09868E-2</v>
      </c>
      <c r="J312" s="15">
        <v>-2.0027300000000001E-2</v>
      </c>
      <c r="K312" s="15">
        <v>-1.16947999999998E-2</v>
      </c>
      <c r="L312" s="15">
        <v>-2.88547E-2</v>
      </c>
      <c r="M312" s="19">
        <v>0</v>
      </c>
      <c r="N312" s="16">
        <v>1</v>
      </c>
      <c r="O312" s="15" t="s">
        <v>33</v>
      </c>
      <c r="P312" s="16">
        <v>0</v>
      </c>
      <c r="Q312" s="16">
        <v>0</v>
      </c>
      <c r="R312" s="19">
        <v>0</v>
      </c>
      <c r="S312" s="20" t="s">
        <v>33</v>
      </c>
    </row>
    <row r="313" spans="1:19" ht="15" customHeight="1" x14ac:dyDescent="0.3">
      <c r="A313" s="16">
        <v>230</v>
      </c>
      <c r="B313" s="15">
        <v>-0.1213181818181817</v>
      </c>
      <c r="C313" s="15">
        <v>-4.8210909090908999E-2</v>
      </c>
      <c r="D313" s="22">
        <v>0</v>
      </c>
      <c r="E313" s="15">
        <v>5.1487272727272798E-2</v>
      </c>
      <c r="F313" s="15">
        <v>2.2123030303030301E-2</v>
      </c>
      <c r="G313" s="15">
        <v>7.2901818181818206E-2</v>
      </c>
      <c r="H313" s="16">
        <v>1</v>
      </c>
      <c r="I313" s="15">
        <v>-7.7626363636363493E-2</v>
      </c>
      <c r="J313" s="15">
        <v>-7.5569999999999998E-2</v>
      </c>
      <c r="K313" s="15">
        <v>-5.94972727272726E-2</v>
      </c>
      <c r="L313" s="15">
        <v>-9.0472727272727205E-2</v>
      </c>
      <c r="M313" s="19">
        <v>0</v>
      </c>
      <c r="N313" s="16">
        <v>0</v>
      </c>
      <c r="O313" s="15" t="s">
        <v>33</v>
      </c>
      <c r="P313" s="16">
        <v>0</v>
      </c>
      <c r="Q313" s="16">
        <v>0</v>
      </c>
      <c r="R313" s="19">
        <v>0</v>
      </c>
      <c r="S313" s="20" t="s">
        <v>33</v>
      </c>
    </row>
    <row r="314" spans="1:19" ht="15" customHeight="1" x14ac:dyDescent="0.3">
      <c r="A314" s="16">
        <v>231</v>
      </c>
      <c r="B314" s="15">
        <v>-7.5460000000000096E-2</v>
      </c>
      <c r="C314" s="15">
        <v>0.21837499999999979</v>
      </c>
      <c r="D314" s="22">
        <v>0.68333333333333335</v>
      </c>
      <c r="E314" s="15">
        <v>-0.4761699999999997</v>
      </c>
      <c r="F314" s="15">
        <v>-0.5622400000000003</v>
      </c>
      <c r="G314" s="15">
        <v>-0.35814833333333329</v>
      </c>
      <c r="H314" s="16">
        <v>1</v>
      </c>
      <c r="I314" s="15">
        <v>4.27675E-2</v>
      </c>
      <c r="J314" s="15">
        <v>3.4502500000000103E-2</v>
      </c>
      <c r="K314" s="15">
        <v>-3.00975000000001E-2</v>
      </c>
      <c r="L314" s="15">
        <v>9.4400000000000206E-2</v>
      </c>
      <c r="M314" s="19">
        <v>0</v>
      </c>
      <c r="N314" s="16">
        <v>0</v>
      </c>
      <c r="O314" s="15" t="s">
        <v>33</v>
      </c>
      <c r="P314" s="16">
        <v>0</v>
      </c>
      <c r="Q314" s="16">
        <v>0</v>
      </c>
      <c r="R314" s="19">
        <v>0</v>
      </c>
      <c r="S314" s="20" t="s">
        <v>33</v>
      </c>
    </row>
    <row r="315" spans="1:19" ht="15" customHeight="1" x14ac:dyDescent="0.3">
      <c r="A315" s="16">
        <v>232</v>
      </c>
      <c r="B315" s="15">
        <v>-0.21428742857142849</v>
      </c>
      <c r="C315" s="15">
        <v>-8.5639428571428394E-2</v>
      </c>
      <c r="D315" s="22">
        <v>0</v>
      </c>
      <c r="E315" s="15">
        <v>-6.0014285714283999E-3</v>
      </c>
      <c r="F315" s="15">
        <v>-6.0010857142857102E-2</v>
      </c>
      <c r="G315" s="15">
        <v>2.4942285714285601E-2</v>
      </c>
      <c r="H315" s="16">
        <v>1</v>
      </c>
      <c r="I315" s="15">
        <v>-0.13530314285714279</v>
      </c>
      <c r="J315" s="15">
        <v>-0.1354257142857142</v>
      </c>
      <c r="K315" s="15">
        <v>-0.1218425714285714</v>
      </c>
      <c r="L315" s="15">
        <v>-0.14768285714285709</v>
      </c>
      <c r="M315" s="19">
        <v>0</v>
      </c>
      <c r="N315" s="16">
        <v>0</v>
      </c>
      <c r="O315" s="15" t="s">
        <v>33</v>
      </c>
      <c r="P315" s="16">
        <v>0</v>
      </c>
      <c r="Q315" s="16">
        <v>0</v>
      </c>
      <c r="R315" s="19">
        <v>0</v>
      </c>
      <c r="S315" s="20" t="s">
        <v>33</v>
      </c>
    </row>
    <row r="316" spans="1:19" ht="15" customHeight="1" x14ac:dyDescent="0.3">
      <c r="A316" s="16">
        <v>233</v>
      </c>
      <c r="B316" s="15">
        <v>3.1664999999999499E-2</v>
      </c>
      <c r="C316" s="15">
        <v>0.69552166666666659</v>
      </c>
      <c r="D316" s="22">
        <v>0.91666666666666663</v>
      </c>
      <c r="E316" s="15">
        <v>-0.3792875</v>
      </c>
      <c r="F316" s="15">
        <v>-0.53896499999999992</v>
      </c>
      <c r="G316" s="15">
        <v>-0.1005849999999998</v>
      </c>
      <c r="H316" s="16">
        <v>1</v>
      </c>
      <c r="I316" s="15">
        <v>0.28794250000000021</v>
      </c>
      <c r="J316" s="15">
        <v>0.2885749999999998</v>
      </c>
      <c r="K316" s="15">
        <v>0.2184825000000003</v>
      </c>
      <c r="L316" s="15">
        <v>0.35182499999999978</v>
      </c>
      <c r="M316" s="19">
        <v>0</v>
      </c>
      <c r="N316" s="16">
        <v>0</v>
      </c>
      <c r="O316" s="15" t="s">
        <v>33</v>
      </c>
      <c r="P316" s="16">
        <v>0</v>
      </c>
      <c r="Q316" s="16">
        <v>0</v>
      </c>
      <c r="R316" s="19">
        <v>0</v>
      </c>
      <c r="S316" s="20" t="s">
        <v>33</v>
      </c>
    </row>
    <row r="317" spans="1:19" ht="15" customHeight="1" x14ac:dyDescent="0.3">
      <c r="A317" s="16">
        <v>234</v>
      </c>
      <c r="B317" s="15">
        <v>-0.49967499999999998</v>
      </c>
      <c r="C317" s="15">
        <v>-0.17394999999999999</v>
      </c>
      <c r="D317" s="22">
        <v>0</v>
      </c>
      <c r="E317" s="15">
        <v>-0.32188749999999999</v>
      </c>
      <c r="F317" s="15">
        <v>-0.49967499999999998</v>
      </c>
      <c r="G317" s="15">
        <v>-0.17394999999999999</v>
      </c>
      <c r="H317" s="16">
        <v>1</v>
      </c>
      <c r="I317" s="15">
        <v>-0.31990000000000007</v>
      </c>
      <c r="J317" s="15">
        <v>-0.32514999999999988</v>
      </c>
      <c r="K317" s="15">
        <v>-0.313525</v>
      </c>
      <c r="L317" s="15">
        <v>-0.33579999999999999</v>
      </c>
      <c r="M317" s="19">
        <v>0</v>
      </c>
      <c r="N317" s="16">
        <v>0</v>
      </c>
      <c r="O317" s="15" t="s">
        <v>33</v>
      </c>
      <c r="P317" s="16">
        <v>0</v>
      </c>
      <c r="Q317" s="16">
        <v>1</v>
      </c>
      <c r="R317" s="19">
        <v>0</v>
      </c>
      <c r="S317" s="20" t="s">
        <v>970</v>
      </c>
    </row>
    <row r="318" spans="1:19" ht="15" customHeight="1" x14ac:dyDescent="0.3">
      <c r="A318" s="16">
        <v>235</v>
      </c>
      <c r="B318" s="15">
        <v>-0.59665999999999997</v>
      </c>
      <c r="C318" s="15">
        <v>-0.45421</v>
      </c>
      <c r="D318" s="22">
        <v>0</v>
      </c>
      <c r="E318" s="15">
        <v>-0.52471749999999995</v>
      </c>
      <c r="F318" s="15">
        <v>-0.59665999999999997</v>
      </c>
      <c r="G318" s="15">
        <v>-0.45421</v>
      </c>
      <c r="H318" s="16">
        <v>1</v>
      </c>
      <c r="I318" s="15">
        <v>-0.52340500000000001</v>
      </c>
      <c r="J318" s="15">
        <v>-0.52298500000000003</v>
      </c>
      <c r="K318" s="15">
        <v>-0.51715750000000005</v>
      </c>
      <c r="L318" s="15">
        <v>-0.52398250000000002</v>
      </c>
      <c r="M318" s="19">
        <v>0</v>
      </c>
      <c r="N318" s="16">
        <v>0</v>
      </c>
      <c r="O318" s="15" t="s">
        <v>33</v>
      </c>
      <c r="P318" s="16">
        <v>0</v>
      </c>
      <c r="Q318" s="16">
        <v>0</v>
      </c>
      <c r="R318" s="19">
        <v>0</v>
      </c>
      <c r="S318" s="20" t="s">
        <v>33</v>
      </c>
    </row>
    <row r="319" spans="1:19" ht="15" customHeight="1" x14ac:dyDescent="0.3">
      <c r="A319" s="16">
        <v>236</v>
      </c>
      <c r="B319" s="15">
        <v>-9.2666666666666002E-3</v>
      </c>
      <c r="C319" s="15">
        <v>0.1008066666666666</v>
      </c>
      <c r="D319" s="22">
        <v>0.85</v>
      </c>
      <c r="E319" s="15">
        <v>5.9959999999999999E-2</v>
      </c>
      <c r="F319" s="15">
        <v>-9.2666666666666002E-3</v>
      </c>
      <c r="G319" s="15">
        <v>0.1008066666666666</v>
      </c>
      <c r="H319" s="16">
        <v>1</v>
      </c>
      <c r="I319" s="15">
        <v>5.3029999999999897E-2</v>
      </c>
      <c r="J319" s="15">
        <v>4.9180000000000001E-2</v>
      </c>
      <c r="K319" s="15">
        <v>4.7309999999999901E-2</v>
      </c>
      <c r="L319" s="15">
        <v>3.5319999999999997E-2</v>
      </c>
      <c r="M319" s="19">
        <v>0</v>
      </c>
      <c r="N319" s="16">
        <v>0</v>
      </c>
      <c r="O319" s="15" t="s">
        <v>33</v>
      </c>
      <c r="P319" s="16">
        <v>0</v>
      </c>
      <c r="Q319" s="16">
        <v>0</v>
      </c>
      <c r="R319" s="19">
        <v>0</v>
      </c>
      <c r="S319" s="20" t="s">
        <v>33</v>
      </c>
    </row>
    <row r="320" spans="1:19" ht="15" customHeight="1" x14ac:dyDescent="0.3">
      <c r="A320" s="16">
        <v>237</v>
      </c>
      <c r="B320" s="15">
        <v>-0.67188000000000003</v>
      </c>
      <c r="C320" s="15">
        <v>-0.54759999999999998</v>
      </c>
      <c r="D320" s="22">
        <v>0</v>
      </c>
      <c r="E320" s="15">
        <v>-0.60336999999999996</v>
      </c>
      <c r="F320" s="15">
        <v>-0.67188000000000003</v>
      </c>
      <c r="G320" s="15">
        <v>-0.54759999999999998</v>
      </c>
      <c r="H320" s="16">
        <v>1</v>
      </c>
      <c r="I320" s="15">
        <v>-0.60116000000000003</v>
      </c>
      <c r="J320" s="15">
        <v>-0.60128999999999999</v>
      </c>
      <c r="K320" s="15">
        <v>-0.60324</v>
      </c>
      <c r="L320" s="15">
        <v>-0.59284000000000003</v>
      </c>
      <c r="M320" s="19">
        <v>0</v>
      </c>
      <c r="N320" s="16">
        <v>0</v>
      </c>
      <c r="O320" s="15" t="s">
        <v>33</v>
      </c>
      <c r="P320" s="16">
        <v>0</v>
      </c>
      <c r="Q320" s="16">
        <v>0</v>
      </c>
      <c r="R320" s="19">
        <v>0</v>
      </c>
      <c r="S320" s="20" t="s">
        <v>33</v>
      </c>
    </row>
    <row r="321" spans="1:19" ht="15" customHeight="1" x14ac:dyDescent="0.3">
      <c r="A321" s="16">
        <v>238</v>
      </c>
      <c r="B321" s="15">
        <v>-0.37018666666666661</v>
      </c>
      <c r="C321" s="15">
        <v>-0.27843999999999991</v>
      </c>
      <c r="D321" s="22">
        <v>0</v>
      </c>
      <c r="E321" s="15">
        <v>-0.34927999999999998</v>
      </c>
      <c r="F321" s="15">
        <v>-0.37018666666666661</v>
      </c>
      <c r="G321" s="15">
        <v>-0.27843999999999991</v>
      </c>
      <c r="H321" s="16">
        <v>1</v>
      </c>
      <c r="I321" s="15">
        <v>-0.34844000000000008</v>
      </c>
      <c r="J321" s="15">
        <v>-0.34088000000000002</v>
      </c>
      <c r="K321" s="15">
        <v>-0.32282</v>
      </c>
      <c r="L321" s="15">
        <v>-0.32926</v>
      </c>
      <c r="M321" s="19">
        <v>0</v>
      </c>
      <c r="N321" s="16">
        <v>0</v>
      </c>
      <c r="O321" s="15" t="s">
        <v>33</v>
      </c>
      <c r="P321" s="16">
        <v>0</v>
      </c>
      <c r="Q321" s="16">
        <v>0</v>
      </c>
      <c r="R321" s="19">
        <v>0</v>
      </c>
      <c r="S321" s="20" t="s">
        <v>33</v>
      </c>
    </row>
    <row r="322" spans="1:19" ht="15" customHeight="1" x14ac:dyDescent="0.3">
      <c r="A322" s="16">
        <v>239</v>
      </c>
      <c r="B322" s="15">
        <v>-0.72362000000000004</v>
      </c>
      <c r="C322" s="15">
        <v>-0.4925666666666666</v>
      </c>
      <c r="D322" s="22">
        <v>0</v>
      </c>
      <c r="E322" s="15">
        <v>-0.61468</v>
      </c>
      <c r="F322" s="15">
        <v>-0.72362000000000004</v>
      </c>
      <c r="G322" s="15">
        <v>-0.4925666666666666</v>
      </c>
      <c r="H322" s="16">
        <v>1</v>
      </c>
      <c r="I322" s="15">
        <v>-0.61572000000000005</v>
      </c>
      <c r="J322" s="15">
        <v>-0.61351</v>
      </c>
      <c r="K322" s="15">
        <v>-0.61897000000000002</v>
      </c>
      <c r="L322" s="15">
        <v>-0.61325000000000007</v>
      </c>
      <c r="M322" s="19">
        <v>0</v>
      </c>
      <c r="N322" s="16">
        <v>0</v>
      </c>
      <c r="O322" s="15" t="s">
        <v>33</v>
      </c>
      <c r="P322" s="16">
        <v>0</v>
      </c>
      <c r="Q322" s="16">
        <v>0</v>
      </c>
      <c r="R322" s="19">
        <v>0</v>
      </c>
      <c r="S322" s="20" t="s">
        <v>969</v>
      </c>
    </row>
    <row r="323" spans="1:19" ht="15" customHeight="1" x14ac:dyDescent="0.3">
      <c r="A323" s="16">
        <v>240</v>
      </c>
      <c r="B323" s="15">
        <v>-0.3605733333333333</v>
      </c>
      <c r="C323" s="15">
        <v>-8.84599999999999E-2</v>
      </c>
      <c r="D323" s="22">
        <v>1.6666666666666601E-2</v>
      </c>
      <c r="E323" s="15">
        <v>-0.21987000000000001</v>
      </c>
      <c r="F323" s="15">
        <v>-0.3605733333333333</v>
      </c>
      <c r="G323" s="15">
        <v>-8.84599999999999E-2</v>
      </c>
      <c r="H323" s="16">
        <v>1</v>
      </c>
      <c r="I323" s="15">
        <v>-0.22140000000000001</v>
      </c>
      <c r="J323" s="15">
        <v>-0.22309999999999999</v>
      </c>
      <c r="K323" s="15">
        <v>-0.20949999999999999</v>
      </c>
      <c r="L323" s="15">
        <v>-0.20967</v>
      </c>
      <c r="M323" s="19">
        <v>0</v>
      </c>
      <c r="N323" s="16">
        <v>0</v>
      </c>
      <c r="O323" s="15" t="s">
        <v>33</v>
      </c>
      <c r="P323" s="16">
        <v>0</v>
      </c>
      <c r="Q323" s="16">
        <v>0</v>
      </c>
      <c r="R323" s="19">
        <v>0</v>
      </c>
      <c r="S323" s="20" t="s">
        <v>33</v>
      </c>
    </row>
    <row r="324" spans="1:19" ht="15" customHeight="1" x14ac:dyDescent="0.3">
      <c r="A324" s="16">
        <v>241</v>
      </c>
      <c r="B324" s="15">
        <v>0.2434866666666668</v>
      </c>
      <c r="C324" s="15">
        <v>0.5834600000000002</v>
      </c>
      <c r="D324" s="22">
        <v>1</v>
      </c>
      <c r="E324" s="15">
        <v>0.40599999999999992</v>
      </c>
      <c r="F324" s="15">
        <v>0.2434866666666668</v>
      </c>
      <c r="G324" s="15">
        <v>0.5834600000000002</v>
      </c>
      <c r="H324" s="16">
        <v>1</v>
      </c>
      <c r="I324" s="15">
        <v>0.40656999999999988</v>
      </c>
      <c r="J324" s="15">
        <v>0.40637999999999991</v>
      </c>
      <c r="K324" s="15">
        <v>0.42823000000000011</v>
      </c>
      <c r="L324" s="15">
        <v>0.41473999999999989</v>
      </c>
      <c r="M324" s="19">
        <v>0</v>
      </c>
      <c r="N324" s="16">
        <v>0</v>
      </c>
      <c r="O324" s="15" t="s">
        <v>33</v>
      </c>
      <c r="P324" s="16">
        <v>0</v>
      </c>
      <c r="Q324" s="16">
        <v>1</v>
      </c>
      <c r="R324" s="19">
        <v>0</v>
      </c>
      <c r="S324" s="20" t="s">
        <v>971</v>
      </c>
    </row>
    <row r="325" spans="1:19" ht="15" customHeight="1" x14ac:dyDescent="0.3">
      <c r="A325" s="16">
        <v>242</v>
      </c>
      <c r="B325" s="15">
        <v>-0.42152000000000001</v>
      </c>
      <c r="C325" s="15">
        <v>-0.25296000000000002</v>
      </c>
      <c r="D325" s="22">
        <v>0</v>
      </c>
      <c r="E325" s="15">
        <v>-0.35382999999999998</v>
      </c>
      <c r="F325" s="15">
        <v>-0.42152000000000001</v>
      </c>
      <c r="G325" s="15">
        <v>-0.25296000000000002</v>
      </c>
      <c r="H325" s="16">
        <v>1</v>
      </c>
      <c r="I325" s="15">
        <v>-0.34710999999999997</v>
      </c>
      <c r="J325" s="15">
        <v>-0.34794999999999998</v>
      </c>
      <c r="K325" s="15">
        <v>-0.35341</v>
      </c>
      <c r="L325" s="15">
        <v>-0.3574</v>
      </c>
      <c r="M325" s="19">
        <v>0</v>
      </c>
      <c r="N325" s="16">
        <v>0</v>
      </c>
      <c r="O325" s="15" t="s">
        <v>33</v>
      </c>
      <c r="P325" s="16">
        <v>0</v>
      </c>
      <c r="Q325" s="16">
        <v>1</v>
      </c>
      <c r="R325" s="19">
        <v>0</v>
      </c>
      <c r="S325" s="20" t="s">
        <v>967</v>
      </c>
    </row>
    <row r="326" spans="1:19" ht="15" customHeight="1" x14ac:dyDescent="0.3">
      <c r="A326" s="16">
        <v>243</v>
      </c>
      <c r="B326" s="15">
        <v>-0.3111733333333333</v>
      </c>
      <c r="C326" s="15">
        <v>-5.3426666666666602E-2</v>
      </c>
      <c r="D326" s="22">
        <v>1.6666666666666601E-2</v>
      </c>
      <c r="E326" s="15">
        <v>-0.1848999999999999</v>
      </c>
      <c r="F326" s="15">
        <v>-0.3111733333333333</v>
      </c>
      <c r="G326" s="15">
        <v>-5.3426666666666602E-2</v>
      </c>
      <c r="H326" s="16">
        <v>1</v>
      </c>
      <c r="I326" s="15">
        <v>-0.18464</v>
      </c>
      <c r="J326" s="15">
        <v>-0.16696</v>
      </c>
      <c r="K326" s="15">
        <v>-0.20907999999999999</v>
      </c>
      <c r="L326" s="15">
        <v>-0.18333999999999989</v>
      </c>
      <c r="M326" s="19">
        <v>0</v>
      </c>
      <c r="N326" s="16">
        <v>0</v>
      </c>
      <c r="O326" s="15" t="s">
        <v>33</v>
      </c>
      <c r="P326" s="16">
        <v>0</v>
      </c>
      <c r="Q326" s="16">
        <v>0</v>
      </c>
      <c r="R326" s="19">
        <v>0</v>
      </c>
      <c r="S326" s="20" t="s">
        <v>33</v>
      </c>
    </row>
    <row r="327" spans="1:19" ht="15" customHeight="1" x14ac:dyDescent="0.3">
      <c r="A327" s="16">
        <v>244</v>
      </c>
      <c r="B327" s="15">
        <v>-0.16170666666666669</v>
      </c>
      <c r="C327" s="15">
        <v>5.7533333333333402E-2</v>
      </c>
      <c r="D327" s="22">
        <v>0.25</v>
      </c>
      <c r="E327" s="15">
        <v>-4.8219999999999902E-2</v>
      </c>
      <c r="F327" s="15">
        <v>-0.16170666666666669</v>
      </c>
      <c r="G327" s="15">
        <v>5.7533333333333402E-2</v>
      </c>
      <c r="H327" s="16">
        <v>1</v>
      </c>
      <c r="I327" s="15">
        <v>-4.6479999999999903E-2</v>
      </c>
      <c r="J327" s="15">
        <v>-4.6769999999999798E-2</v>
      </c>
      <c r="K327" s="15">
        <v>-8.9399999999999993E-2</v>
      </c>
      <c r="L327" s="15">
        <v>-2.9799999999998998E-3</v>
      </c>
      <c r="M327" s="19">
        <v>0</v>
      </c>
      <c r="N327" s="16">
        <v>0</v>
      </c>
      <c r="O327" s="15" t="s">
        <v>33</v>
      </c>
      <c r="P327" s="16">
        <v>0</v>
      </c>
      <c r="Q327" s="16">
        <v>1</v>
      </c>
      <c r="R327" s="19">
        <v>0</v>
      </c>
      <c r="S327" s="20" t="s">
        <v>965</v>
      </c>
    </row>
    <row r="328" spans="1:19" ht="15" customHeight="1" x14ac:dyDescent="0.3">
      <c r="A328" s="16">
        <v>245</v>
      </c>
      <c r="B328" s="15">
        <v>1.2830733333333331</v>
      </c>
      <c r="C328" s="15">
        <v>2.2744866666666672</v>
      </c>
      <c r="D328" s="22">
        <v>1</v>
      </c>
      <c r="E328" s="15">
        <v>1.71875</v>
      </c>
      <c r="F328" s="15">
        <v>1.2830733333333331</v>
      </c>
      <c r="G328" s="15">
        <v>2.2744866666666672</v>
      </c>
      <c r="H328" s="16">
        <v>1</v>
      </c>
      <c r="I328" s="15">
        <v>1.7143999999999999</v>
      </c>
      <c r="J328" s="15">
        <v>1.7106300000000001</v>
      </c>
      <c r="K328" s="15">
        <v>1.7439800000000001</v>
      </c>
      <c r="L328" s="15">
        <v>1.7242599999999999</v>
      </c>
      <c r="M328" s="19">
        <v>2.0877299337426999E-3</v>
      </c>
      <c r="N328" s="16">
        <v>0</v>
      </c>
      <c r="O328" s="15" t="s">
        <v>33</v>
      </c>
      <c r="P328" s="16">
        <v>0</v>
      </c>
      <c r="Q328" s="16">
        <v>0</v>
      </c>
      <c r="R328" s="19">
        <v>0</v>
      </c>
      <c r="S328" s="20" t="s">
        <v>33</v>
      </c>
    </row>
    <row r="329" spans="1:19" ht="15" customHeight="1" x14ac:dyDescent="0.3">
      <c r="A329" s="16">
        <v>246</v>
      </c>
      <c r="B329" s="15">
        <v>-0.52323999999999993</v>
      </c>
      <c r="C329" s="15">
        <v>-0.1657666666666667</v>
      </c>
      <c r="D329" s="22">
        <v>0</v>
      </c>
      <c r="E329" s="15">
        <v>-0.3689599999999999</v>
      </c>
      <c r="F329" s="15">
        <v>-0.52323999999999993</v>
      </c>
      <c r="G329" s="15">
        <v>-0.1657666666666667</v>
      </c>
      <c r="H329" s="16">
        <v>1</v>
      </c>
      <c r="I329" s="15">
        <v>-0.3689599999999999</v>
      </c>
      <c r="J329" s="15">
        <v>-0.38345999999999991</v>
      </c>
      <c r="K329" s="15">
        <v>-0.36693000000000009</v>
      </c>
      <c r="L329" s="15">
        <v>-0.34286</v>
      </c>
      <c r="M329" s="19">
        <v>0</v>
      </c>
      <c r="N329" s="16">
        <v>0</v>
      </c>
      <c r="O329" s="15" t="s">
        <v>33</v>
      </c>
      <c r="P329" s="16">
        <v>0</v>
      </c>
      <c r="Q329" s="16">
        <v>0</v>
      </c>
      <c r="R329" s="19">
        <v>0</v>
      </c>
      <c r="S329" s="20" t="s">
        <v>33</v>
      </c>
    </row>
    <row r="330" spans="1:19" ht="15" customHeight="1" x14ac:dyDescent="0.3">
      <c r="A330" s="16">
        <v>247</v>
      </c>
      <c r="B330" s="15">
        <v>0.1263333333333333</v>
      </c>
      <c r="C330" s="15">
        <v>0.41029333333333329</v>
      </c>
      <c r="D330" s="22">
        <v>1</v>
      </c>
      <c r="E330" s="15">
        <v>0.30726999999999988</v>
      </c>
      <c r="F330" s="15">
        <v>0.1263333333333333</v>
      </c>
      <c r="G330" s="15">
        <v>0.41029333333333329</v>
      </c>
      <c r="H330" s="16">
        <v>1</v>
      </c>
      <c r="I330" s="15">
        <v>0.30726999999999988</v>
      </c>
      <c r="J330" s="15">
        <v>0.32214999999999988</v>
      </c>
      <c r="K330" s="15">
        <v>0.33671999999999991</v>
      </c>
      <c r="L330" s="15">
        <v>0.26851999999999981</v>
      </c>
      <c r="M330" s="19">
        <v>0</v>
      </c>
      <c r="N330" s="16">
        <v>0</v>
      </c>
      <c r="O330" s="15" t="s">
        <v>33</v>
      </c>
      <c r="P330" s="16">
        <v>0</v>
      </c>
      <c r="Q330" s="16">
        <v>0</v>
      </c>
      <c r="R330" s="19">
        <v>0</v>
      </c>
      <c r="S330" s="20" t="s">
        <v>33</v>
      </c>
    </row>
    <row r="331" spans="1:19" ht="15" customHeight="1" x14ac:dyDescent="0.3">
      <c r="A331" s="16">
        <v>248</v>
      </c>
      <c r="B331" s="15">
        <v>-0.71704000000000012</v>
      </c>
      <c r="C331" s="15">
        <v>-0.55911999999999995</v>
      </c>
      <c r="D331" s="22">
        <v>0</v>
      </c>
      <c r="E331" s="15">
        <v>-0.62343999999999999</v>
      </c>
      <c r="F331" s="15">
        <v>-0.71704000000000012</v>
      </c>
      <c r="G331" s="15">
        <v>-0.55911999999999995</v>
      </c>
      <c r="H331" s="16">
        <v>1</v>
      </c>
      <c r="I331" s="15">
        <v>-0.62416000000000005</v>
      </c>
      <c r="J331" s="15">
        <v>-0.63135999999999992</v>
      </c>
      <c r="K331" s="15">
        <v>-0.67744000000000004</v>
      </c>
      <c r="L331" s="15">
        <v>-0.64036000000000004</v>
      </c>
      <c r="M331" s="19">
        <v>0</v>
      </c>
      <c r="N331" s="16">
        <v>0</v>
      </c>
      <c r="O331" s="15" t="s">
        <v>33</v>
      </c>
      <c r="P331" s="16">
        <v>0</v>
      </c>
      <c r="Q331" s="16">
        <v>0</v>
      </c>
      <c r="R331" s="19">
        <v>0</v>
      </c>
      <c r="S331" s="20" t="s">
        <v>966</v>
      </c>
    </row>
    <row r="332" spans="1:19" ht="15" customHeight="1" x14ac:dyDescent="0.3">
      <c r="A332" s="16">
        <v>249</v>
      </c>
      <c r="B332" s="15">
        <v>-0.19968</v>
      </c>
      <c r="C332" s="15">
        <v>-2.1193333333333099E-2</v>
      </c>
      <c r="D332" s="22">
        <v>0.1</v>
      </c>
      <c r="E332" s="15">
        <v>-0.12629000000000001</v>
      </c>
      <c r="F332" s="15">
        <v>-0.19968</v>
      </c>
      <c r="G332" s="15">
        <v>-2.1193333333333099E-2</v>
      </c>
      <c r="H332" s="16">
        <v>1</v>
      </c>
      <c r="I332" s="15">
        <v>-0.13120999999999991</v>
      </c>
      <c r="J332" s="15">
        <v>-0.12547</v>
      </c>
      <c r="K332" s="15">
        <v>-0.14433000000000001</v>
      </c>
      <c r="L332" s="15">
        <v>-0.12505999999999989</v>
      </c>
      <c r="M332" s="19">
        <v>0</v>
      </c>
      <c r="N332" s="16">
        <v>0</v>
      </c>
      <c r="O332" s="15" t="s">
        <v>33</v>
      </c>
      <c r="P332" s="16">
        <v>0</v>
      </c>
      <c r="Q332" s="16">
        <v>0</v>
      </c>
      <c r="R332" s="19">
        <v>0</v>
      </c>
      <c r="S332" s="20" t="s">
        <v>33</v>
      </c>
    </row>
    <row r="333" spans="1:19" ht="15" customHeight="1" x14ac:dyDescent="0.3">
      <c r="A333" s="16">
        <v>250</v>
      </c>
      <c r="B333" s="15">
        <v>0.41677999999999987</v>
      </c>
      <c r="C333" s="15">
        <v>0.83939999999999992</v>
      </c>
      <c r="D333" s="22">
        <v>1</v>
      </c>
      <c r="E333" s="15">
        <v>0.64730000000000021</v>
      </c>
      <c r="F333" s="15">
        <v>0.41677999999999987</v>
      </c>
      <c r="G333" s="15">
        <v>0.83939999999999992</v>
      </c>
      <c r="H333" s="16">
        <v>1</v>
      </c>
      <c r="I333" s="15">
        <v>0.64475000000000016</v>
      </c>
      <c r="J333" s="15">
        <v>0.62332999999999994</v>
      </c>
      <c r="K333" s="15">
        <v>0.60752000000000006</v>
      </c>
      <c r="L333" s="15">
        <v>0.63761000000000001</v>
      </c>
      <c r="M333" s="19">
        <v>9.7583847574180004E-4</v>
      </c>
      <c r="N333" s="16">
        <v>0</v>
      </c>
      <c r="O333" s="15" t="s">
        <v>33</v>
      </c>
      <c r="P333" s="16">
        <v>0</v>
      </c>
      <c r="Q333" s="16">
        <v>0</v>
      </c>
      <c r="R333" s="19">
        <v>0</v>
      </c>
      <c r="S333" s="20" t="s">
        <v>33</v>
      </c>
    </row>
    <row r="334" spans="1:19" ht="15" customHeight="1" x14ac:dyDescent="0.3">
      <c r="A334" s="16">
        <v>251</v>
      </c>
      <c r="B334" s="15">
        <v>-0.50428000000000006</v>
      </c>
      <c r="C334" s="15">
        <v>-0.1591799999999999</v>
      </c>
      <c r="D334" s="22">
        <v>1.6666666666666601E-2</v>
      </c>
      <c r="E334" s="15">
        <v>-0.33444999999999991</v>
      </c>
      <c r="F334" s="15">
        <v>-0.50428000000000006</v>
      </c>
      <c r="G334" s="15">
        <v>-0.1591799999999999</v>
      </c>
      <c r="H334" s="16">
        <v>1</v>
      </c>
      <c r="I334" s="15">
        <v>-0.34005999999999997</v>
      </c>
      <c r="J334" s="15">
        <v>-0.33291999999999999</v>
      </c>
      <c r="K334" s="15">
        <v>-0.41808999999999991</v>
      </c>
      <c r="L334" s="15">
        <v>-0.38749</v>
      </c>
      <c r="M334" s="19">
        <v>0</v>
      </c>
      <c r="N334" s="16">
        <v>0</v>
      </c>
      <c r="O334" s="15" t="s">
        <v>33</v>
      </c>
      <c r="P334" s="16">
        <v>0</v>
      </c>
      <c r="Q334" s="16">
        <v>0</v>
      </c>
      <c r="R334" s="19">
        <v>0</v>
      </c>
      <c r="S334" s="20" t="s">
        <v>33</v>
      </c>
    </row>
    <row r="335" spans="1:19" ht="15" customHeight="1" x14ac:dyDescent="0.3">
      <c r="A335" s="16">
        <v>252</v>
      </c>
      <c r="B335" s="15">
        <v>-0.45157999999999998</v>
      </c>
      <c r="C335" s="15">
        <v>-0.1778799999999999</v>
      </c>
      <c r="D335" s="22">
        <v>0</v>
      </c>
      <c r="E335" s="15">
        <v>-0.27273999999999998</v>
      </c>
      <c r="F335" s="15">
        <v>-0.45157999999999998</v>
      </c>
      <c r="G335" s="15">
        <v>-0.1778799999999999</v>
      </c>
      <c r="H335" s="16">
        <v>1</v>
      </c>
      <c r="I335" s="15">
        <v>-0.27222999999999992</v>
      </c>
      <c r="J335" s="15">
        <v>-0.2656</v>
      </c>
      <c r="K335" s="15">
        <v>-0.30691000000000002</v>
      </c>
      <c r="L335" s="15">
        <v>-0.33138999999999991</v>
      </c>
      <c r="M335" s="19">
        <v>0</v>
      </c>
      <c r="N335" s="16">
        <v>0</v>
      </c>
      <c r="O335" s="15" t="s">
        <v>33</v>
      </c>
      <c r="P335" s="16">
        <v>0</v>
      </c>
      <c r="Q335" s="16">
        <v>0</v>
      </c>
      <c r="R335" s="19">
        <v>0</v>
      </c>
      <c r="S335" s="20" t="s">
        <v>33</v>
      </c>
    </row>
    <row r="336" spans="1:19" ht="15" customHeight="1" x14ac:dyDescent="0.3">
      <c r="A336" s="16">
        <v>253</v>
      </c>
      <c r="B336" s="15">
        <v>-0.89044000000000001</v>
      </c>
      <c r="C336" s="15">
        <v>-0.78</v>
      </c>
      <c r="D336" s="22">
        <v>0</v>
      </c>
      <c r="E336" s="15">
        <v>-0.84292</v>
      </c>
      <c r="F336" s="15">
        <v>-0.89044000000000001</v>
      </c>
      <c r="G336" s="15">
        <v>-0.78</v>
      </c>
      <c r="H336" s="16">
        <v>0</v>
      </c>
      <c r="I336" s="15">
        <v>-0.84489999999999998</v>
      </c>
      <c r="J336" s="15">
        <v>-0.84226000000000001</v>
      </c>
      <c r="K336" s="15">
        <v>-0.84885999999999995</v>
      </c>
      <c r="L336" s="15">
        <v>-0.82444000000000006</v>
      </c>
      <c r="M336" s="19">
        <v>0</v>
      </c>
      <c r="N336" s="16">
        <v>1</v>
      </c>
      <c r="O336" s="15" t="s">
        <v>33</v>
      </c>
      <c r="P336" s="16">
        <v>0</v>
      </c>
      <c r="Q336" s="16">
        <v>0</v>
      </c>
      <c r="R336" s="19">
        <v>0</v>
      </c>
      <c r="S336" s="20" t="s">
        <v>33</v>
      </c>
    </row>
    <row r="337" spans="1:19" ht="15" customHeight="1" x14ac:dyDescent="0.3">
      <c r="A337" s="16">
        <v>254</v>
      </c>
      <c r="B337" s="15">
        <v>2.3060000000000001E-2</v>
      </c>
      <c r="C337" s="15">
        <v>0.2542600000000001</v>
      </c>
      <c r="D337" s="22">
        <v>0.93333333333333324</v>
      </c>
      <c r="E337" s="15">
        <v>0.10721</v>
      </c>
      <c r="F337" s="15">
        <v>2.3060000000000001E-2</v>
      </c>
      <c r="G337" s="15">
        <v>0.2542600000000001</v>
      </c>
      <c r="H337" s="16">
        <v>1</v>
      </c>
      <c r="I337" s="15">
        <v>0.1051699999999999</v>
      </c>
      <c r="J337" s="15">
        <v>0.12914</v>
      </c>
      <c r="K337" s="15">
        <v>0.1592299999999999</v>
      </c>
      <c r="L337" s="15">
        <v>0.18064999999999989</v>
      </c>
      <c r="M337" s="19">
        <v>0</v>
      </c>
      <c r="N337" s="16">
        <v>0</v>
      </c>
      <c r="O337" s="15" t="s">
        <v>33</v>
      </c>
      <c r="P337" s="16">
        <v>0</v>
      </c>
      <c r="Q337" s="16">
        <v>0</v>
      </c>
      <c r="R337" s="19">
        <v>0</v>
      </c>
      <c r="S337" s="20" t="s">
        <v>33</v>
      </c>
    </row>
    <row r="338" spans="1:19" ht="15" customHeight="1" x14ac:dyDescent="0.3">
      <c r="A338" s="16">
        <v>255</v>
      </c>
      <c r="B338" s="15">
        <v>-0.69093999999999989</v>
      </c>
      <c r="C338" s="15">
        <v>-0.3724533333333333</v>
      </c>
      <c r="D338" s="22">
        <v>0</v>
      </c>
      <c r="E338" s="15">
        <v>-0.56974000000000002</v>
      </c>
      <c r="F338" s="15">
        <v>-0.69093999999999989</v>
      </c>
      <c r="G338" s="15">
        <v>-0.3724533333333333</v>
      </c>
      <c r="H338" s="16">
        <v>0</v>
      </c>
      <c r="I338" s="15">
        <v>-0.57074999999999998</v>
      </c>
      <c r="J338" s="15">
        <v>-0.56670999999999994</v>
      </c>
      <c r="K338" s="15">
        <v>-0.55963999999999992</v>
      </c>
      <c r="L338" s="15">
        <v>-0.52631000000000006</v>
      </c>
      <c r="M338" s="19">
        <v>0</v>
      </c>
      <c r="N338" s="16">
        <v>1</v>
      </c>
      <c r="O338" s="15" t="s">
        <v>33</v>
      </c>
      <c r="P338" s="16">
        <v>0</v>
      </c>
      <c r="Q338" s="16">
        <v>0</v>
      </c>
      <c r="R338" s="19">
        <v>0</v>
      </c>
      <c r="S338" s="20" t="s">
        <v>33</v>
      </c>
    </row>
    <row r="339" spans="1:19" ht="15" customHeight="1" x14ac:dyDescent="0.3">
      <c r="A339" s="16">
        <v>256</v>
      </c>
      <c r="B339" s="15">
        <v>-0.58295333333333343</v>
      </c>
      <c r="C339" s="15">
        <v>-6.4266666666666694E-2</v>
      </c>
      <c r="D339" s="22">
        <v>0.05</v>
      </c>
      <c r="E339" s="15">
        <v>-0.3599099999999999</v>
      </c>
      <c r="F339" s="15">
        <v>-0.58295333333333343</v>
      </c>
      <c r="G339" s="15">
        <v>-6.4266666666666694E-2</v>
      </c>
      <c r="H339" s="16">
        <v>0</v>
      </c>
      <c r="I339" s="15">
        <v>-0.35265000000000002</v>
      </c>
      <c r="J339" s="15">
        <v>-0.34660000000000002</v>
      </c>
      <c r="K339" s="15">
        <v>-0.3417599999999999</v>
      </c>
      <c r="L339" s="15">
        <v>-0.3236099999999999</v>
      </c>
      <c r="M339" s="19">
        <v>0</v>
      </c>
      <c r="N339" s="16">
        <v>1</v>
      </c>
      <c r="O339" s="15" t="s">
        <v>33</v>
      </c>
      <c r="P339" s="16">
        <v>0</v>
      </c>
      <c r="Q339" s="16">
        <v>0</v>
      </c>
      <c r="R339" s="19">
        <v>0</v>
      </c>
      <c r="S339" s="20" t="s">
        <v>33</v>
      </c>
    </row>
    <row r="340" spans="1:19" ht="15" customHeight="1" x14ac:dyDescent="0.3">
      <c r="A340" s="16">
        <v>257</v>
      </c>
      <c r="B340" s="15">
        <v>-0.69313999999999998</v>
      </c>
      <c r="C340" s="15">
        <v>-1.77799999999999E-2</v>
      </c>
      <c r="D340" s="22">
        <v>0.1</v>
      </c>
      <c r="E340" s="15">
        <v>-0.43719999999999998</v>
      </c>
      <c r="F340" s="15">
        <v>-0.69313999999999998</v>
      </c>
      <c r="G340" s="15">
        <v>-1.77799999999999E-2</v>
      </c>
      <c r="H340" s="16">
        <v>0</v>
      </c>
      <c r="I340" s="15">
        <v>-0.45127</v>
      </c>
      <c r="J340" s="15">
        <v>-0.43518999999999991</v>
      </c>
      <c r="K340" s="15">
        <v>-0.45327999999999991</v>
      </c>
      <c r="L340" s="15">
        <v>-0.46734999999999999</v>
      </c>
      <c r="M340" s="19">
        <v>0</v>
      </c>
      <c r="N340" s="16">
        <v>1</v>
      </c>
      <c r="O340" s="15" t="s">
        <v>33</v>
      </c>
      <c r="P340" s="16">
        <v>0</v>
      </c>
      <c r="Q340" s="16">
        <v>0</v>
      </c>
      <c r="R340" s="19">
        <v>0</v>
      </c>
      <c r="S340" s="20" t="s">
        <v>33</v>
      </c>
    </row>
    <row r="341" spans="1:19" ht="15" customHeight="1" x14ac:dyDescent="0.3">
      <c r="A341" s="16">
        <v>258</v>
      </c>
      <c r="B341" s="15">
        <v>-0.17002666666666669</v>
      </c>
      <c r="C341" s="15">
        <v>1.09334</v>
      </c>
      <c r="D341" s="22">
        <v>0.78333333333333333</v>
      </c>
      <c r="E341" s="15">
        <v>0.39807000000000009</v>
      </c>
      <c r="F341" s="15">
        <v>-0.17002666666666669</v>
      </c>
      <c r="G341" s="15">
        <v>1.09334</v>
      </c>
      <c r="H341" s="16">
        <v>1</v>
      </c>
      <c r="I341" s="15">
        <v>0.39807000000000009</v>
      </c>
      <c r="J341" s="15">
        <v>0.38301000000000007</v>
      </c>
      <c r="K341" s="15">
        <v>0.36042000000000018</v>
      </c>
      <c r="L341" s="15">
        <v>0.54113999999999995</v>
      </c>
      <c r="M341" s="19">
        <v>0</v>
      </c>
      <c r="N341" s="16">
        <v>1</v>
      </c>
      <c r="O341" s="15" t="s">
        <v>33</v>
      </c>
      <c r="P341" s="16">
        <v>0</v>
      </c>
      <c r="Q341" s="16">
        <v>1</v>
      </c>
      <c r="R341" s="19">
        <v>0</v>
      </c>
      <c r="S341" s="20" t="s">
        <v>964</v>
      </c>
    </row>
    <row r="342" spans="1:19" ht="15" customHeight="1" x14ac:dyDescent="0.3">
      <c r="A342" s="16">
        <v>259</v>
      </c>
      <c r="B342" s="15">
        <v>-0.31728000000000012</v>
      </c>
      <c r="C342" s="15">
        <v>0.30854666666666658</v>
      </c>
      <c r="D342" s="22">
        <v>0.45</v>
      </c>
      <c r="E342" s="15">
        <v>1.404E-2</v>
      </c>
      <c r="F342" s="15">
        <v>-0.31728000000000012</v>
      </c>
      <c r="G342" s="15">
        <v>0.30854666666666658</v>
      </c>
      <c r="H342" s="16">
        <v>0</v>
      </c>
      <c r="I342" s="15">
        <v>4.0000000000000001E-3</v>
      </c>
      <c r="J342" s="15">
        <v>1.153E-2</v>
      </c>
      <c r="K342" s="15">
        <v>-5.373E-2</v>
      </c>
      <c r="L342" s="15">
        <v>1.153E-2</v>
      </c>
      <c r="M342" s="19">
        <v>0</v>
      </c>
      <c r="N342" s="16">
        <v>1</v>
      </c>
      <c r="O342" s="15" t="s">
        <v>33</v>
      </c>
      <c r="P342" s="16">
        <v>0</v>
      </c>
      <c r="Q342" s="16">
        <v>1</v>
      </c>
      <c r="R342" s="19">
        <v>0</v>
      </c>
      <c r="S342" s="20" t="s">
        <v>968</v>
      </c>
    </row>
    <row r="343" spans="1:19" ht="15" customHeight="1" x14ac:dyDescent="0.3">
      <c r="A343" s="16">
        <v>260</v>
      </c>
      <c r="B343" s="15">
        <v>0.58966666666666656</v>
      </c>
      <c r="C343" s="15">
        <v>1.551833333333333</v>
      </c>
      <c r="D343" s="22">
        <v>1</v>
      </c>
      <c r="E343" s="15">
        <v>1.0205500000000001</v>
      </c>
      <c r="F343" s="15">
        <v>0.58966666666666656</v>
      </c>
      <c r="G343" s="15">
        <v>1.551833333333333</v>
      </c>
      <c r="H343" s="16">
        <v>1</v>
      </c>
      <c r="I343" s="15">
        <v>1.01553</v>
      </c>
      <c r="J343" s="15">
        <v>1.0657300000000001</v>
      </c>
      <c r="K343" s="15">
        <v>0.97787999999999997</v>
      </c>
      <c r="L343" s="15">
        <v>1.2062900000000001</v>
      </c>
      <c r="M343" s="19">
        <v>0</v>
      </c>
      <c r="N343" s="16">
        <v>1</v>
      </c>
      <c r="O343" s="15" t="s">
        <v>33</v>
      </c>
      <c r="P343" s="16">
        <v>0</v>
      </c>
      <c r="Q343" s="16">
        <v>0</v>
      </c>
      <c r="R343" s="19">
        <v>0</v>
      </c>
      <c r="S343" s="20" t="s">
        <v>33</v>
      </c>
    </row>
    <row r="344" spans="1:19" ht="15" customHeight="1" x14ac:dyDescent="0.3">
      <c r="A344" s="16">
        <v>261</v>
      </c>
      <c r="B344" s="15">
        <v>-0.94979999999999998</v>
      </c>
      <c r="C344" s="15">
        <v>-0.71553333333333335</v>
      </c>
      <c r="D344" s="22">
        <v>0</v>
      </c>
      <c r="E344" s="15">
        <v>-0.85943999999999998</v>
      </c>
      <c r="F344" s="15">
        <v>-0.94979999999999998</v>
      </c>
      <c r="G344" s="15">
        <v>-0.71553333333333335</v>
      </c>
      <c r="H344" s="16">
        <v>0</v>
      </c>
      <c r="I344" s="15">
        <v>-0.85441999999999996</v>
      </c>
      <c r="J344" s="15">
        <v>-0.85692999999999997</v>
      </c>
      <c r="K344" s="15">
        <v>-0.86446000000000001</v>
      </c>
      <c r="L344" s="15">
        <v>-0.88956000000000002</v>
      </c>
      <c r="M344" s="19">
        <v>0</v>
      </c>
      <c r="N344" s="16">
        <v>1</v>
      </c>
      <c r="O344" s="15" t="s">
        <v>33</v>
      </c>
      <c r="P344" s="16">
        <v>0</v>
      </c>
      <c r="Q344" s="16">
        <v>0</v>
      </c>
      <c r="R344" s="19">
        <v>0</v>
      </c>
      <c r="S344" s="20" t="s">
        <v>33</v>
      </c>
    </row>
    <row r="345" spans="1:19" ht="15" customHeight="1" x14ac:dyDescent="0.3">
      <c r="A345" s="16">
        <v>262</v>
      </c>
      <c r="B345" s="15">
        <v>-0.53146666666666675</v>
      </c>
      <c r="C345" s="15">
        <v>-7.9666666666666594E-2</v>
      </c>
      <c r="D345" s="22">
        <v>3.3333333333333298E-2</v>
      </c>
      <c r="E345" s="15">
        <v>-0.26206000000000002</v>
      </c>
      <c r="F345" s="15">
        <v>-0.53146666666666675</v>
      </c>
      <c r="G345" s="15">
        <v>-7.9666666666666594E-2</v>
      </c>
      <c r="H345" s="16">
        <v>0</v>
      </c>
      <c r="I345" s="15">
        <v>-0.27210000000000001</v>
      </c>
      <c r="J345" s="15">
        <v>-0.28715999999999992</v>
      </c>
      <c r="K345" s="15">
        <v>-0.36246</v>
      </c>
      <c r="L345" s="15">
        <v>-0.18926999999999999</v>
      </c>
      <c r="M345" s="19">
        <v>0</v>
      </c>
      <c r="N345" s="16">
        <v>1</v>
      </c>
      <c r="O345" s="15" t="s">
        <v>33</v>
      </c>
      <c r="P345" s="16">
        <v>0</v>
      </c>
      <c r="Q345" s="16">
        <v>0</v>
      </c>
      <c r="R345" s="19">
        <v>0</v>
      </c>
      <c r="S345" s="20" t="s">
        <v>33</v>
      </c>
    </row>
    <row r="346" spans="1:19" ht="15" customHeight="1" x14ac:dyDescent="0.3">
      <c r="A346" s="16">
        <v>263</v>
      </c>
      <c r="B346" s="15">
        <v>-0.2185533333333334</v>
      </c>
      <c r="C346" s="15">
        <v>0.35707333333333341</v>
      </c>
      <c r="D346" s="22">
        <v>0.56666666666666665</v>
      </c>
      <c r="E346" s="15">
        <v>4.4159999999999901E-2</v>
      </c>
      <c r="F346" s="15">
        <v>-0.2185533333333334</v>
      </c>
      <c r="G346" s="15">
        <v>0.35707333333333341</v>
      </c>
      <c r="H346" s="16">
        <v>0</v>
      </c>
      <c r="I346" s="15">
        <v>3.9139999999999897E-2</v>
      </c>
      <c r="J346" s="15">
        <v>4.6669999999999899E-2</v>
      </c>
      <c r="K346" s="15">
        <v>-7.88299999999999E-2</v>
      </c>
      <c r="L346" s="15">
        <v>8.4319999999999895E-2</v>
      </c>
      <c r="M346" s="19">
        <v>0</v>
      </c>
      <c r="N346" s="16">
        <v>1</v>
      </c>
      <c r="O346" s="15" t="s">
        <v>33</v>
      </c>
      <c r="P346" s="16">
        <v>0</v>
      </c>
      <c r="Q346" s="16">
        <v>0</v>
      </c>
      <c r="R346" s="19">
        <v>0</v>
      </c>
      <c r="S346" s="20" t="s">
        <v>963</v>
      </c>
    </row>
    <row r="347" spans="1:19" ht="15" customHeight="1" x14ac:dyDescent="0.3">
      <c r="A347" s="16">
        <v>264</v>
      </c>
      <c r="B347" s="15">
        <v>-0.32932066666666659</v>
      </c>
      <c r="C347" s="15">
        <v>-0.2751756666666666</v>
      </c>
      <c r="D347" s="22">
        <v>0</v>
      </c>
      <c r="E347" s="15">
        <v>-0.3109865</v>
      </c>
      <c r="F347" s="15">
        <v>-0.32932066666666659</v>
      </c>
      <c r="G347" s="15">
        <v>-0.2751756666666666</v>
      </c>
      <c r="H347" s="16">
        <v>1</v>
      </c>
      <c r="I347" s="15">
        <v>-0.3105945</v>
      </c>
      <c r="J347" s="15">
        <v>-0.31039849999999991</v>
      </c>
      <c r="K347" s="15">
        <v>-0.30579250000000002</v>
      </c>
      <c r="L347" s="15">
        <v>-0.30767899999999992</v>
      </c>
      <c r="M347" s="19">
        <v>0</v>
      </c>
      <c r="N347" s="16">
        <v>0</v>
      </c>
      <c r="O347" s="15" t="s">
        <v>33</v>
      </c>
      <c r="P347" s="16">
        <v>0</v>
      </c>
      <c r="Q347" s="16">
        <v>0</v>
      </c>
      <c r="R347" s="19">
        <v>0</v>
      </c>
      <c r="S347" s="20" t="s">
        <v>33</v>
      </c>
    </row>
    <row r="348" spans="1:19" ht="15" customHeight="1" x14ac:dyDescent="0.3">
      <c r="A348" s="16">
        <v>265</v>
      </c>
      <c r="B348" s="15">
        <v>-7.2658666666666705E-2</v>
      </c>
      <c r="C348" s="15">
        <v>4.5594666666666603E-2</v>
      </c>
      <c r="D348" s="22">
        <v>0.45</v>
      </c>
      <c r="E348" s="15">
        <v>-9.8359999999999993E-3</v>
      </c>
      <c r="F348" s="15">
        <v>-7.2658666666666705E-2</v>
      </c>
      <c r="G348" s="15">
        <v>4.5594666666666603E-2</v>
      </c>
      <c r="H348" s="16">
        <v>1</v>
      </c>
      <c r="I348" s="15">
        <v>-9.5560000000000991E-3</v>
      </c>
      <c r="J348" s="15">
        <v>-1.4456E-2</v>
      </c>
      <c r="K348" s="15">
        <v>-5.2160000000000999E-3</v>
      </c>
      <c r="L348" s="15">
        <v>-1.3559999999999999E-2</v>
      </c>
      <c r="M348" s="19">
        <v>0</v>
      </c>
      <c r="N348" s="16">
        <v>0</v>
      </c>
      <c r="O348" s="15" t="s">
        <v>33</v>
      </c>
      <c r="P348" s="16">
        <v>0</v>
      </c>
      <c r="Q348" s="16">
        <v>1</v>
      </c>
      <c r="R348" s="19">
        <v>0</v>
      </c>
      <c r="S348" s="20" t="s">
        <v>971</v>
      </c>
    </row>
    <row r="349" spans="1:19" ht="15" customHeight="1" x14ac:dyDescent="0.3">
      <c r="A349" s="16">
        <v>266</v>
      </c>
      <c r="B349" s="15">
        <v>-0.30832999999999999</v>
      </c>
      <c r="C349" s="15">
        <v>-0.13715666666666659</v>
      </c>
      <c r="D349" s="22">
        <v>0</v>
      </c>
      <c r="E349" s="15">
        <v>-0.21603499999999989</v>
      </c>
      <c r="F349" s="15">
        <v>-0.30832999999999999</v>
      </c>
      <c r="G349" s="15">
        <v>-0.13715666666666659</v>
      </c>
      <c r="H349" s="16">
        <v>1</v>
      </c>
      <c r="I349" s="15">
        <v>-0.2164549999999999</v>
      </c>
      <c r="J349" s="15">
        <v>-0.2105749999999999</v>
      </c>
      <c r="K349" s="15">
        <v>-0.2207599999999999</v>
      </c>
      <c r="L349" s="15">
        <v>-0.2214249999999999</v>
      </c>
      <c r="M349" s="19">
        <v>0</v>
      </c>
      <c r="N349" s="16">
        <v>0</v>
      </c>
      <c r="O349" s="15" t="s">
        <v>33</v>
      </c>
      <c r="P349" s="16">
        <v>0</v>
      </c>
      <c r="Q349" s="16">
        <v>0</v>
      </c>
      <c r="R349" s="19">
        <v>0</v>
      </c>
      <c r="S349" s="20" t="s">
        <v>33</v>
      </c>
    </row>
    <row r="350" spans="1:19" ht="15" customHeight="1" x14ac:dyDescent="0.3">
      <c r="A350" s="16">
        <v>267</v>
      </c>
      <c r="B350" s="15">
        <v>-0.1367466666666666</v>
      </c>
      <c r="C350" s="15">
        <v>0.13834666666666659</v>
      </c>
      <c r="D350" s="22">
        <v>0.51666666666666672</v>
      </c>
      <c r="E350" s="15">
        <v>6.3999999999989998E-4</v>
      </c>
      <c r="F350" s="15">
        <v>-0.1367466666666666</v>
      </c>
      <c r="G350" s="15">
        <v>0.13834666666666659</v>
      </c>
      <c r="H350" s="16">
        <v>0</v>
      </c>
      <c r="I350" s="15">
        <v>1.9199999999999001E-3</v>
      </c>
      <c r="J350" s="15">
        <v>1.4400000000001001E-3</v>
      </c>
      <c r="K350" s="15">
        <v>-1.456E-2</v>
      </c>
      <c r="L350" s="15">
        <v>3.1039999999999901E-2</v>
      </c>
      <c r="M350" s="19">
        <v>0</v>
      </c>
      <c r="N350" s="16">
        <v>1</v>
      </c>
      <c r="O350" s="15" t="s">
        <v>33</v>
      </c>
      <c r="P350" s="16">
        <v>0</v>
      </c>
      <c r="Q350" s="16">
        <v>0</v>
      </c>
      <c r="R350" s="19">
        <v>0</v>
      </c>
      <c r="S350" s="20" t="s">
        <v>33</v>
      </c>
    </row>
    <row r="351" spans="1:19" ht="15" customHeight="1" x14ac:dyDescent="0.3">
      <c r="A351" s="16">
        <v>268</v>
      </c>
      <c r="B351" s="15">
        <v>0.12416000000000001</v>
      </c>
      <c r="C351" s="15">
        <v>0.38997333333333328</v>
      </c>
      <c r="D351" s="22">
        <v>1</v>
      </c>
      <c r="E351" s="15">
        <v>0.25775999999999999</v>
      </c>
      <c r="F351" s="15">
        <v>0.12416000000000001</v>
      </c>
      <c r="G351" s="15">
        <v>0.38997333333333328</v>
      </c>
      <c r="H351" s="16">
        <v>1</v>
      </c>
      <c r="I351" s="15">
        <v>0.25424000000000002</v>
      </c>
      <c r="J351" s="15">
        <v>0.2545599999999999</v>
      </c>
      <c r="K351" s="15">
        <v>0.23424</v>
      </c>
      <c r="L351" s="15">
        <v>0.2516799999999999</v>
      </c>
      <c r="M351" s="19">
        <v>0</v>
      </c>
      <c r="N351" s="16">
        <v>1</v>
      </c>
      <c r="O351" s="15" t="s">
        <v>33</v>
      </c>
      <c r="P351" s="16">
        <v>0</v>
      </c>
      <c r="Q351" s="16">
        <v>0</v>
      </c>
      <c r="R351" s="19">
        <v>0</v>
      </c>
      <c r="S351" s="20" t="s">
        <v>963</v>
      </c>
    </row>
    <row r="352" spans="1:19" ht="15" customHeight="1" x14ac:dyDescent="0.3">
      <c r="A352" s="16">
        <v>269</v>
      </c>
      <c r="B352" s="15">
        <v>-0.3951533333333333</v>
      </c>
      <c r="C352" s="15">
        <v>-0.1872833333333333</v>
      </c>
      <c r="D352" s="22">
        <v>0</v>
      </c>
      <c r="E352" s="15">
        <v>-0.29994999999999988</v>
      </c>
      <c r="F352" s="15">
        <v>-0.3951533333333333</v>
      </c>
      <c r="G352" s="15">
        <v>-0.1872833333333333</v>
      </c>
      <c r="H352" s="16">
        <v>1</v>
      </c>
      <c r="I352" s="15">
        <v>-0.2979024999999999</v>
      </c>
      <c r="J352" s="15">
        <v>-0.30037249999999999</v>
      </c>
      <c r="K352" s="15">
        <v>-0.30371999999999999</v>
      </c>
      <c r="L352" s="15">
        <v>-0.30433749999999998</v>
      </c>
      <c r="M352" s="19">
        <v>0</v>
      </c>
      <c r="N352" s="16">
        <v>0</v>
      </c>
      <c r="O352" s="15" t="s">
        <v>33</v>
      </c>
      <c r="P352" s="16">
        <v>0</v>
      </c>
      <c r="Q352" s="16">
        <v>0</v>
      </c>
      <c r="R352" s="19">
        <v>0</v>
      </c>
      <c r="S352" s="20" t="s">
        <v>969</v>
      </c>
    </row>
    <row r="353" spans="1:19" ht="15" customHeight="1" x14ac:dyDescent="0.3">
      <c r="A353" s="16">
        <v>270</v>
      </c>
      <c r="B353" s="15">
        <v>-0.35669499999999998</v>
      </c>
      <c r="C353" s="15">
        <v>-0.23026999999999989</v>
      </c>
      <c r="D353" s="22">
        <v>0</v>
      </c>
      <c r="E353" s="15">
        <v>-0.29565999999999998</v>
      </c>
      <c r="F353" s="15">
        <v>-0.35669499999999998</v>
      </c>
      <c r="G353" s="15">
        <v>-0.23026999999999989</v>
      </c>
      <c r="H353" s="16">
        <v>1</v>
      </c>
      <c r="I353" s="15">
        <v>-0.29624499999999998</v>
      </c>
      <c r="J353" s="15">
        <v>-0.29432750000000008</v>
      </c>
      <c r="K353" s="15">
        <v>-0.2955299999999999</v>
      </c>
      <c r="L353" s="15">
        <v>-0.28935499999999997</v>
      </c>
      <c r="M353" s="19">
        <v>0</v>
      </c>
      <c r="N353" s="16">
        <v>0</v>
      </c>
      <c r="O353" s="15" t="s">
        <v>33</v>
      </c>
      <c r="P353" s="16">
        <v>0</v>
      </c>
      <c r="Q353" s="16">
        <v>0</v>
      </c>
      <c r="R353" s="19">
        <v>0</v>
      </c>
      <c r="S353" s="20" t="s">
        <v>33</v>
      </c>
    </row>
    <row r="354" spans="1:19" ht="15" customHeight="1" x14ac:dyDescent="0.3">
      <c r="A354" s="16">
        <v>271</v>
      </c>
      <c r="B354" s="15">
        <v>-0.38440333333333337</v>
      </c>
      <c r="C354" s="15">
        <v>-0.28646666666666659</v>
      </c>
      <c r="D354" s="22">
        <v>0</v>
      </c>
      <c r="E354" s="15">
        <v>-0.333675</v>
      </c>
      <c r="F354" s="15">
        <v>-0.38440333333333337</v>
      </c>
      <c r="G354" s="15">
        <v>-0.28646666666666659</v>
      </c>
      <c r="H354" s="16">
        <v>1</v>
      </c>
      <c r="I354" s="15">
        <v>-0.33516000000000001</v>
      </c>
      <c r="J354" s="15">
        <v>-0.33460999999999991</v>
      </c>
      <c r="K354" s="15">
        <v>-0.340165</v>
      </c>
      <c r="L354" s="15">
        <v>-0.33499499999999988</v>
      </c>
      <c r="M354" s="19">
        <v>0</v>
      </c>
      <c r="N354" s="16">
        <v>0</v>
      </c>
      <c r="O354" s="15" t="s">
        <v>33</v>
      </c>
      <c r="P354" s="16">
        <v>0</v>
      </c>
      <c r="Q354" s="16">
        <v>0</v>
      </c>
      <c r="R354" s="19">
        <v>0</v>
      </c>
      <c r="S354" s="20" t="s">
        <v>966</v>
      </c>
    </row>
    <row r="355" spans="1:19" ht="15" customHeight="1" x14ac:dyDescent="0.3">
      <c r="A355" s="16">
        <v>272</v>
      </c>
      <c r="B355" s="15">
        <v>0.31758000000000008</v>
      </c>
      <c r="C355" s="15">
        <v>0.55514333333333321</v>
      </c>
      <c r="D355" s="22">
        <v>1</v>
      </c>
      <c r="E355" s="15">
        <v>0.44078000000000012</v>
      </c>
      <c r="F355" s="15">
        <v>0.31758000000000008</v>
      </c>
      <c r="G355" s="15">
        <v>0.55514333333333321</v>
      </c>
      <c r="H355" s="16">
        <v>1</v>
      </c>
      <c r="I355" s="15">
        <v>0.4432549999999999</v>
      </c>
      <c r="J355" s="15">
        <v>0.43786499999999989</v>
      </c>
      <c r="K355" s="15">
        <v>0.4609100000000001</v>
      </c>
      <c r="L355" s="15">
        <v>0.44089</v>
      </c>
      <c r="M355" s="19">
        <v>3.7714559967360001E-4</v>
      </c>
      <c r="N355" s="16">
        <v>0</v>
      </c>
      <c r="O355" s="15" t="s">
        <v>33</v>
      </c>
      <c r="P355" s="16">
        <v>0</v>
      </c>
      <c r="Q355" s="16">
        <v>0</v>
      </c>
      <c r="R355" s="19">
        <v>0</v>
      </c>
      <c r="S355" s="20" t="s">
        <v>33</v>
      </c>
    </row>
    <row r="356" spans="1:19" ht="15" customHeight="1" x14ac:dyDescent="0.3">
      <c r="A356" s="16">
        <v>273</v>
      </c>
      <c r="B356" s="15">
        <v>8.1319999999999906E-2</v>
      </c>
      <c r="C356" s="15">
        <v>0.1336399999999999</v>
      </c>
      <c r="D356" s="22">
        <v>1</v>
      </c>
      <c r="E356" s="15">
        <v>0.1086199999999999</v>
      </c>
      <c r="F356" s="15">
        <v>8.1319999999999906E-2</v>
      </c>
      <c r="G356" s="15">
        <v>0.1336399999999999</v>
      </c>
      <c r="H356" s="16">
        <v>1</v>
      </c>
      <c r="I356" s="15">
        <v>0.10484</v>
      </c>
      <c r="J356" s="15">
        <v>0.11114</v>
      </c>
      <c r="K356" s="15">
        <v>0.10045999999999999</v>
      </c>
      <c r="L356" s="15">
        <v>0.10639999999999999</v>
      </c>
      <c r="M356" s="19">
        <v>0</v>
      </c>
      <c r="N356" s="16">
        <v>0</v>
      </c>
      <c r="O356" s="15" t="s">
        <v>33</v>
      </c>
      <c r="P356" s="16">
        <v>0</v>
      </c>
      <c r="Q356" s="16">
        <v>0</v>
      </c>
      <c r="R356" s="19">
        <v>0</v>
      </c>
      <c r="S356" s="20" t="s">
        <v>33</v>
      </c>
    </row>
    <row r="357" spans="1:19" ht="15" customHeight="1" x14ac:dyDescent="0.3">
      <c r="A357" s="16">
        <v>274</v>
      </c>
      <c r="B357" s="15">
        <v>-7.1816333333333301E-2</v>
      </c>
      <c r="C357" s="15">
        <v>1.07579999999999E-2</v>
      </c>
      <c r="D357" s="22">
        <v>0.25</v>
      </c>
      <c r="E357" s="15">
        <v>-2.90815E-2</v>
      </c>
      <c r="F357" s="15">
        <v>-7.1816333333333301E-2</v>
      </c>
      <c r="G357" s="15">
        <v>1.07579999999999E-2</v>
      </c>
      <c r="H357" s="16">
        <v>1</v>
      </c>
      <c r="I357" s="15">
        <v>-2.9554500000000001E-2</v>
      </c>
      <c r="J357" s="15">
        <v>-3.0178E-2</v>
      </c>
      <c r="K357" s="15">
        <v>-3.25645000000001E-2</v>
      </c>
      <c r="L357" s="15">
        <v>-4.0583999999999898E-2</v>
      </c>
      <c r="M357" s="19">
        <v>0</v>
      </c>
      <c r="N357" s="16">
        <v>0</v>
      </c>
      <c r="O357" s="15" t="s">
        <v>33</v>
      </c>
      <c r="P357" s="16">
        <v>0</v>
      </c>
      <c r="Q357" s="16">
        <v>0</v>
      </c>
      <c r="R357" s="19">
        <v>0</v>
      </c>
      <c r="S357" s="20" t="s">
        <v>33</v>
      </c>
    </row>
    <row r="358" spans="1:19" ht="15" customHeight="1" x14ac:dyDescent="0.3">
      <c r="A358" s="16">
        <v>275</v>
      </c>
      <c r="B358" s="15">
        <v>-0.34865466666666661</v>
      </c>
      <c r="C358" s="15">
        <v>-9.5802666666666605E-2</v>
      </c>
      <c r="D358" s="22">
        <v>0</v>
      </c>
      <c r="E358" s="15">
        <v>-0.22559799999999999</v>
      </c>
      <c r="F358" s="15">
        <v>-0.34865466666666661</v>
      </c>
      <c r="G358" s="15">
        <v>-9.5802666666666605E-2</v>
      </c>
      <c r="H358" s="16">
        <v>1</v>
      </c>
      <c r="I358" s="15">
        <v>-0.22544600000000001</v>
      </c>
      <c r="J358" s="15">
        <v>-0.22791600000000001</v>
      </c>
      <c r="K358" s="15">
        <v>-0.22042999999999999</v>
      </c>
      <c r="L358" s="15">
        <v>-0.22183600000000001</v>
      </c>
      <c r="M358" s="19">
        <v>0</v>
      </c>
      <c r="N358" s="16">
        <v>0</v>
      </c>
      <c r="O358" s="15" t="s">
        <v>33</v>
      </c>
      <c r="P358" s="16">
        <v>0</v>
      </c>
      <c r="Q358" s="16">
        <v>0</v>
      </c>
      <c r="R358" s="19">
        <v>0</v>
      </c>
      <c r="S358" s="20" t="s">
        <v>33</v>
      </c>
    </row>
    <row r="359" spans="1:19" ht="15" customHeight="1" x14ac:dyDescent="0.3">
      <c r="A359" s="16">
        <v>276</v>
      </c>
      <c r="B359" s="15">
        <v>-0.24839166666666659</v>
      </c>
      <c r="C359" s="15">
        <v>-0.1142199999999999</v>
      </c>
      <c r="D359" s="22">
        <v>0</v>
      </c>
      <c r="E359" s="15">
        <v>-0.1851374999999999</v>
      </c>
      <c r="F359" s="15">
        <v>-0.24839166666666659</v>
      </c>
      <c r="G359" s="15">
        <v>-0.1142199999999999</v>
      </c>
      <c r="H359" s="16">
        <v>1</v>
      </c>
      <c r="I359" s="15">
        <v>-0.18328499999999989</v>
      </c>
      <c r="J359" s="15">
        <v>-0.18029249999999991</v>
      </c>
      <c r="K359" s="15">
        <v>-0.16998499999999989</v>
      </c>
      <c r="L359" s="15">
        <v>-0.17635000000000001</v>
      </c>
      <c r="M359" s="19">
        <v>0</v>
      </c>
      <c r="N359" s="16">
        <v>0</v>
      </c>
      <c r="O359" s="15" t="s">
        <v>33</v>
      </c>
      <c r="P359" s="16">
        <v>0</v>
      </c>
      <c r="Q359" s="16">
        <v>0</v>
      </c>
      <c r="R359" s="19">
        <v>0</v>
      </c>
      <c r="S359" s="20" t="s">
        <v>33</v>
      </c>
    </row>
    <row r="360" spans="1:19" ht="15" customHeight="1" x14ac:dyDescent="0.3">
      <c r="A360" s="16">
        <v>277</v>
      </c>
      <c r="B360" s="15">
        <v>-0.60523333333333329</v>
      </c>
      <c r="C360" s="15">
        <v>-0.49763666666666662</v>
      </c>
      <c r="D360" s="22">
        <v>0</v>
      </c>
      <c r="E360" s="15">
        <v>-0.54474</v>
      </c>
      <c r="F360" s="15">
        <v>-0.60523333333333329</v>
      </c>
      <c r="G360" s="15">
        <v>-0.49763666666666662</v>
      </c>
      <c r="H360" s="16">
        <v>0</v>
      </c>
      <c r="I360" s="15">
        <v>-0.54532500000000006</v>
      </c>
      <c r="J360" s="15">
        <v>-0.54708000000000001</v>
      </c>
      <c r="K360" s="15">
        <v>-0.56020999999999999</v>
      </c>
      <c r="L360" s="15">
        <v>-0.53161000000000003</v>
      </c>
      <c r="M360" s="19">
        <v>0</v>
      </c>
      <c r="N360" s="16">
        <v>1</v>
      </c>
      <c r="O360" s="15" t="s">
        <v>33</v>
      </c>
      <c r="P360" s="16">
        <v>0</v>
      </c>
      <c r="Q360" s="16">
        <v>0</v>
      </c>
      <c r="R360" s="19">
        <v>0</v>
      </c>
      <c r="S360" s="20" t="s">
        <v>33</v>
      </c>
    </row>
    <row r="361" spans="1:19" ht="15" customHeight="1" x14ac:dyDescent="0.3">
      <c r="A361" s="16">
        <v>278</v>
      </c>
      <c r="B361" s="15">
        <v>0.17245333333333329</v>
      </c>
      <c r="C361" s="15">
        <v>0.67103999999999997</v>
      </c>
      <c r="D361" s="22">
        <v>0.98333333333333317</v>
      </c>
      <c r="E361" s="15">
        <v>0.44241999999999998</v>
      </c>
      <c r="F361" s="15">
        <v>0.17245333333333329</v>
      </c>
      <c r="G361" s="15">
        <v>0.67103999999999997</v>
      </c>
      <c r="H361" s="16">
        <v>1</v>
      </c>
      <c r="I361" s="15">
        <v>0.44073999999999991</v>
      </c>
      <c r="J361" s="15">
        <v>0.44885999999999998</v>
      </c>
      <c r="K361" s="15">
        <v>0.43472</v>
      </c>
      <c r="L361" s="15">
        <v>0.4492799999999999</v>
      </c>
      <c r="M361" s="19">
        <v>0</v>
      </c>
      <c r="N361" s="16">
        <v>1</v>
      </c>
      <c r="O361" s="15" t="s">
        <v>33</v>
      </c>
      <c r="P361" s="16">
        <v>0</v>
      </c>
      <c r="Q361" s="16">
        <v>1</v>
      </c>
      <c r="R361" s="19">
        <v>0</v>
      </c>
      <c r="S361" s="20" t="s">
        <v>964</v>
      </c>
    </row>
    <row r="362" spans="1:19" ht="15" customHeight="1" x14ac:dyDescent="0.3">
      <c r="A362" s="16">
        <v>279</v>
      </c>
      <c r="B362" s="15">
        <v>-0.33259599999999989</v>
      </c>
      <c r="C362" s="15">
        <v>-0.15189399999999989</v>
      </c>
      <c r="D362" s="22">
        <v>0</v>
      </c>
      <c r="E362" s="15">
        <v>-0.239923</v>
      </c>
      <c r="F362" s="15">
        <v>-0.33259599999999989</v>
      </c>
      <c r="G362" s="15">
        <v>-0.15189399999999989</v>
      </c>
      <c r="H362" s="16">
        <v>1</v>
      </c>
      <c r="I362" s="15">
        <v>-0.24062499999999989</v>
      </c>
      <c r="J362" s="15">
        <v>-0.2411649999999998</v>
      </c>
      <c r="K362" s="15">
        <v>-0.23511699999999999</v>
      </c>
      <c r="L362" s="15">
        <v>-0.24078699999999989</v>
      </c>
      <c r="M362" s="19">
        <v>0</v>
      </c>
      <c r="N362" s="16">
        <v>0</v>
      </c>
      <c r="O362" s="15" t="s">
        <v>33</v>
      </c>
      <c r="P362" s="16">
        <v>0</v>
      </c>
      <c r="Q362" s="16">
        <v>0</v>
      </c>
      <c r="R362" s="19">
        <v>0</v>
      </c>
      <c r="S362" s="20" t="s">
        <v>33</v>
      </c>
    </row>
    <row r="363" spans="1:19" ht="15" customHeight="1" x14ac:dyDescent="0.3">
      <c r="A363" s="16">
        <v>280</v>
      </c>
      <c r="B363" s="15">
        <v>0.11231999999999991</v>
      </c>
      <c r="C363" s="15">
        <v>0.34677999999999998</v>
      </c>
      <c r="D363" s="22">
        <v>1</v>
      </c>
      <c r="E363" s="15">
        <v>0.21944</v>
      </c>
      <c r="F363" s="15">
        <v>0.11231999999999991</v>
      </c>
      <c r="G363" s="15">
        <v>0.34677999999999998</v>
      </c>
      <c r="H363" s="16">
        <v>1</v>
      </c>
      <c r="I363" s="15">
        <v>0.21916999999999981</v>
      </c>
      <c r="J363" s="15">
        <v>0.2237599999999999</v>
      </c>
      <c r="K363" s="15">
        <v>0.21709999999999999</v>
      </c>
      <c r="L363" s="15">
        <v>0.20824999999999999</v>
      </c>
      <c r="M363" s="19">
        <v>0</v>
      </c>
      <c r="N363" s="16">
        <v>0</v>
      </c>
      <c r="O363" s="15" t="s">
        <v>33</v>
      </c>
      <c r="P363" s="16">
        <v>0</v>
      </c>
      <c r="Q363" s="16">
        <v>0</v>
      </c>
      <c r="R363" s="19">
        <v>0</v>
      </c>
      <c r="S363" s="20" t="s">
        <v>33</v>
      </c>
    </row>
    <row r="364" spans="1:19" ht="15" customHeight="1" x14ac:dyDescent="0.3">
      <c r="A364" s="16">
        <v>281</v>
      </c>
      <c r="B364" s="15">
        <v>-0.37116666666666659</v>
      </c>
      <c r="C364" s="15">
        <v>-0.2417</v>
      </c>
      <c r="D364" s="22">
        <v>0</v>
      </c>
      <c r="E364" s="15">
        <v>-0.3095</v>
      </c>
      <c r="F364" s="15">
        <v>-0.37116666666666659</v>
      </c>
      <c r="G364" s="15">
        <v>-0.2417</v>
      </c>
      <c r="H364" s="16">
        <v>1</v>
      </c>
      <c r="I364" s="15">
        <v>-0.30769999999999997</v>
      </c>
      <c r="J364" s="15">
        <v>-0.31179999999999991</v>
      </c>
      <c r="K364" s="15">
        <v>-0.3083499999999999</v>
      </c>
      <c r="L364" s="15">
        <v>-0.29749999999999988</v>
      </c>
      <c r="M364" s="19">
        <v>0</v>
      </c>
      <c r="N364" s="16">
        <v>0</v>
      </c>
      <c r="O364" s="15" t="s">
        <v>33</v>
      </c>
      <c r="P364" s="16">
        <v>0</v>
      </c>
      <c r="Q364" s="16">
        <v>0</v>
      </c>
      <c r="R364" s="19">
        <v>0</v>
      </c>
      <c r="S364" s="20" t="s">
        <v>33</v>
      </c>
    </row>
    <row r="365" spans="1:19" ht="15" customHeight="1" x14ac:dyDescent="0.3">
      <c r="A365" s="16">
        <v>282</v>
      </c>
      <c r="B365" s="15">
        <v>-0.49161333333333329</v>
      </c>
      <c r="C365" s="15">
        <v>-0.34871999999999997</v>
      </c>
      <c r="D365" s="22">
        <v>0</v>
      </c>
      <c r="E365" s="15">
        <v>-0.42586000000000002</v>
      </c>
      <c r="F365" s="15">
        <v>-0.49161333333333329</v>
      </c>
      <c r="G365" s="15">
        <v>-0.34871999999999997</v>
      </c>
      <c r="H365" s="16">
        <v>0</v>
      </c>
      <c r="I365" s="15">
        <v>-0.42635000000000001</v>
      </c>
      <c r="J365" s="15">
        <v>-0.42845</v>
      </c>
      <c r="K365" s="15">
        <v>-0.44041999999999998</v>
      </c>
      <c r="L365" s="15">
        <v>-0.42011999999999999</v>
      </c>
      <c r="M365" s="19">
        <v>0</v>
      </c>
      <c r="N365" s="16">
        <v>1</v>
      </c>
      <c r="O365" s="15" t="s">
        <v>33</v>
      </c>
      <c r="P365" s="16">
        <v>0</v>
      </c>
      <c r="Q365" s="16">
        <v>0</v>
      </c>
      <c r="R365" s="19">
        <v>0</v>
      </c>
      <c r="S365" s="20" t="s">
        <v>33</v>
      </c>
    </row>
    <row r="366" spans="1:19" ht="15" customHeight="1" x14ac:dyDescent="0.3">
      <c r="A366" s="16">
        <v>283</v>
      </c>
      <c r="B366" s="15">
        <v>-0.35865999999999998</v>
      </c>
      <c r="C366" s="15">
        <v>1.406E-2</v>
      </c>
      <c r="D366" s="22">
        <v>0.15</v>
      </c>
      <c r="E366" s="15">
        <v>-0.17298999999999989</v>
      </c>
      <c r="F366" s="15">
        <v>-0.35865999999999998</v>
      </c>
      <c r="G366" s="15">
        <v>1.406E-2</v>
      </c>
      <c r="H366" s="16">
        <v>0</v>
      </c>
      <c r="I366" s="15">
        <v>-0.17244999999999999</v>
      </c>
      <c r="J366" s="15">
        <v>-0.17433999999999991</v>
      </c>
      <c r="K366" s="15">
        <v>-0.1653399999999999</v>
      </c>
      <c r="L366" s="15">
        <v>-0.16552</v>
      </c>
      <c r="M366" s="19">
        <v>0</v>
      </c>
      <c r="N366" s="16">
        <v>1</v>
      </c>
      <c r="O366" s="15" t="s">
        <v>33</v>
      </c>
      <c r="P366" s="16">
        <v>0</v>
      </c>
      <c r="Q366" s="16">
        <v>0</v>
      </c>
      <c r="R366" s="19">
        <v>0</v>
      </c>
      <c r="S366" s="20" t="s">
        <v>33</v>
      </c>
    </row>
    <row r="367" spans="1:19" ht="15" customHeight="1" x14ac:dyDescent="0.3">
      <c r="A367" s="16">
        <v>284</v>
      </c>
      <c r="B367" s="15">
        <v>-0.27187</v>
      </c>
      <c r="C367" s="15">
        <v>-9.1259999999999897E-2</v>
      </c>
      <c r="D367" s="22">
        <v>0</v>
      </c>
      <c r="E367" s="15">
        <v>-0.17130999999999999</v>
      </c>
      <c r="F367" s="15">
        <v>-0.27187</v>
      </c>
      <c r="G367" s="15">
        <v>-9.1259999999999897E-2</v>
      </c>
      <c r="H367" s="16">
        <v>1</v>
      </c>
      <c r="I367" s="15">
        <v>-0.1717449999999999</v>
      </c>
      <c r="J367" s="15">
        <v>-0.17270500000000011</v>
      </c>
      <c r="K367" s="15">
        <v>-0.16859499999999991</v>
      </c>
      <c r="L367" s="15">
        <v>-0.17517999999999989</v>
      </c>
      <c r="M367" s="19">
        <v>0</v>
      </c>
      <c r="N367" s="16">
        <v>0</v>
      </c>
      <c r="O367" s="15" t="s">
        <v>33</v>
      </c>
      <c r="P367" s="16">
        <v>0</v>
      </c>
      <c r="Q367" s="16">
        <v>1</v>
      </c>
      <c r="R367" s="19">
        <v>0</v>
      </c>
      <c r="S367" s="20" t="s">
        <v>970</v>
      </c>
    </row>
    <row r="368" spans="1:19" ht="15" customHeight="1" x14ac:dyDescent="0.3">
      <c r="A368" s="16">
        <v>285</v>
      </c>
      <c r="B368" s="15">
        <v>-0.27125333333333329</v>
      </c>
      <c r="C368" s="15">
        <v>-8.9253333333333296E-2</v>
      </c>
      <c r="D368" s="22">
        <v>0</v>
      </c>
      <c r="E368" s="15">
        <v>-0.18751999999999999</v>
      </c>
      <c r="F368" s="15">
        <v>-0.27125333333333329</v>
      </c>
      <c r="G368" s="15">
        <v>-8.9253333333333296E-2</v>
      </c>
      <c r="H368" s="16">
        <v>1</v>
      </c>
      <c r="I368" s="15">
        <v>-0.18532000000000001</v>
      </c>
      <c r="J368" s="15">
        <v>-0.18579999999999991</v>
      </c>
      <c r="K368" s="15">
        <v>-0.18315999999999999</v>
      </c>
      <c r="L368" s="15">
        <v>-0.19064</v>
      </c>
      <c r="M368" s="19">
        <v>0</v>
      </c>
      <c r="N368" s="16">
        <v>0</v>
      </c>
      <c r="O368" s="15" t="s">
        <v>33</v>
      </c>
      <c r="P368" s="16">
        <v>0</v>
      </c>
      <c r="Q368" s="16">
        <v>1</v>
      </c>
      <c r="R368" s="19">
        <v>0</v>
      </c>
      <c r="S368" s="20" t="s">
        <v>967</v>
      </c>
    </row>
    <row r="369" spans="1:19" ht="15" customHeight="1" x14ac:dyDescent="0.3">
      <c r="A369" s="16">
        <v>286</v>
      </c>
      <c r="B369" s="15">
        <v>-0.43687999999999999</v>
      </c>
      <c r="C369" s="15">
        <v>7.3600000000001E-3</v>
      </c>
      <c r="D369" s="22">
        <v>0.1166666666666666</v>
      </c>
      <c r="E369" s="15">
        <v>-0.2452</v>
      </c>
      <c r="F369" s="15">
        <v>-0.43687999999999999</v>
      </c>
      <c r="G369" s="15">
        <v>7.3600000000001E-3</v>
      </c>
      <c r="H369" s="16">
        <v>0</v>
      </c>
      <c r="I369" s="15">
        <v>-0.2454399999999998</v>
      </c>
      <c r="J369" s="15">
        <v>-0.25120000000000009</v>
      </c>
      <c r="K369" s="15">
        <v>-0.26535999999999998</v>
      </c>
      <c r="L369" s="15">
        <v>-0.24951999999999991</v>
      </c>
      <c r="M369" s="19">
        <v>0</v>
      </c>
      <c r="N369" s="16">
        <v>1</v>
      </c>
      <c r="O369" s="15" t="s">
        <v>33</v>
      </c>
      <c r="P369" s="16">
        <v>0</v>
      </c>
      <c r="Q369" s="16">
        <v>0</v>
      </c>
      <c r="R369" s="19">
        <v>0</v>
      </c>
      <c r="S369" s="20" t="s">
        <v>33</v>
      </c>
    </row>
    <row r="370" spans="1:19" ht="15" customHeight="1" x14ac:dyDescent="0.3">
      <c r="A370" s="16">
        <v>287</v>
      </c>
      <c r="B370" s="15">
        <v>0.49020000000000008</v>
      </c>
      <c r="C370" s="15">
        <v>0.87669999999999992</v>
      </c>
      <c r="D370" s="22">
        <v>1</v>
      </c>
      <c r="E370" s="15">
        <v>0.65795000000000003</v>
      </c>
      <c r="F370" s="15">
        <v>0.49020000000000008</v>
      </c>
      <c r="G370" s="15">
        <v>0.87669999999999992</v>
      </c>
      <c r="H370" s="16">
        <v>1</v>
      </c>
      <c r="I370" s="15">
        <v>0.65975000000000006</v>
      </c>
      <c r="J370" s="15">
        <v>0.66679999999999984</v>
      </c>
      <c r="K370" s="15">
        <v>0.65570000000000017</v>
      </c>
      <c r="L370" s="15">
        <v>0.69484999999999997</v>
      </c>
      <c r="M370" s="19">
        <v>0</v>
      </c>
      <c r="N370" s="16">
        <v>1</v>
      </c>
      <c r="O370" s="15" t="s">
        <v>33</v>
      </c>
      <c r="P370" s="16">
        <v>0</v>
      </c>
      <c r="Q370" s="16">
        <v>0</v>
      </c>
      <c r="R370" s="19">
        <v>0</v>
      </c>
      <c r="S370" s="20" t="s">
        <v>33</v>
      </c>
    </row>
    <row r="371" spans="1:19" ht="15" customHeight="1" x14ac:dyDescent="0.3">
      <c r="A371" s="16">
        <v>288</v>
      </c>
      <c r="B371" s="15">
        <v>-7.2599999999999901E-2</v>
      </c>
      <c r="C371" s="15">
        <v>0.20269999999999999</v>
      </c>
      <c r="D371" s="22">
        <v>0.75</v>
      </c>
      <c r="E371" s="15">
        <v>6.4849999999999797E-2</v>
      </c>
      <c r="F371" s="15">
        <v>-7.2599999999999901E-2</v>
      </c>
      <c r="G371" s="15">
        <v>0.20269999999999999</v>
      </c>
      <c r="H371" s="16">
        <v>1</v>
      </c>
      <c r="I371" s="15">
        <v>5.9450000000000003E-2</v>
      </c>
      <c r="J371" s="15">
        <v>7.1000000000000105E-2</v>
      </c>
      <c r="K371" s="15">
        <v>4.8799999999999899E-2</v>
      </c>
      <c r="L371" s="15">
        <v>8.3749999999999894E-2</v>
      </c>
      <c r="M371" s="19">
        <v>0</v>
      </c>
      <c r="N371" s="16">
        <v>1</v>
      </c>
      <c r="O371" s="15" t="s">
        <v>33</v>
      </c>
      <c r="P371" s="16">
        <v>0</v>
      </c>
      <c r="Q371" s="16">
        <v>1</v>
      </c>
      <c r="R371" s="19">
        <v>0</v>
      </c>
      <c r="S371" s="20" t="s">
        <v>968</v>
      </c>
    </row>
    <row r="372" spans="1:19" ht="15" customHeight="1" x14ac:dyDescent="0.3">
      <c r="A372" s="16">
        <v>289</v>
      </c>
      <c r="B372" s="15">
        <v>-0.4053666666666666</v>
      </c>
      <c r="C372" s="15">
        <v>-0.33092222222222228</v>
      </c>
      <c r="D372" s="22">
        <v>0</v>
      </c>
      <c r="E372" s="15">
        <v>-0.37180000000000007</v>
      </c>
      <c r="F372" s="15">
        <v>-0.4053666666666666</v>
      </c>
      <c r="G372" s="15">
        <v>-0.33092222222222228</v>
      </c>
      <c r="H372" s="16">
        <v>1</v>
      </c>
      <c r="I372" s="15">
        <v>-0.37223333333333342</v>
      </c>
      <c r="J372" s="15">
        <v>-0.37090000000000001</v>
      </c>
      <c r="K372" s="15">
        <v>-0.36456666666666671</v>
      </c>
      <c r="L372" s="15">
        <v>-0.37108333333333332</v>
      </c>
      <c r="M372" s="19">
        <v>0</v>
      </c>
      <c r="N372" s="16">
        <v>0</v>
      </c>
      <c r="O372" s="15" t="s">
        <v>33</v>
      </c>
      <c r="P372" s="16">
        <v>0</v>
      </c>
      <c r="Q372" s="16">
        <v>0</v>
      </c>
      <c r="R372" s="19">
        <v>0</v>
      </c>
      <c r="S372" s="20" t="s">
        <v>33</v>
      </c>
    </row>
    <row r="373" spans="1:19" ht="15" customHeight="1" x14ac:dyDescent="0.3">
      <c r="A373" s="16">
        <v>290</v>
      </c>
      <c r="B373" s="15">
        <v>-4.0399999999999998E-2</v>
      </c>
      <c r="C373" s="15">
        <v>0.12633333333333341</v>
      </c>
      <c r="D373" s="22">
        <v>0.65</v>
      </c>
      <c r="E373" s="15">
        <v>4.6699999999999901E-2</v>
      </c>
      <c r="F373" s="15">
        <v>-4.0399999999999998E-2</v>
      </c>
      <c r="G373" s="15">
        <v>0.12633333333333341</v>
      </c>
      <c r="H373" s="16">
        <v>1</v>
      </c>
      <c r="I373" s="15">
        <v>4.7300000000000099E-2</v>
      </c>
      <c r="J373" s="15">
        <v>4.6300000000000001E-2</v>
      </c>
      <c r="K373" s="15">
        <v>3.40499999999999E-2</v>
      </c>
      <c r="L373" s="15">
        <v>5.2550000000000097E-2</v>
      </c>
      <c r="M373" s="19">
        <v>0</v>
      </c>
      <c r="N373" s="16">
        <v>0</v>
      </c>
      <c r="O373" s="15" t="s">
        <v>33</v>
      </c>
      <c r="P373" s="16">
        <v>0</v>
      </c>
      <c r="Q373" s="16">
        <v>1</v>
      </c>
      <c r="R373" s="19">
        <v>0</v>
      </c>
      <c r="S373" s="20" t="s">
        <v>965</v>
      </c>
    </row>
    <row r="374" spans="1:19" ht="15" customHeight="1" x14ac:dyDescent="0.3">
      <c r="A374" s="16">
        <v>291</v>
      </c>
      <c r="B374" s="15">
        <v>0.11769</v>
      </c>
      <c r="C374" s="15">
        <v>0.1991</v>
      </c>
      <c r="D374" s="22">
        <v>1</v>
      </c>
      <c r="E374" s="15">
        <v>0.15888499999999989</v>
      </c>
      <c r="F374" s="15">
        <v>0.11769</v>
      </c>
      <c r="G374" s="15">
        <v>0.1991</v>
      </c>
      <c r="H374" s="16">
        <v>1</v>
      </c>
      <c r="I374" s="15">
        <v>0.1608274999999999</v>
      </c>
      <c r="J374" s="15">
        <v>0.155</v>
      </c>
      <c r="K374" s="15">
        <v>0.15232249999999989</v>
      </c>
      <c r="L374" s="15">
        <v>0.15206</v>
      </c>
      <c r="M374" s="19">
        <v>0</v>
      </c>
      <c r="N374" s="16">
        <v>0</v>
      </c>
      <c r="O374" s="15" t="s">
        <v>33</v>
      </c>
      <c r="P374" s="16">
        <v>0</v>
      </c>
      <c r="Q374" s="16">
        <v>0</v>
      </c>
      <c r="R374" s="19">
        <v>0</v>
      </c>
      <c r="S374" s="20" t="s">
        <v>33</v>
      </c>
    </row>
    <row r="375" spans="1:19" ht="15" customHeight="1" x14ac:dyDescent="0.3">
      <c r="A375" s="16">
        <v>292</v>
      </c>
      <c r="B375" s="15">
        <v>4.9056666666666499E-2</v>
      </c>
      <c r="C375" s="15">
        <v>0.1446933333333334</v>
      </c>
      <c r="D375" s="22">
        <v>1</v>
      </c>
      <c r="E375" s="15">
        <v>9.4924999999999898E-2</v>
      </c>
      <c r="F375" s="15">
        <v>4.9056666666666499E-2</v>
      </c>
      <c r="G375" s="15">
        <v>0.1446933333333334</v>
      </c>
      <c r="H375" s="16">
        <v>1</v>
      </c>
      <c r="I375" s="15">
        <v>9.3364999999999906E-2</v>
      </c>
      <c r="J375" s="15">
        <v>9.7849999999999895E-2</v>
      </c>
      <c r="K375" s="15">
        <v>0.1027249999999999</v>
      </c>
      <c r="L375" s="15">
        <v>9.3949999999999895E-2</v>
      </c>
      <c r="M375" s="19">
        <v>0</v>
      </c>
      <c r="N375" s="16">
        <v>0</v>
      </c>
      <c r="O375" s="15" t="s">
        <v>33</v>
      </c>
      <c r="P375" s="16">
        <v>0</v>
      </c>
      <c r="Q375" s="16">
        <v>0</v>
      </c>
      <c r="R375" s="19">
        <v>0</v>
      </c>
      <c r="S375" s="20" t="s">
        <v>33</v>
      </c>
    </row>
    <row r="376" spans="1:19" ht="15" customHeight="1" x14ac:dyDescent="0.3">
      <c r="A376" s="16">
        <v>293</v>
      </c>
      <c r="B376" s="15">
        <v>-6.7720000000000002E-2</v>
      </c>
      <c r="C376" s="15">
        <v>0.62656000000000001</v>
      </c>
      <c r="D376" s="22">
        <v>0.85</v>
      </c>
      <c r="E376" s="15">
        <v>0.25204999999999989</v>
      </c>
      <c r="F376" s="15">
        <v>-6.7720000000000002E-2</v>
      </c>
      <c r="G376" s="15">
        <v>0.62656000000000001</v>
      </c>
      <c r="H376" s="16">
        <v>1</v>
      </c>
      <c r="I376" s="15">
        <v>0.2525599999999999</v>
      </c>
      <c r="J376" s="15">
        <v>0.2433799999999999</v>
      </c>
      <c r="K376" s="15">
        <v>0.16228999999999999</v>
      </c>
      <c r="L376" s="15">
        <v>0.24440000000000009</v>
      </c>
      <c r="M376" s="19">
        <v>0</v>
      </c>
      <c r="N376" s="16">
        <v>1</v>
      </c>
      <c r="O376" s="15" t="s">
        <v>33</v>
      </c>
      <c r="P376" s="16">
        <v>0</v>
      </c>
      <c r="Q376" s="16">
        <v>0</v>
      </c>
      <c r="R376" s="19">
        <v>0</v>
      </c>
      <c r="S376" s="20" t="s">
        <v>33</v>
      </c>
    </row>
    <row r="377" spans="1:19" ht="15" customHeight="1" x14ac:dyDescent="0.3">
      <c r="A377" s="16">
        <v>294</v>
      </c>
      <c r="B377" s="15" t="s">
        <v>33</v>
      </c>
      <c r="C377" s="15" t="s">
        <v>33</v>
      </c>
      <c r="D377" s="22">
        <v>0</v>
      </c>
      <c r="E377" s="15" t="s">
        <v>33</v>
      </c>
      <c r="F377" s="15" t="s">
        <v>33</v>
      </c>
      <c r="G377" s="15" t="s">
        <v>33</v>
      </c>
      <c r="H377" s="16">
        <v>1</v>
      </c>
      <c r="I377" s="15" t="s">
        <v>33</v>
      </c>
      <c r="J377" s="15" t="s">
        <v>33</v>
      </c>
      <c r="K377" s="15" t="s">
        <v>33</v>
      </c>
      <c r="L377" s="15" t="s">
        <v>33</v>
      </c>
      <c r="M377" s="19">
        <v>0</v>
      </c>
      <c r="N377" s="16">
        <v>0</v>
      </c>
      <c r="O377" s="15" t="s">
        <v>33</v>
      </c>
      <c r="P377" s="16">
        <v>0</v>
      </c>
      <c r="Q377" s="16">
        <v>0</v>
      </c>
      <c r="R377" s="19">
        <v>0</v>
      </c>
      <c r="S377" s="20" t="s">
        <v>33</v>
      </c>
    </row>
    <row r="378" spans="1:19" ht="15" customHeight="1" x14ac:dyDescent="0.3">
      <c r="A378" s="16">
        <v>295</v>
      </c>
      <c r="B378" s="15" t="s">
        <v>33</v>
      </c>
      <c r="C378" s="15" t="s">
        <v>33</v>
      </c>
      <c r="D378" s="22">
        <v>0</v>
      </c>
      <c r="E378" s="15" t="s">
        <v>33</v>
      </c>
      <c r="F378" s="15" t="s">
        <v>33</v>
      </c>
      <c r="G378" s="15" t="s">
        <v>33</v>
      </c>
      <c r="H378" s="16">
        <v>1</v>
      </c>
      <c r="I378" s="15" t="s">
        <v>33</v>
      </c>
      <c r="J378" s="15" t="s">
        <v>33</v>
      </c>
      <c r="K378" s="15" t="s">
        <v>33</v>
      </c>
      <c r="L378" s="15" t="s">
        <v>33</v>
      </c>
      <c r="M378" s="19">
        <v>0</v>
      </c>
      <c r="N378" s="16">
        <v>0</v>
      </c>
      <c r="O378" s="15" t="s">
        <v>33</v>
      </c>
      <c r="P378" s="16">
        <v>0</v>
      </c>
      <c r="Q378" s="16">
        <v>0</v>
      </c>
      <c r="R378" s="19">
        <v>0</v>
      </c>
      <c r="S378" s="20" t="s">
        <v>33</v>
      </c>
    </row>
    <row r="379" spans="1:19" ht="15" customHeight="1" x14ac:dyDescent="0.3">
      <c r="A379" s="16">
        <v>296</v>
      </c>
      <c r="B379" s="15" t="s">
        <v>33</v>
      </c>
      <c r="C379" s="15" t="s">
        <v>33</v>
      </c>
      <c r="D379" s="22">
        <v>0</v>
      </c>
      <c r="E379" s="15" t="s">
        <v>33</v>
      </c>
      <c r="F379" s="15" t="s">
        <v>33</v>
      </c>
      <c r="G379" s="15" t="s">
        <v>33</v>
      </c>
      <c r="H379" s="16">
        <v>1</v>
      </c>
      <c r="I379" s="15" t="s">
        <v>33</v>
      </c>
      <c r="J379" s="15" t="s">
        <v>33</v>
      </c>
      <c r="K379" s="15" t="s">
        <v>33</v>
      </c>
      <c r="L379" s="15" t="s">
        <v>33</v>
      </c>
      <c r="M379" s="19">
        <v>0</v>
      </c>
      <c r="N379" s="16">
        <v>0</v>
      </c>
      <c r="O379" s="15" t="s">
        <v>33</v>
      </c>
      <c r="P379" s="16">
        <v>0</v>
      </c>
      <c r="Q379" s="16">
        <v>0</v>
      </c>
      <c r="R379" s="19">
        <v>0</v>
      </c>
      <c r="S379" s="20" t="s">
        <v>33</v>
      </c>
    </row>
    <row r="380" spans="1:19" ht="15" customHeight="1" x14ac:dyDescent="0.3">
      <c r="A380" s="16">
        <v>297</v>
      </c>
      <c r="B380" s="15" t="s">
        <v>33</v>
      </c>
      <c r="C380" s="15" t="s">
        <v>33</v>
      </c>
      <c r="D380" s="22">
        <v>0</v>
      </c>
      <c r="E380" s="15" t="s">
        <v>33</v>
      </c>
      <c r="F380" s="15" t="s">
        <v>33</v>
      </c>
      <c r="G380" s="15" t="s">
        <v>33</v>
      </c>
      <c r="H380" s="16">
        <v>1</v>
      </c>
      <c r="I380" s="15" t="s">
        <v>33</v>
      </c>
      <c r="J380" s="15" t="s">
        <v>33</v>
      </c>
      <c r="K380" s="15" t="s">
        <v>33</v>
      </c>
      <c r="L380" s="15" t="s">
        <v>33</v>
      </c>
      <c r="M380" s="19">
        <v>0</v>
      </c>
      <c r="N380" s="16">
        <v>0</v>
      </c>
      <c r="O380" s="15" t="s">
        <v>33</v>
      </c>
      <c r="P380" s="16">
        <v>0</v>
      </c>
      <c r="Q380" s="16">
        <v>0</v>
      </c>
      <c r="R380" s="19">
        <v>0</v>
      </c>
      <c r="S380" s="20" t="s">
        <v>33</v>
      </c>
    </row>
    <row r="381" spans="1:19" ht="15" customHeight="1" x14ac:dyDescent="0.3">
      <c r="A381" s="16">
        <v>298</v>
      </c>
      <c r="B381" s="15" t="s">
        <v>33</v>
      </c>
      <c r="C381" s="15" t="s">
        <v>33</v>
      </c>
      <c r="D381" s="22">
        <v>0</v>
      </c>
      <c r="E381" s="15" t="s">
        <v>33</v>
      </c>
      <c r="F381" s="15" t="s">
        <v>33</v>
      </c>
      <c r="G381" s="15" t="s">
        <v>33</v>
      </c>
      <c r="H381" s="16">
        <v>1</v>
      </c>
      <c r="I381" s="15" t="s">
        <v>33</v>
      </c>
      <c r="J381" s="15" t="s">
        <v>33</v>
      </c>
      <c r="K381" s="15" t="s">
        <v>33</v>
      </c>
      <c r="L381" s="15" t="s">
        <v>33</v>
      </c>
      <c r="M381" s="19">
        <v>0</v>
      </c>
      <c r="N381" s="16">
        <v>0</v>
      </c>
      <c r="O381" s="15" t="s">
        <v>33</v>
      </c>
      <c r="P381" s="16">
        <v>0</v>
      </c>
      <c r="Q381" s="16">
        <v>0</v>
      </c>
      <c r="R381" s="19">
        <v>0</v>
      </c>
      <c r="S381" s="20" t="s">
        <v>33</v>
      </c>
    </row>
    <row r="382" spans="1:19" ht="15" customHeight="1" x14ac:dyDescent="0.3">
      <c r="A382" s="16">
        <v>299</v>
      </c>
      <c r="B382" s="15" t="s">
        <v>33</v>
      </c>
      <c r="C382" s="15" t="s">
        <v>33</v>
      </c>
      <c r="D382" s="22">
        <v>0</v>
      </c>
      <c r="E382" s="15" t="s">
        <v>33</v>
      </c>
      <c r="F382" s="15" t="s">
        <v>33</v>
      </c>
      <c r="G382" s="15" t="s">
        <v>33</v>
      </c>
      <c r="H382" s="16">
        <v>1</v>
      </c>
      <c r="I382" s="15" t="s">
        <v>33</v>
      </c>
      <c r="J382" s="15" t="s">
        <v>33</v>
      </c>
      <c r="K382" s="15" t="s">
        <v>33</v>
      </c>
      <c r="L382" s="15" t="s">
        <v>33</v>
      </c>
      <c r="M382" s="19">
        <v>0</v>
      </c>
      <c r="N382" s="16">
        <v>0</v>
      </c>
      <c r="O382" s="15" t="s">
        <v>33</v>
      </c>
      <c r="P382" s="16">
        <v>0</v>
      </c>
      <c r="Q382" s="16">
        <v>0</v>
      </c>
      <c r="R382" s="19">
        <v>0</v>
      </c>
      <c r="S382" s="20" t="s">
        <v>33</v>
      </c>
    </row>
    <row r="383" spans="1:19" ht="15" customHeight="1" x14ac:dyDescent="0.3">
      <c r="A383" s="16">
        <v>300</v>
      </c>
      <c r="B383" s="15" t="s">
        <v>33</v>
      </c>
      <c r="C383" s="15" t="s">
        <v>33</v>
      </c>
      <c r="D383" s="22">
        <v>0</v>
      </c>
      <c r="E383" s="15" t="s">
        <v>33</v>
      </c>
      <c r="F383" s="15" t="s">
        <v>33</v>
      </c>
      <c r="G383" s="15" t="s">
        <v>33</v>
      </c>
      <c r="H383" s="16">
        <v>1</v>
      </c>
      <c r="I383" s="15" t="s">
        <v>33</v>
      </c>
      <c r="J383" s="15" t="s">
        <v>33</v>
      </c>
      <c r="K383" s="15" t="s">
        <v>33</v>
      </c>
      <c r="L383" s="15" t="s">
        <v>33</v>
      </c>
      <c r="M383" s="19">
        <v>0</v>
      </c>
      <c r="N383" s="16">
        <v>0</v>
      </c>
      <c r="O383" s="15" t="s">
        <v>33</v>
      </c>
      <c r="P383" s="16">
        <v>0</v>
      </c>
      <c r="Q383" s="16">
        <v>0</v>
      </c>
      <c r="R383" s="19">
        <v>0</v>
      </c>
      <c r="S383" s="20" t="s">
        <v>33</v>
      </c>
    </row>
    <row r="384" spans="1:19" ht="15" customHeight="1" x14ac:dyDescent="0.3">
      <c r="A384" s="16">
        <v>301</v>
      </c>
      <c r="B384" s="15" t="s">
        <v>33</v>
      </c>
      <c r="C384" s="15" t="s">
        <v>33</v>
      </c>
      <c r="D384" s="22">
        <v>0</v>
      </c>
      <c r="E384" s="15" t="s">
        <v>33</v>
      </c>
      <c r="F384" s="15" t="s">
        <v>33</v>
      </c>
      <c r="G384" s="15" t="s">
        <v>33</v>
      </c>
      <c r="H384" s="16">
        <v>1</v>
      </c>
      <c r="I384" s="15" t="s">
        <v>33</v>
      </c>
      <c r="J384" s="15" t="s">
        <v>33</v>
      </c>
      <c r="K384" s="15" t="s">
        <v>33</v>
      </c>
      <c r="L384" s="15" t="s">
        <v>33</v>
      </c>
      <c r="M384" s="19">
        <v>0</v>
      </c>
      <c r="N384" s="16">
        <v>0</v>
      </c>
      <c r="O384" s="15" t="s">
        <v>33</v>
      </c>
      <c r="P384" s="16">
        <v>0</v>
      </c>
      <c r="Q384" s="16">
        <v>0</v>
      </c>
      <c r="R384" s="19">
        <v>0</v>
      </c>
      <c r="S384" s="20" t="s">
        <v>33</v>
      </c>
    </row>
    <row r="385" spans="1:19" ht="15" customHeight="1" x14ac:dyDescent="0.3">
      <c r="A385" s="16">
        <v>302</v>
      </c>
      <c r="B385" s="15" t="s">
        <v>33</v>
      </c>
      <c r="C385" s="15" t="s">
        <v>33</v>
      </c>
      <c r="D385" s="22">
        <v>0</v>
      </c>
      <c r="E385" s="15" t="s">
        <v>33</v>
      </c>
      <c r="F385" s="15" t="s">
        <v>33</v>
      </c>
      <c r="G385" s="15" t="s">
        <v>33</v>
      </c>
      <c r="H385" s="16">
        <v>1</v>
      </c>
      <c r="I385" s="15" t="s">
        <v>33</v>
      </c>
      <c r="J385" s="15" t="s">
        <v>33</v>
      </c>
      <c r="K385" s="15" t="s">
        <v>33</v>
      </c>
      <c r="L385" s="15" t="s">
        <v>33</v>
      </c>
      <c r="M385" s="19">
        <v>0</v>
      </c>
      <c r="N385" s="16">
        <v>0</v>
      </c>
      <c r="O385" s="15" t="s">
        <v>33</v>
      </c>
      <c r="P385" s="16">
        <v>0</v>
      </c>
      <c r="Q385" s="16">
        <v>0</v>
      </c>
      <c r="R385" s="19">
        <v>0</v>
      </c>
      <c r="S385" s="20" t="s">
        <v>33</v>
      </c>
    </row>
    <row r="386" spans="1:19" ht="15" customHeight="1" x14ac:dyDescent="0.3">
      <c r="A386" s="16">
        <v>303</v>
      </c>
      <c r="B386" s="15" t="s">
        <v>33</v>
      </c>
      <c r="C386" s="15" t="s">
        <v>33</v>
      </c>
      <c r="D386" s="22">
        <v>0</v>
      </c>
      <c r="E386" s="15" t="s">
        <v>33</v>
      </c>
      <c r="F386" s="15" t="s">
        <v>33</v>
      </c>
      <c r="G386" s="15" t="s">
        <v>33</v>
      </c>
      <c r="H386" s="16">
        <v>1</v>
      </c>
      <c r="I386" s="15" t="s">
        <v>33</v>
      </c>
      <c r="J386" s="15" t="s">
        <v>33</v>
      </c>
      <c r="K386" s="15" t="s">
        <v>33</v>
      </c>
      <c r="L386" s="15" t="s">
        <v>33</v>
      </c>
      <c r="M386" s="19">
        <v>0</v>
      </c>
      <c r="N386" s="16">
        <v>0</v>
      </c>
      <c r="O386" s="15" t="s">
        <v>33</v>
      </c>
      <c r="P386" s="16">
        <v>0</v>
      </c>
      <c r="Q386" s="16">
        <v>0</v>
      </c>
      <c r="R386" s="19">
        <v>0</v>
      </c>
      <c r="S386" s="20" t="s">
        <v>33</v>
      </c>
    </row>
    <row r="387" spans="1:19" ht="15" customHeight="1" x14ac:dyDescent="0.3">
      <c r="A387" s="16">
        <v>304</v>
      </c>
      <c r="B387" s="15" t="s">
        <v>33</v>
      </c>
      <c r="C387" s="15" t="s">
        <v>33</v>
      </c>
      <c r="D387" s="22">
        <v>0</v>
      </c>
      <c r="E387" s="15" t="s">
        <v>33</v>
      </c>
      <c r="F387" s="15" t="s">
        <v>33</v>
      </c>
      <c r="G387" s="15" t="s">
        <v>33</v>
      </c>
      <c r="H387" s="16">
        <v>1</v>
      </c>
      <c r="I387" s="15" t="s">
        <v>33</v>
      </c>
      <c r="J387" s="15" t="s">
        <v>33</v>
      </c>
      <c r="K387" s="15" t="s">
        <v>33</v>
      </c>
      <c r="L387" s="15" t="s">
        <v>33</v>
      </c>
      <c r="M387" s="19">
        <v>0</v>
      </c>
      <c r="N387" s="16">
        <v>0</v>
      </c>
      <c r="O387" s="15" t="s">
        <v>33</v>
      </c>
      <c r="P387" s="16">
        <v>0</v>
      </c>
      <c r="Q387" s="16">
        <v>0</v>
      </c>
      <c r="R387" s="19">
        <v>0</v>
      </c>
      <c r="S387" s="20" t="s">
        <v>33</v>
      </c>
    </row>
    <row r="388" spans="1:19" ht="15" customHeight="1" x14ac:dyDescent="0.3">
      <c r="A388" s="16">
        <v>305</v>
      </c>
      <c r="B388" s="15" t="s">
        <v>33</v>
      </c>
      <c r="C388" s="15" t="s">
        <v>33</v>
      </c>
      <c r="D388" s="22">
        <v>0</v>
      </c>
      <c r="E388" s="15" t="s">
        <v>33</v>
      </c>
      <c r="F388" s="15" t="s">
        <v>33</v>
      </c>
      <c r="G388" s="15" t="s">
        <v>33</v>
      </c>
      <c r="H388" s="16">
        <v>1</v>
      </c>
      <c r="I388" s="15" t="s">
        <v>33</v>
      </c>
      <c r="J388" s="15" t="s">
        <v>33</v>
      </c>
      <c r="K388" s="15" t="s">
        <v>33</v>
      </c>
      <c r="L388" s="15" t="s">
        <v>33</v>
      </c>
      <c r="M388" s="19">
        <v>0</v>
      </c>
      <c r="N388" s="16">
        <v>0</v>
      </c>
      <c r="O388" s="15" t="s">
        <v>33</v>
      </c>
      <c r="P388" s="16">
        <v>0</v>
      </c>
      <c r="Q388" s="16">
        <v>0</v>
      </c>
      <c r="R388" s="19">
        <v>0</v>
      </c>
      <c r="S388" s="20" t="s">
        <v>33</v>
      </c>
    </row>
    <row r="389" spans="1:19" ht="15" customHeight="1" x14ac:dyDescent="0.3">
      <c r="A389" s="16">
        <v>306</v>
      </c>
      <c r="B389" s="15" t="s">
        <v>33</v>
      </c>
      <c r="C389" s="15" t="s">
        <v>33</v>
      </c>
      <c r="D389" s="22">
        <v>0</v>
      </c>
      <c r="E389" s="15" t="s">
        <v>33</v>
      </c>
      <c r="F389" s="15" t="s">
        <v>33</v>
      </c>
      <c r="G389" s="15" t="s">
        <v>33</v>
      </c>
      <c r="H389" s="16">
        <v>1</v>
      </c>
      <c r="I389" s="15" t="s">
        <v>33</v>
      </c>
      <c r="J389" s="15" t="s">
        <v>33</v>
      </c>
      <c r="K389" s="15" t="s">
        <v>33</v>
      </c>
      <c r="L389" s="15" t="s">
        <v>33</v>
      </c>
      <c r="M389" s="19">
        <v>0</v>
      </c>
      <c r="N389" s="16">
        <v>0</v>
      </c>
      <c r="O389" s="15" t="s">
        <v>33</v>
      </c>
      <c r="P389" s="16">
        <v>0</v>
      </c>
      <c r="Q389" s="16">
        <v>0</v>
      </c>
      <c r="R389" s="19">
        <v>0</v>
      </c>
      <c r="S389" s="20" t="s">
        <v>33</v>
      </c>
    </row>
    <row r="390" spans="1:19" ht="15" customHeight="1" x14ac:dyDescent="0.3">
      <c r="A390" s="16">
        <v>307</v>
      </c>
      <c r="B390" s="15" t="s">
        <v>33</v>
      </c>
      <c r="C390" s="15" t="s">
        <v>33</v>
      </c>
      <c r="D390" s="22">
        <v>0</v>
      </c>
      <c r="E390" s="15" t="s">
        <v>33</v>
      </c>
      <c r="F390" s="15" t="s">
        <v>33</v>
      </c>
      <c r="G390" s="15" t="s">
        <v>33</v>
      </c>
      <c r="H390" s="16">
        <v>1</v>
      </c>
      <c r="I390" s="15" t="s">
        <v>33</v>
      </c>
      <c r="J390" s="15" t="s">
        <v>33</v>
      </c>
      <c r="K390" s="15" t="s">
        <v>33</v>
      </c>
      <c r="L390" s="15" t="s">
        <v>33</v>
      </c>
      <c r="M390" s="19">
        <v>0</v>
      </c>
      <c r="N390" s="16">
        <v>0</v>
      </c>
      <c r="O390" s="15" t="s">
        <v>33</v>
      </c>
      <c r="P390" s="16">
        <v>0</v>
      </c>
      <c r="Q390" s="16">
        <v>0</v>
      </c>
      <c r="R390" s="19">
        <v>0</v>
      </c>
      <c r="S390" s="20" t="s">
        <v>33</v>
      </c>
    </row>
    <row r="391" spans="1:19" ht="15" customHeight="1" x14ac:dyDescent="0.3">
      <c r="A391" s="16">
        <v>308</v>
      </c>
      <c r="B391" s="15" t="s">
        <v>33</v>
      </c>
      <c r="C391" s="15" t="s">
        <v>33</v>
      </c>
      <c r="D391" s="22">
        <v>0</v>
      </c>
      <c r="E391" s="15" t="s">
        <v>33</v>
      </c>
      <c r="F391" s="15" t="s">
        <v>33</v>
      </c>
      <c r="G391" s="15" t="s">
        <v>33</v>
      </c>
      <c r="H391" s="16">
        <v>1</v>
      </c>
      <c r="I391" s="15" t="s">
        <v>33</v>
      </c>
      <c r="J391" s="15" t="s">
        <v>33</v>
      </c>
      <c r="K391" s="15" t="s">
        <v>33</v>
      </c>
      <c r="L391" s="15" t="s">
        <v>33</v>
      </c>
      <c r="M391" s="19">
        <v>0</v>
      </c>
      <c r="N391" s="16">
        <v>0</v>
      </c>
      <c r="O391" s="15" t="s">
        <v>33</v>
      </c>
      <c r="P391" s="16">
        <v>0</v>
      </c>
      <c r="Q391" s="16">
        <v>0</v>
      </c>
      <c r="R391" s="19">
        <v>0</v>
      </c>
      <c r="S391" s="20" t="s">
        <v>33</v>
      </c>
    </row>
    <row r="392" spans="1:19" ht="15" customHeight="1" x14ac:dyDescent="0.3">
      <c r="A392" s="16">
        <v>309</v>
      </c>
      <c r="B392" s="15" t="s">
        <v>33</v>
      </c>
      <c r="C392" s="15" t="s">
        <v>33</v>
      </c>
      <c r="D392" s="22">
        <v>0</v>
      </c>
      <c r="E392" s="15" t="s">
        <v>33</v>
      </c>
      <c r="F392" s="15" t="s">
        <v>33</v>
      </c>
      <c r="G392" s="15" t="s">
        <v>33</v>
      </c>
      <c r="H392" s="16">
        <v>1</v>
      </c>
      <c r="I392" s="15" t="s">
        <v>33</v>
      </c>
      <c r="J392" s="15" t="s">
        <v>33</v>
      </c>
      <c r="K392" s="15" t="s">
        <v>33</v>
      </c>
      <c r="L392" s="15" t="s">
        <v>33</v>
      </c>
      <c r="M392" s="19">
        <v>0</v>
      </c>
      <c r="N392" s="16">
        <v>0</v>
      </c>
      <c r="O392" s="15" t="s">
        <v>33</v>
      </c>
      <c r="P392" s="16">
        <v>0</v>
      </c>
      <c r="Q392" s="16">
        <v>0</v>
      </c>
      <c r="R392" s="19">
        <v>0</v>
      </c>
      <c r="S392" s="20" t="s">
        <v>33</v>
      </c>
    </row>
    <row r="393" spans="1:19" ht="15" customHeight="1" x14ac:dyDescent="0.3">
      <c r="A393" s="16">
        <v>310</v>
      </c>
      <c r="B393" s="15" t="s">
        <v>33</v>
      </c>
      <c r="C393" s="15" t="s">
        <v>33</v>
      </c>
      <c r="D393" s="22">
        <v>0</v>
      </c>
      <c r="E393" s="15" t="s">
        <v>33</v>
      </c>
      <c r="F393" s="15" t="s">
        <v>33</v>
      </c>
      <c r="G393" s="15" t="s">
        <v>33</v>
      </c>
      <c r="H393" s="16">
        <v>1</v>
      </c>
      <c r="I393" s="15" t="s">
        <v>33</v>
      </c>
      <c r="J393" s="15" t="s">
        <v>33</v>
      </c>
      <c r="K393" s="15" t="s">
        <v>33</v>
      </c>
      <c r="L393" s="15" t="s">
        <v>33</v>
      </c>
      <c r="M393" s="19">
        <v>0</v>
      </c>
      <c r="N393" s="16">
        <v>0</v>
      </c>
      <c r="O393" s="15" t="s">
        <v>33</v>
      </c>
      <c r="P393" s="16">
        <v>0</v>
      </c>
      <c r="Q393" s="16">
        <v>0</v>
      </c>
      <c r="R393" s="19">
        <v>0</v>
      </c>
      <c r="S393" s="20" t="s">
        <v>33</v>
      </c>
    </row>
    <row r="394" spans="1:19" ht="15" customHeight="1" x14ac:dyDescent="0.3">
      <c r="A394" s="16">
        <v>311</v>
      </c>
      <c r="B394" s="15" t="s">
        <v>33</v>
      </c>
      <c r="C394" s="15" t="s">
        <v>33</v>
      </c>
      <c r="D394" s="22">
        <v>0</v>
      </c>
      <c r="E394" s="15" t="s">
        <v>33</v>
      </c>
      <c r="F394" s="15" t="s">
        <v>33</v>
      </c>
      <c r="G394" s="15" t="s">
        <v>33</v>
      </c>
      <c r="H394" s="16">
        <v>1</v>
      </c>
      <c r="I394" s="15" t="s">
        <v>33</v>
      </c>
      <c r="J394" s="15" t="s">
        <v>33</v>
      </c>
      <c r="K394" s="15" t="s">
        <v>33</v>
      </c>
      <c r="L394" s="15" t="s">
        <v>33</v>
      </c>
      <c r="M394" s="19">
        <v>0</v>
      </c>
      <c r="N394" s="16">
        <v>0</v>
      </c>
      <c r="O394" s="15" t="s">
        <v>33</v>
      </c>
      <c r="P394" s="16">
        <v>0</v>
      </c>
      <c r="Q394" s="16">
        <v>0</v>
      </c>
      <c r="R394" s="19">
        <v>0</v>
      </c>
      <c r="S394" s="20" t="s">
        <v>33</v>
      </c>
    </row>
    <row r="395" spans="1:19" ht="15" customHeight="1" x14ac:dyDescent="0.3">
      <c r="A395" s="16">
        <v>312</v>
      </c>
      <c r="B395" s="15" t="s">
        <v>33</v>
      </c>
      <c r="C395" s="15" t="s">
        <v>33</v>
      </c>
      <c r="D395" s="22">
        <v>0</v>
      </c>
      <c r="E395" s="15" t="s">
        <v>33</v>
      </c>
      <c r="F395" s="15" t="s">
        <v>33</v>
      </c>
      <c r="G395" s="15" t="s">
        <v>33</v>
      </c>
      <c r="H395" s="16">
        <v>1</v>
      </c>
      <c r="I395" s="15" t="s">
        <v>33</v>
      </c>
      <c r="J395" s="15" t="s">
        <v>33</v>
      </c>
      <c r="K395" s="15" t="s">
        <v>33</v>
      </c>
      <c r="L395" s="15" t="s">
        <v>33</v>
      </c>
      <c r="M395" s="19">
        <v>0</v>
      </c>
      <c r="N395" s="16">
        <v>0</v>
      </c>
      <c r="O395" s="15" t="s">
        <v>33</v>
      </c>
      <c r="P395" s="16">
        <v>0</v>
      </c>
      <c r="Q395" s="16">
        <v>0</v>
      </c>
      <c r="R395" s="19">
        <v>0</v>
      </c>
      <c r="S395" s="20" t="s">
        <v>33</v>
      </c>
    </row>
    <row r="396" spans="1:19" ht="15" customHeight="1" x14ac:dyDescent="0.3">
      <c r="A396" s="16">
        <v>313</v>
      </c>
      <c r="B396" s="15" t="s">
        <v>33</v>
      </c>
      <c r="C396" s="15" t="s">
        <v>33</v>
      </c>
      <c r="D396" s="22">
        <v>0</v>
      </c>
      <c r="E396" s="15" t="s">
        <v>33</v>
      </c>
      <c r="F396" s="15" t="s">
        <v>33</v>
      </c>
      <c r="G396" s="15" t="s">
        <v>33</v>
      </c>
      <c r="H396" s="16">
        <v>1</v>
      </c>
      <c r="I396" s="15" t="s">
        <v>33</v>
      </c>
      <c r="J396" s="15" t="s">
        <v>33</v>
      </c>
      <c r="K396" s="15" t="s">
        <v>33</v>
      </c>
      <c r="L396" s="15" t="s">
        <v>33</v>
      </c>
      <c r="M396" s="19">
        <v>0</v>
      </c>
      <c r="N396" s="16">
        <v>0</v>
      </c>
      <c r="O396" s="15" t="s">
        <v>33</v>
      </c>
      <c r="P396" s="16">
        <v>0</v>
      </c>
      <c r="Q396" s="16">
        <v>0</v>
      </c>
      <c r="R396" s="19">
        <v>0</v>
      </c>
      <c r="S396" s="20" t="s">
        <v>33</v>
      </c>
    </row>
    <row r="397" spans="1:19" ht="15" customHeight="1" x14ac:dyDescent="0.3">
      <c r="A397" s="16">
        <v>314</v>
      </c>
      <c r="B397" s="15" t="s">
        <v>33</v>
      </c>
      <c r="C397" s="15" t="s">
        <v>33</v>
      </c>
      <c r="D397" s="22">
        <v>0</v>
      </c>
      <c r="E397" s="15" t="s">
        <v>33</v>
      </c>
      <c r="F397" s="15" t="s">
        <v>33</v>
      </c>
      <c r="G397" s="15" t="s">
        <v>33</v>
      </c>
      <c r="H397" s="16">
        <v>1</v>
      </c>
      <c r="I397" s="15" t="s">
        <v>33</v>
      </c>
      <c r="J397" s="15" t="s">
        <v>33</v>
      </c>
      <c r="K397" s="15" t="s">
        <v>33</v>
      </c>
      <c r="L397" s="15" t="s">
        <v>33</v>
      </c>
      <c r="M397" s="19">
        <v>0</v>
      </c>
      <c r="N397" s="16">
        <v>0</v>
      </c>
      <c r="O397" s="15" t="s">
        <v>33</v>
      </c>
      <c r="P397" s="16">
        <v>0</v>
      </c>
      <c r="Q397" s="16">
        <v>0</v>
      </c>
      <c r="R397" s="19">
        <v>0</v>
      </c>
      <c r="S397" s="20" t="s">
        <v>33</v>
      </c>
    </row>
    <row r="398" spans="1:19" ht="15" customHeight="1" x14ac:dyDescent="0.3">
      <c r="A398" s="16">
        <v>315</v>
      </c>
      <c r="B398" s="15" t="s">
        <v>33</v>
      </c>
      <c r="C398" s="15" t="s">
        <v>33</v>
      </c>
      <c r="D398" s="22">
        <v>0</v>
      </c>
      <c r="E398" s="15" t="s">
        <v>33</v>
      </c>
      <c r="F398" s="15" t="s">
        <v>33</v>
      </c>
      <c r="G398" s="15" t="s">
        <v>33</v>
      </c>
      <c r="H398" s="16">
        <v>1</v>
      </c>
      <c r="I398" s="15" t="s">
        <v>33</v>
      </c>
      <c r="J398" s="15" t="s">
        <v>33</v>
      </c>
      <c r="K398" s="15" t="s">
        <v>33</v>
      </c>
      <c r="L398" s="15" t="s">
        <v>33</v>
      </c>
      <c r="M398" s="19">
        <v>0</v>
      </c>
      <c r="N398" s="16">
        <v>0</v>
      </c>
      <c r="O398" s="15" t="s">
        <v>33</v>
      </c>
      <c r="P398" s="16">
        <v>0</v>
      </c>
      <c r="Q398" s="16">
        <v>0</v>
      </c>
      <c r="R398" s="19">
        <v>0</v>
      </c>
      <c r="S398" s="20" t="s">
        <v>33</v>
      </c>
    </row>
    <row r="399" spans="1:19" ht="15" customHeight="1" x14ac:dyDescent="0.3">
      <c r="A399" s="16">
        <v>316</v>
      </c>
      <c r="B399" s="15" t="s">
        <v>33</v>
      </c>
      <c r="C399" s="15" t="s">
        <v>33</v>
      </c>
      <c r="D399" s="22">
        <v>0</v>
      </c>
      <c r="E399" s="15" t="s">
        <v>33</v>
      </c>
      <c r="F399" s="15" t="s">
        <v>33</v>
      </c>
      <c r="G399" s="15" t="s">
        <v>33</v>
      </c>
      <c r="H399" s="16">
        <v>1</v>
      </c>
      <c r="I399" s="15" t="s">
        <v>33</v>
      </c>
      <c r="J399" s="15" t="s">
        <v>33</v>
      </c>
      <c r="K399" s="15" t="s">
        <v>33</v>
      </c>
      <c r="L399" s="15" t="s">
        <v>33</v>
      </c>
      <c r="M399" s="19">
        <v>0</v>
      </c>
      <c r="N399" s="16">
        <v>0</v>
      </c>
      <c r="O399" s="15" t="s">
        <v>33</v>
      </c>
      <c r="P399" s="16">
        <v>0</v>
      </c>
      <c r="Q399" s="16">
        <v>0</v>
      </c>
      <c r="R399" s="19">
        <v>0</v>
      </c>
      <c r="S399" s="20" t="s">
        <v>33</v>
      </c>
    </row>
    <row r="400" spans="1:19" ht="15" customHeight="1" x14ac:dyDescent="0.3">
      <c r="A400" s="16">
        <v>317</v>
      </c>
      <c r="B400" s="15" t="s">
        <v>33</v>
      </c>
      <c r="C400" s="15" t="s">
        <v>33</v>
      </c>
      <c r="D400" s="22">
        <v>0</v>
      </c>
      <c r="E400" s="15" t="s">
        <v>33</v>
      </c>
      <c r="F400" s="15" t="s">
        <v>33</v>
      </c>
      <c r="G400" s="15" t="s">
        <v>33</v>
      </c>
      <c r="H400" s="16">
        <v>1</v>
      </c>
      <c r="I400" s="15" t="s">
        <v>33</v>
      </c>
      <c r="J400" s="15" t="s">
        <v>33</v>
      </c>
      <c r="K400" s="15" t="s">
        <v>33</v>
      </c>
      <c r="L400" s="15" t="s">
        <v>33</v>
      </c>
      <c r="M400" s="19">
        <v>0</v>
      </c>
      <c r="N400" s="16">
        <v>0</v>
      </c>
      <c r="O400" s="15" t="s">
        <v>33</v>
      </c>
      <c r="P400" s="16">
        <v>0</v>
      </c>
      <c r="Q400" s="16">
        <v>0</v>
      </c>
      <c r="R400" s="19">
        <v>0</v>
      </c>
      <c r="S400" s="20" t="s">
        <v>33</v>
      </c>
    </row>
    <row r="401" spans="1:19" ht="15" customHeight="1" x14ac:dyDescent="0.3">
      <c r="A401" s="16">
        <v>318</v>
      </c>
      <c r="B401" s="15" t="s">
        <v>33</v>
      </c>
      <c r="C401" s="15" t="s">
        <v>33</v>
      </c>
      <c r="D401" s="22">
        <v>0</v>
      </c>
      <c r="E401" s="15" t="s">
        <v>33</v>
      </c>
      <c r="F401" s="15" t="s">
        <v>33</v>
      </c>
      <c r="G401" s="15" t="s">
        <v>33</v>
      </c>
      <c r="H401" s="16">
        <v>1</v>
      </c>
      <c r="I401" s="15" t="s">
        <v>33</v>
      </c>
      <c r="J401" s="15" t="s">
        <v>33</v>
      </c>
      <c r="K401" s="15" t="s">
        <v>33</v>
      </c>
      <c r="L401" s="15" t="s">
        <v>33</v>
      </c>
      <c r="M401" s="19">
        <v>0</v>
      </c>
      <c r="N401" s="16">
        <v>0</v>
      </c>
      <c r="O401" s="15" t="s">
        <v>33</v>
      </c>
      <c r="P401" s="16">
        <v>0</v>
      </c>
      <c r="Q401" s="16">
        <v>0</v>
      </c>
      <c r="R401" s="19">
        <v>0</v>
      </c>
      <c r="S401" s="20" t="s">
        <v>33</v>
      </c>
    </row>
    <row r="402" spans="1:19" ht="15" customHeight="1" x14ac:dyDescent="0.3">
      <c r="A402" s="16">
        <v>319</v>
      </c>
      <c r="B402" s="15" t="s">
        <v>33</v>
      </c>
      <c r="C402" s="15" t="s">
        <v>33</v>
      </c>
      <c r="D402" s="22">
        <v>0</v>
      </c>
      <c r="E402" s="15" t="s">
        <v>33</v>
      </c>
      <c r="F402" s="15" t="s">
        <v>33</v>
      </c>
      <c r="G402" s="15" t="s">
        <v>33</v>
      </c>
      <c r="H402" s="16">
        <v>1</v>
      </c>
      <c r="I402" s="15" t="s">
        <v>33</v>
      </c>
      <c r="J402" s="15" t="s">
        <v>33</v>
      </c>
      <c r="K402" s="15" t="s">
        <v>33</v>
      </c>
      <c r="L402" s="15" t="s">
        <v>33</v>
      </c>
      <c r="M402" s="19">
        <v>0</v>
      </c>
      <c r="N402" s="16">
        <v>0</v>
      </c>
      <c r="O402" s="15" t="s">
        <v>33</v>
      </c>
      <c r="P402" s="16">
        <v>0</v>
      </c>
      <c r="Q402" s="16">
        <v>0</v>
      </c>
      <c r="R402" s="19">
        <v>0</v>
      </c>
      <c r="S402" s="20" t="s">
        <v>33</v>
      </c>
    </row>
    <row r="403" spans="1:19" ht="15" customHeight="1" x14ac:dyDescent="0.3">
      <c r="A403" s="16">
        <v>320</v>
      </c>
      <c r="B403" s="15" t="s">
        <v>33</v>
      </c>
      <c r="C403" s="15" t="s">
        <v>33</v>
      </c>
      <c r="D403" s="22">
        <v>0</v>
      </c>
      <c r="E403" s="15" t="s">
        <v>33</v>
      </c>
      <c r="F403" s="15" t="s">
        <v>33</v>
      </c>
      <c r="G403" s="15" t="s">
        <v>33</v>
      </c>
      <c r="H403" s="16">
        <v>1</v>
      </c>
      <c r="I403" s="15" t="s">
        <v>33</v>
      </c>
      <c r="J403" s="15" t="s">
        <v>33</v>
      </c>
      <c r="K403" s="15" t="s">
        <v>33</v>
      </c>
      <c r="L403" s="15" t="s">
        <v>33</v>
      </c>
      <c r="M403" s="19">
        <v>0</v>
      </c>
      <c r="N403" s="16">
        <v>0</v>
      </c>
      <c r="O403" s="15" t="s">
        <v>33</v>
      </c>
      <c r="P403" s="16">
        <v>0</v>
      </c>
      <c r="Q403" s="16">
        <v>0</v>
      </c>
      <c r="R403" s="19">
        <v>0</v>
      </c>
      <c r="S403" s="20" t="s">
        <v>33</v>
      </c>
    </row>
    <row r="404" spans="1:19" ht="15" customHeight="1" x14ac:dyDescent="0.3">
      <c r="A404" s="16">
        <v>321</v>
      </c>
      <c r="B404" s="15" t="s">
        <v>33</v>
      </c>
      <c r="C404" s="15" t="s">
        <v>33</v>
      </c>
      <c r="D404" s="22">
        <v>0</v>
      </c>
      <c r="E404" s="15" t="s">
        <v>33</v>
      </c>
      <c r="F404" s="15" t="s">
        <v>33</v>
      </c>
      <c r="G404" s="15" t="s">
        <v>33</v>
      </c>
      <c r="H404" s="16">
        <v>1</v>
      </c>
      <c r="I404" s="15" t="s">
        <v>33</v>
      </c>
      <c r="J404" s="15" t="s">
        <v>33</v>
      </c>
      <c r="K404" s="15" t="s">
        <v>33</v>
      </c>
      <c r="L404" s="15" t="s">
        <v>33</v>
      </c>
      <c r="M404" s="19">
        <v>0</v>
      </c>
      <c r="N404" s="16">
        <v>0</v>
      </c>
      <c r="O404" s="15" t="s">
        <v>33</v>
      </c>
      <c r="P404" s="16">
        <v>0</v>
      </c>
      <c r="Q404" s="16">
        <v>0</v>
      </c>
      <c r="R404" s="19">
        <v>0</v>
      </c>
      <c r="S404" s="20" t="s">
        <v>33</v>
      </c>
    </row>
    <row r="405" spans="1:19" ht="15" customHeight="1" x14ac:dyDescent="0.3">
      <c r="A405" s="16">
        <v>322</v>
      </c>
      <c r="B405" s="15" t="s">
        <v>33</v>
      </c>
      <c r="C405" s="15" t="s">
        <v>33</v>
      </c>
      <c r="D405" s="22">
        <v>0</v>
      </c>
      <c r="E405" s="15" t="s">
        <v>33</v>
      </c>
      <c r="F405" s="15" t="s">
        <v>33</v>
      </c>
      <c r="G405" s="15" t="s">
        <v>33</v>
      </c>
      <c r="H405" s="16">
        <v>1</v>
      </c>
      <c r="I405" s="15" t="s">
        <v>33</v>
      </c>
      <c r="J405" s="15" t="s">
        <v>33</v>
      </c>
      <c r="K405" s="15" t="s">
        <v>33</v>
      </c>
      <c r="L405" s="15" t="s">
        <v>33</v>
      </c>
      <c r="M405" s="19">
        <v>0</v>
      </c>
      <c r="N405" s="16">
        <v>0</v>
      </c>
      <c r="O405" s="15" t="s">
        <v>33</v>
      </c>
      <c r="P405" s="16">
        <v>0</v>
      </c>
      <c r="Q405" s="16">
        <v>0</v>
      </c>
      <c r="R405" s="19">
        <v>0</v>
      </c>
      <c r="S405" s="20" t="s">
        <v>33</v>
      </c>
    </row>
    <row r="406" spans="1:19" ht="15" customHeight="1" x14ac:dyDescent="0.3">
      <c r="A406" s="16">
        <v>323</v>
      </c>
      <c r="B406" s="15" t="s">
        <v>33</v>
      </c>
      <c r="C406" s="15" t="s">
        <v>33</v>
      </c>
      <c r="D406" s="22">
        <v>0</v>
      </c>
      <c r="E406" s="15" t="s">
        <v>33</v>
      </c>
      <c r="F406" s="15" t="s">
        <v>33</v>
      </c>
      <c r="G406" s="15" t="s">
        <v>33</v>
      </c>
      <c r="H406" s="16">
        <v>1</v>
      </c>
      <c r="I406" s="15" t="s">
        <v>33</v>
      </c>
      <c r="J406" s="15" t="s">
        <v>33</v>
      </c>
      <c r="K406" s="15" t="s">
        <v>33</v>
      </c>
      <c r="L406" s="15" t="s">
        <v>33</v>
      </c>
      <c r="M406" s="19">
        <v>0</v>
      </c>
      <c r="N406" s="16">
        <v>0</v>
      </c>
      <c r="O406" s="15" t="s">
        <v>33</v>
      </c>
      <c r="P406" s="16">
        <v>0</v>
      </c>
      <c r="Q406" s="16">
        <v>0</v>
      </c>
      <c r="R406" s="19">
        <v>0</v>
      </c>
      <c r="S406" s="20" t="s">
        <v>33</v>
      </c>
    </row>
    <row r="407" spans="1:19" ht="15" customHeight="1" x14ac:dyDescent="0.3">
      <c r="A407" s="16">
        <v>324</v>
      </c>
      <c r="B407" s="15" t="s">
        <v>33</v>
      </c>
      <c r="C407" s="15" t="s">
        <v>33</v>
      </c>
      <c r="D407" s="22">
        <v>0</v>
      </c>
      <c r="E407" s="15" t="s">
        <v>33</v>
      </c>
      <c r="F407" s="15" t="s">
        <v>33</v>
      </c>
      <c r="G407" s="15" t="s">
        <v>33</v>
      </c>
      <c r="H407" s="16">
        <v>1</v>
      </c>
      <c r="I407" s="15" t="s">
        <v>33</v>
      </c>
      <c r="J407" s="15" t="s">
        <v>33</v>
      </c>
      <c r="K407" s="15" t="s">
        <v>33</v>
      </c>
      <c r="L407" s="15" t="s">
        <v>33</v>
      </c>
      <c r="M407" s="19">
        <v>0</v>
      </c>
      <c r="N407" s="16">
        <v>0</v>
      </c>
      <c r="O407" s="15" t="s">
        <v>33</v>
      </c>
      <c r="P407" s="16">
        <v>0</v>
      </c>
      <c r="Q407" s="16">
        <v>0</v>
      </c>
      <c r="R407" s="19">
        <v>0</v>
      </c>
      <c r="S407" s="20" t="s">
        <v>33</v>
      </c>
    </row>
    <row r="408" spans="1:19" ht="15" customHeight="1" x14ac:dyDescent="0.3">
      <c r="A408" s="16">
        <v>325</v>
      </c>
      <c r="B408" s="15" t="s">
        <v>33</v>
      </c>
      <c r="C408" s="15" t="s">
        <v>33</v>
      </c>
      <c r="D408" s="22">
        <v>0</v>
      </c>
      <c r="E408" s="15" t="s">
        <v>33</v>
      </c>
      <c r="F408" s="15" t="s">
        <v>33</v>
      </c>
      <c r="G408" s="15" t="s">
        <v>33</v>
      </c>
      <c r="H408" s="16">
        <v>1</v>
      </c>
      <c r="I408" s="15" t="s">
        <v>33</v>
      </c>
      <c r="J408" s="15" t="s">
        <v>33</v>
      </c>
      <c r="K408" s="15" t="s">
        <v>33</v>
      </c>
      <c r="L408" s="15" t="s">
        <v>33</v>
      </c>
      <c r="M408" s="19">
        <v>0</v>
      </c>
      <c r="N408" s="16">
        <v>0</v>
      </c>
      <c r="O408" s="15" t="s">
        <v>33</v>
      </c>
      <c r="P408" s="16">
        <v>0</v>
      </c>
      <c r="Q408" s="16">
        <v>0</v>
      </c>
      <c r="R408" s="19">
        <v>0</v>
      </c>
      <c r="S408" s="20" t="s">
        <v>33</v>
      </c>
    </row>
    <row r="409" spans="1:19" ht="15" customHeight="1" x14ac:dyDescent="0.3">
      <c r="A409" s="16">
        <v>326</v>
      </c>
      <c r="B409" s="15" t="s">
        <v>33</v>
      </c>
      <c r="C409" s="15" t="s">
        <v>33</v>
      </c>
      <c r="D409" s="22">
        <v>0</v>
      </c>
      <c r="E409" s="15" t="s">
        <v>33</v>
      </c>
      <c r="F409" s="15" t="s">
        <v>33</v>
      </c>
      <c r="G409" s="15" t="s">
        <v>33</v>
      </c>
      <c r="H409" s="16">
        <v>1</v>
      </c>
      <c r="I409" s="15" t="s">
        <v>33</v>
      </c>
      <c r="J409" s="15" t="s">
        <v>33</v>
      </c>
      <c r="K409" s="15" t="s">
        <v>33</v>
      </c>
      <c r="L409" s="15" t="s">
        <v>33</v>
      </c>
      <c r="M409" s="19">
        <v>0</v>
      </c>
      <c r="N409" s="16">
        <v>0</v>
      </c>
      <c r="O409" s="15" t="s">
        <v>33</v>
      </c>
      <c r="P409" s="16">
        <v>0</v>
      </c>
      <c r="Q409" s="16">
        <v>0</v>
      </c>
      <c r="R409" s="19">
        <v>0</v>
      </c>
      <c r="S409" s="20" t="s">
        <v>33</v>
      </c>
    </row>
    <row r="410" spans="1:19" ht="15" customHeight="1" x14ac:dyDescent="0.3">
      <c r="A410" s="16">
        <v>327</v>
      </c>
      <c r="B410" s="15" t="s">
        <v>33</v>
      </c>
      <c r="C410" s="15" t="s">
        <v>33</v>
      </c>
      <c r="D410" s="22">
        <v>0</v>
      </c>
      <c r="E410" s="15" t="s">
        <v>33</v>
      </c>
      <c r="F410" s="15" t="s">
        <v>33</v>
      </c>
      <c r="G410" s="15" t="s">
        <v>33</v>
      </c>
      <c r="H410" s="16">
        <v>1</v>
      </c>
      <c r="I410" s="15" t="s">
        <v>33</v>
      </c>
      <c r="J410" s="15" t="s">
        <v>33</v>
      </c>
      <c r="K410" s="15" t="s">
        <v>33</v>
      </c>
      <c r="L410" s="15" t="s">
        <v>33</v>
      </c>
      <c r="M410" s="19">
        <v>0</v>
      </c>
      <c r="N410" s="16">
        <v>0</v>
      </c>
      <c r="O410" s="15" t="s">
        <v>33</v>
      </c>
      <c r="P410" s="16">
        <v>0</v>
      </c>
      <c r="Q410" s="16">
        <v>0</v>
      </c>
      <c r="R410" s="19">
        <v>0</v>
      </c>
      <c r="S410" s="20" t="s">
        <v>33</v>
      </c>
    </row>
    <row r="411" spans="1:19" ht="15" customHeight="1" x14ac:dyDescent="0.3">
      <c r="A411" s="16">
        <v>328</v>
      </c>
      <c r="B411" s="15" t="s">
        <v>33</v>
      </c>
      <c r="C411" s="15" t="s">
        <v>33</v>
      </c>
      <c r="D411" s="22">
        <v>0</v>
      </c>
      <c r="E411" s="15" t="s">
        <v>33</v>
      </c>
      <c r="F411" s="15" t="s">
        <v>33</v>
      </c>
      <c r="G411" s="15" t="s">
        <v>33</v>
      </c>
      <c r="H411" s="16">
        <v>1</v>
      </c>
      <c r="I411" s="15" t="s">
        <v>33</v>
      </c>
      <c r="J411" s="15" t="s">
        <v>33</v>
      </c>
      <c r="K411" s="15" t="s">
        <v>33</v>
      </c>
      <c r="L411" s="15" t="s">
        <v>33</v>
      </c>
      <c r="M411" s="19">
        <v>0</v>
      </c>
      <c r="N411" s="16">
        <v>0</v>
      </c>
      <c r="O411" s="15" t="s">
        <v>33</v>
      </c>
      <c r="P411" s="16">
        <v>0</v>
      </c>
      <c r="Q411" s="16">
        <v>0</v>
      </c>
      <c r="R411" s="19">
        <v>0</v>
      </c>
      <c r="S411" s="20" t="s">
        <v>33</v>
      </c>
    </row>
    <row r="412" spans="1:19" ht="15" customHeight="1" x14ac:dyDescent="0.3">
      <c r="A412" s="16">
        <v>329</v>
      </c>
      <c r="B412" s="15" t="s">
        <v>33</v>
      </c>
      <c r="C412" s="15" t="s">
        <v>33</v>
      </c>
      <c r="D412" s="22">
        <v>0</v>
      </c>
      <c r="E412" s="15" t="s">
        <v>33</v>
      </c>
      <c r="F412" s="15" t="s">
        <v>33</v>
      </c>
      <c r="G412" s="15" t="s">
        <v>33</v>
      </c>
      <c r="H412" s="16">
        <v>1</v>
      </c>
      <c r="I412" s="15" t="s">
        <v>33</v>
      </c>
      <c r="J412" s="15" t="s">
        <v>33</v>
      </c>
      <c r="K412" s="15" t="s">
        <v>33</v>
      </c>
      <c r="L412" s="15" t="s">
        <v>33</v>
      </c>
      <c r="M412" s="19">
        <v>0</v>
      </c>
      <c r="N412" s="16">
        <v>0</v>
      </c>
      <c r="O412" s="15" t="s">
        <v>33</v>
      </c>
      <c r="P412" s="16">
        <v>0</v>
      </c>
      <c r="Q412" s="16">
        <v>0</v>
      </c>
      <c r="R412" s="19">
        <v>0</v>
      </c>
      <c r="S412" s="20" t="s">
        <v>33</v>
      </c>
    </row>
    <row r="413" spans="1:19" ht="15" customHeight="1" x14ac:dyDescent="0.3">
      <c r="A413" s="16">
        <v>330</v>
      </c>
      <c r="B413" s="15" t="s">
        <v>33</v>
      </c>
      <c r="C413" s="15" t="s">
        <v>33</v>
      </c>
      <c r="D413" s="22">
        <v>0</v>
      </c>
      <c r="E413" s="15" t="s">
        <v>33</v>
      </c>
      <c r="F413" s="15" t="s">
        <v>33</v>
      </c>
      <c r="G413" s="15" t="s">
        <v>33</v>
      </c>
      <c r="H413" s="16">
        <v>1</v>
      </c>
      <c r="I413" s="15" t="s">
        <v>33</v>
      </c>
      <c r="J413" s="15" t="s">
        <v>33</v>
      </c>
      <c r="K413" s="15" t="s">
        <v>33</v>
      </c>
      <c r="L413" s="15" t="s">
        <v>33</v>
      </c>
      <c r="M413" s="19">
        <v>0</v>
      </c>
      <c r="N413" s="16">
        <v>0</v>
      </c>
      <c r="O413" s="15" t="s">
        <v>33</v>
      </c>
      <c r="P413" s="16">
        <v>0</v>
      </c>
      <c r="Q413" s="16">
        <v>0</v>
      </c>
      <c r="R413" s="19">
        <v>0</v>
      </c>
      <c r="S413" s="20" t="s">
        <v>33</v>
      </c>
    </row>
    <row r="414" spans="1:19" ht="15" customHeight="1" x14ac:dyDescent="0.3">
      <c r="A414" s="16">
        <v>331</v>
      </c>
      <c r="B414" s="15" t="s">
        <v>33</v>
      </c>
      <c r="C414" s="15" t="s">
        <v>33</v>
      </c>
      <c r="D414" s="22">
        <v>0</v>
      </c>
      <c r="E414" s="15" t="s">
        <v>33</v>
      </c>
      <c r="F414" s="15" t="s">
        <v>33</v>
      </c>
      <c r="G414" s="15" t="s">
        <v>33</v>
      </c>
      <c r="H414" s="16">
        <v>1</v>
      </c>
      <c r="I414" s="15" t="s">
        <v>33</v>
      </c>
      <c r="J414" s="15" t="s">
        <v>33</v>
      </c>
      <c r="K414" s="15" t="s">
        <v>33</v>
      </c>
      <c r="L414" s="15" t="s">
        <v>33</v>
      </c>
      <c r="M414" s="19">
        <v>0</v>
      </c>
      <c r="N414" s="16">
        <v>0</v>
      </c>
      <c r="O414" s="15" t="s">
        <v>33</v>
      </c>
      <c r="P414" s="16">
        <v>0</v>
      </c>
      <c r="Q414" s="16">
        <v>0</v>
      </c>
      <c r="R414" s="19">
        <v>0</v>
      </c>
      <c r="S414" s="20" t="s">
        <v>33</v>
      </c>
    </row>
    <row r="415" spans="1:19" ht="15" customHeight="1" x14ac:dyDescent="0.3">
      <c r="A415" s="16">
        <v>332</v>
      </c>
      <c r="B415" s="15" t="s">
        <v>33</v>
      </c>
      <c r="C415" s="15" t="s">
        <v>33</v>
      </c>
      <c r="D415" s="22">
        <v>0</v>
      </c>
      <c r="E415" s="15" t="s">
        <v>33</v>
      </c>
      <c r="F415" s="15" t="s">
        <v>33</v>
      </c>
      <c r="G415" s="15" t="s">
        <v>33</v>
      </c>
      <c r="H415" s="16">
        <v>1</v>
      </c>
      <c r="I415" s="15" t="s">
        <v>33</v>
      </c>
      <c r="J415" s="15" t="s">
        <v>33</v>
      </c>
      <c r="K415" s="15" t="s">
        <v>33</v>
      </c>
      <c r="L415" s="15" t="s">
        <v>33</v>
      </c>
      <c r="M415" s="19">
        <v>0</v>
      </c>
      <c r="N415" s="16">
        <v>0</v>
      </c>
      <c r="O415" s="15" t="s">
        <v>33</v>
      </c>
      <c r="P415" s="16">
        <v>0</v>
      </c>
      <c r="Q415" s="16">
        <v>0</v>
      </c>
      <c r="R415" s="19">
        <v>0</v>
      </c>
      <c r="S415" s="20" t="s">
        <v>33</v>
      </c>
    </row>
    <row r="416" spans="1:19" ht="15" customHeight="1" x14ac:dyDescent="0.3">
      <c r="A416" s="16">
        <v>333</v>
      </c>
      <c r="B416" s="15" t="s">
        <v>33</v>
      </c>
      <c r="C416" s="15" t="s">
        <v>33</v>
      </c>
      <c r="D416" s="22">
        <v>0</v>
      </c>
      <c r="E416" s="15" t="s">
        <v>33</v>
      </c>
      <c r="F416" s="15" t="s">
        <v>33</v>
      </c>
      <c r="G416" s="15" t="s">
        <v>33</v>
      </c>
      <c r="H416" s="16">
        <v>1</v>
      </c>
      <c r="I416" s="15" t="s">
        <v>33</v>
      </c>
      <c r="J416" s="15" t="s">
        <v>33</v>
      </c>
      <c r="K416" s="15" t="s">
        <v>33</v>
      </c>
      <c r="L416" s="15" t="s">
        <v>33</v>
      </c>
      <c r="M416" s="19">
        <v>0</v>
      </c>
      <c r="N416" s="16">
        <v>0</v>
      </c>
      <c r="O416" s="15" t="s">
        <v>33</v>
      </c>
      <c r="P416" s="16">
        <v>0</v>
      </c>
      <c r="Q416" s="16">
        <v>0</v>
      </c>
      <c r="R416" s="19">
        <v>0</v>
      </c>
      <c r="S416" s="20" t="s">
        <v>33</v>
      </c>
    </row>
    <row r="417" spans="1:19" ht="15" customHeight="1" x14ac:dyDescent="0.3">
      <c r="A417" s="16">
        <v>334</v>
      </c>
      <c r="B417" s="15" t="s">
        <v>33</v>
      </c>
      <c r="C417" s="15" t="s">
        <v>33</v>
      </c>
      <c r="D417" s="22">
        <v>0</v>
      </c>
      <c r="E417" s="15" t="s">
        <v>33</v>
      </c>
      <c r="F417" s="15" t="s">
        <v>33</v>
      </c>
      <c r="G417" s="15" t="s">
        <v>33</v>
      </c>
      <c r="H417" s="16">
        <v>1</v>
      </c>
      <c r="I417" s="15" t="s">
        <v>33</v>
      </c>
      <c r="J417" s="15" t="s">
        <v>33</v>
      </c>
      <c r="K417" s="15" t="s">
        <v>33</v>
      </c>
      <c r="L417" s="15" t="s">
        <v>33</v>
      </c>
      <c r="M417" s="19">
        <v>0</v>
      </c>
      <c r="N417" s="16">
        <v>0</v>
      </c>
      <c r="O417" s="15" t="s">
        <v>33</v>
      </c>
      <c r="P417" s="16">
        <v>0</v>
      </c>
      <c r="Q417" s="16">
        <v>0</v>
      </c>
      <c r="R417" s="19">
        <v>0</v>
      </c>
      <c r="S417" s="20" t="s">
        <v>33</v>
      </c>
    </row>
    <row r="418" spans="1:19" ht="15" customHeight="1" x14ac:dyDescent="0.3">
      <c r="A418" s="16">
        <v>335</v>
      </c>
      <c r="B418" s="15" t="s">
        <v>33</v>
      </c>
      <c r="C418" s="15" t="s">
        <v>33</v>
      </c>
      <c r="D418" s="22">
        <v>0</v>
      </c>
      <c r="E418" s="15" t="s">
        <v>33</v>
      </c>
      <c r="F418" s="15" t="s">
        <v>33</v>
      </c>
      <c r="G418" s="15" t="s">
        <v>33</v>
      </c>
      <c r="H418" s="16">
        <v>1</v>
      </c>
      <c r="I418" s="15" t="s">
        <v>33</v>
      </c>
      <c r="J418" s="15" t="s">
        <v>33</v>
      </c>
      <c r="K418" s="15" t="s">
        <v>33</v>
      </c>
      <c r="L418" s="15" t="s">
        <v>33</v>
      </c>
      <c r="M418" s="19">
        <v>0</v>
      </c>
      <c r="N418" s="16">
        <v>0</v>
      </c>
      <c r="O418" s="15" t="s">
        <v>33</v>
      </c>
      <c r="P418" s="16">
        <v>0</v>
      </c>
      <c r="Q418" s="16">
        <v>0</v>
      </c>
      <c r="R418" s="19">
        <v>0</v>
      </c>
      <c r="S418" s="20" t="s">
        <v>33</v>
      </c>
    </row>
    <row r="419" spans="1:19" ht="15" customHeight="1" x14ac:dyDescent="0.3">
      <c r="A419" s="16">
        <v>336</v>
      </c>
      <c r="B419" s="15" t="s">
        <v>33</v>
      </c>
      <c r="C419" s="15" t="s">
        <v>33</v>
      </c>
      <c r="D419" s="22">
        <v>0</v>
      </c>
      <c r="E419" s="15" t="s">
        <v>33</v>
      </c>
      <c r="F419" s="15" t="s">
        <v>33</v>
      </c>
      <c r="G419" s="15" t="s">
        <v>33</v>
      </c>
      <c r="H419" s="16">
        <v>1</v>
      </c>
      <c r="I419" s="15" t="s">
        <v>33</v>
      </c>
      <c r="J419" s="15" t="s">
        <v>33</v>
      </c>
      <c r="K419" s="15" t="s">
        <v>33</v>
      </c>
      <c r="L419" s="15" t="s">
        <v>33</v>
      </c>
      <c r="M419" s="19">
        <v>0</v>
      </c>
      <c r="N419" s="16">
        <v>0</v>
      </c>
      <c r="O419" s="15" t="s">
        <v>33</v>
      </c>
      <c r="P419" s="16">
        <v>0</v>
      </c>
      <c r="Q419" s="16">
        <v>0</v>
      </c>
      <c r="R419" s="19">
        <v>0</v>
      </c>
      <c r="S419" s="20" t="s">
        <v>33</v>
      </c>
    </row>
    <row r="420" spans="1:19" ht="15" customHeight="1" x14ac:dyDescent="0.3">
      <c r="A420" s="16">
        <v>337</v>
      </c>
      <c r="B420" s="15" t="s">
        <v>33</v>
      </c>
      <c r="C420" s="15" t="s">
        <v>33</v>
      </c>
      <c r="D420" s="22">
        <v>0</v>
      </c>
      <c r="E420" s="15" t="s">
        <v>33</v>
      </c>
      <c r="F420" s="15" t="s">
        <v>33</v>
      </c>
      <c r="G420" s="15" t="s">
        <v>33</v>
      </c>
      <c r="H420" s="16">
        <v>1</v>
      </c>
      <c r="I420" s="15" t="s">
        <v>33</v>
      </c>
      <c r="J420" s="15" t="s">
        <v>33</v>
      </c>
      <c r="K420" s="15" t="s">
        <v>33</v>
      </c>
      <c r="L420" s="15" t="s">
        <v>33</v>
      </c>
      <c r="M420" s="19">
        <v>0</v>
      </c>
      <c r="N420" s="16">
        <v>0</v>
      </c>
      <c r="O420" s="15" t="s">
        <v>33</v>
      </c>
      <c r="P420" s="16">
        <v>0</v>
      </c>
      <c r="Q420" s="16">
        <v>0</v>
      </c>
      <c r="R420" s="19">
        <v>0</v>
      </c>
      <c r="S420" s="20" t="s">
        <v>33</v>
      </c>
    </row>
    <row r="421" spans="1:19" ht="15" customHeight="1" x14ac:dyDescent="0.3">
      <c r="A421" s="16">
        <v>338</v>
      </c>
      <c r="B421" s="15" t="s">
        <v>33</v>
      </c>
      <c r="C421" s="15" t="s">
        <v>33</v>
      </c>
      <c r="D421" s="22">
        <v>0</v>
      </c>
      <c r="E421" s="15" t="s">
        <v>33</v>
      </c>
      <c r="F421" s="15" t="s">
        <v>33</v>
      </c>
      <c r="G421" s="15" t="s">
        <v>33</v>
      </c>
      <c r="H421" s="16">
        <v>1</v>
      </c>
      <c r="I421" s="15" t="s">
        <v>33</v>
      </c>
      <c r="J421" s="15" t="s">
        <v>33</v>
      </c>
      <c r="K421" s="15" t="s">
        <v>33</v>
      </c>
      <c r="L421" s="15" t="s">
        <v>33</v>
      </c>
      <c r="M421" s="19">
        <v>0</v>
      </c>
      <c r="N421" s="16">
        <v>0</v>
      </c>
      <c r="O421" s="15" t="s">
        <v>33</v>
      </c>
      <c r="P421" s="16">
        <v>0</v>
      </c>
      <c r="Q421" s="16">
        <v>0</v>
      </c>
      <c r="R421" s="19">
        <v>0</v>
      </c>
      <c r="S421" s="20" t="s">
        <v>33</v>
      </c>
    </row>
    <row r="422" spans="1:19" ht="15" customHeight="1" x14ac:dyDescent="0.3">
      <c r="A422" s="16">
        <v>339</v>
      </c>
      <c r="B422" s="15" t="s">
        <v>33</v>
      </c>
      <c r="C422" s="15" t="s">
        <v>33</v>
      </c>
      <c r="D422" s="22">
        <v>0</v>
      </c>
      <c r="E422" s="15" t="s">
        <v>33</v>
      </c>
      <c r="F422" s="15" t="s">
        <v>33</v>
      </c>
      <c r="G422" s="15" t="s">
        <v>33</v>
      </c>
      <c r="H422" s="16">
        <v>1</v>
      </c>
      <c r="I422" s="15" t="s">
        <v>33</v>
      </c>
      <c r="J422" s="15" t="s">
        <v>33</v>
      </c>
      <c r="K422" s="15" t="s">
        <v>33</v>
      </c>
      <c r="L422" s="15" t="s">
        <v>33</v>
      </c>
      <c r="M422" s="19">
        <v>0</v>
      </c>
      <c r="N422" s="16">
        <v>0</v>
      </c>
      <c r="O422" s="15" t="s">
        <v>33</v>
      </c>
      <c r="P422" s="16">
        <v>0</v>
      </c>
      <c r="Q422" s="16">
        <v>0</v>
      </c>
      <c r="R422" s="19">
        <v>0</v>
      </c>
      <c r="S422" s="20" t="s">
        <v>33</v>
      </c>
    </row>
    <row r="423" spans="1:19" ht="15" customHeight="1" x14ac:dyDescent="0.3">
      <c r="A423" s="16">
        <v>340</v>
      </c>
      <c r="B423" s="15" t="s">
        <v>33</v>
      </c>
      <c r="C423" s="15" t="s">
        <v>33</v>
      </c>
      <c r="D423" s="22">
        <v>0</v>
      </c>
      <c r="E423" s="15" t="s">
        <v>33</v>
      </c>
      <c r="F423" s="15" t="s">
        <v>33</v>
      </c>
      <c r="G423" s="15" t="s">
        <v>33</v>
      </c>
      <c r="H423" s="16">
        <v>1</v>
      </c>
      <c r="I423" s="15" t="s">
        <v>33</v>
      </c>
      <c r="J423" s="15" t="s">
        <v>33</v>
      </c>
      <c r="K423" s="15" t="s">
        <v>33</v>
      </c>
      <c r="L423" s="15" t="s">
        <v>33</v>
      </c>
      <c r="M423" s="19">
        <v>0</v>
      </c>
      <c r="N423" s="16">
        <v>0</v>
      </c>
      <c r="O423" s="15" t="s">
        <v>33</v>
      </c>
      <c r="P423" s="16">
        <v>0</v>
      </c>
      <c r="Q423" s="16">
        <v>0</v>
      </c>
      <c r="R423" s="19">
        <v>0</v>
      </c>
      <c r="S423" s="20" t="s">
        <v>33</v>
      </c>
    </row>
    <row r="424" spans="1:19" ht="15" customHeight="1" x14ac:dyDescent="0.3">
      <c r="A424" s="16">
        <v>341</v>
      </c>
      <c r="B424" s="15" t="s">
        <v>33</v>
      </c>
      <c r="C424" s="15" t="s">
        <v>33</v>
      </c>
      <c r="D424" s="22">
        <v>0</v>
      </c>
      <c r="E424" s="15" t="s">
        <v>33</v>
      </c>
      <c r="F424" s="15" t="s">
        <v>33</v>
      </c>
      <c r="G424" s="15" t="s">
        <v>33</v>
      </c>
      <c r="H424" s="16">
        <v>1</v>
      </c>
      <c r="I424" s="15" t="s">
        <v>33</v>
      </c>
      <c r="J424" s="15" t="s">
        <v>33</v>
      </c>
      <c r="K424" s="15" t="s">
        <v>33</v>
      </c>
      <c r="L424" s="15" t="s">
        <v>33</v>
      </c>
      <c r="M424" s="19">
        <v>0</v>
      </c>
      <c r="N424" s="16">
        <v>0</v>
      </c>
      <c r="O424" s="15" t="s">
        <v>33</v>
      </c>
      <c r="P424" s="16">
        <v>0</v>
      </c>
      <c r="Q424" s="16">
        <v>0</v>
      </c>
      <c r="R424" s="19">
        <v>0</v>
      </c>
      <c r="S424" s="20" t="s">
        <v>33</v>
      </c>
    </row>
    <row r="425" spans="1:19" ht="15" customHeight="1" x14ac:dyDescent="0.3">
      <c r="A425" s="16">
        <v>342</v>
      </c>
      <c r="B425" s="15" t="s">
        <v>33</v>
      </c>
      <c r="C425" s="15" t="s">
        <v>33</v>
      </c>
      <c r="D425" s="22">
        <v>0</v>
      </c>
      <c r="E425" s="15" t="s">
        <v>33</v>
      </c>
      <c r="F425" s="15" t="s">
        <v>33</v>
      </c>
      <c r="G425" s="15" t="s">
        <v>33</v>
      </c>
      <c r="H425" s="16">
        <v>1</v>
      </c>
      <c r="I425" s="15" t="s">
        <v>33</v>
      </c>
      <c r="J425" s="15" t="s">
        <v>33</v>
      </c>
      <c r="K425" s="15" t="s">
        <v>33</v>
      </c>
      <c r="L425" s="15" t="s">
        <v>33</v>
      </c>
      <c r="M425" s="19">
        <v>0</v>
      </c>
      <c r="N425" s="16">
        <v>0</v>
      </c>
      <c r="O425" s="15" t="s">
        <v>33</v>
      </c>
      <c r="P425" s="16">
        <v>0</v>
      </c>
      <c r="Q425" s="16">
        <v>0</v>
      </c>
      <c r="R425" s="19">
        <v>0</v>
      </c>
      <c r="S425" s="20" t="s">
        <v>33</v>
      </c>
    </row>
    <row r="426" spans="1:19" ht="15" customHeight="1" x14ac:dyDescent="0.3">
      <c r="A426" s="16">
        <v>343</v>
      </c>
      <c r="B426" s="15" t="s">
        <v>33</v>
      </c>
      <c r="C426" s="15" t="s">
        <v>33</v>
      </c>
      <c r="D426" s="22">
        <v>0</v>
      </c>
      <c r="E426" s="15" t="s">
        <v>33</v>
      </c>
      <c r="F426" s="15" t="s">
        <v>33</v>
      </c>
      <c r="G426" s="15" t="s">
        <v>33</v>
      </c>
      <c r="H426" s="16">
        <v>1</v>
      </c>
      <c r="I426" s="15" t="s">
        <v>33</v>
      </c>
      <c r="J426" s="15" t="s">
        <v>33</v>
      </c>
      <c r="K426" s="15" t="s">
        <v>33</v>
      </c>
      <c r="L426" s="15" t="s">
        <v>33</v>
      </c>
      <c r="M426" s="19">
        <v>0</v>
      </c>
      <c r="N426" s="16">
        <v>0</v>
      </c>
      <c r="O426" s="15" t="s">
        <v>33</v>
      </c>
      <c r="P426" s="16">
        <v>0</v>
      </c>
      <c r="Q426" s="16">
        <v>0</v>
      </c>
      <c r="R426" s="19">
        <v>0</v>
      </c>
      <c r="S426" s="20" t="s">
        <v>33</v>
      </c>
    </row>
    <row r="427" spans="1:19" ht="15" customHeight="1" x14ac:dyDescent="0.3">
      <c r="A427" s="16">
        <v>344</v>
      </c>
      <c r="B427" s="15" t="s">
        <v>33</v>
      </c>
      <c r="C427" s="15" t="s">
        <v>33</v>
      </c>
      <c r="D427" s="22">
        <v>0</v>
      </c>
      <c r="E427" s="15" t="s">
        <v>33</v>
      </c>
      <c r="F427" s="15" t="s">
        <v>33</v>
      </c>
      <c r="G427" s="15" t="s">
        <v>33</v>
      </c>
      <c r="H427" s="16">
        <v>1</v>
      </c>
      <c r="I427" s="15" t="s">
        <v>33</v>
      </c>
      <c r="J427" s="15" t="s">
        <v>33</v>
      </c>
      <c r="K427" s="15" t="s">
        <v>33</v>
      </c>
      <c r="L427" s="15" t="s">
        <v>33</v>
      </c>
      <c r="M427" s="19">
        <v>0</v>
      </c>
      <c r="N427" s="16">
        <v>0</v>
      </c>
      <c r="O427" s="15" t="s">
        <v>33</v>
      </c>
      <c r="P427" s="16">
        <v>0</v>
      </c>
      <c r="Q427" s="16">
        <v>0</v>
      </c>
      <c r="R427" s="19">
        <v>0</v>
      </c>
      <c r="S427" s="20" t="s">
        <v>33</v>
      </c>
    </row>
    <row r="428" spans="1:19" ht="15" customHeight="1" x14ac:dyDescent="0.3">
      <c r="A428" s="16">
        <v>345</v>
      </c>
      <c r="B428" s="15" t="s">
        <v>33</v>
      </c>
      <c r="C428" s="15" t="s">
        <v>33</v>
      </c>
      <c r="D428" s="22">
        <v>0</v>
      </c>
      <c r="E428" s="15" t="s">
        <v>33</v>
      </c>
      <c r="F428" s="15" t="s">
        <v>33</v>
      </c>
      <c r="G428" s="15" t="s">
        <v>33</v>
      </c>
      <c r="H428" s="16">
        <v>1</v>
      </c>
      <c r="I428" s="15" t="s">
        <v>33</v>
      </c>
      <c r="J428" s="15" t="s">
        <v>33</v>
      </c>
      <c r="K428" s="15" t="s">
        <v>33</v>
      </c>
      <c r="L428" s="15" t="s">
        <v>33</v>
      </c>
      <c r="M428" s="19">
        <v>0</v>
      </c>
      <c r="N428" s="16">
        <v>0</v>
      </c>
      <c r="O428" s="15" t="s">
        <v>33</v>
      </c>
      <c r="P428" s="16">
        <v>0</v>
      </c>
      <c r="Q428" s="16">
        <v>0</v>
      </c>
      <c r="R428" s="19">
        <v>0</v>
      </c>
      <c r="S428" s="20" t="s">
        <v>33</v>
      </c>
    </row>
    <row r="429" spans="1:19" ht="15" customHeight="1" x14ac:dyDescent="0.3">
      <c r="A429" s="16">
        <v>346</v>
      </c>
      <c r="B429" s="15" t="s">
        <v>33</v>
      </c>
      <c r="C429" s="15" t="s">
        <v>33</v>
      </c>
      <c r="D429" s="22">
        <v>0</v>
      </c>
      <c r="E429" s="15" t="s">
        <v>33</v>
      </c>
      <c r="F429" s="15" t="s">
        <v>33</v>
      </c>
      <c r="G429" s="15" t="s">
        <v>33</v>
      </c>
      <c r="H429" s="16">
        <v>1</v>
      </c>
      <c r="I429" s="15" t="s">
        <v>33</v>
      </c>
      <c r="J429" s="15" t="s">
        <v>33</v>
      </c>
      <c r="K429" s="15" t="s">
        <v>33</v>
      </c>
      <c r="L429" s="15" t="s">
        <v>33</v>
      </c>
      <c r="M429" s="19">
        <v>0</v>
      </c>
      <c r="N429" s="16">
        <v>0</v>
      </c>
      <c r="O429" s="15" t="s">
        <v>33</v>
      </c>
      <c r="P429" s="16">
        <v>0</v>
      </c>
      <c r="Q429" s="16">
        <v>0</v>
      </c>
      <c r="R429" s="19">
        <v>0</v>
      </c>
      <c r="S429" s="20" t="s">
        <v>33</v>
      </c>
    </row>
    <row r="430" spans="1:19" ht="15" customHeight="1" x14ac:dyDescent="0.3">
      <c r="A430" s="16">
        <v>347</v>
      </c>
      <c r="B430" s="15" t="s">
        <v>33</v>
      </c>
      <c r="C430" s="15" t="s">
        <v>33</v>
      </c>
      <c r="D430" s="22">
        <v>0</v>
      </c>
      <c r="E430" s="15" t="s">
        <v>33</v>
      </c>
      <c r="F430" s="15" t="s">
        <v>33</v>
      </c>
      <c r="G430" s="15" t="s">
        <v>33</v>
      </c>
      <c r="H430" s="16">
        <v>1</v>
      </c>
      <c r="I430" s="15" t="s">
        <v>33</v>
      </c>
      <c r="J430" s="15" t="s">
        <v>33</v>
      </c>
      <c r="K430" s="15" t="s">
        <v>33</v>
      </c>
      <c r="L430" s="15" t="s">
        <v>33</v>
      </c>
      <c r="M430" s="19">
        <v>0</v>
      </c>
      <c r="N430" s="16">
        <v>0</v>
      </c>
      <c r="O430" s="15" t="s">
        <v>33</v>
      </c>
      <c r="P430" s="16">
        <v>0</v>
      </c>
      <c r="Q430" s="16">
        <v>0</v>
      </c>
      <c r="R430" s="19">
        <v>0</v>
      </c>
      <c r="S430" s="20" t="s">
        <v>33</v>
      </c>
    </row>
    <row r="431" spans="1:19" ht="15" customHeight="1" x14ac:dyDescent="0.3">
      <c r="A431" s="16">
        <v>348</v>
      </c>
      <c r="B431" s="15" t="s">
        <v>33</v>
      </c>
      <c r="C431" s="15" t="s">
        <v>33</v>
      </c>
      <c r="D431" s="22">
        <v>0</v>
      </c>
      <c r="E431" s="15" t="s">
        <v>33</v>
      </c>
      <c r="F431" s="15" t="s">
        <v>33</v>
      </c>
      <c r="G431" s="15" t="s">
        <v>33</v>
      </c>
      <c r="H431" s="16">
        <v>1</v>
      </c>
      <c r="I431" s="15" t="s">
        <v>33</v>
      </c>
      <c r="J431" s="15" t="s">
        <v>33</v>
      </c>
      <c r="K431" s="15" t="s">
        <v>33</v>
      </c>
      <c r="L431" s="15" t="s">
        <v>33</v>
      </c>
      <c r="M431" s="19">
        <v>0</v>
      </c>
      <c r="N431" s="16">
        <v>0</v>
      </c>
      <c r="O431" s="15" t="s">
        <v>33</v>
      </c>
      <c r="P431" s="16">
        <v>0</v>
      </c>
      <c r="Q431" s="16">
        <v>0</v>
      </c>
      <c r="R431" s="19">
        <v>0</v>
      </c>
      <c r="S431" s="20" t="s">
        <v>33</v>
      </c>
    </row>
    <row r="432" spans="1:19" ht="15" customHeight="1" x14ac:dyDescent="0.3">
      <c r="A432" s="16">
        <v>349</v>
      </c>
      <c r="B432" s="15" t="s">
        <v>33</v>
      </c>
      <c r="C432" s="15" t="s">
        <v>33</v>
      </c>
      <c r="D432" s="22">
        <v>0</v>
      </c>
      <c r="E432" s="15" t="s">
        <v>33</v>
      </c>
      <c r="F432" s="15" t="s">
        <v>33</v>
      </c>
      <c r="G432" s="15" t="s">
        <v>33</v>
      </c>
      <c r="H432" s="16">
        <v>1</v>
      </c>
      <c r="I432" s="15" t="s">
        <v>33</v>
      </c>
      <c r="J432" s="15" t="s">
        <v>33</v>
      </c>
      <c r="K432" s="15" t="s">
        <v>33</v>
      </c>
      <c r="L432" s="15" t="s">
        <v>33</v>
      </c>
      <c r="M432" s="19">
        <v>0</v>
      </c>
      <c r="N432" s="16">
        <v>0</v>
      </c>
      <c r="O432" s="15" t="s">
        <v>33</v>
      </c>
      <c r="P432" s="16">
        <v>0</v>
      </c>
      <c r="Q432" s="16">
        <v>0</v>
      </c>
      <c r="R432" s="19">
        <v>0</v>
      </c>
      <c r="S432" s="20" t="s">
        <v>33</v>
      </c>
    </row>
    <row r="433" spans="1:19" ht="15" customHeight="1" x14ac:dyDescent="0.3">
      <c r="A433" s="16">
        <v>350</v>
      </c>
      <c r="B433" s="15" t="s">
        <v>33</v>
      </c>
      <c r="C433" s="15" t="s">
        <v>33</v>
      </c>
      <c r="D433" s="22">
        <v>0</v>
      </c>
      <c r="E433" s="15" t="s">
        <v>33</v>
      </c>
      <c r="F433" s="15" t="s">
        <v>33</v>
      </c>
      <c r="G433" s="15" t="s">
        <v>33</v>
      </c>
      <c r="H433" s="16">
        <v>1</v>
      </c>
      <c r="I433" s="15" t="s">
        <v>33</v>
      </c>
      <c r="J433" s="15" t="s">
        <v>33</v>
      </c>
      <c r="K433" s="15" t="s">
        <v>33</v>
      </c>
      <c r="L433" s="15" t="s">
        <v>33</v>
      </c>
      <c r="M433" s="19">
        <v>0</v>
      </c>
      <c r="N433" s="16">
        <v>0</v>
      </c>
      <c r="O433" s="15" t="s">
        <v>33</v>
      </c>
      <c r="P433" s="16">
        <v>0</v>
      </c>
      <c r="Q433" s="16">
        <v>0</v>
      </c>
      <c r="R433" s="19">
        <v>0</v>
      </c>
      <c r="S433" s="20" t="s">
        <v>33</v>
      </c>
    </row>
    <row r="434" spans="1:19" ht="15" customHeight="1" x14ac:dyDescent="0.3">
      <c r="A434" s="16">
        <v>351</v>
      </c>
      <c r="B434" s="15" t="s">
        <v>33</v>
      </c>
      <c r="C434" s="15" t="s">
        <v>33</v>
      </c>
      <c r="D434" s="22">
        <v>0</v>
      </c>
      <c r="E434" s="15" t="s">
        <v>33</v>
      </c>
      <c r="F434" s="15" t="s">
        <v>33</v>
      </c>
      <c r="G434" s="15" t="s">
        <v>33</v>
      </c>
      <c r="H434" s="16">
        <v>1</v>
      </c>
      <c r="I434" s="15" t="s">
        <v>33</v>
      </c>
      <c r="J434" s="15" t="s">
        <v>33</v>
      </c>
      <c r="K434" s="15" t="s">
        <v>33</v>
      </c>
      <c r="L434" s="15" t="s">
        <v>33</v>
      </c>
      <c r="M434" s="19">
        <v>0</v>
      </c>
      <c r="N434" s="16">
        <v>0</v>
      </c>
      <c r="O434" s="15" t="s">
        <v>33</v>
      </c>
      <c r="P434" s="16">
        <v>0</v>
      </c>
      <c r="Q434" s="16">
        <v>0</v>
      </c>
      <c r="R434" s="19">
        <v>0</v>
      </c>
      <c r="S434" s="20" t="s">
        <v>33</v>
      </c>
    </row>
    <row r="435" spans="1:19" ht="15" customHeight="1" x14ac:dyDescent="0.3">
      <c r="A435" s="16">
        <v>352</v>
      </c>
      <c r="B435" s="15" t="s">
        <v>33</v>
      </c>
      <c r="C435" s="15" t="s">
        <v>33</v>
      </c>
      <c r="D435" s="22">
        <v>0</v>
      </c>
      <c r="E435" s="15" t="s">
        <v>33</v>
      </c>
      <c r="F435" s="15" t="s">
        <v>33</v>
      </c>
      <c r="G435" s="15" t="s">
        <v>33</v>
      </c>
      <c r="H435" s="16">
        <v>1</v>
      </c>
      <c r="I435" s="15" t="s">
        <v>33</v>
      </c>
      <c r="J435" s="15" t="s">
        <v>33</v>
      </c>
      <c r="K435" s="15" t="s">
        <v>33</v>
      </c>
      <c r="L435" s="15" t="s">
        <v>33</v>
      </c>
      <c r="M435" s="19">
        <v>0</v>
      </c>
      <c r="N435" s="16">
        <v>0</v>
      </c>
      <c r="O435" s="15" t="s">
        <v>33</v>
      </c>
      <c r="P435" s="16">
        <v>0</v>
      </c>
      <c r="Q435" s="16">
        <v>0</v>
      </c>
      <c r="R435" s="19">
        <v>0</v>
      </c>
      <c r="S435" s="20" t="s">
        <v>33</v>
      </c>
    </row>
    <row r="436" spans="1:19" ht="15" customHeight="1" x14ac:dyDescent="0.3">
      <c r="A436" s="16">
        <v>353</v>
      </c>
      <c r="B436" s="15" t="s">
        <v>33</v>
      </c>
      <c r="C436" s="15" t="s">
        <v>33</v>
      </c>
      <c r="D436" s="22">
        <v>0</v>
      </c>
      <c r="E436" s="15" t="s">
        <v>33</v>
      </c>
      <c r="F436" s="15" t="s">
        <v>33</v>
      </c>
      <c r="G436" s="15" t="s">
        <v>33</v>
      </c>
      <c r="H436" s="16">
        <v>1</v>
      </c>
      <c r="I436" s="15" t="s">
        <v>33</v>
      </c>
      <c r="J436" s="15" t="s">
        <v>33</v>
      </c>
      <c r="K436" s="15" t="s">
        <v>33</v>
      </c>
      <c r="L436" s="15" t="s">
        <v>33</v>
      </c>
      <c r="M436" s="19">
        <v>0</v>
      </c>
      <c r="N436" s="16">
        <v>0</v>
      </c>
      <c r="O436" s="15" t="s">
        <v>33</v>
      </c>
      <c r="P436" s="16">
        <v>0</v>
      </c>
      <c r="Q436" s="16">
        <v>0</v>
      </c>
      <c r="R436" s="19">
        <v>0</v>
      </c>
      <c r="S436" s="20" t="s">
        <v>33</v>
      </c>
    </row>
    <row r="437" spans="1:19" ht="15" customHeight="1" x14ac:dyDescent="0.3">
      <c r="A437" s="16">
        <v>354</v>
      </c>
      <c r="B437" s="15" t="s">
        <v>33</v>
      </c>
      <c r="C437" s="15" t="s">
        <v>33</v>
      </c>
      <c r="D437" s="22">
        <v>0</v>
      </c>
      <c r="E437" s="15" t="s">
        <v>33</v>
      </c>
      <c r="F437" s="15" t="s">
        <v>33</v>
      </c>
      <c r="G437" s="15" t="s">
        <v>33</v>
      </c>
      <c r="H437" s="16">
        <v>1</v>
      </c>
      <c r="I437" s="15" t="s">
        <v>33</v>
      </c>
      <c r="J437" s="15" t="s">
        <v>33</v>
      </c>
      <c r="K437" s="15" t="s">
        <v>33</v>
      </c>
      <c r="L437" s="15" t="s">
        <v>33</v>
      </c>
      <c r="M437" s="19">
        <v>0</v>
      </c>
      <c r="N437" s="16">
        <v>0</v>
      </c>
      <c r="O437" s="15" t="s">
        <v>33</v>
      </c>
      <c r="P437" s="16">
        <v>0</v>
      </c>
      <c r="Q437" s="16">
        <v>0</v>
      </c>
      <c r="R437" s="19">
        <v>0</v>
      </c>
      <c r="S437" s="20" t="s">
        <v>33</v>
      </c>
    </row>
    <row r="438" spans="1:19" ht="15" customHeight="1" x14ac:dyDescent="0.3">
      <c r="A438" s="16">
        <v>355</v>
      </c>
      <c r="B438" s="15" t="s">
        <v>33</v>
      </c>
      <c r="C438" s="15" t="s">
        <v>33</v>
      </c>
      <c r="D438" s="22">
        <v>0</v>
      </c>
      <c r="E438" s="15" t="s">
        <v>33</v>
      </c>
      <c r="F438" s="15" t="s">
        <v>33</v>
      </c>
      <c r="G438" s="15" t="s">
        <v>33</v>
      </c>
      <c r="H438" s="16">
        <v>1</v>
      </c>
      <c r="I438" s="15" t="s">
        <v>33</v>
      </c>
      <c r="J438" s="15" t="s">
        <v>33</v>
      </c>
      <c r="K438" s="15" t="s">
        <v>33</v>
      </c>
      <c r="L438" s="15" t="s">
        <v>33</v>
      </c>
      <c r="M438" s="19">
        <v>0</v>
      </c>
      <c r="N438" s="16">
        <v>0</v>
      </c>
      <c r="O438" s="15" t="s">
        <v>33</v>
      </c>
      <c r="P438" s="16">
        <v>0</v>
      </c>
      <c r="Q438" s="16">
        <v>0</v>
      </c>
      <c r="R438" s="19">
        <v>0</v>
      </c>
      <c r="S438" s="20" t="s">
        <v>33</v>
      </c>
    </row>
    <row r="439" spans="1:19" ht="15" customHeight="1" x14ac:dyDescent="0.3">
      <c r="A439" s="16">
        <v>356</v>
      </c>
      <c r="B439" s="15" t="s">
        <v>33</v>
      </c>
      <c r="C439" s="15" t="s">
        <v>33</v>
      </c>
      <c r="D439" s="22">
        <v>0</v>
      </c>
      <c r="E439" s="15" t="s">
        <v>33</v>
      </c>
      <c r="F439" s="15" t="s">
        <v>33</v>
      </c>
      <c r="G439" s="15" t="s">
        <v>33</v>
      </c>
      <c r="H439" s="16">
        <v>1</v>
      </c>
      <c r="I439" s="15" t="s">
        <v>33</v>
      </c>
      <c r="J439" s="15" t="s">
        <v>33</v>
      </c>
      <c r="K439" s="15" t="s">
        <v>33</v>
      </c>
      <c r="L439" s="15" t="s">
        <v>33</v>
      </c>
      <c r="M439" s="19">
        <v>0</v>
      </c>
      <c r="N439" s="16">
        <v>0</v>
      </c>
      <c r="O439" s="15" t="s">
        <v>33</v>
      </c>
      <c r="P439" s="16">
        <v>0</v>
      </c>
      <c r="Q439" s="16">
        <v>0</v>
      </c>
      <c r="R439" s="19">
        <v>0</v>
      </c>
      <c r="S439" s="20" t="s">
        <v>33</v>
      </c>
    </row>
    <row r="440" spans="1:19" ht="15" customHeight="1" x14ac:dyDescent="0.3">
      <c r="A440" s="16">
        <v>357</v>
      </c>
      <c r="B440" s="15" t="s">
        <v>33</v>
      </c>
      <c r="C440" s="15" t="s">
        <v>33</v>
      </c>
      <c r="D440" s="22">
        <v>0</v>
      </c>
      <c r="E440" s="15" t="s">
        <v>33</v>
      </c>
      <c r="F440" s="15" t="s">
        <v>33</v>
      </c>
      <c r="G440" s="15" t="s">
        <v>33</v>
      </c>
      <c r="H440" s="16">
        <v>1</v>
      </c>
      <c r="I440" s="15" t="s">
        <v>33</v>
      </c>
      <c r="J440" s="15" t="s">
        <v>33</v>
      </c>
      <c r="K440" s="15" t="s">
        <v>33</v>
      </c>
      <c r="L440" s="15" t="s">
        <v>33</v>
      </c>
      <c r="M440" s="19">
        <v>0</v>
      </c>
      <c r="N440" s="16">
        <v>0</v>
      </c>
      <c r="O440" s="15" t="s">
        <v>33</v>
      </c>
      <c r="P440" s="16">
        <v>0</v>
      </c>
      <c r="Q440" s="16">
        <v>0</v>
      </c>
      <c r="R440" s="19">
        <v>0</v>
      </c>
      <c r="S440" s="20" t="s">
        <v>33</v>
      </c>
    </row>
    <row r="441" spans="1:19" ht="15" customHeight="1" x14ac:dyDescent="0.3">
      <c r="A441" s="16">
        <v>358</v>
      </c>
      <c r="B441" s="15" t="s">
        <v>33</v>
      </c>
      <c r="C441" s="15" t="s">
        <v>33</v>
      </c>
      <c r="D441" s="22">
        <v>0</v>
      </c>
      <c r="E441" s="15" t="s">
        <v>33</v>
      </c>
      <c r="F441" s="15" t="s">
        <v>33</v>
      </c>
      <c r="G441" s="15" t="s">
        <v>33</v>
      </c>
      <c r="H441" s="16">
        <v>1</v>
      </c>
      <c r="I441" s="15" t="s">
        <v>33</v>
      </c>
      <c r="J441" s="15" t="s">
        <v>33</v>
      </c>
      <c r="K441" s="15" t="s">
        <v>33</v>
      </c>
      <c r="L441" s="15" t="s">
        <v>33</v>
      </c>
      <c r="M441" s="19">
        <v>0</v>
      </c>
      <c r="N441" s="16">
        <v>0</v>
      </c>
      <c r="O441" s="15" t="s">
        <v>33</v>
      </c>
      <c r="P441" s="16">
        <v>0</v>
      </c>
      <c r="Q441" s="16">
        <v>0</v>
      </c>
      <c r="R441" s="19">
        <v>0</v>
      </c>
      <c r="S441" s="20" t="s">
        <v>33</v>
      </c>
    </row>
    <row r="442" spans="1:19" ht="15" customHeight="1" x14ac:dyDescent="0.3">
      <c r="A442" s="16">
        <v>359</v>
      </c>
      <c r="B442" s="15" t="s">
        <v>33</v>
      </c>
      <c r="C442" s="15" t="s">
        <v>33</v>
      </c>
      <c r="D442" s="22">
        <v>0</v>
      </c>
      <c r="E442" s="15" t="s">
        <v>33</v>
      </c>
      <c r="F442" s="15" t="s">
        <v>33</v>
      </c>
      <c r="G442" s="15" t="s">
        <v>33</v>
      </c>
      <c r="H442" s="16">
        <v>1</v>
      </c>
      <c r="I442" s="15" t="s">
        <v>33</v>
      </c>
      <c r="J442" s="15" t="s">
        <v>33</v>
      </c>
      <c r="K442" s="15" t="s">
        <v>33</v>
      </c>
      <c r="L442" s="15" t="s">
        <v>33</v>
      </c>
      <c r="M442" s="19">
        <v>0</v>
      </c>
      <c r="N442" s="16">
        <v>0</v>
      </c>
      <c r="O442" s="15" t="s">
        <v>33</v>
      </c>
      <c r="P442" s="16">
        <v>0</v>
      </c>
      <c r="Q442" s="16">
        <v>0</v>
      </c>
      <c r="R442" s="19">
        <v>0</v>
      </c>
      <c r="S442" s="20" t="s">
        <v>33</v>
      </c>
    </row>
    <row r="443" spans="1:19" ht="15" customHeight="1" x14ac:dyDescent="0.3">
      <c r="A443" s="16">
        <v>360</v>
      </c>
      <c r="B443" s="15" t="s">
        <v>33</v>
      </c>
      <c r="C443" s="15" t="s">
        <v>33</v>
      </c>
      <c r="D443" s="22">
        <v>0</v>
      </c>
      <c r="E443" s="15" t="s">
        <v>33</v>
      </c>
      <c r="F443" s="15" t="s">
        <v>33</v>
      </c>
      <c r="G443" s="15" t="s">
        <v>33</v>
      </c>
      <c r="H443" s="16">
        <v>1</v>
      </c>
      <c r="I443" s="15" t="s">
        <v>33</v>
      </c>
      <c r="J443" s="15" t="s">
        <v>33</v>
      </c>
      <c r="K443" s="15" t="s">
        <v>33</v>
      </c>
      <c r="L443" s="15" t="s">
        <v>33</v>
      </c>
      <c r="M443" s="19">
        <v>0</v>
      </c>
      <c r="N443" s="16">
        <v>0</v>
      </c>
      <c r="O443" s="15" t="s">
        <v>33</v>
      </c>
      <c r="P443" s="16">
        <v>0</v>
      </c>
      <c r="Q443" s="16">
        <v>0</v>
      </c>
      <c r="R443" s="19">
        <v>0</v>
      </c>
      <c r="S443" s="20" t="s">
        <v>33</v>
      </c>
    </row>
    <row r="444" spans="1:19" ht="15" customHeight="1" x14ac:dyDescent="0.3">
      <c r="A444" s="16">
        <v>361</v>
      </c>
      <c r="B444" s="15" t="s">
        <v>33</v>
      </c>
      <c r="C444" s="15" t="s">
        <v>33</v>
      </c>
      <c r="D444" s="22">
        <v>0</v>
      </c>
      <c r="E444" s="15" t="s">
        <v>33</v>
      </c>
      <c r="F444" s="15" t="s">
        <v>33</v>
      </c>
      <c r="G444" s="15" t="s">
        <v>33</v>
      </c>
      <c r="H444" s="16">
        <v>1</v>
      </c>
      <c r="I444" s="15" t="s">
        <v>33</v>
      </c>
      <c r="J444" s="15" t="s">
        <v>33</v>
      </c>
      <c r="K444" s="15" t="s">
        <v>33</v>
      </c>
      <c r="L444" s="15" t="s">
        <v>33</v>
      </c>
      <c r="M444" s="19">
        <v>0</v>
      </c>
      <c r="N444" s="16">
        <v>0</v>
      </c>
      <c r="O444" s="15" t="s">
        <v>33</v>
      </c>
      <c r="P444" s="16">
        <v>0</v>
      </c>
      <c r="Q444" s="16">
        <v>0</v>
      </c>
      <c r="R444" s="19">
        <v>0</v>
      </c>
      <c r="S444" s="20" t="s">
        <v>33</v>
      </c>
    </row>
    <row r="445" spans="1:19" ht="15" customHeight="1" x14ac:dyDescent="0.3">
      <c r="A445" s="16">
        <v>362</v>
      </c>
      <c r="B445" s="15" t="s">
        <v>33</v>
      </c>
      <c r="C445" s="15" t="s">
        <v>33</v>
      </c>
      <c r="D445" s="22">
        <v>0</v>
      </c>
      <c r="E445" s="15" t="s">
        <v>33</v>
      </c>
      <c r="F445" s="15" t="s">
        <v>33</v>
      </c>
      <c r="G445" s="15" t="s">
        <v>33</v>
      </c>
      <c r="H445" s="16">
        <v>1</v>
      </c>
      <c r="I445" s="15" t="s">
        <v>33</v>
      </c>
      <c r="J445" s="15" t="s">
        <v>33</v>
      </c>
      <c r="K445" s="15" t="s">
        <v>33</v>
      </c>
      <c r="L445" s="15" t="s">
        <v>33</v>
      </c>
      <c r="M445" s="19">
        <v>0</v>
      </c>
      <c r="N445" s="16">
        <v>0</v>
      </c>
      <c r="O445" s="15" t="s">
        <v>33</v>
      </c>
      <c r="P445" s="16">
        <v>0</v>
      </c>
      <c r="Q445" s="16">
        <v>0</v>
      </c>
      <c r="R445" s="19">
        <v>0</v>
      </c>
      <c r="S445" s="20" t="s">
        <v>33</v>
      </c>
    </row>
    <row r="446" spans="1:19" ht="15" customHeight="1" x14ac:dyDescent="0.3">
      <c r="A446" s="16">
        <v>363</v>
      </c>
      <c r="B446" s="15" t="s">
        <v>33</v>
      </c>
      <c r="C446" s="15" t="s">
        <v>33</v>
      </c>
      <c r="D446" s="22">
        <v>0</v>
      </c>
      <c r="E446" s="15" t="s">
        <v>33</v>
      </c>
      <c r="F446" s="15" t="s">
        <v>33</v>
      </c>
      <c r="G446" s="15" t="s">
        <v>33</v>
      </c>
      <c r="H446" s="16">
        <v>1</v>
      </c>
      <c r="I446" s="15" t="s">
        <v>33</v>
      </c>
      <c r="J446" s="15" t="s">
        <v>33</v>
      </c>
      <c r="K446" s="15" t="s">
        <v>33</v>
      </c>
      <c r="L446" s="15" t="s">
        <v>33</v>
      </c>
      <c r="M446" s="19">
        <v>0</v>
      </c>
      <c r="N446" s="16">
        <v>0</v>
      </c>
      <c r="O446" s="15" t="s">
        <v>33</v>
      </c>
      <c r="P446" s="16">
        <v>0</v>
      </c>
      <c r="Q446" s="16">
        <v>0</v>
      </c>
      <c r="R446" s="19">
        <v>0</v>
      </c>
      <c r="S446" s="20" t="s">
        <v>33</v>
      </c>
    </row>
    <row r="447" spans="1:19" ht="15" customHeight="1" x14ac:dyDescent="0.3">
      <c r="A447" s="16">
        <v>364</v>
      </c>
      <c r="B447" s="15" t="s">
        <v>33</v>
      </c>
      <c r="C447" s="15" t="s">
        <v>33</v>
      </c>
      <c r="D447" s="22">
        <v>0</v>
      </c>
      <c r="E447" s="15" t="s">
        <v>33</v>
      </c>
      <c r="F447" s="15" t="s">
        <v>33</v>
      </c>
      <c r="G447" s="15" t="s">
        <v>33</v>
      </c>
      <c r="H447" s="16">
        <v>1</v>
      </c>
      <c r="I447" s="15" t="s">
        <v>33</v>
      </c>
      <c r="J447" s="15" t="s">
        <v>33</v>
      </c>
      <c r="K447" s="15" t="s">
        <v>33</v>
      </c>
      <c r="L447" s="15" t="s">
        <v>33</v>
      </c>
      <c r="M447" s="19">
        <v>0</v>
      </c>
      <c r="N447" s="16">
        <v>0</v>
      </c>
      <c r="O447" s="15" t="s">
        <v>33</v>
      </c>
      <c r="P447" s="16">
        <v>0</v>
      </c>
      <c r="Q447" s="16">
        <v>0</v>
      </c>
      <c r="R447" s="19">
        <v>0</v>
      </c>
      <c r="S447" s="20" t="s">
        <v>33</v>
      </c>
    </row>
    <row r="448" spans="1:19" ht="15" customHeight="1" x14ac:dyDescent="0.3">
      <c r="A448" s="16">
        <v>365</v>
      </c>
      <c r="B448" s="15" t="s">
        <v>33</v>
      </c>
      <c r="C448" s="15" t="s">
        <v>33</v>
      </c>
      <c r="D448" s="22">
        <v>0</v>
      </c>
      <c r="E448" s="15" t="s">
        <v>33</v>
      </c>
      <c r="F448" s="15" t="s">
        <v>33</v>
      </c>
      <c r="G448" s="15" t="s">
        <v>33</v>
      </c>
      <c r="H448" s="16">
        <v>1</v>
      </c>
      <c r="I448" s="15" t="s">
        <v>33</v>
      </c>
      <c r="J448" s="15" t="s">
        <v>33</v>
      </c>
      <c r="K448" s="15" t="s">
        <v>33</v>
      </c>
      <c r="L448" s="15" t="s">
        <v>33</v>
      </c>
      <c r="M448" s="19">
        <v>0</v>
      </c>
      <c r="N448" s="16">
        <v>0</v>
      </c>
      <c r="O448" s="15" t="s">
        <v>33</v>
      </c>
      <c r="P448" s="16">
        <v>0</v>
      </c>
      <c r="Q448" s="16">
        <v>0</v>
      </c>
      <c r="R448" s="19">
        <v>0</v>
      </c>
      <c r="S448" s="20" t="s">
        <v>33</v>
      </c>
    </row>
    <row r="449" spans="1:19" ht="15" customHeight="1" x14ac:dyDescent="0.3">
      <c r="A449" s="16">
        <v>366</v>
      </c>
      <c r="B449" s="15" t="s">
        <v>33</v>
      </c>
      <c r="C449" s="15" t="s">
        <v>33</v>
      </c>
      <c r="D449" s="22">
        <v>0</v>
      </c>
      <c r="E449" s="15" t="s">
        <v>33</v>
      </c>
      <c r="F449" s="15" t="s">
        <v>33</v>
      </c>
      <c r="G449" s="15" t="s">
        <v>33</v>
      </c>
      <c r="H449" s="16">
        <v>1</v>
      </c>
      <c r="I449" s="15" t="s">
        <v>33</v>
      </c>
      <c r="J449" s="15" t="s">
        <v>33</v>
      </c>
      <c r="K449" s="15" t="s">
        <v>33</v>
      </c>
      <c r="L449" s="15" t="s">
        <v>33</v>
      </c>
      <c r="M449" s="19">
        <v>0</v>
      </c>
      <c r="N449" s="16">
        <v>0</v>
      </c>
      <c r="O449" s="15" t="s">
        <v>33</v>
      </c>
      <c r="P449" s="16">
        <v>0</v>
      </c>
      <c r="Q449" s="16">
        <v>0</v>
      </c>
      <c r="R449" s="19">
        <v>0</v>
      </c>
      <c r="S449" s="20" t="s">
        <v>33</v>
      </c>
    </row>
    <row r="450" spans="1:19" ht="15" customHeight="1" x14ac:dyDescent="0.3">
      <c r="A450" s="16">
        <v>367</v>
      </c>
      <c r="B450" s="15" t="s">
        <v>33</v>
      </c>
      <c r="C450" s="15" t="s">
        <v>33</v>
      </c>
      <c r="D450" s="22">
        <v>0</v>
      </c>
      <c r="E450" s="15" t="s">
        <v>33</v>
      </c>
      <c r="F450" s="15" t="s">
        <v>33</v>
      </c>
      <c r="G450" s="15" t="s">
        <v>33</v>
      </c>
      <c r="H450" s="16">
        <v>1</v>
      </c>
      <c r="I450" s="15" t="s">
        <v>33</v>
      </c>
      <c r="J450" s="15" t="s">
        <v>33</v>
      </c>
      <c r="K450" s="15" t="s">
        <v>33</v>
      </c>
      <c r="L450" s="15" t="s">
        <v>33</v>
      </c>
      <c r="M450" s="19">
        <v>0</v>
      </c>
      <c r="N450" s="16">
        <v>0</v>
      </c>
      <c r="O450" s="15" t="s">
        <v>33</v>
      </c>
      <c r="P450" s="16">
        <v>0</v>
      </c>
      <c r="Q450" s="16">
        <v>0</v>
      </c>
      <c r="R450" s="19">
        <v>0</v>
      </c>
      <c r="S450" s="20" t="s">
        <v>33</v>
      </c>
    </row>
    <row r="451" spans="1:19" ht="15" customHeight="1" x14ac:dyDescent="0.3">
      <c r="A451" s="16">
        <v>368</v>
      </c>
      <c r="B451" s="15" t="s">
        <v>33</v>
      </c>
      <c r="C451" s="15" t="s">
        <v>33</v>
      </c>
      <c r="D451" s="22">
        <v>0</v>
      </c>
      <c r="E451" s="15" t="s">
        <v>33</v>
      </c>
      <c r="F451" s="15" t="s">
        <v>33</v>
      </c>
      <c r="G451" s="15" t="s">
        <v>33</v>
      </c>
      <c r="H451" s="16">
        <v>1</v>
      </c>
      <c r="I451" s="15" t="s">
        <v>33</v>
      </c>
      <c r="J451" s="15" t="s">
        <v>33</v>
      </c>
      <c r="K451" s="15" t="s">
        <v>33</v>
      </c>
      <c r="L451" s="15" t="s">
        <v>33</v>
      </c>
      <c r="M451" s="19">
        <v>0</v>
      </c>
      <c r="N451" s="16">
        <v>0</v>
      </c>
      <c r="O451" s="15" t="s">
        <v>33</v>
      </c>
      <c r="P451" s="16">
        <v>0</v>
      </c>
      <c r="Q451" s="16">
        <v>0</v>
      </c>
      <c r="R451" s="19">
        <v>0</v>
      </c>
      <c r="S451" s="20" t="s">
        <v>33</v>
      </c>
    </row>
    <row r="452" spans="1:19" ht="15" customHeight="1" x14ac:dyDescent="0.3">
      <c r="A452" s="16">
        <v>369</v>
      </c>
      <c r="B452" s="15" t="s">
        <v>33</v>
      </c>
      <c r="C452" s="15" t="s">
        <v>33</v>
      </c>
      <c r="D452" s="22">
        <v>0</v>
      </c>
      <c r="E452" s="15" t="s">
        <v>33</v>
      </c>
      <c r="F452" s="15" t="s">
        <v>33</v>
      </c>
      <c r="G452" s="15" t="s">
        <v>33</v>
      </c>
      <c r="H452" s="16">
        <v>1</v>
      </c>
      <c r="I452" s="15" t="s">
        <v>33</v>
      </c>
      <c r="J452" s="15" t="s">
        <v>33</v>
      </c>
      <c r="K452" s="15" t="s">
        <v>33</v>
      </c>
      <c r="L452" s="15" t="s">
        <v>33</v>
      </c>
      <c r="M452" s="19">
        <v>0</v>
      </c>
      <c r="N452" s="16">
        <v>0</v>
      </c>
      <c r="O452" s="15" t="s">
        <v>33</v>
      </c>
      <c r="P452" s="16">
        <v>0</v>
      </c>
      <c r="Q452" s="16">
        <v>0</v>
      </c>
      <c r="R452" s="19">
        <v>0</v>
      </c>
      <c r="S452" s="20" t="s">
        <v>33</v>
      </c>
    </row>
    <row r="453" spans="1:19" ht="15" customHeight="1" x14ac:dyDescent="0.3">
      <c r="A453" s="16">
        <v>370</v>
      </c>
      <c r="B453" s="15" t="s">
        <v>33</v>
      </c>
      <c r="C453" s="15" t="s">
        <v>33</v>
      </c>
      <c r="D453" s="22">
        <v>0</v>
      </c>
      <c r="E453" s="15" t="s">
        <v>33</v>
      </c>
      <c r="F453" s="15" t="s">
        <v>33</v>
      </c>
      <c r="G453" s="15" t="s">
        <v>33</v>
      </c>
      <c r="H453" s="16">
        <v>1</v>
      </c>
      <c r="I453" s="15" t="s">
        <v>33</v>
      </c>
      <c r="J453" s="15" t="s">
        <v>33</v>
      </c>
      <c r="K453" s="15" t="s">
        <v>33</v>
      </c>
      <c r="L453" s="15" t="s">
        <v>33</v>
      </c>
      <c r="M453" s="19">
        <v>0</v>
      </c>
      <c r="N453" s="16">
        <v>0</v>
      </c>
      <c r="O453" s="15" t="s">
        <v>33</v>
      </c>
      <c r="P453" s="16">
        <v>0</v>
      </c>
      <c r="Q453" s="16">
        <v>0</v>
      </c>
      <c r="R453" s="19">
        <v>0</v>
      </c>
      <c r="S453" s="20" t="s">
        <v>33</v>
      </c>
    </row>
    <row r="454" spans="1:19" ht="15" customHeight="1" x14ac:dyDescent="0.3">
      <c r="A454" s="16">
        <v>371</v>
      </c>
      <c r="B454" s="15" t="s">
        <v>33</v>
      </c>
      <c r="C454" s="15" t="s">
        <v>33</v>
      </c>
      <c r="D454" s="22">
        <v>0</v>
      </c>
      <c r="E454" s="15" t="s">
        <v>33</v>
      </c>
      <c r="F454" s="15" t="s">
        <v>33</v>
      </c>
      <c r="G454" s="15" t="s">
        <v>33</v>
      </c>
      <c r="H454" s="16">
        <v>1</v>
      </c>
      <c r="I454" s="15" t="s">
        <v>33</v>
      </c>
      <c r="J454" s="15" t="s">
        <v>33</v>
      </c>
      <c r="K454" s="15" t="s">
        <v>33</v>
      </c>
      <c r="L454" s="15" t="s">
        <v>33</v>
      </c>
      <c r="M454" s="19">
        <v>0</v>
      </c>
      <c r="N454" s="16">
        <v>0</v>
      </c>
      <c r="O454" s="15" t="s">
        <v>33</v>
      </c>
      <c r="P454" s="16">
        <v>0</v>
      </c>
      <c r="Q454" s="16">
        <v>0</v>
      </c>
      <c r="R454" s="19">
        <v>0</v>
      </c>
      <c r="S454" s="20" t="s">
        <v>33</v>
      </c>
    </row>
    <row r="455" spans="1:19" ht="15" customHeight="1" x14ac:dyDescent="0.3">
      <c r="A455" s="16">
        <v>372</v>
      </c>
      <c r="B455" s="15" t="s">
        <v>33</v>
      </c>
      <c r="C455" s="15" t="s">
        <v>33</v>
      </c>
      <c r="D455" s="22">
        <v>0</v>
      </c>
      <c r="E455" s="15" t="s">
        <v>33</v>
      </c>
      <c r="F455" s="15" t="s">
        <v>33</v>
      </c>
      <c r="G455" s="15" t="s">
        <v>33</v>
      </c>
      <c r="H455" s="16">
        <v>1</v>
      </c>
      <c r="I455" s="15" t="s">
        <v>33</v>
      </c>
      <c r="J455" s="15" t="s">
        <v>33</v>
      </c>
      <c r="K455" s="15" t="s">
        <v>33</v>
      </c>
      <c r="L455" s="15" t="s">
        <v>33</v>
      </c>
      <c r="M455" s="19">
        <v>0</v>
      </c>
      <c r="N455" s="16">
        <v>0</v>
      </c>
      <c r="O455" s="15" t="s">
        <v>33</v>
      </c>
      <c r="P455" s="16">
        <v>0</v>
      </c>
      <c r="Q455" s="16">
        <v>0</v>
      </c>
      <c r="R455" s="19">
        <v>0</v>
      </c>
      <c r="S455" s="20" t="s">
        <v>33</v>
      </c>
    </row>
    <row r="456" spans="1:19" ht="15" customHeight="1" x14ac:dyDescent="0.3">
      <c r="A456" s="16">
        <v>373</v>
      </c>
      <c r="B456" s="15" t="s">
        <v>33</v>
      </c>
      <c r="C456" s="15" t="s">
        <v>33</v>
      </c>
      <c r="D456" s="22">
        <v>0</v>
      </c>
      <c r="E456" s="15" t="s">
        <v>33</v>
      </c>
      <c r="F456" s="15" t="s">
        <v>33</v>
      </c>
      <c r="G456" s="15" t="s">
        <v>33</v>
      </c>
      <c r="H456" s="16">
        <v>1</v>
      </c>
      <c r="I456" s="15" t="s">
        <v>33</v>
      </c>
      <c r="J456" s="15" t="s">
        <v>33</v>
      </c>
      <c r="K456" s="15" t="s">
        <v>33</v>
      </c>
      <c r="L456" s="15" t="s">
        <v>33</v>
      </c>
      <c r="M456" s="19">
        <v>0</v>
      </c>
      <c r="N456" s="16">
        <v>0</v>
      </c>
      <c r="O456" s="15" t="s">
        <v>33</v>
      </c>
      <c r="P456" s="16">
        <v>0</v>
      </c>
      <c r="Q456" s="16">
        <v>0</v>
      </c>
      <c r="R456" s="19">
        <v>0</v>
      </c>
      <c r="S456" s="20" t="s">
        <v>33</v>
      </c>
    </row>
    <row r="457" spans="1:19" ht="15" customHeight="1" x14ac:dyDescent="0.3">
      <c r="A457" s="16">
        <v>374</v>
      </c>
      <c r="B457" s="15" t="s">
        <v>33</v>
      </c>
      <c r="C457" s="15" t="s">
        <v>33</v>
      </c>
      <c r="D457" s="22">
        <v>0</v>
      </c>
      <c r="E457" s="15" t="s">
        <v>33</v>
      </c>
      <c r="F457" s="15" t="s">
        <v>33</v>
      </c>
      <c r="G457" s="15" t="s">
        <v>33</v>
      </c>
      <c r="H457" s="16">
        <v>1</v>
      </c>
      <c r="I457" s="15" t="s">
        <v>33</v>
      </c>
      <c r="J457" s="15" t="s">
        <v>33</v>
      </c>
      <c r="K457" s="15" t="s">
        <v>33</v>
      </c>
      <c r="L457" s="15" t="s">
        <v>33</v>
      </c>
      <c r="M457" s="19">
        <v>0</v>
      </c>
      <c r="N457" s="16">
        <v>0</v>
      </c>
      <c r="O457" s="15" t="s">
        <v>33</v>
      </c>
      <c r="P457" s="16">
        <v>0</v>
      </c>
      <c r="Q457" s="16">
        <v>0</v>
      </c>
      <c r="R457" s="19">
        <v>0</v>
      </c>
      <c r="S457" s="20" t="s">
        <v>33</v>
      </c>
    </row>
    <row r="458" spans="1:19" ht="15" customHeight="1" x14ac:dyDescent="0.3">
      <c r="A458" s="16">
        <v>375</v>
      </c>
      <c r="B458" s="15" t="s">
        <v>33</v>
      </c>
      <c r="C458" s="15" t="s">
        <v>33</v>
      </c>
      <c r="D458" s="22">
        <v>0</v>
      </c>
      <c r="E458" s="15" t="s">
        <v>33</v>
      </c>
      <c r="F458" s="15" t="s">
        <v>33</v>
      </c>
      <c r="G458" s="15" t="s">
        <v>33</v>
      </c>
      <c r="H458" s="16">
        <v>1</v>
      </c>
      <c r="I458" s="15" t="s">
        <v>33</v>
      </c>
      <c r="J458" s="15" t="s">
        <v>33</v>
      </c>
      <c r="K458" s="15" t="s">
        <v>33</v>
      </c>
      <c r="L458" s="15" t="s">
        <v>33</v>
      </c>
      <c r="M458" s="19">
        <v>0</v>
      </c>
      <c r="N458" s="16">
        <v>0</v>
      </c>
      <c r="O458" s="15" t="s">
        <v>33</v>
      </c>
      <c r="P458" s="16">
        <v>0</v>
      </c>
      <c r="Q458" s="16">
        <v>0</v>
      </c>
      <c r="R458" s="19">
        <v>0</v>
      </c>
      <c r="S458" s="20" t="s">
        <v>33</v>
      </c>
    </row>
    <row r="459" spans="1:19" ht="15" customHeight="1" x14ac:dyDescent="0.3">
      <c r="A459" s="16">
        <v>376</v>
      </c>
      <c r="B459" s="15" t="s">
        <v>33</v>
      </c>
      <c r="C459" s="15" t="s">
        <v>33</v>
      </c>
      <c r="D459" s="22">
        <v>0</v>
      </c>
      <c r="E459" s="15" t="s">
        <v>33</v>
      </c>
      <c r="F459" s="15" t="s">
        <v>33</v>
      </c>
      <c r="G459" s="15" t="s">
        <v>33</v>
      </c>
      <c r="H459" s="16">
        <v>1</v>
      </c>
      <c r="I459" s="15" t="s">
        <v>33</v>
      </c>
      <c r="J459" s="15" t="s">
        <v>33</v>
      </c>
      <c r="K459" s="15" t="s">
        <v>33</v>
      </c>
      <c r="L459" s="15" t="s">
        <v>33</v>
      </c>
      <c r="M459" s="19">
        <v>0</v>
      </c>
      <c r="N459" s="16">
        <v>0</v>
      </c>
      <c r="O459" s="15" t="s">
        <v>33</v>
      </c>
      <c r="P459" s="16">
        <v>0</v>
      </c>
      <c r="Q459" s="16">
        <v>0</v>
      </c>
      <c r="R459" s="19">
        <v>0</v>
      </c>
      <c r="S459" s="20" t="s">
        <v>33</v>
      </c>
    </row>
    <row r="460" spans="1:19" ht="15" customHeight="1" x14ac:dyDescent="0.3">
      <c r="A460" s="16">
        <v>377</v>
      </c>
      <c r="B460" s="15" t="s">
        <v>33</v>
      </c>
      <c r="C460" s="15" t="s">
        <v>33</v>
      </c>
      <c r="D460" s="22">
        <v>0</v>
      </c>
      <c r="E460" s="15" t="s">
        <v>33</v>
      </c>
      <c r="F460" s="15" t="s">
        <v>33</v>
      </c>
      <c r="G460" s="15" t="s">
        <v>33</v>
      </c>
      <c r="H460" s="16">
        <v>1</v>
      </c>
      <c r="I460" s="15" t="s">
        <v>33</v>
      </c>
      <c r="J460" s="15" t="s">
        <v>33</v>
      </c>
      <c r="K460" s="15" t="s">
        <v>33</v>
      </c>
      <c r="L460" s="15" t="s">
        <v>33</v>
      </c>
      <c r="M460" s="19">
        <v>0</v>
      </c>
      <c r="N460" s="16">
        <v>0</v>
      </c>
      <c r="O460" s="15" t="s">
        <v>33</v>
      </c>
      <c r="P460" s="16">
        <v>0</v>
      </c>
      <c r="Q460" s="16">
        <v>0</v>
      </c>
      <c r="R460" s="19">
        <v>0</v>
      </c>
      <c r="S460" s="20" t="s">
        <v>33</v>
      </c>
    </row>
    <row r="461" spans="1:19" ht="15" customHeight="1" x14ac:dyDescent="0.3">
      <c r="A461" s="16">
        <v>378</v>
      </c>
      <c r="B461" s="15" t="s">
        <v>33</v>
      </c>
      <c r="C461" s="15" t="s">
        <v>33</v>
      </c>
      <c r="D461" s="22">
        <v>0</v>
      </c>
      <c r="E461" s="15" t="s">
        <v>33</v>
      </c>
      <c r="F461" s="15" t="s">
        <v>33</v>
      </c>
      <c r="G461" s="15" t="s">
        <v>33</v>
      </c>
      <c r="H461" s="16">
        <v>1</v>
      </c>
      <c r="I461" s="15" t="s">
        <v>33</v>
      </c>
      <c r="J461" s="15" t="s">
        <v>33</v>
      </c>
      <c r="K461" s="15" t="s">
        <v>33</v>
      </c>
      <c r="L461" s="15" t="s">
        <v>33</v>
      </c>
      <c r="M461" s="19">
        <v>0</v>
      </c>
      <c r="N461" s="16">
        <v>0</v>
      </c>
      <c r="O461" s="15" t="s">
        <v>33</v>
      </c>
      <c r="P461" s="16">
        <v>0</v>
      </c>
      <c r="Q461" s="16">
        <v>0</v>
      </c>
      <c r="R461" s="19">
        <v>0</v>
      </c>
      <c r="S461" s="20" t="s">
        <v>33</v>
      </c>
    </row>
    <row r="462" spans="1:19" ht="15" customHeight="1" x14ac:dyDescent="0.3">
      <c r="A462" s="16">
        <v>379</v>
      </c>
      <c r="B462" s="15" t="s">
        <v>33</v>
      </c>
      <c r="C462" s="15" t="s">
        <v>33</v>
      </c>
      <c r="D462" s="22">
        <v>0</v>
      </c>
      <c r="E462" s="15" t="s">
        <v>33</v>
      </c>
      <c r="F462" s="15" t="s">
        <v>33</v>
      </c>
      <c r="G462" s="15" t="s">
        <v>33</v>
      </c>
      <c r="H462" s="16">
        <v>1</v>
      </c>
      <c r="I462" s="15" t="s">
        <v>33</v>
      </c>
      <c r="J462" s="15" t="s">
        <v>33</v>
      </c>
      <c r="K462" s="15" t="s">
        <v>33</v>
      </c>
      <c r="L462" s="15" t="s">
        <v>33</v>
      </c>
      <c r="M462" s="19">
        <v>0</v>
      </c>
      <c r="N462" s="16">
        <v>0</v>
      </c>
      <c r="O462" s="15" t="s">
        <v>33</v>
      </c>
      <c r="P462" s="16">
        <v>0</v>
      </c>
      <c r="Q462" s="16">
        <v>0</v>
      </c>
      <c r="R462" s="19">
        <v>0</v>
      </c>
      <c r="S462" s="20" t="s">
        <v>33</v>
      </c>
    </row>
    <row r="463" spans="1:19" ht="15" customHeight="1" x14ac:dyDescent="0.3">
      <c r="A463" s="16">
        <v>380</v>
      </c>
      <c r="B463" s="15" t="s">
        <v>33</v>
      </c>
      <c r="C463" s="15" t="s">
        <v>33</v>
      </c>
      <c r="D463" s="22">
        <v>0</v>
      </c>
      <c r="E463" s="15" t="s">
        <v>33</v>
      </c>
      <c r="F463" s="15" t="s">
        <v>33</v>
      </c>
      <c r="G463" s="15" t="s">
        <v>33</v>
      </c>
      <c r="H463" s="16">
        <v>1</v>
      </c>
      <c r="I463" s="15" t="s">
        <v>33</v>
      </c>
      <c r="J463" s="15" t="s">
        <v>33</v>
      </c>
      <c r="K463" s="15" t="s">
        <v>33</v>
      </c>
      <c r="L463" s="15" t="s">
        <v>33</v>
      </c>
      <c r="M463" s="19">
        <v>0</v>
      </c>
      <c r="N463" s="16">
        <v>0</v>
      </c>
      <c r="O463" s="15" t="s">
        <v>33</v>
      </c>
      <c r="P463" s="16">
        <v>0</v>
      </c>
      <c r="Q463" s="16">
        <v>0</v>
      </c>
      <c r="R463" s="19">
        <v>0</v>
      </c>
      <c r="S463" s="20" t="s">
        <v>33</v>
      </c>
    </row>
    <row r="464" spans="1:19" ht="15" customHeight="1" x14ac:dyDescent="0.3">
      <c r="A464" s="16">
        <v>381</v>
      </c>
      <c r="B464" s="15" t="s">
        <v>33</v>
      </c>
      <c r="C464" s="15" t="s">
        <v>33</v>
      </c>
      <c r="D464" s="22">
        <v>0</v>
      </c>
      <c r="E464" s="15" t="s">
        <v>33</v>
      </c>
      <c r="F464" s="15" t="s">
        <v>33</v>
      </c>
      <c r="G464" s="15" t="s">
        <v>33</v>
      </c>
      <c r="H464" s="16">
        <v>1</v>
      </c>
      <c r="I464" s="15" t="s">
        <v>33</v>
      </c>
      <c r="J464" s="15" t="s">
        <v>33</v>
      </c>
      <c r="K464" s="15" t="s">
        <v>33</v>
      </c>
      <c r="L464" s="15" t="s">
        <v>33</v>
      </c>
      <c r="M464" s="19">
        <v>0</v>
      </c>
      <c r="N464" s="16">
        <v>0</v>
      </c>
      <c r="O464" s="15" t="s">
        <v>33</v>
      </c>
      <c r="P464" s="16">
        <v>0</v>
      </c>
      <c r="Q464" s="16">
        <v>0</v>
      </c>
      <c r="R464" s="19">
        <v>0</v>
      </c>
      <c r="S464" s="20" t="s">
        <v>33</v>
      </c>
    </row>
    <row r="465" spans="1:19" ht="15" customHeight="1" x14ac:dyDescent="0.3">
      <c r="A465" s="16">
        <v>382</v>
      </c>
      <c r="B465" s="15" t="s">
        <v>33</v>
      </c>
      <c r="C465" s="15" t="s">
        <v>33</v>
      </c>
      <c r="D465" s="22">
        <v>0</v>
      </c>
      <c r="E465" s="15" t="s">
        <v>33</v>
      </c>
      <c r="F465" s="15" t="s">
        <v>33</v>
      </c>
      <c r="G465" s="15" t="s">
        <v>33</v>
      </c>
      <c r="H465" s="16">
        <v>1</v>
      </c>
      <c r="I465" s="15" t="s">
        <v>33</v>
      </c>
      <c r="J465" s="15" t="s">
        <v>33</v>
      </c>
      <c r="K465" s="15" t="s">
        <v>33</v>
      </c>
      <c r="L465" s="15" t="s">
        <v>33</v>
      </c>
      <c r="M465" s="19">
        <v>0</v>
      </c>
      <c r="N465" s="16">
        <v>0</v>
      </c>
      <c r="O465" s="15" t="s">
        <v>33</v>
      </c>
      <c r="P465" s="16">
        <v>0</v>
      </c>
      <c r="Q465" s="16">
        <v>0</v>
      </c>
      <c r="R465" s="19">
        <v>0</v>
      </c>
      <c r="S465" s="20" t="s">
        <v>33</v>
      </c>
    </row>
    <row r="466" spans="1:19" ht="15" customHeight="1" x14ac:dyDescent="0.3">
      <c r="A466" s="16">
        <v>383</v>
      </c>
      <c r="B466" s="15" t="s">
        <v>33</v>
      </c>
      <c r="C466" s="15" t="s">
        <v>33</v>
      </c>
      <c r="D466" s="22">
        <v>0</v>
      </c>
      <c r="E466" s="15" t="s">
        <v>33</v>
      </c>
      <c r="F466" s="15" t="s">
        <v>33</v>
      </c>
      <c r="G466" s="15" t="s">
        <v>33</v>
      </c>
      <c r="H466" s="16">
        <v>1</v>
      </c>
      <c r="I466" s="15" t="s">
        <v>33</v>
      </c>
      <c r="J466" s="15" t="s">
        <v>33</v>
      </c>
      <c r="K466" s="15" t="s">
        <v>33</v>
      </c>
      <c r="L466" s="15" t="s">
        <v>33</v>
      </c>
      <c r="M466" s="19">
        <v>0</v>
      </c>
      <c r="N466" s="16">
        <v>0</v>
      </c>
      <c r="O466" s="15" t="s">
        <v>33</v>
      </c>
      <c r="P466" s="16">
        <v>0</v>
      </c>
      <c r="Q466" s="16">
        <v>0</v>
      </c>
      <c r="R466" s="19">
        <v>0</v>
      </c>
      <c r="S466" s="20" t="s">
        <v>33</v>
      </c>
    </row>
    <row r="467" spans="1:19" ht="15" customHeight="1" x14ac:dyDescent="0.3">
      <c r="A467" s="16">
        <v>384</v>
      </c>
      <c r="B467" s="15" t="s">
        <v>33</v>
      </c>
      <c r="C467" s="15" t="s">
        <v>33</v>
      </c>
      <c r="D467" s="22">
        <v>0</v>
      </c>
      <c r="E467" s="15" t="s">
        <v>33</v>
      </c>
      <c r="F467" s="15" t="s">
        <v>33</v>
      </c>
      <c r="G467" s="15" t="s">
        <v>33</v>
      </c>
      <c r="H467" s="16">
        <v>1</v>
      </c>
      <c r="I467" s="15" t="s">
        <v>33</v>
      </c>
      <c r="J467" s="15" t="s">
        <v>33</v>
      </c>
      <c r="K467" s="15" t="s">
        <v>33</v>
      </c>
      <c r="L467" s="15" t="s">
        <v>33</v>
      </c>
      <c r="M467" s="19">
        <v>0</v>
      </c>
      <c r="N467" s="16">
        <v>0</v>
      </c>
      <c r="O467" s="15" t="s">
        <v>33</v>
      </c>
      <c r="P467" s="16">
        <v>0</v>
      </c>
      <c r="Q467" s="16">
        <v>0</v>
      </c>
      <c r="R467" s="19">
        <v>0</v>
      </c>
      <c r="S467" s="20" t="s">
        <v>33</v>
      </c>
    </row>
    <row r="468" spans="1:19" ht="15" customHeight="1" x14ac:dyDescent="0.3">
      <c r="A468" s="16">
        <v>385</v>
      </c>
      <c r="B468" s="15" t="s">
        <v>33</v>
      </c>
      <c r="C468" s="15" t="s">
        <v>33</v>
      </c>
      <c r="D468" s="22">
        <v>0</v>
      </c>
      <c r="E468" s="15" t="s">
        <v>33</v>
      </c>
      <c r="F468" s="15" t="s">
        <v>33</v>
      </c>
      <c r="G468" s="15" t="s">
        <v>33</v>
      </c>
      <c r="H468" s="16">
        <v>1</v>
      </c>
      <c r="I468" s="15" t="s">
        <v>33</v>
      </c>
      <c r="J468" s="15" t="s">
        <v>33</v>
      </c>
      <c r="K468" s="15" t="s">
        <v>33</v>
      </c>
      <c r="L468" s="15" t="s">
        <v>33</v>
      </c>
      <c r="M468" s="19">
        <v>0</v>
      </c>
      <c r="N468" s="16">
        <v>0</v>
      </c>
      <c r="O468" s="15" t="s">
        <v>33</v>
      </c>
      <c r="P468" s="16">
        <v>0</v>
      </c>
      <c r="Q468" s="16">
        <v>0</v>
      </c>
      <c r="R468" s="19">
        <v>0</v>
      </c>
      <c r="S468" s="20" t="s">
        <v>33</v>
      </c>
    </row>
    <row r="469" spans="1:19" ht="15" customHeight="1" x14ac:dyDescent="0.3">
      <c r="A469" s="16">
        <v>386</v>
      </c>
      <c r="B469" s="15" t="s">
        <v>33</v>
      </c>
      <c r="C469" s="15" t="s">
        <v>33</v>
      </c>
      <c r="D469" s="22">
        <v>0</v>
      </c>
      <c r="E469" s="15" t="s">
        <v>33</v>
      </c>
      <c r="F469" s="15" t="s">
        <v>33</v>
      </c>
      <c r="G469" s="15" t="s">
        <v>33</v>
      </c>
      <c r="H469" s="16">
        <v>1</v>
      </c>
      <c r="I469" s="15" t="s">
        <v>33</v>
      </c>
      <c r="J469" s="15" t="s">
        <v>33</v>
      </c>
      <c r="K469" s="15" t="s">
        <v>33</v>
      </c>
      <c r="L469" s="15" t="s">
        <v>33</v>
      </c>
      <c r="M469" s="19">
        <v>0</v>
      </c>
      <c r="N469" s="16">
        <v>0</v>
      </c>
      <c r="O469" s="15" t="s">
        <v>33</v>
      </c>
      <c r="P469" s="16">
        <v>0</v>
      </c>
      <c r="Q469" s="16">
        <v>0</v>
      </c>
      <c r="R469" s="19">
        <v>0</v>
      </c>
      <c r="S469" s="20" t="s">
        <v>33</v>
      </c>
    </row>
    <row r="470" spans="1:19" ht="15" customHeight="1" x14ac:dyDescent="0.3">
      <c r="A470" s="16">
        <v>387</v>
      </c>
      <c r="B470" s="15" t="s">
        <v>33</v>
      </c>
      <c r="C470" s="15" t="s">
        <v>33</v>
      </c>
      <c r="D470" s="22">
        <v>0</v>
      </c>
      <c r="E470" s="15" t="s">
        <v>33</v>
      </c>
      <c r="F470" s="15" t="s">
        <v>33</v>
      </c>
      <c r="G470" s="15" t="s">
        <v>33</v>
      </c>
      <c r="H470" s="16">
        <v>1</v>
      </c>
      <c r="I470" s="15" t="s">
        <v>33</v>
      </c>
      <c r="J470" s="15" t="s">
        <v>33</v>
      </c>
      <c r="K470" s="15" t="s">
        <v>33</v>
      </c>
      <c r="L470" s="15" t="s">
        <v>33</v>
      </c>
      <c r="M470" s="19">
        <v>0</v>
      </c>
      <c r="N470" s="16">
        <v>0</v>
      </c>
      <c r="O470" s="15" t="s">
        <v>33</v>
      </c>
      <c r="P470" s="16">
        <v>0</v>
      </c>
      <c r="Q470" s="16">
        <v>0</v>
      </c>
      <c r="R470" s="19">
        <v>0</v>
      </c>
      <c r="S470" s="20" t="s">
        <v>33</v>
      </c>
    </row>
    <row r="471" spans="1:19" ht="15" customHeight="1" x14ac:dyDescent="0.3">
      <c r="A471" s="16">
        <v>388</v>
      </c>
      <c r="B471" s="15" t="s">
        <v>33</v>
      </c>
      <c r="C471" s="15" t="s">
        <v>33</v>
      </c>
      <c r="D471" s="22">
        <v>0</v>
      </c>
      <c r="E471" s="15" t="s">
        <v>33</v>
      </c>
      <c r="F471" s="15" t="s">
        <v>33</v>
      </c>
      <c r="G471" s="15" t="s">
        <v>33</v>
      </c>
      <c r="H471" s="16">
        <v>1</v>
      </c>
      <c r="I471" s="15" t="s">
        <v>33</v>
      </c>
      <c r="J471" s="15" t="s">
        <v>33</v>
      </c>
      <c r="K471" s="15" t="s">
        <v>33</v>
      </c>
      <c r="L471" s="15" t="s">
        <v>33</v>
      </c>
      <c r="M471" s="19">
        <v>0</v>
      </c>
      <c r="N471" s="16">
        <v>0</v>
      </c>
      <c r="O471" s="15" t="s">
        <v>33</v>
      </c>
      <c r="P471" s="16">
        <v>0</v>
      </c>
      <c r="Q471" s="16">
        <v>0</v>
      </c>
      <c r="R471" s="19">
        <v>0</v>
      </c>
      <c r="S471" s="20" t="s">
        <v>33</v>
      </c>
    </row>
    <row r="472" spans="1:19" ht="15" customHeight="1" x14ac:dyDescent="0.3">
      <c r="A472" s="16">
        <v>389</v>
      </c>
      <c r="B472" s="15" t="s">
        <v>33</v>
      </c>
      <c r="C472" s="15" t="s">
        <v>33</v>
      </c>
      <c r="D472" s="22">
        <v>0</v>
      </c>
      <c r="E472" s="15" t="s">
        <v>33</v>
      </c>
      <c r="F472" s="15" t="s">
        <v>33</v>
      </c>
      <c r="G472" s="15" t="s">
        <v>33</v>
      </c>
      <c r="H472" s="16">
        <v>1</v>
      </c>
      <c r="I472" s="15" t="s">
        <v>33</v>
      </c>
      <c r="J472" s="15" t="s">
        <v>33</v>
      </c>
      <c r="K472" s="15" t="s">
        <v>33</v>
      </c>
      <c r="L472" s="15" t="s">
        <v>33</v>
      </c>
      <c r="M472" s="19">
        <v>0</v>
      </c>
      <c r="N472" s="16">
        <v>0</v>
      </c>
      <c r="O472" s="15" t="s">
        <v>33</v>
      </c>
      <c r="P472" s="16">
        <v>0</v>
      </c>
      <c r="Q472" s="16">
        <v>0</v>
      </c>
      <c r="R472" s="19">
        <v>0</v>
      </c>
      <c r="S472" s="20" t="s">
        <v>33</v>
      </c>
    </row>
    <row r="473" spans="1:19" ht="15" customHeight="1" x14ac:dyDescent="0.3">
      <c r="A473" s="16">
        <v>390</v>
      </c>
      <c r="B473" s="15" t="s">
        <v>33</v>
      </c>
      <c r="C473" s="15" t="s">
        <v>33</v>
      </c>
      <c r="D473" s="22">
        <v>0</v>
      </c>
      <c r="E473" s="15" t="s">
        <v>33</v>
      </c>
      <c r="F473" s="15" t="s">
        <v>33</v>
      </c>
      <c r="G473" s="15" t="s">
        <v>33</v>
      </c>
      <c r="H473" s="16">
        <v>1</v>
      </c>
      <c r="I473" s="15" t="s">
        <v>33</v>
      </c>
      <c r="J473" s="15" t="s">
        <v>33</v>
      </c>
      <c r="K473" s="15" t="s">
        <v>33</v>
      </c>
      <c r="L473" s="15" t="s">
        <v>33</v>
      </c>
      <c r="M473" s="19">
        <v>0</v>
      </c>
      <c r="N473" s="16">
        <v>0</v>
      </c>
      <c r="O473" s="15" t="s">
        <v>33</v>
      </c>
      <c r="P473" s="16">
        <v>0</v>
      </c>
      <c r="Q473" s="16">
        <v>0</v>
      </c>
      <c r="R473" s="19">
        <v>0</v>
      </c>
      <c r="S473" s="20" t="s">
        <v>33</v>
      </c>
    </row>
    <row r="474" spans="1:19" ht="15" customHeight="1" x14ac:dyDescent="0.3">
      <c r="A474" s="16">
        <v>391</v>
      </c>
      <c r="B474" s="15" t="s">
        <v>33</v>
      </c>
      <c r="C474" s="15" t="s">
        <v>33</v>
      </c>
      <c r="D474" s="22">
        <v>0</v>
      </c>
      <c r="E474" s="15" t="s">
        <v>33</v>
      </c>
      <c r="F474" s="15" t="s">
        <v>33</v>
      </c>
      <c r="G474" s="15" t="s">
        <v>33</v>
      </c>
      <c r="H474" s="16">
        <v>1</v>
      </c>
      <c r="I474" s="15" t="s">
        <v>33</v>
      </c>
      <c r="J474" s="15" t="s">
        <v>33</v>
      </c>
      <c r="K474" s="15" t="s">
        <v>33</v>
      </c>
      <c r="L474" s="15" t="s">
        <v>33</v>
      </c>
      <c r="M474" s="19">
        <v>0</v>
      </c>
      <c r="N474" s="16">
        <v>0</v>
      </c>
      <c r="O474" s="15" t="s">
        <v>33</v>
      </c>
      <c r="P474" s="16">
        <v>0</v>
      </c>
      <c r="Q474" s="16">
        <v>0</v>
      </c>
      <c r="R474" s="19">
        <v>0</v>
      </c>
      <c r="S474" s="20" t="s">
        <v>33</v>
      </c>
    </row>
    <row r="475" spans="1:19" ht="15" customHeight="1" x14ac:dyDescent="0.3">
      <c r="A475" s="16">
        <v>392</v>
      </c>
      <c r="B475" s="15" t="s">
        <v>33</v>
      </c>
      <c r="C475" s="15" t="s">
        <v>33</v>
      </c>
      <c r="D475" s="22">
        <v>0</v>
      </c>
      <c r="E475" s="15" t="s">
        <v>33</v>
      </c>
      <c r="F475" s="15" t="s">
        <v>33</v>
      </c>
      <c r="G475" s="15" t="s">
        <v>33</v>
      </c>
      <c r="H475" s="16">
        <v>1</v>
      </c>
      <c r="I475" s="15" t="s">
        <v>33</v>
      </c>
      <c r="J475" s="15" t="s">
        <v>33</v>
      </c>
      <c r="K475" s="15" t="s">
        <v>33</v>
      </c>
      <c r="L475" s="15" t="s">
        <v>33</v>
      </c>
      <c r="M475" s="19">
        <v>0</v>
      </c>
      <c r="N475" s="16">
        <v>0</v>
      </c>
      <c r="O475" s="15" t="s">
        <v>33</v>
      </c>
      <c r="P475" s="16">
        <v>0</v>
      </c>
      <c r="Q475" s="16">
        <v>0</v>
      </c>
      <c r="R475" s="19">
        <v>0</v>
      </c>
      <c r="S475" s="20" t="s">
        <v>33</v>
      </c>
    </row>
    <row r="476" spans="1:19" ht="15" customHeight="1" x14ac:dyDescent="0.3">
      <c r="A476" s="16">
        <v>393</v>
      </c>
      <c r="B476" s="15" t="s">
        <v>33</v>
      </c>
      <c r="C476" s="15" t="s">
        <v>33</v>
      </c>
      <c r="D476" s="22">
        <v>0</v>
      </c>
      <c r="E476" s="15" t="s">
        <v>33</v>
      </c>
      <c r="F476" s="15" t="s">
        <v>33</v>
      </c>
      <c r="G476" s="15" t="s">
        <v>33</v>
      </c>
      <c r="H476" s="16">
        <v>1</v>
      </c>
      <c r="I476" s="15" t="s">
        <v>33</v>
      </c>
      <c r="J476" s="15" t="s">
        <v>33</v>
      </c>
      <c r="K476" s="15" t="s">
        <v>33</v>
      </c>
      <c r="L476" s="15" t="s">
        <v>33</v>
      </c>
      <c r="M476" s="19">
        <v>0</v>
      </c>
      <c r="N476" s="16">
        <v>0</v>
      </c>
      <c r="O476" s="15" t="s">
        <v>33</v>
      </c>
      <c r="P476" s="16">
        <v>0</v>
      </c>
      <c r="Q476" s="16">
        <v>0</v>
      </c>
      <c r="R476" s="19">
        <v>0</v>
      </c>
      <c r="S476" s="20" t="s">
        <v>33</v>
      </c>
    </row>
    <row r="477" spans="1:19" ht="15" customHeight="1" x14ac:dyDescent="0.3">
      <c r="A477" s="16">
        <v>394</v>
      </c>
      <c r="B477" s="15" t="s">
        <v>33</v>
      </c>
      <c r="C477" s="15" t="s">
        <v>33</v>
      </c>
      <c r="D477" s="22">
        <v>0</v>
      </c>
      <c r="E477" s="15" t="s">
        <v>33</v>
      </c>
      <c r="F477" s="15" t="s">
        <v>33</v>
      </c>
      <c r="G477" s="15" t="s">
        <v>33</v>
      </c>
      <c r="H477" s="16">
        <v>1</v>
      </c>
      <c r="I477" s="15" t="s">
        <v>33</v>
      </c>
      <c r="J477" s="15" t="s">
        <v>33</v>
      </c>
      <c r="K477" s="15" t="s">
        <v>33</v>
      </c>
      <c r="L477" s="15" t="s">
        <v>33</v>
      </c>
      <c r="M477" s="19">
        <v>0</v>
      </c>
      <c r="N477" s="16">
        <v>0</v>
      </c>
      <c r="O477" s="15" t="s">
        <v>33</v>
      </c>
      <c r="P477" s="16">
        <v>0</v>
      </c>
      <c r="Q477" s="16">
        <v>0</v>
      </c>
      <c r="R477" s="19">
        <v>0</v>
      </c>
      <c r="S477" s="20" t="s">
        <v>33</v>
      </c>
    </row>
    <row r="478" spans="1:19" ht="15" customHeight="1" x14ac:dyDescent="0.3">
      <c r="A478" s="16">
        <v>395</v>
      </c>
      <c r="B478" s="15" t="s">
        <v>33</v>
      </c>
      <c r="C478" s="15" t="s">
        <v>33</v>
      </c>
      <c r="D478" s="22">
        <v>0</v>
      </c>
      <c r="E478" s="15" t="s">
        <v>33</v>
      </c>
      <c r="F478" s="15" t="s">
        <v>33</v>
      </c>
      <c r="G478" s="15" t="s">
        <v>33</v>
      </c>
      <c r="H478" s="16">
        <v>1</v>
      </c>
      <c r="I478" s="15" t="s">
        <v>33</v>
      </c>
      <c r="J478" s="15" t="s">
        <v>33</v>
      </c>
      <c r="K478" s="15" t="s">
        <v>33</v>
      </c>
      <c r="L478" s="15" t="s">
        <v>33</v>
      </c>
      <c r="M478" s="19">
        <v>0</v>
      </c>
      <c r="N478" s="16">
        <v>0</v>
      </c>
      <c r="O478" s="15" t="s">
        <v>33</v>
      </c>
      <c r="P478" s="16">
        <v>0</v>
      </c>
      <c r="Q478" s="16">
        <v>0</v>
      </c>
      <c r="R478" s="19">
        <v>0</v>
      </c>
      <c r="S478" s="20" t="s">
        <v>33</v>
      </c>
    </row>
    <row r="479" spans="1:19" ht="15" customHeight="1" x14ac:dyDescent="0.3">
      <c r="A479" s="16">
        <v>396</v>
      </c>
      <c r="B479" s="15" t="s">
        <v>33</v>
      </c>
      <c r="C479" s="15" t="s">
        <v>33</v>
      </c>
      <c r="D479" s="22">
        <v>0</v>
      </c>
      <c r="E479" s="15" t="s">
        <v>33</v>
      </c>
      <c r="F479" s="15" t="s">
        <v>33</v>
      </c>
      <c r="G479" s="15" t="s">
        <v>33</v>
      </c>
      <c r="H479" s="16">
        <v>1</v>
      </c>
      <c r="I479" s="15" t="s">
        <v>33</v>
      </c>
      <c r="J479" s="15" t="s">
        <v>33</v>
      </c>
      <c r="K479" s="15" t="s">
        <v>33</v>
      </c>
      <c r="L479" s="15" t="s">
        <v>33</v>
      </c>
      <c r="M479" s="19">
        <v>0</v>
      </c>
      <c r="N479" s="16">
        <v>0</v>
      </c>
      <c r="O479" s="15" t="s">
        <v>33</v>
      </c>
      <c r="P479" s="16">
        <v>0</v>
      </c>
      <c r="Q479" s="16">
        <v>0</v>
      </c>
      <c r="R479" s="19">
        <v>0</v>
      </c>
      <c r="S479" s="20" t="s">
        <v>33</v>
      </c>
    </row>
    <row r="480" spans="1:19" ht="15" customHeight="1" x14ac:dyDescent="0.3">
      <c r="A480" s="16">
        <v>397</v>
      </c>
      <c r="B480" s="15" t="s">
        <v>33</v>
      </c>
      <c r="C480" s="15" t="s">
        <v>33</v>
      </c>
      <c r="D480" s="22">
        <v>0</v>
      </c>
      <c r="E480" s="15" t="s">
        <v>33</v>
      </c>
      <c r="F480" s="15" t="s">
        <v>33</v>
      </c>
      <c r="G480" s="15" t="s">
        <v>33</v>
      </c>
      <c r="H480" s="16">
        <v>1</v>
      </c>
      <c r="I480" s="15" t="s">
        <v>33</v>
      </c>
      <c r="J480" s="15" t="s">
        <v>33</v>
      </c>
      <c r="K480" s="15" t="s">
        <v>33</v>
      </c>
      <c r="L480" s="15" t="s">
        <v>33</v>
      </c>
      <c r="M480" s="19">
        <v>0</v>
      </c>
      <c r="N480" s="16">
        <v>0</v>
      </c>
      <c r="O480" s="15" t="s">
        <v>33</v>
      </c>
      <c r="P480" s="16">
        <v>0</v>
      </c>
      <c r="Q480" s="16">
        <v>0</v>
      </c>
      <c r="R480" s="19">
        <v>0</v>
      </c>
      <c r="S480" s="20" t="s">
        <v>33</v>
      </c>
    </row>
    <row r="481" spans="1:19" ht="15" customHeight="1" x14ac:dyDescent="0.3">
      <c r="A481" s="16">
        <v>398</v>
      </c>
      <c r="B481" s="15" t="s">
        <v>33</v>
      </c>
      <c r="C481" s="15" t="s">
        <v>33</v>
      </c>
      <c r="D481" s="22">
        <v>0</v>
      </c>
      <c r="E481" s="15" t="s">
        <v>33</v>
      </c>
      <c r="F481" s="15" t="s">
        <v>33</v>
      </c>
      <c r="G481" s="15" t="s">
        <v>33</v>
      </c>
      <c r="H481" s="16">
        <v>1</v>
      </c>
      <c r="I481" s="15" t="s">
        <v>33</v>
      </c>
      <c r="J481" s="15" t="s">
        <v>33</v>
      </c>
      <c r="K481" s="15" t="s">
        <v>33</v>
      </c>
      <c r="L481" s="15" t="s">
        <v>33</v>
      </c>
      <c r="M481" s="19">
        <v>0</v>
      </c>
      <c r="N481" s="16">
        <v>0</v>
      </c>
      <c r="O481" s="15" t="s">
        <v>33</v>
      </c>
      <c r="P481" s="16">
        <v>0</v>
      </c>
      <c r="Q481" s="16">
        <v>0</v>
      </c>
      <c r="R481" s="19">
        <v>0</v>
      </c>
      <c r="S481" s="20" t="s">
        <v>33</v>
      </c>
    </row>
    <row r="482" spans="1:19" ht="15" customHeight="1" x14ac:dyDescent="0.3">
      <c r="A482" s="16">
        <v>399</v>
      </c>
      <c r="B482" s="15" t="s">
        <v>33</v>
      </c>
      <c r="C482" s="15" t="s">
        <v>33</v>
      </c>
      <c r="D482" s="22">
        <v>0</v>
      </c>
      <c r="E482" s="15" t="s">
        <v>33</v>
      </c>
      <c r="F482" s="15" t="s">
        <v>33</v>
      </c>
      <c r="G482" s="15" t="s">
        <v>33</v>
      </c>
      <c r="H482" s="16">
        <v>1</v>
      </c>
      <c r="I482" s="15" t="s">
        <v>33</v>
      </c>
      <c r="J482" s="15" t="s">
        <v>33</v>
      </c>
      <c r="K482" s="15" t="s">
        <v>33</v>
      </c>
      <c r="L482" s="15" t="s">
        <v>33</v>
      </c>
      <c r="M482" s="19">
        <v>0</v>
      </c>
      <c r="N482" s="16">
        <v>0</v>
      </c>
      <c r="O482" s="15" t="s">
        <v>33</v>
      </c>
      <c r="P482" s="16">
        <v>0</v>
      </c>
      <c r="Q482" s="16">
        <v>0</v>
      </c>
      <c r="R482" s="19">
        <v>0</v>
      </c>
      <c r="S482" s="20" t="s">
        <v>33</v>
      </c>
    </row>
    <row r="483" spans="1:19" ht="15" customHeight="1" x14ac:dyDescent="0.3">
      <c r="A483" s="16">
        <v>400</v>
      </c>
      <c r="B483" s="15" t="s">
        <v>33</v>
      </c>
      <c r="C483" s="15" t="s">
        <v>33</v>
      </c>
      <c r="D483" s="22">
        <v>0</v>
      </c>
      <c r="E483" s="15" t="s">
        <v>33</v>
      </c>
      <c r="F483" s="15" t="s">
        <v>33</v>
      </c>
      <c r="G483" s="15" t="s">
        <v>33</v>
      </c>
      <c r="H483" s="16">
        <v>1</v>
      </c>
      <c r="I483" s="15" t="s">
        <v>33</v>
      </c>
      <c r="J483" s="15" t="s">
        <v>33</v>
      </c>
      <c r="K483" s="15" t="s">
        <v>33</v>
      </c>
      <c r="L483" s="15" t="s">
        <v>33</v>
      </c>
      <c r="M483" s="19">
        <v>0</v>
      </c>
      <c r="N483" s="16">
        <v>0</v>
      </c>
      <c r="O483" s="15" t="s">
        <v>33</v>
      </c>
      <c r="P483" s="16">
        <v>0</v>
      </c>
      <c r="Q483" s="16">
        <v>0</v>
      </c>
      <c r="R483" s="19">
        <v>0</v>
      </c>
      <c r="S483" s="20" t="s">
        <v>33</v>
      </c>
    </row>
    <row r="484" spans="1:19" ht="15" customHeight="1" x14ac:dyDescent="0.3">
      <c r="A484" s="16">
        <v>401</v>
      </c>
      <c r="B484" s="15" t="s">
        <v>33</v>
      </c>
      <c r="C484" s="15" t="s">
        <v>33</v>
      </c>
      <c r="D484" s="22">
        <v>0</v>
      </c>
      <c r="E484" s="15" t="s">
        <v>33</v>
      </c>
      <c r="F484" s="15" t="s">
        <v>33</v>
      </c>
      <c r="G484" s="15" t="s">
        <v>33</v>
      </c>
      <c r="H484" s="16">
        <v>1</v>
      </c>
      <c r="I484" s="15" t="s">
        <v>33</v>
      </c>
      <c r="J484" s="15" t="s">
        <v>33</v>
      </c>
      <c r="K484" s="15" t="s">
        <v>33</v>
      </c>
      <c r="L484" s="15" t="s">
        <v>33</v>
      </c>
      <c r="M484" s="19">
        <v>0</v>
      </c>
      <c r="N484" s="16">
        <v>0</v>
      </c>
      <c r="O484" s="15" t="s">
        <v>33</v>
      </c>
      <c r="P484" s="16">
        <v>0</v>
      </c>
      <c r="Q484" s="16">
        <v>0</v>
      </c>
      <c r="R484" s="19">
        <v>0</v>
      </c>
      <c r="S484" s="20" t="s">
        <v>33</v>
      </c>
    </row>
    <row r="485" spans="1:19" ht="15" customHeight="1" x14ac:dyDescent="0.3">
      <c r="A485" s="16">
        <v>402</v>
      </c>
      <c r="B485" s="15" t="s">
        <v>33</v>
      </c>
      <c r="C485" s="15" t="s">
        <v>33</v>
      </c>
      <c r="D485" s="22">
        <v>0</v>
      </c>
      <c r="E485" s="15" t="s">
        <v>33</v>
      </c>
      <c r="F485" s="15" t="s">
        <v>33</v>
      </c>
      <c r="G485" s="15" t="s">
        <v>33</v>
      </c>
      <c r="H485" s="16">
        <v>1</v>
      </c>
      <c r="I485" s="15" t="s">
        <v>33</v>
      </c>
      <c r="J485" s="15" t="s">
        <v>33</v>
      </c>
      <c r="K485" s="15" t="s">
        <v>33</v>
      </c>
      <c r="L485" s="15" t="s">
        <v>33</v>
      </c>
      <c r="M485" s="19">
        <v>0</v>
      </c>
      <c r="N485" s="16">
        <v>0</v>
      </c>
      <c r="O485" s="15" t="s">
        <v>33</v>
      </c>
      <c r="P485" s="16">
        <v>0</v>
      </c>
      <c r="Q485" s="16">
        <v>0</v>
      </c>
      <c r="R485" s="19">
        <v>0</v>
      </c>
      <c r="S485" s="20" t="s">
        <v>33</v>
      </c>
    </row>
    <row r="486" spans="1:19" ht="15" customHeight="1" x14ac:dyDescent="0.3">
      <c r="A486" s="16">
        <v>403</v>
      </c>
      <c r="B486" s="15" t="s">
        <v>33</v>
      </c>
      <c r="C486" s="15" t="s">
        <v>33</v>
      </c>
      <c r="D486" s="22">
        <v>0</v>
      </c>
      <c r="E486" s="15" t="s">
        <v>33</v>
      </c>
      <c r="F486" s="15" t="s">
        <v>33</v>
      </c>
      <c r="G486" s="15" t="s">
        <v>33</v>
      </c>
      <c r="H486" s="16">
        <v>1</v>
      </c>
      <c r="I486" s="15" t="s">
        <v>33</v>
      </c>
      <c r="J486" s="15" t="s">
        <v>33</v>
      </c>
      <c r="K486" s="15" t="s">
        <v>33</v>
      </c>
      <c r="L486" s="15" t="s">
        <v>33</v>
      </c>
      <c r="M486" s="19">
        <v>0</v>
      </c>
      <c r="N486" s="16">
        <v>0</v>
      </c>
      <c r="O486" s="15" t="s">
        <v>33</v>
      </c>
      <c r="P486" s="16">
        <v>0</v>
      </c>
      <c r="Q486" s="16">
        <v>0</v>
      </c>
      <c r="R486" s="19">
        <v>0</v>
      </c>
      <c r="S486" s="20" t="s">
        <v>33</v>
      </c>
    </row>
    <row r="487" spans="1:19" ht="15" customHeight="1" x14ac:dyDescent="0.3">
      <c r="A487" s="16">
        <v>404</v>
      </c>
      <c r="B487" s="15" t="s">
        <v>33</v>
      </c>
      <c r="C487" s="15" t="s">
        <v>33</v>
      </c>
      <c r="D487" s="22">
        <v>0</v>
      </c>
      <c r="E487" s="15" t="s">
        <v>33</v>
      </c>
      <c r="F487" s="15" t="s">
        <v>33</v>
      </c>
      <c r="G487" s="15" t="s">
        <v>33</v>
      </c>
      <c r="H487" s="16">
        <v>1</v>
      </c>
      <c r="I487" s="15" t="s">
        <v>33</v>
      </c>
      <c r="J487" s="15" t="s">
        <v>33</v>
      </c>
      <c r="K487" s="15" t="s">
        <v>33</v>
      </c>
      <c r="L487" s="15" t="s">
        <v>33</v>
      </c>
      <c r="M487" s="19">
        <v>0</v>
      </c>
      <c r="N487" s="16">
        <v>0</v>
      </c>
      <c r="O487" s="15" t="s">
        <v>33</v>
      </c>
      <c r="P487" s="16">
        <v>0</v>
      </c>
      <c r="Q487" s="16">
        <v>0</v>
      </c>
      <c r="R487" s="19">
        <v>0</v>
      </c>
      <c r="S487" s="20" t="s">
        <v>33</v>
      </c>
    </row>
    <row r="488" spans="1:19" ht="15" customHeight="1" x14ac:dyDescent="0.3">
      <c r="A488" s="16">
        <v>405</v>
      </c>
      <c r="B488" s="15" t="s">
        <v>33</v>
      </c>
      <c r="C488" s="15" t="s">
        <v>33</v>
      </c>
      <c r="D488" s="22">
        <v>0</v>
      </c>
      <c r="E488" s="15" t="s">
        <v>33</v>
      </c>
      <c r="F488" s="15" t="s">
        <v>33</v>
      </c>
      <c r="G488" s="15" t="s">
        <v>33</v>
      </c>
      <c r="H488" s="16">
        <v>1</v>
      </c>
      <c r="I488" s="15" t="s">
        <v>33</v>
      </c>
      <c r="J488" s="15" t="s">
        <v>33</v>
      </c>
      <c r="K488" s="15" t="s">
        <v>33</v>
      </c>
      <c r="L488" s="15" t="s">
        <v>33</v>
      </c>
      <c r="M488" s="19">
        <v>0</v>
      </c>
      <c r="N488" s="16">
        <v>0</v>
      </c>
      <c r="O488" s="15" t="s">
        <v>33</v>
      </c>
      <c r="P488" s="16">
        <v>0</v>
      </c>
      <c r="Q488" s="16">
        <v>0</v>
      </c>
      <c r="R488" s="19">
        <v>0</v>
      </c>
      <c r="S488" s="20" t="s">
        <v>33</v>
      </c>
    </row>
    <row r="489" spans="1:19" ht="15" customHeight="1" x14ac:dyDescent="0.3">
      <c r="A489" s="16">
        <v>406</v>
      </c>
      <c r="B489" s="15" t="s">
        <v>33</v>
      </c>
      <c r="C489" s="15" t="s">
        <v>33</v>
      </c>
      <c r="D489" s="22">
        <v>0</v>
      </c>
      <c r="E489" s="15" t="s">
        <v>33</v>
      </c>
      <c r="F489" s="15" t="s">
        <v>33</v>
      </c>
      <c r="G489" s="15" t="s">
        <v>33</v>
      </c>
      <c r="H489" s="16">
        <v>1</v>
      </c>
      <c r="I489" s="15" t="s">
        <v>33</v>
      </c>
      <c r="J489" s="15" t="s">
        <v>33</v>
      </c>
      <c r="K489" s="15" t="s">
        <v>33</v>
      </c>
      <c r="L489" s="15" t="s">
        <v>33</v>
      </c>
      <c r="M489" s="19">
        <v>0</v>
      </c>
      <c r="N489" s="16">
        <v>0</v>
      </c>
      <c r="O489" s="15" t="s">
        <v>33</v>
      </c>
      <c r="P489" s="16">
        <v>0</v>
      </c>
      <c r="Q489" s="16">
        <v>0</v>
      </c>
      <c r="R489" s="19">
        <v>0</v>
      </c>
      <c r="S489" s="20" t="s">
        <v>33</v>
      </c>
    </row>
    <row r="490" spans="1:19" ht="15" customHeight="1" x14ac:dyDescent="0.3">
      <c r="A490" s="16">
        <v>407</v>
      </c>
      <c r="B490" s="15" t="s">
        <v>33</v>
      </c>
      <c r="C490" s="15" t="s">
        <v>33</v>
      </c>
      <c r="D490" s="22">
        <v>0</v>
      </c>
      <c r="E490" s="15" t="s">
        <v>33</v>
      </c>
      <c r="F490" s="15" t="s">
        <v>33</v>
      </c>
      <c r="G490" s="15" t="s">
        <v>33</v>
      </c>
      <c r="H490" s="16">
        <v>1</v>
      </c>
      <c r="I490" s="15" t="s">
        <v>33</v>
      </c>
      <c r="J490" s="15" t="s">
        <v>33</v>
      </c>
      <c r="K490" s="15" t="s">
        <v>33</v>
      </c>
      <c r="L490" s="15" t="s">
        <v>33</v>
      </c>
      <c r="M490" s="19">
        <v>0</v>
      </c>
      <c r="N490" s="16">
        <v>0</v>
      </c>
      <c r="O490" s="15" t="s">
        <v>33</v>
      </c>
      <c r="P490" s="16">
        <v>0</v>
      </c>
      <c r="Q490" s="16">
        <v>0</v>
      </c>
      <c r="R490" s="19">
        <v>0</v>
      </c>
      <c r="S490" s="20" t="s">
        <v>33</v>
      </c>
    </row>
    <row r="491" spans="1:19" ht="15" customHeight="1" x14ac:dyDescent="0.3">
      <c r="A491" s="16">
        <v>408</v>
      </c>
      <c r="B491" s="15" t="s">
        <v>33</v>
      </c>
      <c r="C491" s="15" t="s">
        <v>33</v>
      </c>
      <c r="D491" s="22">
        <v>0</v>
      </c>
      <c r="E491" s="15" t="s">
        <v>33</v>
      </c>
      <c r="F491" s="15" t="s">
        <v>33</v>
      </c>
      <c r="G491" s="15" t="s">
        <v>33</v>
      </c>
      <c r="H491" s="16">
        <v>1</v>
      </c>
      <c r="I491" s="15" t="s">
        <v>33</v>
      </c>
      <c r="J491" s="15" t="s">
        <v>33</v>
      </c>
      <c r="K491" s="15" t="s">
        <v>33</v>
      </c>
      <c r="L491" s="15" t="s">
        <v>33</v>
      </c>
      <c r="M491" s="19">
        <v>0</v>
      </c>
      <c r="N491" s="16">
        <v>0</v>
      </c>
      <c r="O491" s="15" t="s">
        <v>33</v>
      </c>
      <c r="P491" s="16">
        <v>0</v>
      </c>
      <c r="Q491" s="16">
        <v>0</v>
      </c>
      <c r="R491" s="19">
        <v>0</v>
      </c>
      <c r="S491" s="20" t="s">
        <v>33</v>
      </c>
    </row>
    <row r="492" spans="1:19" ht="15" customHeight="1" x14ac:dyDescent="0.3">
      <c r="A492" s="16">
        <v>409</v>
      </c>
      <c r="B492" s="15" t="s">
        <v>33</v>
      </c>
      <c r="C492" s="15" t="s">
        <v>33</v>
      </c>
      <c r="D492" s="22">
        <v>0</v>
      </c>
      <c r="E492" s="15" t="s">
        <v>33</v>
      </c>
      <c r="F492" s="15" t="s">
        <v>33</v>
      </c>
      <c r="G492" s="15" t="s">
        <v>33</v>
      </c>
      <c r="H492" s="16">
        <v>1</v>
      </c>
      <c r="I492" s="15" t="s">
        <v>33</v>
      </c>
      <c r="J492" s="15" t="s">
        <v>33</v>
      </c>
      <c r="K492" s="15" t="s">
        <v>33</v>
      </c>
      <c r="L492" s="15" t="s">
        <v>33</v>
      </c>
      <c r="M492" s="19">
        <v>0</v>
      </c>
      <c r="N492" s="16">
        <v>0</v>
      </c>
      <c r="O492" s="15" t="s">
        <v>33</v>
      </c>
      <c r="P492" s="16">
        <v>0</v>
      </c>
      <c r="Q492" s="16">
        <v>0</v>
      </c>
      <c r="R492" s="19">
        <v>0</v>
      </c>
      <c r="S492" s="20" t="s">
        <v>33</v>
      </c>
    </row>
    <row r="493" spans="1:19" ht="15" customHeight="1" x14ac:dyDescent="0.3">
      <c r="A493" s="16">
        <v>410</v>
      </c>
      <c r="B493" s="15" t="s">
        <v>33</v>
      </c>
      <c r="C493" s="15" t="s">
        <v>33</v>
      </c>
      <c r="D493" s="22">
        <v>0</v>
      </c>
      <c r="E493" s="15" t="s">
        <v>33</v>
      </c>
      <c r="F493" s="15" t="s">
        <v>33</v>
      </c>
      <c r="G493" s="15" t="s">
        <v>33</v>
      </c>
      <c r="H493" s="16">
        <v>1</v>
      </c>
      <c r="I493" s="15" t="s">
        <v>33</v>
      </c>
      <c r="J493" s="15" t="s">
        <v>33</v>
      </c>
      <c r="K493" s="15" t="s">
        <v>33</v>
      </c>
      <c r="L493" s="15" t="s">
        <v>33</v>
      </c>
      <c r="M493" s="19">
        <v>0</v>
      </c>
      <c r="N493" s="16">
        <v>0</v>
      </c>
      <c r="O493" s="15" t="s">
        <v>33</v>
      </c>
      <c r="P493" s="16">
        <v>0</v>
      </c>
      <c r="Q493" s="16">
        <v>0</v>
      </c>
      <c r="R493" s="19">
        <v>0</v>
      </c>
      <c r="S493" s="20" t="s">
        <v>33</v>
      </c>
    </row>
    <row r="494" spans="1:19" ht="15" customHeight="1" x14ac:dyDescent="0.3">
      <c r="A494" s="16">
        <v>411</v>
      </c>
      <c r="B494" s="15" t="s">
        <v>33</v>
      </c>
      <c r="C494" s="15" t="s">
        <v>33</v>
      </c>
      <c r="D494" s="22">
        <v>0</v>
      </c>
      <c r="E494" s="15" t="s">
        <v>33</v>
      </c>
      <c r="F494" s="15" t="s">
        <v>33</v>
      </c>
      <c r="G494" s="15" t="s">
        <v>33</v>
      </c>
      <c r="H494" s="16">
        <v>1</v>
      </c>
      <c r="I494" s="15" t="s">
        <v>33</v>
      </c>
      <c r="J494" s="15" t="s">
        <v>33</v>
      </c>
      <c r="K494" s="15" t="s">
        <v>33</v>
      </c>
      <c r="L494" s="15" t="s">
        <v>33</v>
      </c>
      <c r="M494" s="19">
        <v>0</v>
      </c>
      <c r="N494" s="16">
        <v>0</v>
      </c>
      <c r="O494" s="15" t="s">
        <v>33</v>
      </c>
      <c r="P494" s="16">
        <v>0</v>
      </c>
      <c r="Q494" s="16">
        <v>0</v>
      </c>
      <c r="R494" s="19">
        <v>0</v>
      </c>
      <c r="S494" s="20" t="s">
        <v>33</v>
      </c>
    </row>
    <row r="495" spans="1:19" ht="15" customHeight="1" x14ac:dyDescent="0.3">
      <c r="A495" s="16">
        <v>412</v>
      </c>
      <c r="B495" s="15" t="s">
        <v>33</v>
      </c>
      <c r="C495" s="15" t="s">
        <v>33</v>
      </c>
      <c r="D495" s="22">
        <v>0</v>
      </c>
      <c r="E495" s="15" t="s">
        <v>33</v>
      </c>
      <c r="F495" s="15" t="s">
        <v>33</v>
      </c>
      <c r="G495" s="15" t="s">
        <v>33</v>
      </c>
      <c r="H495" s="16">
        <v>1</v>
      </c>
      <c r="I495" s="15" t="s">
        <v>33</v>
      </c>
      <c r="J495" s="15" t="s">
        <v>33</v>
      </c>
      <c r="K495" s="15" t="s">
        <v>33</v>
      </c>
      <c r="L495" s="15" t="s">
        <v>33</v>
      </c>
      <c r="M495" s="19">
        <v>0</v>
      </c>
      <c r="N495" s="16">
        <v>0</v>
      </c>
      <c r="O495" s="15" t="s">
        <v>33</v>
      </c>
      <c r="P495" s="16">
        <v>0</v>
      </c>
      <c r="Q495" s="16">
        <v>0</v>
      </c>
      <c r="R495" s="19">
        <v>0</v>
      </c>
      <c r="S495" s="20" t="s">
        <v>33</v>
      </c>
    </row>
    <row r="496" spans="1:19" ht="15" customHeight="1" x14ac:dyDescent="0.3">
      <c r="A496" s="16">
        <v>413</v>
      </c>
      <c r="B496" s="15" t="s">
        <v>33</v>
      </c>
      <c r="C496" s="15" t="s">
        <v>33</v>
      </c>
      <c r="D496" s="22">
        <v>0</v>
      </c>
      <c r="E496" s="15" t="s">
        <v>33</v>
      </c>
      <c r="F496" s="15" t="s">
        <v>33</v>
      </c>
      <c r="G496" s="15" t="s">
        <v>33</v>
      </c>
      <c r="H496" s="16">
        <v>1</v>
      </c>
      <c r="I496" s="15" t="s">
        <v>33</v>
      </c>
      <c r="J496" s="15" t="s">
        <v>33</v>
      </c>
      <c r="K496" s="15" t="s">
        <v>33</v>
      </c>
      <c r="L496" s="15" t="s">
        <v>33</v>
      </c>
      <c r="M496" s="19">
        <v>0</v>
      </c>
      <c r="N496" s="16">
        <v>0</v>
      </c>
      <c r="O496" s="15" t="s">
        <v>33</v>
      </c>
      <c r="P496" s="16">
        <v>0</v>
      </c>
      <c r="Q496" s="16">
        <v>0</v>
      </c>
      <c r="R496" s="19">
        <v>0</v>
      </c>
      <c r="S496" s="20" t="s">
        <v>33</v>
      </c>
    </row>
    <row r="497" spans="1:19" ht="15" customHeight="1" x14ac:dyDescent="0.3">
      <c r="A497" s="16">
        <v>414</v>
      </c>
      <c r="B497" s="15" t="s">
        <v>33</v>
      </c>
      <c r="C497" s="15" t="s">
        <v>33</v>
      </c>
      <c r="D497" s="22">
        <v>0</v>
      </c>
      <c r="E497" s="15" t="s">
        <v>33</v>
      </c>
      <c r="F497" s="15" t="s">
        <v>33</v>
      </c>
      <c r="G497" s="15" t="s">
        <v>33</v>
      </c>
      <c r="H497" s="16">
        <v>1</v>
      </c>
      <c r="I497" s="15" t="s">
        <v>33</v>
      </c>
      <c r="J497" s="15" t="s">
        <v>33</v>
      </c>
      <c r="K497" s="15" t="s">
        <v>33</v>
      </c>
      <c r="L497" s="15" t="s">
        <v>33</v>
      </c>
      <c r="M497" s="19">
        <v>0</v>
      </c>
      <c r="N497" s="16">
        <v>0</v>
      </c>
      <c r="O497" s="15" t="s">
        <v>33</v>
      </c>
      <c r="P497" s="16">
        <v>0</v>
      </c>
      <c r="Q497" s="16">
        <v>0</v>
      </c>
      <c r="R497" s="19">
        <v>0</v>
      </c>
      <c r="S497" s="20" t="s">
        <v>33</v>
      </c>
    </row>
    <row r="498" spans="1:19" ht="15" customHeight="1" x14ac:dyDescent="0.3">
      <c r="A498" s="16">
        <v>415</v>
      </c>
      <c r="B498" s="15" t="s">
        <v>33</v>
      </c>
      <c r="C498" s="15" t="s">
        <v>33</v>
      </c>
      <c r="D498" s="22">
        <v>0</v>
      </c>
      <c r="E498" s="15" t="s">
        <v>33</v>
      </c>
      <c r="F498" s="15" t="s">
        <v>33</v>
      </c>
      <c r="G498" s="15" t="s">
        <v>33</v>
      </c>
      <c r="H498" s="16">
        <v>1</v>
      </c>
      <c r="I498" s="15" t="s">
        <v>33</v>
      </c>
      <c r="J498" s="15" t="s">
        <v>33</v>
      </c>
      <c r="K498" s="15" t="s">
        <v>33</v>
      </c>
      <c r="L498" s="15" t="s">
        <v>33</v>
      </c>
      <c r="M498" s="19">
        <v>0</v>
      </c>
      <c r="N498" s="16">
        <v>0</v>
      </c>
      <c r="O498" s="15" t="s">
        <v>33</v>
      </c>
      <c r="P498" s="16">
        <v>0</v>
      </c>
      <c r="Q498" s="16">
        <v>0</v>
      </c>
      <c r="R498" s="19">
        <v>0</v>
      </c>
      <c r="S498" s="20" t="s">
        <v>33</v>
      </c>
    </row>
    <row r="499" spans="1:19" ht="15" customHeight="1" x14ac:dyDescent="0.3">
      <c r="A499" s="16">
        <v>416</v>
      </c>
      <c r="B499" s="15" t="s">
        <v>33</v>
      </c>
      <c r="C499" s="15" t="s">
        <v>33</v>
      </c>
      <c r="D499" s="22">
        <v>0</v>
      </c>
      <c r="E499" s="15" t="s">
        <v>33</v>
      </c>
      <c r="F499" s="15" t="s">
        <v>33</v>
      </c>
      <c r="G499" s="15" t="s">
        <v>33</v>
      </c>
      <c r="H499" s="16">
        <v>1</v>
      </c>
      <c r="I499" s="15" t="s">
        <v>33</v>
      </c>
      <c r="J499" s="15" t="s">
        <v>33</v>
      </c>
      <c r="K499" s="15" t="s">
        <v>33</v>
      </c>
      <c r="L499" s="15" t="s">
        <v>33</v>
      </c>
      <c r="M499" s="19">
        <v>0</v>
      </c>
      <c r="N499" s="16">
        <v>0</v>
      </c>
      <c r="O499" s="15" t="s">
        <v>33</v>
      </c>
      <c r="P499" s="16">
        <v>0</v>
      </c>
      <c r="Q499" s="16">
        <v>0</v>
      </c>
      <c r="R499" s="19">
        <v>0</v>
      </c>
      <c r="S499" s="20" t="s">
        <v>33</v>
      </c>
    </row>
    <row r="500" spans="1:19" ht="15" customHeight="1" x14ac:dyDescent="0.3">
      <c r="A500" s="16">
        <v>417</v>
      </c>
      <c r="B500" s="15" t="s">
        <v>33</v>
      </c>
      <c r="C500" s="15" t="s">
        <v>33</v>
      </c>
      <c r="D500" s="22">
        <v>0</v>
      </c>
      <c r="E500" s="15" t="s">
        <v>33</v>
      </c>
      <c r="F500" s="15" t="s">
        <v>33</v>
      </c>
      <c r="G500" s="15" t="s">
        <v>33</v>
      </c>
      <c r="H500" s="16">
        <v>1</v>
      </c>
      <c r="I500" s="15" t="s">
        <v>33</v>
      </c>
      <c r="J500" s="15" t="s">
        <v>33</v>
      </c>
      <c r="K500" s="15" t="s">
        <v>33</v>
      </c>
      <c r="L500" s="15" t="s">
        <v>33</v>
      </c>
      <c r="M500" s="19">
        <v>0</v>
      </c>
      <c r="N500" s="16">
        <v>0</v>
      </c>
      <c r="O500" s="15" t="s">
        <v>33</v>
      </c>
      <c r="P500" s="16">
        <v>0</v>
      </c>
      <c r="Q500" s="16">
        <v>0</v>
      </c>
      <c r="R500" s="19">
        <v>0</v>
      </c>
      <c r="S500" s="20" t="s">
        <v>33</v>
      </c>
    </row>
    <row r="501" spans="1:19" ht="15" customHeight="1" x14ac:dyDescent="0.3">
      <c r="A501" s="16">
        <v>418</v>
      </c>
      <c r="B501" s="15" t="s">
        <v>33</v>
      </c>
      <c r="C501" s="15" t="s">
        <v>33</v>
      </c>
      <c r="D501" s="22">
        <v>0</v>
      </c>
      <c r="E501" s="15" t="s">
        <v>33</v>
      </c>
      <c r="F501" s="15" t="s">
        <v>33</v>
      </c>
      <c r="G501" s="15" t="s">
        <v>33</v>
      </c>
      <c r="H501" s="16">
        <v>1</v>
      </c>
      <c r="I501" s="15" t="s">
        <v>33</v>
      </c>
      <c r="J501" s="15" t="s">
        <v>33</v>
      </c>
      <c r="K501" s="15" t="s">
        <v>33</v>
      </c>
      <c r="L501" s="15" t="s">
        <v>33</v>
      </c>
      <c r="M501" s="19">
        <v>0</v>
      </c>
      <c r="N501" s="16">
        <v>0</v>
      </c>
      <c r="O501" s="15" t="s">
        <v>33</v>
      </c>
      <c r="P501" s="16">
        <v>0</v>
      </c>
      <c r="Q501" s="16">
        <v>0</v>
      </c>
      <c r="R501" s="19">
        <v>0</v>
      </c>
      <c r="S501" s="20" t="s">
        <v>33</v>
      </c>
    </row>
    <row r="502" spans="1:19" ht="15" customHeight="1" x14ac:dyDescent="0.3">
      <c r="A502" s="16">
        <v>419</v>
      </c>
      <c r="B502" s="15" t="s">
        <v>33</v>
      </c>
      <c r="C502" s="15" t="s">
        <v>33</v>
      </c>
      <c r="D502" s="22">
        <v>0</v>
      </c>
      <c r="E502" s="15" t="s">
        <v>33</v>
      </c>
      <c r="F502" s="15" t="s">
        <v>33</v>
      </c>
      <c r="G502" s="15" t="s">
        <v>33</v>
      </c>
      <c r="H502" s="16">
        <v>1</v>
      </c>
      <c r="I502" s="15" t="s">
        <v>33</v>
      </c>
      <c r="J502" s="15" t="s">
        <v>33</v>
      </c>
      <c r="K502" s="15" t="s">
        <v>33</v>
      </c>
      <c r="L502" s="15" t="s">
        <v>33</v>
      </c>
      <c r="M502" s="19">
        <v>0</v>
      </c>
      <c r="N502" s="16">
        <v>0</v>
      </c>
      <c r="O502" s="15" t="s">
        <v>33</v>
      </c>
      <c r="P502" s="16">
        <v>0</v>
      </c>
      <c r="Q502" s="16">
        <v>0</v>
      </c>
      <c r="R502" s="19">
        <v>0</v>
      </c>
      <c r="S502" s="20" t="s">
        <v>33</v>
      </c>
    </row>
    <row r="503" spans="1:19" ht="15" customHeight="1" x14ac:dyDescent="0.3">
      <c r="A503" s="16">
        <v>420</v>
      </c>
      <c r="B503" s="15" t="s">
        <v>33</v>
      </c>
      <c r="C503" s="15" t="s">
        <v>33</v>
      </c>
      <c r="D503" s="22">
        <v>0</v>
      </c>
      <c r="E503" s="15" t="s">
        <v>33</v>
      </c>
      <c r="F503" s="15" t="s">
        <v>33</v>
      </c>
      <c r="G503" s="15" t="s">
        <v>33</v>
      </c>
      <c r="H503" s="16">
        <v>1</v>
      </c>
      <c r="I503" s="15" t="s">
        <v>33</v>
      </c>
      <c r="J503" s="15" t="s">
        <v>33</v>
      </c>
      <c r="K503" s="15" t="s">
        <v>33</v>
      </c>
      <c r="L503" s="15" t="s">
        <v>33</v>
      </c>
      <c r="M503" s="19">
        <v>0</v>
      </c>
      <c r="N503" s="16">
        <v>0</v>
      </c>
      <c r="O503" s="15" t="s">
        <v>33</v>
      </c>
      <c r="P503" s="16">
        <v>0</v>
      </c>
      <c r="Q503" s="16">
        <v>0</v>
      </c>
      <c r="R503" s="19">
        <v>0</v>
      </c>
      <c r="S503" s="20" t="s">
        <v>33</v>
      </c>
    </row>
    <row r="504" spans="1:19" ht="15" customHeight="1" x14ac:dyDescent="0.3">
      <c r="A504" s="16">
        <v>421</v>
      </c>
      <c r="B504" s="15" t="s">
        <v>33</v>
      </c>
      <c r="C504" s="15" t="s">
        <v>33</v>
      </c>
      <c r="D504" s="22">
        <v>0</v>
      </c>
      <c r="E504" s="15" t="s">
        <v>33</v>
      </c>
      <c r="F504" s="15" t="s">
        <v>33</v>
      </c>
      <c r="G504" s="15" t="s">
        <v>33</v>
      </c>
      <c r="H504" s="16">
        <v>1</v>
      </c>
      <c r="I504" s="15" t="s">
        <v>33</v>
      </c>
      <c r="J504" s="15" t="s">
        <v>33</v>
      </c>
      <c r="K504" s="15" t="s">
        <v>33</v>
      </c>
      <c r="L504" s="15" t="s">
        <v>33</v>
      </c>
      <c r="M504" s="19">
        <v>0</v>
      </c>
      <c r="N504" s="16">
        <v>0</v>
      </c>
      <c r="O504" s="15" t="s">
        <v>33</v>
      </c>
      <c r="P504" s="16">
        <v>0</v>
      </c>
      <c r="Q504" s="16">
        <v>0</v>
      </c>
      <c r="R504" s="19">
        <v>0</v>
      </c>
      <c r="S504" s="20" t="s">
        <v>33</v>
      </c>
    </row>
    <row r="505" spans="1:19" ht="15" customHeight="1" x14ac:dyDescent="0.3">
      <c r="A505" s="16">
        <v>422</v>
      </c>
      <c r="B505" s="15" t="s">
        <v>33</v>
      </c>
      <c r="C505" s="15" t="s">
        <v>33</v>
      </c>
      <c r="D505" s="22">
        <v>0</v>
      </c>
      <c r="E505" s="15" t="s">
        <v>33</v>
      </c>
      <c r="F505" s="15" t="s">
        <v>33</v>
      </c>
      <c r="G505" s="15" t="s">
        <v>33</v>
      </c>
      <c r="H505" s="16">
        <v>1</v>
      </c>
      <c r="I505" s="15" t="s">
        <v>33</v>
      </c>
      <c r="J505" s="15" t="s">
        <v>33</v>
      </c>
      <c r="K505" s="15" t="s">
        <v>33</v>
      </c>
      <c r="L505" s="15" t="s">
        <v>33</v>
      </c>
      <c r="M505" s="19">
        <v>0</v>
      </c>
      <c r="N505" s="16">
        <v>0</v>
      </c>
      <c r="O505" s="15" t="s">
        <v>33</v>
      </c>
      <c r="P505" s="16">
        <v>0</v>
      </c>
      <c r="Q505" s="16">
        <v>0</v>
      </c>
      <c r="R505" s="19">
        <v>0</v>
      </c>
      <c r="S505" s="20" t="s">
        <v>33</v>
      </c>
    </row>
    <row r="506" spans="1:19" ht="15" customHeight="1" x14ac:dyDescent="0.3">
      <c r="A506" s="16">
        <v>423</v>
      </c>
      <c r="B506" s="15" t="s">
        <v>33</v>
      </c>
      <c r="C506" s="15" t="s">
        <v>33</v>
      </c>
      <c r="D506" s="22">
        <v>0</v>
      </c>
      <c r="E506" s="15" t="s">
        <v>33</v>
      </c>
      <c r="F506" s="15" t="s">
        <v>33</v>
      </c>
      <c r="G506" s="15" t="s">
        <v>33</v>
      </c>
      <c r="H506" s="16">
        <v>1</v>
      </c>
      <c r="I506" s="15" t="s">
        <v>33</v>
      </c>
      <c r="J506" s="15" t="s">
        <v>33</v>
      </c>
      <c r="K506" s="15" t="s">
        <v>33</v>
      </c>
      <c r="L506" s="15" t="s">
        <v>33</v>
      </c>
      <c r="M506" s="19">
        <v>0</v>
      </c>
      <c r="N506" s="16">
        <v>0</v>
      </c>
      <c r="O506" s="15" t="s">
        <v>33</v>
      </c>
      <c r="P506" s="16">
        <v>0</v>
      </c>
      <c r="Q506" s="16">
        <v>0</v>
      </c>
      <c r="R506" s="19">
        <v>0</v>
      </c>
      <c r="S506" s="20" t="s">
        <v>33</v>
      </c>
    </row>
    <row r="507" spans="1:19" ht="15" customHeight="1" x14ac:dyDescent="0.3">
      <c r="A507" s="16">
        <v>424</v>
      </c>
      <c r="B507" s="15" t="s">
        <v>33</v>
      </c>
      <c r="C507" s="15" t="s">
        <v>33</v>
      </c>
      <c r="D507" s="22">
        <v>0</v>
      </c>
      <c r="E507" s="15" t="s">
        <v>33</v>
      </c>
      <c r="F507" s="15" t="s">
        <v>33</v>
      </c>
      <c r="G507" s="15" t="s">
        <v>33</v>
      </c>
      <c r="H507" s="16">
        <v>1</v>
      </c>
      <c r="I507" s="15" t="s">
        <v>33</v>
      </c>
      <c r="J507" s="15" t="s">
        <v>33</v>
      </c>
      <c r="K507" s="15" t="s">
        <v>33</v>
      </c>
      <c r="L507" s="15" t="s">
        <v>33</v>
      </c>
      <c r="M507" s="19">
        <v>0</v>
      </c>
      <c r="N507" s="16">
        <v>0</v>
      </c>
      <c r="O507" s="15" t="s">
        <v>33</v>
      </c>
      <c r="P507" s="16">
        <v>0</v>
      </c>
      <c r="Q507" s="16">
        <v>0</v>
      </c>
      <c r="R507" s="19">
        <v>0</v>
      </c>
      <c r="S507" s="20" t="s">
        <v>33</v>
      </c>
    </row>
    <row r="508" spans="1:19" ht="15" customHeight="1" x14ac:dyDescent="0.3">
      <c r="A508" s="16">
        <v>425</v>
      </c>
      <c r="B508" s="15" t="s">
        <v>33</v>
      </c>
      <c r="C508" s="15" t="s">
        <v>33</v>
      </c>
      <c r="D508" s="22">
        <v>0</v>
      </c>
      <c r="E508" s="15" t="s">
        <v>33</v>
      </c>
      <c r="F508" s="15" t="s">
        <v>33</v>
      </c>
      <c r="G508" s="15" t="s">
        <v>33</v>
      </c>
      <c r="H508" s="16">
        <v>1</v>
      </c>
      <c r="I508" s="15" t="s">
        <v>33</v>
      </c>
      <c r="J508" s="15" t="s">
        <v>33</v>
      </c>
      <c r="K508" s="15" t="s">
        <v>33</v>
      </c>
      <c r="L508" s="15" t="s">
        <v>33</v>
      </c>
      <c r="M508" s="19">
        <v>0</v>
      </c>
      <c r="N508" s="16">
        <v>0</v>
      </c>
      <c r="O508" s="15" t="s">
        <v>33</v>
      </c>
      <c r="P508" s="16">
        <v>0</v>
      </c>
      <c r="Q508" s="16">
        <v>0</v>
      </c>
      <c r="R508" s="19">
        <v>0</v>
      </c>
      <c r="S508" s="20" t="s">
        <v>33</v>
      </c>
    </row>
    <row r="509" spans="1:19" ht="15" customHeight="1" x14ac:dyDescent="0.3">
      <c r="A509" s="16">
        <v>426</v>
      </c>
      <c r="B509" s="15" t="s">
        <v>33</v>
      </c>
      <c r="C509" s="15" t="s">
        <v>33</v>
      </c>
      <c r="D509" s="22">
        <v>0</v>
      </c>
      <c r="E509" s="15" t="s">
        <v>33</v>
      </c>
      <c r="F509" s="15" t="s">
        <v>33</v>
      </c>
      <c r="G509" s="15" t="s">
        <v>33</v>
      </c>
      <c r="H509" s="16">
        <v>1</v>
      </c>
      <c r="I509" s="15" t="s">
        <v>33</v>
      </c>
      <c r="J509" s="15" t="s">
        <v>33</v>
      </c>
      <c r="K509" s="15" t="s">
        <v>33</v>
      </c>
      <c r="L509" s="15" t="s">
        <v>33</v>
      </c>
      <c r="M509" s="19">
        <v>0</v>
      </c>
      <c r="N509" s="16">
        <v>0</v>
      </c>
      <c r="O509" s="15" t="s">
        <v>33</v>
      </c>
      <c r="P509" s="16">
        <v>0</v>
      </c>
      <c r="Q509" s="16">
        <v>0</v>
      </c>
      <c r="R509" s="19">
        <v>0</v>
      </c>
      <c r="S509" s="20" t="s">
        <v>33</v>
      </c>
    </row>
    <row r="510" spans="1:19" ht="15" customHeight="1" x14ac:dyDescent="0.3">
      <c r="A510" s="16">
        <v>427</v>
      </c>
      <c r="B510" s="15" t="s">
        <v>33</v>
      </c>
      <c r="C510" s="15" t="s">
        <v>33</v>
      </c>
      <c r="D510" s="22">
        <v>0</v>
      </c>
      <c r="E510" s="15" t="s">
        <v>33</v>
      </c>
      <c r="F510" s="15" t="s">
        <v>33</v>
      </c>
      <c r="G510" s="15" t="s">
        <v>33</v>
      </c>
      <c r="H510" s="16">
        <v>1</v>
      </c>
      <c r="I510" s="15" t="s">
        <v>33</v>
      </c>
      <c r="J510" s="15" t="s">
        <v>33</v>
      </c>
      <c r="K510" s="15" t="s">
        <v>33</v>
      </c>
      <c r="L510" s="15" t="s">
        <v>33</v>
      </c>
      <c r="M510" s="19">
        <v>0</v>
      </c>
      <c r="N510" s="16">
        <v>0</v>
      </c>
      <c r="O510" s="15" t="s">
        <v>33</v>
      </c>
      <c r="P510" s="16">
        <v>0</v>
      </c>
      <c r="Q510" s="16">
        <v>0</v>
      </c>
      <c r="R510" s="19">
        <v>0</v>
      </c>
      <c r="S510" s="20" t="s">
        <v>33</v>
      </c>
    </row>
    <row r="511" spans="1:19" ht="15" customHeight="1" x14ac:dyDescent="0.3">
      <c r="A511" s="16">
        <v>428</v>
      </c>
      <c r="B511" s="15" t="s">
        <v>33</v>
      </c>
      <c r="C511" s="15" t="s">
        <v>33</v>
      </c>
      <c r="D511" s="22">
        <v>0</v>
      </c>
      <c r="E511" s="15" t="s">
        <v>33</v>
      </c>
      <c r="F511" s="15" t="s">
        <v>33</v>
      </c>
      <c r="G511" s="15" t="s">
        <v>33</v>
      </c>
      <c r="H511" s="16">
        <v>1</v>
      </c>
      <c r="I511" s="15" t="s">
        <v>33</v>
      </c>
      <c r="J511" s="15" t="s">
        <v>33</v>
      </c>
      <c r="K511" s="15" t="s">
        <v>33</v>
      </c>
      <c r="L511" s="15" t="s">
        <v>33</v>
      </c>
      <c r="M511" s="19">
        <v>0</v>
      </c>
      <c r="N511" s="16">
        <v>0</v>
      </c>
      <c r="O511" s="15" t="s">
        <v>33</v>
      </c>
      <c r="P511" s="16">
        <v>0</v>
      </c>
      <c r="Q511" s="16">
        <v>0</v>
      </c>
      <c r="R511" s="19">
        <v>0</v>
      </c>
      <c r="S511" s="20" t="s">
        <v>33</v>
      </c>
    </row>
    <row r="512" spans="1:19" ht="15" customHeight="1" x14ac:dyDescent="0.3">
      <c r="A512" s="16">
        <v>429</v>
      </c>
      <c r="B512" s="15" t="s">
        <v>33</v>
      </c>
      <c r="C512" s="15" t="s">
        <v>33</v>
      </c>
      <c r="D512" s="22">
        <v>0</v>
      </c>
      <c r="E512" s="15" t="s">
        <v>33</v>
      </c>
      <c r="F512" s="15" t="s">
        <v>33</v>
      </c>
      <c r="G512" s="15" t="s">
        <v>33</v>
      </c>
      <c r="H512" s="16">
        <v>1</v>
      </c>
      <c r="I512" s="15" t="s">
        <v>33</v>
      </c>
      <c r="J512" s="15" t="s">
        <v>33</v>
      </c>
      <c r="K512" s="15" t="s">
        <v>33</v>
      </c>
      <c r="L512" s="15" t="s">
        <v>33</v>
      </c>
      <c r="M512" s="19">
        <v>0</v>
      </c>
      <c r="N512" s="16">
        <v>0</v>
      </c>
      <c r="O512" s="15" t="s">
        <v>33</v>
      </c>
      <c r="P512" s="16">
        <v>0</v>
      </c>
      <c r="Q512" s="16">
        <v>0</v>
      </c>
      <c r="R512" s="19">
        <v>0</v>
      </c>
      <c r="S512" s="20" t="s">
        <v>33</v>
      </c>
    </row>
    <row r="513" spans="1:19" ht="15" customHeight="1" x14ac:dyDescent="0.3">
      <c r="A513" s="16">
        <v>430</v>
      </c>
      <c r="B513" s="15" t="s">
        <v>33</v>
      </c>
      <c r="C513" s="15" t="s">
        <v>33</v>
      </c>
      <c r="D513" s="22">
        <v>0</v>
      </c>
      <c r="E513" s="15" t="s">
        <v>33</v>
      </c>
      <c r="F513" s="15" t="s">
        <v>33</v>
      </c>
      <c r="G513" s="15" t="s">
        <v>33</v>
      </c>
      <c r="H513" s="16">
        <v>1</v>
      </c>
      <c r="I513" s="15" t="s">
        <v>33</v>
      </c>
      <c r="J513" s="15" t="s">
        <v>33</v>
      </c>
      <c r="K513" s="15" t="s">
        <v>33</v>
      </c>
      <c r="L513" s="15" t="s">
        <v>33</v>
      </c>
      <c r="M513" s="19">
        <v>0</v>
      </c>
      <c r="N513" s="16">
        <v>0</v>
      </c>
      <c r="O513" s="15" t="s">
        <v>33</v>
      </c>
      <c r="P513" s="16">
        <v>0</v>
      </c>
      <c r="Q513" s="16">
        <v>0</v>
      </c>
      <c r="R513" s="19">
        <v>0</v>
      </c>
      <c r="S513" s="20" t="s">
        <v>33</v>
      </c>
    </row>
    <row r="514" spans="1:19" ht="15" customHeight="1" x14ac:dyDescent="0.3">
      <c r="A514" s="16">
        <v>431</v>
      </c>
      <c r="B514" s="15" t="s">
        <v>33</v>
      </c>
      <c r="C514" s="15" t="s">
        <v>33</v>
      </c>
      <c r="D514" s="22">
        <v>0</v>
      </c>
      <c r="E514" s="15" t="s">
        <v>33</v>
      </c>
      <c r="F514" s="15" t="s">
        <v>33</v>
      </c>
      <c r="G514" s="15" t="s">
        <v>33</v>
      </c>
      <c r="H514" s="16">
        <v>1</v>
      </c>
      <c r="I514" s="15" t="s">
        <v>33</v>
      </c>
      <c r="J514" s="15" t="s">
        <v>33</v>
      </c>
      <c r="K514" s="15" t="s">
        <v>33</v>
      </c>
      <c r="L514" s="15" t="s">
        <v>33</v>
      </c>
      <c r="M514" s="19">
        <v>0</v>
      </c>
      <c r="N514" s="16">
        <v>0</v>
      </c>
      <c r="O514" s="15" t="s">
        <v>33</v>
      </c>
      <c r="P514" s="16">
        <v>0</v>
      </c>
      <c r="Q514" s="16">
        <v>0</v>
      </c>
      <c r="R514" s="19">
        <v>0</v>
      </c>
      <c r="S514" s="20" t="s">
        <v>33</v>
      </c>
    </row>
    <row r="515" spans="1:19" ht="15" customHeight="1" x14ac:dyDescent="0.3">
      <c r="A515" s="16">
        <v>432</v>
      </c>
      <c r="B515" s="15" t="s">
        <v>33</v>
      </c>
      <c r="C515" s="15" t="s">
        <v>33</v>
      </c>
      <c r="D515" s="22">
        <v>0</v>
      </c>
      <c r="E515" s="15" t="s">
        <v>33</v>
      </c>
      <c r="F515" s="15" t="s">
        <v>33</v>
      </c>
      <c r="G515" s="15" t="s">
        <v>33</v>
      </c>
      <c r="H515" s="16">
        <v>1</v>
      </c>
      <c r="I515" s="15" t="s">
        <v>33</v>
      </c>
      <c r="J515" s="15" t="s">
        <v>33</v>
      </c>
      <c r="K515" s="15" t="s">
        <v>33</v>
      </c>
      <c r="L515" s="15" t="s">
        <v>33</v>
      </c>
      <c r="M515" s="19">
        <v>0</v>
      </c>
      <c r="N515" s="16">
        <v>0</v>
      </c>
      <c r="O515" s="15" t="s">
        <v>33</v>
      </c>
      <c r="P515" s="16">
        <v>0</v>
      </c>
      <c r="Q515" s="16">
        <v>0</v>
      </c>
      <c r="R515" s="19">
        <v>0</v>
      </c>
      <c r="S515" s="20" t="s">
        <v>33</v>
      </c>
    </row>
    <row r="516" spans="1:19" ht="15" customHeight="1" x14ac:dyDescent="0.3">
      <c r="A516" s="16">
        <v>433</v>
      </c>
      <c r="B516" s="15" t="s">
        <v>33</v>
      </c>
      <c r="C516" s="15" t="s">
        <v>33</v>
      </c>
      <c r="D516" s="22">
        <v>0</v>
      </c>
      <c r="E516" s="15" t="s">
        <v>33</v>
      </c>
      <c r="F516" s="15" t="s">
        <v>33</v>
      </c>
      <c r="G516" s="15" t="s">
        <v>33</v>
      </c>
      <c r="H516" s="16">
        <v>1</v>
      </c>
      <c r="I516" s="15" t="s">
        <v>33</v>
      </c>
      <c r="J516" s="15" t="s">
        <v>33</v>
      </c>
      <c r="K516" s="15" t="s">
        <v>33</v>
      </c>
      <c r="L516" s="15" t="s">
        <v>33</v>
      </c>
      <c r="M516" s="19">
        <v>0</v>
      </c>
      <c r="N516" s="16">
        <v>0</v>
      </c>
      <c r="O516" s="15" t="s">
        <v>33</v>
      </c>
      <c r="P516" s="16">
        <v>0</v>
      </c>
      <c r="Q516" s="16">
        <v>0</v>
      </c>
      <c r="R516" s="19">
        <v>0</v>
      </c>
      <c r="S516" s="20" t="s">
        <v>33</v>
      </c>
    </row>
    <row r="517" spans="1:19" ht="15" customHeight="1" x14ac:dyDescent="0.3">
      <c r="A517" s="16">
        <v>434</v>
      </c>
      <c r="B517" s="15" t="s">
        <v>33</v>
      </c>
      <c r="C517" s="15" t="s">
        <v>33</v>
      </c>
      <c r="D517" s="22">
        <v>0</v>
      </c>
      <c r="E517" s="15" t="s">
        <v>33</v>
      </c>
      <c r="F517" s="15" t="s">
        <v>33</v>
      </c>
      <c r="G517" s="15" t="s">
        <v>33</v>
      </c>
      <c r="H517" s="16">
        <v>1</v>
      </c>
      <c r="I517" s="15" t="s">
        <v>33</v>
      </c>
      <c r="J517" s="15" t="s">
        <v>33</v>
      </c>
      <c r="K517" s="15" t="s">
        <v>33</v>
      </c>
      <c r="L517" s="15" t="s">
        <v>33</v>
      </c>
      <c r="M517" s="19">
        <v>0</v>
      </c>
      <c r="N517" s="16">
        <v>0</v>
      </c>
      <c r="O517" s="15" t="s">
        <v>33</v>
      </c>
      <c r="P517" s="16">
        <v>0</v>
      </c>
      <c r="Q517" s="16">
        <v>0</v>
      </c>
      <c r="R517" s="19">
        <v>0</v>
      </c>
      <c r="S517" s="20" t="s">
        <v>33</v>
      </c>
    </row>
    <row r="518" spans="1:19" ht="15" customHeight="1" x14ac:dyDescent="0.3">
      <c r="A518" s="16">
        <v>435</v>
      </c>
      <c r="B518" s="15" t="s">
        <v>33</v>
      </c>
      <c r="C518" s="15" t="s">
        <v>33</v>
      </c>
      <c r="D518" s="22">
        <v>0</v>
      </c>
      <c r="E518" s="15" t="s">
        <v>33</v>
      </c>
      <c r="F518" s="15" t="s">
        <v>33</v>
      </c>
      <c r="G518" s="15" t="s">
        <v>33</v>
      </c>
      <c r="H518" s="16">
        <v>1</v>
      </c>
      <c r="I518" s="15" t="s">
        <v>33</v>
      </c>
      <c r="J518" s="15" t="s">
        <v>33</v>
      </c>
      <c r="K518" s="15" t="s">
        <v>33</v>
      </c>
      <c r="L518" s="15" t="s">
        <v>33</v>
      </c>
      <c r="M518" s="19">
        <v>0</v>
      </c>
      <c r="N518" s="16">
        <v>0</v>
      </c>
      <c r="O518" s="15" t="s">
        <v>33</v>
      </c>
      <c r="P518" s="16">
        <v>0</v>
      </c>
      <c r="Q518" s="16">
        <v>0</v>
      </c>
      <c r="R518" s="19">
        <v>0</v>
      </c>
      <c r="S518" s="20" t="s">
        <v>33</v>
      </c>
    </row>
    <row r="519" spans="1:19" ht="15" customHeight="1" x14ac:dyDescent="0.3">
      <c r="A519" s="16">
        <v>436</v>
      </c>
      <c r="B519" s="15" t="s">
        <v>33</v>
      </c>
      <c r="C519" s="15" t="s">
        <v>33</v>
      </c>
      <c r="D519" s="22">
        <v>0</v>
      </c>
      <c r="E519" s="15" t="s">
        <v>33</v>
      </c>
      <c r="F519" s="15" t="s">
        <v>33</v>
      </c>
      <c r="G519" s="15" t="s">
        <v>33</v>
      </c>
      <c r="H519" s="16">
        <v>1</v>
      </c>
      <c r="I519" s="15" t="s">
        <v>33</v>
      </c>
      <c r="J519" s="15" t="s">
        <v>33</v>
      </c>
      <c r="K519" s="15" t="s">
        <v>33</v>
      </c>
      <c r="L519" s="15" t="s">
        <v>33</v>
      </c>
      <c r="M519" s="19">
        <v>0</v>
      </c>
      <c r="N519" s="16">
        <v>0</v>
      </c>
      <c r="O519" s="15" t="s">
        <v>33</v>
      </c>
      <c r="P519" s="16">
        <v>0</v>
      </c>
      <c r="Q519" s="16">
        <v>0</v>
      </c>
      <c r="R519" s="19">
        <v>0</v>
      </c>
      <c r="S519" s="20" t="s">
        <v>33</v>
      </c>
    </row>
    <row r="520" spans="1:19" ht="15" customHeight="1" x14ac:dyDescent="0.3">
      <c r="A520" s="16">
        <v>437</v>
      </c>
      <c r="B520" s="15" t="s">
        <v>33</v>
      </c>
      <c r="C520" s="15" t="s">
        <v>33</v>
      </c>
      <c r="D520" s="22">
        <v>0</v>
      </c>
      <c r="E520" s="15" t="s">
        <v>33</v>
      </c>
      <c r="F520" s="15" t="s">
        <v>33</v>
      </c>
      <c r="G520" s="15" t="s">
        <v>33</v>
      </c>
      <c r="H520" s="16">
        <v>1</v>
      </c>
      <c r="I520" s="15" t="s">
        <v>33</v>
      </c>
      <c r="J520" s="15" t="s">
        <v>33</v>
      </c>
      <c r="K520" s="15" t="s">
        <v>33</v>
      </c>
      <c r="L520" s="15" t="s">
        <v>33</v>
      </c>
      <c r="M520" s="19">
        <v>0</v>
      </c>
      <c r="N520" s="16">
        <v>0</v>
      </c>
      <c r="O520" s="15" t="s">
        <v>33</v>
      </c>
      <c r="P520" s="16">
        <v>0</v>
      </c>
      <c r="Q520" s="16">
        <v>0</v>
      </c>
      <c r="R520" s="19">
        <v>0</v>
      </c>
      <c r="S520" s="20" t="s">
        <v>33</v>
      </c>
    </row>
    <row r="521" spans="1:19" ht="15" customHeight="1" x14ac:dyDescent="0.3">
      <c r="A521" s="16">
        <v>438</v>
      </c>
      <c r="B521" s="15" t="s">
        <v>33</v>
      </c>
      <c r="C521" s="15" t="s">
        <v>33</v>
      </c>
      <c r="D521" s="22">
        <v>0</v>
      </c>
      <c r="E521" s="15" t="s">
        <v>33</v>
      </c>
      <c r="F521" s="15" t="s">
        <v>33</v>
      </c>
      <c r="G521" s="15" t="s">
        <v>33</v>
      </c>
      <c r="H521" s="16">
        <v>1</v>
      </c>
      <c r="I521" s="15" t="s">
        <v>33</v>
      </c>
      <c r="J521" s="15" t="s">
        <v>33</v>
      </c>
      <c r="K521" s="15" t="s">
        <v>33</v>
      </c>
      <c r="L521" s="15" t="s">
        <v>33</v>
      </c>
      <c r="M521" s="19">
        <v>0</v>
      </c>
      <c r="N521" s="16">
        <v>0</v>
      </c>
      <c r="O521" s="15" t="s">
        <v>33</v>
      </c>
      <c r="P521" s="16">
        <v>0</v>
      </c>
      <c r="Q521" s="16">
        <v>0</v>
      </c>
      <c r="R521" s="19">
        <v>0</v>
      </c>
      <c r="S521" s="20" t="s">
        <v>33</v>
      </c>
    </row>
    <row r="522" spans="1:19" ht="15" customHeight="1" x14ac:dyDescent="0.3">
      <c r="A522" s="16">
        <v>439</v>
      </c>
      <c r="B522" s="15" t="s">
        <v>33</v>
      </c>
      <c r="C522" s="15" t="s">
        <v>33</v>
      </c>
      <c r="D522" s="22">
        <v>0</v>
      </c>
      <c r="E522" s="15" t="s">
        <v>33</v>
      </c>
      <c r="F522" s="15" t="s">
        <v>33</v>
      </c>
      <c r="G522" s="15" t="s">
        <v>33</v>
      </c>
      <c r="H522" s="16">
        <v>1</v>
      </c>
      <c r="I522" s="15" t="s">
        <v>33</v>
      </c>
      <c r="J522" s="15" t="s">
        <v>33</v>
      </c>
      <c r="K522" s="15" t="s">
        <v>33</v>
      </c>
      <c r="L522" s="15" t="s">
        <v>33</v>
      </c>
      <c r="M522" s="19">
        <v>0</v>
      </c>
      <c r="N522" s="16">
        <v>0</v>
      </c>
      <c r="O522" s="15" t="s">
        <v>33</v>
      </c>
      <c r="P522" s="16">
        <v>0</v>
      </c>
      <c r="Q522" s="16">
        <v>0</v>
      </c>
      <c r="R522" s="19">
        <v>0</v>
      </c>
      <c r="S522" s="20" t="s">
        <v>33</v>
      </c>
    </row>
    <row r="523" spans="1:19" ht="15" customHeight="1" x14ac:dyDescent="0.3">
      <c r="A523" s="16">
        <v>440</v>
      </c>
      <c r="B523" s="15" t="s">
        <v>33</v>
      </c>
      <c r="C523" s="15" t="s">
        <v>33</v>
      </c>
      <c r="D523" s="22">
        <v>0</v>
      </c>
      <c r="E523" s="15" t="s">
        <v>33</v>
      </c>
      <c r="F523" s="15" t="s">
        <v>33</v>
      </c>
      <c r="G523" s="15" t="s">
        <v>33</v>
      </c>
      <c r="H523" s="16">
        <v>1</v>
      </c>
      <c r="I523" s="15" t="s">
        <v>33</v>
      </c>
      <c r="J523" s="15" t="s">
        <v>33</v>
      </c>
      <c r="K523" s="15" t="s">
        <v>33</v>
      </c>
      <c r="L523" s="15" t="s">
        <v>33</v>
      </c>
      <c r="M523" s="19">
        <v>0</v>
      </c>
      <c r="N523" s="16">
        <v>0</v>
      </c>
      <c r="O523" s="15" t="s">
        <v>33</v>
      </c>
      <c r="P523" s="16">
        <v>0</v>
      </c>
      <c r="Q523" s="16">
        <v>0</v>
      </c>
      <c r="R523" s="19">
        <v>0</v>
      </c>
      <c r="S523" s="20" t="s">
        <v>33</v>
      </c>
    </row>
    <row r="524" spans="1:19" ht="15" customHeight="1" x14ac:dyDescent="0.3">
      <c r="A524" s="16">
        <v>441</v>
      </c>
      <c r="B524" s="15" t="s">
        <v>33</v>
      </c>
      <c r="C524" s="15" t="s">
        <v>33</v>
      </c>
      <c r="D524" s="22">
        <v>0</v>
      </c>
      <c r="E524" s="15" t="s">
        <v>33</v>
      </c>
      <c r="F524" s="15" t="s">
        <v>33</v>
      </c>
      <c r="G524" s="15" t="s">
        <v>33</v>
      </c>
      <c r="H524" s="16">
        <v>1</v>
      </c>
      <c r="I524" s="15" t="s">
        <v>33</v>
      </c>
      <c r="J524" s="15" t="s">
        <v>33</v>
      </c>
      <c r="K524" s="15" t="s">
        <v>33</v>
      </c>
      <c r="L524" s="15" t="s">
        <v>33</v>
      </c>
      <c r="M524" s="19">
        <v>0</v>
      </c>
      <c r="N524" s="16">
        <v>0</v>
      </c>
      <c r="O524" s="15" t="s">
        <v>33</v>
      </c>
      <c r="P524" s="16">
        <v>0</v>
      </c>
      <c r="Q524" s="16">
        <v>0</v>
      </c>
      <c r="R524" s="19">
        <v>0</v>
      </c>
      <c r="S524" s="20" t="s">
        <v>33</v>
      </c>
    </row>
    <row r="525" spans="1:19" ht="15" customHeight="1" x14ac:dyDescent="0.3">
      <c r="A525" s="16">
        <v>442</v>
      </c>
      <c r="B525" s="15" t="s">
        <v>33</v>
      </c>
      <c r="C525" s="15" t="s">
        <v>33</v>
      </c>
      <c r="D525" s="22">
        <v>0</v>
      </c>
      <c r="E525" s="15" t="s">
        <v>33</v>
      </c>
      <c r="F525" s="15" t="s">
        <v>33</v>
      </c>
      <c r="G525" s="15" t="s">
        <v>33</v>
      </c>
      <c r="H525" s="16">
        <v>1</v>
      </c>
      <c r="I525" s="15" t="s">
        <v>33</v>
      </c>
      <c r="J525" s="15" t="s">
        <v>33</v>
      </c>
      <c r="K525" s="15" t="s">
        <v>33</v>
      </c>
      <c r="L525" s="15" t="s">
        <v>33</v>
      </c>
      <c r="M525" s="19">
        <v>0</v>
      </c>
      <c r="N525" s="16">
        <v>0</v>
      </c>
      <c r="O525" s="15" t="s">
        <v>33</v>
      </c>
      <c r="P525" s="16">
        <v>0</v>
      </c>
      <c r="Q525" s="16">
        <v>0</v>
      </c>
      <c r="R525" s="19">
        <v>0</v>
      </c>
      <c r="S525" s="20" t="s">
        <v>33</v>
      </c>
    </row>
    <row r="526" spans="1:19" ht="15" customHeight="1" x14ac:dyDescent="0.3">
      <c r="A526" s="16">
        <v>443</v>
      </c>
      <c r="B526" s="15" t="s">
        <v>33</v>
      </c>
      <c r="C526" s="15" t="s">
        <v>33</v>
      </c>
      <c r="D526" s="22">
        <v>0</v>
      </c>
      <c r="E526" s="15" t="s">
        <v>33</v>
      </c>
      <c r="F526" s="15" t="s">
        <v>33</v>
      </c>
      <c r="G526" s="15" t="s">
        <v>33</v>
      </c>
      <c r="H526" s="16">
        <v>1</v>
      </c>
      <c r="I526" s="15" t="s">
        <v>33</v>
      </c>
      <c r="J526" s="15" t="s">
        <v>33</v>
      </c>
      <c r="K526" s="15" t="s">
        <v>33</v>
      </c>
      <c r="L526" s="15" t="s">
        <v>33</v>
      </c>
      <c r="M526" s="19">
        <v>0</v>
      </c>
      <c r="N526" s="16">
        <v>0</v>
      </c>
      <c r="O526" s="15" t="s">
        <v>33</v>
      </c>
      <c r="P526" s="16">
        <v>0</v>
      </c>
      <c r="Q526" s="16">
        <v>0</v>
      </c>
      <c r="R526" s="19">
        <v>0</v>
      </c>
      <c r="S526" s="20" t="s">
        <v>33</v>
      </c>
    </row>
    <row r="527" spans="1:19" ht="15" customHeight="1" x14ac:dyDescent="0.3">
      <c r="A527" s="16">
        <v>444</v>
      </c>
      <c r="B527" s="15" t="s">
        <v>33</v>
      </c>
      <c r="C527" s="15" t="s">
        <v>33</v>
      </c>
      <c r="D527" s="22">
        <v>0</v>
      </c>
      <c r="E527" s="15" t="s">
        <v>33</v>
      </c>
      <c r="F527" s="15" t="s">
        <v>33</v>
      </c>
      <c r="G527" s="15" t="s">
        <v>33</v>
      </c>
      <c r="H527" s="16">
        <v>1</v>
      </c>
      <c r="I527" s="15" t="s">
        <v>33</v>
      </c>
      <c r="J527" s="15" t="s">
        <v>33</v>
      </c>
      <c r="K527" s="15" t="s">
        <v>33</v>
      </c>
      <c r="L527" s="15" t="s">
        <v>33</v>
      </c>
      <c r="M527" s="19">
        <v>0</v>
      </c>
      <c r="N527" s="16">
        <v>0</v>
      </c>
      <c r="O527" s="15" t="s">
        <v>33</v>
      </c>
      <c r="P527" s="16">
        <v>0</v>
      </c>
      <c r="Q527" s="16">
        <v>0</v>
      </c>
      <c r="R527" s="19">
        <v>0</v>
      </c>
      <c r="S527" s="20" t="s">
        <v>33</v>
      </c>
    </row>
    <row r="528" spans="1:19" ht="15" customHeight="1" x14ac:dyDescent="0.3">
      <c r="A528" s="16">
        <v>445</v>
      </c>
      <c r="B528" s="15" t="s">
        <v>33</v>
      </c>
      <c r="C528" s="15" t="s">
        <v>33</v>
      </c>
      <c r="D528" s="22">
        <v>0</v>
      </c>
      <c r="E528" s="15" t="s">
        <v>33</v>
      </c>
      <c r="F528" s="15" t="s">
        <v>33</v>
      </c>
      <c r="G528" s="15" t="s">
        <v>33</v>
      </c>
      <c r="H528" s="16">
        <v>1</v>
      </c>
      <c r="I528" s="15" t="s">
        <v>33</v>
      </c>
      <c r="J528" s="15" t="s">
        <v>33</v>
      </c>
      <c r="K528" s="15" t="s">
        <v>33</v>
      </c>
      <c r="L528" s="15" t="s">
        <v>33</v>
      </c>
      <c r="M528" s="19">
        <v>0</v>
      </c>
      <c r="N528" s="16">
        <v>0</v>
      </c>
      <c r="O528" s="15" t="s">
        <v>33</v>
      </c>
      <c r="P528" s="16">
        <v>0</v>
      </c>
      <c r="Q528" s="16">
        <v>0</v>
      </c>
      <c r="R528" s="19">
        <v>0</v>
      </c>
      <c r="S528" s="20" t="s">
        <v>33</v>
      </c>
    </row>
    <row r="529" spans="1:19" ht="15" customHeight="1" x14ac:dyDescent="0.3">
      <c r="A529" s="16">
        <v>446</v>
      </c>
      <c r="B529" s="15" t="s">
        <v>33</v>
      </c>
      <c r="C529" s="15" t="s">
        <v>33</v>
      </c>
      <c r="D529" s="22">
        <v>0</v>
      </c>
      <c r="E529" s="15" t="s">
        <v>33</v>
      </c>
      <c r="F529" s="15" t="s">
        <v>33</v>
      </c>
      <c r="G529" s="15" t="s">
        <v>33</v>
      </c>
      <c r="H529" s="16">
        <v>1</v>
      </c>
      <c r="I529" s="15" t="s">
        <v>33</v>
      </c>
      <c r="J529" s="15" t="s">
        <v>33</v>
      </c>
      <c r="K529" s="15" t="s">
        <v>33</v>
      </c>
      <c r="L529" s="15" t="s">
        <v>33</v>
      </c>
      <c r="M529" s="19">
        <v>0</v>
      </c>
      <c r="N529" s="16">
        <v>0</v>
      </c>
      <c r="O529" s="15" t="s">
        <v>33</v>
      </c>
      <c r="P529" s="16">
        <v>0</v>
      </c>
      <c r="Q529" s="16">
        <v>0</v>
      </c>
      <c r="R529" s="19">
        <v>0</v>
      </c>
      <c r="S529" s="20" t="s">
        <v>33</v>
      </c>
    </row>
    <row r="530" spans="1:19" ht="15" customHeight="1" x14ac:dyDescent="0.3">
      <c r="A530" s="16">
        <v>447</v>
      </c>
      <c r="B530" s="15" t="s">
        <v>33</v>
      </c>
      <c r="C530" s="15" t="s">
        <v>33</v>
      </c>
      <c r="D530" s="22">
        <v>0</v>
      </c>
      <c r="E530" s="15" t="s">
        <v>33</v>
      </c>
      <c r="F530" s="15" t="s">
        <v>33</v>
      </c>
      <c r="G530" s="15" t="s">
        <v>33</v>
      </c>
      <c r="H530" s="16">
        <v>1</v>
      </c>
      <c r="I530" s="15" t="s">
        <v>33</v>
      </c>
      <c r="J530" s="15" t="s">
        <v>33</v>
      </c>
      <c r="K530" s="15" t="s">
        <v>33</v>
      </c>
      <c r="L530" s="15" t="s">
        <v>33</v>
      </c>
      <c r="M530" s="19">
        <v>0</v>
      </c>
      <c r="N530" s="16">
        <v>0</v>
      </c>
      <c r="O530" s="15" t="s">
        <v>33</v>
      </c>
      <c r="P530" s="16">
        <v>0</v>
      </c>
      <c r="Q530" s="16">
        <v>0</v>
      </c>
      <c r="R530" s="19">
        <v>0</v>
      </c>
      <c r="S530" s="20" t="s">
        <v>33</v>
      </c>
    </row>
    <row r="531" spans="1:19" ht="15" customHeight="1" x14ac:dyDescent="0.3">
      <c r="A531" s="16">
        <v>448</v>
      </c>
      <c r="B531" s="15" t="s">
        <v>33</v>
      </c>
      <c r="C531" s="15" t="s">
        <v>33</v>
      </c>
      <c r="D531" s="22">
        <v>0</v>
      </c>
      <c r="E531" s="15" t="s">
        <v>33</v>
      </c>
      <c r="F531" s="15" t="s">
        <v>33</v>
      </c>
      <c r="G531" s="15" t="s">
        <v>33</v>
      </c>
      <c r="H531" s="16">
        <v>1</v>
      </c>
      <c r="I531" s="15" t="s">
        <v>33</v>
      </c>
      <c r="J531" s="15" t="s">
        <v>33</v>
      </c>
      <c r="K531" s="15" t="s">
        <v>33</v>
      </c>
      <c r="L531" s="15" t="s">
        <v>33</v>
      </c>
      <c r="M531" s="19">
        <v>0</v>
      </c>
      <c r="N531" s="16">
        <v>0</v>
      </c>
      <c r="O531" s="15" t="s">
        <v>33</v>
      </c>
      <c r="P531" s="16">
        <v>0</v>
      </c>
      <c r="Q531" s="16">
        <v>0</v>
      </c>
      <c r="R531" s="19">
        <v>0</v>
      </c>
      <c r="S531" s="20" t="s">
        <v>33</v>
      </c>
    </row>
    <row r="532" spans="1:19" ht="15" customHeight="1" x14ac:dyDescent="0.3">
      <c r="A532" s="16">
        <v>449</v>
      </c>
      <c r="B532" s="15" t="s">
        <v>33</v>
      </c>
      <c r="C532" s="15" t="s">
        <v>33</v>
      </c>
      <c r="D532" s="22">
        <v>0</v>
      </c>
      <c r="E532" s="15" t="s">
        <v>33</v>
      </c>
      <c r="F532" s="15" t="s">
        <v>33</v>
      </c>
      <c r="G532" s="15" t="s">
        <v>33</v>
      </c>
      <c r="H532" s="16">
        <v>1</v>
      </c>
      <c r="I532" s="15" t="s">
        <v>33</v>
      </c>
      <c r="J532" s="15" t="s">
        <v>33</v>
      </c>
      <c r="K532" s="15" t="s">
        <v>33</v>
      </c>
      <c r="L532" s="15" t="s">
        <v>33</v>
      </c>
      <c r="M532" s="19">
        <v>0</v>
      </c>
      <c r="N532" s="16">
        <v>0</v>
      </c>
      <c r="O532" s="15" t="s">
        <v>33</v>
      </c>
      <c r="P532" s="16">
        <v>0</v>
      </c>
      <c r="Q532" s="16">
        <v>0</v>
      </c>
      <c r="R532" s="19">
        <v>0</v>
      </c>
      <c r="S532" s="20" t="s">
        <v>33</v>
      </c>
    </row>
    <row r="533" spans="1:19" ht="15" customHeight="1" x14ac:dyDescent="0.3">
      <c r="A533" s="16">
        <v>450</v>
      </c>
      <c r="B533" s="15" t="s">
        <v>33</v>
      </c>
      <c r="C533" s="15" t="s">
        <v>33</v>
      </c>
      <c r="D533" s="22">
        <v>0</v>
      </c>
      <c r="E533" s="15" t="s">
        <v>33</v>
      </c>
      <c r="F533" s="15" t="s">
        <v>33</v>
      </c>
      <c r="G533" s="15" t="s">
        <v>33</v>
      </c>
      <c r="H533" s="16">
        <v>1</v>
      </c>
      <c r="I533" s="15" t="s">
        <v>33</v>
      </c>
      <c r="J533" s="15" t="s">
        <v>33</v>
      </c>
      <c r="K533" s="15" t="s">
        <v>33</v>
      </c>
      <c r="L533" s="15" t="s">
        <v>33</v>
      </c>
      <c r="M533" s="19">
        <v>0</v>
      </c>
      <c r="N533" s="16">
        <v>0</v>
      </c>
      <c r="O533" s="15" t="s">
        <v>33</v>
      </c>
      <c r="P533" s="16">
        <v>0</v>
      </c>
      <c r="Q533" s="16">
        <v>0</v>
      </c>
      <c r="R533" s="19">
        <v>0</v>
      </c>
      <c r="S533" s="20" t="s">
        <v>33</v>
      </c>
    </row>
    <row r="534" spans="1:19" ht="15" customHeight="1" x14ac:dyDescent="0.3">
      <c r="A534" s="16">
        <v>451</v>
      </c>
      <c r="B534" s="15" t="s">
        <v>33</v>
      </c>
      <c r="C534" s="15" t="s">
        <v>33</v>
      </c>
      <c r="D534" s="22">
        <v>0</v>
      </c>
      <c r="E534" s="15" t="s">
        <v>33</v>
      </c>
      <c r="F534" s="15" t="s">
        <v>33</v>
      </c>
      <c r="G534" s="15" t="s">
        <v>33</v>
      </c>
      <c r="H534" s="16">
        <v>1</v>
      </c>
      <c r="I534" s="15" t="s">
        <v>33</v>
      </c>
      <c r="J534" s="15" t="s">
        <v>33</v>
      </c>
      <c r="K534" s="15" t="s">
        <v>33</v>
      </c>
      <c r="L534" s="15" t="s">
        <v>33</v>
      </c>
      <c r="M534" s="19">
        <v>0</v>
      </c>
      <c r="N534" s="16">
        <v>0</v>
      </c>
      <c r="O534" s="15" t="s">
        <v>33</v>
      </c>
      <c r="P534" s="16">
        <v>0</v>
      </c>
      <c r="Q534" s="16">
        <v>0</v>
      </c>
      <c r="R534" s="19">
        <v>0</v>
      </c>
      <c r="S534" s="20" t="s">
        <v>33</v>
      </c>
    </row>
    <row r="535" spans="1:19" ht="15" customHeight="1" x14ac:dyDescent="0.3">
      <c r="A535" s="16">
        <v>452</v>
      </c>
      <c r="B535" s="15" t="s">
        <v>33</v>
      </c>
      <c r="C535" s="15" t="s">
        <v>33</v>
      </c>
      <c r="D535" s="22">
        <v>0</v>
      </c>
      <c r="E535" s="15" t="s">
        <v>33</v>
      </c>
      <c r="F535" s="15" t="s">
        <v>33</v>
      </c>
      <c r="G535" s="15" t="s">
        <v>33</v>
      </c>
      <c r="H535" s="16">
        <v>1</v>
      </c>
      <c r="I535" s="15" t="s">
        <v>33</v>
      </c>
      <c r="J535" s="15" t="s">
        <v>33</v>
      </c>
      <c r="K535" s="15" t="s">
        <v>33</v>
      </c>
      <c r="L535" s="15" t="s">
        <v>33</v>
      </c>
      <c r="M535" s="19">
        <v>0</v>
      </c>
      <c r="N535" s="16">
        <v>0</v>
      </c>
      <c r="O535" s="15" t="s">
        <v>33</v>
      </c>
      <c r="P535" s="16">
        <v>0</v>
      </c>
      <c r="Q535" s="16">
        <v>0</v>
      </c>
      <c r="R535" s="19">
        <v>0</v>
      </c>
      <c r="S535" s="20" t="s">
        <v>33</v>
      </c>
    </row>
    <row r="536" spans="1:19" ht="15" customHeight="1" x14ac:dyDescent="0.3">
      <c r="A536" s="16">
        <v>453</v>
      </c>
      <c r="B536" s="15" t="s">
        <v>33</v>
      </c>
      <c r="C536" s="15" t="s">
        <v>33</v>
      </c>
      <c r="D536" s="22">
        <v>0</v>
      </c>
      <c r="E536" s="15" t="s">
        <v>33</v>
      </c>
      <c r="F536" s="15" t="s">
        <v>33</v>
      </c>
      <c r="G536" s="15" t="s">
        <v>33</v>
      </c>
      <c r="H536" s="16">
        <v>1</v>
      </c>
      <c r="I536" s="15" t="s">
        <v>33</v>
      </c>
      <c r="J536" s="15" t="s">
        <v>33</v>
      </c>
      <c r="K536" s="15" t="s">
        <v>33</v>
      </c>
      <c r="L536" s="15" t="s">
        <v>33</v>
      </c>
      <c r="M536" s="19">
        <v>0</v>
      </c>
      <c r="N536" s="16">
        <v>0</v>
      </c>
      <c r="O536" s="15" t="s">
        <v>33</v>
      </c>
      <c r="P536" s="16">
        <v>0</v>
      </c>
      <c r="Q536" s="16">
        <v>0</v>
      </c>
      <c r="R536" s="19">
        <v>0</v>
      </c>
      <c r="S536" s="20" t="s">
        <v>33</v>
      </c>
    </row>
    <row r="537" spans="1:19" ht="15" customHeight="1" x14ac:dyDescent="0.3">
      <c r="A537" s="16">
        <v>454</v>
      </c>
      <c r="B537" s="15" t="s">
        <v>33</v>
      </c>
      <c r="C537" s="15" t="s">
        <v>33</v>
      </c>
      <c r="D537" s="22">
        <v>0</v>
      </c>
      <c r="E537" s="15" t="s">
        <v>33</v>
      </c>
      <c r="F537" s="15" t="s">
        <v>33</v>
      </c>
      <c r="G537" s="15" t="s">
        <v>33</v>
      </c>
      <c r="H537" s="16">
        <v>1</v>
      </c>
      <c r="I537" s="15" t="s">
        <v>33</v>
      </c>
      <c r="J537" s="15" t="s">
        <v>33</v>
      </c>
      <c r="K537" s="15" t="s">
        <v>33</v>
      </c>
      <c r="L537" s="15" t="s">
        <v>33</v>
      </c>
      <c r="M537" s="19">
        <v>0</v>
      </c>
      <c r="N537" s="16">
        <v>0</v>
      </c>
      <c r="O537" s="15" t="s">
        <v>33</v>
      </c>
      <c r="P537" s="16">
        <v>0</v>
      </c>
      <c r="Q537" s="16">
        <v>0</v>
      </c>
      <c r="R537" s="19">
        <v>0</v>
      </c>
      <c r="S537" s="20" t="s">
        <v>33</v>
      </c>
    </row>
    <row r="538" spans="1:19" ht="15" customHeight="1" x14ac:dyDescent="0.3">
      <c r="A538" s="16">
        <v>455</v>
      </c>
      <c r="B538" s="15" t="s">
        <v>33</v>
      </c>
      <c r="C538" s="15" t="s">
        <v>33</v>
      </c>
      <c r="D538" s="22">
        <v>0</v>
      </c>
      <c r="E538" s="15" t="s">
        <v>33</v>
      </c>
      <c r="F538" s="15" t="s">
        <v>33</v>
      </c>
      <c r="G538" s="15" t="s">
        <v>33</v>
      </c>
      <c r="H538" s="16">
        <v>1</v>
      </c>
      <c r="I538" s="15" t="s">
        <v>33</v>
      </c>
      <c r="J538" s="15" t="s">
        <v>33</v>
      </c>
      <c r="K538" s="15" t="s">
        <v>33</v>
      </c>
      <c r="L538" s="15" t="s">
        <v>33</v>
      </c>
      <c r="M538" s="19">
        <v>0</v>
      </c>
      <c r="N538" s="16">
        <v>0</v>
      </c>
      <c r="O538" s="15" t="s">
        <v>33</v>
      </c>
      <c r="P538" s="16">
        <v>0</v>
      </c>
      <c r="Q538" s="16">
        <v>0</v>
      </c>
      <c r="R538" s="19">
        <v>0</v>
      </c>
      <c r="S538" s="20" t="s">
        <v>33</v>
      </c>
    </row>
    <row r="539" spans="1:19" ht="15" customHeight="1" x14ac:dyDescent="0.3">
      <c r="A539" s="16">
        <v>456</v>
      </c>
      <c r="B539" s="15" t="s">
        <v>33</v>
      </c>
      <c r="C539" s="15" t="s">
        <v>33</v>
      </c>
      <c r="D539" s="22">
        <v>0</v>
      </c>
      <c r="E539" s="15" t="s">
        <v>33</v>
      </c>
      <c r="F539" s="15" t="s">
        <v>33</v>
      </c>
      <c r="G539" s="15" t="s">
        <v>33</v>
      </c>
      <c r="H539" s="16">
        <v>1</v>
      </c>
      <c r="I539" s="15" t="s">
        <v>33</v>
      </c>
      <c r="J539" s="15" t="s">
        <v>33</v>
      </c>
      <c r="K539" s="15" t="s">
        <v>33</v>
      </c>
      <c r="L539" s="15" t="s">
        <v>33</v>
      </c>
      <c r="M539" s="19">
        <v>0</v>
      </c>
      <c r="N539" s="16">
        <v>0</v>
      </c>
      <c r="O539" s="15" t="s">
        <v>33</v>
      </c>
      <c r="P539" s="16">
        <v>0</v>
      </c>
      <c r="Q539" s="16">
        <v>0</v>
      </c>
      <c r="R539" s="19">
        <v>0</v>
      </c>
      <c r="S539" s="20" t="s">
        <v>33</v>
      </c>
    </row>
    <row r="540" spans="1:19" ht="15" customHeight="1" x14ac:dyDescent="0.3">
      <c r="A540" s="16">
        <v>457</v>
      </c>
      <c r="B540" s="15" t="s">
        <v>33</v>
      </c>
      <c r="C540" s="15" t="s">
        <v>33</v>
      </c>
      <c r="D540" s="22">
        <v>0</v>
      </c>
      <c r="E540" s="15" t="s">
        <v>33</v>
      </c>
      <c r="F540" s="15" t="s">
        <v>33</v>
      </c>
      <c r="G540" s="15" t="s">
        <v>33</v>
      </c>
      <c r="H540" s="16">
        <v>1</v>
      </c>
      <c r="I540" s="15" t="s">
        <v>33</v>
      </c>
      <c r="J540" s="15" t="s">
        <v>33</v>
      </c>
      <c r="K540" s="15" t="s">
        <v>33</v>
      </c>
      <c r="L540" s="15" t="s">
        <v>33</v>
      </c>
      <c r="M540" s="19">
        <v>0</v>
      </c>
      <c r="N540" s="16">
        <v>0</v>
      </c>
      <c r="O540" s="15" t="s">
        <v>33</v>
      </c>
      <c r="P540" s="16">
        <v>0</v>
      </c>
      <c r="Q540" s="16">
        <v>0</v>
      </c>
      <c r="R540" s="19">
        <v>0</v>
      </c>
      <c r="S540" s="20" t="s">
        <v>33</v>
      </c>
    </row>
    <row r="541" spans="1:19" ht="15" customHeight="1" x14ac:dyDescent="0.3">
      <c r="A541" s="16">
        <v>458</v>
      </c>
      <c r="B541" s="15" t="s">
        <v>33</v>
      </c>
      <c r="C541" s="15" t="s">
        <v>33</v>
      </c>
      <c r="D541" s="22">
        <v>0</v>
      </c>
      <c r="E541" s="15" t="s">
        <v>33</v>
      </c>
      <c r="F541" s="15" t="s">
        <v>33</v>
      </c>
      <c r="G541" s="15" t="s">
        <v>33</v>
      </c>
      <c r="H541" s="16">
        <v>1</v>
      </c>
      <c r="I541" s="15" t="s">
        <v>33</v>
      </c>
      <c r="J541" s="15" t="s">
        <v>33</v>
      </c>
      <c r="K541" s="15" t="s">
        <v>33</v>
      </c>
      <c r="L541" s="15" t="s">
        <v>33</v>
      </c>
      <c r="M541" s="19">
        <v>0</v>
      </c>
      <c r="N541" s="16">
        <v>0</v>
      </c>
      <c r="O541" s="15" t="s">
        <v>33</v>
      </c>
      <c r="P541" s="16">
        <v>0</v>
      </c>
      <c r="Q541" s="16">
        <v>0</v>
      </c>
      <c r="R541" s="19">
        <v>0</v>
      </c>
      <c r="S541" s="20" t="s">
        <v>33</v>
      </c>
    </row>
    <row r="542" spans="1:19" ht="15" customHeight="1" x14ac:dyDescent="0.3">
      <c r="A542" s="16">
        <v>459</v>
      </c>
      <c r="B542" s="15" t="s">
        <v>33</v>
      </c>
      <c r="C542" s="15" t="s">
        <v>33</v>
      </c>
      <c r="D542" s="22">
        <v>0</v>
      </c>
      <c r="E542" s="15" t="s">
        <v>33</v>
      </c>
      <c r="F542" s="15" t="s">
        <v>33</v>
      </c>
      <c r="G542" s="15" t="s">
        <v>33</v>
      </c>
      <c r="H542" s="16">
        <v>1</v>
      </c>
      <c r="I542" s="15" t="s">
        <v>33</v>
      </c>
      <c r="J542" s="15" t="s">
        <v>33</v>
      </c>
      <c r="K542" s="15" t="s">
        <v>33</v>
      </c>
      <c r="L542" s="15" t="s">
        <v>33</v>
      </c>
      <c r="M542" s="19">
        <v>0</v>
      </c>
      <c r="N542" s="16">
        <v>0</v>
      </c>
      <c r="O542" s="15" t="s">
        <v>33</v>
      </c>
      <c r="P542" s="16">
        <v>0</v>
      </c>
      <c r="Q542" s="16">
        <v>0</v>
      </c>
      <c r="R542" s="19">
        <v>0</v>
      </c>
      <c r="S542" s="20" t="s">
        <v>33</v>
      </c>
    </row>
    <row r="543" spans="1:19" ht="15" customHeight="1" x14ac:dyDescent="0.3">
      <c r="A543" s="16">
        <v>460</v>
      </c>
      <c r="B543" s="15" t="s">
        <v>33</v>
      </c>
      <c r="C543" s="15" t="s">
        <v>33</v>
      </c>
      <c r="D543" s="22">
        <v>0</v>
      </c>
      <c r="E543" s="15" t="s">
        <v>33</v>
      </c>
      <c r="F543" s="15" t="s">
        <v>33</v>
      </c>
      <c r="G543" s="15" t="s">
        <v>33</v>
      </c>
      <c r="H543" s="16">
        <v>1</v>
      </c>
      <c r="I543" s="15" t="s">
        <v>33</v>
      </c>
      <c r="J543" s="15" t="s">
        <v>33</v>
      </c>
      <c r="K543" s="15" t="s">
        <v>33</v>
      </c>
      <c r="L543" s="15" t="s">
        <v>33</v>
      </c>
      <c r="M543" s="19">
        <v>0</v>
      </c>
      <c r="N543" s="16">
        <v>0</v>
      </c>
      <c r="O543" s="15" t="s">
        <v>33</v>
      </c>
      <c r="P543" s="16">
        <v>0</v>
      </c>
      <c r="Q543" s="16">
        <v>0</v>
      </c>
      <c r="R543" s="19">
        <v>0</v>
      </c>
      <c r="S543" s="20" t="s">
        <v>33</v>
      </c>
    </row>
    <row r="544" spans="1:19" ht="15" customHeight="1" x14ac:dyDescent="0.3">
      <c r="A544" s="16">
        <v>461</v>
      </c>
      <c r="B544" s="15" t="s">
        <v>33</v>
      </c>
      <c r="C544" s="15" t="s">
        <v>33</v>
      </c>
      <c r="D544" s="22">
        <v>0</v>
      </c>
      <c r="E544" s="15" t="s">
        <v>33</v>
      </c>
      <c r="F544" s="15" t="s">
        <v>33</v>
      </c>
      <c r="G544" s="15" t="s">
        <v>33</v>
      </c>
      <c r="H544" s="16">
        <v>1</v>
      </c>
      <c r="I544" s="15" t="s">
        <v>33</v>
      </c>
      <c r="J544" s="15" t="s">
        <v>33</v>
      </c>
      <c r="K544" s="15" t="s">
        <v>33</v>
      </c>
      <c r="L544" s="15" t="s">
        <v>33</v>
      </c>
      <c r="M544" s="19">
        <v>0</v>
      </c>
      <c r="N544" s="16">
        <v>0</v>
      </c>
      <c r="O544" s="15" t="s">
        <v>33</v>
      </c>
      <c r="P544" s="16">
        <v>0</v>
      </c>
      <c r="Q544" s="16">
        <v>0</v>
      </c>
      <c r="R544" s="19">
        <v>0</v>
      </c>
      <c r="S544" s="20" t="s">
        <v>33</v>
      </c>
    </row>
    <row r="545" spans="1:19" ht="15" customHeight="1" x14ac:dyDescent="0.3">
      <c r="A545" s="16">
        <v>462</v>
      </c>
      <c r="B545" s="15" t="s">
        <v>33</v>
      </c>
      <c r="C545" s="15" t="s">
        <v>33</v>
      </c>
      <c r="D545" s="22">
        <v>0</v>
      </c>
      <c r="E545" s="15" t="s">
        <v>33</v>
      </c>
      <c r="F545" s="15" t="s">
        <v>33</v>
      </c>
      <c r="G545" s="15" t="s">
        <v>33</v>
      </c>
      <c r="H545" s="16">
        <v>1</v>
      </c>
      <c r="I545" s="15" t="s">
        <v>33</v>
      </c>
      <c r="J545" s="15" t="s">
        <v>33</v>
      </c>
      <c r="K545" s="15" t="s">
        <v>33</v>
      </c>
      <c r="L545" s="15" t="s">
        <v>33</v>
      </c>
      <c r="M545" s="19">
        <v>0</v>
      </c>
      <c r="N545" s="16">
        <v>0</v>
      </c>
      <c r="O545" s="15" t="s">
        <v>33</v>
      </c>
      <c r="P545" s="16">
        <v>0</v>
      </c>
      <c r="Q545" s="16">
        <v>0</v>
      </c>
      <c r="R545" s="19">
        <v>0</v>
      </c>
      <c r="S545" s="20" t="s">
        <v>33</v>
      </c>
    </row>
    <row r="546" spans="1:19" ht="15" customHeight="1" x14ac:dyDescent="0.3">
      <c r="A546" s="16">
        <v>463</v>
      </c>
      <c r="B546" s="15" t="s">
        <v>33</v>
      </c>
      <c r="C546" s="15" t="s">
        <v>33</v>
      </c>
      <c r="D546" s="22">
        <v>0</v>
      </c>
      <c r="E546" s="15" t="s">
        <v>33</v>
      </c>
      <c r="F546" s="15" t="s">
        <v>33</v>
      </c>
      <c r="G546" s="15" t="s">
        <v>33</v>
      </c>
      <c r="H546" s="16">
        <v>1</v>
      </c>
      <c r="I546" s="15" t="s">
        <v>33</v>
      </c>
      <c r="J546" s="15" t="s">
        <v>33</v>
      </c>
      <c r="K546" s="15" t="s">
        <v>33</v>
      </c>
      <c r="L546" s="15" t="s">
        <v>33</v>
      </c>
      <c r="M546" s="19">
        <v>0</v>
      </c>
      <c r="N546" s="16">
        <v>0</v>
      </c>
      <c r="O546" s="15" t="s">
        <v>33</v>
      </c>
      <c r="P546" s="16">
        <v>0</v>
      </c>
      <c r="Q546" s="16">
        <v>0</v>
      </c>
      <c r="R546" s="19">
        <v>0</v>
      </c>
      <c r="S546" s="20" t="s">
        <v>33</v>
      </c>
    </row>
    <row r="547" spans="1:19" ht="15" customHeight="1" x14ac:dyDescent="0.3">
      <c r="A547" s="16">
        <v>464</v>
      </c>
      <c r="B547" s="15" t="s">
        <v>33</v>
      </c>
      <c r="C547" s="15" t="s">
        <v>33</v>
      </c>
      <c r="D547" s="22">
        <v>0</v>
      </c>
      <c r="E547" s="15" t="s">
        <v>33</v>
      </c>
      <c r="F547" s="15" t="s">
        <v>33</v>
      </c>
      <c r="G547" s="15" t="s">
        <v>33</v>
      </c>
      <c r="H547" s="16">
        <v>1</v>
      </c>
      <c r="I547" s="15" t="s">
        <v>33</v>
      </c>
      <c r="J547" s="15" t="s">
        <v>33</v>
      </c>
      <c r="K547" s="15" t="s">
        <v>33</v>
      </c>
      <c r="L547" s="15" t="s">
        <v>33</v>
      </c>
      <c r="M547" s="19">
        <v>0</v>
      </c>
      <c r="N547" s="16">
        <v>0</v>
      </c>
      <c r="O547" s="15" t="s">
        <v>33</v>
      </c>
      <c r="P547" s="16">
        <v>0</v>
      </c>
      <c r="Q547" s="16">
        <v>0</v>
      </c>
      <c r="R547" s="19">
        <v>0</v>
      </c>
      <c r="S547" s="20" t="s">
        <v>33</v>
      </c>
    </row>
    <row r="548" spans="1:19" ht="15" customHeight="1" x14ac:dyDescent="0.3">
      <c r="A548" s="16">
        <v>465</v>
      </c>
      <c r="B548" s="15" t="s">
        <v>33</v>
      </c>
      <c r="C548" s="15" t="s">
        <v>33</v>
      </c>
      <c r="D548" s="22">
        <v>0</v>
      </c>
      <c r="E548" s="15" t="s">
        <v>33</v>
      </c>
      <c r="F548" s="15" t="s">
        <v>33</v>
      </c>
      <c r="G548" s="15" t="s">
        <v>33</v>
      </c>
      <c r="H548" s="16">
        <v>1</v>
      </c>
      <c r="I548" s="15" t="s">
        <v>33</v>
      </c>
      <c r="J548" s="15" t="s">
        <v>33</v>
      </c>
      <c r="K548" s="15" t="s">
        <v>33</v>
      </c>
      <c r="L548" s="15" t="s">
        <v>33</v>
      </c>
      <c r="M548" s="19">
        <v>0</v>
      </c>
      <c r="N548" s="16">
        <v>0</v>
      </c>
      <c r="O548" s="15" t="s">
        <v>33</v>
      </c>
      <c r="P548" s="16">
        <v>0</v>
      </c>
      <c r="Q548" s="16">
        <v>0</v>
      </c>
      <c r="R548" s="19">
        <v>0</v>
      </c>
      <c r="S548" s="20" t="s">
        <v>33</v>
      </c>
    </row>
    <row r="549" spans="1:19" ht="15" customHeight="1" x14ac:dyDescent="0.3">
      <c r="A549" s="16">
        <v>466</v>
      </c>
      <c r="B549" s="15" t="s">
        <v>33</v>
      </c>
      <c r="C549" s="15" t="s">
        <v>33</v>
      </c>
      <c r="D549" s="22">
        <v>0</v>
      </c>
      <c r="E549" s="15" t="s">
        <v>33</v>
      </c>
      <c r="F549" s="15" t="s">
        <v>33</v>
      </c>
      <c r="G549" s="15" t="s">
        <v>33</v>
      </c>
      <c r="H549" s="16">
        <v>1</v>
      </c>
      <c r="I549" s="15" t="s">
        <v>33</v>
      </c>
      <c r="J549" s="15" t="s">
        <v>33</v>
      </c>
      <c r="K549" s="15" t="s">
        <v>33</v>
      </c>
      <c r="L549" s="15" t="s">
        <v>33</v>
      </c>
      <c r="M549" s="19">
        <v>0</v>
      </c>
      <c r="N549" s="16">
        <v>0</v>
      </c>
      <c r="O549" s="15" t="s">
        <v>33</v>
      </c>
      <c r="P549" s="16">
        <v>0</v>
      </c>
      <c r="Q549" s="16">
        <v>0</v>
      </c>
      <c r="R549" s="19">
        <v>0</v>
      </c>
      <c r="S549" s="20" t="s">
        <v>33</v>
      </c>
    </row>
    <row r="550" spans="1:19" ht="15" customHeight="1" x14ac:dyDescent="0.3">
      <c r="A550" s="16">
        <v>467</v>
      </c>
      <c r="B550" s="15" t="s">
        <v>33</v>
      </c>
      <c r="C550" s="15" t="s">
        <v>33</v>
      </c>
      <c r="D550" s="22">
        <v>0</v>
      </c>
      <c r="E550" s="15" t="s">
        <v>33</v>
      </c>
      <c r="F550" s="15" t="s">
        <v>33</v>
      </c>
      <c r="G550" s="15" t="s">
        <v>33</v>
      </c>
      <c r="H550" s="16">
        <v>1</v>
      </c>
      <c r="I550" s="15" t="s">
        <v>33</v>
      </c>
      <c r="J550" s="15" t="s">
        <v>33</v>
      </c>
      <c r="K550" s="15" t="s">
        <v>33</v>
      </c>
      <c r="L550" s="15" t="s">
        <v>33</v>
      </c>
      <c r="M550" s="19">
        <v>0</v>
      </c>
      <c r="N550" s="16">
        <v>0</v>
      </c>
      <c r="O550" s="15" t="s">
        <v>33</v>
      </c>
      <c r="P550" s="16">
        <v>0</v>
      </c>
      <c r="Q550" s="16">
        <v>0</v>
      </c>
      <c r="R550" s="19">
        <v>0</v>
      </c>
      <c r="S550" s="20" t="s">
        <v>33</v>
      </c>
    </row>
    <row r="551" spans="1:19" ht="15" customHeight="1" x14ac:dyDescent="0.3">
      <c r="A551" s="16">
        <v>468</v>
      </c>
      <c r="B551" s="15" t="s">
        <v>33</v>
      </c>
      <c r="C551" s="15" t="s">
        <v>33</v>
      </c>
      <c r="D551" s="22">
        <v>0</v>
      </c>
      <c r="E551" s="15" t="s">
        <v>33</v>
      </c>
      <c r="F551" s="15" t="s">
        <v>33</v>
      </c>
      <c r="G551" s="15" t="s">
        <v>33</v>
      </c>
      <c r="H551" s="16">
        <v>1</v>
      </c>
      <c r="I551" s="15" t="s">
        <v>33</v>
      </c>
      <c r="J551" s="15" t="s">
        <v>33</v>
      </c>
      <c r="K551" s="15" t="s">
        <v>33</v>
      </c>
      <c r="L551" s="15" t="s">
        <v>33</v>
      </c>
      <c r="M551" s="19">
        <v>0</v>
      </c>
      <c r="N551" s="16">
        <v>0</v>
      </c>
      <c r="O551" s="15" t="s">
        <v>33</v>
      </c>
      <c r="P551" s="16">
        <v>0</v>
      </c>
      <c r="Q551" s="16">
        <v>0</v>
      </c>
      <c r="R551" s="19">
        <v>0</v>
      </c>
      <c r="S551" s="20" t="s">
        <v>33</v>
      </c>
    </row>
    <row r="552" spans="1:19" ht="15" customHeight="1" x14ac:dyDescent="0.3">
      <c r="A552" s="16">
        <v>469</v>
      </c>
      <c r="B552" s="15" t="s">
        <v>33</v>
      </c>
      <c r="C552" s="15" t="s">
        <v>33</v>
      </c>
      <c r="D552" s="22">
        <v>0</v>
      </c>
      <c r="E552" s="15" t="s">
        <v>33</v>
      </c>
      <c r="F552" s="15" t="s">
        <v>33</v>
      </c>
      <c r="G552" s="15" t="s">
        <v>33</v>
      </c>
      <c r="H552" s="16">
        <v>1</v>
      </c>
      <c r="I552" s="15" t="s">
        <v>33</v>
      </c>
      <c r="J552" s="15" t="s">
        <v>33</v>
      </c>
      <c r="K552" s="15" t="s">
        <v>33</v>
      </c>
      <c r="L552" s="15" t="s">
        <v>33</v>
      </c>
      <c r="M552" s="19">
        <v>0</v>
      </c>
      <c r="N552" s="16">
        <v>0</v>
      </c>
      <c r="O552" s="15" t="s">
        <v>33</v>
      </c>
      <c r="P552" s="16">
        <v>0</v>
      </c>
      <c r="Q552" s="16">
        <v>0</v>
      </c>
      <c r="R552" s="19">
        <v>0</v>
      </c>
      <c r="S552" s="20" t="s">
        <v>33</v>
      </c>
    </row>
    <row r="553" spans="1:19" ht="15" customHeight="1" x14ac:dyDescent="0.3">
      <c r="A553" s="16">
        <v>470</v>
      </c>
      <c r="B553" s="15" t="s">
        <v>33</v>
      </c>
      <c r="C553" s="15" t="s">
        <v>33</v>
      </c>
      <c r="D553" s="22">
        <v>0</v>
      </c>
      <c r="E553" s="15" t="s">
        <v>33</v>
      </c>
      <c r="F553" s="15" t="s">
        <v>33</v>
      </c>
      <c r="G553" s="15" t="s">
        <v>33</v>
      </c>
      <c r="H553" s="16">
        <v>1</v>
      </c>
      <c r="I553" s="15" t="s">
        <v>33</v>
      </c>
      <c r="J553" s="15" t="s">
        <v>33</v>
      </c>
      <c r="K553" s="15" t="s">
        <v>33</v>
      </c>
      <c r="L553" s="15" t="s">
        <v>33</v>
      </c>
      <c r="M553" s="19">
        <v>0</v>
      </c>
      <c r="N553" s="16">
        <v>0</v>
      </c>
      <c r="O553" s="15" t="s">
        <v>33</v>
      </c>
      <c r="P553" s="16">
        <v>0</v>
      </c>
      <c r="Q553" s="16">
        <v>0</v>
      </c>
      <c r="R553" s="19">
        <v>0</v>
      </c>
      <c r="S553" s="20" t="s">
        <v>33</v>
      </c>
    </row>
    <row r="554" spans="1:19" ht="15" customHeight="1" x14ac:dyDescent="0.3">
      <c r="A554" s="16">
        <v>471</v>
      </c>
      <c r="B554" s="15" t="s">
        <v>33</v>
      </c>
      <c r="C554" s="15" t="s">
        <v>33</v>
      </c>
      <c r="D554" s="22">
        <v>0</v>
      </c>
      <c r="E554" s="15" t="s">
        <v>33</v>
      </c>
      <c r="F554" s="15" t="s">
        <v>33</v>
      </c>
      <c r="G554" s="15" t="s">
        <v>33</v>
      </c>
      <c r="H554" s="16">
        <v>1</v>
      </c>
      <c r="I554" s="15" t="s">
        <v>33</v>
      </c>
      <c r="J554" s="15" t="s">
        <v>33</v>
      </c>
      <c r="K554" s="15" t="s">
        <v>33</v>
      </c>
      <c r="L554" s="15" t="s">
        <v>33</v>
      </c>
      <c r="M554" s="19">
        <v>0</v>
      </c>
      <c r="N554" s="16">
        <v>0</v>
      </c>
      <c r="O554" s="15" t="s">
        <v>33</v>
      </c>
      <c r="P554" s="16">
        <v>0</v>
      </c>
      <c r="Q554" s="16">
        <v>0</v>
      </c>
      <c r="R554" s="19">
        <v>0</v>
      </c>
      <c r="S554" s="20" t="s">
        <v>33</v>
      </c>
    </row>
    <row r="555" spans="1:19" ht="15" customHeight="1" x14ac:dyDescent="0.3">
      <c r="A555" s="16">
        <v>472</v>
      </c>
      <c r="B555" s="15" t="s">
        <v>33</v>
      </c>
      <c r="C555" s="15" t="s">
        <v>33</v>
      </c>
      <c r="D555" s="22">
        <v>0</v>
      </c>
      <c r="E555" s="15" t="s">
        <v>33</v>
      </c>
      <c r="F555" s="15" t="s">
        <v>33</v>
      </c>
      <c r="G555" s="15" t="s">
        <v>33</v>
      </c>
      <c r="H555" s="16">
        <v>1</v>
      </c>
      <c r="I555" s="15" t="s">
        <v>33</v>
      </c>
      <c r="J555" s="15" t="s">
        <v>33</v>
      </c>
      <c r="K555" s="15" t="s">
        <v>33</v>
      </c>
      <c r="L555" s="15" t="s">
        <v>33</v>
      </c>
      <c r="M555" s="19">
        <v>0</v>
      </c>
      <c r="N555" s="16">
        <v>0</v>
      </c>
      <c r="O555" s="15" t="s">
        <v>33</v>
      </c>
      <c r="P555" s="16">
        <v>0</v>
      </c>
      <c r="Q555" s="16">
        <v>0</v>
      </c>
      <c r="R555" s="19">
        <v>0</v>
      </c>
      <c r="S555" s="20" t="s">
        <v>33</v>
      </c>
    </row>
    <row r="556" spans="1:19" ht="15" customHeight="1" x14ac:dyDescent="0.3">
      <c r="A556" s="16">
        <v>473</v>
      </c>
      <c r="B556" s="15" t="s">
        <v>33</v>
      </c>
      <c r="C556" s="15" t="s">
        <v>33</v>
      </c>
      <c r="D556" s="22">
        <v>0</v>
      </c>
      <c r="E556" s="15" t="s">
        <v>33</v>
      </c>
      <c r="F556" s="15" t="s">
        <v>33</v>
      </c>
      <c r="G556" s="15" t="s">
        <v>33</v>
      </c>
      <c r="H556" s="16">
        <v>1</v>
      </c>
      <c r="I556" s="15" t="s">
        <v>33</v>
      </c>
      <c r="J556" s="15" t="s">
        <v>33</v>
      </c>
      <c r="K556" s="15" t="s">
        <v>33</v>
      </c>
      <c r="L556" s="15" t="s">
        <v>33</v>
      </c>
      <c r="M556" s="19">
        <v>0</v>
      </c>
      <c r="N556" s="16">
        <v>0</v>
      </c>
      <c r="O556" s="15" t="s">
        <v>33</v>
      </c>
      <c r="P556" s="16">
        <v>0</v>
      </c>
      <c r="Q556" s="16">
        <v>0</v>
      </c>
      <c r="R556" s="19">
        <v>0</v>
      </c>
      <c r="S556" s="20" t="s">
        <v>33</v>
      </c>
    </row>
    <row r="557" spans="1:19" ht="15" customHeight="1" x14ac:dyDescent="0.3">
      <c r="A557" s="16">
        <v>474</v>
      </c>
      <c r="B557" s="15" t="s">
        <v>33</v>
      </c>
      <c r="C557" s="15" t="s">
        <v>33</v>
      </c>
      <c r="D557" s="22">
        <v>0</v>
      </c>
      <c r="E557" s="15" t="s">
        <v>33</v>
      </c>
      <c r="F557" s="15" t="s">
        <v>33</v>
      </c>
      <c r="G557" s="15" t="s">
        <v>33</v>
      </c>
      <c r="H557" s="16">
        <v>1</v>
      </c>
      <c r="I557" s="15" t="s">
        <v>33</v>
      </c>
      <c r="J557" s="15" t="s">
        <v>33</v>
      </c>
      <c r="K557" s="15" t="s">
        <v>33</v>
      </c>
      <c r="L557" s="15" t="s">
        <v>33</v>
      </c>
      <c r="M557" s="19">
        <v>0</v>
      </c>
      <c r="N557" s="16">
        <v>0</v>
      </c>
      <c r="O557" s="15" t="s">
        <v>33</v>
      </c>
      <c r="P557" s="16">
        <v>0</v>
      </c>
      <c r="Q557" s="16">
        <v>0</v>
      </c>
      <c r="R557" s="19">
        <v>0</v>
      </c>
      <c r="S557" s="20" t="s">
        <v>33</v>
      </c>
    </row>
    <row r="558" spans="1:19" ht="15" customHeight="1" x14ac:dyDescent="0.3">
      <c r="A558" s="16">
        <v>475</v>
      </c>
      <c r="B558" s="15" t="s">
        <v>33</v>
      </c>
      <c r="C558" s="15" t="s">
        <v>33</v>
      </c>
      <c r="D558" s="22">
        <v>0</v>
      </c>
      <c r="E558" s="15" t="s">
        <v>33</v>
      </c>
      <c r="F558" s="15" t="s">
        <v>33</v>
      </c>
      <c r="G558" s="15" t="s">
        <v>33</v>
      </c>
      <c r="H558" s="16">
        <v>1</v>
      </c>
      <c r="I558" s="15" t="s">
        <v>33</v>
      </c>
      <c r="J558" s="15" t="s">
        <v>33</v>
      </c>
      <c r="K558" s="15" t="s">
        <v>33</v>
      </c>
      <c r="L558" s="15" t="s">
        <v>33</v>
      </c>
      <c r="M558" s="19">
        <v>0</v>
      </c>
      <c r="N558" s="16">
        <v>0</v>
      </c>
      <c r="O558" s="15" t="s">
        <v>33</v>
      </c>
      <c r="P558" s="16">
        <v>0</v>
      </c>
      <c r="Q558" s="16">
        <v>0</v>
      </c>
      <c r="R558" s="19">
        <v>0</v>
      </c>
      <c r="S558" s="20" t="s">
        <v>33</v>
      </c>
    </row>
    <row r="559" spans="1:19" ht="15" customHeight="1" x14ac:dyDescent="0.3">
      <c r="A559" s="16">
        <v>476</v>
      </c>
      <c r="B559" s="15" t="s">
        <v>33</v>
      </c>
      <c r="C559" s="15" t="s">
        <v>33</v>
      </c>
      <c r="D559" s="22">
        <v>0</v>
      </c>
      <c r="E559" s="15" t="s">
        <v>33</v>
      </c>
      <c r="F559" s="15" t="s">
        <v>33</v>
      </c>
      <c r="G559" s="15" t="s">
        <v>33</v>
      </c>
      <c r="H559" s="16">
        <v>1</v>
      </c>
      <c r="I559" s="15" t="s">
        <v>33</v>
      </c>
      <c r="J559" s="15" t="s">
        <v>33</v>
      </c>
      <c r="K559" s="15" t="s">
        <v>33</v>
      </c>
      <c r="L559" s="15" t="s">
        <v>33</v>
      </c>
      <c r="M559" s="19">
        <v>0</v>
      </c>
      <c r="N559" s="16">
        <v>0</v>
      </c>
      <c r="O559" s="15" t="s">
        <v>33</v>
      </c>
      <c r="P559" s="16">
        <v>0</v>
      </c>
      <c r="Q559" s="16">
        <v>0</v>
      </c>
      <c r="R559" s="19">
        <v>0</v>
      </c>
      <c r="S559" s="20" t="s">
        <v>33</v>
      </c>
    </row>
    <row r="560" spans="1:19" ht="15" customHeight="1" x14ac:dyDescent="0.3">
      <c r="A560" s="16">
        <v>477</v>
      </c>
      <c r="B560" s="15" t="s">
        <v>33</v>
      </c>
      <c r="C560" s="15" t="s">
        <v>33</v>
      </c>
      <c r="D560" s="22">
        <v>0</v>
      </c>
      <c r="E560" s="15" t="s">
        <v>33</v>
      </c>
      <c r="F560" s="15" t="s">
        <v>33</v>
      </c>
      <c r="G560" s="15" t="s">
        <v>33</v>
      </c>
      <c r="H560" s="16">
        <v>1</v>
      </c>
      <c r="I560" s="15" t="s">
        <v>33</v>
      </c>
      <c r="J560" s="15" t="s">
        <v>33</v>
      </c>
      <c r="K560" s="15" t="s">
        <v>33</v>
      </c>
      <c r="L560" s="15" t="s">
        <v>33</v>
      </c>
      <c r="M560" s="19">
        <v>0</v>
      </c>
      <c r="N560" s="16">
        <v>0</v>
      </c>
      <c r="O560" s="15" t="s">
        <v>33</v>
      </c>
      <c r="P560" s="16">
        <v>0</v>
      </c>
      <c r="Q560" s="16">
        <v>0</v>
      </c>
      <c r="R560" s="19">
        <v>0</v>
      </c>
      <c r="S560" s="20" t="s">
        <v>33</v>
      </c>
    </row>
    <row r="561" spans="1:19" ht="15" customHeight="1" x14ac:dyDescent="0.3">
      <c r="A561" s="16">
        <v>478</v>
      </c>
      <c r="B561" s="15" t="s">
        <v>33</v>
      </c>
      <c r="C561" s="15" t="s">
        <v>33</v>
      </c>
      <c r="D561" s="22">
        <v>0</v>
      </c>
      <c r="E561" s="15" t="s">
        <v>33</v>
      </c>
      <c r="F561" s="15" t="s">
        <v>33</v>
      </c>
      <c r="G561" s="15" t="s">
        <v>33</v>
      </c>
      <c r="H561" s="16">
        <v>1</v>
      </c>
      <c r="I561" s="15" t="s">
        <v>33</v>
      </c>
      <c r="J561" s="15" t="s">
        <v>33</v>
      </c>
      <c r="K561" s="15" t="s">
        <v>33</v>
      </c>
      <c r="L561" s="15" t="s">
        <v>33</v>
      </c>
      <c r="M561" s="19">
        <v>0</v>
      </c>
      <c r="N561" s="16">
        <v>0</v>
      </c>
      <c r="O561" s="15" t="s">
        <v>33</v>
      </c>
      <c r="P561" s="16">
        <v>0</v>
      </c>
      <c r="Q561" s="16">
        <v>0</v>
      </c>
      <c r="R561" s="19">
        <v>0</v>
      </c>
      <c r="S561" s="20" t="s">
        <v>33</v>
      </c>
    </row>
    <row r="562" spans="1:19" ht="15" customHeight="1" x14ac:dyDescent="0.3">
      <c r="A562" s="16">
        <v>479</v>
      </c>
      <c r="B562" s="15" t="s">
        <v>33</v>
      </c>
      <c r="C562" s="15" t="s">
        <v>33</v>
      </c>
      <c r="D562" s="22">
        <v>0</v>
      </c>
      <c r="E562" s="15" t="s">
        <v>33</v>
      </c>
      <c r="F562" s="15" t="s">
        <v>33</v>
      </c>
      <c r="G562" s="15" t="s">
        <v>33</v>
      </c>
      <c r="H562" s="16">
        <v>1</v>
      </c>
      <c r="I562" s="15" t="s">
        <v>33</v>
      </c>
      <c r="J562" s="15" t="s">
        <v>33</v>
      </c>
      <c r="K562" s="15" t="s">
        <v>33</v>
      </c>
      <c r="L562" s="15" t="s">
        <v>33</v>
      </c>
      <c r="M562" s="19">
        <v>0</v>
      </c>
      <c r="N562" s="16">
        <v>0</v>
      </c>
      <c r="O562" s="15" t="s">
        <v>33</v>
      </c>
      <c r="P562" s="16">
        <v>0</v>
      </c>
      <c r="Q562" s="16">
        <v>0</v>
      </c>
      <c r="R562" s="19">
        <v>0</v>
      </c>
      <c r="S562" s="20" t="s">
        <v>33</v>
      </c>
    </row>
    <row r="563" spans="1:19" ht="15" customHeight="1" x14ac:dyDescent="0.3">
      <c r="A563" s="16">
        <v>480</v>
      </c>
      <c r="B563" s="15" t="s">
        <v>33</v>
      </c>
      <c r="C563" s="15" t="s">
        <v>33</v>
      </c>
      <c r="D563" s="22">
        <v>0</v>
      </c>
      <c r="E563" s="15" t="s">
        <v>33</v>
      </c>
      <c r="F563" s="15" t="s">
        <v>33</v>
      </c>
      <c r="G563" s="15" t="s">
        <v>33</v>
      </c>
      <c r="H563" s="16">
        <v>1</v>
      </c>
      <c r="I563" s="15" t="s">
        <v>33</v>
      </c>
      <c r="J563" s="15" t="s">
        <v>33</v>
      </c>
      <c r="K563" s="15" t="s">
        <v>33</v>
      </c>
      <c r="L563" s="15" t="s">
        <v>33</v>
      </c>
      <c r="M563" s="19">
        <v>0</v>
      </c>
      <c r="N563" s="16">
        <v>0</v>
      </c>
      <c r="O563" s="15" t="s">
        <v>33</v>
      </c>
      <c r="P563" s="16">
        <v>0</v>
      </c>
      <c r="Q563" s="16">
        <v>0</v>
      </c>
      <c r="R563" s="19">
        <v>0</v>
      </c>
      <c r="S563" s="20" t="s">
        <v>33</v>
      </c>
    </row>
    <row r="564" spans="1:19" ht="15" customHeight="1" x14ac:dyDescent="0.3">
      <c r="A564" s="16">
        <v>481</v>
      </c>
      <c r="B564" s="15" t="s">
        <v>33</v>
      </c>
      <c r="C564" s="15" t="s">
        <v>33</v>
      </c>
      <c r="D564" s="22">
        <v>0</v>
      </c>
      <c r="E564" s="15" t="s">
        <v>33</v>
      </c>
      <c r="F564" s="15" t="s">
        <v>33</v>
      </c>
      <c r="G564" s="15" t="s">
        <v>33</v>
      </c>
      <c r="H564" s="16">
        <v>1</v>
      </c>
      <c r="I564" s="15" t="s">
        <v>33</v>
      </c>
      <c r="J564" s="15" t="s">
        <v>33</v>
      </c>
      <c r="K564" s="15" t="s">
        <v>33</v>
      </c>
      <c r="L564" s="15" t="s">
        <v>33</v>
      </c>
      <c r="M564" s="19">
        <v>0</v>
      </c>
      <c r="N564" s="16">
        <v>0</v>
      </c>
      <c r="O564" s="15" t="s">
        <v>33</v>
      </c>
      <c r="P564" s="16">
        <v>0</v>
      </c>
      <c r="Q564" s="16">
        <v>0</v>
      </c>
      <c r="R564" s="19">
        <v>0</v>
      </c>
      <c r="S564" s="20" t="s">
        <v>33</v>
      </c>
    </row>
    <row r="565" spans="1:19" ht="15" customHeight="1" x14ac:dyDescent="0.3">
      <c r="A565" s="16">
        <v>482</v>
      </c>
      <c r="B565" s="15" t="s">
        <v>33</v>
      </c>
      <c r="C565" s="15" t="s">
        <v>33</v>
      </c>
      <c r="D565" s="22">
        <v>0</v>
      </c>
      <c r="E565" s="15" t="s">
        <v>33</v>
      </c>
      <c r="F565" s="15" t="s">
        <v>33</v>
      </c>
      <c r="G565" s="15" t="s">
        <v>33</v>
      </c>
      <c r="H565" s="16">
        <v>1</v>
      </c>
      <c r="I565" s="15" t="s">
        <v>33</v>
      </c>
      <c r="J565" s="15" t="s">
        <v>33</v>
      </c>
      <c r="K565" s="15" t="s">
        <v>33</v>
      </c>
      <c r="L565" s="15" t="s">
        <v>33</v>
      </c>
      <c r="M565" s="19">
        <v>0</v>
      </c>
      <c r="N565" s="16">
        <v>0</v>
      </c>
      <c r="O565" s="15" t="s">
        <v>33</v>
      </c>
      <c r="P565" s="16">
        <v>0</v>
      </c>
      <c r="Q565" s="16">
        <v>0</v>
      </c>
      <c r="R565" s="19">
        <v>0</v>
      </c>
      <c r="S565" s="20" t="s">
        <v>33</v>
      </c>
    </row>
    <row r="566" spans="1:19" ht="15" customHeight="1" x14ac:dyDescent="0.3">
      <c r="A566" s="16">
        <v>483</v>
      </c>
      <c r="B566" s="15" t="s">
        <v>33</v>
      </c>
      <c r="C566" s="15" t="s">
        <v>33</v>
      </c>
      <c r="D566" s="22">
        <v>0</v>
      </c>
      <c r="E566" s="15" t="s">
        <v>33</v>
      </c>
      <c r="F566" s="15" t="s">
        <v>33</v>
      </c>
      <c r="G566" s="15" t="s">
        <v>33</v>
      </c>
      <c r="H566" s="16">
        <v>1</v>
      </c>
      <c r="I566" s="15" t="s">
        <v>33</v>
      </c>
      <c r="J566" s="15" t="s">
        <v>33</v>
      </c>
      <c r="K566" s="15" t="s">
        <v>33</v>
      </c>
      <c r="L566" s="15" t="s">
        <v>33</v>
      </c>
      <c r="M566" s="19">
        <v>0</v>
      </c>
      <c r="N566" s="16">
        <v>0</v>
      </c>
      <c r="O566" s="15" t="s">
        <v>33</v>
      </c>
      <c r="P566" s="16">
        <v>0</v>
      </c>
      <c r="Q566" s="16">
        <v>0</v>
      </c>
      <c r="R566" s="19">
        <v>0</v>
      </c>
      <c r="S566" s="20" t="s">
        <v>33</v>
      </c>
    </row>
    <row r="567" spans="1:19" ht="15" customHeight="1" x14ac:dyDescent="0.3">
      <c r="A567" s="16">
        <v>484</v>
      </c>
      <c r="B567" s="15" t="s">
        <v>33</v>
      </c>
      <c r="C567" s="15" t="s">
        <v>33</v>
      </c>
      <c r="D567" s="22">
        <v>0</v>
      </c>
      <c r="E567" s="15" t="s">
        <v>33</v>
      </c>
      <c r="F567" s="15" t="s">
        <v>33</v>
      </c>
      <c r="G567" s="15" t="s">
        <v>33</v>
      </c>
      <c r="H567" s="16">
        <v>1</v>
      </c>
      <c r="I567" s="15" t="s">
        <v>33</v>
      </c>
      <c r="J567" s="15" t="s">
        <v>33</v>
      </c>
      <c r="K567" s="15" t="s">
        <v>33</v>
      </c>
      <c r="L567" s="15" t="s">
        <v>33</v>
      </c>
      <c r="M567" s="19">
        <v>0</v>
      </c>
      <c r="N567" s="16">
        <v>0</v>
      </c>
      <c r="O567" s="15" t="s">
        <v>33</v>
      </c>
      <c r="P567" s="16">
        <v>0</v>
      </c>
      <c r="Q567" s="16">
        <v>0</v>
      </c>
      <c r="R567" s="19">
        <v>0</v>
      </c>
      <c r="S567" s="20" t="s">
        <v>33</v>
      </c>
    </row>
    <row r="568" spans="1:19" ht="15" customHeight="1" x14ac:dyDescent="0.3">
      <c r="A568" s="16">
        <v>485</v>
      </c>
      <c r="B568" s="15" t="s">
        <v>33</v>
      </c>
      <c r="C568" s="15" t="s">
        <v>33</v>
      </c>
      <c r="D568" s="22">
        <v>0</v>
      </c>
      <c r="E568" s="15" t="s">
        <v>33</v>
      </c>
      <c r="F568" s="15" t="s">
        <v>33</v>
      </c>
      <c r="G568" s="15" t="s">
        <v>33</v>
      </c>
      <c r="H568" s="16">
        <v>1</v>
      </c>
      <c r="I568" s="15" t="s">
        <v>33</v>
      </c>
      <c r="J568" s="15" t="s">
        <v>33</v>
      </c>
      <c r="K568" s="15" t="s">
        <v>33</v>
      </c>
      <c r="L568" s="15" t="s">
        <v>33</v>
      </c>
      <c r="M568" s="19">
        <v>0</v>
      </c>
      <c r="N568" s="16">
        <v>0</v>
      </c>
      <c r="O568" s="15" t="s">
        <v>33</v>
      </c>
      <c r="P568" s="16">
        <v>0</v>
      </c>
      <c r="Q568" s="16">
        <v>0</v>
      </c>
      <c r="R568" s="19">
        <v>0</v>
      </c>
      <c r="S568" s="20" t="s">
        <v>33</v>
      </c>
    </row>
    <row r="569" spans="1:19" ht="15" customHeight="1" x14ac:dyDescent="0.3">
      <c r="A569" s="16">
        <v>486</v>
      </c>
      <c r="B569" s="15" t="s">
        <v>33</v>
      </c>
      <c r="C569" s="15" t="s">
        <v>33</v>
      </c>
      <c r="D569" s="22">
        <v>0</v>
      </c>
      <c r="E569" s="15" t="s">
        <v>33</v>
      </c>
      <c r="F569" s="15" t="s">
        <v>33</v>
      </c>
      <c r="G569" s="15" t="s">
        <v>33</v>
      </c>
      <c r="H569" s="16">
        <v>1</v>
      </c>
      <c r="I569" s="15" t="s">
        <v>33</v>
      </c>
      <c r="J569" s="15" t="s">
        <v>33</v>
      </c>
      <c r="K569" s="15" t="s">
        <v>33</v>
      </c>
      <c r="L569" s="15" t="s">
        <v>33</v>
      </c>
      <c r="M569" s="19">
        <v>0</v>
      </c>
      <c r="N569" s="16">
        <v>0</v>
      </c>
      <c r="O569" s="15" t="s">
        <v>33</v>
      </c>
      <c r="P569" s="16">
        <v>0</v>
      </c>
      <c r="Q569" s="16">
        <v>0</v>
      </c>
      <c r="R569" s="19">
        <v>0</v>
      </c>
      <c r="S569" s="20" t="s">
        <v>33</v>
      </c>
    </row>
    <row r="570" spans="1:19" ht="15" customHeight="1" x14ac:dyDescent="0.3">
      <c r="A570" s="16">
        <v>487</v>
      </c>
      <c r="B570" s="15" t="s">
        <v>33</v>
      </c>
      <c r="C570" s="15" t="s">
        <v>33</v>
      </c>
      <c r="D570" s="22">
        <v>0</v>
      </c>
      <c r="E570" s="15" t="s">
        <v>33</v>
      </c>
      <c r="F570" s="15" t="s">
        <v>33</v>
      </c>
      <c r="G570" s="15" t="s">
        <v>33</v>
      </c>
      <c r="H570" s="16">
        <v>1</v>
      </c>
      <c r="I570" s="15" t="s">
        <v>33</v>
      </c>
      <c r="J570" s="15" t="s">
        <v>33</v>
      </c>
      <c r="K570" s="15" t="s">
        <v>33</v>
      </c>
      <c r="L570" s="15" t="s">
        <v>33</v>
      </c>
      <c r="M570" s="19">
        <v>0</v>
      </c>
      <c r="N570" s="16">
        <v>0</v>
      </c>
      <c r="O570" s="15" t="s">
        <v>33</v>
      </c>
      <c r="P570" s="16">
        <v>0</v>
      </c>
      <c r="Q570" s="16">
        <v>0</v>
      </c>
      <c r="R570" s="19">
        <v>0</v>
      </c>
      <c r="S570" s="20" t="s">
        <v>33</v>
      </c>
    </row>
    <row r="571" spans="1:19" ht="15" customHeight="1" x14ac:dyDescent="0.3">
      <c r="A571" s="16">
        <v>488</v>
      </c>
      <c r="B571" s="15" t="s">
        <v>33</v>
      </c>
      <c r="C571" s="15" t="s">
        <v>33</v>
      </c>
      <c r="D571" s="22">
        <v>0</v>
      </c>
      <c r="E571" s="15" t="s">
        <v>33</v>
      </c>
      <c r="F571" s="15" t="s">
        <v>33</v>
      </c>
      <c r="G571" s="15" t="s">
        <v>33</v>
      </c>
      <c r="H571" s="16">
        <v>1</v>
      </c>
      <c r="I571" s="15" t="s">
        <v>33</v>
      </c>
      <c r="J571" s="15" t="s">
        <v>33</v>
      </c>
      <c r="K571" s="15" t="s">
        <v>33</v>
      </c>
      <c r="L571" s="15" t="s">
        <v>33</v>
      </c>
      <c r="M571" s="19">
        <v>0</v>
      </c>
      <c r="N571" s="16">
        <v>0</v>
      </c>
      <c r="O571" s="15" t="s">
        <v>33</v>
      </c>
      <c r="P571" s="16">
        <v>0</v>
      </c>
      <c r="Q571" s="16">
        <v>0</v>
      </c>
      <c r="R571" s="19">
        <v>0</v>
      </c>
      <c r="S571" s="20" t="s">
        <v>33</v>
      </c>
    </row>
    <row r="572" spans="1:19" ht="15" customHeight="1" x14ac:dyDescent="0.3">
      <c r="A572" s="16">
        <v>489</v>
      </c>
      <c r="B572" s="15" t="s">
        <v>33</v>
      </c>
      <c r="C572" s="15" t="s">
        <v>33</v>
      </c>
      <c r="D572" s="22">
        <v>0</v>
      </c>
      <c r="E572" s="15" t="s">
        <v>33</v>
      </c>
      <c r="F572" s="15" t="s">
        <v>33</v>
      </c>
      <c r="G572" s="15" t="s">
        <v>33</v>
      </c>
      <c r="H572" s="16">
        <v>1</v>
      </c>
      <c r="I572" s="15" t="s">
        <v>33</v>
      </c>
      <c r="J572" s="15" t="s">
        <v>33</v>
      </c>
      <c r="K572" s="15" t="s">
        <v>33</v>
      </c>
      <c r="L572" s="15" t="s">
        <v>33</v>
      </c>
      <c r="M572" s="19">
        <v>0</v>
      </c>
      <c r="N572" s="16">
        <v>0</v>
      </c>
      <c r="O572" s="15" t="s">
        <v>33</v>
      </c>
      <c r="P572" s="16">
        <v>0</v>
      </c>
      <c r="Q572" s="16">
        <v>0</v>
      </c>
      <c r="R572" s="19">
        <v>0</v>
      </c>
      <c r="S572" s="20" t="s">
        <v>33</v>
      </c>
    </row>
    <row r="573" spans="1:19" ht="15" customHeight="1" x14ac:dyDescent="0.3">
      <c r="A573" s="16">
        <v>490</v>
      </c>
      <c r="B573" s="15" t="s">
        <v>33</v>
      </c>
      <c r="C573" s="15" t="s">
        <v>33</v>
      </c>
      <c r="D573" s="22">
        <v>0</v>
      </c>
      <c r="E573" s="15" t="s">
        <v>33</v>
      </c>
      <c r="F573" s="15" t="s">
        <v>33</v>
      </c>
      <c r="G573" s="15" t="s">
        <v>33</v>
      </c>
      <c r="H573" s="16">
        <v>1</v>
      </c>
      <c r="I573" s="15" t="s">
        <v>33</v>
      </c>
      <c r="J573" s="15" t="s">
        <v>33</v>
      </c>
      <c r="K573" s="15" t="s">
        <v>33</v>
      </c>
      <c r="L573" s="15" t="s">
        <v>33</v>
      </c>
      <c r="M573" s="19">
        <v>0</v>
      </c>
      <c r="N573" s="16">
        <v>0</v>
      </c>
      <c r="O573" s="15" t="s">
        <v>33</v>
      </c>
      <c r="P573" s="16">
        <v>0</v>
      </c>
      <c r="Q573" s="16">
        <v>0</v>
      </c>
      <c r="R573" s="19">
        <v>0</v>
      </c>
      <c r="S573" s="20" t="s">
        <v>33</v>
      </c>
    </row>
    <row r="574" spans="1:19" ht="15" customHeight="1" x14ac:dyDescent="0.3">
      <c r="A574" s="16">
        <v>491</v>
      </c>
      <c r="B574" s="15" t="s">
        <v>33</v>
      </c>
      <c r="C574" s="15" t="s">
        <v>33</v>
      </c>
      <c r="D574" s="22">
        <v>0</v>
      </c>
      <c r="E574" s="15" t="s">
        <v>33</v>
      </c>
      <c r="F574" s="15" t="s">
        <v>33</v>
      </c>
      <c r="G574" s="15" t="s">
        <v>33</v>
      </c>
      <c r="H574" s="16">
        <v>1</v>
      </c>
      <c r="I574" s="15" t="s">
        <v>33</v>
      </c>
      <c r="J574" s="15" t="s">
        <v>33</v>
      </c>
      <c r="K574" s="15" t="s">
        <v>33</v>
      </c>
      <c r="L574" s="15" t="s">
        <v>33</v>
      </c>
      <c r="M574" s="19">
        <v>0</v>
      </c>
      <c r="N574" s="16">
        <v>0</v>
      </c>
      <c r="O574" s="15" t="s">
        <v>33</v>
      </c>
      <c r="P574" s="16">
        <v>0</v>
      </c>
      <c r="Q574" s="16">
        <v>0</v>
      </c>
      <c r="R574" s="19">
        <v>0</v>
      </c>
      <c r="S574" s="20" t="s">
        <v>33</v>
      </c>
    </row>
    <row r="575" spans="1:19" ht="15" customHeight="1" x14ac:dyDescent="0.3">
      <c r="A575" s="16">
        <v>492</v>
      </c>
      <c r="B575" s="15" t="s">
        <v>33</v>
      </c>
      <c r="C575" s="15" t="s">
        <v>33</v>
      </c>
      <c r="D575" s="22">
        <v>0</v>
      </c>
      <c r="E575" s="15" t="s">
        <v>33</v>
      </c>
      <c r="F575" s="15" t="s">
        <v>33</v>
      </c>
      <c r="G575" s="15" t="s">
        <v>33</v>
      </c>
      <c r="H575" s="16">
        <v>1</v>
      </c>
      <c r="I575" s="15" t="s">
        <v>33</v>
      </c>
      <c r="J575" s="15" t="s">
        <v>33</v>
      </c>
      <c r="K575" s="15" t="s">
        <v>33</v>
      </c>
      <c r="L575" s="15" t="s">
        <v>33</v>
      </c>
      <c r="M575" s="19">
        <v>0</v>
      </c>
      <c r="N575" s="16">
        <v>0</v>
      </c>
      <c r="O575" s="15" t="s">
        <v>33</v>
      </c>
      <c r="P575" s="16">
        <v>0</v>
      </c>
      <c r="Q575" s="16">
        <v>0</v>
      </c>
      <c r="R575" s="19">
        <v>0</v>
      </c>
      <c r="S575" s="20" t="s">
        <v>33</v>
      </c>
    </row>
    <row r="576" spans="1:19" ht="15" customHeight="1" x14ac:dyDescent="0.3">
      <c r="A576" s="16">
        <v>493</v>
      </c>
      <c r="B576" s="15" t="s">
        <v>33</v>
      </c>
      <c r="C576" s="15" t="s">
        <v>33</v>
      </c>
      <c r="D576" s="22">
        <v>0</v>
      </c>
      <c r="E576" s="15" t="s">
        <v>33</v>
      </c>
      <c r="F576" s="15" t="s">
        <v>33</v>
      </c>
      <c r="G576" s="15" t="s">
        <v>33</v>
      </c>
      <c r="H576" s="16">
        <v>1</v>
      </c>
      <c r="I576" s="15" t="s">
        <v>33</v>
      </c>
      <c r="J576" s="15" t="s">
        <v>33</v>
      </c>
      <c r="K576" s="15" t="s">
        <v>33</v>
      </c>
      <c r="L576" s="15" t="s">
        <v>33</v>
      </c>
      <c r="M576" s="19">
        <v>0</v>
      </c>
      <c r="N576" s="16">
        <v>0</v>
      </c>
      <c r="O576" s="15" t="s">
        <v>33</v>
      </c>
      <c r="P576" s="16">
        <v>0</v>
      </c>
      <c r="Q576" s="16">
        <v>0</v>
      </c>
      <c r="R576" s="19">
        <v>0</v>
      </c>
      <c r="S576" s="20" t="s">
        <v>33</v>
      </c>
    </row>
    <row r="577" spans="1:19" ht="15" customHeight="1" x14ac:dyDescent="0.3">
      <c r="A577" s="16">
        <v>494</v>
      </c>
      <c r="B577" s="15" t="s">
        <v>33</v>
      </c>
      <c r="C577" s="15" t="s">
        <v>33</v>
      </c>
      <c r="D577" s="22">
        <v>0</v>
      </c>
      <c r="E577" s="15" t="s">
        <v>33</v>
      </c>
      <c r="F577" s="15" t="s">
        <v>33</v>
      </c>
      <c r="G577" s="15" t="s">
        <v>33</v>
      </c>
      <c r="H577" s="16">
        <v>1</v>
      </c>
      <c r="I577" s="15" t="s">
        <v>33</v>
      </c>
      <c r="J577" s="15" t="s">
        <v>33</v>
      </c>
      <c r="K577" s="15" t="s">
        <v>33</v>
      </c>
      <c r="L577" s="15" t="s">
        <v>33</v>
      </c>
      <c r="M577" s="19">
        <v>0</v>
      </c>
      <c r="N577" s="16">
        <v>0</v>
      </c>
      <c r="O577" s="15" t="s">
        <v>33</v>
      </c>
      <c r="P577" s="16">
        <v>0</v>
      </c>
      <c r="Q577" s="16">
        <v>0</v>
      </c>
      <c r="R577" s="19">
        <v>0</v>
      </c>
      <c r="S577" s="20" t="s">
        <v>33</v>
      </c>
    </row>
    <row r="578" spans="1:19" ht="15" customHeight="1" x14ac:dyDescent="0.3">
      <c r="A578" s="16">
        <v>495</v>
      </c>
      <c r="B578" s="15" t="s">
        <v>33</v>
      </c>
      <c r="C578" s="15" t="s">
        <v>33</v>
      </c>
      <c r="D578" s="22">
        <v>0</v>
      </c>
      <c r="E578" s="15" t="s">
        <v>33</v>
      </c>
      <c r="F578" s="15" t="s">
        <v>33</v>
      </c>
      <c r="G578" s="15" t="s">
        <v>33</v>
      </c>
      <c r="H578" s="16">
        <v>1</v>
      </c>
      <c r="I578" s="15" t="s">
        <v>33</v>
      </c>
      <c r="J578" s="15" t="s">
        <v>33</v>
      </c>
      <c r="K578" s="15" t="s">
        <v>33</v>
      </c>
      <c r="L578" s="15" t="s">
        <v>33</v>
      </c>
      <c r="M578" s="19">
        <v>0</v>
      </c>
      <c r="N578" s="16">
        <v>0</v>
      </c>
      <c r="O578" s="15" t="s">
        <v>33</v>
      </c>
      <c r="P578" s="16">
        <v>0</v>
      </c>
      <c r="Q578" s="16">
        <v>0</v>
      </c>
      <c r="R578" s="19">
        <v>0</v>
      </c>
      <c r="S578" s="20" t="s">
        <v>33</v>
      </c>
    </row>
    <row r="579" spans="1:19" ht="15" customHeight="1" x14ac:dyDescent="0.3">
      <c r="A579" s="16">
        <v>496</v>
      </c>
      <c r="B579" s="15" t="s">
        <v>33</v>
      </c>
      <c r="C579" s="15" t="s">
        <v>33</v>
      </c>
      <c r="D579" s="22">
        <v>0</v>
      </c>
      <c r="E579" s="15" t="s">
        <v>33</v>
      </c>
      <c r="F579" s="15" t="s">
        <v>33</v>
      </c>
      <c r="G579" s="15" t="s">
        <v>33</v>
      </c>
      <c r="H579" s="16">
        <v>1</v>
      </c>
      <c r="I579" s="15" t="s">
        <v>33</v>
      </c>
      <c r="J579" s="15" t="s">
        <v>33</v>
      </c>
      <c r="K579" s="15" t="s">
        <v>33</v>
      </c>
      <c r="L579" s="15" t="s">
        <v>33</v>
      </c>
      <c r="M579" s="19">
        <v>0</v>
      </c>
      <c r="N579" s="16">
        <v>0</v>
      </c>
      <c r="O579" s="15" t="s">
        <v>33</v>
      </c>
      <c r="P579" s="16">
        <v>0</v>
      </c>
      <c r="Q579" s="16">
        <v>0</v>
      </c>
      <c r="R579" s="19">
        <v>0</v>
      </c>
      <c r="S579" s="20" t="s">
        <v>33</v>
      </c>
    </row>
    <row r="580" spans="1:19" ht="15" customHeight="1" x14ac:dyDescent="0.3">
      <c r="A580" s="16">
        <v>497</v>
      </c>
      <c r="B580" s="15" t="s">
        <v>33</v>
      </c>
      <c r="C580" s="15" t="s">
        <v>33</v>
      </c>
      <c r="D580" s="22">
        <v>0</v>
      </c>
      <c r="E580" s="15" t="s">
        <v>33</v>
      </c>
      <c r="F580" s="15" t="s">
        <v>33</v>
      </c>
      <c r="G580" s="15" t="s">
        <v>33</v>
      </c>
      <c r="H580" s="16">
        <v>1</v>
      </c>
      <c r="I580" s="15" t="s">
        <v>33</v>
      </c>
      <c r="J580" s="15" t="s">
        <v>33</v>
      </c>
      <c r="K580" s="15" t="s">
        <v>33</v>
      </c>
      <c r="L580" s="15" t="s">
        <v>33</v>
      </c>
      <c r="M580" s="19">
        <v>0</v>
      </c>
      <c r="N580" s="16">
        <v>0</v>
      </c>
      <c r="O580" s="15" t="s">
        <v>33</v>
      </c>
      <c r="P580" s="16">
        <v>0</v>
      </c>
      <c r="Q580" s="16">
        <v>0</v>
      </c>
      <c r="R580" s="19">
        <v>0</v>
      </c>
      <c r="S580" s="20" t="s">
        <v>33</v>
      </c>
    </row>
    <row r="581" spans="1:19" ht="15" customHeight="1" x14ac:dyDescent="0.3">
      <c r="A581" s="16">
        <v>498</v>
      </c>
      <c r="B581" s="15" t="s">
        <v>33</v>
      </c>
      <c r="C581" s="15" t="s">
        <v>33</v>
      </c>
      <c r="D581" s="22">
        <v>0</v>
      </c>
      <c r="E581" s="15" t="s">
        <v>33</v>
      </c>
      <c r="F581" s="15" t="s">
        <v>33</v>
      </c>
      <c r="G581" s="15" t="s">
        <v>33</v>
      </c>
      <c r="H581" s="16">
        <v>1</v>
      </c>
      <c r="I581" s="15" t="s">
        <v>33</v>
      </c>
      <c r="J581" s="15" t="s">
        <v>33</v>
      </c>
      <c r="K581" s="15" t="s">
        <v>33</v>
      </c>
      <c r="L581" s="15" t="s">
        <v>33</v>
      </c>
      <c r="M581" s="19">
        <v>0</v>
      </c>
      <c r="N581" s="16">
        <v>0</v>
      </c>
      <c r="O581" s="15" t="s">
        <v>33</v>
      </c>
      <c r="P581" s="16">
        <v>0</v>
      </c>
      <c r="Q581" s="16">
        <v>0</v>
      </c>
      <c r="R581" s="19">
        <v>0</v>
      </c>
      <c r="S581" s="20" t="s">
        <v>33</v>
      </c>
    </row>
    <row r="582" spans="1:19" ht="15" customHeight="1" x14ac:dyDescent="0.3">
      <c r="A582" s="16">
        <v>499</v>
      </c>
      <c r="B582" s="15" t="s">
        <v>33</v>
      </c>
      <c r="C582" s="15" t="s">
        <v>33</v>
      </c>
      <c r="D582" s="22">
        <v>0</v>
      </c>
      <c r="E582" s="15" t="s">
        <v>33</v>
      </c>
      <c r="F582" s="15" t="s">
        <v>33</v>
      </c>
      <c r="G582" s="15" t="s">
        <v>33</v>
      </c>
      <c r="H582" s="16">
        <v>1</v>
      </c>
      <c r="I582" s="15" t="s">
        <v>33</v>
      </c>
      <c r="J582" s="15" t="s">
        <v>33</v>
      </c>
      <c r="K582" s="15" t="s">
        <v>33</v>
      </c>
      <c r="L582" s="15" t="s">
        <v>33</v>
      </c>
      <c r="M582" s="19">
        <v>0</v>
      </c>
      <c r="N582" s="16">
        <v>0</v>
      </c>
      <c r="O582" s="15" t="s">
        <v>33</v>
      </c>
      <c r="P582" s="16">
        <v>0</v>
      </c>
      <c r="Q582" s="16">
        <v>0</v>
      </c>
      <c r="R582" s="19">
        <v>0</v>
      </c>
      <c r="S582" s="20" t="s">
        <v>33</v>
      </c>
    </row>
    <row r="583" spans="1:19" ht="15" customHeight="1" x14ac:dyDescent="0.3">
      <c r="A583" s="16">
        <v>500</v>
      </c>
      <c r="B583" s="15" t="s">
        <v>33</v>
      </c>
      <c r="C583" s="15" t="s">
        <v>33</v>
      </c>
      <c r="D583" s="22">
        <v>0</v>
      </c>
      <c r="E583" s="15" t="s">
        <v>33</v>
      </c>
      <c r="F583" s="15" t="s">
        <v>33</v>
      </c>
      <c r="G583" s="15" t="s">
        <v>33</v>
      </c>
      <c r="H583" s="16">
        <v>1</v>
      </c>
      <c r="I583" s="15" t="s">
        <v>33</v>
      </c>
      <c r="J583" s="15" t="s">
        <v>33</v>
      </c>
      <c r="K583" s="15" t="s">
        <v>33</v>
      </c>
      <c r="L583" s="15" t="s">
        <v>33</v>
      </c>
      <c r="M583" s="19">
        <v>0</v>
      </c>
      <c r="N583" s="16">
        <v>0</v>
      </c>
      <c r="O583" s="15" t="s">
        <v>33</v>
      </c>
      <c r="P583" s="16">
        <v>0</v>
      </c>
      <c r="Q583" s="16">
        <v>0</v>
      </c>
      <c r="R583" s="19">
        <v>0</v>
      </c>
      <c r="S583" s="20" t="s">
        <v>33</v>
      </c>
    </row>
    <row r="584" spans="1:19" ht="15" customHeight="1" x14ac:dyDescent="0.3">
      <c r="A584" s="16">
        <v>501</v>
      </c>
      <c r="B584" s="15" t="s">
        <v>33</v>
      </c>
      <c r="C584" s="15" t="s">
        <v>33</v>
      </c>
      <c r="D584" s="22">
        <v>0</v>
      </c>
      <c r="E584" s="15" t="s">
        <v>33</v>
      </c>
      <c r="F584" s="15" t="s">
        <v>33</v>
      </c>
      <c r="G584" s="15" t="s">
        <v>33</v>
      </c>
      <c r="H584" s="16">
        <v>1</v>
      </c>
      <c r="I584" s="15" t="s">
        <v>33</v>
      </c>
      <c r="J584" s="15" t="s">
        <v>33</v>
      </c>
      <c r="K584" s="15" t="s">
        <v>33</v>
      </c>
      <c r="L584" s="15" t="s">
        <v>33</v>
      </c>
      <c r="M584" s="19">
        <v>0</v>
      </c>
      <c r="N584" s="16">
        <v>0</v>
      </c>
      <c r="O584" s="15" t="s">
        <v>33</v>
      </c>
      <c r="P584" s="16">
        <v>0</v>
      </c>
      <c r="Q584" s="16">
        <v>0</v>
      </c>
      <c r="R584" s="19">
        <v>0</v>
      </c>
      <c r="S584" s="20" t="s">
        <v>33</v>
      </c>
    </row>
    <row r="585" spans="1:19" ht="15" customHeight="1" x14ac:dyDescent="0.3">
      <c r="A585" s="16">
        <v>502</v>
      </c>
      <c r="B585" s="15" t="s">
        <v>33</v>
      </c>
      <c r="C585" s="15" t="s">
        <v>33</v>
      </c>
      <c r="D585" s="22">
        <v>0</v>
      </c>
      <c r="E585" s="15" t="s">
        <v>33</v>
      </c>
      <c r="F585" s="15" t="s">
        <v>33</v>
      </c>
      <c r="G585" s="15" t="s">
        <v>33</v>
      </c>
      <c r="H585" s="16">
        <v>1</v>
      </c>
      <c r="I585" s="15" t="s">
        <v>33</v>
      </c>
      <c r="J585" s="15" t="s">
        <v>33</v>
      </c>
      <c r="K585" s="15" t="s">
        <v>33</v>
      </c>
      <c r="L585" s="15" t="s">
        <v>33</v>
      </c>
      <c r="M585" s="19">
        <v>0</v>
      </c>
      <c r="N585" s="16">
        <v>0</v>
      </c>
      <c r="O585" s="15" t="s">
        <v>33</v>
      </c>
      <c r="P585" s="16">
        <v>0</v>
      </c>
      <c r="Q585" s="16">
        <v>0</v>
      </c>
      <c r="R585" s="19">
        <v>0</v>
      </c>
      <c r="S585" s="20" t="s">
        <v>33</v>
      </c>
    </row>
    <row r="586" spans="1:19" ht="15" customHeight="1" x14ac:dyDescent="0.3">
      <c r="A586" s="16">
        <v>503</v>
      </c>
      <c r="B586" s="15" t="s">
        <v>33</v>
      </c>
      <c r="C586" s="15" t="s">
        <v>33</v>
      </c>
      <c r="D586" s="22">
        <v>0</v>
      </c>
      <c r="E586" s="15" t="s">
        <v>33</v>
      </c>
      <c r="F586" s="15" t="s">
        <v>33</v>
      </c>
      <c r="G586" s="15" t="s">
        <v>33</v>
      </c>
      <c r="H586" s="16">
        <v>1</v>
      </c>
      <c r="I586" s="15" t="s">
        <v>33</v>
      </c>
      <c r="J586" s="15" t="s">
        <v>33</v>
      </c>
      <c r="K586" s="15" t="s">
        <v>33</v>
      </c>
      <c r="L586" s="15" t="s">
        <v>33</v>
      </c>
      <c r="M586" s="19">
        <v>0</v>
      </c>
      <c r="N586" s="16">
        <v>0</v>
      </c>
      <c r="O586" s="15" t="s">
        <v>33</v>
      </c>
      <c r="P586" s="16">
        <v>0</v>
      </c>
      <c r="Q586" s="16">
        <v>0</v>
      </c>
      <c r="R586" s="19">
        <v>0</v>
      </c>
      <c r="S586" s="20" t="s">
        <v>33</v>
      </c>
    </row>
    <row r="587" spans="1:19" ht="15" customHeight="1" x14ac:dyDescent="0.3">
      <c r="A587" s="16">
        <v>504</v>
      </c>
      <c r="B587" s="15" t="s">
        <v>33</v>
      </c>
      <c r="C587" s="15" t="s">
        <v>33</v>
      </c>
      <c r="D587" s="22">
        <v>0</v>
      </c>
      <c r="E587" s="15" t="s">
        <v>33</v>
      </c>
      <c r="F587" s="15" t="s">
        <v>33</v>
      </c>
      <c r="G587" s="15" t="s">
        <v>33</v>
      </c>
      <c r="H587" s="16">
        <v>1</v>
      </c>
      <c r="I587" s="15" t="s">
        <v>33</v>
      </c>
      <c r="J587" s="15" t="s">
        <v>33</v>
      </c>
      <c r="K587" s="15" t="s">
        <v>33</v>
      </c>
      <c r="L587" s="15" t="s">
        <v>33</v>
      </c>
      <c r="M587" s="19">
        <v>0</v>
      </c>
      <c r="N587" s="16">
        <v>0</v>
      </c>
      <c r="O587" s="15" t="s">
        <v>33</v>
      </c>
      <c r="P587" s="16">
        <v>0</v>
      </c>
      <c r="Q587" s="16">
        <v>0</v>
      </c>
      <c r="R587" s="19">
        <v>0</v>
      </c>
      <c r="S587" s="20" t="s">
        <v>33</v>
      </c>
    </row>
    <row r="588" spans="1:19" ht="15" customHeight="1" x14ac:dyDescent="0.3">
      <c r="A588" s="16">
        <v>505</v>
      </c>
      <c r="B588" s="15" t="s">
        <v>33</v>
      </c>
      <c r="C588" s="15" t="s">
        <v>33</v>
      </c>
      <c r="D588" s="22">
        <v>0</v>
      </c>
      <c r="E588" s="15" t="s">
        <v>33</v>
      </c>
      <c r="F588" s="15" t="s">
        <v>33</v>
      </c>
      <c r="G588" s="15" t="s">
        <v>33</v>
      </c>
      <c r="H588" s="16">
        <v>1</v>
      </c>
      <c r="I588" s="15" t="s">
        <v>33</v>
      </c>
      <c r="J588" s="15" t="s">
        <v>33</v>
      </c>
      <c r="K588" s="15" t="s">
        <v>33</v>
      </c>
      <c r="L588" s="15" t="s">
        <v>33</v>
      </c>
      <c r="M588" s="19">
        <v>0</v>
      </c>
      <c r="N588" s="16">
        <v>0</v>
      </c>
      <c r="O588" s="15" t="s">
        <v>33</v>
      </c>
      <c r="P588" s="16">
        <v>0</v>
      </c>
      <c r="Q588" s="16">
        <v>0</v>
      </c>
      <c r="R588" s="19">
        <v>0</v>
      </c>
      <c r="S588" s="20" t="s">
        <v>33</v>
      </c>
    </row>
    <row r="589" spans="1:19" ht="15" customHeight="1" x14ac:dyDescent="0.3">
      <c r="A589" s="16">
        <v>506</v>
      </c>
      <c r="B589" s="15" t="s">
        <v>33</v>
      </c>
      <c r="C589" s="15" t="s">
        <v>33</v>
      </c>
      <c r="D589" s="22">
        <v>0</v>
      </c>
      <c r="E589" s="15" t="s">
        <v>33</v>
      </c>
      <c r="F589" s="15" t="s">
        <v>33</v>
      </c>
      <c r="G589" s="15" t="s">
        <v>33</v>
      </c>
      <c r="H589" s="16">
        <v>1</v>
      </c>
      <c r="I589" s="15" t="s">
        <v>33</v>
      </c>
      <c r="J589" s="15" t="s">
        <v>33</v>
      </c>
      <c r="K589" s="15" t="s">
        <v>33</v>
      </c>
      <c r="L589" s="15" t="s">
        <v>33</v>
      </c>
      <c r="M589" s="19">
        <v>0</v>
      </c>
      <c r="N589" s="16">
        <v>0</v>
      </c>
      <c r="O589" s="15" t="s">
        <v>33</v>
      </c>
      <c r="P589" s="16">
        <v>0</v>
      </c>
      <c r="Q589" s="16">
        <v>0</v>
      </c>
      <c r="R589" s="19">
        <v>0</v>
      </c>
      <c r="S589" s="20" t="s">
        <v>33</v>
      </c>
    </row>
    <row r="590" spans="1:19" ht="15" customHeight="1" x14ac:dyDescent="0.3">
      <c r="A590" s="16">
        <v>507</v>
      </c>
      <c r="B590" s="15" t="s">
        <v>33</v>
      </c>
      <c r="C590" s="15" t="s">
        <v>33</v>
      </c>
      <c r="D590" s="22">
        <v>0</v>
      </c>
      <c r="E590" s="15" t="s">
        <v>33</v>
      </c>
      <c r="F590" s="15" t="s">
        <v>33</v>
      </c>
      <c r="G590" s="15" t="s">
        <v>33</v>
      </c>
      <c r="H590" s="16">
        <v>1</v>
      </c>
      <c r="I590" s="15" t="s">
        <v>33</v>
      </c>
      <c r="J590" s="15" t="s">
        <v>33</v>
      </c>
      <c r="K590" s="15" t="s">
        <v>33</v>
      </c>
      <c r="L590" s="15" t="s">
        <v>33</v>
      </c>
      <c r="M590" s="19">
        <v>0</v>
      </c>
      <c r="N590" s="16">
        <v>0</v>
      </c>
      <c r="O590" s="15" t="s">
        <v>33</v>
      </c>
      <c r="P590" s="16">
        <v>0</v>
      </c>
      <c r="Q590" s="16">
        <v>0</v>
      </c>
      <c r="R590" s="19">
        <v>0</v>
      </c>
      <c r="S590" s="20" t="s">
        <v>33</v>
      </c>
    </row>
    <row r="591" spans="1:19" ht="15" customHeight="1" x14ac:dyDescent="0.3">
      <c r="A591" s="16">
        <v>508</v>
      </c>
      <c r="B591" s="15" t="s">
        <v>33</v>
      </c>
      <c r="C591" s="15" t="s">
        <v>33</v>
      </c>
      <c r="D591" s="22">
        <v>0</v>
      </c>
      <c r="E591" s="15" t="s">
        <v>33</v>
      </c>
      <c r="F591" s="15" t="s">
        <v>33</v>
      </c>
      <c r="G591" s="15" t="s">
        <v>33</v>
      </c>
      <c r="H591" s="16">
        <v>1</v>
      </c>
      <c r="I591" s="15" t="s">
        <v>33</v>
      </c>
      <c r="J591" s="15" t="s">
        <v>33</v>
      </c>
      <c r="K591" s="15" t="s">
        <v>33</v>
      </c>
      <c r="L591" s="15" t="s">
        <v>33</v>
      </c>
      <c r="M591" s="19">
        <v>0</v>
      </c>
      <c r="N591" s="16">
        <v>0</v>
      </c>
      <c r="O591" s="15" t="s">
        <v>33</v>
      </c>
      <c r="P591" s="16">
        <v>0</v>
      </c>
      <c r="Q591" s="16">
        <v>0</v>
      </c>
      <c r="R591" s="19">
        <v>0</v>
      </c>
      <c r="S591" s="20" t="s">
        <v>33</v>
      </c>
    </row>
    <row r="592" spans="1:19" ht="15" customHeight="1" x14ac:dyDescent="0.3">
      <c r="A592" s="16">
        <v>509</v>
      </c>
      <c r="B592" s="15" t="s">
        <v>33</v>
      </c>
      <c r="C592" s="15" t="s">
        <v>33</v>
      </c>
      <c r="D592" s="22">
        <v>0</v>
      </c>
      <c r="E592" s="15" t="s">
        <v>33</v>
      </c>
      <c r="F592" s="15" t="s">
        <v>33</v>
      </c>
      <c r="G592" s="15" t="s">
        <v>33</v>
      </c>
      <c r="H592" s="16">
        <v>1</v>
      </c>
      <c r="I592" s="15" t="s">
        <v>33</v>
      </c>
      <c r="J592" s="15" t="s">
        <v>33</v>
      </c>
      <c r="K592" s="15" t="s">
        <v>33</v>
      </c>
      <c r="L592" s="15" t="s">
        <v>33</v>
      </c>
      <c r="M592" s="19">
        <v>0</v>
      </c>
      <c r="N592" s="16">
        <v>0</v>
      </c>
      <c r="O592" s="15" t="s">
        <v>33</v>
      </c>
      <c r="P592" s="16">
        <v>0</v>
      </c>
      <c r="Q592" s="16">
        <v>0</v>
      </c>
      <c r="R592" s="19">
        <v>0</v>
      </c>
      <c r="S592" s="20" t="s">
        <v>33</v>
      </c>
    </row>
    <row r="593" spans="1:19" ht="15" customHeight="1" x14ac:dyDescent="0.3">
      <c r="A593" s="16">
        <v>510</v>
      </c>
      <c r="B593" s="15" t="s">
        <v>33</v>
      </c>
      <c r="C593" s="15" t="s">
        <v>33</v>
      </c>
      <c r="D593" s="22">
        <v>0</v>
      </c>
      <c r="E593" s="15" t="s">
        <v>33</v>
      </c>
      <c r="F593" s="15" t="s">
        <v>33</v>
      </c>
      <c r="G593" s="15" t="s">
        <v>33</v>
      </c>
      <c r="H593" s="16">
        <v>1</v>
      </c>
      <c r="I593" s="15" t="s">
        <v>33</v>
      </c>
      <c r="J593" s="15" t="s">
        <v>33</v>
      </c>
      <c r="K593" s="15" t="s">
        <v>33</v>
      </c>
      <c r="L593" s="15" t="s">
        <v>33</v>
      </c>
      <c r="M593" s="19">
        <v>0</v>
      </c>
      <c r="N593" s="16">
        <v>0</v>
      </c>
      <c r="O593" s="15" t="s">
        <v>33</v>
      </c>
      <c r="P593" s="16">
        <v>0</v>
      </c>
      <c r="Q593" s="16">
        <v>0</v>
      </c>
      <c r="R593" s="19">
        <v>0</v>
      </c>
      <c r="S593" s="20" t="s">
        <v>33</v>
      </c>
    </row>
    <row r="594" spans="1:19" ht="15" customHeight="1" x14ac:dyDescent="0.3">
      <c r="A594" s="16">
        <v>511</v>
      </c>
      <c r="B594" s="15" t="s">
        <v>33</v>
      </c>
      <c r="C594" s="15" t="s">
        <v>33</v>
      </c>
      <c r="D594" s="22">
        <v>0</v>
      </c>
      <c r="E594" s="15" t="s">
        <v>33</v>
      </c>
      <c r="F594" s="15" t="s">
        <v>33</v>
      </c>
      <c r="G594" s="15" t="s">
        <v>33</v>
      </c>
      <c r="H594" s="16">
        <v>1</v>
      </c>
      <c r="I594" s="15" t="s">
        <v>33</v>
      </c>
      <c r="J594" s="15" t="s">
        <v>33</v>
      </c>
      <c r="K594" s="15" t="s">
        <v>33</v>
      </c>
      <c r="L594" s="15" t="s">
        <v>33</v>
      </c>
      <c r="M594" s="19">
        <v>0</v>
      </c>
      <c r="N594" s="16">
        <v>0</v>
      </c>
      <c r="O594" s="15" t="s">
        <v>33</v>
      </c>
      <c r="P594" s="16">
        <v>0</v>
      </c>
      <c r="Q594" s="16">
        <v>0</v>
      </c>
      <c r="R594" s="19">
        <v>0</v>
      </c>
      <c r="S594" s="20" t="s">
        <v>33</v>
      </c>
    </row>
    <row r="595" spans="1:19" ht="15" customHeight="1" x14ac:dyDescent="0.3">
      <c r="A595" s="16">
        <v>512</v>
      </c>
      <c r="B595" s="15" t="s">
        <v>33</v>
      </c>
      <c r="C595" s="15" t="s">
        <v>33</v>
      </c>
      <c r="D595" s="22">
        <v>0</v>
      </c>
      <c r="E595" s="15" t="s">
        <v>33</v>
      </c>
      <c r="F595" s="15" t="s">
        <v>33</v>
      </c>
      <c r="G595" s="15" t="s">
        <v>33</v>
      </c>
      <c r="H595" s="16">
        <v>1</v>
      </c>
      <c r="I595" s="15" t="s">
        <v>33</v>
      </c>
      <c r="J595" s="15" t="s">
        <v>33</v>
      </c>
      <c r="K595" s="15" t="s">
        <v>33</v>
      </c>
      <c r="L595" s="15" t="s">
        <v>33</v>
      </c>
      <c r="M595" s="19">
        <v>0</v>
      </c>
      <c r="N595" s="16">
        <v>0</v>
      </c>
      <c r="O595" s="15" t="s">
        <v>33</v>
      </c>
      <c r="P595" s="16">
        <v>0</v>
      </c>
      <c r="Q595" s="16">
        <v>0</v>
      </c>
      <c r="R595" s="19">
        <v>0</v>
      </c>
      <c r="S595" s="20" t="s">
        <v>33</v>
      </c>
    </row>
    <row r="596" spans="1:19" ht="15" customHeight="1" x14ac:dyDescent="0.3">
      <c r="A596" s="16">
        <v>513</v>
      </c>
      <c r="B596" s="15" t="s">
        <v>33</v>
      </c>
      <c r="C596" s="15" t="s">
        <v>33</v>
      </c>
      <c r="D596" s="22">
        <v>0</v>
      </c>
      <c r="E596" s="15" t="s">
        <v>33</v>
      </c>
      <c r="F596" s="15" t="s">
        <v>33</v>
      </c>
      <c r="G596" s="15" t="s">
        <v>33</v>
      </c>
      <c r="H596" s="16">
        <v>1</v>
      </c>
      <c r="I596" s="15" t="s">
        <v>33</v>
      </c>
      <c r="J596" s="15" t="s">
        <v>33</v>
      </c>
      <c r="K596" s="15" t="s">
        <v>33</v>
      </c>
      <c r="L596" s="15" t="s">
        <v>33</v>
      </c>
      <c r="M596" s="19">
        <v>0</v>
      </c>
      <c r="N596" s="16">
        <v>0</v>
      </c>
      <c r="O596" s="15" t="s">
        <v>33</v>
      </c>
      <c r="P596" s="16">
        <v>0</v>
      </c>
      <c r="Q596" s="16">
        <v>0</v>
      </c>
      <c r="R596" s="19">
        <v>0</v>
      </c>
      <c r="S596" s="20" t="s">
        <v>33</v>
      </c>
    </row>
    <row r="597" spans="1:19" ht="15" customHeight="1" x14ac:dyDescent="0.3">
      <c r="A597" s="16">
        <v>514</v>
      </c>
      <c r="B597" s="15" t="s">
        <v>33</v>
      </c>
      <c r="C597" s="15" t="s">
        <v>33</v>
      </c>
      <c r="D597" s="22">
        <v>0</v>
      </c>
      <c r="E597" s="15" t="s">
        <v>33</v>
      </c>
      <c r="F597" s="15" t="s">
        <v>33</v>
      </c>
      <c r="G597" s="15" t="s">
        <v>33</v>
      </c>
      <c r="H597" s="16">
        <v>1</v>
      </c>
      <c r="I597" s="15" t="s">
        <v>33</v>
      </c>
      <c r="J597" s="15" t="s">
        <v>33</v>
      </c>
      <c r="K597" s="15" t="s">
        <v>33</v>
      </c>
      <c r="L597" s="15" t="s">
        <v>33</v>
      </c>
      <c r="M597" s="19">
        <v>0</v>
      </c>
      <c r="N597" s="16">
        <v>0</v>
      </c>
      <c r="O597" s="15" t="s">
        <v>33</v>
      </c>
      <c r="P597" s="16">
        <v>0</v>
      </c>
      <c r="Q597" s="16">
        <v>0</v>
      </c>
      <c r="R597" s="19">
        <v>0</v>
      </c>
      <c r="S597" s="20" t="s">
        <v>33</v>
      </c>
    </row>
    <row r="598" spans="1:19" ht="15" customHeight="1" x14ac:dyDescent="0.3">
      <c r="A598" s="16">
        <v>515</v>
      </c>
      <c r="B598" s="15" t="s">
        <v>33</v>
      </c>
      <c r="C598" s="15" t="s">
        <v>33</v>
      </c>
      <c r="D598" s="22">
        <v>0</v>
      </c>
      <c r="E598" s="15" t="s">
        <v>33</v>
      </c>
      <c r="F598" s="15" t="s">
        <v>33</v>
      </c>
      <c r="G598" s="15" t="s">
        <v>33</v>
      </c>
      <c r="H598" s="16">
        <v>1</v>
      </c>
      <c r="I598" s="15" t="s">
        <v>33</v>
      </c>
      <c r="J598" s="15" t="s">
        <v>33</v>
      </c>
      <c r="K598" s="15" t="s">
        <v>33</v>
      </c>
      <c r="L598" s="15" t="s">
        <v>33</v>
      </c>
      <c r="M598" s="19">
        <v>0</v>
      </c>
      <c r="N598" s="16">
        <v>0</v>
      </c>
      <c r="O598" s="15" t="s">
        <v>33</v>
      </c>
      <c r="P598" s="16">
        <v>0</v>
      </c>
      <c r="Q598" s="16">
        <v>0</v>
      </c>
      <c r="R598" s="19">
        <v>0</v>
      </c>
      <c r="S598" s="20" t="s">
        <v>33</v>
      </c>
    </row>
    <row r="599" spans="1:19" ht="15" customHeight="1" x14ac:dyDescent="0.3">
      <c r="A599" s="16">
        <v>516</v>
      </c>
      <c r="B599" s="15" t="s">
        <v>33</v>
      </c>
      <c r="C599" s="15" t="s">
        <v>33</v>
      </c>
      <c r="D599" s="22">
        <v>0</v>
      </c>
      <c r="E599" s="15" t="s">
        <v>33</v>
      </c>
      <c r="F599" s="15" t="s">
        <v>33</v>
      </c>
      <c r="G599" s="15" t="s">
        <v>33</v>
      </c>
      <c r="H599" s="16">
        <v>1</v>
      </c>
      <c r="I599" s="15" t="s">
        <v>33</v>
      </c>
      <c r="J599" s="15" t="s">
        <v>33</v>
      </c>
      <c r="K599" s="15" t="s">
        <v>33</v>
      </c>
      <c r="L599" s="15" t="s">
        <v>33</v>
      </c>
      <c r="M599" s="19">
        <v>0</v>
      </c>
      <c r="N599" s="16">
        <v>0</v>
      </c>
      <c r="O599" s="15" t="s">
        <v>33</v>
      </c>
      <c r="P599" s="16">
        <v>0</v>
      </c>
      <c r="Q599" s="16">
        <v>0</v>
      </c>
      <c r="R599" s="19">
        <v>0</v>
      </c>
      <c r="S599" s="20" t="s">
        <v>33</v>
      </c>
    </row>
    <row r="600" spans="1:19" ht="15" customHeight="1" x14ac:dyDescent="0.3">
      <c r="A600" s="16">
        <v>517</v>
      </c>
      <c r="B600" s="15" t="s">
        <v>33</v>
      </c>
      <c r="C600" s="15" t="s">
        <v>33</v>
      </c>
      <c r="D600" s="22">
        <v>0</v>
      </c>
      <c r="E600" s="15" t="s">
        <v>33</v>
      </c>
      <c r="F600" s="15" t="s">
        <v>33</v>
      </c>
      <c r="G600" s="15" t="s">
        <v>33</v>
      </c>
      <c r="H600" s="16">
        <v>1</v>
      </c>
      <c r="I600" s="15" t="s">
        <v>33</v>
      </c>
      <c r="J600" s="15" t="s">
        <v>33</v>
      </c>
      <c r="K600" s="15" t="s">
        <v>33</v>
      </c>
      <c r="L600" s="15" t="s">
        <v>33</v>
      </c>
      <c r="M600" s="19">
        <v>0</v>
      </c>
      <c r="N600" s="16">
        <v>0</v>
      </c>
      <c r="O600" s="15" t="s">
        <v>33</v>
      </c>
      <c r="P600" s="16">
        <v>0</v>
      </c>
      <c r="Q600" s="16">
        <v>0</v>
      </c>
      <c r="R600" s="19">
        <v>0</v>
      </c>
      <c r="S600" s="20" t="s">
        <v>33</v>
      </c>
    </row>
    <row r="601" spans="1:19" ht="15" customHeight="1" x14ac:dyDescent="0.3">
      <c r="A601" s="16">
        <v>518</v>
      </c>
      <c r="B601" s="15" t="s">
        <v>33</v>
      </c>
      <c r="C601" s="15" t="s">
        <v>33</v>
      </c>
      <c r="D601" s="22">
        <v>0</v>
      </c>
      <c r="E601" s="15" t="s">
        <v>33</v>
      </c>
      <c r="F601" s="15" t="s">
        <v>33</v>
      </c>
      <c r="G601" s="15" t="s">
        <v>33</v>
      </c>
      <c r="H601" s="16">
        <v>1</v>
      </c>
      <c r="I601" s="15" t="s">
        <v>33</v>
      </c>
      <c r="J601" s="15" t="s">
        <v>33</v>
      </c>
      <c r="K601" s="15" t="s">
        <v>33</v>
      </c>
      <c r="L601" s="15" t="s">
        <v>33</v>
      </c>
      <c r="M601" s="19">
        <v>0</v>
      </c>
      <c r="N601" s="16">
        <v>0</v>
      </c>
      <c r="O601" s="15" t="s">
        <v>33</v>
      </c>
      <c r="P601" s="16">
        <v>0</v>
      </c>
      <c r="Q601" s="16">
        <v>0</v>
      </c>
      <c r="R601" s="19">
        <v>0</v>
      </c>
      <c r="S601" s="20" t="s">
        <v>33</v>
      </c>
    </row>
    <row r="602" spans="1:19" ht="15" customHeight="1" x14ac:dyDescent="0.3">
      <c r="A602" s="16">
        <v>519</v>
      </c>
      <c r="B602" s="15" t="s">
        <v>33</v>
      </c>
      <c r="C602" s="15" t="s">
        <v>33</v>
      </c>
      <c r="D602" s="22">
        <v>0</v>
      </c>
      <c r="E602" s="15" t="s">
        <v>33</v>
      </c>
      <c r="F602" s="15" t="s">
        <v>33</v>
      </c>
      <c r="G602" s="15" t="s">
        <v>33</v>
      </c>
      <c r="H602" s="16">
        <v>1</v>
      </c>
      <c r="I602" s="15" t="s">
        <v>33</v>
      </c>
      <c r="J602" s="15" t="s">
        <v>33</v>
      </c>
      <c r="K602" s="15" t="s">
        <v>33</v>
      </c>
      <c r="L602" s="15" t="s">
        <v>33</v>
      </c>
      <c r="M602" s="19">
        <v>0</v>
      </c>
      <c r="N602" s="16">
        <v>0</v>
      </c>
      <c r="O602" s="15" t="s">
        <v>33</v>
      </c>
      <c r="P602" s="16">
        <v>0</v>
      </c>
      <c r="Q602" s="16">
        <v>0</v>
      </c>
      <c r="R602" s="19">
        <v>0</v>
      </c>
      <c r="S602" s="20" t="s">
        <v>33</v>
      </c>
    </row>
    <row r="603" spans="1:19" ht="15" customHeight="1" x14ac:dyDescent="0.3">
      <c r="A603" s="16">
        <v>520</v>
      </c>
      <c r="B603" s="15" t="s">
        <v>33</v>
      </c>
      <c r="C603" s="15" t="s">
        <v>33</v>
      </c>
      <c r="D603" s="22">
        <v>0</v>
      </c>
      <c r="E603" s="15" t="s">
        <v>33</v>
      </c>
      <c r="F603" s="15" t="s">
        <v>33</v>
      </c>
      <c r="G603" s="15" t="s">
        <v>33</v>
      </c>
      <c r="H603" s="16">
        <v>1</v>
      </c>
      <c r="I603" s="15" t="s">
        <v>33</v>
      </c>
      <c r="J603" s="15" t="s">
        <v>33</v>
      </c>
      <c r="K603" s="15" t="s">
        <v>33</v>
      </c>
      <c r="L603" s="15" t="s">
        <v>33</v>
      </c>
      <c r="M603" s="19">
        <v>0</v>
      </c>
      <c r="N603" s="16">
        <v>0</v>
      </c>
      <c r="O603" s="15" t="s">
        <v>33</v>
      </c>
      <c r="P603" s="16">
        <v>0</v>
      </c>
      <c r="Q603" s="16">
        <v>0</v>
      </c>
      <c r="R603" s="19">
        <v>0</v>
      </c>
      <c r="S603" s="20" t="s">
        <v>33</v>
      </c>
    </row>
    <row r="604" spans="1:19" ht="15" customHeight="1" x14ac:dyDescent="0.3">
      <c r="A604" s="16">
        <v>521</v>
      </c>
      <c r="B604" s="15" t="s">
        <v>33</v>
      </c>
      <c r="C604" s="15" t="s">
        <v>33</v>
      </c>
      <c r="D604" s="22">
        <v>0</v>
      </c>
      <c r="E604" s="15" t="s">
        <v>33</v>
      </c>
      <c r="F604" s="15" t="s">
        <v>33</v>
      </c>
      <c r="G604" s="15" t="s">
        <v>33</v>
      </c>
      <c r="H604" s="16">
        <v>1</v>
      </c>
      <c r="I604" s="15" t="s">
        <v>33</v>
      </c>
      <c r="J604" s="15" t="s">
        <v>33</v>
      </c>
      <c r="K604" s="15" t="s">
        <v>33</v>
      </c>
      <c r="L604" s="15" t="s">
        <v>33</v>
      </c>
      <c r="M604" s="19">
        <v>0</v>
      </c>
      <c r="N604" s="16">
        <v>0</v>
      </c>
      <c r="O604" s="15" t="s">
        <v>33</v>
      </c>
      <c r="P604" s="16">
        <v>0</v>
      </c>
      <c r="Q604" s="16">
        <v>0</v>
      </c>
      <c r="R604" s="19">
        <v>0</v>
      </c>
      <c r="S604" s="20" t="s">
        <v>33</v>
      </c>
    </row>
    <row r="605" spans="1:19" ht="15" customHeight="1" x14ac:dyDescent="0.3">
      <c r="A605" s="16">
        <v>522</v>
      </c>
      <c r="B605" s="15" t="s">
        <v>33</v>
      </c>
      <c r="C605" s="15" t="s">
        <v>33</v>
      </c>
      <c r="D605" s="22">
        <v>0</v>
      </c>
      <c r="E605" s="15" t="s">
        <v>33</v>
      </c>
      <c r="F605" s="15" t="s">
        <v>33</v>
      </c>
      <c r="G605" s="15" t="s">
        <v>33</v>
      </c>
      <c r="H605" s="16">
        <v>1</v>
      </c>
      <c r="I605" s="15" t="s">
        <v>33</v>
      </c>
      <c r="J605" s="15" t="s">
        <v>33</v>
      </c>
      <c r="K605" s="15" t="s">
        <v>33</v>
      </c>
      <c r="L605" s="15" t="s">
        <v>33</v>
      </c>
      <c r="M605" s="19">
        <v>0</v>
      </c>
      <c r="N605" s="16">
        <v>0</v>
      </c>
      <c r="O605" s="15" t="s">
        <v>33</v>
      </c>
      <c r="P605" s="16">
        <v>0</v>
      </c>
      <c r="Q605" s="16">
        <v>0</v>
      </c>
      <c r="R605" s="19">
        <v>0</v>
      </c>
      <c r="S605" s="20" t="s">
        <v>33</v>
      </c>
    </row>
    <row r="606" spans="1:19" ht="15" customHeight="1" x14ac:dyDescent="0.3">
      <c r="A606" s="16">
        <v>523</v>
      </c>
      <c r="B606" s="15" t="s">
        <v>33</v>
      </c>
      <c r="C606" s="15" t="s">
        <v>33</v>
      </c>
      <c r="D606" s="22">
        <v>0</v>
      </c>
      <c r="E606" s="15" t="s">
        <v>33</v>
      </c>
      <c r="F606" s="15" t="s">
        <v>33</v>
      </c>
      <c r="G606" s="15" t="s">
        <v>33</v>
      </c>
      <c r="H606" s="16">
        <v>1</v>
      </c>
      <c r="I606" s="15" t="s">
        <v>33</v>
      </c>
      <c r="J606" s="15" t="s">
        <v>33</v>
      </c>
      <c r="K606" s="15" t="s">
        <v>33</v>
      </c>
      <c r="L606" s="15" t="s">
        <v>33</v>
      </c>
      <c r="M606" s="19">
        <v>0</v>
      </c>
      <c r="N606" s="16">
        <v>0</v>
      </c>
      <c r="O606" s="15" t="s">
        <v>33</v>
      </c>
      <c r="P606" s="16">
        <v>0</v>
      </c>
      <c r="Q606" s="16">
        <v>0</v>
      </c>
      <c r="R606" s="19">
        <v>0</v>
      </c>
      <c r="S606" s="20" t="s">
        <v>33</v>
      </c>
    </row>
    <row r="607" spans="1:19" ht="15" customHeight="1" x14ac:dyDescent="0.3">
      <c r="A607" s="16">
        <v>524</v>
      </c>
      <c r="B607" s="15" t="s">
        <v>33</v>
      </c>
      <c r="C607" s="15" t="s">
        <v>33</v>
      </c>
      <c r="D607" s="22">
        <v>0</v>
      </c>
      <c r="E607" s="15" t="s">
        <v>33</v>
      </c>
      <c r="F607" s="15" t="s">
        <v>33</v>
      </c>
      <c r="G607" s="15" t="s">
        <v>33</v>
      </c>
      <c r="H607" s="16">
        <v>1</v>
      </c>
      <c r="I607" s="15" t="s">
        <v>33</v>
      </c>
      <c r="J607" s="15" t="s">
        <v>33</v>
      </c>
      <c r="K607" s="15" t="s">
        <v>33</v>
      </c>
      <c r="L607" s="15" t="s">
        <v>33</v>
      </c>
      <c r="M607" s="19">
        <v>0</v>
      </c>
      <c r="N607" s="16">
        <v>0</v>
      </c>
      <c r="O607" s="15" t="s">
        <v>33</v>
      </c>
      <c r="P607" s="16">
        <v>0</v>
      </c>
      <c r="Q607" s="16">
        <v>0</v>
      </c>
      <c r="R607" s="19">
        <v>0</v>
      </c>
      <c r="S607" s="20" t="s">
        <v>33</v>
      </c>
    </row>
    <row r="608" spans="1:19" ht="15" customHeight="1" x14ac:dyDescent="0.3">
      <c r="A608" s="16">
        <v>525</v>
      </c>
      <c r="B608" s="15" t="s">
        <v>33</v>
      </c>
      <c r="C608" s="15" t="s">
        <v>33</v>
      </c>
      <c r="D608" s="22">
        <v>0</v>
      </c>
      <c r="E608" s="15" t="s">
        <v>33</v>
      </c>
      <c r="F608" s="15" t="s">
        <v>33</v>
      </c>
      <c r="G608" s="15" t="s">
        <v>33</v>
      </c>
      <c r="H608" s="16">
        <v>1</v>
      </c>
      <c r="I608" s="15" t="s">
        <v>33</v>
      </c>
      <c r="J608" s="15" t="s">
        <v>33</v>
      </c>
      <c r="K608" s="15" t="s">
        <v>33</v>
      </c>
      <c r="L608" s="15" t="s">
        <v>33</v>
      </c>
      <c r="M608" s="19">
        <v>0</v>
      </c>
      <c r="N608" s="16">
        <v>0</v>
      </c>
      <c r="O608" s="15" t="s">
        <v>33</v>
      </c>
      <c r="P608" s="16">
        <v>0</v>
      </c>
      <c r="Q608" s="16">
        <v>0</v>
      </c>
      <c r="R608" s="19">
        <v>0</v>
      </c>
      <c r="S608" s="20" t="s">
        <v>33</v>
      </c>
    </row>
    <row r="609" spans="1:19" ht="15" customHeight="1" x14ac:dyDescent="0.3">
      <c r="A609" s="16">
        <v>526</v>
      </c>
      <c r="B609" s="15" t="s">
        <v>33</v>
      </c>
      <c r="C609" s="15" t="s">
        <v>33</v>
      </c>
      <c r="D609" s="22">
        <v>0</v>
      </c>
      <c r="E609" s="15" t="s">
        <v>33</v>
      </c>
      <c r="F609" s="15" t="s">
        <v>33</v>
      </c>
      <c r="G609" s="15" t="s">
        <v>33</v>
      </c>
      <c r="H609" s="16">
        <v>1</v>
      </c>
      <c r="I609" s="15" t="s">
        <v>33</v>
      </c>
      <c r="J609" s="15" t="s">
        <v>33</v>
      </c>
      <c r="K609" s="15" t="s">
        <v>33</v>
      </c>
      <c r="L609" s="15" t="s">
        <v>33</v>
      </c>
      <c r="M609" s="19">
        <v>0</v>
      </c>
      <c r="N609" s="16">
        <v>0</v>
      </c>
      <c r="O609" s="15" t="s">
        <v>33</v>
      </c>
      <c r="P609" s="16">
        <v>0</v>
      </c>
      <c r="Q609" s="16">
        <v>0</v>
      </c>
      <c r="R609" s="19">
        <v>0</v>
      </c>
      <c r="S609" s="20" t="s">
        <v>33</v>
      </c>
    </row>
    <row r="610" spans="1:19" ht="15" customHeight="1" x14ac:dyDescent="0.3">
      <c r="A610" s="16">
        <v>527</v>
      </c>
      <c r="B610" s="15" t="s">
        <v>33</v>
      </c>
      <c r="C610" s="15" t="s">
        <v>33</v>
      </c>
      <c r="D610" s="22">
        <v>0</v>
      </c>
      <c r="E610" s="15" t="s">
        <v>33</v>
      </c>
      <c r="F610" s="15" t="s">
        <v>33</v>
      </c>
      <c r="G610" s="15" t="s">
        <v>33</v>
      </c>
      <c r="H610" s="16">
        <v>1</v>
      </c>
      <c r="I610" s="15" t="s">
        <v>33</v>
      </c>
      <c r="J610" s="15" t="s">
        <v>33</v>
      </c>
      <c r="K610" s="15" t="s">
        <v>33</v>
      </c>
      <c r="L610" s="15" t="s">
        <v>33</v>
      </c>
      <c r="M610" s="19">
        <v>0</v>
      </c>
      <c r="N610" s="16">
        <v>0</v>
      </c>
      <c r="O610" s="15" t="s">
        <v>33</v>
      </c>
      <c r="P610" s="16">
        <v>0</v>
      </c>
      <c r="Q610" s="16">
        <v>0</v>
      </c>
      <c r="R610" s="19">
        <v>0</v>
      </c>
      <c r="S610" s="20" t="s">
        <v>33</v>
      </c>
    </row>
    <row r="611" spans="1:19" ht="15" customHeight="1" x14ac:dyDescent="0.3">
      <c r="A611" s="16">
        <v>528</v>
      </c>
      <c r="B611" s="15" t="s">
        <v>33</v>
      </c>
      <c r="C611" s="15" t="s">
        <v>33</v>
      </c>
      <c r="D611" s="22">
        <v>0</v>
      </c>
      <c r="E611" s="15" t="s">
        <v>33</v>
      </c>
      <c r="F611" s="15" t="s">
        <v>33</v>
      </c>
      <c r="G611" s="15" t="s">
        <v>33</v>
      </c>
      <c r="H611" s="16">
        <v>1</v>
      </c>
      <c r="I611" s="15" t="s">
        <v>33</v>
      </c>
      <c r="J611" s="15" t="s">
        <v>33</v>
      </c>
      <c r="K611" s="15" t="s">
        <v>33</v>
      </c>
      <c r="L611" s="15" t="s">
        <v>33</v>
      </c>
      <c r="M611" s="19">
        <v>0</v>
      </c>
      <c r="N611" s="16">
        <v>0</v>
      </c>
      <c r="O611" s="15" t="s">
        <v>33</v>
      </c>
      <c r="P611" s="16">
        <v>0</v>
      </c>
      <c r="Q611" s="16">
        <v>0</v>
      </c>
      <c r="R611" s="19">
        <v>0</v>
      </c>
      <c r="S611" s="20" t="s">
        <v>33</v>
      </c>
    </row>
    <row r="612" spans="1:19" ht="15" customHeight="1" x14ac:dyDescent="0.3">
      <c r="A612" s="16">
        <v>529</v>
      </c>
      <c r="B612" s="15" t="s">
        <v>33</v>
      </c>
      <c r="C612" s="15" t="s">
        <v>33</v>
      </c>
      <c r="D612" s="22">
        <v>0</v>
      </c>
      <c r="E612" s="15" t="s">
        <v>33</v>
      </c>
      <c r="F612" s="15" t="s">
        <v>33</v>
      </c>
      <c r="G612" s="15" t="s">
        <v>33</v>
      </c>
      <c r="H612" s="16">
        <v>1</v>
      </c>
      <c r="I612" s="15" t="s">
        <v>33</v>
      </c>
      <c r="J612" s="15" t="s">
        <v>33</v>
      </c>
      <c r="K612" s="15" t="s">
        <v>33</v>
      </c>
      <c r="L612" s="15" t="s">
        <v>33</v>
      </c>
      <c r="M612" s="19">
        <v>0</v>
      </c>
      <c r="N612" s="16">
        <v>0</v>
      </c>
      <c r="O612" s="15" t="s">
        <v>33</v>
      </c>
      <c r="P612" s="16">
        <v>0</v>
      </c>
      <c r="Q612" s="16">
        <v>0</v>
      </c>
      <c r="R612" s="19">
        <v>0</v>
      </c>
      <c r="S612" s="20" t="s">
        <v>33</v>
      </c>
    </row>
    <row r="613" spans="1:19" ht="15" customHeight="1" x14ac:dyDescent="0.3">
      <c r="A613" s="16">
        <v>530</v>
      </c>
      <c r="B613" s="15" t="s">
        <v>33</v>
      </c>
      <c r="C613" s="15" t="s">
        <v>33</v>
      </c>
      <c r="D613" s="22">
        <v>0</v>
      </c>
      <c r="E613" s="15" t="s">
        <v>33</v>
      </c>
      <c r="F613" s="15" t="s">
        <v>33</v>
      </c>
      <c r="G613" s="15" t="s">
        <v>33</v>
      </c>
      <c r="H613" s="16">
        <v>1</v>
      </c>
      <c r="I613" s="15" t="s">
        <v>33</v>
      </c>
      <c r="J613" s="15" t="s">
        <v>33</v>
      </c>
      <c r="K613" s="15" t="s">
        <v>33</v>
      </c>
      <c r="L613" s="15" t="s">
        <v>33</v>
      </c>
      <c r="M613" s="19">
        <v>0</v>
      </c>
      <c r="N613" s="16">
        <v>0</v>
      </c>
      <c r="O613" s="15" t="s">
        <v>33</v>
      </c>
      <c r="P613" s="16">
        <v>0</v>
      </c>
      <c r="Q613" s="16">
        <v>0</v>
      </c>
      <c r="R613" s="19">
        <v>0</v>
      </c>
      <c r="S613" s="20" t="s">
        <v>33</v>
      </c>
    </row>
    <row r="614" spans="1:19" ht="15" customHeight="1" x14ac:dyDescent="0.3">
      <c r="A614" s="16">
        <v>531</v>
      </c>
      <c r="B614" s="15" t="s">
        <v>33</v>
      </c>
      <c r="C614" s="15" t="s">
        <v>33</v>
      </c>
      <c r="D614" s="22">
        <v>0</v>
      </c>
      <c r="E614" s="15" t="s">
        <v>33</v>
      </c>
      <c r="F614" s="15" t="s">
        <v>33</v>
      </c>
      <c r="G614" s="15" t="s">
        <v>33</v>
      </c>
      <c r="H614" s="16">
        <v>1</v>
      </c>
      <c r="I614" s="15" t="s">
        <v>33</v>
      </c>
      <c r="J614" s="15" t="s">
        <v>33</v>
      </c>
      <c r="K614" s="15" t="s">
        <v>33</v>
      </c>
      <c r="L614" s="15" t="s">
        <v>33</v>
      </c>
      <c r="M614" s="19">
        <v>0</v>
      </c>
      <c r="N614" s="16">
        <v>0</v>
      </c>
      <c r="O614" s="15" t="s">
        <v>33</v>
      </c>
      <c r="P614" s="16">
        <v>0</v>
      </c>
      <c r="Q614" s="16">
        <v>0</v>
      </c>
      <c r="R614" s="19">
        <v>0</v>
      </c>
      <c r="S614" s="20" t="s">
        <v>33</v>
      </c>
    </row>
    <row r="615" spans="1:19" ht="15" customHeight="1" x14ac:dyDescent="0.3">
      <c r="A615" s="16">
        <v>532</v>
      </c>
      <c r="B615" s="15" t="s">
        <v>33</v>
      </c>
      <c r="C615" s="15" t="s">
        <v>33</v>
      </c>
      <c r="D615" s="22">
        <v>0</v>
      </c>
      <c r="E615" s="15" t="s">
        <v>33</v>
      </c>
      <c r="F615" s="15" t="s">
        <v>33</v>
      </c>
      <c r="G615" s="15" t="s">
        <v>33</v>
      </c>
      <c r="H615" s="16">
        <v>1</v>
      </c>
      <c r="I615" s="15" t="s">
        <v>33</v>
      </c>
      <c r="J615" s="15" t="s">
        <v>33</v>
      </c>
      <c r="K615" s="15" t="s">
        <v>33</v>
      </c>
      <c r="L615" s="15" t="s">
        <v>33</v>
      </c>
      <c r="M615" s="19">
        <v>0</v>
      </c>
      <c r="N615" s="16">
        <v>0</v>
      </c>
      <c r="O615" s="15" t="s">
        <v>33</v>
      </c>
      <c r="P615" s="16">
        <v>0</v>
      </c>
      <c r="Q615" s="16">
        <v>0</v>
      </c>
      <c r="R615" s="19">
        <v>0</v>
      </c>
      <c r="S615" s="20" t="s">
        <v>33</v>
      </c>
    </row>
    <row r="616" spans="1:19" ht="15" customHeight="1" x14ac:dyDescent="0.3">
      <c r="A616" s="16">
        <v>533</v>
      </c>
      <c r="B616" s="15" t="s">
        <v>33</v>
      </c>
      <c r="C616" s="15" t="s">
        <v>33</v>
      </c>
      <c r="D616" s="22">
        <v>0</v>
      </c>
      <c r="E616" s="15" t="s">
        <v>33</v>
      </c>
      <c r="F616" s="15" t="s">
        <v>33</v>
      </c>
      <c r="G616" s="15" t="s">
        <v>33</v>
      </c>
      <c r="H616" s="16">
        <v>1</v>
      </c>
      <c r="I616" s="15" t="s">
        <v>33</v>
      </c>
      <c r="J616" s="15" t="s">
        <v>33</v>
      </c>
      <c r="K616" s="15" t="s">
        <v>33</v>
      </c>
      <c r="L616" s="15" t="s">
        <v>33</v>
      </c>
      <c r="M616" s="19">
        <v>0</v>
      </c>
      <c r="N616" s="16">
        <v>0</v>
      </c>
      <c r="O616" s="15" t="s">
        <v>33</v>
      </c>
      <c r="P616" s="16">
        <v>0</v>
      </c>
      <c r="Q616" s="16">
        <v>0</v>
      </c>
      <c r="R616" s="19">
        <v>0</v>
      </c>
      <c r="S616" s="20" t="s">
        <v>33</v>
      </c>
    </row>
    <row r="617" spans="1:19" ht="15" customHeight="1" x14ac:dyDescent="0.3">
      <c r="A617" s="16">
        <v>534</v>
      </c>
      <c r="B617" s="15" t="s">
        <v>33</v>
      </c>
      <c r="C617" s="15" t="s">
        <v>33</v>
      </c>
      <c r="D617" s="22">
        <v>0</v>
      </c>
      <c r="E617" s="15" t="s">
        <v>33</v>
      </c>
      <c r="F617" s="15" t="s">
        <v>33</v>
      </c>
      <c r="G617" s="15" t="s">
        <v>33</v>
      </c>
      <c r="H617" s="16">
        <v>1</v>
      </c>
      <c r="I617" s="15" t="s">
        <v>33</v>
      </c>
      <c r="J617" s="15" t="s">
        <v>33</v>
      </c>
      <c r="K617" s="15" t="s">
        <v>33</v>
      </c>
      <c r="L617" s="15" t="s">
        <v>33</v>
      </c>
      <c r="M617" s="19">
        <v>0</v>
      </c>
      <c r="N617" s="16">
        <v>0</v>
      </c>
      <c r="O617" s="15" t="s">
        <v>33</v>
      </c>
      <c r="P617" s="16">
        <v>0</v>
      </c>
      <c r="Q617" s="16">
        <v>0</v>
      </c>
      <c r="R617" s="19">
        <v>0</v>
      </c>
      <c r="S617" s="20" t="s">
        <v>33</v>
      </c>
    </row>
    <row r="618" spans="1:19" ht="15" customHeight="1" x14ac:dyDescent="0.3">
      <c r="A618" s="16">
        <v>535</v>
      </c>
      <c r="B618" s="15" t="s">
        <v>33</v>
      </c>
      <c r="C618" s="15" t="s">
        <v>33</v>
      </c>
      <c r="D618" s="22">
        <v>0</v>
      </c>
      <c r="E618" s="15" t="s">
        <v>33</v>
      </c>
      <c r="F618" s="15" t="s">
        <v>33</v>
      </c>
      <c r="G618" s="15" t="s">
        <v>33</v>
      </c>
      <c r="H618" s="16">
        <v>1</v>
      </c>
      <c r="I618" s="15" t="s">
        <v>33</v>
      </c>
      <c r="J618" s="15" t="s">
        <v>33</v>
      </c>
      <c r="K618" s="15" t="s">
        <v>33</v>
      </c>
      <c r="L618" s="15" t="s">
        <v>33</v>
      </c>
      <c r="M618" s="19">
        <v>0</v>
      </c>
      <c r="N618" s="16">
        <v>0</v>
      </c>
      <c r="O618" s="15" t="s">
        <v>33</v>
      </c>
      <c r="P618" s="16">
        <v>0</v>
      </c>
      <c r="Q618" s="16">
        <v>0</v>
      </c>
      <c r="R618" s="19">
        <v>0</v>
      </c>
      <c r="S618" s="20" t="s">
        <v>33</v>
      </c>
    </row>
    <row r="619" spans="1:19" ht="15" customHeight="1" x14ac:dyDescent="0.3">
      <c r="A619" s="16">
        <v>536</v>
      </c>
      <c r="B619" s="15" t="s">
        <v>33</v>
      </c>
      <c r="C619" s="15" t="s">
        <v>33</v>
      </c>
      <c r="D619" s="22">
        <v>0</v>
      </c>
      <c r="E619" s="15" t="s">
        <v>33</v>
      </c>
      <c r="F619" s="15" t="s">
        <v>33</v>
      </c>
      <c r="G619" s="15" t="s">
        <v>33</v>
      </c>
      <c r="H619" s="16">
        <v>1</v>
      </c>
      <c r="I619" s="15" t="s">
        <v>33</v>
      </c>
      <c r="J619" s="15" t="s">
        <v>33</v>
      </c>
      <c r="K619" s="15" t="s">
        <v>33</v>
      </c>
      <c r="L619" s="15" t="s">
        <v>33</v>
      </c>
      <c r="M619" s="19">
        <v>0</v>
      </c>
      <c r="N619" s="16">
        <v>0</v>
      </c>
      <c r="O619" s="15" t="s">
        <v>33</v>
      </c>
      <c r="P619" s="16">
        <v>0</v>
      </c>
      <c r="Q619" s="16">
        <v>0</v>
      </c>
      <c r="R619" s="19">
        <v>0</v>
      </c>
      <c r="S619" s="20" t="s">
        <v>33</v>
      </c>
    </row>
    <row r="620" spans="1:19" ht="15" customHeight="1" x14ac:dyDescent="0.3">
      <c r="A620" s="16">
        <v>537</v>
      </c>
      <c r="B620" s="15" t="s">
        <v>33</v>
      </c>
      <c r="C620" s="15" t="s">
        <v>33</v>
      </c>
      <c r="D620" s="22">
        <v>0</v>
      </c>
      <c r="E620" s="15" t="s">
        <v>33</v>
      </c>
      <c r="F620" s="15" t="s">
        <v>33</v>
      </c>
      <c r="G620" s="15" t="s">
        <v>33</v>
      </c>
      <c r="H620" s="16">
        <v>1</v>
      </c>
      <c r="I620" s="15" t="s">
        <v>33</v>
      </c>
      <c r="J620" s="15" t="s">
        <v>33</v>
      </c>
      <c r="K620" s="15" t="s">
        <v>33</v>
      </c>
      <c r="L620" s="15" t="s">
        <v>33</v>
      </c>
      <c r="M620" s="19">
        <v>0</v>
      </c>
      <c r="N620" s="16">
        <v>0</v>
      </c>
      <c r="O620" s="15" t="s">
        <v>33</v>
      </c>
      <c r="P620" s="16">
        <v>0</v>
      </c>
      <c r="Q620" s="16">
        <v>0</v>
      </c>
      <c r="R620" s="19">
        <v>0</v>
      </c>
      <c r="S620" s="20" t="s">
        <v>33</v>
      </c>
    </row>
    <row r="621" spans="1:19" ht="15" customHeight="1" x14ac:dyDescent="0.3">
      <c r="A621" s="16">
        <v>538</v>
      </c>
      <c r="B621" s="15" t="s">
        <v>33</v>
      </c>
      <c r="C621" s="15" t="s">
        <v>33</v>
      </c>
      <c r="D621" s="22">
        <v>0</v>
      </c>
      <c r="E621" s="15" t="s">
        <v>33</v>
      </c>
      <c r="F621" s="15" t="s">
        <v>33</v>
      </c>
      <c r="G621" s="15" t="s">
        <v>33</v>
      </c>
      <c r="H621" s="16">
        <v>1</v>
      </c>
      <c r="I621" s="15" t="s">
        <v>33</v>
      </c>
      <c r="J621" s="15" t="s">
        <v>33</v>
      </c>
      <c r="K621" s="15" t="s">
        <v>33</v>
      </c>
      <c r="L621" s="15" t="s">
        <v>33</v>
      </c>
      <c r="M621" s="19">
        <v>0</v>
      </c>
      <c r="N621" s="16">
        <v>0</v>
      </c>
      <c r="O621" s="15" t="s">
        <v>33</v>
      </c>
      <c r="P621" s="16">
        <v>0</v>
      </c>
      <c r="Q621" s="16">
        <v>0</v>
      </c>
      <c r="R621" s="19">
        <v>0</v>
      </c>
      <c r="S621" s="20" t="s">
        <v>33</v>
      </c>
    </row>
    <row r="622" spans="1:19" ht="15" customHeight="1" x14ac:dyDescent="0.3">
      <c r="A622" s="16">
        <v>539</v>
      </c>
      <c r="B622" s="15" t="s">
        <v>33</v>
      </c>
      <c r="C622" s="15" t="s">
        <v>33</v>
      </c>
      <c r="D622" s="22">
        <v>0</v>
      </c>
      <c r="E622" s="15" t="s">
        <v>33</v>
      </c>
      <c r="F622" s="15" t="s">
        <v>33</v>
      </c>
      <c r="G622" s="15" t="s">
        <v>33</v>
      </c>
      <c r="H622" s="16">
        <v>1</v>
      </c>
      <c r="I622" s="15" t="s">
        <v>33</v>
      </c>
      <c r="J622" s="15" t="s">
        <v>33</v>
      </c>
      <c r="K622" s="15" t="s">
        <v>33</v>
      </c>
      <c r="L622" s="15" t="s">
        <v>33</v>
      </c>
      <c r="M622" s="19">
        <v>0</v>
      </c>
      <c r="N622" s="16">
        <v>0</v>
      </c>
      <c r="O622" s="15" t="s">
        <v>33</v>
      </c>
      <c r="P622" s="16">
        <v>0</v>
      </c>
      <c r="Q622" s="16">
        <v>0</v>
      </c>
      <c r="R622" s="19">
        <v>0</v>
      </c>
      <c r="S622" s="20" t="s">
        <v>33</v>
      </c>
    </row>
    <row r="623" spans="1:19" ht="15" customHeight="1" x14ac:dyDescent="0.3">
      <c r="A623" s="16">
        <v>540</v>
      </c>
      <c r="B623" s="15" t="s">
        <v>33</v>
      </c>
      <c r="C623" s="15" t="s">
        <v>33</v>
      </c>
      <c r="D623" s="22">
        <v>0</v>
      </c>
      <c r="E623" s="15" t="s">
        <v>33</v>
      </c>
      <c r="F623" s="15" t="s">
        <v>33</v>
      </c>
      <c r="G623" s="15" t="s">
        <v>33</v>
      </c>
      <c r="H623" s="16">
        <v>1</v>
      </c>
      <c r="I623" s="15" t="s">
        <v>33</v>
      </c>
      <c r="J623" s="15" t="s">
        <v>33</v>
      </c>
      <c r="K623" s="15" t="s">
        <v>33</v>
      </c>
      <c r="L623" s="15" t="s">
        <v>33</v>
      </c>
      <c r="M623" s="19">
        <v>0</v>
      </c>
      <c r="N623" s="16">
        <v>0</v>
      </c>
      <c r="O623" s="15" t="s">
        <v>33</v>
      </c>
      <c r="P623" s="16">
        <v>0</v>
      </c>
      <c r="Q623" s="16">
        <v>0</v>
      </c>
      <c r="R623" s="19">
        <v>0</v>
      </c>
      <c r="S623" s="20" t="s">
        <v>33</v>
      </c>
    </row>
    <row r="624" spans="1:19" ht="15" customHeight="1" x14ac:dyDescent="0.3">
      <c r="A624" s="16">
        <v>541</v>
      </c>
      <c r="B624" s="15" t="s">
        <v>33</v>
      </c>
      <c r="C624" s="15" t="s">
        <v>33</v>
      </c>
      <c r="D624" s="22">
        <v>0</v>
      </c>
      <c r="E624" s="15" t="s">
        <v>33</v>
      </c>
      <c r="F624" s="15" t="s">
        <v>33</v>
      </c>
      <c r="G624" s="15" t="s">
        <v>33</v>
      </c>
      <c r="H624" s="16">
        <v>1</v>
      </c>
      <c r="I624" s="15" t="s">
        <v>33</v>
      </c>
      <c r="J624" s="15" t="s">
        <v>33</v>
      </c>
      <c r="K624" s="15" t="s">
        <v>33</v>
      </c>
      <c r="L624" s="15" t="s">
        <v>33</v>
      </c>
      <c r="M624" s="19">
        <v>0</v>
      </c>
      <c r="N624" s="16">
        <v>0</v>
      </c>
      <c r="O624" s="15" t="s">
        <v>33</v>
      </c>
      <c r="P624" s="16">
        <v>0</v>
      </c>
      <c r="Q624" s="16">
        <v>0</v>
      </c>
      <c r="R624" s="19">
        <v>0</v>
      </c>
      <c r="S624" s="20" t="s">
        <v>33</v>
      </c>
    </row>
    <row r="625" spans="1:19" ht="15" customHeight="1" x14ac:dyDescent="0.3">
      <c r="A625" s="16">
        <v>542</v>
      </c>
      <c r="B625" s="15" t="s">
        <v>33</v>
      </c>
      <c r="C625" s="15" t="s">
        <v>33</v>
      </c>
      <c r="D625" s="22">
        <v>0</v>
      </c>
      <c r="E625" s="15" t="s">
        <v>33</v>
      </c>
      <c r="F625" s="15" t="s">
        <v>33</v>
      </c>
      <c r="G625" s="15" t="s">
        <v>33</v>
      </c>
      <c r="H625" s="16">
        <v>1</v>
      </c>
      <c r="I625" s="15" t="s">
        <v>33</v>
      </c>
      <c r="J625" s="15" t="s">
        <v>33</v>
      </c>
      <c r="K625" s="15" t="s">
        <v>33</v>
      </c>
      <c r="L625" s="15" t="s">
        <v>33</v>
      </c>
      <c r="M625" s="19">
        <v>0</v>
      </c>
      <c r="N625" s="16">
        <v>0</v>
      </c>
      <c r="O625" s="15" t="s">
        <v>33</v>
      </c>
      <c r="P625" s="16">
        <v>0</v>
      </c>
      <c r="Q625" s="16">
        <v>0</v>
      </c>
      <c r="R625" s="19">
        <v>0</v>
      </c>
      <c r="S625" s="20" t="s">
        <v>33</v>
      </c>
    </row>
    <row r="626" spans="1:19" ht="15" customHeight="1" x14ac:dyDescent="0.3">
      <c r="A626" s="16">
        <v>543</v>
      </c>
      <c r="B626" s="15" t="s">
        <v>33</v>
      </c>
      <c r="C626" s="15" t="s">
        <v>33</v>
      </c>
      <c r="D626" s="22">
        <v>0</v>
      </c>
      <c r="E626" s="15" t="s">
        <v>33</v>
      </c>
      <c r="F626" s="15" t="s">
        <v>33</v>
      </c>
      <c r="G626" s="15" t="s">
        <v>33</v>
      </c>
      <c r="H626" s="16">
        <v>1</v>
      </c>
      <c r="I626" s="15" t="s">
        <v>33</v>
      </c>
      <c r="J626" s="15" t="s">
        <v>33</v>
      </c>
      <c r="K626" s="15" t="s">
        <v>33</v>
      </c>
      <c r="L626" s="15" t="s">
        <v>33</v>
      </c>
      <c r="M626" s="19">
        <v>0</v>
      </c>
      <c r="N626" s="16">
        <v>0</v>
      </c>
      <c r="O626" s="15" t="s">
        <v>33</v>
      </c>
      <c r="P626" s="16">
        <v>0</v>
      </c>
      <c r="Q626" s="16">
        <v>0</v>
      </c>
      <c r="R626" s="19">
        <v>0</v>
      </c>
      <c r="S626" s="20" t="s">
        <v>33</v>
      </c>
    </row>
    <row r="627" spans="1:19" ht="15" customHeight="1" x14ac:dyDescent="0.3">
      <c r="A627" s="16">
        <v>544</v>
      </c>
      <c r="B627" s="15" t="s">
        <v>33</v>
      </c>
      <c r="C627" s="15" t="s">
        <v>33</v>
      </c>
      <c r="D627" s="22">
        <v>0</v>
      </c>
      <c r="E627" s="15" t="s">
        <v>33</v>
      </c>
      <c r="F627" s="15" t="s">
        <v>33</v>
      </c>
      <c r="G627" s="15" t="s">
        <v>33</v>
      </c>
      <c r="H627" s="16">
        <v>1</v>
      </c>
      <c r="I627" s="15" t="s">
        <v>33</v>
      </c>
      <c r="J627" s="15" t="s">
        <v>33</v>
      </c>
      <c r="K627" s="15" t="s">
        <v>33</v>
      </c>
      <c r="L627" s="15" t="s">
        <v>33</v>
      </c>
      <c r="M627" s="19">
        <v>0</v>
      </c>
      <c r="N627" s="16">
        <v>0</v>
      </c>
      <c r="O627" s="15" t="s">
        <v>33</v>
      </c>
      <c r="P627" s="16">
        <v>0</v>
      </c>
      <c r="Q627" s="16">
        <v>0</v>
      </c>
      <c r="R627" s="19">
        <v>0</v>
      </c>
      <c r="S627" s="20" t="s">
        <v>33</v>
      </c>
    </row>
    <row r="628" spans="1:19" ht="15" customHeight="1" x14ac:dyDescent="0.3">
      <c r="A628" s="16">
        <v>545</v>
      </c>
      <c r="B628" s="15" t="s">
        <v>33</v>
      </c>
      <c r="C628" s="15" t="s">
        <v>33</v>
      </c>
      <c r="D628" s="22">
        <v>0</v>
      </c>
      <c r="E628" s="15" t="s">
        <v>33</v>
      </c>
      <c r="F628" s="15" t="s">
        <v>33</v>
      </c>
      <c r="G628" s="15" t="s">
        <v>33</v>
      </c>
      <c r="H628" s="16">
        <v>1</v>
      </c>
      <c r="I628" s="15" t="s">
        <v>33</v>
      </c>
      <c r="J628" s="15" t="s">
        <v>33</v>
      </c>
      <c r="K628" s="15" t="s">
        <v>33</v>
      </c>
      <c r="L628" s="15" t="s">
        <v>33</v>
      </c>
      <c r="M628" s="19">
        <v>0</v>
      </c>
      <c r="N628" s="16">
        <v>0</v>
      </c>
      <c r="O628" s="15" t="s">
        <v>33</v>
      </c>
      <c r="P628" s="16">
        <v>0</v>
      </c>
      <c r="Q628" s="16">
        <v>0</v>
      </c>
      <c r="R628" s="19">
        <v>0</v>
      </c>
      <c r="S628" s="20" t="s">
        <v>33</v>
      </c>
    </row>
    <row r="629" spans="1:19" ht="15" customHeight="1" x14ac:dyDescent="0.3">
      <c r="A629" s="16">
        <v>546</v>
      </c>
      <c r="B629" s="15" t="s">
        <v>33</v>
      </c>
      <c r="C629" s="15" t="s">
        <v>33</v>
      </c>
      <c r="D629" s="22">
        <v>0</v>
      </c>
      <c r="E629" s="15" t="s">
        <v>33</v>
      </c>
      <c r="F629" s="15" t="s">
        <v>33</v>
      </c>
      <c r="G629" s="15" t="s">
        <v>33</v>
      </c>
      <c r="H629" s="16">
        <v>1</v>
      </c>
      <c r="I629" s="15" t="s">
        <v>33</v>
      </c>
      <c r="J629" s="15" t="s">
        <v>33</v>
      </c>
      <c r="K629" s="15" t="s">
        <v>33</v>
      </c>
      <c r="L629" s="15" t="s">
        <v>33</v>
      </c>
      <c r="M629" s="19">
        <v>0</v>
      </c>
      <c r="N629" s="16">
        <v>0</v>
      </c>
      <c r="O629" s="15" t="s">
        <v>33</v>
      </c>
      <c r="P629" s="16">
        <v>0</v>
      </c>
      <c r="Q629" s="16">
        <v>0</v>
      </c>
      <c r="R629" s="19">
        <v>0</v>
      </c>
      <c r="S629" s="20" t="s">
        <v>33</v>
      </c>
    </row>
    <row r="630" spans="1:19" ht="15" customHeight="1" x14ac:dyDescent="0.3">
      <c r="A630" s="16">
        <v>547</v>
      </c>
      <c r="B630" s="15" t="s">
        <v>33</v>
      </c>
      <c r="C630" s="15" t="s">
        <v>33</v>
      </c>
      <c r="D630" s="22">
        <v>0</v>
      </c>
      <c r="E630" s="15" t="s">
        <v>33</v>
      </c>
      <c r="F630" s="15" t="s">
        <v>33</v>
      </c>
      <c r="G630" s="15" t="s">
        <v>33</v>
      </c>
      <c r="H630" s="16">
        <v>1</v>
      </c>
      <c r="I630" s="15" t="s">
        <v>33</v>
      </c>
      <c r="J630" s="15" t="s">
        <v>33</v>
      </c>
      <c r="K630" s="15" t="s">
        <v>33</v>
      </c>
      <c r="L630" s="15" t="s">
        <v>33</v>
      </c>
      <c r="M630" s="19">
        <v>0</v>
      </c>
      <c r="N630" s="16">
        <v>0</v>
      </c>
      <c r="O630" s="15" t="s">
        <v>33</v>
      </c>
      <c r="P630" s="16">
        <v>0</v>
      </c>
      <c r="Q630" s="16">
        <v>0</v>
      </c>
      <c r="R630" s="19">
        <v>0</v>
      </c>
      <c r="S630" s="20" t="s">
        <v>33</v>
      </c>
    </row>
    <row r="631" spans="1:19" ht="15" customHeight="1" x14ac:dyDescent="0.3">
      <c r="A631" s="16">
        <v>548</v>
      </c>
      <c r="B631" s="15" t="s">
        <v>33</v>
      </c>
      <c r="C631" s="15" t="s">
        <v>33</v>
      </c>
      <c r="D631" s="22">
        <v>0</v>
      </c>
      <c r="E631" s="15" t="s">
        <v>33</v>
      </c>
      <c r="F631" s="15" t="s">
        <v>33</v>
      </c>
      <c r="G631" s="15" t="s">
        <v>33</v>
      </c>
      <c r="H631" s="16">
        <v>1</v>
      </c>
      <c r="I631" s="15" t="s">
        <v>33</v>
      </c>
      <c r="J631" s="15" t="s">
        <v>33</v>
      </c>
      <c r="K631" s="15" t="s">
        <v>33</v>
      </c>
      <c r="L631" s="15" t="s">
        <v>33</v>
      </c>
      <c r="M631" s="19">
        <v>0</v>
      </c>
      <c r="N631" s="16">
        <v>0</v>
      </c>
      <c r="O631" s="15" t="s">
        <v>33</v>
      </c>
      <c r="P631" s="16">
        <v>0</v>
      </c>
      <c r="Q631" s="16">
        <v>0</v>
      </c>
      <c r="R631" s="19">
        <v>0</v>
      </c>
      <c r="S631" s="20" t="s">
        <v>33</v>
      </c>
    </row>
    <row r="632" spans="1:19" ht="15" customHeight="1" x14ac:dyDescent="0.3">
      <c r="A632" s="16">
        <v>549</v>
      </c>
      <c r="B632" s="15" t="s">
        <v>33</v>
      </c>
      <c r="C632" s="15" t="s">
        <v>33</v>
      </c>
      <c r="D632" s="22">
        <v>0</v>
      </c>
      <c r="E632" s="15" t="s">
        <v>33</v>
      </c>
      <c r="F632" s="15" t="s">
        <v>33</v>
      </c>
      <c r="G632" s="15" t="s">
        <v>33</v>
      </c>
      <c r="H632" s="16">
        <v>1</v>
      </c>
      <c r="I632" s="15" t="s">
        <v>33</v>
      </c>
      <c r="J632" s="15" t="s">
        <v>33</v>
      </c>
      <c r="K632" s="15" t="s">
        <v>33</v>
      </c>
      <c r="L632" s="15" t="s">
        <v>33</v>
      </c>
      <c r="M632" s="19">
        <v>0</v>
      </c>
      <c r="N632" s="16">
        <v>0</v>
      </c>
      <c r="O632" s="15" t="s">
        <v>33</v>
      </c>
      <c r="P632" s="16">
        <v>0</v>
      </c>
      <c r="Q632" s="16">
        <v>0</v>
      </c>
      <c r="R632" s="19">
        <v>0</v>
      </c>
      <c r="S632" s="20" t="s">
        <v>33</v>
      </c>
    </row>
    <row r="633" spans="1:19" ht="15" customHeight="1" x14ac:dyDescent="0.3">
      <c r="A633" s="16">
        <v>550</v>
      </c>
      <c r="B633" s="15" t="s">
        <v>33</v>
      </c>
      <c r="C633" s="15" t="s">
        <v>33</v>
      </c>
      <c r="D633" s="22">
        <v>0</v>
      </c>
      <c r="E633" s="15" t="s">
        <v>33</v>
      </c>
      <c r="F633" s="15" t="s">
        <v>33</v>
      </c>
      <c r="G633" s="15" t="s">
        <v>33</v>
      </c>
      <c r="H633" s="16">
        <v>1</v>
      </c>
      <c r="I633" s="15" t="s">
        <v>33</v>
      </c>
      <c r="J633" s="15" t="s">
        <v>33</v>
      </c>
      <c r="K633" s="15" t="s">
        <v>33</v>
      </c>
      <c r="L633" s="15" t="s">
        <v>33</v>
      </c>
      <c r="M633" s="19">
        <v>0</v>
      </c>
      <c r="N633" s="16">
        <v>0</v>
      </c>
      <c r="O633" s="15" t="s">
        <v>33</v>
      </c>
      <c r="P633" s="16">
        <v>0</v>
      </c>
      <c r="Q633" s="16">
        <v>0</v>
      </c>
      <c r="R633" s="19">
        <v>0</v>
      </c>
      <c r="S633" s="20" t="s">
        <v>33</v>
      </c>
    </row>
    <row r="634" spans="1:19" ht="15" customHeight="1" x14ac:dyDescent="0.3">
      <c r="A634" s="16">
        <v>551</v>
      </c>
      <c r="B634" s="15" t="s">
        <v>33</v>
      </c>
      <c r="C634" s="15" t="s">
        <v>33</v>
      </c>
      <c r="D634" s="22">
        <v>0</v>
      </c>
      <c r="E634" s="15" t="s">
        <v>33</v>
      </c>
      <c r="F634" s="15" t="s">
        <v>33</v>
      </c>
      <c r="G634" s="15" t="s">
        <v>33</v>
      </c>
      <c r="H634" s="16">
        <v>1</v>
      </c>
      <c r="I634" s="15" t="s">
        <v>33</v>
      </c>
      <c r="J634" s="15" t="s">
        <v>33</v>
      </c>
      <c r="K634" s="15" t="s">
        <v>33</v>
      </c>
      <c r="L634" s="15" t="s">
        <v>33</v>
      </c>
      <c r="M634" s="19">
        <v>0</v>
      </c>
      <c r="N634" s="16">
        <v>0</v>
      </c>
      <c r="O634" s="15" t="s">
        <v>33</v>
      </c>
      <c r="P634" s="16">
        <v>0</v>
      </c>
      <c r="Q634" s="16">
        <v>0</v>
      </c>
      <c r="R634" s="19">
        <v>0</v>
      </c>
      <c r="S634" s="20" t="s">
        <v>33</v>
      </c>
    </row>
    <row r="635" spans="1:19" ht="15" customHeight="1" x14ac:dyDescent="0.3">
      <c r="A635" s="16">
        <v>552</v>
      </c>
      <c r="B635" s="15" t="s">
        <v>33</v>
      </c>
      <c r="C635" s="15" t="s">
        <v>33</v>
      </c>
      <c r="D635" s="22">
        <v>0</v>
      </c>
      <c r="E635" s="15" t="s">
        <v>33</v>
      </c>
      <c r="F635" s="15" t="s">
        <v>33</v>
      </c>
      <c r="G635" s="15" t="s">
        <v>33</v>
      </c>
      <c r="H635" s="16">
        <v>1</v>
      </c>
      <c r="I635" s="15" t="s">
        <v>33</v>
      </c>
      <c r="J635" s="15" t="s">
        <v>33</v>
      </c>
      <c r="K635" s="15" t="s">
        <v>33</v>
      </c>
      <c r="L635" s="15" t="s">
        <v>33</v>
      </c>
      <c r="M635" s="19">
        <v>0</v>
      </c>
      <c r="N635" s="16">
        <v>0</v>
      </c>
      <c r="O635" s="15" t="s">
        <v>33</v>
      </c>
      <c r="P635" s="16">
        <v>0</v>
      </c>
      <c r="Q635" s="16">
        <v>0</v>
      </c>
      <c r="R635" s="19">
        <v>0</v>
      </c>
      <c r="S635" s="20" t="s">
        <v>33</v>
      </c>
    </row>
    <row r="636" spans="1:19" ht="15" customHeight="1" x14ac:dyDescent="0.3">
      <c r="A636" s="16">
        <v>553</v>
      </c>
      <c r="B636" s="15" t="s">
        <v>33</v>
      </c>
      <c r="C636" s="15" t="s">
        <v>33</v>
      </c>
      <c r="D636" s="22">
        <v>0</v>
      </c>
      <c r="E636" s="15" t="s">
        <v>33</v>
      </c>
      <c r="F636" s="15" t="s">
        <v>33</v>
      </c>
      <c r="G636" s="15" t="s">
        <v>33</v>
      </c>
      <c r="H636" s="16">
        <v>1</v>
      </c>
      <c r="I636" s="15" t="s">
        <v>33</v>
      </c>
      <c r="J636" s="15" t="s">
        <v>33</v>
      </c>
      <c r="K636" s="15" t="s">
        <v>33</v>
      </c>
      <c r="L636" s="15" t="s">
        <v>33</v>
      </c>
      <c r="M636" s="19">
        <v>0</v>
      </c>
      <c r="N636" s="16">
        <v>0</v>
      </c>
      <c r="O636" s="15" t="s">
        <v>33</v>
      </c>
      <c r="P636" s="16">
        <v>0</v>
      </c>
      <c r="Q636" s="16">
        <v>0</v>
      </c>
      <c r="R636" s="19">
        <v>0</v>
      </c>
      <c r="S636" s="20" t="s">
        <v>33</v>
      </c>
    </row>
    <row r="637" spans="1:19" ht="15" customHeight="1" x14ac:dyDescent="0.3">
      <c r="A637" s="16">
        <v>554</v>
      </c>
      <c r="B637" s="15" t="s">
        <v>33</v>
      </c>
      <c r="C637" s="15" t="s">
        <v>33</v>
      </c>
      <c r="D637" s="22">
        <v>0</v>
      </c>
      <c r="E637" s="15" t="s">
        <v>33</v>
      </c>
      <c r="F637" s="15" t="s">
        <v>33</v>
      </c>
      <c r="G637" s="15" t="s">
        <v>33</v>
      </c>
      <c r="H637" s="16">
        <v>1</v>
      </c>
      <c r="I637" s="15" t="s">
        <v>33</v>
      </c>
      <c r="J637" s="15" t="s">
        <v>33</v>
      </c>
      <c r="K637" s="15" t="s">
        <v>33</v>
      </c>
      <c r="L637" s="15" t="s">
        <v>33</v>
      </c>
      <c r="M637" s="19">
        <v>0</v>
      </c>
      <c r="N637" s="16">
        <v>0</v>
      </c>
      <c r="O637" s="15" t="s">
        <v>33</v>
      </c>
      <c r="P637" s="16">
        <v>0</v>
      </c>
      <c r="Q637" s="16">
        <v>0</v>
      </c>
      <c r="R637" s="19">
        <v>0</v>
      </c>
      <c r="S637" s="20" t="s">
        <v>33</v>
      </c>
    </row>
    <row r="638" spans="1:19" ht="15" customHeight="1" x14ac:dyDescent="0.3">
      <c r="A638" s="16">
        <v>555</v>
      </c>
      <c r="B638" s="15" t="s">
        <v>33</v>
      </c>
      <c r="C638" s="15" t="s">
        <v>33</v>
      </c>
      <c r="D638" s="22">
        <v>0</v>
      </c>
      <c r="E638" s="15" t="s">
        <v>33</v>
      </c>
      <c r="F638" s="15" t="s">
        <v>33</v>
      </c>
      <c r="G638" s="15" t="s">
        <v>33</v>
      </c>
      <c r="H638" s="16">
        <v>1</v>
      </c>
      <c r="I638" s="15" t="s">
        <v>33</v>
      </c>
      <c r="J638" s="15" t="s">
        <v>33</v>
      </c>
      <c r="K638" s="15" t="s">
        <v>33</v>
      </c>
      <c r="L638" s="15" t="s">
        <v>33</v>
      </c>
      <c r="M638" s="19">
        <v>0</v>
      </c>
      <c r="N638" s="16">
        <v>0</v>
      </c>
      <c r="O638" s="15" t="s">
        <v>33</v>
      </c>
      <c r="P638" s="16">
        <v>0</v>
      </c>
      <c r="Q638" s="16">
        <v>0</v>
      </c>
      <c r="R638" s="19">
        <v>0</v>
      </c>
      <c r="S638" s="20" t="s">
        <v>33</v>
      </c>
    </row>
    <row r="639" spans="1:19" ht="15" customHeight="1" x14ac:dyDescent="0.3">
      <c r="A639" s="16">
        <v>556</v>
      </c>
      <c r="B639" s="15" t="s">
        <v>33</v>
      </c>
      <c r="C639" s="15" t="s">
        <v>33</v>
      </c>
      <c r="D639" s="22">
        <v>0</v>
      </c>
      <c r="E639" s="15" t="s">
        <v>33</v>
      </c>
      <c r="F639" s="15" t="s">
        <v>33</v>
      </c>
      <c r="G639" s="15" t="s">
        <v>33</v>
      </c>
      <c r="H639" s="16">
        <v>1</v>
      </c>
      <c r="I639" s="15" t="s">
        <v>33</v>
      </c>
      <c r="J639" s="15" t="s">
        <v>33</v>
      </c>
      <c r="K639" s="15" t="s">
        <v>33</v>
      </c>
      <c r="L639" s="15" t="s">
        <v>33</v>
      </c>
      <c r="M639" s="19">
        <v>0</v>
      </c>
      <c r="N639" s="16">
        <v>0</v>
      </c>
      <c r="O639" s="15" t="s">
        <v>33</v>
      </c>
      <c r="P639" s="16">
        <v>0</v>
      </c>
      <c r="Q639" s="16">
        <v>0</v>
      </c>
      <c r="R639" s="19">
        <v>0</v>
      </c>
      <c r="S639" s="20" t="s">
        <v>33</v>
      </c>
    </row>
    <row r="640" spans="1:19" ht="15" customHeight="1" x14ac:dyDescent="0.3">
      <c r="A640" s="16">
        <v>557</v>
      </c>
      <c r="B640" s="15" t="s">
        <v>33</v>
      </c>
      <c r="C640" s="15" t="s">
        <v>33</v>
      </c>
      <c r="D640" s="22">
        <v>0</v>
      </c>
      <c r="E640" s="15" t="s">
        <v>33</v>
      </c>
      <c r="F640" s="15" t="s">
        <v>33</v>
      </c>
      <c r="G640" s="15" t="s">
        <v>33</v>
      </c>
      <c r="H640" s="16">
        <v>1</v>
      </c>
      <c r="I640" s="15" t="s">
        <v>33</v>
      </c>
      <c r="J640" s="15" t="s">
        <v>33</v>
      </c>
      <c r="K640" s="15" t="s">
        <v>33</v>
      </c>
      <c r="L640" s="15" t="s">
        <v>33</v>
      </c>
      <c r="M640" s="19">
        <v>0</v>
      </c>
      <c r="N640" s="16">
        <v>0</v>
      </c>
      <c r="O640" s="15" t="s">
        <v>33</v>
      </c>
      <c r="P640" s="16">
        <v>0</v>
      </c>
      <c r="Q640" s="16">
        <v>0</v>
      </c>
      <c r="R640" s="19">
        <v>0</v>
      </c>
      <c r="S640" s="20" t="s">
        <v>33</v>
      </c>
    </row>
    <row r="641" spans="1:19" ht="15" customHeight="1" x14ac:dyDescent="0.3">
      <c r="A641" s="16">
        <v>558</v>
      </c>
      <c r="B641" s="15" t="s">
        <v>33</v>
      </c>
      <c r="C641" s="15" t="s">
        <v>33</v>
      </c>
      <c r="D641" s="22">
        <v>0</v>
      </c>
      <c r="E641" s="15" t="s">
        <v>33</v>
      </c>
      <c r="F641" s="15" t="s">
        <v>33</v>
      </c>
      <c r="G641" s="15" t="s">
        <v>33</v>
      </c>
      <c r="H641" s="16">
        <v>1</v>
      </c>
      <c r="I641" s="15" t="s">
        <v>33</v>
      </c>
      <c r="J641" s="15" t="s">
        <v>33</v>
      </c>
      <c r="K641" s="15" t="s">
        <v>33</v>
      </c>
      <c r="L641" s="15" t="s">
        <v>33</v>
      </c>
      <c r="M641" s="19">
        <v>0</v>
      </c>
      <c r="N641" s="16">
        <v>0</v>
      </c>
      <c r="O641" s="15" t="s">
        <v>33</v>
      </c>
      <c r="P641" s="16">
        <v>0</v>
      </c>
      <c r="Q641" s="16">
        <v>0</v>
      </c>
      <c r="R641" s="19">
        <v>0</v>
      </c>
      <c r="S641" s="20" t="s">
        <v>33</v>
      </c>
    </row>
    <row r="642" spans="1:19" ht="15" customHeight="1" x14ac:dyDescent="0.3">
      <c r="A642" s="16">
        <v>559</v>
      </c>
      <c r="B642" s="15" t="s">
        <v>33</v>
      </c>
      <c r="C642" s="15" t="s">
        <v>33</v>
      </c>
      <c r="D642" s="22">
        <v>0</v>
      </c>
      <c r="E642" s="15" t="s">
        <v>33</v>
      </c>
      <c r="F642" s="15" t="s">
        <v>33</v>
      </c>
      <c r="G642" s="15" t="s">
        <v>33</v>
      </c>
      <c r="H642" s="16">
        <v>1</v>
      </c>
      <c r="I642" s="15" t="s">
        <v>33</v>
      </c>
      <c r="J642" s="15" t="s">
        <v>33</v>
      </c>
      <c r="K642" s="15" t="s">
        <v>33</v>
      </c>
      <c r="L642" s="15" t="s">
        <v>33</v>
      </c>
      <c r="M642" s="19">
        <v>0</v>
      </c>
      <c r="N642" s="16">
        <v>0</v>
      </c>
      <c r="O642" s="15" t="s">
        <v>33</v>
      </c>
      <c r="P642" s="16">
        <v>0</v>
      </c>
      <c r="Q642" s="16">
        <v>0</v>
      </c>
      <c r="R642" s="19">
        <v>0</v>
      </c>
      <c r="S642" s="20" t="s">
        <v>33</v>
      </c>
    </row>
    <row r="643" spans="1:19" ht="15" customHeight="1" x14ac:dyDescent="0.3">
      <c r="A643" s="16">
        <v>560</v>
      </c>
      <c r="B643" s="15" t="s">
        <v>33</v>
      </c>
      <c r="C643" s="15" t="s">
        <v>33</v>
      </c>
      <c r="D643" s="22">
        <v>0</v>
      </c>
      <c r="E643" s="15" t="s">
        <v>33</v>
      </c>
      <c r="F643" s="15" t="s">
        <v>33</v>
      </c>
      <c r="G643" s="15" t="s">
        <v>33</v>
      </c>
      <c r="H643" s="16">
        <v>1</v>
      </c>
      <c r="I643" s="15" t="s">
        <v>33</v>
      </c>
      <c r="J643" s="15" t="s">
        <v>33</v>
      </c>
      <c r="K643" s="15" t="s">
        <v>33</v>
      </c>
      <c r="L643" s="15" t="s">
        <v>33</v>
      </c>
      <c r="M643" s="19">
        <v>0</v>
      </c>
      <c r="N643" s="16">
        <v>0</v>
      </c>
      <c r="O643" s="15" t="s">
        <v>33</v>
      </c>
      <c r="P643" s="16">
        <v>0</v>
      </c>
      <c r="Q643" s="16">
        <v>0</v>
      </c>
      <c r="R643" s="19">
        <v>0</v>
      </c>
      <c r="S643" s="20" t="s">
        <v>33</v>
      </c>
    </row>
    <row r="644" spans="1:19" ht="15" customHeight="1" x14ac:dyDescent="0.3">
      <c r="A644" s="16">
        <v>561</v>
      </c>
      <c r="B644" s="15" t="s">
        <v>33</v>
      </c>
      <c r="C644" s="15" t="s">
        <v>33</v>
      </c>
      <c r="D644" s="22">
        <v>0</v>
      </c>
      <c r="E644" s="15" t="s">
        <v>33</v>
      </c>
      <c r="F644" s="15" t="s">
        <v>33</v>
      </c>
      <c r="G644" s="15" t="s">
        <v>33</v>
      </c>
      <c r="H644" s="16">
        <v>1</v>
      </c>
      <c r="I644" s="15" t="s">
        <v>33</v>
      </c>
      <c r="J644" s="15" t="s">
        <v>33</v>
      </c>
      <c r="K644" s="15" t="s">
        <v>33</v>
      </c>
      <c r="L644" s="15" t="s">
        <v>33</v>
      </c>
      <c r="M644" s="19">
        <v>0</v>
      </c>
      <c r="N644" s="16">
        <v>0</v>
      </c>
      <c r="O644" s="15" t="s">
        <v>33</v>
      </c>
      <c r="P644" s="16">
        <v>0</v>
      </c>
      <c r="Q644" s="16">
        <v>0</v>
      </c>
      <c r="R644" s="19">
        <v>0</v>
      </c>
      <c r="S644" s="20" t="s">
        <v>33</v>
      </c>
    </row>
    <row r="645" spans="1:19" ht="15" customHeight="1" x14ac:dyDescent="0.3">
      <c r="A645" s="16">
        <v>562</v>
      </c>
      <c r="B645" s="15" t="s">
        <v>33</v>
      </c>
      <c r="C645" s="15" t="s">
        <v>33</v>
      </c>
      <c r="D645" s="22">
        <v>0</v>
      </c>
      <c r="E645" s="15" t="s">
        <v>33</v>
      </c>
      <c r="F645" s="15" t="s">
        <v>33</v>
      </c>
      <c r="G645" s="15" t="s">
        <v>33</v>
      </c>
      <c r="H645" s="16">
        <v>1</v>
      </c>
      <c r="I645" s="15" t="s">
        <v>33</v>
      </c>
      <c r="J645" s="15" t="s">
        <v>33</v>
      </c>
      <c r="K645" s="15" t="s">
        <v>33</v>
      </c>
      <c r="L645" s="15" t="s">
        <v>33</v>
      </c>
      <c r="M645" s="19">
        <v>0</v>
      </c>
      <c r="N645" s="16">
        <v>0</v>
      </c>
      <c r="O645" s="15" t="s">
        <v>33</v>
      </c>
      <c r="P645" s="16">
        <v>0</v>
      </c>
      <c r="Q645" s="16">
        <v>0</v>
      </c>
      <c r="R645" s="19">
        <v>0</v>
      </c>
      <c r="S645" s="20" t="s">
        <v>33</v>
      </c>
    </row>
    <row r="646" spans="1:19" ht="15" customHeight="1" x14ac:dyDescent="0.3">
      <c r="A646" s="16">
        <v>563</v>
      </c>
      <c r="B646" s="15" t="s">
        <v>33</v>
      </c>
      <c r="C646" s="15" t="s">
        <v>33</v>
      </c>
      <c r="D646" s="22">
        <v>0</v>
      </c>
      <c r="E646" s="15" t="s">
        <v>33</v>
      </c>
      <c r="F646" s="15" t="s">
        <v>33</v>
      </c>
      <c r="G646" s="15" t="s">
        <v>33</v>
      </c>
      <c r="H646" s="16">
        <v>1</v>
      </c>
      <c r="I646" s="15" t="s">
        <v>33</v>
      </c>
      <c r="J646" s="15" t="s">
        <v>33</v>
      </c>
      <c r="K646" s="15" t="s">
        <v>33</v>
      </c>
      <c r="L646" s="15" t="s">
        <v>33</v>
      </c>
      <c r="M646" s="19">
        <v>0</v>
      </c>
      <c r="N646" s="16">
        <v>0</v>
      </c>
      <c r="O646" s="15" t="s">
        <v>33</v>
      </c>
      <c r="P646" s="16">
        <v>0</v>
      </c>
      <c r="Q646" s="16">
        <v>0</v>
      </c>
      <c r="R646" s="19">
        <v>0</v>
      </c>
      <c r="S646" s="20" t="s">
        <v>33</v>
      </c>
    </row>
    <row r="647" spans="1:19" ht="15" customHeight="1" x14ac:dyDescent="0.3">
      <c r="A647" s="16">
        <v>564</v>
      </c>
      <c r="B647" s="15" t="s">
        <v>33</v>
      </c>
      <c r="C647" s="15" t="s">
        <v>33</v>
      </c>
      <c r="D647" s="22">
        <v>0</v>
      </c>
      <c r="E647" s="15" t="s">
        <v>33</v>
      </c>
      <c r="F647" s="15" t="s">
        <v>33</v>
      </c>
      <c r="G647" s="15" t="s">
        <v>33</v>
      </c>
      <c r="H647" s="16">
        <v>1</v>
      </c>
      <c r="I647" s="15" t="s">
        <v>33</v>
      </c>
      <c r="J647" s="15" t="s">
        <v>33</v>
      </c>
      <c r="K647" s="15" t="s">
        <v>33</v>
      </c>
      <c r="L647" s="15" t="s">
        <v>33</v>
      </c>
      <c r="M647" s="19">
        <v>0</v>
      </c>
      <c r="N647" s="16">
        <v>0</v>
      </c>
      <c r="O647" s="15" t="s">
        <v>33</v>
      </c>
      <c r="P647" s="16">
        <v>0</v>
      </c>
      <c r="Q647" s="16">
        <v>0</v>
      </c>
      <c r="R647" s="19">
        <v>0</v>
      </c>
      <c r="S647" s="20" t="s">
        <v>33</v>
      </c>
    </row>
    <row r="648" spans="1:19" ht="15" customHeight="1" x14ac:dyDescent="0.3">
      <c r="A648" s="16">
        <v>565</v>
      </c>
      <c r="B648" s="15" t="s">
        <v>33</v>
      </c>
      <c r="C648" s="15" t="s">
        <v>33</v>
      </c>
      <c r="D648" s="22">
        <v>0</v>
      </c>
      <c r="E648" s="15" t="s">
        <v>33</v>
      </c>
      <c r="F648" s="15" t="s">
        <v>33</v>
      </c>
      <c r="G648" s="15" t="s">
        <v>33</v>
      </c>
      <c r="H648" s="16">
        <v>1</v>
      </c>
      <c r="I648" s="15" t="s">
        <v>33</v>
      </c>
      <c r="J648" s="15" t="s">
        <v>33</v>
      </c>
      <c r="K648" s="15" t="s">
        <v>33</v>
      </c>
      <c r="L648" s="15" t="s">
        <v>33</v>
      </c>
      <c r="M648" s="19">
        <v>0</v>
      </c>
      <c r="N648" s="16">
        <v>0</v>
      </c>
      <c r="O648" s="15" t="s">
        <v>33</v>
      </c>
      <c r="P648" s="16">
        <v>0</v>
      </c>
      <c r="Q648" s="16">
        <v>0</v>
      </c>
      <c r="R648" s="19">
        <v>0</v>
      </c>
      <c r="S648" s="20" t="s">
        <v>33</v>
      </c>
    </row>
    <row r="649" spans="1:19" ht="15" customHeight="1" x14ac:dyDescent="0.3">
      <c r="A649" s="16">
        <v>566</v>
      </c>
      <c r="B649" s="15" t="s">
        <v>33</v>
      </c>
      <c r="C649" s="15" t="s">
        <v>33</v>
      </c>
      <c r="D649" s="22">
        <v>0</v>
      </c>
      <c r="E649" s="15" t="s">
        <v>33</v>
      </c>
      <c r="F649" s="15" t="s">
        <v>33</v>
      </c>
      <c r="G649" s="15" t="s">
        <v>33</v>
      </c>
      <c r="H649" s="16">
        <v>1</v>
      </c>
      <c r="I649" s="15" t="s">
        <v>33</v>
      </c>
      <c r="J649" s="15" t="s">
        <v>33</v>
      </c>
      <c r="K649" s="15" t="s">
        <v>33</v>
      </c>
      <c r="L649" s="15" t="s">
        <v>33</v>
      </c>
      <c r="M649" s="19">
        <v>0</v>
      </c>
      <c r="N649" s="16">
        <v>0</v>
      </c>
      <c r="O649" s="15" t="s">
        <v>33</v>
      </c>
      <c r="P649" s="16">
        <v>0</v>
      </c>
      <c r="Q649" s="16">
        <v>0</v>
      </c>
      <c r="R649" s="19">
        <v>0</v>
      </c>
      <c r="S649" s="20" t="s">
        <v>33</v>
      </c>
    </row>
    <row r="650" spans="1:19" ht="15" customHeight="1" x14ac:dyDescent="0.3">
      <c r="A650" s="16">
        <v>567</v>
      </c>
      <c r="B650" s="15" t="s">
        <v>33</v>
      </c>
      <c r="C650" s="15" t="s">
        <v>33</v>
      </c>
      <c r="D650" s="22">
        <v>0</v>
      </c>
      <c r="E650" s="15" t="s">
        <v>33</v>
      </c>
      <c r="F650" s="15" t="s">
        <v>33</v>
      </c>
      <c r="G650" s="15" t="s">
        <v>33</v>
      </c>
      <c r="H650" s="16">
        <v>1</v>
      </c>
      <c r="I650" s="15" t="s">
        <v>33</v>
      </c>
      <c r="J650" s="15" t="s">
        <v>33</v>
      </c>
      <c r="K650" s="15" t="s">
        <v>33</v>
      </c>
      <c r="L650" s="15" t="s">
        <v>33</v>
      </c>
      <c r="M650" s="19">
        <v>0</v>
      </c>
      <c r="N650" s="16">
        <v>0</v>
      </c>
      <c r="O650" s="15" t="s">
        <v>33</v>
      </c>
      <c r="P650" s="16">
        <v>0</v>
      </c>
      <c r="Q650" s="16">
        <v>0</v>
      </c>
      <c r="R650" s="19">
        <v>0</v>
      </c>
      <c r="S650" s="20" t="s">
        <v>33</v>
      </c>
    </row>
    <row r="651" spans="1:19" ht="15" customHeight="1" x14ac:dyDescent="0.3">
      <c r="A651" s="16">
        <v>568</v>
      </c>
      <c r="B651" s="15" t="s">
        <v>33</v>
      </c>
      <c r="C651" s="15" t="s">
        <v>33</v>
      </c>
      <c r="D651" s="22">
        <v>0</v>
      </c>
      <c r="E651" s="15" t="s">
        <v>33</v>
      </c>
      <c r="F651" s="15" t="s">
        <v>33</v>
      </c>
      <c r="G651" s="15" t="s">
        <v>33</v>
      </c>
      <c r="H651" s="16">
        <v>1</v>
      </c>
      <c r="I651" s="15" t="s">
        <v>33</v>
      </c>
      <c r="J651" s="15" t="s">
        <v>33</v>
      </c>
      <c r="K651" s="15" t="s">
        <v>33</v>
      </c>
      <c r="L651" s="15" t="s">
        <v>33</v>
      </c>
      <c r="M651" s="19">
        <v>0</v>
      </c>
      <c r="N651" s="16">
        <v>0</v>
      </c>
      <c r="O651" s="15" t="s">
        <v>33</v>
      </c>
      <c r="P651" s="16">
        <v>0</v>
      </c>
      <c r="Q651" s="16">
        <v>0</v>
      </c>
      <c r="R651" s="19">
        <v>0</v>
      </c>
      <c r="S651" s="20" t="s">
        <v>33</v>
      </c>
    </row>
    <row r="652" spans="1:19" ht="15" customHeight="1" x14ac:dyDescent="0.3">
      <c r="A652" s="16">
        <v>569</v>
      </c>
      <c r="B652" s="15" t="s">
        <v>33</v>
      </c>
      <c r="C652" s="15" t="s">
        <v>33</v>
      </c>
      <c r="D652" s="22">
        <v>0</v>
      </c>
      <c r="E652" s="15" t="s">
        <v>33</v>
      </c>
      <c r="F652" s="15" t="s">
        <v>33</v>
      </c>
      <c r="G652" s="15" t="s">
        <v>33</v>
      </c>
      <c r="H652" s="16">
        <v>1</v>
      </c>
      <c r="I652" s="15" t="s">
        <v>33</v>
      </c>
      <c r="J652" s="15" t="s">
        <v>33</v>
      </c>
      <c r="K652" s="15" t="s">
        <v>33</v>
      </c>
      <c r="L652" s="15" t="s">
        <v>33</v>
      </c>
      <c r="M652" s="19">
        <v>0</v>
      </c>
      <c r="N652" s="16">
        <v>0</v>
      </c>
      <c r="O652" s="15" t="s">
        <v>33</v>
      </c>
      <c r="P652" s="16">
        <v>0</v>
      </c>
      <c r="Q652" s="16">
        <v>0</v>
      </c>
      <c r="R652" s="19">
        <v>0</v>
      </c>
      <c r="S652" s="20" t="s">
        <v>33</v>
      </c>
    </row>
    <row r="653" spans="1:19" ht="15" customHeight="1" x14ac:dyDescent="0.3">
      <c r="A653" s="16">
        <v>570</v>
      </c>
      <c r="B653" s="15" t="s">
        <v>33</v>
      </c>
      <c r="C653" s="15" t="s">
        <v>33</v>
      </c>
      <c r="D653" s="22">
        <v>0</v>
      </c>
      <c r="E653" s="15" t="s">
        <v>33</v>
      </c>
      <c r="F653" s="15" t="s">
        <v>33</v>
      </c>
      <c r="G653" s="15" t="s">
        <v>33</v>
      </c>
      <c r="H653" s="16">
        <v>1</v>
      </c>
      <c r="I653" s="15" t="s">
        <v>33</v>
      </c>
      <c r="J653" s="15" t="s">
        <v>33</v>
      </c>
      <c r="K653" s="15" t="s">
        <v>33</v>
      </c>
      <c r="L653" s="15" t="s">
        <v>33</v>
      </c>
      <c r="M653" s="19">
        <v>0</v>
      </c>
      <c r="N653" s="16">
        <v>0</v>
      </c>
      <c r="O653" s="15" t="s">
        <v>33</v>
      </c>
      <c r="P653" s="16">
        <v>0</v>
      </c>
      <c r="Q653" s="16">
        <v>0</v>
      </c>
      <c r="R653" s="19">
        <v>0</v>
      </c>
      <c r="S653" s="20" t="s">
        <v>33</v>
      </c>
    </row>
    <row r="654" spans="1:19" ht="15" customHeight="1" x14ac:dyDescent="0.3">
      <c r="A654" s="16">
        <v>571</v>
      </c>
      <c r="B654" s="15" t="s">
        <v>33</v>
      </c>
      <c r="C654" s="15" t="s">
        <v>33</v>
      </c>
      <c r="D654" s="22">
        <v>0</v>
      </c>
      <c r="E654" s="15" t="s">
        <v>33</v>
      </c>
      <c r="F654" s="15" t="s">
        <v>33</v>
      </c>
      <c r="G654" s="15" t="s">
        <v>33</v>
      </c>
      <c r="H654" s="16">
        <v>1</v>
      </c>
      <c r="I654" s="15" t="s">
        <v>33</v>
      </c>
      <c r="J654" s="15" t="s">
        <v>33</v>
      </c>
      <c r="K654" s="15" t="s">
        <v>33</v>
      </c>
      <c r="L654" s="15" t="s">
        <v>33</v>
      </c>
      <c r="M654" s="19">
        <v>0</v>
      </c>
      <c r="N654" s="16">
        <v>0</v>
      </c>
      <c r="O654" s="15" t="s">
        <v>33</v>
      </c>
      <c r="P654" s="16">
        <v>0</v>
      </c>
      <c r="Q654" s="16">
        <v>0</v>
      </c>
      <c r="R654" s="19">
        <v>0</v>
      </c>
      <c r="S654" s="20" t="s">
        <v>33</v>
      </c>
    </row>
    <row r="655" spans="1:19" ht="15" customHeight="1" x14ac:dyDescent="0.3">
      <c r="A655" s="16">
        <v>572</v>
      </c>
      <c r="B655" s="15" t="s">
        <v>33</v>
      </c>
      <c r="C655" s="15" t="s">
        <v>33</v>
      </c>
      <c r="D655" s="22">
        <v>0</v>
      </c>
      <c r="E655" s="15" t="s">
        <v>33</v>
      </c>
      <c r="F655" s="15" t="s">
        <v>33</v>
      </c>
      <c r="G655" s="15" t="s">
        <v>33</v>
      </c>
      <c r="H655" s="16">
        <v>1</v>
      </c>
      <c r="I655" s="15" t="s">
        <v>33</v>
      </c>
      <c r="J655" s="15" t="s">
        <v>33</v>
      </c>
      <c r="K655" s="15" t="s">
        <v>33</v>
      </c>
      <c r="L655" s="15" t="s">
        <v>33</v>
      </c>
      <c r="M655" s="19">
        <v>0</v>
      </c>
      <c r="N655" s="16">
        <v>0</v>
      </c>
      <c r="O655" s="15" t="s">
        <v>33</v>
      </c>
      <c r="P655" s="16">
        <v>0</v>
      </c>
      <c r="Q655" s="16">
        <v>0</v>
      </c>
      <c r="R655" s="19">
        <v>0</v>
      </c>
      <c r="S655" s="20" t="s">
        <v>33</v>
      </c>
    </row>
    <row r="656" spans="1:19" ht="15" customHeight="1" x14ac:dyDescent="0.3">
      <c r="A656" s="16">
        <v>573</v>
      </c>
      <c r="B656" s="15" t="s">
        <v>33</v>
      </c>
      <c r="C656" s="15" t="s">
        <v>33</v>
      </c>
      <c r="D656" s="22">
        <v>0</v>
      </c>
      <c r="E656" s="15" t="s">
        <v>33</v>
      </c>
      <c r="F656" s="15" t="s">
        <v>33</v>
      </c>
      <c r="G656" s="15" t="s">
        <v>33</v>
      </c>
      <c r="H656" s="16">
        <v>1</v>
      </c>
      <c r="I656" s="15" t="s">
        <v>33</v>
      </c>
      <c r="J656" s="15" t="s">
        <v>33</v>
      </c>
      <c r="K656" s="15" t="s">
        <v>33</v>
      </c>
      <c r="L656" s="15" t="s">
        <v>33</v>
      </c>
      <c r="M656" s="19">
        <v>0</v>
      </c>
      <c r="N656" s="16">
        <v>0</v>
      </c>
      <c r="O656" s="15" t="s">
        <v>33</v>
      </c>
      <c r="P656" s="16">
        <v>0</v>
      </c>
      <c r="Q656" s="16">
        <v>0</v>
      </c>
      <c r="R656" s="19">
        <v>0</v>
      </c>
      <c r="S656" s="20" t="s">
        <v>33</v>
      </c>
    </row>
    <row r="657" spans="1:19" ht="15" customHeight="1" x14ac:dyDescent="0.3">
      <c r="A657" s="16">
        <v>574</v>
      </c>
      <c r="B657" s="15" t="s">
        <v>33</v>
      </c>
      <c r="C657" s="15" t="s">
        <v>33</v>
      </c>
      <c r="D657" s="22">
        <v>0</v>
      </c>
      <c r="E657" s="15" t="s">
        <v>33</v>
      </c>
      <c r="F657" s="15" t="s">
        <v>33</v>
      </c>
      <c r="G657" s="15" t="s">
        <v>33</v>
      </c>
      <c r="H657" s="16">
        <v>1</v>
      </c>
      <c r="I657" s="15" t="s">
        <v>33</v>
      </c>
      <c r="J657" s="15" t="s">
        <v>33</v>
      </c>
      <c r="K657" s="15" t="s">
        <v>33</v>
      </c>
      <c r="L657" s="15" t="s">
        <v>33</v>
      </c>
      <c r="M657" s="19">
        <v>0</v>
      </c>
      <c r="N657" s="16">
        <v>0</v>
      </c>
      <c r="O657" s="15" t="s">
        <v>33</v>
      </c>
      <c r="P657" s="16">
        <v>0</v>
      </c>
      <c r="Q657" s="16">
        <v>0</v>
      </c>
      <c r="R657" s="19">
        <v>0</v>
      </c>
      <c r="S657" s="20" t="s">
        <v>33</v>
      </c>
    </row>
    <row r="658" spans="1:19" ht="15" customHeight="1" x14ac:dyDescent="0.3">
      <c r="A658" s="16">
        <v>575</v>
      </c>
      <c r="B658" s="15" t="s">
        <v>33</v>
      </c>
      <c r="C658" s="15" t="s">
        <v>33</v>
      </c>
      <c r="D658" s="22">
        <v>0</v>
      </c>
      <c r="E658" s="15" t="s">
        <v>33</v>
      </c>
      <c r="F658" s="15" t="s">
        <v>33</v>
      </c>
      <c r="G658" s="15" t="s">
        <v>33</v>
      </c>
      <c r="H658" s="16">
        <v>1</v>
      </c>
      <c r="I658" s="15" t="s">
        <v>33</v>
      </c>
      <c r="J658" s="15" t="s">
        <v>33</v>
      </c>
      <c r="K658" s="15" t="s">
        <v>33</v>
      </c>
      <c r="L658" s="15" t="s">
        <v>33</v>
      </c>
      <c r="M658" s="19">
        <v>0</v>
      </c>
      <c r="N658" s="16">
        <v>0</v>
      </c>
      <c r="O658" s="15" t="s">
        <v>33</v>
      </c>
      <c r="P658" s="16">
        <v>0</v>
      </c>
      <c r="Q658" s="16">
        <v>0</v>
      </c>
      <c r="R658" s="19">
        <v>0</v>
      </c>
      <c r="S658" s="20" t="s">
        <v>33</v>
      </c>
    </row>
    <row r="659" spans="1:19" ht="15" customHeight="1" x14ac:dyDescent="0.3">
      <c r="A659" s="16">
        <v>576</v>
      </c>
      <c r="B659" s="15" t="s">
        <v>33</v>
      </c>
      <c r="C659" s="15" t="s">
        <v>33</v>
      </c>
      <c r="D659" s="22">
        <v>0</v>
      </c>
      <c r="E659" s="15" t="s">
        <v>33</v>
      </c>
      <c r="F659" s="15" t="s">
        <v>33</v>
      </c>
      <c r="G659" s="15" t="s">
        <v>33</v>
      </c>
      <c r="H659" s="16">
        <v>1</v>
      </c>
      <c r="I659" s="15" t="s">
        <v>33</v>
      </c>
      <c r="J659" s="15" t="s">
        <v>33</v>
      </c>
      <c r="K659" s="15" t="s">
        <v>33</v>
      </c>
      <c r="L659" s="15" t="s">
        <v>33</v>
      </c>
      <c r="M659" s="19">
        <v>0</v>
      </c>
      <c r="N659" s="16">
        <v>0</v>
      </c>
      <c r="O659" s="15" t="s">
        <v>33</v>
      </c>
      <c r="P659" s="16">
        <v>0</v>
      </c>
      <c r="Q659" s="16">
        <v>0</v>
      </c>
      <c r="R659" s="19">
        <v>0</v>
      </c>
      <c r="S659" s="20" t="s">
        <v>33</v>
      </c>
    </row>
    <row r="660" spans="1:19" ht="15" customHeight="1" x14ac:dyDescent="0.3">
      <c r="A660" s="16">
        <v>577</v>
      </c>
      <c r="B660" s="15" t="s">
        <v>33</v>
      </c>
      <c r="C660" s="15" t="s">
        <v>33</v>
      </c>
      <c r="D660" s="22">
        <v>0</v>
      </c>
      <c r="E660" s="15" t="s">
        <v>33</v>
      </c>
      <c r="F660" s="15" t="s">
        <v>33</v>
      </c>
      <c r="G660" s="15" t="s">
        <v>33</v>
      </c>
      <c r="H660" s="16">
        <v>1</v>
      </c>
      <c r="I660" s="15" t="s">
        <v>33</v>
      </c>
      <c r="J660" s="15" t="s">
        <v>33</v>
      </c>
      <c r="K660" s="15" t="s">
        <v>33</v>
      </c>
      <c r="L660" s="15" t="s">
        <v>33</v>
      </c>
      <c r="M660" s="19">
        <v>0</v>
      </c>
      <c r="N660" s="16">
        <v>0</v>
      </c>
      <c r="O660" s="15" t="s">
        <v>33</v>
      </c>
      <c r="P660" s="16">
        <v>0</v>
      </c>
      <c r="Q660" s="16">
        <v>0</v>
      </c>
      <c r="R660" s="19">
        <v>0</v>
      </c>
      <c r="S660" s="20" t="s">
        <v>33</v>
      </c>
    </row>
    <row r="661" spans="1:19" ht="15" customHeight="1" x14ac:dyDescent="0.3">
      <c r="A661" s="16">
        <v>578</v>
      </c>
      <c r="B661" s="15" t="s">
        <v>33</v>
      </c>
      <c r="C661" s="15" t="s">
        <v>33</v>
      </c>
      <c r="D661" s="22">
        <v>0</v>
      </c>
      <c r="E661" s="15" t="s">
        <v>33</v>
      </c>
      <c r="F661" s="15" t="s">
        <v>33</v>
      </c>
      <c r="G661" s="15" t="s">
        <v>33</v>
      </c>
      <c r="H661" s="16">
        <v>1</v>
      </c>
      <c r="I661" s="15" t="s">
        <v>33</v>
      </c>
      <c r="J661" s="15" t="s">
        <v>33</v>
      </c>
      <c r="K661" s="15" t="s">
        <v>33</v>
      </c>
      <c r="L661" s="15" t="s">
        <v>33</v>
      </c>
      <c r="M661" s="19">
        <v>0</v>
      </c>
      <c r="N661" s="16">
        <v>0</v>
      </c>
      <c r="O661" s="15" t="s">
        <v>33</v>
      </c>
      <c r="P661" s="16">
        <v>0</v>
      </c>
      <c r="Q661" s="16">
        <v>0</v>
      </c>
      <c r="R661" s="19">
        <v>0</v>
      </c>
      <c r="S661" s="20" t="s">
        <v>33</v>
      </c>
    </row>
    <row r="662" spans="1:19" ht="15" customHeight="1" x14ac:dyDescent="0.3">
      <c r="A662" s="16">
        <v>579</v>
      </c>
      <c r="B662" s="15" t="s">
        <v>33</v>
      </c>
      <c r="C662" s="15" t="s">
        <v>33</v>
      </c>
      <c r="D662" s="22">
        <v>0</v>
      </c>
      <c r="E662" s="15" t="s">
        <v>33</v>
      </c>
      <c r="F662" s="15" t="s">
        <v>33</v>
      </c>
      <c r="G662" s="15" t="s">
        <v>33</v>
      </c>
      <c r="H662" s="16">
        <v>1</v>
      </c>
      <c r="I662" s="15" t="s">
        <v>33</v>
      </c>
      <c r="J662" s="15" t="s">
        <v>33</v>
      </c>
      <c r="K662" s="15" t="s">
        <v>33</v>
      </c>
      <c r="L662" s="15" t="s">
        <v>33</v>
      </c>
      <c r="M662" s="19">
        <v>0</v>
      </c>
      <c r="N662" s="16">
        <v>0</v>
      </c>
      <c r="O662" s="15" t="s">
        <v>33</v>
      </c>
      <c r="P662" s="16">
        <v>0</v>
      </c>
      <c r="Q662" s="16">
        <v>0</v>
      </c>
      <c r="R662" s="19">
        <v>0</v>
      </c>
      <c r="S662" s="20" t="s">
        <v>33</v>
      </c>
    </row>
    <row r="663" spans="1:19" ht="15" customHeight="1" x14ac:dyDescent="0.3">
      <c r="A663" s="16">
        <v>580</v>
      </c>
      <c r="B663" s="15" t="s">
        <v>33</v>
      </c>
      <c r="C663" s="15" t="s">
        <v>33</v>
      </c>
      <c r="D663" s="22">
        <v>0</v>
      </c>
      <c r="E663" s="15" t="s">
        <v>33</v>
      </c>
      <c r="F663" s="15" t="s">
        <v>33</v>
      </c>
      <c r="G663" s="15" t="s">
        <v>33</v>
      </c>
      <c r="H663" s="16">
        <v>1</v>
      </c>
      <c r="I663" s="15" t="s">
        <v>33</v>
      </c>
      <c r="J663" s="15" t="s">
        <v>33</v>
      </c>
      <c r="K663" s="15" t="s">
        <v>33</v>
      </c>
      <c r="L663" s="15" t="s">
        <v>33</v>
      </c>
      <c r="M663" s="19">
        <v>0</v>
      </c>
      <c r="N663" s="16">
        <v>0</v>
      </c>
      <c r="O663" s="15" t="s">
        <v>33</v>
      </c>
      <c r="P663" s="16">
        <v>0</v>
      </c>
      <c r="Q663" s="16">
        <v>0</v>
      </c>
      <c r="R663" s="19">
        <v>0</v>
      </c>
      <c r="S663" s="20" t="s">
        <v>33</v>
      </c>
    </row>
    <row r="664" spans="1:19" ht="15" customHeight="1" x14ac:dyDescent="0.3">
      <c r="A664" s="16">
        <v>581</v>
      </c>
      <c r="B664" s="15" t="s">
        <v>33</v>
      </c>
      <c r="C664" s="15" t="s">
        <v>33</v>
      </c>
      <c r="D664" s="22">
        <v>0</v>
      </c>
      <c r="E664" s="15" t="s">
        <v>33</v>
      </c>
      <c r="F664" s="15" t="s">
        <v>33</v>
      </c>
      <c r="G664" s="15" t="s">
        <v>33</v>
      </c>
      <c r="H664" s="16">
        <v>1</v>
      </c>
      <c r="I664" s="15" t="s">
        <v>33</v>
      </c>
      <c r="J664" s="15" t="s">
        <v>33</v>
      </c>
      <c r="K664" s="15" t="s">
        <v>33</v>
      </c>
      <c r="L664" s="15" t="s">
        <v>33</v>
      </c>
      <c r="M664" s="19">
        <v>0</v>
      </c>
      <c r="N664" s="16">
        <v>0</v>
      </c>
      <c r="O664" s="15" t="s">
        <v>33</v>
      </c>
      <c r="P664" s="16">
        <v>0</v>
      </c>
      <c r="Q664" s="16">
        <v>0</v>
      </c>
      <c r="R664" s="19">
        <v>0</v>
      </c>
      <c r="S664" s="20" t="s">
        <v>33</v>
      </c>
    </row>
    <row r="665" spans="1:19" ht="15" customHeight="1" x14ac:dyDescent="0.3">
      <c r="A665" s="16">
        <v>582</v>
      </c>
      <c r="B665" s="15" t="s">
        <v>33</v>
      </c>
      <c r="C665" s="15" t="s">
        <v>33</v>
      </c>
      <c r="D665" s="22">
        <v>0</v>
      </c>
      <c r="E665" s="15" t="s">
        <v>33</v>
      </c>
      <c r="F665" s="15" t="s">
        <v>33</v>
      </c>
      <c r="G665" s="15" t="s">
        <v>33</v>
      </c>
      <c r="H665" s="16">
        <v>1</v>
      </c>
      <c r="I665" s="15" t="s">
        <v>33</v>
      </c>
      <c r="J665" s="15" t="s">
        <v>33</v>
      </c>
      <c r="K665" s="15" t="s">
        <v>33</v>
      </c>
      <c r="L665" s="15" t="s">
        <v>33</v>
      </c>
      <c r="M665" s="19">
        <v>0</v>
      </c>
      <c r="N665" s="16">
        <v>0</v>
      </c>
      <c r="O665" s="15" t="s">
        <v>33</v>
      </c>
      <c r="P665" s="16">
        <v>0</v>
      </c>
      <c r="Q665" s="16">
        <v>0</v>
      </c>
      <c r="R665" s="19">
        <v>0</v>
      </c>
      <c r="S665" s="20" t="s">
        <v>33</v>
      </c>
    </row>
    <row r="666" spans="1:19" ht="15" customHeight="1" x14ac:dyDescent="0.3">
      <c r="A666" s="16">
        <v>583</v>
      </c>
      <c r="B666" s="15" t="s">
        <v>33</v>
      </c>
      <c r="C666" s="15" t="s">
        <v>33</v>
      </c>
      <c r="D666" s="22">
        <v>0</v>
      </c>
      <c r="E666" s="15" t="s">
        <v>33</v>
      </c>
      <c r="F666" s="15" t="s">
        <v>33</v>
      </c>
      <c r="G666" s="15" t="s">
        <v>33</v>
      </c>
      <c r="H666" s="16">
        <v>1</v>
      </c>
      <c r="I666" s="15" t="s">
        <v>33</v>
      </c>
      <c r="J666" s="15" t="s">
        <v>33</v>
      </c>
      <c r="K666" s="15" t="s">
        <v>33</v>
      </c>
      <c r="L666" s="15" t="s">
        <v>33</v>
      </c>
      <c r="M666" s="19">
        <v>0</v>
      </c>
      <c r="N666" s="16">
        <v>0</v>
      </c>
      <c r="O666" s="15" t="s">
        <v>33</v>
      </c>
      <c r="P666" s="16">
        <v>0</v>
      </c>
      <c r="Q666" s="16">
        <v>0</v>
      </c>
      <c r="R666" s="19">
        <v>0</v>
      </c>
      <c r="S666" s="20" t="s">
        <v>33</v>
      </c>
    </row>
    <row r="667" spans="1:19" ht="15" customHeight="1" x14ac:dyDescent="0.3">
      <c r="A667" s="16">
        <v>584</v>
      </c>
      <c r="B667" s="15" t="s">
        <v>33</v>
      </c>
      <c r="C667" s="15" t="s">
        <v>33</v>
      </c>
      <c r="D667" s="22">
        <v>0</v>
      </c>
      <c r="E667" s="15" t="s">
        <v>33</v>
      </c>
      <c r="F667" s="15" t="s">
        <v>33</v>
      </c>
      <c r="G667" s="15" t="s">
        <v>33</v>
      </c>
      <c r="H667" s="16">
        <v>1</v>
      </c>
      <c r="I667" s="15" t="s">
        <v>33</v>
      </c>
      <c r="J667" s="15" t="s">
        <v>33</v>
      </c>
      <c r="K667" s="15" t="s">
        <v>33</v>
      </c>
      <c r="L667" s="15" t="s">
        <v>33</v>
      </c>
      <c r="M667" s="19">
        <v>0</v>
      </c>
      <c r="N667" s="16">
        <v>0</v>
      </c>
      <c r="O667" s="15" t="s">
        <v>33</v>
      </c>
      <c r="P667" s="16">
        <v>0</v>
      </c>
      <c r="Q667" s="16">
        <v>0</v>
      </c>
      <c r="R667" s="19">
        <v>0</v>
      </c>
      <c r="S667" s="20" t="s">
        <v>33</v>
      </c>
    </row>
    <row r="668" spans="1:19" ht="15" customHeight="1" x14ac:dyDescent="0.3">
      <c r="A668" s="16">
        <v>585</v>
      </c>
      <c r="B668" s="15" t="s">
        <v>33</v>
      </c>
      <c r="C668" s="15" t="s">
        <v>33</v>
      </c>
      <c r="D668" s="22">
        <v>0</v>
      </c>
      <c r="E668" s="15" t="s">
        <v>33</v>
      </c>
      <c r="F668" s="15" t="s">
        <v>33</v>
      </c>
      <c r="G668" s="15" t="s">
        <v>33</v>
      </c>
      <c r="H668" s="16">
        <v>1</v>
      </c>
      <c r="I668" s="15" t="s">
        <v>33</v>
      </c>
      <c r="J668" s="15" t="s">
        <v>33</v>
      </c>
      <c r="K668" s="15" t="s">
        <v>33</v>
      </c>
      <c r="L668" s="15" t="s">
        <v>33</v>
      </c>
      <c r="M668" s="19">
        <v>0</v>
      </c>
      <c r="N668" s="16">
        <v>0</v>
      </c>
      <c r="O668" s="15" t="s">
        <v>33</v>
      </c>
      <c r="P668" s="16">
        <v>0</v>
      </c>
      <c r="Q668" s="16">
        <v>0</v>
      </c>
      <c r="R668" s="19">
        <v>0</v>
      </c>
      <c r="S668" s="20" t="s">
        <v>33</v>
      </c>
    </row>
    <row r="669" spans="1:19" ht="15" customHeight="1" x14ac:dyDescent="0.3">
      <c r="A669" s="16">
        <v>586</v>
      </c>
      <c r="B669" s="15" t="s">
        <v>33</v>
      </c>
      <c r="C669" s="15" t="s">
        <v>33</v>
      </c>
      <c r="D669" s="22">
        <v>0</v>
      </c>
      <c r="E669" s="15" t="s">
        <v>33</v>
      </c>
      <c r="F669" s="15" t="s">
        <v>33</v>
      </c>
      <c r="G669" s="15" t="s">
        <v>33</v>
      </c>
      <c r="H669" s="16">
        <v>1</v>
      </c>
      <c r="I669" s="15" t="s">
        <v>33</v>
      </c>
      <c r="J669" s="15" t="s">
        <v>33</v>
      </c>
      <c r="K669" s="15" t="s">
        <v>33</v>
      </c>
      <c r="L669" s="15" t="s">
        <v>33</v>
      </c>
      <c r="M669" s="19">
        <v>0</v>
      </c>
      <c r="N669" s="16">
        <v>0</v>
      </c>
      <c r="O669" s="15" t="s">
        <v>33</v>
      </c>
      <c r="P669" s="16">
        <v>0</v>
      </c>
      <c r="Q669" s="16">
        <v>0</v>
      </c>
      <c r="R669" s="19">
        <v>0</v>
      </c>
      <c r="S669" s="20" t="s">
        <v>33</v>
      </c>
    </row>
    <row r="670" spans="1:19" ht="15" customHeight="1" x14ac:dyDescent="0.3">
      <c r="A670" s="16">
        <v>587</v>
      </c>
      <c r="B670" s="15" t="s">
        <v>33</v>
      </c>
      <c r="C670" s="15" t="s">
        <v>33</v>
      </c>
      <c r="D670" s="22">
        <v>0</v>
      </c>
      <c r="E670" s="15" t="s">
        <v>33</v>
      </c>
      <c r="F670" s="15" t="s">
        <v>33</v>
      </c>
      <c r="G670" s="15" t="s">
        <v>33</v>
      </c>
      <c r="H670" s="16">
        <v>1</v>
      </c>
      <c r="I670" s="15" t="s">
        <v>33</v>
      </c>
      <c r="J670" s="15" t="s">
        <v>33</v>
      </c>
      <c r="K670" s="15" t="s">
        <v>33</v>
      </c>
      <c r="L670" s="15" t="s">
        <v>33</v>
      </c>
      <c r="M670" s="19">
        <v>0</v>
      </c>
      <c r="N670" s="16">
        <v>0</v>
      </c>
      <c r="O670" s="15" t="s">
        <v>33</v>
      </c>
      <c r="P670" s="16">
        <v>0</v>
      </c>
      <c r="Q670" s="16">
        <v>0</v>
      </c>
      <c r="R670" s="19">
        <v>0</v>
      </c>
      <c r="S670" s="20" t="s">
        <v>33</v>
      </c>
    </row>
    <row r="671" spans="1:19" ht="15" customHeight="1" x14ac:dyDescent="0.3">
      <c r="A671" s="16">
        <v>588</v>
      </c>
      <c r="B671" s="15" t="s">
        <v>33</v>
      </c>
      <c r="C671" s="15" t="s">
        <v>33</v>
      </c>
      <c r="D671" s="22">
        <v>0</v>
      </c>
      <c r="E671" s="15" t="s">
        <v>33</v>
      </c>
      <c r="F671" s="15" t="s">
        <v>33</v>
      </c>
      <c r="G671" s="15" t="s">
        <v>33</v>
      </c>
      <c r="H671" s="16">
        <v>1</v>
      </c>
      <c r="I671" s="15" t="s">
        <v>33</v>
      </c>
      <c r="J671" s="15" t="s">
        <v>33</v>
      </c>
      <c r="K671" s="15" t="s">
        <v>33</v>
      </c>
      <c r="L671" s="15" t="s">
        <v>33</v>
      </c>
      <c r="M671" s="19">
        <v>0</v>
      </c>
      <c r="N671" s="16">
        <v>0</v>
      </c>
      <c r="O671" s="15" t="s">
        <v>33</v>
      </c>
      <c r="P671" s="16">
        <v>0</v>
      </c>
      <c r="Q671" s="16">
        <v>0</v>
      </c>
      <c r="R671" s="19">
        <v>0</v>
      </c>
      <c r="S671" s="20" t="s">
        <v>33</v>
      </c>
    </row>
    <row r="672" spans="1:19" ht="15" customHeight="1" x14ac:dyDescent="0.3">
      <c r="A672" s="16">
        <v>589</v>
      </c>
      <c r="B672" s="15" t="s">
        <v>33</v>
      </c>
      <c r="C672" s="15" t="s">
        <v>33</v>
      </c>
      <c r="D672" s="22">
        <v>0</v>
      </c>
      <c r="E672" s="15" t="s">
        <v>33</v>
      </c>
      <c r="F672" s="15" t="s">
        <v>33</v>
      </c>
      <c r="G672" s="15" t="s">
        <v>33</v>
      </c>
      <c r="H672" s="16">
        <v>1</v>
      </c>
      <c r="I672" s="15" t="s">
        <v>33</v>
      </c>
      <c r="J672" s="15" t="s">
        <v>33</v>
      </c>
      <c r="K672" s="15" t="s">
        <v>33</v>
      </c>
      <c r="L672" s="15" t="s">
        <v>33</v>
      </c>
      <c r="M672" s="19">
        <v>0</v>
      </c>
      <c r="N672" s="16">
        <v>0</v>
      </c>
      <c r="O672" s="15" t="s">
        <v>33</v>
      </c>
      <c r="P672" s="16">
        <v>0</v>
      </c>
      <c r="Q672" s="16">
        <v>0</v>
      </c>
      <c r="R672" s="19">
        <v>0</v>
      </c>
      <c r="S672" s="20" t="s">
        <v>33</v>
      </c>
    </row>
    <row r="673" spans="1:19" ht="15" customHeight="1" x14ac:dyDescent="0.3">
      <c r="A673" s="16">
        <v>590</v>
      </c>
      <c r="B673" s="15" t="s">
        <v>33</v>
      </c>
      <c r="C673" s="15" t="s">
        <v>33</v>
      </c>
      <c r="D673" s="22">
        <v>0</v>
      </c>
      <c r="E673" s="15" t="s">
        <v>33</v>
      </c>
      <c r="F673" s="15" t="s">
        <v>33</v>
      </c>
      <c r="G673" s="15" t="s">
        <v>33</v>
      </c>
      <c r="H673" s="16">
        <v>1</v>
      </c>
      <c r="I673" s="15" t="s">
        <v>33</v>
      </c>
      <c r="J673" s="15" t="s">
        <v>33</v>
      </c>
      <c r="K673" s="15" t="s">
        <v>33</v>
      </c>
      <c r="L673" s="15" t="s">
        <v>33</v>
      </c>
      <c r="M673" s="19">
        <v>0</v>
      </c>
      <c r="N673" s="16">
        <v>0</v>
      </c>
      <c r="O673" s="15" t="s">
        <v>33</v>
      </c>
      <c r="P673" s="16">
        <v>0</v>
      </c>
      <c r="Q673" s="16">
        <v>0</v>
      </c>
      <c r="R673" s="19">
        <v>0</v>
      </c>
      <c r="S673" s="20" t="s">
        <v>33</v>
      </c>
    </row>
    <row r="674" spans="1:19" ht="15" customHeight="1" x14ac:dyDescent="0.3">
      <c r="A674" s="16">
        <v>591</v>
      </c>
      <c r="B674" s="15" t="s">
        <v>33</v>
      </c>
      <c r="C674" s="15" t="s">
        <v>33</v>
      </c>
      <c r="D674" s="22">
        <v>0</v>
      </c>
      <c r="E674" s="15" t="s">
        <v>33</v>
      </c>
      <c r="F674" s="15" t="s">
        <v>33</v>
      </c>
      <c r="G674" s="15" t="s">
        <v>33</v>
      </c>
      <c r="H674" s="16">
        <v>1</v>
      </c>
      <c r="I674" s="15" t="s">
        <v>33</v>
      </c>
      <c r="J674" s="15" t="s">
        <v>33</v>
      </c>
      <c r="K674" s="15" t="s">
        <v>33</v>
      </c>
      <c r="L674" s="15" t="s">
        <v>33</v>
      </c>
      <c r="M674" s="19">
        <v>0</v>
      </c>
      <c r="N674" s="16">
        <v>0</v>
      </c>
      <c r="O674" s="15" t="s">
        <v>33</v>
      </c>
      <c r="P674" s="16">
        <v>0</v>
      </c>
      <c r="Q674" s="16">
        <v>0</v>
      </c>
      <c r="R674" s="19">
        <v>0</v>
      </c>
      <c r="S674" s="20" t="s">
        <v>33</v>
      </c>
    </row>
    <row r="675" spans="1:19" ht="15" customHeight="1" x14ac:dyDescent="0.3">
      <c r="A675" s="16">
        <v>592</v>
      </c>
      <c r="B675" s="15" t="s">
        <v>33</v>
      </c>
      <c r="C675" s="15" t="s">
        <v>33</v>
      </c>
      <c r="D675" s="22">
        <v>0</v>
      </c>
      <c r="E675" s="15" t="s">
        <v>33</v>
      </c>
      <c r="F675" s="15" t="s">
        <v>33</v>
      </c>
      <c r="G675" s="15" t="s">
        <v>33</v>
      </c>
      <c r="H675" s="16">
        <v>1</v>
      </c>
      <c r="I675" s="15" t="s">
        <v>33</v>
      </c>
      <c r="J675" s="15" t="s">
        <v>33</v>
      </c>
      <c r="K675" s="15" t="s">
        <v>33</v>
      </c>
      <c r="L675" s="15" t="s">
        <v>33</v>
      </c>
      <c r="M675" s="19">
        <v>0</v>
      </c>
      <c r="N675" s="16">
        <v>0</v>
      </c>
      <c r="O675" s="15" t="s">
        <v>33</v>
      </c>
      <c r="P675" s="16">
        <v>0</v>
      </c>
      <c r="Q675" s="16">
        <v>0</v>
      </c>
      <c r="R675" s="19">
        <v>0</v>
      </c>
      <c r="S675" s="20" t="s">
        <v>33</v>
      </c>
    </row>
    <row r="676" spans="1:19" ht="15" customHeight="1" x14ac:dyDescent="0.3">
      <c r="A676" s="16">
        <v>593</v>
      </c>
      <c r="B676" s="15" t="s">
        <v>33</v>
      </c>
      <c r="C676" s="15" t="s">
        <v>33</v>
      </c>
      <c r="D676" s="22">
        <v>0</v>
      </c>
      <c r="E676" s="15" t="s">
        <v>33</v>
      </c>
      <c r="F676" s="15" t="s">
        <v>33</v>
      </c>
      <c r="G676" s="15" t="s">
        <v>33</v>
      </c>
      <c r="H676" s="16">
        <v>1</v>
      </c>
      <c r="I676" s="15" t="s">
        <v>33</v>
      </c>
      <c r="J676" s="15" t="s">
        <v>33</v>
      </c>
      <c r="K676" s="15" t="s">
        <v>33</v>
      </c>
      <c r="L676" s="15" t="s">
        <v>33</v>
      </c>
      <c r="M676" s="19">
        <v>0</v>
      </c>
      <c r="N676" s="16">
        <v>0</v>
      </c>
      <c r="O676" s="15" t="s">
        <v>33</v>
      </c>
      <c r="P676" s="16">
        <v>0</v>
      </c>
      <c r="Q676" s="16">
        <v>0</v>
      </c>
      <c r="R676" s="19">
        <v>0</v>
      </c>
      <c r="S676" s="20" t="s">
        <v>33</v>
      </c>
    </row>
    <row r="677" spans="1:19" ht="15" customHeight="1" x14ac:dyDescent="0.3">
      <c r="A677" s="16">
        <v>594</v>
      </c>
      <c r="B677" s="15" t="s">
        <v>33</v>
      </c>
      <c r="C677" s="15" t="s">
        <v>33</v>
      </c>
      <c r="D677" s="22">
        <v>0</v>
      </c>
      <c r="E677" s="15" t="s">
        <v>33</v>
      </c>
      <c r="F677" s="15" t="s">
        <v>33</v>
      </c>
      <c r="G677" s="15" t="s">
        <v>33</v>
      </c>
      <c r="H677" s="16">
        <v>1</v>
      </c>
      <c r="I677" s="15" t="s">
        <v>33</v>
      </c>
      <c r="J677" s="15" t="s">
        <v>33</v>
      </c>
      <c r="K677" s="15" t="s">
        <v>33</v>
      </c>
      <c r="L677" s="15" t="s">
        <v>33</v>
      </c>
      <c r="M677" s="19">
        <v>0</v>
      </c>
      <c r="N677" s="16">
        <v>0</v>
      </c>
      <c r="O677" s="15" t="s">
        <v>33</v>
      </c>
      <c r="P677" s="16">
        <v>0</v>
      </c>
      <c r="Q677" s="16">
        <v>0</v>
      </c>
      <c r="R677" s="19">
        <v>0</v>
      </c>
      <c r="S677" s="20" t="s">
        <v>33</v>
      </c>
    </row>
    <row r="678" spans="1:19" ht="15" customHeight="1" x14ac:dyDescent="0.3">
      <c r="A678" s="16">
        <v>595</v>
      </c>
      <c r="B678" s="15" t="s">
        <v>33</v>
      </c>
      <c r="C678" s="15" t="s">
        <v>33</v>
      </c>
      <c r="D678" s="22">
        <v>0</v>
      </c>
      <c r="E678" s="15" t="s">
        <v>33</v>
      </c>
      <c r="F678" s="15" t="s">
        <v>33</v>
      </c>
      <c r="G678" s="15" t="s">
        <v>33</v>
      </c>
      <c r="H678" s="16">
        <v>1</v>
      </c>
      <c r="I678" s="15" t="s">
        <v>33</v>
      </c>
      <c r="J678" s="15" t="s">
        <v>33</v>
      </c>
      <c r="K678" s="15" t="s">
        <v>33</v>
      </c>
      <c r="L678" s="15" t="s">
        <v>33</v>
      </c>
      <c r="M678" s="19">
        <v>0</v>
      </c>
      <c r="N678" s="16">
        <v>0</v>
      </c>
      <c r="O678" s="15" t="s">
        <v>33</v>
      </c>
      <c r="P678" s="16">
        <v>0</v>
      </c>
      <c r="Q678" s="16">
        <v>0</v>
      </c>
      <c r="R678" s="19">
        <v>0</v>
      </c>
      <c r="S678" s="20" t="s">
        <v>33</v>
      </c>
    </row>
    <row r="679" spans="1:19" ht="15" customHeight="1" x14ac:dyDescent="0.3">
      <c r="A679" s="16">
        <v>596</v>
      </c>
      <c r="B679" s="15" t="s">
        <v>33</v>
      </c>
      <c r="C679" s="15" t="s">
        <v>33</v>
      </c>
      <c r="D679" s="22">
        <v>0</v>
      </c>
      <c r="E679" s="15" t="s">
        <v>33</v>
      </c>
      <c r="F679" s="15" t="s">
        <v>33</v>
      </c>
      <c r="G679" s="15" t="s">
        <v>33</v>
      </c>
      <c r="H679" s="16">
        <v>1</v>
      </c>
      <c r="I679" s="15" t="s">
        <v>33</v>
      </c>
      <c r="J679" s="15" t="s">
        <v>33</v>
      </c>
      <c r="K679" s="15" t="s">
        <v>33</v>
      </c>
      <c r="L679" s="15" t="s">
        <v>33</v>
      </c>
      <c r="M679" s="19">
        <v>0</v>
      </c>
      <c r="N679" s="16">
        <v>0</v>
      </c>
      <c r="O679" s="15" t="s">
        <v>33</v>
      </c>
      <c r="P679" s="16">
        <v>0</v>
      </c>
      <c r="Q679" s="16">
        <v>0</v>
      </c>
      <c r="R679" s="19">
        <v>0</v>
      </c>
      <c r="S679" s="20" t="s">
        <v>33</v>
      </c>
    </row>
    <row r="680" spans="1:19" ht="15" customHeight="1" x14ac:dyDescent="0.3">
      <c r="A680" s="16">
        <v>597</v>
      </c>
      <c r="B680" s="15" t="s">
        <v>33</v>
      </c>
      <c r="C680" s="15" t="s">
        <v>33</v>
      </c>
      <c r="D680" s="22">
        <v>0</v>
      </c>
      <c r="E680" s="15" t="s">
        <v>33</v>
      </c>
      <c r="F680" s="15" t="s">
        <v>33</v>
      </c>
      <c r="G680" s="15" t="s">
        <v>33</v>
      </c>
      <c r="H680" s="16">
        <v>1</v>
      </c>
      <c r="I680" s="15" t="s">
        <v>33</v>
      </c>
      <c r="J680" s="15" t="s">
        <v>33</v>
      </c>
      <c r="K680" s="15" t="s">
        <v>33</v>
      </c>
      <c r="L680" s="15" t="s">
        <v>33</v>
      </c>
      <c r="M680" s="19">
        <v>0</v>
      </c>
      <c r="N680" s="16">
        <v>0</v>
      </c>
      <c r="O680" s="15" t="s">
        <v>33</v>
      </c>
      <c r="P680" s="16">
        <v>0</v>
      </c>
      <c r="Q680" s="16">
        <v>0</v>
      </c>
      <c r="R680" s="19">
        <v>0</v>
      </c>
      <c r="S680" s="20" t="s">
        <v>33</v>
      </c>
    </row>
    <row r="681" spans="1:19" ht="15" customHeight="1" x14ac:dyDescent="0.3">
      <c r="A681" s="16">
        <v>598</v>
      </c>
      <c r="B681" s="15" t="s">
        <v>33</v>
      </c>
      <c r="C681" s="15" t="s">
        <v>33</v>
      </c>
      <c r="D681" s="22">
        <v>0</v>
      </c>
      <c r="E681" s="15" t="s">
        <v>33</v>
      </c>
      <c r="F681" s="15" t="s">
        <v>33</v>
      </c>
      <c r="G681" s="15" t="s">
        <v>33</v>
      </c>
      <c r="H681" s="16">
        <v>1</v>
      </c>
      <c r="I681" s="15" t="s">
        <v>33</v>
      </c>
      <c r="J681" s="15" t="s">
        <v>33</v>
      </c>
      <c r="K681" s="15" t="s">
        <v>33</v>
      </c>
      <c r="L681" s="15" t="s">
        <v>33</v>
      </c>
      <c r="M681" s="19">
        <v>0</v>
      </c>
      <c r="N681" s="16">
        <v>0</v>
      </c>
      <c r="O681" s="15" t="s">
        <v>33</v>
      </c>
      <c r="P681" s="16">
        <v>0</v>
      </c>
      <c r="Q681" s="16">
        <v>0</v>
      </c>
      <c r="R681" s="19">
        <v>0</v>
      </c>
      <c r="S681" s="20" t="s">
        <v>33</v>
      </c>
    </row>
    <row r="682" spans="1:19" ht="15" customHeight="1" x14ac:dyDescent="0.3">
      <c r="A682" s="16">
        <v>599</v>
      </c>
      <c r="B682" s="15" t="s">
        <v>33</v>
      </c>
      <c r="C682" s="15" t="s">
        <v>33</v>
      </c>
      <c r="D682" s="22">
        <v>0</v>
      </c>
      <c r="E682" s="15" t="s">
        <v>33</v>
      </c>
      <c r="F682" s="15" t="s">
        <v>33</v>
      </c>
      <c r="G682" s="15" t="s">
        <v>33</v>
      </c>
      <c r="H682" s="16">
        <v>1</v>
      </c>
      <c r="I682" s="15" t="s">
        <v>33</v>
      </c>
      <c r="J682" s="15" t="s">
        <v>33</v>
      </c>
      <c r="K682" s="15" t="s">
        <v>33</v>
      </c>
      <c r="L682" s="15" t="s">
        <v>33</v>
      </c>
      <c r="M682" s="19">
        <v>0</v>
      </c>
      <c r="N682" s="16">
        <v>0</v>
      </c>
      <c r="O682" s="15" t="s">
        <v>33</v>
      </c>
      <c r="P682" s="16">
        <v>0</v>
      </c>
      <c r="Q682" s="16">
        <v>0</v>
      </c>
      <c r="R682" s="19">
        <v>0</v>
      </c>
      <c r="S682" s="20" t="s">
        <v>33</v>
      </c>
    </row>
    <row r="683" spans="1:19" ht="15" customHeight="1" x14ac:dyDescent="0.3">
      <c r="A683" s="16">
        <v>600</v>
      </c>
      <c r="B683" s="15" t="s">
        <v>33</v>
      </c>
      <c r="C683" s="15" t="s">
        <v>33</v>
      </c>
      <c r="D683" s="22">
        <v>0</v>
      </c>
      <c r="E683" s="15" t="s">
        <v>33</v>
      </c>
      <c r="F683" s="15" t="s">
        <v>33</v>
      </c>
      <c r="G683" s="15" t="s">
        <v>33</v>
      </c>
      <c r="H683" s="16">
        <v>1</v>
      </c>
      <c r="I683" s="15" t="s">
        <v>33</v>
      </c>
      <c r="J683" s="15" t="s">
        <v>33</v>
      </c>
      <c r="K683" s="15" t="s">
        <v>33</v>
      </c>
      <c r="L683" s="15" t="s">
        <v>33</v>
      </c>
      <c r="M683" s="19">
        <v>0</v>
      </c>
      <c r="N683" s="16">
        <v>0</v>
      </c>
      <c r="O683" s="15" t="s">
        <v>33</v>
      </c>
      <c r="P683" s="16">
        <v>0</v>
      </c>
      <c r="Q683" s="16">
        <v>0</v>
      </c>
      <c r="R683" s="19">
        <v>0</v>
      </c>
      <c r="S683" s="20" t="s">
        <v>33</v>
      </c>
    </row>
    <row r="684" spans="1:19" ht="15" customHeight="1" x14ac:dyDescent="0.3">
      <c r="A684" s="16">
        <v>601</v>
      </c>
      <c r="B684" s="15" t="s">
        <v>33</v>
      </c>
      <c r="C684" s="15" t="s">
        <v>33</v>
      </c>
      <c r="D684" s="22">
        <v>0</v>
      </c>
      <c r="E684" s="15" t="s">
        <v>33</v>
      </c>
      <c r="F684" s="15" t="s">
        <v>33</v>
      </c>
      <c r="G684" s="15" t="s">
        <v>33</v>
      </c>
      <c r="H684" s="16">
        <v>1</v>
      </c>
      <c r="I684" s="15" t="s">
        <v>33</v>
      </c>
      <c r="J684" s="15" t="s">
        <v>33</v>
      </c>
      <c r="K684" s="15" t="s">
        <v>33</v>
      </c>
      <c r="L684" s="15" t="s">
        <v>33</v>
      </c>
      <c r="M684" s="19">
        <v>0</v>
      </c>
      <c r="N684" s="16">
        <v>0</v>
      </c>
      <c r="O684" s="15" t="s">
        <v>33</v>
      </c>
      <c r="P684" s="16">
        <v>0</v>
      </c>
      <c r="Q684" s="16">
        <v>0</v>
      </c>
      <c r="R684" s="19">
        <v>0</v>
      </c>
      <c r="S684" s="20" t="s">
        <v>33</v>
      </c>
    </row>
    <row r="685" spans="1:19" ht="15" customHeight="1" x14ac:dyDescent="0.3">
      <c r="A685" s="16">
        <v>602</v>
      </c>
      <c r="B685" s="15" t="s">
        <v>33</v>
      </c>
      <c r="C685" s="15" t="s">
        <v>33</v>
      </c>
      <c r="D685" s="22">
        <v>0</v>
      </c>
      <c r="E685" s="15" t="s">
        <v>33</v>
      </c>
      <c r="F685" s="15" t="s">
        <v>33</v>
      </c>
      <c r="G685" s="15" t="s">
        <v>33</v>
      </c>
      <c r="H685" s="16">
        <v>1</v>
      </c>
      <c r="I685" s="15" t="s">
        <v>33</v>
      </c>
      <c r="J685" s="15" t="s">
        <v>33</v>
      </c>
      <c r="K685" s="15" t="s">
        <v>33</v>
      </c>
      <c r="L685" s="15" t="s">
        <v>33</v>
      </c>
      <c r="M685" s="19">
        <v>0</v>
      </c>
      <c r="N685" s="16">
        <v>0</v>
      </c>
      <c r="O685" s="15" t="s">
        <v>33</v>
      </c>
      <c r="P685" s="16">
        <v>0</v>
      </c>
      <c r="Q685" s="16">
        <v>0</v>
      </c>
      <c r="R685" s="19">
        <v>0</v>
      </c>
      <c r="S685" s="20" t="s">
        <v>33</v>
      </c>
    </row>
    <row r="686" spans="1:19" ht="15" customHeight="1" x14ac:dyDescent="0.3">
      <c r="A686" s="16">
        <v>603</v>
      </c>
      <c r="B686" s="15" t="s">
        <v>33</v>
      </c>
      <c r="C686" s="15" t="s">
        <v>33</v>
      </c>
      <c r="D686" s="22">
        <v>0</v>
      </c>
      <c r="E686" s="15" t="s">
        <v>33</v>
      </c>
      <c r="F686" s="15" t="s">
        <v>33</v>
      </c>
      <c r="G686" s="15" t="s">
        <v>33</v>
      </c>
      <c r="H686" s="16">
        <v>1</v>
      </c>
      <c r="I686" s="15" t="s">
        <v>33</v>
      </c>
      <c r="J686" s="15" t="s">
        <v>33</v>
      </c>
      <c r="K686" s="15" t="s">
        <v>33</v>
      </c>
      <c r="L686" s="15" t="s">
        <v>33</v>
      </c>
      <c r="M686" s="19">
        <v>0</v>
      </c>
      <c r="N686" s="16">
        <v>0</v>
      </c>
      <c r="O686" s="15" t="s">
        <v>33</v>
      </c>
      <c r="P686" s="16">
        <v>0</v>
      </c>
      <c r="Q686" s="16">
        <v>0</v>
      </c>
      <c r="R686" s="19">
        <v>0</v>
      </c>
      <c r="S686" s="20" t="s">
        <v>33</v>
      </c>
    </row>
    <row r="687" spans="1:19" ht="15" customHeight="1" x14ac:dyDescent="0.3">
      <c r="A687" s="16">
        <v>604</v>
      </c>
      <c r="B687" s="15" t="s">
        <v>33</v>
      </c>
      <c r="C687" s="15" t="s">
        <v>33</v>
      </c>
      <c r="D687" s="22">
        <v>0</v>
      </c>
      <c r="E687" s="15" t="s">
        <v>33</v>
      </c>
      <c r="F687" s="15" t="s">
        <v>33</v>
      </c>
      <c r="G687" s="15" t="s">
        <v>33</v>
      </c>
      <c r="H687" s="16">
        <v>1</v>
      </c>
      <c r="I687" s="15" t="s">
        <v>33</v>
      </c>
      <c r="J687" s="15" t="s">
        <v>33</v>
      </c>
      <c r="K687" s="15" t="s">
        <v>33</v>
      </c>
      <c r="L687" s="15" t="s">
        <v>33</v>
      </c>
      <c r="M687" s="19">
        <v>0</v>
      </c>
      <c r="N687" s="16">
        <v>0</v>
      </c>
      <c r="O687" s="15" t="s">
        <v>33</v>
      </c>
      <c r="P687" s="16">
        <v>0</v>
      </c>
      <c r="Q687" s="16">
        <v>0</v>
      </c>
      <c r="R687" s="19">
        <v>0</v>
      </c>
      <c r="S687" s="20" t="s">
        <v>33</v>
      </c>
    </row>
    <row r="688" spans="1:19" ht="15" customHeight="1" x14ac:dyDescent="0.3">
      <c r="A688" s="16">
        <v>605</v>
      </c>
      <c r="B688" s="15" t="s">
        <v>33</v>
      </c>
      <c r="C688" s="15" t="s">
        <v>33</v>
      </c>
      <c r="D688" s="22">
        <v>0</v>
      </c>
      <c r="E688" s="15" t="s">
        <v>33</v>
      </c>
      <c r="F688" s="15" t="s">
        <v>33</v>
      </c>
      <c r="G688" s="15" t="s">
        <v>33</v>
      </c>
      <c r="H688" s="16">
        <v>1</v>
      </c>
      <c r="I688" s="15" t="s">
        <v>33</v>
      </c>
      <c r="J688" s="15" t="s">
        <v>33</v>
      </c>
      <c r="K688" s="15" t="s">
        <v>33</v>
      </c>
      <c r="L688" s="15" t="s">
        <v>33</v>
      </c>
      <c r="M688" s="19">
        <v>0</v>
      </c>
      <c r="N688" s="16">
        <v>0</v>
      </c>
      <c r="O688" s="15" t="s">
        <v>33</v>
      </c>
      <c r="P688" s="16">
        <v>0</v>
      </c>
      <c r="Q688" s="16">
        <v>0</v>
      </c>
      <c r="R688" s="19">
        <v>0</v>
      </c>
      <c r="S688" s="20" t="s">
        <v>33</v>
      </c>
    </row>
    <row r="689" spans="1:19" ht="15" customHeight="1" x14ac:dyDescent="0.3">
      <c r="A689" s="16">
        <v>606</v>
      </c>
      <c r="B689" s="15" t="s">
        <v>33</v>
      </c>
      <c r="C689" s="15" t="s">
        <v>33</v>
      </c>
      <c r="D689" s="22">
        <v>0</v>
      </c>
      <c r="E689" s="15" t="s">
        <v>33</v>
      </c>
      <c r="F689" s="15" t="s">
        <v>33</v>
      </c>
      <c r="G689" s="15" t="s">
        <v>33</v>
      </c>
      <c r="H689" s="16">
        <v>1</v>
      </c>
      <c r="I689" s="15" t="s">
        <v>33</v>
      </c>
      <c r="J689" s="15" t="s">
        <v>33</v>
      </c>
      <c r="K689" s="15" t="s">
        <v>33</v>
      </c>
      <c r="L689" s="15" t="s">
        <v>33</v>
      </c>
      <c r="M689" s="19">
        <v>0</v>
      </c>
      <c r="N689" s="16">
        <v>0</v>
      </c>
      <c r="O689" s="15" t="s">
        <v>33</v>
      </c>
      <c r="P689" s="16">
        <v>0</v>
      </c>
      <c r="Q689" s="16">
        <v>0</v>
      </c>
      <c r="R689" s="19">
        <v>0</v>
      </c>
      <c r="S689" s="20" t="s">
        <v>33</v>
      </c>
    </row>
    <row r="690" spans="1:19" ht="15" customHeight="1" x14ac:dyDescent="0.3">
      <c r="A690" s="16">
        <v>607</v>
      </c>
      <c r="B690" s="15" t="s">
        <v>33</v>
      </c>
      <c r="C690" s="15" t="s">
        <v>33</v>
      </c>
      <c r="D690" s="22">
        <v>0</v>
      </c>
      <c r="E690" s="15" t="s">
        <v>33</v>
      </c>
      <c r="F690" s="15" t="s">
        <v>33</v>
      </c>
      <c r="G690" s="15" t="s">
        <v>33</v>
      </c>
      <c r="H690" s="16">
        <v>1</v>
      </c>
      <c r="I690" s="15" t="s">
        <v>33</v>
      </c>
      <c r="J690" s="15" t="s">
        <v>33</v>
      </c>
      <c r="K690" s="15" t="s">
        <v>33</v>
      </c>
      <c r="L690" s="15" t="s">
        <v>33</v>
      </c>
      <c r="M690" s="19">
        <v>0</v>
      </c>
      <c r="N690" s="16">
        <v>0</v>
      </c>
      <c r="O690" s="15" t="s">
        <v>33</v>
      </c>
      <c r="P690" s="16">
        <v>0</v>
      </c>
      <c r="Q690" s="16">
        <v>0</v>
      </c>
      <c r="R690" s="19">
        <v>0</v>
      </c>
      <c r="S690" s="20" t="s">
        <v>33</v>
      </c>
    </row>
    <row r="691" spans="1:19" ht="15" customHeight="1" x14ac:dyDescent="0.3">
      <c r="A691" s="16">
        <v>608</v>
      </c>
      <c r="B691" s="15" t="s">
        <v>33</v>
      </c>
      <c r="C691" s="15" t="s">
        <v>33</v>
      </c>
      <c r="D691" s="22">
        <v>0</v>
      </c>
      <c r="E691" s="15" t="s">
        <v>33</v>
      </c>
      <c r="F691" s="15" t="s">
        <v>33</v>
      </c>
      <c r="G691" s="15" t="s">
        <v>33</v>
      </c>
      <c r="H691" s="16">
        <v>1</v>
      </c>
      <c r="I691" s="15" t="s">
        <v>33</v>
      </c>
      <c r="J691" s="15" t="s">
        <v>33</v>
      </c>
      <c r="K691" s="15" t="s">
        <v>33</v>
      </c>
      <c r="L691" s="15" t="s">
        <v>33</v>
      </c>
      <c r="M691" s="19">
        <v>0</v>
      </c>
      <c r="N691" s="16">
        <v>0</v>
      </c>
      <c r="O691" s="15" t="s">
        <v>33</v>
      </c>
      <c r="P691" s="16">
        <v>0</v>
      </c>
      <c r="Q691" s="16">
        <v>0</v>
      </c>
      <c r="R691" s="19">
        <v>0</v>
      </c>
      <c r="S691" s="20" t="s">
        <v>33</v>
      </c>
    </row>
    <row r="692" spans="1:19" ht="15" customHeight="1" x14ac:dyDescent="0.3">
      <c r="A692" s="16">
        <v>609</v>
      </c>
      <c r="B692" s="15" t="s">
        <v>33</v>
      </c>
      <c r="C692" s="15" t="s">
        <v>33</v>
      </c>
      <c r="D692" s="22">
        <v>0</v>
      </c>
      <c r="E692" s="15" t="s">
        <v>33</v>
      </c>
      <c r="F692" s="15" t="s">
        <v>33</v>
      </c>
      <c r="G692" s="15" t="s">
        <v>33</v>
      </c>
      <c r="H692" s="16">
        <v>1</v>
      </c>
      <c r="I692" s="15" t="s">
        <v>33</v>
      </c>
      <c r="J692" s="15" t="s">
        <v>33</v>
      </c>
      <c r="K692" s="15" t="s">
        <v>33</v>
      </c>
      <c r="L692" s="15" t="s">
        <v>33</v>
      </c>
      <c r="M692" s="19">
        <v>0</v>
      </c>
      <c r="N692" s="16">
        <v>0</v>
      </c>
      <c r="O692" s="15" t="s">
        <v>33</v>
      </c>
      <c r="P692" s="16">
        <v>0</v>
      </c>
      <c r="Q692" s="16">
        <v>0</v>
      </c>
      <c r="R692" s="19">
        <v>0</v>
      </c>
      <c r="S692" s="20" t="s">
        <v>33</v>
      </c>
    </row>
    <row r="693" spans="1:19" ht="15" customHeight="1" x14ac:dyDescent="0.3">
      <c r="A693" s="16">
        <v>610</v>
      </c>
      <c r="B693" s="15" t="s">
        <v>33</v>
      </c>
      <c r="C693" s="15" t="s">
        <v>33</v>
      </c>
      <c r="D693" s="22">
        <v>0</v>
      </c>
      <c r="E693" s="15" t="s">
        <v>33</v>
      </c>
      <c r="F693" s="15" t="s">
        <v>33</v>
      </c>
      <c r="G693" s="15" t="s">
        <v>33</v>
      </c>
      <c r="H693" s="16">
        <v>1</v>
      </c>
      <c r="I693" s="15" t="s">
        <v>33</v>
      </c>
      <c r="J693" s="15" t="s">
        <v>33</v>
      </c>
      <c r="K693" s="15" t="s">
        <v>33</v>
      </c>
      <c r="L693" s="15" t="s">
        <v>33</v>
      </c>
      <c r="M693" s="19">
        <v>0</v>
      </c>
      <c r="N693" s="16">
        <v>0</v>
      </c>
      <c r="O693" s="15" t="s">
        <v>33</v>
      </c>
      <c r="P693" s="16">
        <v>0</v>
      </c>
      <c r="Q693" s="16">
        <v>0</v>
      </c>
      <c r="R693" s="19">
        <v>0</v>
      </c>
      <c r="S693" s="20" t="s">
        <v>33</v>
      </c>
    </row>
    <row r="694" spans="1:19" ht="15" customHeight="1" x14ac:dyDescent="0.3">
      <c r="A694" s="16">
        <v>611</v>
      </c>
      <c r="B694" s="15" t="s">
        <v>33</v>
      </c>
      <c r="C694" s="15" t="s">
        <v>33</v>
      </c>
      <c r="D694" s="22">
        <v>0</v>
      </c>
      <c r="E694" s="15" t="s">
        <v>33</v>
      </c>
      <c r="F694" s="15" t="s">
        <v>33</v>
      </c>
      <c r="G694" s="15" t="s">
        <v>33</v>
      </c>
      <c r="H694" s="16">
        <v>1</v>
      </c>
      <c r="I694" s="15" t="s">
        <v>33</v>
      </c>
      <c r="J694" s="15" t="s">
        <v>33</v>
      </c>
      <c r="K694" s="15" t="s">
        <v>33</v>
      </c>
      <c r="L694" s="15" t="s">
        <v>33</v>
      </c>
      <c r="M694" s="19">
        <v>0</v>
      </c>
      <c r="N694" s="16">
        <v>0</v>
      </c>
      <c r="O694" s="15" t="s">
        <v>33</v>
      </c>
      <c r="P694" s="16">
        <v>0</v>
      </c>
      <c r="Q694" s="16">
        <v>0</v>
      </c>
      <c r="R694" s="19">
        <v>0</v>
      </c>
      <c r="S694" s="20" t="s">
        <v>33</v>
      </c>
    </row>
    <row r="695" spans="1:19" ht="15" customHeight="1" x14ac:dyDescent="0.3">
      <c r="A695" s="16">
        <v>612</v>
      </c>
      <c r="B695" s="15" t="s">
        <v>33</v>
      </c>
      <c r="C695" s="15" t="s">
        <v>33</v>
      </c>
      <c r="D695" s="22">
        <v>0</v>
      </c>
      <c r="E695" s="15" t="s">
        <v>33</v>
      </c>
      <c r="F695" s="15" t="s">
        <v>33</v>
      </c>
      <c r="G695" s="15" t="s">
        <v>33</v>
      </c>
      <c r="H695" s="16">
        <v>1</v>
      </c>
      <c r="I695" s="15" t="s">
        <v>33</v>
      </c>
      <c r="J695" s="15" t="s">
        <v>33</v>
      </c>
      <c r="K695" s="15" t="s">
        <v>33</v>
      </c>
      <c r="L695" s="15" t="s">
        <v>33</v>
      </c>
      <c r="M695" s="19">
        <v>0</v>
      </c>
      <c r="N695" s="16">
        <v>0</v>
      </c>
      <c r="O695" s="15" t="s">
        <v>33</v>
      </c>
      <c r="P695" s="16">
        <v>0</v>
      </c>
      <c r="Q695" s="16">
        <v>0</v>
      </c>
      <c r="R695" s="19">
        <v>0</v>
      </c>
      <c r="S695" s="20" t="s">
        <v>33</v>
      </c>
    </row>
    <row r="696" spans="1:19" ht="15" customHeight="1" x14ac:dyDescent="0.3">
      <c r="A696" s="16">
        <v>613</v>
      </c>
      <c r="B696" s="15" t="s">
        <v>33</v>
      </c>
      <c r="C696" s="15" t="s">
        <v>33</v>
      </c>
      <c r="D696" s="22">
        <v>0</v>
      </c>
      <c r="E696" s="15" t="s">
        <v>33</v>
      </c>
      <c r="F696" s="15" t="s">
        <v>33</v>
      </c>
      <c r="G696" s="15" t="s">
        <v>33</v>
      </c>
      <c r="H696" s="16">
        <v>1</v>
      </c>
      <c r="I696" s="15" t="s">
        <v>33</v>
      </c>
      <c r="J696" s="15" t="s">
        <v>33</v>
      </c>
      <c r="K696" s="15" t="s">
        <v>33</v>
      </c>
      <c r="L696" s="15" t="s">
        <v>33</v>
      </c>
      <c r="M696" s="19">
        <v>0</v>
      </c>
      <c r="N696" s="16">
        <v>0</v>
      </c>
      <c r="O696" s="15" t="s">
        <v>33</v>
      </c>
      <c r="P696" s="16">
        <v>0</v>
      </c>
      <c r="Q696" s="16">
        <v>0</v>
      </c>
      <c r="R696" s="19">
        <v>0</v>
      </c>
      <c r="S696" s="20" t="s">
        <v>33</v>
      </c>
    </row>
    <row r="697" spans="1:19" ht="15" customHeight="1" x14ac:dyDescent="0.3">
      <c r="A697" s="16">
        <v>614</v>
      </c>
      <c r="B697" s="15" t="s">
        <v>33</v>
      </c>
      <c r="C697" s="15" t="s">
        <v>33</v>
      </c>
      <c r="D697" s="22">
        <v>0</v>
      </c>
      <c r="E697" s="15" t="s">
        <v>33</v>
      </c>
      <c r="F697" s="15" t="s">
        <v>33</v>
      </c>
      <c r="G697" s="15" t="s">
        <v>33</v>
      </c>
      <c r="H697" s="16">
        <v>1</v>
      </c>
      <c r="I697" s="15" t="s">
        <v>33</v>
      </c>
      <c r="J697" s="15" t="s">
        <v>33</v>
      </c>
      <c r="K697" s="15" t="s">
        <v>33</v>
      </c>
      <c r="L697" s="15" t="s">
        <v>33</v>
      </c>
      <c r="M697" s="19">
        <v>0</v>
      </c>
      <c r="N697" s="16">
        <v>0</v>
      </c>
      <c r="O697" s="15" t="s">
        <v>33</v>
      </c>
      <c r="P697" s="16">
        <v>0</v>
      </c>
      <c r="Q697" s="16">
        <v>0</v>
      </c>
      <c r="R697" s="19">
        <v>0</v>
      </c>
      <c r="S697" s="20" t="s">
        <v>33</v>
      </c>
    </row>
    <row r="698" spans="1:19" ht="15" customHeight="1" x14ac:dyDescent="0.3">
      <c r="A698" s="16">
        <v>615</v>
      </c>
      <c r="B698" s="15" t="s">
        <v>33</v>
      </c>
      <c r="C698" s="15" t="s">
        <v>33</v>
      </c>
      <c r="D698" s="22">
        <v>0</v>
      </c>
      <c r="E698" s="15" t="s">
        <v>33</v>
      </c>
      <c r="F698" s="15" t="s">
        <v>33</v>
      </c>
      <c r="G698" s="15" t="s">
        <v>33</v>
      </c>
      <c r="H698" s="16">
        <v>1</v>
      </c>
      <c r="I698" s="15" t="s">
        <v>33</v>
      </c>
      <c r="J698" s="15" t="s">
        <v>33</v>
      </c>
      <c r="K698" s="15" t="s">
        <v>33</v>
      </c>
      <c r="L698" s="15" t="s">
        <v>33</v>
      </c>
      <c r="M698" s="19">
        <v>0</v>
      </c>
      <c r="N698" s="16">
        <v>0</v>
      </c>
      <c r="O698" s="15" t="s">
        <v>33</v>
      </c>
      <c r="P698" s="16">
        <v>0</v>
      </c>
      <c r="Q698" s="16">
        <v>0</v>
      </c>
      <c r="R698" s="19">
        <v>0</v>
      </c>
      <c r="S698" s="20" t="s">
        <v>33</v>
      </c>
    </row>
    <row r="699" spans="1:19" ht="15" customHeight="1" x14ac:dyDescent="0.3">
      <c r="A699" s="16">
        <v>616</v>
      </c>
      <c r="B699" s="15" t="s">
        <v>33</v>
      </c>
      <c r="C699" s="15" t="s">
        <v>33</v>
      </c>
      <c r="D699" s="22">
        <v>0</v>
      </c>
      <c r="E699" s="15" t="s">
        <v>33</v>
      </c>
      <c r="F699" s="15" t="s">
        <v>33</v>
      </c>
      <c r="G699" s="15" t="s">
        <v>33</v>
      </c>
      <c r="H699" s="16">
        <v>1</v>
      </c>
      <c r="I699" s="15" t="s">
        <v>33</v>
      </c>
      <c r="J699" s="15" t="s">
        <v>33</v>
      </c>
      <c r="K699" s="15" t="s">
        <v>33</v>
      </c>
      <c r="L699" s="15" t="s">
        <v>33</v>
      </c>
      <c r="M699" s="19">
        <v>0</v>
      </c>
      <c r="N699" s="16">
        <v>0</v>
      </c>
      <c r="O699" s="15" t="s">
        <v>33</v>
      </c>
      <c r="P699" s="16">
        <v>0</v>
      </c>
      <c r="Q699" s="16">
        <v>0</v>
      </c>
      <c r="R699" s="19">
        <v>0</v>
      </c>
      <c r="S699" s="20" t="s">
        <v>33</v>
      </c>
    </row>
    <row r="700" spans="1:19" ht="15" customHeight="1" x14ac:dyDescent="0.3">
      <c r="A700" s="16">
        <v>617</v>
      </c>
      <c r="B700" s="15" t="s">
        <v>33</v>
      </c>
      <c r="C700" s="15" t="s">
        <v>33</v>
      </c>
      <c r="D700" s="22">
        <v>0</v>
      </c>
      <c r="E700" s="15" t="s">
        <v>33</v>
      </c>
      <c r="F700" s="15" t="s">
        <v>33</v>
      </c>
      <c r="G700" s="15" t="s">
        <v>33</v>
      </c>
      <c r="H700" s="16">
        <v>1</v>
      </c>
      <c r="I700" s="15" t="s">
        <v>33</v>
      </c>
      <c r="J700" s="15" t="s">
        <v>33</v>
      </c>
      <c r="K700" s="15" t="s">
        <v>33</v>
      </c>
      <c r="L700" s="15" t="s">
        <v>33</v>
      </c>
      <c r="M700" s="19">
        <v>0</v>
      </c>
      <c r="N700" s="16">
        <v>0</v>
      </c>
      <c r="O700" s="15" t="s">
        <v>33</v>
      </c>
      <c r="P700" s="16">
        <v>0</v>
      </c>
      <c r="Q700" s="16">
        <v>0</v>
      </c>
      <c r="R700" s="19">
        <v>0</v>
      </c>
      <c r="S700" s="20" t="s">
        <v>33</v>
      </c>
    </row>
    <row r="701" spans="1:19" ht="15" customHeight="1" x14ac:dyDescent="0.3">
      <c r="A701" s="16">
        <v>618</v>
      </c>
      <c r="B701" s="15" t="s">
        <v>33</v>
      </c>
      <c r="C701" s="15" t="s">
        <v>33</v>
      </c>
      <c r="D701" s="22">
        <v>0</v>
      </c>
      <c r="E701" s="15" t="s">
        <v>33</v>
      </c>
      <c r="F701" s="15" t="s">
        <v>33</v>
      </c>
      <c r="G701" s="15" t="s">
        <v>33</v>
      </c>
      <c r="H701" s="16">
        <v>1</v>
      </c>
      <c r="I701" s="15" t="s">
        <v>33</v>
      </c>
      <c r="J701" s="15" t="s">
        <v>33</v>
      </c>
      <c r="K701" s="15" t="s">
        <v>33</v>
      </c>
      <c r="L701" s="15" t="s">
        <v>33</v>
      </c>
      <c r="M701" s="19">
        <v>0</v>
      </c>
      <c r="N701" s="16">
        <v>0</v>
      </c>
      <c r="O701" s="15" t="s">
        <v>33</v>
      </c>
      <c r="P701" s="16">
        <v>0</v>
      </c>
      <c r="Q701" s="16">
        <v>0</v>
      </c>
      <c r="R701" s="19">
        <v>0</v>
      </c>
      <c r="S701" s="20" t="s">
        <v>33</v>
      </c>
    </row>
    <row r="702" spans="1:19" ht="15" customHeight="1" x14ac:dyDescent="0.3">
      <c r="A702" s="16">
        <v>619</v>
      </c>
      <c r="B702" s="15" t="s">
        <v>33</v>
      </c>
      <c r="C702" s="15" t="s">
        <v>33</v>
      </c>
      <c r="D702" s="22">
        <v>0</v>
      </c>
      <c r="E702" s="15" t="s">
        <v>33</v>
      </c>
      <c r="F702" s="15" t="s">
        <v>33</v>
      </c>
      <c r="G702" s="15" t="s">
        <v>33</v>
      </c>
      <c r="H702" s="16">
        <v>1</v>
      </c>
      <c r="I702" s="15" t="s">
        <v>33</v>
      </c>
      <c r="J702" s="15" t="s">
        <v>33</v>
      </c>
      <c r="K702" s="15" t="s">
        <v>33</v>
      </c>
      <c r="L702" s="15" t="s">
        <v>33</v>
      </c>
      <c r="M702" s="19">
        <v>0</v>
      </c>
      <c r="N702" s="16">
        <v>0</v>
      </c>
      <c r="O702" s="15" t="s">
        <v>33</v>
      </c>
      <c r="P702" s="16">
        <v>0</v>
      </c>
      <c r="Q702" s="16">
        <v>0</v>
      </c>
      <c r="R702" s="19">
        <v>0</v>
      </c>
      <c r="S702" s="20" t="s">
        <v>33</v>
      </c>
    </row>
    <row r="703" spans="1:19" ht="15" customHeight="1" x14ac:dyDescent="0.3">
      <c r="A703" s="16">
        <v>620</v>
      </c>
      <c r="B703" s="15" t="s">
        <v>33</v>
      </c>
      <c r="C703" s="15" t="s">
        <v>33</v>
      </c>
      <c r="D703" s="22">
        <v>0</v>
      </c>
      <c r="E703" s="15" t="s">
        <v>33</v>
      </c>
      <c r="F703" s="15" t="s">
        <v>33</v>
      </c>
      <c r="G703" s="15" t="s">
        <v>33</v>
      </c>
      <c r="H703" s="16">
        <v>1</v>
      </c>
      <c r="I703" s="15" t="s">
        <v>33</v>
      </c>
      <c r="J703" s="15" t="s">
        <v>33</v>
      </c>
      <c r="K703" s="15" t="s">
        <v>33</v>
      </c>
      <c r="L703" s="15" t="s">
        <v>33</v>
      </c>
      <c r="M703" s="19">
        <v>0</v>
      </c>
      <c r="N703" s="16">
        <v>0</v>
      </c>
      <c r="O703" s="15" t="s">
        <v>33</v>
      </c>
      <c r="P703" s="16">
        <v>0</v>
      </c>
      <c r="Q703" s="16">
        <v>0</v>
      </c>
      <c r="R703" s="19">
        <v>0</v>
      </c>
      <c r="S703" s="20" t="s">
        <v>33</v>
      </c>
    </row>
    <row r="704" spans="1:19" ht="15" customHeight="1" x14ac:dyDescent="0.3">
      <c r="A704" s="16">
        <v>621</v>
      </c>
      <c r="B704" s="15" t="s">
        <v>33</v>
      </c>
      <c r="C704" s="15" t="s">
        <v>33</v>
      </c>
      <c r="D704" s="22">
        <v>0</v>
      </c>
      <c r="E704" s="15" t="s">
        <v>33</v>
      </c>
      <c r="F704" s="15" t="s">
        <v>33</v>
      </c>
      <c r="G704" s="15" t="s">
        <v>33</v>
      </c>
      <c r="H704" s="16">
        <v>1</v>
      </c>
      <c r="I704" s="15" t="s">
        <v>33</v>
      </c>
      <c r="J704" s="15" t="s">
        <v>33</v>
      </c>
      <c r="K704" s="15" t="s">
        <v>33</v>
      </c>
      <c r="L704" s="15" t="s">
        <v>33</v>
      </c>
      <c r="M704" s="19">
        <v>0</v>
      </c>
      <c r="N704" s="16">
        <v>0</v>
      </c>
      <c r="O704" s="15" t="s">
        <v>33</v>
      </c>
      <c r="P704" s="16">
        <v>0</v>
      </c>
      <c r="Q704" s="16">
        <v>0</v>
      </c>
      <c r="R704" s="19">
        <v>0</v>
      </c>
      <c r="S704" s="20" t="s">
        <v>33</v>
      </c>
    </row>
    <row r="705" spans="1:19" ht="15" customHeight="1" x14ac:dyDescent="0.3">
      <c r="A705" s="16">
        <v>622</v>
      </c>
      <c r="B705" s="15" t="s">
        <v>33</v>
      </c>
      <c r="C705" s="15" t="s">
        <v>33</v>
      </c>
      <c r="D705" s="22">
        <v>0</v>
      </c>
      <c r="E705" s="15" t="s">
        <v>33</v>
      </c>
      <c r="F705" s="15" t="s">
        <v>33</v>
      </c>
      <c r="G705" s="15" t="s">
        <v>33</v>
      </c>
      <c r="H705" s="16">
        <v>1</v>
      </c>
      <c r="I705" s="15" t="s">
        <v>33</v>
      </c>
      <c r="J705" s="15" t="s">
        <v>33</v>
      </c>
      <c r="K705" s="15" t="s">
        <v>33</v>
      </c>
      <c r="L705" s="15" t="s">
        <v>33</v>
      </c>
      <c r="M705" s="19">
        <v>0</v>
      </c>
      <c r="N705" s="16">
        <v>0</v>
      </c>
      <c r="O705" s="15" t="s">
        <v>33</v>
      </c>
      <c r="P705" s="16">
        <v>0</v>
      </c>
      <c r="Q705" s="16">
        <v>0</v>
      </c>
      <c r="R705" s="19">
        <v>0</v>
      </c>
      <c r="S705" s="20" t="s">
        <v>33</v>
      </c>
    </row>
    <row r="706" spans="1:19" ht="15" customHeight="1" x14ac:dyDescent="0.3">
      <c r="A706" s="16">
        <v>623</v>
      </c>
      <c r="B706" s="15" t="s">
        <v>33</v>
      </c>
      <c r="C706" s="15" t="s">
        <v>33</v>
      </c>
      <c r="D706" s="22">
        <v>0</v>
      </c>
      <c r="E706" s="15" t="s">
        <v>33</v>
      </c>
      <c r="F706" s="15" t="s">
        <v>33</v>
      </c>
      <c r="G706" s="15" t="s">
        <v>33</v>
      </c>
      <c r="H706" s="16">
        <v>1</v>
      </c>
      <c r="I706" s="15" t="s">
        <v>33</v>
      </c>
      <c r="J706" s="15" t="s">
        <v>33</v>
      </c>
      <c r="K706" s="15" t="s">
        <v>33</v>
      </c>
      <c r="L706" s="15" t="s">
        <v>33</v>
      </c>
      <c r="M706" s="19">
        <v>0</v>
      </c>
      <c r="N706" s="16">
        <v>0</v>
      </c>
      <c r="O706" s="15" t="s">
        <v>33</v>
      </c>
      <c r="P706" s="16">
        <v>0</v>
      </c>
      <c r="Q706" s="16">
        <v>0</v>
      </c>
      <c r="R706" s="19">
        <v>0</v>
      </c>
      <c r="S706" s="20" t="s">
        <v>33</v>
      </c>
    </row>
    <row r="707" spans="1:19" ht="15" customHeight="1" x14ac:dyDescent="0.3">
      <c r="A707" s="16">
        <v>624</v>
      </c>
      <c r="B707" s="15" t="s">
        <v>33</v>
      </c>
      <c r="C707" s="15" t="s">
        <v>33</v>
      </c>
      <c r="D707" s="22">
        <v>0</v>
      </c>
      <c r="E707" s="15" t="s">
        <v>33</v>
      </c>
      <c r="F707" s="15" t="s">
        <v>33</v>
      </c>
      <c r="G707" s="15" t="s">
        <v>33</v>
      </c>
      <c r="H707" s="16">
        <v>1</v>
      </c>
      <c r="I707" s="15" t="s">
        <v>33</v>
      </c>
      <c r="J707" s="15" t="s">
        <v>33</v>
      </c>
      <c r="K707" s="15" t="s">
        <v>33</v>
      </c>
      <c r="L707" s="15" t="s">
        <v>33</v>
      </c>
      <c r="M707" s="19">
        <v>0</v>
      </c>
      <c r="N707" s="16">
        <v>0</v>
      </c>
      <c r="O707" s="15" t="s">
        <v>33</v>
      </c>
      <c r="P707" s="16">
        <v>0</v>
      </c>
      <c r="Q707" s="16">
        <v>0</v>
      </c>
      <c r="R707" s="19">
        <v>0</v>
      </c>
      <c r="S707" s="20" t="s">
        <v>33</v>
      </c>
    </row>
    <row r="708" spans="1:19" ht="15" customHeight="1" x14ac:dyDescent="0.3">
      <c r="A708" s="16">
        <v>625</v>
      </c>
      <c r="B708" s="15" t="s">
        <v>33</v>
      </c>
      <c r="C708" s="15" t="s">
        <v>33</v>
      </c>
      <c r="D708" s="22">
        <v>0</v>
      </c>
      <c r="E708" s="15" t="s">
        <v>33</v>
      </c>
      <c r="F708" s="15" t="s">
        <v>33</v>
      </c>
      <c r="G708" s="15" t="s">
        <v>33</v>
      </c>
      <c r="H708" s="16">
        <v>1</v>
      </c>
      <c r="I708" s="15" t="s">
        <v>33</v>
      </c>
      <c r="J708" s="15" t="s">
        <v>33</v>
      </c>
      <c r="K708" s="15" t="s">
        <v>33</v>
      </c>
      <c r="L708" s="15" t="s">
        <v>33</v>
      </c>
      <c r="M708" s="19">
        <v>0</v>
      </c>
      <c r="N708" s="16">
        <v>0</v>
      </c>
      <c r="O708" s="15" t="s">
        <v>33</v>
      </c>
      <c r="P708" s="16">
        <v>0</v>
      </c>
      <c r="Q708" s="16">
        <v>0</v>
      </c>
      <c r="R708" s="19">
        <v>0</v>
      </c>
      <c r="S708" s="20" t="s">
        <v>33</v>
      </c>
    </row>
    <row r="709" spans="1:19" ht="15" customHeight="1" x14ac:dyDescent="0.3">
      <c r="A709" s="16">
        <v>626</v>
      </c>
      <c r="B709" s="15" t="s">
        <v>33</v>
      </c>
      <c r="C709" s="15" t="s">
        <v>33</v>
      </c>
      <c r="D709" s="22">
        <v>0</v>
      </c>
      <c r="E709" s="15" t="s">
        <v>33</v>
      </c>
      <c r="F709" s="15" t="s">
        <v>33</v>
      </c>
      <c r="G709" s="15" t="s">
        <v>33</v>
      </c>
      <c r="H709" s="16">
        <v>1</v>
      </c>
      <c r="I709" s="15" t="s">
        <v>33</v>
      </c>
      <c r="J709" s="15" t="s">
        <v>33</v>
      </c>
      <c r="K709" s="15" t="s">
        <v>33</v>
      </c>
      <c r="L709" s="15" t="s">
        <v>33</v>
      </c>
      <c r="M709" s="19">
        <v>0</v>
      </c>
      <c r="N709" s="16">
        <v>0</v>
      </c>
      <c r="O709" s="15" t="s">
        <v>33</v>
      </c>
      <c r="P709" s="16">
        <v>0</v>
      </c>
      <c r="Q709" s="16">
        <v>0</v>
      </c>
      <c r="R709" s="19">
        <v>0</v>
      </c>
      <c r="S709" s="20" t="s">
        <v>33</v>
      </c>
    </row>
    <row r="710" spans="1:19" ht="15" customHeight="1" x14ac:dyDescent="0.3">
      <c r="A710" s="16">
        <v>627</v>
      </c>
      <c r="B710" s="15" t="s">
        <v>33</v>
      </c>
      <c r="C710" s="15" t="s">
        <v>33</v>
      </c>
      <c r="D710" s="22">
        <v>0</v>
      </c>
      <c r="E710" s="15" t="s">
        <v>33</v>
      </c>
      <c r="F710" s="15" t="s">
        <v>33</v>
      </c>
      <c r="G710" s="15" t="s">
        <v>33</v>
      </c>
      <c r="H710" s="16">
        <v>1</v>
      </c>
      <c r="I710" s="15" t="s">
        <v>33</v>
      </c>
      <c r="J710" s="15" t="s">
        <v>33</v>
      </c>
      <c r="K710" s="15" t="s">
        <v>33</v>
      </c>
      <c r="L710" s="15" t="s">
        <v>33</v>
      </c>
      <c r="M710" s="19">
        <v>0</v>
      </c>
      <c r="N710" s="16">
        <v>0</v>
      </c>
      <c r="O710" s="15" t="s">
        <v>33</v>
      </c>
      <c r="P710" s="16">
        <v>0</v>
      </c>
      <c r="Q710" s="16">
        <v>0</v>
      </c>
      <c r="R710" s="19">
        <v>0</v>
      </c>
      <c r="S710" s="20" t="s">
        <v>33</v>
      </c>
    </row>
    <row r="711" spans="1:19" ht="15" customHeight="1" x14ac:dyDescent="0.3">
      <c r="A711" s="16">
        <v>628</v>
      </c>
      <c r="B711" s="15" t="s">
        <v>33</v>
      </c>
      <c r="C711" s="15" t="s">
        <v>33</v>
      </c>
      <c r="D711" s="22">
        <v>0</v>
      </c>
      <c r="E711" s="15" t="s">
        <v>33</v>
      </c>
      <c r="F711" s="15" t="s">
        <v>33</v>
      </c>
      <c r="G711" s="15" t="s">
        <v>33</v>
      </c>
      <c r="H711" s="16">
        <v>1</v>
      </c>
      <c r="I711" s="15" t="s">
        <v>33</v>
      </c>
      <c r="J711" s="15" t="s">
        <v>33</v>
      </c>
      <c r="K711" s="15" t="s">
        <v>33</v>
      </c>
      <c r="L711" s="15" t="s">
        <v>33</v>
      </c>
      <c r="M711" s="19">
        <v>0</v>
      </c>
      <c r="N711" s="16">
        <v>0</v>
      </c>
      <c r="O711" s="15" t="s">
        <v>33</v>
      </c>
      <c r="P711" s="16">
        <v>0</v>
      </c>
      <c r="Q711" s="16">
        <v>0</v>
      </c>
      <c r="R711" s="19">
        <v>0</v>
      </c>
      <c r="S711" s="20" t="s">
        <v>33</v>
      </c>
    </row>
    <row r="712" spans="1:19" ht="15" customHeight="1" x14ac:dyDescent="0.3">
      <c r="A712" s="16">
        <v>629</v>
      </c>
      <c r="B712" s="15" t="s">
        <v>33</v>
      </c>
      <c r="C712" s="15" t="s">
        <v>33</v>
      </c>
      <c r="D712" s="22">
        <v>0</v>
      </c>
      <c r="E712" s="15" t="s">
        <v>33</v>
      </c>
      <c r="F712" s="15" t="s">
        <v>33</v>
      </c>
      <c r="G712" s="15" t="s">
        <v>33</v>
      </c>
      <c r="H712" s="16">
        <v>1</v>
      </c>
      <c r="I712" s="15" t="s">
        <v>33</v>
      </c>
      <c r="J712" s="15" t="s">
        <v>33</v>
      </c>
      <c r="K712" s="15" t="s">
        <v>33</v>
      </c>
      <c r="L712" s="15" t="s">
        <v>33</v>
      </c>
      <c r="M712" s="19">
        <v>0</v>
      </c>
      <c r="N712" s="16">
        <v>0</v>
      </c>
      <c r="O712" s="15" t="s">
        <v>33</v>
      </c>
      <c r="P712" s="16">
        <v>0</v>
      </c>
      <c r="Q712" s="16">
        <v>0</v>
      </c>
      <c r="R712" s="19">
        <v>0</v>
      </c>
      <c r="S712" s="20" t="s">
        <v>33</v>
      </c>
    </row>
    <row r="713" spans="1:19" ht="15" customHeight="1" x14ac:dyDescent="0.3">
      <c r="A713" s="16">
        <v>630</v>
      </c>
      <c r="B713" s="15" t="s">
        <v>33</v>
      </c>
      <c r="C713" s="15" t="s">
        <v>33</v>
      </c>
      <c r="D713" s="22">
        <v>0</v>
      </c>
      <c r="E713" s="15" t="s">
        <v>33</v>
      </c>
      <c r="F713" s="15" t="s">
        <v>33</v>
      </c>
      <c r="G713" s="15" t="s">
        <v>33</v>
      </c>
      <c r="H713" s="16">
        <v>1</v>
      </c>
      <c r="I713" s="15" t="s">
        <v>33</v>
      </c>
      <c r="J713" s="15" t="s">
        <v>33</v>
      </c>
      <c r="K713" s="15" t="s">
        <v>33</v>
      </c>
      <c r="L713" s="15" t="s">
        <v>33</v>
      </c>
      <c r="M713" s="19">
        <v>0</v>
      </c>
      <c r="N713" s="16">
        <v>0</v>
      </c>
      <c r="O713" s="15" t="s">
        <v>33</v>
      </c>
      <c r="P713" s="16">
        <v>0</v>
      </c>
      <c r="Q713" s="16">
        <v>0</v>
      </c>
      <c r="R713" s="19">
        <v>0</v>
      </c>
      <c r="S713" s="20" t="s">
        <v>33</v>
      </c>
    </row>
    <row r="714" spans="1:19" ht="15" customHeight="1" x14ac:dyDescent="0.3">
      <c r="A714" s="16">
        <v>631</v>
      </c>
      <c r="B714" s="15" t="s">
        <v>33</v>
      </c>
      <c r="C714" s="15" t="s">
        <v>33</v>
      </c>
      <c r="D714" s="22">
        <v>0</v>
      </c>
      <c r="E714" s="15" t="s">
        <v>33</v>
      </c>
      <c r="F714" s="15" t="s">
        <v>33</v>
      </c>
      <c r="G714" s="15" t="s">
        <v>33</v>
      </c>
      <c r="H714" s="16">
        <v>1</v>
      </c>
      <c r="I714" s="15" t="s">
        <v>33</v>
      </c>
      <c r="J714" s="15" t="s">
        <v>33</v>
      </c>
      <c r="K714" s="15" t="s">
        <v>33</v>
      </c>
      <c r="L714" s="15" t="s">
        <v>33</v>
      </c>
      <c r="M714" s="19">
        <v>0</v>
      </c>
      <c r="N714" s="16">
        <v>0</v>
      </c>
      <c r="O714" s="15" t="s">
        <v>33</v>
      </c>
      <c r="P714" s="16">
        <v>0</v>
      </c>
      <c r="Q714" s="16">
        <v>0</v>
      </c>
      <c r="R714" s="19">
        <v>0</v>
      </c>
      <c r="S714" s="20" t="s">
        <v>33</v>
      </c>
    </row>
    <row r="715" spans="1:19" ht="15" customHeight="1" x14ac:dyDescent="0.3">
      <c r="A715" s="16">
        <v>632</v>
      </c>
      <c r="B715" s="15" t="s">
        <v>33</v>
      </c>
      <c r="C715" s="15" t="s">
        <v>33</v>
      </c>
      <c r="D715" s="22">
        <v>0</v>
      </c>
      <c r="E715" s="15" t="s">
        <v>33</v>
      </c>
      <c r="F715" s="15" t="s">
        <v>33</v>
      </c>
      <c r="G715" s="15" t="s">
        <v>33</v>
      </c>
      <c r="H715" s="16">
        <v>1</v>
      </c>
      <c r="I715" s="15" t="s">
        <v>33</v>
      </c>
      <c r="J715" s="15" t="s">
        <v>33</v>
      </c>
      <c r="K715" s="15" t="s">
        <v>33</v>
      </c>
      <c r="L715" s="15" t="s">
        <v>33</v>
      </c>
      <c r="M715" s="19">
        <v>0</v>
      </c>
      <c r="N715" s="16">
        <v>0</v>
      </c>
      <c r="O715" s="15" t="s">
        <v>33</v>
      </c>
      <c r="P715" s="16">
        <v>0</v>
      </c>
      <c r="Q715" s="16">
        <v>0</v>
      </c>
      <c r="R715" s="19">
        <v>0</v>
      </c>
      <c r="S715" s="20" t="s">
        <v>33</v>
      </c>
    </row>
    <row r="716" spans="1:19" ht="15" customHeight="1" x14ac:dyDescent="0.3">
      <c r="A716" s="16">
        <v>633</v>
      </c>
      <c r="B716" s="15" t="s">
        <v>33</v>
      </c>
      <c r="C716" s="15" t="s">
        <v>33</v>
      </c>
      <c r="D716" s="22">
        <v>0</v>
      </c>
      <c r="E716" s="15" t="s">
        <v>33</v>
      </c>
      <c r="F716" s="15" t="s">
        <v>33</v>
      </c>
      <c r="G716" s="15" t="s">
        <v>33</v>
      </c>
      <c r="H716" s="16">
        <v>1</v>
      </c>
      <c r="I716" s="15" t="s">
        <v>33</v>
      </c>
      <c r="J716" s="15" t="s">
        <v>33</v>
      </c>
      <c r="K716" s="15" t="s">
        <v>33</v>
      </c>
      <c r="L716" s="15" t="s">
        <v>33</v>
      </c>
      <c r="M716" s="19">
        <v>0</v>
      </c>
      <c r="N716" s="16">
        <v>0</v>
      </c>
      <c r="O716" s="15" t="s">
        <v>33</v>
      </c>
      <c r="P716" s="16">
        <v>0</v>
      </c>
      <c r="Q716" s="16">
        <v>0</v>
      </c>
      <c r="R716" s="19">
        <v>0</v>
      </c>
      <c r="S716" s="20" t="s">
        <v>33</v>
      </c>
    </row>
    <row r="717" spans="1:19" ht="15" customHeight="1" x14ac:dyDescent="0.3">
      <c r="A717" s="16">
        <v>634</v>
      </c>
      <c r="B717" s="15" t="s">
        <v>33</v>
      </c>
      <c r="C717" s="15" t="s">
        <v>33</v>
      </c>
      <c r="D717" s="22">
        <v>0</v>
      </c>
      <c r="E717" s="15" t="s">
        <v>33</v>
      </c>
      <c r="F717" s="15" t="s">
        <v>33</v>
      </c>
      <c r="G717" s="15" t="s">
        <v>33</v>
      </c>
      <c r="H717" s="16">
        <v>1</v>
      </c>
      <c r="I717" s="15" t="s">
        <v>33</v>
      </c>
      <c r="J717" s="15" t="s">
        <v>33</v>
      </c>
      <c r="K717" s="15" t="s">
        <v>33</v>
      </c>
      <c r="L717" s="15" t="s">
        <v>33</v>
      </c>
      <c r="M717" s="19">
        <v>0</v>
      </c>
      <c r="N717" s="16">
        <v>0</v>
      </c>
      <c r="O717" s="15" t="s">
        <v>33</v>
      </c>
      <c r="P717" s="16">
        <v>0</v>
      </c>
      <c r="Q717" s="16">
        <v>0</v>
      </c>
      <c r="R717" s="19">
        <v>0</v>
      </c>
      <c r="S717" s="20" t="s">
        <v>33</v>
      </c>
    </row>
    <row r="718" spans="1:19" ht="15" customHeight="1" x14ac:dyDescent="0.3">
      <c r="A718" s="16">
        <v>635</v>
      </c>
      <c r="B718" s="15" t="s">
        <v>33</v>
      </c>
      <c r="C718" s="15" t="s">
        <v>33</v>
      </c>
      <c r="D718" s="22">
        <v>0</v>
      </c>
      <c r="E718" s="15" t="s">
        <v>33</v>
      </c>
      <c r="F718" s="15" t="s">
        <v>33</v>
      </c>
      <c r="G718" s="15" t="s">
        <v>33</v>
      </c>
      <c r="H718" s="16">
        <v>1</v>
      </c>
      <c r="I718" s="15" t="s">
        <v>33</v>
      </c>
      <c r="J718" s="15" t="s">
        <v>33</v>
      </c>
      <c r="K718" s="15" t="s">
        <v>33</v>
      </c>
      <c r="L718" s="15" t="s">
        <v>33</v>
      </c>
      <c r="M718" s="19">
        <v>0</v>
      </c>
      <c r="N718" s="16">
        <v>0</v>
      </c>
      <c r="O718" s="15" t="s">
        <v>33</v>
      </c>
      <c r="P718" s="16">
        <v>0</v>
      </c>
      <c r="Q718" s="16">
        <v>0</v>
      </c>
      <c r="R718" s="19">
        <v>0</v>
      </c>
      <c r="S718" s="20" t="s">
        <v>33</v>
      </c>
    </row>
    <row r="719" spans="1:19" ht="15" customHeight="1" x14ac:dyDescent="0.3">
      <c r="A719" s="16">
        <v>636</v>
      </c>
      <c r="B719" s="15" t="s">
        <v>33</v>
      </c>
      <c r="C719" s="15" t="s">
        <v>33</v>
      </c>
      <c r="D719" s="22">
        <v>0</v>
      </c>
      <c r="E719" s="15" t="s">
        <v>33</v>
      </c>
      <c r="F719" s="15" t="s">
        <v>33</v>
      </c>
      <c r="G719" s="15" t="s">
        <v>33</v>
      </c>
      <c r="H719" s="16">
        <v>1</v>
      </c>
      <c r="I719" s="15" t="s">
        <v>33</v>
      </c>
      <c r="J719" s="15" t="s">
        <v>33</v>
      </c>
      <c r="K719" s="15" t="s">
        <v>33</v>
      </c>
      <c r="L719" s="15" t="s">
        <v>33</v>
      </c>
      <c r="M719" s="19">
        <v>0</v>
      </c>
      <c r="N719" s="16">
        <v>0</v>
      </c>
      <c r="O719" s="15" t="s">
        <v>33</v>
      </c>
      <c r="P719" s="16">
        <v>0</v>
      </c>
      <c r="Q719" s="16">
        <v>0</v>
      </c>
      <c r="R719" s="19">
        <v>0</v>
      </c>
      <c r="S719" s="20" t="s">
        <v>33</v>
      </c>
    </row>
    <row r="720" spans="1:19" ht="15" customHeight="1" x14ac:dyDescent="0.3">
      <c r="A720" s="16">
        <v>637</v>
      </c>
      <c r="B720" s="15" t="s">
        <v>33</v>
      </c>
      <c r="C720" s="15" t="s">
        <v>33</v>
      </c>
      <c r="D720" s="22">
        <v>0</v>
      </c>
      <c r="E720" s="15" t="s">
        <v>33</v>
      </c>
      <c r="F720" s="15" t="s">
        <v>33</v>
      </c>
      <c r="G720" s="15" t="s">
        <v>33</v>
      </c>
      <c r="H720" s="16">
        <v>1</v>
      </c>
      <c r="I720" s="15" t="s">
        <v>33</v>
      </c>
      <c r="J720" s="15" t="s">
        <v>33</v>
      </c>
      <c r="K720" s="15" t="s">
        <v>33</v>
      </c>
      <c r="L720" s="15" t="s">
        <v>33</v>
      </c>
      <c r="M720" s="19">
        <v>0</v>
      </c>
      <c r="N720" s="16">
        <v>0</v>
      </c>
      <c r="O720" s="15" t="s">
        <v>33</v>
      </c>
      <c r="P720" s="16">
        <v>0</v>
      </c>
      <c r="Q720" s="16">
        <v>0</v>
      </c>
      <c r="R720" s="19">
        <v>0</v>
      </c>
      <c r="S720" s="20" t="s">
        <v>33</v>
      </c>
    </row>
    <row r="721" spans="1:19" ht="15" customHeight="1" x14ac:dyDescent="0.3">
      <c r="A721" s="16">
        <v>638</v>
      </c>
      <c r="B721" s="15" t="s">
        <v>33</v>
      </c>
      <c r="C721" s="15" t="s">
        <v>33</v>
      </c>
      <c r="D721" s="22">
        <v>0</v>
      </c>
      <c r="E721" s="15" t="s">
        <v>33</v>
      </c>
      <c r="F721" s="15" t="s">
        <v>33</v>
      </c>
      <c r="G721" s="15" t="s">
        <v>33</v>
      </c>
      <c r="H721" s="16">
        <v>1</v>
      </c>
      <c r="I721" s="15" t="s">
        <v>33</v>
      </c>
      <c r="J721" s="15" t="s">
        <v>33</v>
      </c>
      <c r="K721" s="15" t="s">
        <v>33</v>
      </c>
      <c r="L721" s="15" t="s">
        <v>33</v>
      </c>
      <c r="M721" s="19">
        <v>0</v>
      </c>
      <c r="N721" s="16">
        <v>0</v>
      </c>
      <c r="O721" s="15" t="s">
        <v>33</v>
      </c>
      <c r="P721" s="16">
        <v>0</v>
      </c>
      <c r="Q721" s="16">
        <v>0</v>
      </c>
      <c r="R721" s="19">
        <v>0</v>
      </c>
      <c r="S721" s="20" t="s">
        <v>33</v>
      </c>
    </row>
    <row r="722" spans="1:19" ht="15" customHeight="1" x14ac:dyDescent="0.3">
      <c r="A722" s="16">
        <v>639</v>
      </c>
      <c r="B722" s="15" t="s">
        <v>33</v>
      </c>
      <c r="C722" s="15" t="s">
        <v>33</v>
      </c>
      <c r="D722" s="22">
        <v>0</v>
      </c>
      <c r="E722" s="15" t="s">
        <v>33</v>
      </c>
      <c r="F722" s="15" t="s">
        <v>33</v>
      </c>
      <c r="G722" s="15" t="s">
        <v>33</v>
      </c>
      <c r="H722" s="16">
        <v>1</v>
      </c>
      <c r="I722" s="15" t="s">
        <v>33</v>
      </c>
      <c r="J722" s="15" t="s">
        <v>33</v>
      </c>
      <c r="K722" s="15" t="s">
        <v>33</v>
      </c>
      <c r="L722" s="15" t="s">
        <v>33</v>
      </c>
      <c r="M722" s="19">
        <v>0</v>
      </c>
      <c r="N722" s="16">
        <v>0</v>
      </c>
      <c r="O722" s="15" t="s">
        <v>33</v>
      </c>
      <c r="P722" s="16">
        <v>0</v>
      </c>
      <c r="Q722" s="16">
        <v>0</v>
      </c>
      <c r="R722" s="19">
        <v>0</v>
      </c>
      <c r="S722" s="20" t="s">
        <v>33</v>
      </c>
    </row>
    <row r="723" spans="1:19" ht="15" customHeight="1" x14ac:dyDescent="0.3">
      <c r="A723" s="16">
        <v>640</v>
      </c>
      <c r="B723" s="15" t="s">
        <v>33</v>
      </c>
      <c r="C723" s="15" t="s">
        <v>33</v>
      </c>
      <c r="D723" s="22">
        <v>0</v>
      </c>
      <c r="E723" s="15" t="s">
        <v>33</v>
      </c>
      <c r="F723" s="15" t="s">
        <v>33</v>
      </c>
      <c r="G723" s="15" t="s">
        <v>33</v>
      </c>
      <c r="H723" s="16">
        <v>1</v>
      </c>
      <c r="I723" s="15" t="s">
        <v>33</v>
      </c>
      <c r="J723" s="15" t="s">
        <v>33</v>
      </c>
      <c r="K723" s="15" t="s">
        <v>33</v>
      </c>
      <c r="L723" s="15" t="s">
        <v>33</v>
      </c>
      <c r="M723" s="19">
        <v>0</v>
      </c>
      <c r="N723" s="16">
        <v>0</v>
      </c>
      <c r="O723" s="15" t="s">
        <v>33</v>
      </c>
      <c r="P723" s="16">
        <v>0</v>
      </c>
      <c r="Q723" s="16">
        <v>0</v>
      </c>
      <c r="R723" s="19">
        <v>0</v>
      </c>
      <c r="S723" s="20" t="s">
        <v>33</v>
      </c>
    </row>
    <row r="724" spans="1:19" ht="15" customHeight="1" x14ac:dyDescent="0.3">
      <c r="A724" s="16">
        <v>641</v>
      </c>
      <c r="B724" s="15" t="s">
        <v>33</v>
      </c>
      <c r="C724" s="15" t="s">
        <v>33</v>
      </c>
      <c r="D724" s="22">
        <v>0</v>
      </c>
      <c r="E724" s="15" t="s">
        <v>33</v>
      </c>
      <c r="F724" s="15" t="s">
        <v>33</v>
      </c>
      <c r="G724" s="15" t="s">
        <v>33</v>
      </c>
      <c r="H724" s="16">
        <v>1</v>
      </c>
      <c r="I724" s="15" t="s">
        <v>33</v>
      </c>
      <c r="J724" s="15" t="s">
        <v>33</v>
      </c>
      <c r="K724" s="15" t="s">
        <v>33</v>
      </c>
      <c r="L724" s="15" t="s">
        <v>33</v>
      </c>
      <c r="M724" s="19">
        <v>0</v>
      </c>
      <c r="N724" s="16">
        <v>0</v>
      </c>
      <c r="O724" s="15" t="s">
        <v>33</v>
      </c>
      <c r="P724" s="16">
        <v>0</v>
      </c>
      <c r="Q724" s="16">
        <v>0</v>
      </c>
      <c r="R724" s="19">
        <v>0</v>
      </c>
      <c r="S724" s="20" t="s">
        <v>33</v>
      </c>
    </row>
    <row r="725" spans="1:19" ht="15" customHeight="1" x14ac:dyDescent="0.3">
      <c r="A725" s="16">
        <v>642</v>
      </c>
      <c r="B725" s="15" t="s">
        <v>33</v>
      </c>
      <c r="C725" s="15" t="s">
        <v>33</v>
      </c>
      <c r="D725" s="22">
        <v>0</v>
      </c>
      <c r="E725" s="15" t="s">
        <v>33</v>
      </c>
      <c r="F725" s="15" t="s">
        <v>33</v>
      </c>
      <c r="G725" s="15" t="s">
        <v>33</v>
      </c>
      <c r="H725" s="16">
        <v>1</v>
      </c>
      <c r="I725" s="15" t="s">
        <v>33</v>
      </c>
      <c r="J725" s="15" t="s">
        <v>33</v>
      </c>
      <c r="K725" s="15" t="s">
        <v>33</v>
      </c>
      <c r="L725" s="15" t="s">
        <v>33</v>
      </c>
      <c r="M725" s="19">
        <v>0</v>
      </c>
      <c r="N725" s="16">
        <v>0</v>
      </c>
      <c r="O725" s="15" t="s">
        <v>33</v>
      </c>
      <c r="P725" s="16">
        <v>0</v>
      </c>
      <c r="Q725" s="16">
        <v>0</v>
      </c>
      <c r="R725" s="19">
        <v>0</v>
      </c>
      <c r="S725" s="20" t="s">
        <v>33</v>
      </c>
    </row>
    <row r="726" spans="1:19" ht="15" customHeight="1" x14ac:dyDescent="0.3">
      <c r="A726" s="16">
        <v>643</v>
      </c>
      <c r="B726" s="15" t="s">
        <v>33</v>
      </c>
      <c r="C726" s="15" t="s">
        <v>33</v>
      </c>
      <c r="D726" s="22">
        <v>0</v>
      </c>
      <c r="E726" s="15" t="s">
        <v>33</v>
      </c>
      <c r="F726" s="15" t="s">
        <v>33</v>
      </c>
      <c r="G726" s="15" t="s">
        <v>33</v>
      </c>
      <c r="H726" s="16">
        <v>1</v>
      </c>
      <c r="I726" s="15" t="s">
        <v>33</v>
      </c>
      <c r="J726" s="15" t="s">
        <v>33</v>
      </c>
      <c r="K726" s="15" t="s">
        <v>33</v>
      </c>
      <c r="L726" s="15" t="s">
        <v>33</v>
      </c>
      <c r="M726" s="19">
        <v>0</v>
      </c>
      <c r="N726" s="16">
        <v>0</v>
      </c>
      <c r="O726" s="15" t="s">
        <v>33</v>
      </c>
      <c r="P726" s="16">
        <v>0</v>
      </c>
      <c r="Q726" s="16">
        <v>0</v>
      </c>
      <c r="R726" s="19">
        <v>0</v>
      </c>
      <c r="S726" s="20" t="s">
        <v>33</v>
      </c>
    </row>
    <row r="727" spans="1:19" ht="15" customHeight="1" x14ac:dyDescent="0.3">
      <c r="A727" s="16">
        <v>644</v>
      </c>
      <c r="B727" s="15" t="s">
        <v>33</v>
      </c>
      <c r="C727" s="15" t="s">
        <v>33</v>
      </c>
      <c r="D727" s="22">
        <v>0</v>
      </c>
      <c r="E727" s="15" t="s">
        <v>33</v>
      </c>
      <c r="F727" s="15" t="s">
        <v>33</v>
      </c>
      <c r="G727" s="15" t="s">
        <v>33</v>
      </c>
      <c r="H727" s="16">
        <v>1</v>
      </c>
      <c r="I727" s="15" t="s">
        <v>33</v>
      </c>
      <c r="J727" s="15" t="s">
        <v>33</v>
      </c>
      <c r="K727" s="15" t="s">
        <v>33</v>
      </c>
      <c r="L727" s="15" t="s">
        <v>33</v>
      </c>
      <c r="M727" s="19">
        <v>0</v>
      </c>
      <c r="N727" s="16">
        <v>0</v>
      </c>
      <c r="O727" s="15" t="s">
        <v>33</v>
      </c>
      <c r="P727" s="16">
        <v>0</v>
      </c>
      <c r="Q727" s="16">
        <v>0</v>
      </c>
      <c r="R727" s="19">
        <v>0</v>
      </c>
      <c r="S727" s="20" t="s">
        <v>33</v>
      </c>
    </row>
    <row r="728" spans="1:19" ht="15" customHeight="1" x14ac:dyDescent="0.3">
      <c r="A728" s="16">
        <v>645</v>
      </c>
      <c r="B728" s="15" t="s">
        <v>33</v>
      </c>
      <c r="C728" s="15" t="s">
        <v>33</v>
      </c>
      <c r="D728" s="22">
        <v>0</v>
      </c>
      <c r="E728" s="15" t="s">
        <v>33</v>
      </c>
      <c r="F728" s="15" t="s">
        <v>33</v>
      </c>
      <c r="G728" s="15" t="s">
        <v>33</v>
      </c>
      <c r="H728" s="16">
        <v>1</v>
      </c>
      <c r="I728" s="15" t="s">
        <v>33</v>
      </c>
      <c r="J728" s="15" t="s">
        <v>33</v>
      </c>
      <c r="K728" s="15" t="s">
        <v>33</v>
      </c>
      <c r="L728" s="15" t="s">
        <v>33</v>
      </c>
      <c r="M728" s="19">
        <v>0</v>
      </c>
      <c r="N728" s="16">
        <v>0</v>
      </c>
      <c r="O728" s="15" t="s">
        <v>33</v>
      </c>
      <c r="P728" s="16">
        <v>0</v>
      </c>
      <c r="Q728" s="16">
        <v>0</v>
      </c>
      <c r="R728" s="19">
        <v>0</v>
      </c>
      <c r="S728" s="20" t="s">
        <v>33</v>
      </c>
    </row>
    <row r="729" spans="1:19" ht="15" customHeight="1" x14ac:dyDescent="0.3">
      <c r="A729" s="16">
        <v>646</v>
      </c>
      <c r="B729" s="15" t="s">
        <v>33</v>
      </c>
      <c r="C729" s="15" t="s">
        <v>33</v>
      </c>
      <c r="D729" s="22">
        <v>0</v>
      </c>
      <c r="E729" s="15" t="s">
        <v>33</v>
      </c>
      <c r="F729" s="15" t="s">
        <v>33</v>
      </c>
      <c r="G729" s="15" t="s">
        <v>33</v>
      </c>
      <c r="H729" s="16">
        <v>1</v>
      </c>
      <c r="I729" s="15" t="s">
        <v>33</v>
      </c>
      <c r="J729" s="15" t="s">
        <v>33</v>
      </c>
      <c r="K729" s="15" t="s">
        <v>33</v>
      </c>
      <c r="L729" s="15" t="s">
        <v>33</v>
      </c>
      <c r="M729" s="19">
        <v>0</v>
      </c>
      <c r="N729" s="16">
        <v>0</v>
      </c>
      <c r="O729" s="15" t="s">
        <v>33</v>
      </c>
      <c r="P729" s="16">
        <v>0</v>
      </c>
      <c r="Q729" s="16">
        <v>0</v>
      </c>
      <c r="R729" s="19">
        <v>0</v>
      </c>
      <c r="S729" s="20" t="s">
        <v>33</v>
      </c>
    </row>
    <row r="730" spans="1:19" ht="15" customHeight="1" x14ac:dyDescent="0.3">
      <c r="A730" s="16">
        <v>647</v>
      </c>
      <c r="B730" s="15" t="s">
        <v>33</v>
      </c>
      <c r="C730" s="15" t="s">
        <v>33</v>
      </c>
      <c r="D730" s="22">
        <v>0</v>
      </c>
      <c r="E730" s="15" t="s">
        <v>33</v>
      </c>
      <c r="F730" s="15" t="s">
        <v>33</v>
      </c>
      <c r="G730" s="15" t="s">
        <v>33</v>
      </c>
      <c r="H730" s="16">
        <v>1</v>
      </c>
      <c r="I730" s="15" t="s">
        <v>33</v>
      </c>
      <c r="J730" s="15" t="s">
        <v>33</v>
      </c>
      <c r="K730" s="15" t="s">
        <v>33</v>
      </c>
      <c r="L730" s="15" t="s">
        <v>33</v>
      </c>
      <c r="M730" s="19">
        <v>0</v>
      </c>
      <c r="N730" s="16">
        <v>0</v>
      </c>
      <c r="O730" s="15" t="s">
        <v>33</v>
      </c>
      <c r="P730" s="16">
        <v>0</v>
      </c>
      <c r="Q730" s="16">
        <v>0</v>
      </c>
      <c r="R730" s="19">
        <v>0</v>
      </c>
      <c r="S730" s="20" t="s">
        <v>33</v>
      </c>
    </row>
    <row r="731" spans="1:19" ht="15" customHeight="1" x14ac:dyDescent="0.3">
      <c r="A731" s="16">
        <v>648</v>
      </c>
      <c r="B731" s="15" t="s">
        <v>33</v>
      </c>
      <c r="C731" s="15" t="s">
        <v>33</v>
      </c>
      <c r="D731" s="22">
        <v>0</v>
      </c>
      <c r="E731" s="15" t="s">
        <v>33</v>
      </c>
      <c r="F731" s="15" t="s">
        <v>33</v>
      </c>
      <c r="G731" s="15" t="s">
        <v>33</v>
      </c>
      <c r="H731" s="16">
        <v>1</v>
      </c>
      <c r="I731" s="15" t="s">
        <v>33</v>
      </c>
      <c r="J731" s="15" t="s">
        <v>33</v>
      </c>
      <c r="K731" s="15" t="s">
        <v>33</v>
      </c>
      <c r="L731" s="15" t="s">
        <v>33</v>
      </c>
      <c r="M731" s="19">
        <v>0</v>
      </c>
      <c r="N731" s="16">
        <v>0</v>
      </c>
      <c r="O731" s="15" t="s">
        <v>33</v>
      </c>
      <c r="P731" s="16">
        <v>0</v>
      </c>
      <c r="Q731" s="16">
        <v>0</v>
      </c>
      <c r="R731" s="19">
        <v>0</v>
      </c>
      <c r="S731" s="20" t="s">
        <v>33</v>
      </c>
    </row>
    <row r="732" spans="1:19" ht="15" customHeight="1" x14ac:dyDescent="0.3">
      <c r="A732" s="16">
        <v>649</v>
      </c>
      <c r="B732" s="15" t="s">
        <v>33</v>
      </c>
      <c r="C732" s="15" t="s">
        <v>33</v>
      </c>
      <c r="D732" s="22">
        <v>0</v>
      </c>
      <c r="E732" s="15" t="s">
        <v>33</v>
      </c>
      <c r="F732" s="15" t="s">
        <v>33</v>
      </c>
      <c r="G732" s="15" t="s">
        <v>33</v>
      </c>
      <c r="H732" s="16">
        <v>1</v>
      </c>
      <c r="I732" s="15" t="s">
        <v>33</v>
      </c>
      <c r="J732" s="15" t="s">
        <v>33</v>
      </c>
      <c r="K732" s="15" t="s">
        <v>33</v>
      </c>
      <c r="L732" s="15" t="s">
        <v>33</v>
      </c>
      <c r="M732" s="19">
        <v>0</v>
      </c>
      <c r="N732" s="16">
        <v>0</v>
      </c>
      <c r="O732" s="15" t="s">
        <v>33</v>
      </c>
      <c r="P732" s="16">
        <v>0</v>
      </c>
      <c r="Q732" s="16">
        <v>0</v>
      </c>
      <c r="R732" s="19">
        <v>0</v>
      </c>
      <c r="S732" s="20" t="s">
        <v>33</v>
      </c>
    </row>
    <row r="733" spans="1:19" ht="15" customHeight="1" x14ac:dyDescent="0.3">
      <c r="A733" s="16">
        <v>650</v>
      </c>
      <c r="B733" s="15" t="s">
        <v>33</v>
      </c>
      <c r="C733" s="15" t="s">
        <v>33</v>
      </c>
      <c r="D733" s="22">
        <v>0</v>
      </c>
      <c r="E733" s="15" t="s">
        <v>33</v>
      </c>
      <c r="F733" s="15" t="s">
        <v>33</v>
      </c>
      <c r="G733" s="15" t="s">
        <v>33</v>
      </c>
      <c r="H733" s="16">
        <v>1</v>
      </c>
      <c r="I733" s="15" t="s">
        <v>33</v>
      </c>
      <c r="J733" s="15" t="s">
        <v>33</v>
      </c>
      <c r="K733" s="15" t="s">
        <v>33</v>
      </c>
      <c r="L733" s="15" t="s">
        <v>33</v>
      </c>
      <c r="M733" s="19">
        <v>0</v>
      </c>
      <c r="N733" s="16">
        <v>0</v>
      </c>
      <c r="O733" s="15" t="s">
        <v>33</v>
      </c>
      <c r="P733" s="16">
        <v>0</v>
      </c>
      <c r="Q733" s="16">
        <v>0</v>
      </c>
      <c r="R733" s="19">
        <v>0</v>
      </c>
      <c r="S733" s="20" t="s">
        <v>33</v>
      </c>
    </row>
    <row r="734" spans="1:19" ht="15" customHeight="1" x14ac:dyDescent="0.3">
      <c r="A734" s="16">
        <v>651</v>
      </c>
      <c r="B734" s="15" t="s">
        <v>33</v>
      </c>
      <c r="C734" s="15" t="s">
        <v>33</v>
      </c>
      <c r="D734" s="22">
        <v>0</v>
      </c>
      <c r="E734" s="15" t="s">
        <v>33</v>
      </c>
      <c r="F734" s="15" t="s">
        <v>33</v>
      </c>
      <c r="G734" s="15" t="s">
        <v>33</v>
      </c>
      <c r="H734" s="16">
        <v>1</v>
      </c>
      <c r="I734" s="15" t="s">
        <v>33</v>
      </c>
      <c r="J734" s="15" t="s">
        <v>33</v>
      </c>
      <c r="K734" s="15" t="s">
        <v>33</v>
      </c>
      <c r="L734" s="15" t="s">
        <v>33</v>
      </c>
      <c r="M734" s="19">
        <v>0</v>
      </c>
      <c r="N734" s="16">
        <v>0</v>
      </c>
      <c r="O734" s="15" t="s">
        <v>33</v>
      </c>
      <c r="P734" s="16">
        <v>0</v>
      </c>
      <c r="Q734" s="16">
        <v>0</v>
      </c>
      <c r="R734" s="19">
        <v>0</v>
      </c>
      <c r="S734" s="20" t="s">
        <v>33</v>
      </c>
    </row>
    <row r="735" spans="1:19" ht="15" customHeight="1" x14ac:dyDescent="0.3">
      <c r="A735" s="16">
        <v>652</v>
      </c>
      <c r="B735" s="15" t="s">
        <v>33</v>
      </c>
      <c r="C735" s="15" t="s">
        <v>33</v>
      </c>
      <c r="D735" s="22">
        <v>0</v>
      </c>
      <c r="E735" s="15" t="s">
        <v>33</v>
      </c>
      <c r="F735" s="15" t="s">
        <v>33</v>
      </c>
      <c r="G735" s="15" t="s">
        <v>33</v>
      </c>
      <c r="H735" s="16">
        <v>1</v>
      </c>
      <c r="I735" s="15" t="s">
        <v>33</v>
      </c>
      <c r="J735" s="15" t="s">
        <v>33</v>
      </c>
      <c r="K735" s="15" t="s">
        <v>33</v>
      </c>
      <c r="L735" s="15" t="s">
        <v>33</v>
      </c>
      <c r="M735" s="19">
        <v>0</v>
      </c>
      <c r="N735" s="16">
        <v>0</v>
      </c>
      <c r="O735" s="15" t="s">
        <v>33</v>
      </c>
      <c r="P735" s="16">
        <v>0</v>
      </c>
      <c r="Q735" s="16">
        <v>0</v>
      </c>
      <c r="R735" s="19">
        <v>0</v>
      </c>
      <c r="S735" s="20" t="s">
        <v>33</v>
      </c>
    </row>
    <row r="736" spans="1:19" ht="15" customHeight="1" x14ac:dyDescent="0.3">
      <c r="A736" s="16">
        <v>653</v>
      </c>
      <c r="B736" s="15" t="s">
        <v>33</v>
      </c>
      <c r="C736" s="15" t="s">
        <v>33</v>
      </c>
      <c r="D736" s="22">
        <v>0</v>
      </c>
      <c r="E736" s="15" t="s">
        <v>33</v>
      </c>
      <c r="F736" s="15" t="s">
        <v>33</v>
      </c>
      <c r="G736" s="15" t="s">
        <v>33</v>
      </c>
      <c r="H736" s="16">
        <v>1</v>
      </c>
      <c r="I736" s="15" t="s">
        <v>33</v>
      </c>
      <c r="J736" s="15" t="s">
        <v>33</v>
      </c>
      <c r="K736" s="15" t="s">
        <v>33</v>
      </c>
      <c r="L736" s="15" t="s">
        <v>33</v>
      </c>
      <c r="M736" s="19">
        <v>0</v>
      </c>
      <c r="N736" s="16">
        <v>0</v>
      </c>
      <c r="O736" s="15" t="s">
        <v>33</v>
      </c>
      <c r="P736" s="16">
        <v>0</v>
      </c>
      <c r="Q736" s="16">
        <v>0</v>
      </c>
      <c r="R736" s="19">
        <v>0</v>
      </c>
      <c r="S736" s="20" t="s">
        <v>33</v>
      </c>
    </row>
    <row r="737" spans="1:19" ht="15" customHeight="1" x14ac:dyDescent="0.3">
      <c r="A737" s="16">
        <v>654</v>
      </c>
      <c r="B737" s="15" t="s">
        <v>33</v>
      </c>
      <c r="C737" s="15" t="s">
        <v>33</v>
      </c>
      <c r="D737" s="22">
        <v>0</v>
      </c>
      <c r="E737" s="15" t="s">
        <v>33</v>
      </c>
      <c r="F737" s="15" t="s">
        <v>33</v>
      </c>
      <c r="G737" s="15" t="s">
        <v>33</v>
      </c>
      <c r="H737" s="16">
        <v>1</v>
      </c>
      <c r="I737" s="15" t="s">
        <v>33</v>
      </c>
      <c r="J737" s="15" t="s">
        <v>33</v>
      </c>
      <c r="K737" s="15" t="s">
        <v>33</v>
      </c>
      <c r="L737" s="15" t="s">
        <v>33</v>
      </c>
      <c r="M737" s="19">
        <v>0</v>
      </c>
      <c r="N737" s="16">
        <v>0</v>
      </c>
      <c r="O737" s="15" t="s">
        <v>33</v>
      </c>
      <c r="P737" s="16">
        <v>0</v>
      </c>
      <c r="Q737" s="16">
        <v>0</v>
      </c>
      <c r="R737" s="19">
        <v>0</v>
      </c>
      <c r="S737" s="20" t="s">
        <v>33</v>
      </c>
    </row>
    <row r="738" spans="1:19" ht="15" customHeight="1" x14ac:dyDescent="0.3">
      <c r="A738" s="16">
        <v>655</v>
      </c>
      <c r="B738" s="15" t="s">
        <v>33</v>
      </c>
      <c r="C738" s="15" t="s">
        <v>33</v>
      </c>
      <c r="D738" s="22">
        <v>0</v>
      </c>
      <c r="E738" s="15" t="s">
        <v>33</v>
      </c>
      <c r="F738" s="15" t="s">
        <v>33</v>
      </c>
      <c r="G738" s="15" t="s">
        <v>33</v>
      </c>
      <c r="H738" s="16">
        <v>1</v>
      </c>
      <c r="I738" s="15" t="s">
        <v>33</v>
      </c>
      <c r="J738" s="15" t="s">
        <v>33</v>
      </c>
      <c r="K738" s="15" t="s">
        <v>33</v>
      </c>
      <c r="L738" s="15" t="s">
        <v>33</v>
      </c>
      <c r="M738" s="19">
        <v>0</v>
      </c>
      <c r="N738" s="16">
        <v>0</v>
      </c>
      <c r="O738" s="15" t="s">
        <v>33</v>
      </c>
      <c r="P738" s="16">
        <v>0</v>
      </c>
      <c r="Q738" s="16">
        <v>0</v>
      </c>
      <c r="R738" s="19">
        <v>0</v>
      </c>
      <c r="S738" s="20" t="s">
        <v>33</v>
      </c>
    </row>
    <row r="739" spans="1:19" ht="15" customHeight="1" x14ac:dyDescent="0.3">
      <c r="A739" s="16">
        <v>656</v>
      </c>
      <c r="B739" s="15" t="s">
        <v>33</v>
      </c>
      <c r="C739" s="15" t="s">
        <v>33</v>
      </c>
      <c r="D739" s="22">
        <v>0</v>
      </c>
      <c r="E739" s="15" t="s">
        <v>33</v>
      </c>
      <c r="F739" s="15" t="s">
        <v>33</v>
      </c>
      <c r="G739" s="15" t="s">
        <v>33</v>
      </c>
      <c r="H739" s="16">
        <v>1</v>
      </c>
      <c r="I739" s="15" t="s">
        <v>33</v>
      </c>
      <c r="J739" s="15" t="s">
        <v>33</v>
      </c>
      <c r="K739" s="15" t="s">
        <v>33</v>
      </c>
      <c r="L739" s="15" t="s">
        <v>33</v>
      </c>
      <c r="M739" s="19">
        <v>0</v>
      </c>
      <c r="N739" s="16">
        <v>0</v>
      </c>
      <c r="O739" s="15" t="s">
        <v>33</v>
      </c>
      <c r="P739" s="16">
        <v>0</v>
      </c>
      <c r="Q739" s="16">
        <v>0</v>
      </c>
      <c r="R739" s="19">
        <v>0</v>
      </c>
      <c r="S739" s="20" t="s">
        <v>33</v>
      </c>
    </row>
    <row r="740" spans="1:19" ht="15" customHeight="1" x14ac:dyDescent="0.3">
      <c r="A740" s="16">
        <v>657</v>
      </c>
      <c r="B740" s="15" t="s">
        <v>33</v>
      </c>
      <c r="C740" s="15" t="s">
        <v>33</v>
      </c>
      <c r="D740" s="22">
        <v>0</v>
      </c>
      <c r="E740" s="15" t="s">
        <v>33</v>
      </c>
      <c r="F740" s="15" t="s">
        <v>33</v>
      </c>
      <c r="G740" s="15" t="s">
        <v>33</v>
      </c>
      <c r="H740" s="16">
        <v>1</v>
      </c>
      <c r="I740" s="15" t="s">
        <v>33</v>
      </c>
      <c r="J740" s="15" t="s">
        <v>33</v>
      </c>
      <c r="K740" s="15" t="s">
        <v>33</v>
      </c>
      <c r="L740" s="15" t="s">
        <v>33</v>
      </c>
      <c r="M740" s="19">
        <v>0</v>
      </c>
      <c r="N740" s="16">
        <v>0</v>
      </c>
      <c r="O740" s="15" t="s">
        <v>33</v>
      </c>
      <c r="P740" s="16">
        <v>0</v>
      </c>
      <c r="Q740" s="16">
        <v>0</v>
      </c>
      <c r="R740" s="19">
        <v>0</v>
      </c>
      <c r="S740" s="20" t="s">
        <v>33</v>
      </c>
    </row>
    <row r="741" spans="1:19" ht="15" customHeight="1" x14ac:dyDescent="0.3">
      <c r="A741" s="16">
        <v>658</v>
      </c>
      <c r="B741" s="15" t="s">
        <v>33</v>
      </c>
      <c r="C741" s="15" t="s">
        <v>33</v>
      </c>
      <c r="D741" s="22">
        <v>0</v>
      </c>
      <c r="E741" s="15" t="s">
        <v>33</v>
      </c>
      <c r="F741" s="15" t="s">
        <v>33</v>
      </c>
      <c r="G741" s="15" t="s">
        <v>33</v>
      </c>
      <c r="H741" s="16">
        <v>1</v>
      </c>
      <c r="I741" s="15" t="s">
        <v>33</v>
      </c>
      <c r="J741" s="15" t="s">
        <v>33</v>
      </c>
      <c r="K741" s="15" t="s">
        <v>33</v>
      </c>
      <c r="L741" s="15" t="s">
        <v>33</v>
      </c>
      <c r="M741" s="19">
        <v>0</v>
      </c>
      <c r="N741" s="16">
        <v>0</v>
      </c>
      <c r="O741" s="15" t="s">
        <v>33</v>
      </c>
      <c r="P741" s="16">
        <v>0</v>
      </c>
      <c r="Q741" s="16">
        <v>0</v>
      </c>
      <c r="R741" s="19">
        <v>0</v>
      </c>
      <c r="S741" s="20" t="s">
        <v>33</v>
      </c>
    </row>
    <row r="742" spans="1:19" ht="15" customHeight="1" x14ac:dyDescent="0.3">
      <c r="A742" s="16">
        <v>659</v>
      </c>
      <c r="B742" s="15" t="s">
        <v>33</v>
      </c>
      <c r="C742" s="15" t="s">
        <v>33</v>
      </c>
      <c r="D742" s="22">
        <v>0</v>
      </c>
      <c r="E742" s="15" t="s">
        <v>33</v>
      </c>
      <c r="F742" s="15" t="s">
        <v>33</v>
      </c>
      <c r="G742" s="15" t="s">
        <v>33</v>
      </c>
      <c r="H742" s="16">
        <v>1</v>
      </c>
      <c r="I742" s="15" t="s">
        <v>33</v>
      </c>
      <c r="J742" s="15" t="s">
        <v>33</v>
      </c>
      <c r="K742" s="15" t="s">
        <v>33</v>
      </c>
      <c r="L742" s="15" t="s">
        <v>33</v>
      </c>
      <c r="M742" s="19">
        <v>0</v>
      </c>
      <c r="N742" s="16">
        <v>0</v>
      </c>
      <c r="O742" s="15" t="s">
        <v>33</v>
      </c>
      <c r="P742" s="16">
        <v>0</v>
      </c>
      <c r="Q742" s="16">
        <v>0</v>
      </c>
      <c r="R742" s="19">
        <v>0</v>
      </c>
      <c r="S742" s="20" t="s">
        <v>33</v>
      </c>
    </row>
    <row r="743" spans="1:19" ht="15" customHeight="1" x14ac:dyDescent="0.3">
      <c r="A743" s="16">
        <v>660</v>
      </c>
      <c r="B743" s="15" t="s">
        <v>33</v>
      </c>
      <c r="C743" s="15" t="s">
        <v>33</v>
      </c>
      <c r="D743" s="22">
        <v>0</v>
      </c>
      <c r="E743" s="15" t="s">
        <v>33</v>
      </c>
      <c r="F743" s="15" t="s">
        <v>33</v>
      </c>
      <c r="G743" s="15" t="s">
        <v>33</v>
      </c>
      <c r="H743" s="16">
        <v>1</v>
      </c>
      <c r="I743" s="15" t="s">
        <v>33</v>
      </c>
      <c r="J743" s="15" t="s">
        <v>33</v>
      </c>
      <c r="K743" s="15" t="s">
        <v>33</v>
      </c>
      <c r="L743" s="15" t="s">
        <v>33</v>
      </c>
      <c r="M743" s="19">
        <v>0</v>
      </c>
      <c r="N743" s="16">
        <v>0</v>
      </c>
      <c r="O743" s="15" t="s">
        <v>33</v>
      </c>
      <c r="P743" s="16">
        <v>0</v>
      </c>
      <c r="Q743" s="16">
        <v>0</v>
      </c>
      <c r="R743" s="19">
        <v>0</v>
      </c>
      <c r="S743" s="20" t="s">
        <v>33</v>
      </c>
    </row>
    <row r="744" spans="1:19" ht="15" customHeight="1" x14ac:dyDescent="0.3">
      <c r="A744" s="16">
        <v>661</v>
      </c>
      <c r="B744" s="15" t="s">
        <v>33</v>
      </c>
      <c r="C744" s="15" t="s">
        <v>33</v>
      </c>
      <c r="D744" s="22">
        <v>0</v>
      </c>
      <c r="E744" s="15" t="s">
        <v>33</v>
      </c>
      <c r="F744" s="15" t="s">
        <v>33</v>
      </c>
      <c r="G744" s="15" t="s">
        <v>33</v>
      </c>
      <c r="H744" s="16">
        <v>1</v>
      </c>
      <c r="I744" s="15" t="s">
        <v>33</v>
      </c>
      <c r="J744" s="15" t="s">
        <v>33</v>
      </c>
      <c r="K744" s="15" t="s">
        <v>33</v>
      </c>
      <c r="L744" s="15" t="s">
        <v>33</v>
      </c>
      <c r="M744" s="19">
        <v>0</v>
      </c>
      <c r="N744" s="16">
        <v>0</v>
      </c>
      <c r="O744" s="15" t="s">
        <v>33</v>
      </c>
      <c r="P744" s="16">
        <v>0</v>
      </c>
      <c r="Q744" s="16">
        <v>0</v>
      </c>
      <c r="R744" s="19">
        <v>0</v>
      </c>
      <c r="S744" s="20" t="s">
        <v>33</v>
      </c>
    </row>
    <row r="745" spans="1:19" ht="15" customHeight="1" x14ac:dyDescent="0.3">
      <c r="A745" s="16">
        <v>662</v>
      </c>
      <c r="B745" s="15" t="s">
        <v>33</v>
      </c>
      <c r="C745" s="15" t="s">
        <v>33</v>
      </c>
      <c r="D745" s="22">
        <v>0</v>
      </c>
      <c r="E745" s="15" t="s">
        <v>33</v>
      </c>
      <c r="F745" s="15" t="s">
        <v>33</v>
      </c>
      <c r="G745" s="15" t="s">
        <v>33</v>
      </c>
      <c r="H745" s="16">
        <v>1</v>
      </c>
      <c r="I745" s="15" t="s">
        <v>33</v>
      </c>
      <c r="J745" s="15" t="s">
        <v>33</v>
      </c>
      <c r="K745" s="15" t="s">
        <v>33</v>
      </c>
      <c r="L745" s="15" t="s">
        <v>33</v>
      </c>
      <c r="M745" s="19">
        <v>0</v>
      </c>
      <c r="N745" s="16">
        <v>0</v>
      </c>
      <c r="O745" s="15" t="s">
        <v>33</v>
      </c>
      <c r="P745" s="16">
        <v>0</v>
      </c>
      <c r="Q745" s="16">
        <v>0</v>
      </c>
      <c r="R745" s="19">
        <v>0</v>
      </c>
      <c r="S745" s="20" t="s">
        <v>33</v>
      </c>
    </row>
    <row r="746" spans="1:19" ht="15" customHeight="1" x14ac:dyDescent="0.3">
      <c r="A746" s="16">
        <v>663</v>
      </c>
      <c r="B746" s="15" t="s">
        <v>33</v>
      </c>
      <c r="C746" s="15" t="s">
        <v>33</v>
      </c>
      <c r="D746" s="22">
        <v>0</v>
      </c>
      <c r="E746" s="15" t="s">
        <v>33</v>
      </c>
      <c r="F746" s="15" t="s">
        <v>33</v>
      </c>
      <c r="G746" s="15" t="s">
        <v>33</v>
      </c>
      <c r="H746" s="16">
        <v>1</v>
      </c>
      <c r="I746" s="15" t="s">
        <v>33</v>
      </c>
      <c r="J746" s="15" t="s">
        <v>33</v>
      </c>
      <c r="K746" s="15" t="s">
        <v>33</v>
      </c>
      <c r="L746" s="15" t="s">
        <v>33</v>
      </c>
      <c r="M746" s="19">
        <v>0</v>
      </c>
      <c r="N746" s="16">
        <v>0</v>
      </c>
      <c r="O746" s="15" t="s">
        <v>33</v>
      </c>
      <c r="P746" s="16">
        <v>0</v>
      </c>
      <c r="Q746" s="16">
        <v>0</v>
      </c>
      <c r="R746" s="19">
        <v>0</v>
      </c>
      <c r="S746" s="20" t="s">
        <v>33</v>
      </c>
    </row>
    <row r="747" spans="1:19" ht="15" customHeight="1" x14ac:dyDescent="0.3">
      <c r="A747" s="16">
        <v>664</v>
      </c>
      <c r="B747" s="15" t="s">
        <v>33</v>
      </c>
      <c r="C747" s="15" t="s">
        <v>33</v>
      </c>
      <c r="D747" s="22">
        <v>0</v>
      </c>
      <c r="E747" s="15" t="s">
        <v>33</v>
      </c>
      <c r="F747" s="15" t="s">
        <v>33</v>
      </c>
      <c r="G747" s="15" t="s">
        <v>33</v>
      </c>
      <c r="H747" s="16">
        <v>1</v>
      </c>
      <c r="I747" s="15" t="s">
        <v>33</v>
      </c>
      <c r="J747" s="15" t="s">
        <v>33</v>
      </c>
      <c r="K747" s="15" t="s">
        <v>33</v>
      </c>
      <c r="L747" s="15" t="s">
        <v>33</v>
      </c>
      <c r="M747" s="19">
        <v>0</v>
      </c>
      <c r="N747" s="16">
        <v>0</v>
      </c>
      <c r="O747" s="15" t="s">
        <v>33</v>
      </c>
      <c r="P747" s="16">
        <v>0</v>
      </c>
      <c r="Q747" s="16">
        <v>0</v>
      </c>
      <c r="R747" s="19">
        <v>0</v>
      </c>
      <c r="S747" s="20" t="s">
        <v>33</v>
      </c>
    </row>
    <row r="748" spans="1:19" ht="15" customHeight="1" x14ac:dyDescent="0.3">
      <c r="A748" s="16">
        <v>665</v>
      </c>
      <c r="B748" s="15" t="s">
        <v>33</v>
      </c>
      <c r="C748" s="15" t="s">
        <v>33</v>
      </c>
      <c r="D748" s="22">
        <v>0</v>
      </c>
      <c r="E748" s="15" t="s">
        <v>33</v>
      </c>
      <c r="F748" s="15" t="s">
        <v>33</v>
      </c>
      <c r="G748" s="15" t="s">
        <v>33</v>
      </c>
      <c r="H748" s="16">
        <v>1</v>
      </c>
      <c r="I748" s="15" t="s">
        <v>33</v>
      </c>
      <c r="J748" s="15" t="s">
        <v>33</v>
      </c>
      <c r="K748" s="15" t="s">
        <v>33</v>
      </c>
      <c r="L748" s="15" t="s">
        <v>33</v>
      </c>
      <c r="M748" s="19">
        <v>0</v>
      </c>
      <c r="N748" s="16">
        <v>0</v>
      </c>
      <c r="O748" s="15" t="s">
        <v>33</v>
      </c>
      <c r="P748" s="16">
        <v>0</v>
      </c>
      <c r="Q748" s="16">
        <v>0</v>
      </c>
      <c r="R748" s="19">
        <v>0</v>
      </c>
      <c r="S748" s="20" t="s">
        <v>33</v>
      </c>
    </row>
    <row r="749" spans="1:19" ht="15" customHeight="1" x14ac:dyDescent="0.3">
      <c r="A749" s="16">
        <v>666</v>
      </c>
      <c r="B749" s="15" t="s">
        <v>33</v>
      </c>
      <c r="C749" s="15" t="s">
        <v>33</v>
      </c>
      <c r="D749" s="22">
        <v>0</v>
      </c>
      <c r="E749" s="15" t="s">
        <v>33</v>
      </c>
      <c r="F749" s="15" t="s">
        <v>33</v>
      </c>
      <c r="G749" s="15" t="s">
        <v>33</v>
      </c>
      <c r="H749" s="16">
        <v>1</v>
      </c>
      <c r="I749" s="15" t="s">
        <v>33</v>
      </c>
      <c r="J749" s="15" t="s">
        <v>33</v>
      </c>
      <c r="K749" s="15" t="s">
        <v>33</v>
      </c>
      <c r="L749" s="15" t="s">
        <v>33</v>
      </c>
      <c r="M749" s="19">
        <v>0</v>
      </c>
      <c r="N749" s="16">
        <v>0</v>
      </c>
      <c r="O749" s="15" t="s">
        <v>33</v>
      </c>
      <c r="P749" s="16">
        <v>0</v>
      </c>
      <c r="Q749" s="16">
        <v>0</v>
      </c>
      <c r="R749" s="19">
        <v>0</v>
      </c>
      <c r="S749" s="20" t="s">
        <v>33</v>
      </c>
    </row>
    <row r="750" spans="1:19" ht="15" customHeight="1" x14ac:dyDescent="0.3">
      <c r="A750" s="16">
        <v>667</v>
      </c>
      <c r="B750" s="15" t="s">
        <v>33</v>
      </c>
      <c r="C750" s="15" t="s">
        <v>33</v>
      </c>
      <c r="D750" s="22">
        <v>0</v>
      </c>
      <c r="E750" s="15" t="s">
        <v>33</v>
      </c>
      <c r="F750" s="15" t="s">
        <v>33</v>
      </c>
      <c r="G750" s="15" t="s">
        <v>33</v>
      </c>
      <c r="H750" s="16">
        <v>1</v>
      </c>
      <c r="I750" s="15" t="s">
        <v>33</v>
      </c>
      <c r="J750" s="15" t="s">
        <v>33</v>
      </c>
      <c r="K750" s="15" t="s">
        <v>33</v>
      </c>
      <c r="L750" s="15" t="s">
        <v>33</v>
      </c>
      <c r="M750" s="19">
        <v>0</v>
      </c>
      <c r="N750" s="16">
        <v>0</v>
      </c>
      <c r="O750" s="15" t="s">
        <v>33</v>
      </c>
      <c r="P750" s="16">
        <v>0</v>
      </c>
      <c r="Q750" s="16">
        <v>0</v>
      </c>
      <c r="R750" s="19">
        <v>0</v>
      </c>
      <c r="S750" s="20" t="s">
        <v>33</v>
      </c>
    </row>
    <row r="751" spans="1:19" ht="15" customHeight="1" x14ac:dyDescent="0.3">
      <c r="A751" s="16">
        <v>668</v>
      </c>
      <c r="B751" s="15" t="s">
        <v>33</v>
      </c>
      <c r="C751" s="15" t="s">
        <v>33</v>
      </c>
      <c r="D751" s="22">
        <v>0</v>
      </c>
      <c r="E751" s="15" t="s">
        <v>33</v>
      </c>
      <c r="F751" s="15" t="s">
        <v>33</v>
      </c>
      <c r="G751" s="15" t="s">
        <v>33</v>
      </c>
      <c r="H751" s="16">
        <v>1</v>
      </c>
      <c r="I751" s="15" t="s">
        <v>33</v>
      </c>
      <c r="J751" s="15" t="s">
        <v>33</v>
      </c>
      <c r="K751" s="15" t="s">
        <v>33</v>
      </c>
      <c r="L751" s="15" t="s">
        <v>33</v>
      </c>
      <c r="M751" s="19">
        <v>0</v>
      </c>
      <c r="N751" s="16">
        <v>0</v>
      </c>
      <c r="O751" s="15" t="s">
        <v>33</v>
      </c>
      <c r="P751" s="16">
        <v>0</v>
      </c>
      <c r="Q751" s="16">
        <v>0</v>
      </c>
      <c r="R751" s="19">
        <v>0</v>
      </c>
      <c r="S751" s="20" t="s">
        <v>33</v>
      </c>
    </row>
    <row r="752" spans="1:19" ht="15" customHeight="1" x14ac:dyDescent="0.3">
      <c r="A752" s="16">
        <v>669</v>
      </c>
      <c r="B752" s="15" t="s">
        <v>33</v>
      </c>
      <c r="C752" s="15" t="s">
        <v>33</v>
      </c>
      <c r="D752" s="22">
        <v>0</v>
      </c>
      <c r="E752" s="15" t="s">
        <v>33</v>
      </c>
      <c r="F752" s="15" t="s">
        <v>33</v>
      </c>
      <c r="G752" s="15" t="s">
        <v>33</v>
      </c>
      <c r="H752" s="16">
        <v>1</v>
      </c>
      <c r="I752" s="15" t="s">
        <v>33</v>
      </c>
      <c r="J752" s="15" t="s">
        <v>33</v>
      </c>
      <c r="K752" s="15" t="s">
        <v>33</v>
      </c>
      <c r="L752" s="15" t="s">
        <v>33</v>
      </c>
      <c r="M752" s="19">
        <v>0</v>
      </c>
      <c r="N752" s="16">
        <v>0</v>
      </c>
      <c r="O752" s="15" t="s">
        <v>33</v>
      </c>
      <c r="P752" s="16">
        <v>0</v>
      </c>
      <c r="Q752" s="16">
        <v>0</v>
      </c>
      <c r="R752" s="19">
        <v>0</v>
      </c>
      <c r="S752" s="20" t="s">
        <v>33</v>
      </c>
    </row>
    <row r="753" spans="1:19" ht="15" customHeight="1" x14ac:dyDescent="0.3">
      <c r="A753" s="16">
        <v>670</v>
      </c>
      <c r="B753" s="15" t="s">
        <v>33</v>
      </c>
      <c r="C753" s="15" t="s">
        <v>33</v>
      </c>
      <c r="D753" s="22">
        <v>0</v>
      </c>
      <c r="E753" s="15" t="s">
        <v>33</v>
      </c>
      <c r="F753" s="15" t="s">
        <v>33</v>
      </c>
      <c r="G753" s="15" t="s">
        <v>33</v>
      </c>
      <c r="H753" s="16">
        <v>1</v>
      </c>
      <c r="I753" s="15" t="s">
        <v>33</v>
      </c>
      <c r="J753" s="15" t="s">
        <v>33</v>
      </c>
      <c r="K753" s="15" t="s">
        <v>33</v>
      </c>
      <c r="L753" s="15" t="s">
        <v>33</v>
      </c>
      <c r="M753" s="19">
        <v>0</v>
      </c>
      <c r="N753" s="16">
        <v>0</v>
      </c>
      <c r="O753" s="15" t="s">
        <v>33</v>
      </c>
      <c r="P753" s="16">
        <v>0</v>
      </c>
      <c r="Q753" s="16">
        <v>0</v>
      </c>
      <c r="R753" s="19">
        <v>0</v>
      </c>
      <c r="S753" s="20" t="s">
        <v>33</v>
      </c>
    </row>
    <row r="754" spans="1:19" ht="15" customHeight="1" x14ac:dyDescent="0.3">
      <c r="A754" s="16">
        <v>671</v>
      </c>
      <c r="B754" s="15" t="s">
        <v>33</v>
      </c>
      <c r="C754" s="15" t="s">
        <v>33</v>
      </c>
      <c r="D754" s="22">
        <v>0</v>
      </c>
      <c r="E754" s="15" t="s">
        <v>33</v>
      </c>
      <c r="F754" s="15" t="s">
        <v>33</v>
      </c>
      <c r="G754" s="15" t="s">
        <v>33</v>
      </c>
      <c r="H754" s="16">
        <v>1</v>
      </c>
      <c r="I754" s="15" t="s">
        <v>33</v>
      </c>
      <c r="J754" s="15" t="s">
        <v>33</v>
      </c>
      <c r="K754" s="15" t="s">
        <v>33</v>
      </c>
      <c r="L754" s="15" t="s">
        <v>33</v>
      </c>
      <c r="M754" s="19">
        <v>0</v>
      </c>
      <c r="N754" s="16">
        <v>0</v>
      </c>
      <c r="O754" s="15" t="s">
        <v>33</v>
      </c>
      <c r="P754" s="16">
        <v>0</v>
      </c>
      <c r="Q754" s="16">
        <v>0</v>
      </c>
      <c r="R754" s="19">
        <v>0</v>
      </c>
      <c r="S754" s="20" t="s">
        <v>33</v>
      </c>
    </row>
    <row r="755" spans="1:19" ht="15" customHeight="1" x14ac:dyDescent="0.3">
      <c r="A755" s="16">
        <v>672</v>
      </c>
      <c r="B755" s="15" t="s">
        <v>33</v>
      </c>
      <c r="C755" s="15" t="s">
        <v>33</v>
      </c>
      <c r="D755" s="22">
        <v>0</v>
      </c>
      <c r="E755" s="15" t="s">
        <v>33</v>
      </c>
      <c r="F755" s="15" t="s">
        <v>33</v>
      </c>
      <c r="G755" s="15" t="s">
        <v>33</v>
      </c>
      <c r="H755" s="16">
        <v>1</v>
      </c>
      <c r="I755" s="15" t="s">
        <v>33</v>
      </c>
      <c r="J755" s="15" t="s">
        <v>33</v>
      </c>
      <c r="K755" s="15" t="s">
        <v>33</v>
      </c>
      <c r="L755" s="15" t="s">
        <v>33</v>
      </c>
      <c r="M755" s="19">
        <v>0</v>
      </c>
      <c r="N755" s="16">
        <v>0</v>
      </c>
      <c r="O755" s="15" t="s">
        <v>33</v>
      </c>
      <c r="P755" s="16">
        <v>0</v>
      </c>
      <c r="Q755" s="16">
        <v>0</v>
      </c>
      <c r="R755" s="19">
        <v>0</v>
      </c>
      <c r="S755" s="20" t="s">
        <v>33</v>
      </c>
    </row>
    <row r="756" spans="1:19" ht="15" customHeight="1" x14ac:dyDescent="0.3">
      <c r="A756" s="16">
        <v>673</v>
      </c>
      <c r="B756" s="15" t="s">
        <v>33</v>
      </c>
      <c r="C756" s="15" t="s">
        <v>33</v>
      </c>
      <c r="D756" s="22">
        <v>0</v>
      </c>
      <c r="E756" s="15" t="s">
        <v>33</v>
      </c>
      <c r="F756" s="15" t="s">
        <v>33</v>
      </c>
      <c r="G756" s="15" t="s">
        <v>33</v>
      </c>
      <c r="H756" s="16">
        <v>1</v>
      </c>
      <c r="I756" s="15" t="s">
        <v>33</v>
      </c>
      <c r="J756" s="15" t="s">
        <v>33</v>
      </c>
      <c r="K756" s="15" t="s">
        <v>33</v>
      </c>
      <c r="L756" s="15" t="s">
        <v>33</v>
      </c>
      <c r="M756" s="19">
        <v>0</v>
      </c>
      <c r="N756" s="16">
        <v>0</v>
      </c>
      <c r="O756" s="15" t="s">
        <v>33</v>
      </c>
      <c r="P756" s="16">
        <v>0</v>
      </c>
      <c r="Q756" s="16">
        <v>0</v>
      </c>
      <c r="R756" s="19">
        <v>0</v>
      </c>
      <c r="S756" s="20" t="s">
        <v>33</v>
      </c>
    </row>
    <row r="757" spans="1:19" ht="15" customHeight="1" x14ac:dyDescent="0.3">
      <c r="A757" s="16">
        <v>674</v>
      </c>
      <c r="B757" s="15" t="s">
        <v>33</v>
      </c>
      <c r="C757" s="15" t="s">
        <v>33</v>
      </c>
      <c r="D757" s="22">
        <v>0</v>
      </c>
      <c r="E757" s="15" t="s">
        <v>33</v>
      </c>
      <c r="F757" s="15" t="s">
        <v>33</v>
      </c>
      <c r="G757" s="15" t="s">
        <v>33</v>
      </c>
      <c r="H757" s="16">
        <v>1</v>
      </c>
      <c r="I757" s="15" t="s">
        <v>33</v>
      </c>
      <c r="J757" s="15" t="s">
        <v>33</v>
      </c>
      <c r="K757" s="15" t="s">
        <v>33</v>
      </c>
      <c r="L757" s="15" t="s">
        <v>33</v>
      </c>
      <c r="M757" s="19">
        <v>0</v>
      </c>
      <c r="N757" s="16">
        <v>0</v>
      </c>
      <c r="O757" s="15" t="s">
        <v>33</v>
      </c>
      <c r="P757" s="16">
        <v>0</v>
      </c>
      <c r="Q757" s="16">
        <v>0</v>
      </c>
      <c r="R757" s="19">
        <v>0</v>
      </c>
      <c r="S757" s="20" t="s">
        <v>33</v>
      </c>
    </row>
    <row r="758" spans="1:19" ht="15" customHeight="1" x14ac:dyDescent="0.3">
      <c r="A758" s="16">
        <v>675</v>
      </c>
      <c r="B758" s="15" t="s">
        <v>33</v>
      </c>
      <c r="C758" s="15" t="s">
        <v>33</v>
      </c>
      <c r="D758" s="22">
        <v>0</v>
      </c>
      <c r="E758" s="15" t="s">
        <v>33</v>
      </c>
      <c r="F758" s="15" t="s">
        <v>33</v>
      </c>
      <c r="G758" s="15" t="s">
        <v>33</v>
      </c>
      <c r="H758" s="16">
        <v>1</v>
      </c>
      <c r="I758" s="15" t="s">
        <v>33</v>
      </c>
      <c r="J758" s="15" t="s">
        <v>33</v>
      </c>
      <c r="K758" s="15" t="s">
        <v>33</v>
      </c>
      <c r="L758" s="15" t="s">
        <v>33</v>
      </c>
      <c r="M758" s="19">
        <v>0</v>
      </c>
      <c r="N758" s="16">
        <v>0</v>
      </c>
      <c r="O758" s="15" t="s">
        <v>33</v>
      </c>
      <c r="P758" s="16">
        <v>0</v>
      </c>
      <c r="Q758" s="16">
        <v>0</v>
      </c>
      <c r="R758" s="19">
        <v>0</v>
      </c>
      <c r="S758" s="20" t="s">
        <v>33</v>
      </c>
    </row>
    <row r="759" spans="1:19" ht="15" customHeight="1" x14ac:dyDescent="0.3">
      <c r="A759" s="16">
        <v>676</v>
      </c>
      <c r="B759" s="15" t="s">
        <v>33</v>
      </c>
      <c r="C759" s="15" t="s">
        <v>33</v>
      </c>
      <c r="D759" s="22">
        <v>0</v>
      </c>
      <c r="E759" s="15" t="s">
        <v>33</v>
      </c>
      <c r="F759" s="15" t="s">
        <v>33</v>
      </c>
      <c r="G759" s="15" t="s">
        <v>33</v>
      </c>
      <c r="H759" s="16">
        <v>1</v>
      </c>
      <c r="I759" s="15" t="s">
        <v>33</v>
      </c>
      <c r="J759" s="15" t="s">
        <v>33</v>
      </c>
      <c r="K759" s="15" t="s">
        <v>33</v>
      </c>
      <c r="L759" s="15" t="s">
        <v>33</v>
      </c>
      <c r="M759" s="19">
        <v>0</v>
      </c>
      <c r="N759" s="16">
        <v>0</v>
      </c>
      <c r="O759" s="15" t="s">
        <v>33</v>
      </c>
      <c r="P759" s="16">
        <v>0</v>
      </c>
      <c r="Q759" s="16">
        <v>0</v>
      </c>
      <c r="R759" s="19">
        <v>0</v>
      </c>
      <c r="S759" s="20" t="s">
        <v>33</v>
      </c>
    </row>
    <row r="760" spans="1:19" ht="15" customHeight="1" x14ac:dyDescent="0.3">
      <c r="A760" s="16">
        <v>677</v>
      </c>
      <c r="B760" s="15" t="s">
        <v>33</v>
      </c>
      <c r="C760" s="15" t="s">
        <v>33</v>
      </c>
      <c r="D760" s="22">
        <v>0</v>
      </c>
      <c r="E760" s="15" t="s">
        <v>33</v>
      </c>
      <c r="F760" s="15" t="s">
        <v>33</v>
      </c>
      <c r="G760" s="15" t="s">
        <v>33</v>
      </c>
      <c r="H760" s="16">
        <v>1</v>
      </c>
      <c r="I760" s="15" t="s">
        <v>33</v>
      </c>
      <c r="J760" s="15" t="s">
        <v>33</v>
      </c>
      <c r="K760" s="15" t="s">
        <v>33</v>
      </c>
      <c r="L760" s="15" t="s">
        <v>33</v>
      </c>
      <c r="M760" s="19">
        <v>0</v>
      </c>
      <c r="N760" s="16">
        <v>0</v>
      </c>
      <c r="O760" s="15" t="s">
        <v>33</v>
      </c>
      <c r="P760" s="16">
        <v>0</v>
      </c>
      <c r="Q760" s="16">
        <v>0</v>
      </c>
      <c r="R760" s="19">
        <v>0</v>
      </c>
      <c r="S760" s="20" t="s">
        <v>33</v>
      </c>
    </row>
    <row r="761" spans="1:19" ht="15" customHeight="1" x14ac:dyDescent="0.3">
      <c r="A761" s="16">
        <v>678</v>
      </c>
      <c r="B761" s="15" t="s">
        <v>33</v>
      </c>
      <c r="C761" s="15" t="s">
        <v>33</v>
      </c>
      <c r="D761" s="22">
        <v>0</v>
      </c>
      <c r="E761" s="15" t="s">
        <v>33</v>
      </c>
      <c r="F761" s="15" t="s">
        <v>33</v>
      </c>
      <c r="G761" s="15" t="s">
        <v>33</v>
      </c>
      <c r="H761" s="16">
        <v>1</v>
      </c>
      <c r="I761" s="15" t="s">
        <v>33</v>
      </c>
      <c r="J761" s="15" t="s">
        <v>33</v>
      </c>
      <c r="K761" s="15" t="s">
        <v>33</v>
      </c>
      <c r="L761" s="15" t="s">
        <v>33</v>
      </c>
      <c r="M761" s="19">
        <v>0</v>
      </c>
      <c r="N761" s="16">
        <v>0</v>
      </c>
      <c r="O761" s="15" t="s">
        <v>33</v>
      </c>
      <c r="P761" s="16">
        <v>0</v>
      </c>
      <c r="Q761" s="16">
        <v>0</v>
      </c>
      <c r="R761" s="19">
        <v>0</v>
      </c>
      <c r="S761" s="20" t="s">
        <v>33</v>
      </c>
    </row>
    <row r="762" spans="1:19" ht="15" customHeight="1" x14ac:dyDescent="0.3">
      <c r="A762" s="16">
        <v>679</v>
      </c>
      <c r="B762" s="15" t="s">
        <v>33</v>
      </c>
      <c r="C762" s="15" t="s">
        <v>33</v>
      </c>
      <c r="D762" s="22">
        <v>0</v>
      </c>
      <c r="E762" s="15" t="s">
        <v>33</v>
      </c>
      <c r="F762" s="15" t="s">
        <v>33</v>
      </c>
      <c r="G762" s="15" t="s">
        <v>33</v>
      </c>
      <c r="H762" s="16">
        <v>1</v>
      </c>
      <c r="I762" s="15" t="s">
        <v>33</v>
      </c>
      <c r="J762" s="15" t="s">
        <v>33</v>
      </c>
      <c r="K762" s="15" t="s">
        <v>33</v>
      </c>
      <c r="L762" s="15" t="s">
        <v>33</v>
      </c>
      <c r="M762" s="19">
        <v>0</v>
      </c>
      <c r="N762" s="16">
        <v>0</v>
      </c>
      <c r="O762" s="15" t="s">
        <v>33</v>
      </c>
      <c r="P762" s="16">
        <v>0</v>
      </c>
      <c r="Q762" s="16">
        <v>0</v>
      </c>
      <c r="R762" s="19">
        <v>0</v>
      </c>
      <c r="S762" s="20" t="s">
        <v>33</v>
      </c>
    </row>
    <row r="763" spans="1:19" ht="15" customHeight="1" x14ac:dyDescent="0.3">
      <c r="A763" s="16">
        <v>680</v>
      </c>
      <c r="B763" s="15" t="s">
        <v>33</v>
      </c>
      <c r="C763" s="15" t="s">
        <v>33</v>
      </c>
      <c r="D763" s="22">
        <v>0</v>
      </c>
      <c r="E763" s="15" t="s">
        <v>33</v>
      </c>
      <c r="F763" s="15" t="s">
        <v>33</v>
      </c>
      <c r="G763" s="15" t="s">
        <v>33</v>
      </c>
      <c r="H763" s="16">
        <v>1</v>
      </c>
      <c r="I763" s="15" t="s">
        <v>33</v>
      </c>
      <c r="J763" s="15" t="s">
        <v>33</v>
      </c>
      <c r="K763" s="15" t="s">
        <v>33</v>
      </c>
      <c r="L763" s="15" t="s">
        <v>33</v>
      </c>
      <c r="M763" s="19">
        <v>0</v>
      </c>
      <c r="N763" s="16">
        <v>0</v>
      </c>
      <c r="O763" s="15" t="s">
        <v>33</v>
      </c>
      <c r="P763" s="16">
        <v>0</v>
      </c>
      <c r="Q763" s="16">
        <v>0</v>
      </c>
      <c r="R763" s="19">
        <v>0</v>
      </c>
      <c r="S763" s="20" t="s">
        <v>33</v>
      </c>
    </row>
    <row r="764" spans="1:19" ht="15" customHeight="1" x14ac:dyDescent="0.3">
      <c r="A764" s="16">
        <v>681</v>
      </c>
      <c r="B764" s="15" t="s">
        <v>33</v>
      </c>
      <c r="C764" s="15" t="s">
        <v>33</v>
      </c>
      <c r="D764" s="22">
        <v>0</v>
      </c>
      <c r="E764" s="15" t="s">
        <v>33</v>
      </c>
      <c r="F764" s="15" t="s">
        <v>33</v>
      </c>
      <c r="G764" s="15" t="s">
        <v>33</v>
      </c>
      <c r="H764" s="16">
        <v>1</v>
      </c>
      <c r="I764" s="15" t="s">
        <v>33</v>
      </c>
      <c r="J764" s="15" t="s">
        <v>33</v>
      </c>
      <c r="K764" s="15" t="s">
        <v>33</v>
      </c>
      <c r="L764" s="15" t="s">
        <v>33</v>
      </c>
      <c r="M764" s="19">
        <v>0</v>
      </c>
      <c r="N764" s="16">
        <v>0</v>
      </c>
      <c r="O764" s="15" t="s">
        <v>33</v>
      </c>
      <c r="P764" s="16">
        <v>0</v>
      </c>
      <c r="Q764" s="16">
        <v>0</v>
      </c>
      <c r="R764" s="19">
        <v>0</v>
      </c>
      <c r="S764" s="20" t="s">
        <v>33</v>
      </c>
    </row>
    <row r="765" spans="1:19" ht="15" customHeight="1" x14ac:dyDescent="0.3">
      <c r="A765" s="16">
        <v>682</v>
      </c>
      <c r="B765" s="15" t="s">
        <v>33</v>
      </c>
      <c r="C765" s="15" t="s">
        <v>33</v>
      </c>
      <c r="D765" s="22">
        <v>0</v>
      </c>
      <c r="E765" s="15" t="s">
        <v>33</v>
      </c>
      <c r="F765" s="15" t="s">
        <v>33</v>
      </c>
      <c r="G765" s="15" t="s">
        <v>33</v>
      </c>
      <c r="H765" s="16">
        <v>1</v>
      </c>
      <c r="I765" s="15" t="s">
        <v>33</v>
      </c>
      <c r="J765" s="15" t="s">
        <v>33</v>
      </c>
      <c r="K765" s="15" t="s">
        <v>33</v>
      </c>
      <c r="L765" s="15" t="s">
        <v>33</v>
      </c>
      <c r="M765" s="19">
        <v>0</v>
      </c>
      <c r="N765" s="16">
        <v>0</v>
      </c>
      <c r="O765" s="15" t="s">
        <v>33</v>
      </c>
      <c r="P765" s="16">
        <v>0</v>
      </c>
      <c r="Q765" s="16">
        <v>0</v>
      </c>
      <c r="R765" s="19">
        <v>0</v>
      </c>
      <c r="S765" s="20" t="s">
        <v>33</v>
      </c>
    </row>
    <row r="766" spans="1:19" ht="15" customHeight="1" x14ac:dyDescent="0.3">
      <c r="A766" s="16">
        <v>683</v>
      </c>
      <c r="B766" s="15" t="s">
        <v>33</v>
      </c>
      <c r="C766" s="15" t="s">
        <v>33</v>
      </c>
      <c r="D766" s="22">
        <v>0</v>
      </c>
      <c r="E766" s="15" t="s">
        <v>33</v>
      </c>
      <c r="F766" s="15" t="s">
        <v>33</v>
      </c>
      <c r="G766" s="15" t="s">
        <v>33</v>
      </c>
      <c r="H766" s="16">
        <v>1</v>
      </c>
      <c r="I766" s="15" t="s">
        <v>33</v>
      </c>
      <c r="J766" s="15" t="s">
        <v>33</v>
      </c>
      <c r="K766" s="15" t="s">
        <v>33</v>
      </c>
      <c r="L766" s="15" t="s">
        <v>33</v>
      </c>
      <c r="M766" s="19">
        <v>0</v>
      </c>
      <c r="N766" s="16">
        <v>0</v>
      </c>
      <c r="O766" s="15" t="s">
        <v>33</v>
      </c>
      <c r="P766" s="16">
        <v>0</v>
      </c>
      <c r="Q766" s="16">
        <v>0</v>
      </c>
      <c r="R766" s="19">
        <v>0</v>
      </c>
      <c r="S766" s="20" t="s">
        <v>33</v>
      </c>
    </row>
    <row r="767" spans="1:19" ht="15" customHeight="1" x14ac:dyDescent="0.3">
      <c r="A767" s="16">
        <v>684</v>
      </c>
      <c r="B767" s="15" t="s">
        <v>33</v>
      </c>
      <c r="C767" s="15" t="s">
        <v>33</v>
      </c>
      <c r="D767" s="22">
        <v>0</v>
      </c>
      <c r="E767" s="15" t="s">
        <v>33</v>
      </c>
      <c r="F767" s="15" t="s">
        <v>33</v>
      </c>
      <c r="G767" s="15" t="s">
        <v>33</v>
      </c>
      <c r="H767" s="16">
        <v>1</v>
      </c>
      <c r="I767" s="15" t="s">
        <v>33</v>
      </c>
      <c r="J767" s="15" t="s">
        <v>33</v>
      </c>
      <c r="K767" s="15" t="s">
        <v>33</v>
      </c>
      <c r="L767" s="15" t="s">
        <v>33</v>
      </c>
      <c r="M767" s="19">
        <v>0</v>
      </c>
      <c r="N767" s="16">
        <v>0</v>
      </c>
      <c r="O767" s="15" t="s">
        <v>33</v>
      </c>
      <c r="P767" s="16">
        <v>0</v>
      </c>
      <c r="Q767" s="16">
        <v>0</v>
      </c>
      <c r="R767" s="19">
        <v>0</v>
      </c>
      <c r="S767" s="20" t="s">
        <v>33</v>
      </c>
    </row>
    <row r="768" spans="1:19" ht="15" customHeight="1" x14ac:dyDescent="0.3">
      <c r="A768" s="16">
        <v>685</v>
      </c>
      <c r="B768" s="15" t="s">
        <v>33</v>
      </c>
      <c r="C768" s="15" t="s">
        <v>33</v>
      </c>
      <c r="D768" s="22">
        <v>0</v>
      </c>
      <c r="E768" s="15" t="s">
        <v>33</v>
      </c>
      <c r="F768" s="15" t="s">
        <v>33</v>
      </c>
      <c r="G768" s="15" t="s">
        <v>33</v>
      </c>
      <c r="H768" s="16">
        <v>1</v>
      </c>
      <c r="I768" s="15" t="s">
        <v>33</v>
      </c>
      <c r="J768" s="15" t="s">
        <v>33</v>
      </c>
      <c r="K768" s="15" t="s">
        <v>33</v>
      </c>
      <c r="L768" s="15" t="s">
        <v>33</v>
      </c>
      <c r="M768" s="19">
        <v>0</v>
      </c>
      <c r="N768" s="16">
        <v>0</v>
      </c>
      <c r="O768" s="15" t="s">
        <v>33</v>
      </c>
      <c r="P768" s="16">
        <v>0</v>
      </c>
      <c r="Q768" s="16">
        <v>0</v>
      </c>
      <c r="R768" s="19">
        <v>0</v>
      </c>
      <c r="S768" s="20" t="s">
        <v>33</v>
      </c>
    </row>
    <row r="769" spans="1:19" ht="15" customHeight="1" x14ac:dyDescent="0.3">
      <c r="A769" s="16">
        <v>686</v>
      </c>
      <c r="B769" s="15" t="s">
        <v>33</v>
      </c>
      <c r="C769" s="15" t="s">
        <v>33</v>
      </c>
      <c r="D769" s="22">
        <v>0</v>
      </c>
      <c r="E769" s="15" t="s">
        <v>33</v>
      </c>
      <c r="F769" s="15" t="s">
        <v>33</v>
      </c>
      <c r="G769" s="15" t="s">
        <v>33</v>
      </c>
      <c r="H769" s="16">
        <v>1</v>
      </c>
      <c r="I769" s="15" t="s">
        <v>33</v>
      </c>
      <c r="J769" s="15" t="s">
        <v>33</v>
      </c>
      <c r="K769" s="15" t="s">
        <v>33</v>
      </c>
      <c r="L769" s="15" t="s">
        <v>33</v>
      </c>
      <c r="M769" s="19">
        <v>0</v>
      </c>
      <c r="N769" s="16">
        <v>0</v>
      </c>
      <c r="O769" s="15" t="s">
        <v>33</v>
      </c>
      <c r="P769" s="16">
        <v>0</v>
      </c>
      <c r="Q769" s="16">
        <v>0</v>
      </c>
      <c r="R769" s="19">
        <v>0</v>
      </c>
      <c r="S769" s="20" t="s">
        <v>33</v>
      </c>
    </row>
  </sheetData>
  <conditionalFormatting sqref="B11">
    <cfRule type="expression" dxfId="5" priority="1">
      <formula>LEFT(B11,5)="STALE"</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J47"/>
  <sheetViews>
    <sheetView showGridLines="0" workbookViewId="0"/>
  </sheetViews>
  <sheetFormatPr defaultRowHeight="14.4" x14ac:dyDescent="0.3"/>
  <cols>
    <col min="1" max="1" width="24" customWidth="1"/>
    <col min="2" max="2" width="60" customWidth="1"/>
    <col min="3" max="3" width="26" customWidth="1"/>
    <col min="4" max="7" width="14" customWidth="1"/>
    <col min="8" max="8" width="50" customWidth="1"/>
    <col min="9" max="9" width="14" customWidth="1"/>
    <col min="10" max="10" width="40" customWidth="1"/>
  </cols>
  <sheetData>
    <row r="1" spans="1:10" ht="15" customHeight="1" x14ac:dyDescent="0.3">
      <c r="A1" s="1" t="s">
        <v>0</v>
      </c>
      <c r="B1" s="2"/>
      <c r="C1" s="2"/>
      <c r="D1" s="2"/>
      <c r="E1" s="2"/>
      <c r="F1" s="2"/>
      <c r="G1" s="2"/>
      <c r="H1" s="2"/>
      <c r="I1" s="2"/>
      <c r="J1" s="2"/>
    </row>
    <row r="2" spans="1:10" ht="15" customHeight="1" x14ac:dyDescent="0.3">
      <c r="A2" s="3" t="s">
        <v>972</v>
      </c>
    </row>
    <row r="3" spans="1:10" ht="15" customHeight="1" x14ac:dyDescent="0.3">
      <c r="A3" s="4" t="s">
        <v>2</v>
      </c>
    </row>
    <row r="4" spans="1:10" ht="6" customHeight="1" x14ac:dyDescent="0.3"/>
    <row r="5" spans="1:10" ht="15" customHeight="1" x14ac:dyDescent="0.3"/>
    <row r="6" spans="1:10" ht="30" customHeight="1" x14ac:dyDescent="0.3">
      <c r="A6" s="11" t="s">
        <v>973</v>
      </c>
      <c r="B6" s="11" t="s">
        <v>974</v>
      </c>
      <c r="C6" s="11" t="s">
        <v>975</v>
      </c>
    </row>
    <row r="7" spans="1:10" ht="15" customHeight="1" x14ac:dyDescent="0.3">
      <c r="A7" s="6" t="s">
        <v>976</v>
      </c>
      <c r="B7" s="6" t="s">
        <v>977</v>
      </c>
      <c r="C7" s="6" t="s">
        <v>978</v>
      </c>
    </row>
    <row r="8" spans="1:10" ht="15" customHeight="1" x14ac:dyDescent="0.3">
      <c r="A8" s="6" t="s">
        <v>979</v>
      </c>
      <c r="B8" s="6" t="s">
        <v>980</v>
      </c>
      <c r="C8" s="6" t="s">
        <v>981</v>
      </c>
    </row>
    <row r="9" spans="1:10" ht="15" customHeight="1" x14ac:dyDescent="0.3">
      <c r="A9" s="6" t="s">
        <v>982</v>
      </c>
      <c r="B9" s="6" t="s">
        <v>983</v>
      </c>
      <c r="C9" s="6" t="s">
        <v>984</v>
      </c>
    </row>
    <row r="10" spans="1:10" ht="15" customHeight="1" x14ac:dyDescent="0.3">
      <c r="A10" s="6" t="s">
        <v>985</v>
      </c>
      <c r="B10" s="6" t="s">
        <v>986</v>
      </c>
      <c r="C10" s="6" t="s">
        <v>987</v>
      </c>
    </row>
    <row r="11" spans="1:10" ht="15" customHeight="1" x14ac:dyDescent="0.3">
      <c r="A11" s="6" t="s">
        <v>988</v>
      </c>
      <c r="B11" s="6" t="s">
        <v>989</v>
      </c>
      <c r="C11" s="6" t="s">
        <v>990</v>
      </c>
    </row>
    <row r="12" spans="1:10" ht="15" customHeight="1" x14ac:dyDescent="0.3">
      <c r="A12" s="6" t="s">
        <v>991</v>
      </c>
      <c r="B12" s="6" t="s">
        <v>992</v>
      </c>
      <c r="C12" s="6" t="s">
        <v>993</v>
      </c>
    </row>
    <row r="13" spans="1:10" ht="15" customHeight="1" x14ac:dyDescent="0.3">
      <c r="A13" s="6" t="s">
        <v>994</v>
      </c>
      <c r="B13" s="6" t="s">
        <v>995</v>
      </c>
      <c r="C13" s="6" t="s">
        <v>996</v>
      </c>
    </row>
    <row r="14" spans="1:10" ht="15" customHeight="1" x14ac:dyDescent="0.3">
      <c r="A14" s="6" t="s">
        <v>997</v>
      </c>
      <c r="B14" s="6" t="s">
        <v>998</v>
      </c>
      <c r="C14" s="6" t="s">
        <v>92</v>
      </c>
    </row>
    <row r="15" spans="1:10" ht="15" customHeight="1" x14ac:dyDescent="0.3"/>
    <row r="16" spans="1:10" ht="15" customHeight="1" x14ac:dyDescent="0.3">
      <c r="A16" s="3" t="s">
        <v>999</v>
      </c>
    </row>
    <row r="17" spans="1:10" ht="30" customHeight="1" x14ac:dyDescent="0.3">
      <c r="A17" s="11" t="s">
        <v>195</v>
      </c>
      <c r="B17" s="11" t="s">
        <v>923</v>
      </c>
      <c r="C17" s="11" t="s">
        <v>1000</v>
      </c>
      <c r="D17" s="11" t="s">
        <v>1001</v>
      </c>
      <c r="E17" s="11" t="s">
        <v>1002</v>
      </c>
      <c r="F17" s="11" t="s">
        <v>924</v>
      </c>
      <c r="G17" s="11" t="s">
        <v>1003</v>
      </c>
      <c r="H17" s="11" t="s">
        <v>1004</v>
      </c>
      <c r="I17" s="11" t="s">
        <v>1005</v>
      </c>
      <c r="J17" s="11" t="s">
        <v>1006</v>
      </c>
    </row>
    <row r="18" spans="1:10" ht="15" customHeight="1" x14ac:dyDescent="0.3">
      <c r="A18" s="6" t="s">
        <v>197</v>
      </c>
      <c r="B18" s="42">
        <f>M_Sims!O15</f>
        <v>0.54451000000000005</v>
      </c>
      <c r="C18" s="42">
        <f>M_Sims!L15</f>
        <v>3.8260000000000002E-2</v>
      </c>
      <c r="D18" s="42">
        <f>M_Sims!M15</f>
        <v>0.14476</v>
      </c>
      <c r="E18" s="42">
        <f>M_Sims!N15</f>
        <v>0.17971000000000001</v>
      </c>
      <c r="F18" s="31">
        <f>M_Sims!P15</f>
        <v>14.53722</v>
      </c>
      <c r="G18" s="6" t="s">
        <v>1007</v>
      </c>
      <c r="H18" s="6" t="s">
        <v>1008</v>
      </c>
      <c r="I18" s="6">
        <v>0</v>
      </c>
      <c r="J18" s="6" t="s">
        <v>1009</v>
      </c>
    </row>
    <row r="19" spans="1:10" ht="15" customHeight="1" x14ac:dyDescent="0.3">
      <c r="A19" s="6" t="s">
        <v>198</v>
      </c>
      <c r="B19" s="42">
        <f>M_Sims!O16</f>
        <v>0.87565999999999999</v>
      </c>
      <c r="C19" s="42">
        <f>M_Sims!L16</f>
        <v>6.5670000000000006E-2</v>
      </c>
      <c r="D19" s="42">
        <f>M_Sims!M16</f>
        <v>0.24854999999999999</v>
      </c>
      <c r="E19" s="42">
        <f>M_Sims!N16</f>
        <v>0.30825999999999998</v>
      </c>
      <c r="F19" s="31">
        <f>M_Sims!P16</f>
        <v>9.4666800000000002</v>
      </c>
      <c r="G19" s="6" t="s">
        <v>1010</v>
      </c>
      <c r="H19" s="6" t="s">
        <v>1011</v>
      </c>
      <c r="I19" s="6">
        <v>0</v>
      </c>
      <c r="J19" s="6" t="s">
        <v>1009</v>
      </c>
    </row>
    <row r="20" spans="1:10" ht="15" customHeight="1" x14ac:dyDescent="0.3">
      <c r="A20" s="6" t="s">
        <v>199</v>
      </c>
      <c r="B20" s="42">
        <f>M_Sims!O17</f>
        <v>0.14682999999999999</v>
      </c>
      <c r="C20" s="42">
        <f>M_Sims!L17</f>
        <v>8.9999999999999993E-3</v>
      </c>
      <c r="D20" s="42">
        <f>M_Sims!M17</f>
        <v>3.5220000000000001E-2</v>
      </c>
      <c r="E20" s="42">
        <f>M_Sims!N17</f>
        <v>4.3589999999999997E-2</v>
      </c>
      <c r="F20" s="31">
        <f>M_Sims!P17</f>
        <v>22.439800000000002</v>
      </c>
      <c r="G20" s="6" t="s">
        <v>1012</v>
      </c>
      <c r="H20" s="6" t="s">
        <v>1013</v>
      </c>
      <c r="I20" s="6">
        <v>-1</v>
      </c>
      <c r="J20" s="6" t="s">
        <v>1009</v>
      </c>
    </row>
    <row r="21" spans="1:10" ht="15" customHeight="1" x14ac:dyDescent="0.3">
      <c r="A21" s="6" t="s">
        <v>200</v>
      </c>
      <c r="B21" s="42">
        <f>M_Sims!O18</f>
        <v>0.66810999999999998</v>
      </c>
      <c r="C21" s="42">
        <f>M_Sims!L18</f>
        <v>4.8039999999999999E-2</v>
      </c>
      <c r="D21" s="42">
        <f>M_Sims!M18</f>
        <v>0.18279000000000001</v>
      </c>
      <c r="E21" s="42">
        <f>M_Sims!N18</f>
        <v>0.22733999999999999</v>
      </c>
      <c r="F21" s="31">
        <f>M_Sims!P18</f>
        <v>12.57901</v>
      </c>
      <c r="G21" s="6" t="s">
        <v>1012</v>
      </c>
      <c r="H21" s="6" t="s">
        <v>1013</v>
      </c>
      <c r="I21" s="6">
        <v>-1</v>
      </c>
      <c r="J21" s="6" t="s">
        <v>1009</v>
      </c>
    </row>
    <row r="22" spans="1:10" ht="15" customHeight="1" x14ac:dyDescent="0.3">
      <c r="A22" s="6" t="s">
        <v>201</v>
      </c>
      <c r="B22" s="42">
        <f>M_Sims!O19</f>
        <v>0.85675999999999997</v>
      </c>
      <c r="C22" s="42">
        <f>M_Sims!L19</f>
        <v>6.4369999999999997E-2</v>
      </c>
      <c r="D22" s="42">
        <f>M_Sims!M19</f>
        <v>0.24179999999999999</v>
      </c>
      <c r="E22" s="42">
        <f>M_Sims!N19</f>
        <v>0.30113000000000001</v>
      </c>
      <c r="F22" s="31">
        <f>M_Sims!P19</f>
        <v>9.72607</v>
      </c>
      <c r="G22" s="6" t="s">
        <v>1012</v>
      </c>
      <c r="H22" s="6" t="s">
        <v>1013</v>
      </c>
      <c r="I22" s="6">
        <v>-1</v>
      </c>
      <c r="J22" s="6" t="s">
        <v>1009</v>
      </c>
    </row>
    <row r="23" spans="1:10" ht="15" customHeight="1" x14ac:dyDescent="0.3">
      <c r="A23" s="6" t="s">
        <v>202</v>
      </c>
      <c r="B23" s="42">
        <f>M_Sims!O20</f>
        <v>0.28872999999999999</v>
      </c>
      <c r="C23" s="42">
        <f>M_Sims!L20</f>
        <v>1.8589999999999999E-2</v>
      </c>
      <c r="D23" s="42">
        <f>M_Sims!M20</f>
        <v>7.1629999999999999E-2</v>
      </c>
      <c r="E23" s="42">
        <f>M_Sims!N20</f>
        <v>8.9380000000000001E-2</v>
      </c>
      <c r="F23" s="31">
        <f>M_Sims!P20</f>
        <v>19.170010000000001</v>
      </c>
      <c r="G23" s="6" t="s">
        <v>1007</v>
      </c>
      <c r="H23" s="6" t="s">
        <v>1014</v>
      </c>
      <c r="I23" s="6">
        <v>0</v>
      </c>
      <c r="J23" s="6" t="s">
        <v>1009</v>
      </c>
    </row>
    <row r="24" spans="1:10" ht="15" customHeight="1" x14ac:dyDescent="0.3">
      <c r="A24" s="6" t="s">
        <v>203</v>
      </c>
      <c r="B24" s="42">
        <f>M_Sims!O21</f>
        <v>0.83277999999999996</v>
      </c>
      <c r="C24" s="42">
        <f>M_Sims!L21</f>
        <v>6.225E-2</v>
      </c>
      <c r="D24" s="42">
        <f>M_Sims!M21</f>
        <v>0.23225999999999999</v>
      </c>
      <c r="E24" s="42">
        <f>M_Sims!N21</f>
        <v>0.28841</v>
      </c>
      <c r="F24" s="31">
        <f>M_Sims!P21</f>
        <v>10.25437</v>
      </c>
      <c r="G24" s="6" t="s">
        <v>1007</v>
      </c>
      <c r="H24" s="6" t="s">
        <v>1015</v>
      </c>
      <c r="I24" s="6">
        <v>2</v>
      </c>
      <c r="J24" s="6" t="s">
        <v>1009</v>
      </c>
    </row>
    <row r="25" spans="1:10" ht="15" customHeight="1" x14ac:dyDescent="0.3">
      <c r="A25" s="6" t="s">
        <v>204</v>
      </c>
      <c r="B25" s="42">
        <f>M_Sims!O22</f>
        <v>0.30224000000000001</v>
      </c>
      <c r="C25" s="42">
        <f>M_Sims!L22</f>
        <v>1.9060000000000001E-2</v>
      </c>
      <c r="D25" s="42">
        <f>M_Sims!M22</f>
        <v>7.1879999999999999E-2</v>
      </c>
      <c r="E25" s="42">
        <f>M_Sims!N22</f>
        <v>9.0139999999999998E-2</v>
      </c>
      <c r="F25" s="31">
        <f>M_Sims!P22</f>
        <v>19.426739999999999</v>
      </c>
      <c r="G25" s="6" t="s">
        <v>1007</v>
      </c>
      <c r="H25" s="6" t="s">
        <v>1016</v>
      </c>
      <c r="I25" s="6">
        <v>5</v>
      </c>
      <c r="J25" s="6" t="s">
        <v>1009</v>
      </c>
    </row>
    <row r="26" spans="1:10" ht="15" customHeight="1" x14ac:dyDescent="0.3">
      <c r="A26" s="6" t="s">
        <v>205</v>
      </c>
      <c r="B26" s="42">
        <f>M_Sims!O23</f>
        <v>0.26763999999999999</v>
      </c>
      <c r="C26" s="42">
        <f>M_Sims!L23</f>
        <v>1.677E-2</v>
      </c>
      <c r="D26" s="42">
        <f>M_Sims!M23</f>
        <v>6.5079999999999999E-2</v>
      </c>
      <c r="E26" s="42">
        <f>M_Sims!N23</f>
        <v>8.1299999999999997E-2</v>
      </c>
      <c r="F26" s="31">
        <f>M_Sims!P23</f>
        <v>19.60464</v>
      </c>
      <c r="G26" s="6" t="s">
        <v>1012</v>
      </c>
      <c r="H26" s="6" t="s">
        <v>1013</v>
      </c>
      <c r="I26" s="6">
        <v>-1</v>
      </c>
      <c r="J26" s="6" t="s">
        <v>1009</v>
      </c>
    </row>
    <row r="27" spans="1:10" ht="15" customHeight="1" x14ac:dyDescent="0.3">
      <c r="A27" s="6" t="s">
        <v>206</v>
      </c>
      <c r="B27" s="42">
        <f>M_Sims!O24</f>
        <v>0.44968999999999998</v>
      </c>
      <c r="C27" s="42">
        <f>M_Sims!L24</f>
        <v>2.886E-2</v>
      </c>
      <c r="D27" s="42">
        <f>M_Sims!M24</f>
        <v>0.11063000000000001</v>
      </c>
      <c r="E27" s="42">
        <f>M_Sims!N24</f>
        <v>0.13771</v>
      </c>
      <c r="F27" s="31">
        <f>M_Sims!P24</f>
        <v>16.560230000000001</v>
      </c>
      <c r="G27" s="6" t="s">
        <v>1012</v>
      </c>
      <c r="H27" s="6" t="s">
        <v>1013</v>
      </c>
      <c r="I27" s="6">
        <v>-1</v>
      </c>
      <c r="J27" s="6" t="s">
        <v>1009</v>
      </c>
    </row>
    <row r="28" spans="1:10" ht="15" customHeight="1" x14ac:dyDescent="0.3">
      <c r="A28" s="6" t="s">
        <v>207</v>
      </c>
      <c r="B28" s="42">
        <f>M_Sims!O25</f>
        <v>0.11219</v>
      </c>
      <c r="C28" s="42">
        <f>M_Sims!L25</f>
        <v>6.1500000000000001E-3</v>
      </c>
      <c r="D28" s="42">
        <f>M_Sims!M25</f>
        <v>2.4330000000000001E-2</v>
      </c>
      <c r="E28" s="42">
        <f>M_Sims!N25</f>
        <v>3.0689999999999999E-2</v>
      </c>
      <c r="F28" s="31">
        <f>M_Sims!P25</f>
        <v>23.886019999999998</v>
      </c>
      <c r="G28" s="6" t="s">
        <v>1017</v>
      </c>
      <c r="H28" s="6" t="s">
        <v>1018</v>
      </c>
      <c r="I28" s="6">
        <v>-1</v>
      </c>
      <c r="J28" s="6" t="s">
        <v>1009</v>
      </c>
    </row>
    <row r="29" spans="1:10" ht="15" customHeight="1" x14ac:dyDescent="0.3">
      <c r="A29" s="6" t="s">
        <v>208</v>
      </c>
      <c r="B29" s="42">
        <f>M_Sims!O26</f>
        <v>0.48191000000000001</v>
      </c>
      <c r="C29" s="42">
        <f>M_Sims!L26</f>
        <v>3.261E-2</v>
      </c>
      <c r="D29" s="42">
        <f>M_Sims!M26</f>
        <v>0.12470000000000001</v>
      </c>
      <c r="E29" s="42">
        <f>M_Sims!N26</f>
        <v>0.15626999999999999</v>
      </c>
      <c r="F29" s="31">
        <f>M_Sims!P26</f>
        <v>15.59995</v>
      </c>
      <c r="G29" s="6" t="s">
        <v>1012</v>
      </c>
      <c r="H29" s="6" t="s">
        <v>1013</v>
      </c>
      <c r="I29" s="6">
        <v>-1</v>
      </c>
      <c r="J29" s="6" t="s">
        <v>1009</v>
      </c>
    </row>
    <row r="30" spans="1:10" ht="15" customHeight="1" x14ac:dyDescent="0.3">
      <c r="A30" s="6" t="s">
        <v>209</v>
      </c>
      <c r="B30" s="42">
        <f>M_Sims!O27</f>
        <v>0.90656999999999999</v>
      </c>
      <c r="C30" s="42">
        <f>M_Sims!L27</f>
        <v>6.7510000000000001E-2</v>
      </c>
      <c r="D30" s="42">
        <f>M_Sims!M27</f>
        <v>0.25714999999999999</v>
      </c>
      <c r="E30" s="42">
        <f>M_Sims!N27</f>
        <v>0.31899</v>
      </c>
      <c r="F30" s="31">
        <f>M_Sims!P27</f>
        <v>9.0995500000000007</v>
      </c>
      <c r="G30" s="6" t="s">
        <v>1019</v>
      </c>
      <c r="H30" s="6" t="s">
        <v>1020</v>
      </c>
      <c r="I30" s="6">
        <v>0</v>
      </c>
      <c r="J30" s="6" t="s">
        <v>1021</v>
      </c>
    </row>
    <row r="31" spans="1:10" ht="15" customHeight="1" x14ac:dyDescent="0.3">
      <c r="A31" s="6" t="s">
        <v>210</v>
      </c>
      <c r="B31" s="42">
        <f>M_Sims!O28</f>
        <v>0.34838000000000002</v>
      </c>
      <c r="C31" s="42">
        <f>M_Sims!L28</f>
        <v>2.239E-2</v>
      </c>
      <c r="D31" s="42">
        <f>M_Sims!M28</f>
        <v>8.3570000000000005E-2</v>
      </c>
      <c r="E31" s="42">
        <f>M_Sims!N28</f>
        <v>0.10492</v>
      </c>
      <c r="F31" s="31">
        <f>M_Sims!P28</f>
        <v>18.42764</v>
      </c>
      <c r="G31" s="6" t="s">
        <v>1007</v>
      </c>
      <c r="H31" s="6" t="s">
        <v>1022</v>
      </c>
      <c r="I31" s="6">
        <v>4</v>
      </c>
      <c r="J31" s="6" t="s">
        <v>1009</v>
      </c>
    </row>
    <row r="32" spans="1:10" ht="15" customHeight="1" x14ac:dyDescent="0.3">
      <c r="A32" s="6" t="s">
        <v>211</v>
      </c>
      <c r="B32" s="42">
        <f>M_Sims!O29</f>
        <v>0.75519999999999998</v>
      </c>
      <c r="C32" s="42">
        <f>M_Sims!L29</f>
        <v>5.3629999999999997E-2</v>
      </c>
      <c r="D32" s="42">
        <f>M_Sims!M29</f>
        <v>0.20651</v>
      </c>
      <c r="E32" s="42">
        <f>M_Sims!N29</f>
        <v>0.25774000000000002</v>
      </c>
      <c r="F32" s="31">
        <f>M_Sims!P29</f>
        <v>11.45589</v>
      </c>
      <c r="G32" s="6" t="s">
        <v>1012</v>
      </c>
      <c r="H32" s="6" t="s">
        <v>1013</v>
      </c>
      <c r="I32" s="6">
        <v>-1</v>
      </c>
      <c r="J32" s="6" t="s">
        <v>1009</v>
      </c>
    </row>
    <row r="33" spans="1:10" ht="15" customHeight="1" x14ac:dyDescent="0.3">
      <c r="A33" s="6" t="s">
        <v>212</v>
      </c>
      <c r="B33" s="42">
        <f>M_Sims!O30</f>
        <v>0.67190000000000005</v>
      </c>
      <c r="C33" s="42">
        <f>M_Sims!L30</f>
        <v>4.8439999999999997E-2</v>
      </c>
      <c r="D33" s="42">
        <f>M_Sims!M30</f>
        <v>0.18209</v>
      </c>
      <c r="E33" s="42">
        <f>M_Sims!N30</f>
        <v>0.22577</v>
      </c>
      <c r="F33" s="31">
        <f>M_Sims!P30</f>
        <v>12.56193</v>
      </c>
      <c r="G33" s="6" t="s">
        <v>1007</v>
      </c>
      <c r="H33" s="6" t="s">
        <v>1023</v>
      </c>
      <c r="I33" s="6">
        <v>14</v>
      </c>
      <c r="J33" s="6" t="s">
        <v>1009</v>
      </c>
    </row>
    <row r="34" spans="1:10" ht="15" customHeight="1" x14ac:dyDescent="0.3">
      <c r="A34" s="6" t="s">
        <v>213</v>
      </c>
      <c r="B34" s="42">
        <f>M_Sims!O31</f>
        <v>0.90446000000000004</v>
      </c>
      <c r="C34" s="42">
        <f>M_Sims!L31</f>
        <v>6.8500000000000005E-2</v>
      </c>
      <c r="D34" s="42">
        <f>M_Sims!M31</f>
        <v>0.25741999999999998</v>
      </c>
      <c r="E34" s="42">
        <f>M_Sims!N31</f>
        <v>0.3196</v>
      </c>
      <c r="F34" s="31">
        <f>M_Sims!P31</f>
        <v>9.0372599999999998</v>
      </c>
      <c r="G34" s="6" t="s">
        <v>1007</v>
      </c>
      <c r="H34" s="6" t="s">
        <v>1024</v>
      </c>
      <c r="I34" s="6">
        <v>0</v>
      </c>
      <c r="J34" s="6" t="s">
        <v>1009</v>
      </c>
    </row>
    <row r="35" spans="1:10" ht="15" customHeight="1" x14ac:dyDescent="0.3">
      <c r="A35" s="6" t="s">
        <v>214</v>
      </c>
      <c r="B35" s="42">
        <f>M_Sims!O32</f>
        <v>0.41632000000000002</v>
      </c>
      <c r="C35" s="42">
        <f>M_Sims!L32</f>
        <v>2.734E-2</v>
      </c>
      <c r="D35" s="42">
        <f>M_Sims!M32</f>
        <v>0.10265000000000001</v>
      </c>
      <c r="E35" s="42">
        <f>M_Sims!N32</f>
        <v>0.12823999999999999</v>
      </c>
      <c r="F35" s="31">
        <f>M_Sims!P32</f>
        <v>17.111609999999999</v>
      </c>
      <c r="G35" s="6" t="s">
        <v>1007</v>
      </c>
      <c r="H35" s="6" t="s">
        <v>1025</v>
      </c>
      <c r="I35" s="6">
        <v>0</v>
      </c>
      <c r="J35" s="6" t="s">
        <v>1009</v>
      </c>
    </row>
    <row r="36" spans="1:10" ht="15" customHeight="1" x14ac:dyDescent="0.3">
      <c r="A36" s="6" t="s">
        <v>215</v>
      </c>
      <c r="B36" s="42">
        <f>M_Sims!O33</f>
        <v>0.88502999999999998</v>
      </c>
      <c r="C36" s="42">
        <f>M_Sims!L33</f>
        <v>6.6119999999999998E-2</v>
      </c>
      <c r="D36" s="42">
        <f>M_Sims!M33</f>
        <v>0.25146000000000002</v>
      </c>
      <c r="E36" s="42">
        <f>M_Sims!N33</f>
        <v>0.31264999999999998</v>
      </c>
      <c r="F36" s="31">
        <f>M_Sims!P33</f>
        <v>9.4304000000000006</v>
      </c>
      <c r="G36" s="6" t="s">
        <v>1017</v>
      </c>
      <c r="H36" s="6" t="s">
        <v>1026</v>
      </c>
      <c r="I36" s="6">
        <v>-1</v>
      </c>
      <c r="J36" s="6" t="s">
        <v>1009</v>
      </c>
    </row>
    <row r="37" spans="1:10" ht="15" customHeight="1" x14ac:dyDescent="0.3">
      <c r="A37" s="6" t="s">
        <v>216</v>
      </c>
      <c r="B37" s="42">
        <f>M_Sims!O34</f>
        <v>0.40105000000000002</v>
      </c>
      <c r="C37" s="42">
        <f>M_Sims!L34</f>
        <v>2.6589999999999999E-2</v>
      </c>
      <c r="D37" s="42">
        <f>M_Sims!M34</f>
        <v>0.10058</v>
      </c>
      <c r="E37" s="42">
        <f>M_Sims!N34</f>
        <v>0.12659000000000001</v>
      </c>
      <c r="F37" s="31">
        <f>M_Sims!P34</f>
        <v>17.03632</v>
      </c>
      <c r="G37" s="6" t="s">
        <v>1007</v>
      </c>
      <c r="H37" s="6" t="s">
        <v>1018</v>
      </c>
      <c r="I37" s="6">
        <v>0</v>
      </c>
      <c r="J37" s="6" t="s">
        <v>1009</v>
      </c>
    </row>
    <row r="38" spans="1:10" ht="15" customHeight="1" x14ac:dyDescent="0.3">
      <c r="A38" s="6" t="s">
        <v>217</v>
      </c>
      <c r="B38" s="42">
        <f>M_Sims!O35</f>
        <v>4.0899999999999999E-2</v>
      </c>
      <c r="C38" s="42">
        <f>M_Sims!L35</f>
        <v>2.2100000000000002E-3</v>
      </c>
      <c r="D38" s="42">
        <f>M_Sims!M35</f>
        <v>8.9099999999999995E-3</v>
      </c>
      <c r="E38" s="42">
        <f>M_Sims!N35</f>
        <v>1.091E-2</v>
      </c>
      <c r="F38" s="31">
        <f>M_Sims!P35</f>
        <v>26.686229999999998</v>
      </c>
      <c r="G38" s="6" t="s">
        <v>1017</v>
      </c>
      <c r="H38" s="6" t="s">
        <v>1027</v>
      </c>
      <c r="I38" s="6">
        <v>-1</v>
      </c>
      <c r="J38" s="6" t="s">
        <v>1009</v>
      </c>
    </row>
    <row r="39" spans="1:10" ht="15" customHeight="1" x14ac:dyDescent="0.3">
      <c r="A39" s="6" t="s">
        <v>218</v>
      </c>
      <c r="B39" s="42">
        <f>M_Sims!O36</f>
        <v>0.39787</v>
      </c>
      <c r="C39" s="42">
        <f>M_Sims!L36</f>
        <v>2.6069999999999999E-2</v>
      </c>
      <c r="D39" s="42">
        <f>M_Sims!M36</f>
        <v>0.10136000000000001</v>
      </c>
      <c r="E39" s="42">
        <f>M_Sims!N36</f>
        <v>0.12637000000000001</v>
      </c>
      <c r="F39" s="31">
        <f>M_Sims!P36</f>
        <v>17.045480000000001</v>
      </c>
      <c r="G39" s="6" t="s">
        <v>1012</v>
      </c>
      <c r="H39" s="6" t="s">
        <v>1013</v>
      </c>
      <c r="I39" s="6">
        <v>-1</v>
      </c>
      <c r="J39" s="6" t="s">
        <v>1009</v>
      </c>
    </row>
    <row r="40" spans="1:10" ht="15" customHeight="1" x14ac:dyDescent="0.3">
      <c r="A40" s="6" t="s">
        <v>219</v>
      </c>
      <c r="B40" s="42">
        <f>M_Sims!O37</f>
        <v>0.37780999999999998</v>
      </c>
      <c r="C40" s="42">
        <f>M_Sims!L37</f>
        <v>2.5700000000000001E-2</v>
      </c>
      <c r="D40" s="42">
        <f>M_Sims!M37</f>
        <v>9.5759999999999998E-2</v>
      </c>
      <c r="E40" s="42">
        <f>M_Sims!N37</f>
        <v>0.1193</v>
      </c>
      <c r="F40" s="31">
        <f>M_Sims!P37</f>
        <v>17.450430000000001</v>
      </c>
      <c r="G40" s="6" t="s">
        <v>1012</v>
      </c>
      <c r="H40" s="6" t="s">
        <v>1013</v>
      </c>
      <c r="I40" s="6">
        <v>-1</v>
      </c>
      <c r="J40" s="6" t="s">
        <v>1009</v>
      </c>
    </row>
    <row r="41" spans="1:10" ht="15" customHeight="1" x14ac:dyDescent="0.3">
      <c r="A41" s="6" t="s">
        <v>220</v>
      </c>
      <c r="B41" s="42">
        <f>M_Sims!O38</f>
        <v>0.63485999999999998</v>
      </c>
      <c r="C41" s="42">
        <f>M_Sims!L38</f>
        <v>4.4389999999999999E-2</v>
      </c>
      <c r="D41" s="42">
        <f>M_Sims!M38</f>
        <v>0.16525999999999999</v>
      </c>
      <c r="E41" s="42">
        <f>M_Sims!N38</f>
        <v>0.20654</v>
      </c>
      <c r="F41" s="31">
        <f>M_Sims!P38</f>
        <v>13.40127</v>
      </c>
      <c r="G41" s="6" t="s">
        <v>1007</v>
      </c>
      <c r="H41" s="6" t="s">
        <v>1018</v>
      </c>
      <c r="I41" s="6">
        <v>0</v>
      </c>
      <c r="J41" s="6" t="s">
        <v>1009</v>
      </c>
    </row>
    <row r="42" spans="1:10" ht="15" customHeight="1" x14ac:dyDescent="0.3">
      <c r="A42" s="6" t="s">
        <v>221</v>
      </c>
      <c r="B42" s="42">
        <f>M_Sims!O39</f>
        <v>0.37137999999999999</v>
      </c>
      <c r="C42" s="42">
        <f>M_Sims!L39</f>
        <v>2.3269999999999999E-2</v>
      </c>
      <c r="D42" s="42">
        <f>M_Sims!M39</f>
        <v>8.899E-2</v>
      </c>
      <c r="E42" s="42">
        <f>M_Sims!N39</f>
        <v>0.11094</v>
      </c>
      <c r="F42" s="31">
        <f>M_Sims!P39</f>
        <v>17.967009999999998</v>
      </c>
      <c r="G42" s="6" t="s">
        <v>1012</v>
      </c>
      <c r="H42" s="6" t="s">
        <v>1013</v>
      </c>
      <c r="I42" s="6">
        <v>-1</v>
      </c>
      <c r="J42" s="6" t="s">
        <v>1009</v>
      </c>
    </row>
    <row r="43" spans="1:10" ht="15" customHeight="1" x14ac:dyDescent="0.3">
      <c r="A43" s="6" t="s">
        <v>222</v>
      </c>
      <c r="B43" s="42">
        <f>M_Sims!O40</f>
        <v>0.98333000000000004</v>
      </c>
      <c r="C43" s="42">
        <f>M_Sims!L40</f>
        <v>7.1169999999999997E-2</v>
      </c>
      <c r="D43" s="42">
        <f>M_Sims!M40</f>
        <v>0.26817999999999997</v>
      </c>
      <c r="E43" s="42">
        <f>M_Sims!N40</f>
        <v>0.3342</v>
      </c>
      <c r="F43" s="31">
        <f>M_Sims!P40</f>
        <v>7.9886900000000001</v>
      </c>
      <c r="G43" s="6" t="s">
        <v>1012</v>
      </c>
      <c r="H43" s="6" t="s">
        <v>1013</v>
      </c>
      <c r="I43" s="6">
        <v>-1</v>
      </c>
      <c r="J43" s="6" t="s">
        <v>1009</v>
      </c>
    </row>
    <row r="44" spans="1:10" ht="15" customHeight="1" x14ac:dyDescent="0.3">
      <c r="A44" s="6" t="s">
        <v>223</v>
      </c>
      <c r="B44" s="42">
        <f>M_Sims!O41</f>
        <v>0.10650999999999999</v>
      </c>
      <c r="C44" s="42">
        <f>M_Sims!L41</f>
        <v>5.8100000000000001E-3</v>
      </c>
      <c r="D44" s="42">
        <f>M_Sims!M41</f>
        <v>2.266E-2</v>
      </c>
      <c r="E44" s="42">
        <f>M_Sims!N41</f>
        <v>2.8500000000000001E-2</v>
      </c>
      <c r="F44" s="31">
        <f>M_Sims!P41</f>
        <v>24.123449999999998</v>
      </c>
      <c r="G44" s="6" t="s">
        <v>1007</v>
      </c>
      <c r="H44" s="6" t="s">
        <v>1028</v>
      </c>
      <c r="I44" s="6">
        <v>0</v>
      </c>
      <c r="J44" s="6" t="s">
        <v>1009</v>
      </c>
    </row>
    <row r="45" spans="1:10" ht="15" customHeight="1" x14ac:dyDescent="0.3">
      <c r="A45" s="6" t="s">
        <v>224</v>
      </c>
      <c r="B45" s="42">
        <f>M_Sims!O42</f>
        <v>0.17662</v>
      </c>
      <c r="C45" s="42">
        <f>M_Sims!L42</f>
        <v>1.123E-2</v>
      </c>
      <c r="D45" s="42">
        <f>M_Sims!M42</f>
        <v>4.2639999999999997E-2</v>
      </c>
      <c r="E45" s="42">
        <f>M_Sims!N42</f>
        <v>5.321E-2</v>
      </c>
      <c r="F45" s="31">
        <f>M_Sims!P42</f>
        <v>21.706479999999999</v>
      </c>
      <c r="G45" s="6" t="s">
        <v>1019</v>
      </c>
      <c r="H45" s="6" t="s">
        <v>1018</v>
      </c>
      <c r="I45" s="6">
        <v>0</v>
      </c>
      <c r="J45" s="6" t="s">
        <v>1029</v>
      </c>
    </row>
    <row r="46" spans="1:10" ht="15" customHeight="1" x14ac:dyDescent="0.3">
      <c r="A46" s="6" t="s">
        <v>225</v>
      </c>
      <c r="B46" s="42">
        <f>M_Sims!O43</f>
        <v>0.85462000000000005</v>
      </c>
      <c r="C46" s="42">
        <f>M_Sims!L43</f>
        <v>0</v>
      </c>
      <c r="D46" s="42">
        <f>M_Sims!M43</f>
        <v>0</v>
      </c>
      <c r="E46" s="42">
        <f>M_Sims!N43</f>
        <v>0</v>
      </c>
      <c r="F46" s="31">
        <f>M_Sims!P43</f>
        <v>12.17291</v>
      </c>
      <c r="G46" s="6" t="s">
        <v>1030</v>
      </c>
      <c r="H46" s="6" t="s">
        <v>1031</v>
      </c>
      <c r="I46" s="6">
        <v>0</v>
      </c>
      <c r="J46" s="6" t="s">
        <v>1032</v>
      </c>
    </row>
    <row r="47" spans="1:10" ht="15" customHeight="1" x14ac:dyDescent="0.3">
      <c r="A47" s="6" t="s">
        <v>226</v>
      </c>
      <c r="B47" s="42">
        <f>M_Sims!O44</f>
        <v>0.94013999999999998</v>
      </c>
      <c r="C47" s="42">
        <f>M_Sims!L44</f>
        <v>0</v>
      </c>
      <c r="D47" s="42">
        <f>M_Sims!M44</f>
        <v>0.21118000000000001</v>
      </c>
      <c r="E47" s="42">
        <f>M_Sims!N44</f>
        <v>0.28160000000000002</v>
      </c>
      <c r="F47" s="31">
        <f>M_Sims!P44</f>
        <v>9.0467099999999991</v>
      </c>
      <c r="G47" s="6" t="s">
        <v>1012</v>
      </c>
      <c r="H47" s="6" t="s">
        <v>1013</v>
      </c>
      <c r="I47" s="6">
        <v>-1</v>
      </c>
      <c r="J47" s="6" t="s">
        <v>1009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U243"/>
  <sheetViews>
    <sheetView showGridLines="0" workbookViewId="0"/>
  </sheetViews>
  <sheetFormatPr defaultRowHeight="14.4" x14ac:dyDescent="0.3"/>
  <cols>
    <col min="1" max="1" width="24" customWidth="1"/>
    <col min="2" max="2" width="28" customWidth="1"/>
    <col min="3" max="19" width="14" customWidth="1"/>
    <col min="20" max="20" width="90" customWidth="1"/>
    <col min="21" max="21" width="14" customWidth="1"/>
  </cols>
  <sheetData>
    <row r="1" spans="1:21" ht="15" customHeight="1" x14ac:dyDescent="0.3">
      <c r="A1" s="1" t="s">
        <v>0</v>
      </c>
      <c r="B1" s="2"/>
      <c r="C1" s="2"/>
      <c r="D1" s="2"/>
      <c r="E1" s="2"/>
      <c r="F1" s="2"/>
      <c r="G1" s="2"/>
      <c r="H1" s="2"/>
      <c r="I1" s="2"/>
      <c r="J1" s="2"/>
      <c r="K1" s="2"/>
      <c r="L1" s="2"/>
      <c r="M1" s="2"/>
      <c r="N1" s="2"/>
    </row>
    <row r="2" spans="1:21" ht="15" customHeight="1" x14ac:dyDescent="0.3">
      <c r="A2" s="3" t="s">
        <v>1033</v>
      </c>
    </row>
    <row r="3" spans="1:21" ht="15" customHeight="1" x14ac:dyDescent="0.3">
      <c r="A3" s="4" t="s">
        <v>2</v>
      </c>
    </row>
    <row r="4" spans="1:21" ht="6" customHeight="1" x14ac:dyDescent="0.3">
      <c r="A4" s="4" t="s">
        <v>1034</v>
      </c>
    </row>
    <row r="5" spans="1:21" ht="15" customHeight="1" x14ac:dyDescent="0.3">
      <c r="A5" s="4" t="s">
        <v>1035</v>
      </c>
    </row>
    <row r="6" spans="1:21" ht="15" customHeight="1" x14ac:dyDescent="0.3">
      <c r="A6" s="3" t="s">
        <v>1036</v>
      </c>
      <c r="B6" s="16">
        <v>5</v>
      </c>
    </row>
    <row r="7" spans="1:21" ht="30" customHeight="1" x14ac:dyDescent="0.3">
      <c r="A7" s="11" t="s">
        <v>230</v>
      </c>
      <c r="B7" s="11" t="s">
        <v>231</v>
      </c>
      <c r="C7" s="11" t="s">
        <v>195</v>
      </c>
      <c r="D7" s="11" t="s">
        <v>515</v>
      </c>
      <c r="E7" s="11" t="s">
        <v>517</v>
      </c>
      <c r="F7" s="11" t="s">
        <v>1037</v>
      </c>
      <c r="G7" s="11" t="s">
        <v>1038</v>
      </c>
      <c r="H7" s="11" t="s">
        <v>1039</v>
      </c>
      <c r="I7" s="11" t="s">
        <v>1040</v>
      </c>
      <c r="J7" s="11" t="s">
        <v>1041</v>
      </c>
      <c r="K7" s="11" t="s">
        <v>1042</v>
      </c>
      <c r="L7" s="11" t="s">
        <v>1043</v>
      </c>
      <c r="M7" s="11" t="s">
        <v>1044</v>
      </c>
      <c r="N7" s="11" t="s">
        <v>1045</v>
      </c>
      <c r="O7" s="11" t="s">
        <v>1046</v>
      </c>
      <c r="P7" s="11" t="s">
        <v>1047</v>
      </c>
      <c r="Q7" s="11" t="s">
        <v>1048</v>
      </c>
      <c r="R7" s="11" t="s">
        <v>1049</v>
      </c>
      <c r="S7" s="11" t="s">
        <v>1050</v>
      </c>
      <c r="T7" s="11" t="s">
        <v>1051</v>
      </c>
      <c r="U7" s="11" t="s">
        <v>1052</v>
      </c>
    </row>
    <row r="8" spans="1:21" ht="15" customHeight="1" x14ac:dyDescent="0.3">
      <c r="A8" s="10" t="s">
        <v>293</v>
      </c>
      <c r="B8" s="10" t="s">
        <v>294</v>
      </c>
      <c r="C8" s="10" t="s">
        <v>33</v>
      </c>
      <c r="D8" s="16">
        <v>200</v>
      </c>
      <c r="E8" s="23">
        <f t="shared" ref="E8:E71" si="0">IF(D8&gt;0,1+D8/100,1+100/ABS(D8))</f>
        <v>3</v>
      </c>
      <c r="F8" s="45">
        <v>0.2897024358785274</v>
      </c>
      <c r="G8" s="45">
        <v>0.10885</v>
      </c>
      <c r="H8" s="45">
        <v>9.2439999999999994E-2</v>
      </c>
      <c r="I8" s="45">
        <v>0.12545000000000001</v>
      </c>
      <c r="J8" s="34">
        <f t="shared" ref="J8:J71" si="1">G8*E8-1</f>
        <v>-0.67344999999999999</v>
      </c>
      <c r="K8" s="34">
        <f t="shared" ref="K8:K71" si="2">((1-A_shrink)*G8+A_shrink*F8)*E8-1</f>
        <v>-0.40217134618220896</v>
      </c>
      <c r="L8" s="34">
        <f t="shared" ref="L8:L71" si="3">((1-A_shrink)*H8+A_shrink*F8)*E8-1</f>
        <v>-0.42678634618220901</v>
      </c>
      <c r="M8" s="22">
        <v>-0.40565884618220888</v>
      </c>
      <c r="N8" s="6" t="b">
        <f t="shared" ref="N8:N71" si="4">AND(K8&gt;=A_minev,L8&gt;0,M8&gt;=A_minev)</f>
        <v>0</v>
      </c>
      <c r="O8" s="6" t="b">
        <f t="shared" ref="O8:O71" si="5">AND(N8,U8,F8&gt;=A_t1_fair,((1-A_t1_shrink)*G8+A_t1_shrink*F8)*E8-1&gt;=A_minev,((1-A_t1_shrink)*H8+A_t1_shrink*F8)*E8-1&gt;0)</f>
        <v>0</v>
      </c>
      <c r="P8" s="19">
        <v>0</v>
      </c>
      <c r="Q8" s="46" t="str">
        <f t="shared" ref="Q8:Q71" si="6">IF(AND(O8,ISNUMBER(A_bankroll)),P8*A_bankroll,"-")</f>
        <v>-</v>
      </c>
      <c r="R8" s="24">
        <v>26.5079366799173</v>
      </c>
      <c r="S8" s="24">
        <v>60.359402405244488</v>
      </c>
      <c r="T8" s="6" t="s">
        <v>1053</v>
      </c>
      <c r="U8" s="10" t="b">
        <v>0</v>
      </c>
    </row>
    <row r="9" spans="1:21" ht="15" customHeight="1" x14ac:dyDescent="0.3">
      <c r="A9" s="10" t="s">
        <v>293</v>
      </c>
      <c r="B9" s="10" t="s">
        <v>295</v>
      </c>
      <c r="C9" s="10" t="s">
        <v>33</v>
      </c>
      <c r="D9" s="16">
        <v>350</v>
      </c>
      <c r="E9" s="23">
        <f t="shared" si="0"/>
        <v>4.5</v>
      </c>
      <c r="F9" s="45">
        <v>0.19058755675048031</v>
      </c>
      <c r="G9" s="45">
        <v>0.30945</v>
      </c>
      <c r="H9" s="45">
        <v>0.25469999999999998</v>
      </c>
      <c r="I9" s="45">
        <v>0.36989</v>
      </c>
      <c r="J9" s="34">
        <f t="shared" si="1"/>
        <v>0.39252500000000001</v>
      </c>
      <c r="K9" s="34">
        <f t="shared" si="2"/>
        <v>0.12508450268858073</v>
      </c>
      <c r="L9" s="34">
        <f t="shared" si="3"/>
        <v>1.8970026885805069E-3</v>
      </c>
      <c r="M9" s="22">
        <v>0.12080950268858071</v>
      </c>
      <c r="N9" s="6" t="b">
        <f t="shared" si="4"/>
        <v>1</v>
      </c>
      <c r="O9" s="6" t="b">
        <f t="shared" si="5"/>
        <v>0</v>
      </c>
      <c r="P9" s="19">
        <v>0</v>
      </c>
      <c r="Q9" s="46" t="str">
        <f t="shared" si="6"/>
        <v>-</v>
      </c>
      <c r="R9" s="24">
        <v>31.72070449786353</v>
      </c>
      <c r="S9" s="24">
        <v>63.304134235828073</v>
      </c>
      <c r="T9" s="6" t="s">
        <v>1054</v>
      </c>
      <c r="U9" s="10" t="b">
        <v>0</v>
      </c>
    </row>
    <row r="10" spans="1:21" ht="15" customHeight="1" x14ac:dyDescent="0.3">
      <c r="A10" s="10" t="s">
        <v>293</v>
      </c>
      <c r="B10" s="10" t="s">
        <v>296</v>
      </c>
      <c r="C10" s="10" t="s">
        <v>33</v>
      </c>
      <c r="D10" s="16">
        <v>500</v>
      </c>
      <c r="E10" s="23">
        <f t="shared" si="0"/>
        <v>6</v>
      </c>
      <c r="F10" s="45">
        <v>0.1410563065421874</v>
      </c>
      <c r="G10" s="45">
        <v>0.18176999999999999</v>
      </c>
      <c r="H10" s="45">
        <v>0.14257</v>
      </c>
      <c r="I10" s="45">
        <v>0.21623999999999999</v>
      </c>
      <c r="J10" s="34">
        <f t="shared" si="1"/>
        <v>9.0619999999999923E-2</v>
      </c>
      <c r="K10" s="34">
        <f t="shared" si="2"/>
        <v>-3.1521080373437926E-2</v>
      </c>
      <c r="L10" s="34">
        <f t="shared" si="3"/>
        <v>-0.14912108037343774</v>
      </c>
      <c r="M10" s="22">
        <v>-3.0081080373437801E-2</v>
      </c>
      <c r="N10" s="6" t="b">
        <f t="shared" si="4"/>
        <v>0</v>
      </c>
      <c r="O10" s="6" t="b">
        <f t="shared" si="5"/>
        <v>0</v>
      </c>
      <c r="P10" s="19">
        <v>0</v>
      </c>
      <c r="Q10" s="46" t="str">
        <f t="shared" si="6"/>
        <v>-</v>
      </c>
      <c r="R10" s="24">
        <v>29.947368665182118</v>
      </c>
      <c r="S10" s="24">
        <v>61.00020333075102</v>
      </c>
      <c r="T10" s="6" t="s">
        <v>1055</v>
      </c>
      <c r="U10" s="10" t="b">
        <v>0</v>
      </c>
    </row>
    <row r="11" spans="1:21" ht="15" customHeight="1" x14ac:dyDescent="0.3">
      <c r="A11" s="10" t="s">
        <v>293</v>
      </c>
      <c r="B11" s="10" t="s">
        <v>297</v>
      </c>
      <c r="C11" s="10" t="s">
        <v>33</v>
      </c>
      <c r="D11" s="16">
        <v>550</v>
      </c>
      <c r="E11" s="23">
        <f t="shared" si="0"/>
        <v>6.5</v>
      </c>
      <c r="F11" s="45">
        <v>0.1296313828535802</v>
      </c>
      <c r="G11" s="45">
        <v>6.4219999999999999E-2</v>
      </c>
      <c r="H11" s="45">
        <v>4.299E-2</v>
      </c>
      <c r="I11" s="45">
        <v>8.5129999999999997E-2</v>
      </c>
      <c r="J11" s="34">
        <f t="shared" si="1"/>
        <v>-0.58257000000000003</v>
      </c>
      <c r="K11" s="34">
        <f t="shared" si="2"/>
        <v>-0.3699830057258644</v>
      </c>
      <c r="L11" s="34">
        <f t="shared" si="3"/>
        <v>-0.43898050572586433</v>
      </c>
      <c r="M11" s="22">
        <v>-0.39417925572586421</v>
      </c>
      <c r="N11" s="6" t="b">
        <f t="shared" si="4"/>
        <v>0</v>
      </c>
      <c r="O11" s="6" t="b">
        <f t="shared" si="5"/>
        <v>0</v>
      </c>
      <c r="P11" s="19">
        <v>0</v>
      </c>
      <c r="Q11" s="46" t="str">
        <f t="shared" si="6"/>
        <v>-</v>
      </c>
      <c r="R11" s="24">
        <v>33.125934196024232</v>
      </c>
      <c r="S11" s="24">
        <v>60.11935487331364</v>
      </c>
      <c r="T11" s="6" t="s">
        <v>1056</v>
      </c>
      <c r="U11" s="10" t="b">
        <v>0</v>
      </c>
    </row>
    <row r="12" spans="1:21" ht="15" customHeight="1" x14ac:dyDescent="0.3">
      <c r="A12" s="10" t="s">
        <v>293</v>
      </c>
      <c r="B12" s="10" t="s">
        <v>298</v>
      </c>
      <c r="C12" s="10" t="s">
        <v>33</v>
      </c>
      <c r="D12" s="16">
        <v>1100</v>
      </c>
      <c r="E12" s="23">
        <f t="shared" si="0"/>
        <v>12</v>
      </c>
      <c r="F12" s="45">
        <v>6.6889792770709999E-2</v>
      </c>
      <c r="G12" s="45">
        <v>1.191E-2</v>
      </c>
      <c r="H12" s="45">
        <v>7.2300000000000003E-3</v>
      </c>
      <c r="I12" s="45">
        <v>1.583E-2</v>
      </c>
      <c r="J12" s="34">
        <f t="shared" si="1"/>
        <v>-0.85708000000000006</v>
      </c>
      <c r="K12" s="34">
        <f t="shared" si="2"/>
        <v>-0.52720124337574004</v>
      </c>
      <c r="L12" s="34">
        <f t="shared" si="3"/>
        <v>-0.55528124337574003</v>
      </c>
      <c r="M12" s="22">
        <v>-0.53206124337573946</v>
      </c>
      <c r="N12" s="6" t="b">
        <f t="shared" si="4"/>
        <v>0</v>
      </c>
      <c r="O12" s="6" t="b">
        <f t="shared" si="5"/>
        <v>0</v>
      </c>
      <c r="P12" s="19">
        <v>0</v>
      </c>
      <c r="Q12" s="46" t="str">
        <f t="shared" si="6"/>
        <v>-</v>
      </c>
      <c r="R12" s="24">
        <v>26.177646553511341</v>
      </c>
      <c r="S12" s="24">
        <v>53.430498589117953</v>
      </c>
      <c r="T12" s="6" t="s">
        <v>1057</v>
      </c>
      <c r="U12" s="10" t="b">
        <v>0</v>
      </c>
    </row>
    <row r="13" spans="1:21" ht="15" customHeight="1" x14ac:dyDescent="0.3">
      <c r="A13" s="10" t="s">
        <v>293</v>
      </c>
      <c r="B13" s="10" t="s">
        <v>301</v>
      </c>
      <c r="C13" s="10" t="s">
        <v>33</v>
      </c>
      <c r="D13" s="16">
        <v>1500</v>
      </c>
      <c r="E13" s="23">
        <f t="shared" si="0"/>
        <v>16</v>
      </c>
      <c r="F13" s="45">
        <v>4.8434327718494097E-2</v>
      </c>
      <c r="G13" s="45">
        <v>1.3860000000000001E-2</v>
      </c>
      <c r="H13" s="45">
        <v>8.6699999999999E-3</v>
      </c>
      <c r="I13" s="45">
        <v>1.7809999999999999E-2</v>
      </c>
      <c r="J13" s="34">
        <f t="shared" si="1"/>
        <v>-0.77824000000000004</v>
      </c>
      <c r="K13" s="34">
        <f t="shared" si="2"/>
        <v>-0.50164537825204725</v>
      </c>
      <c r="L13" s="34">
        <f t="shared" si="3"/>
        <v>-0.54316537825204803</v>
      </c>
      <c r="M13" s="22">
        <v>-0.50832537825204671</v>
      </c>
      <c r="N13" s="6" t="b">
        <f t="shared" si="4"/>
        <v>0</v>
      </c>
      <c r="O13" s="6" t="b">
        <f t="shared" si="5"/>
        <v>0</v>
      </c>
      <c r="P13" s="19">
        <v>0</v>
      </c>
      <c r="Q13" s="46" t="str">
        <f t="shared" si="6"/>
        <v>-</v>
      </c>
      <c r="R13" s="24">
        <v>32.363100352860492</v>
      </c>
      <c r="S13" s="24">
        <v>49.859589025339083</v>
      </c>
      <c r="T13" s="6" t="s">
        <v>1058</v>
      </c>
      <c r="U13" s="10" t="b">
        <v>0</v>
      </c>
    </row>
    <row r="14" spans="1:21" ht="15" customHeight="1" x14ac:dyDescent="0.3">
      <c r="A14" s="10" t="s">
        <v>293</v>
      </c>
      <c r="B14" s="10" t="s">
        <v>300</v>
      </c>
      <c r="C14" s="10" t="s">
        <v>33</v>
      </c>
      <c r="D14" s="16">
        <v>1700</v>
      </c>
      <c r="E14" s="23">
        <f t="shared" si="0"/>
        <v>18</v>
      </c>
      <c r="F14" s="45">
        <v>4.2305207275689698E-2</v>
      </c>
      <c r="G14" s="45">
        <v>1.8769999999999998E-2</v>
      </c>
      <c r="H14" s="45">
        <v>1.12E-2</v>
      </c>
      <c r="I14" s="45">
        <v>2.4670000000000001E-2</v>
      </c>
      <c r="J14" s="34">
        <f t="shared" si="1"/>
        <v>-0.66213999999999995</v>
      </c>
      <c r="K14" s="34">
        <f t="shared" si="2"/>
        <v>-0.45032313451879269</v>
      </c>
      <c r="L14" s="34">
        <f t="shared" si="3"/>
        <v>-0.51845313451879271</v>
      </c>
      <c r="M14" s="22">
        <v>-0.48965313451879261</v>
      </c>
      <c r="N14" s="6" t="b">
        <f t="shared" si="4"/>
        <v>0</v>
      </c>
      <c r="O14" s="6" t="b">
        <f t="shared" si="5"/>
        <v>0</v>
      </c>
      <c r="P14" s="19">
        <v>0</v>
      </c>
      <c r="Q14" s="46" t="str">
        <f t="shared" si="6"/>
        <v>-</v>
      </c>
      <c r="R14" s="24">
        <v>33.60429383389026</v>
      </c>
      <c r="S14" s="24">
        <v>62.441260901540097</v>
      </c>
      <c r="T14" s="6" t="s">
        <v>1059</v>
      </c>
      <c r="U14" s="10" t="b">
        <v>0</v>
      </c>
    </row>
    <row r="15" spans="1:21" ht="15" customHeight="1" x14ac:dyDescent="0.3">
      <c r="A15" s="10" t="s">
        <v>293</v>
      </c>
      <c r="B15" s="10" t="s">
        <v>299</v>
      </c>
      <c r="C15" s="10" t="s">
        <v>33</v>
      </c>
      <c r="D15" s="16">
        <v>2200</v>
      </c>
      <c r="E15" s="23">
        <f t="shared" si="0"/>
        <v>23</v>
      </c>
      <c r="F15" s="45">
        <v>3.1696938324148299E-2</v>
      </c>
      <c r="G15" s="45">
        <v>1.8159999999999999E-2</v>
      </c>
      <c r="H15" s="45">
        <v>1.498E-2</v>
      </c>
      <c r="I15" s="45">
        <v>2.1610000000000001E-2</v>
      </c>
      <c r="J15" s="34">
        <f t="shared" si="1"/>
        <v>-0.58231999999999995</v>
      </c>
      <c r="K15" s="34">
        <f t="shared" si="2"/>
        <v>-0.42664520927229466</v>
      </c>
      <c r="L15" s="34">
        <f t="shared" si="3"/>
        <v>-0.46321520927229454</v>
      </c>
      <c r="M15" s="22">
        <v>-0.47074770927229381</v>
      </c>
      <c r="N15" s="6" t="b">
        <f t="shared" si="4"/>
        <v>0</v>
      </c>
      <c r="O15" s="6" t="b">
        <f t="shared" si="5"/>
        <v>0</v>
      </c>
      <c r="P15" s="19">
        <v>0</v>
      </c>
      <c r="Q15" s="46" t="str">
        <f t="shared" si="6"/>
        <v>-</v>
      </c>
      <c r="R15" s="24">
        <v>31.16043270574357</v>
      </c>
      <c r="S15" s="24">
        <v>62.355484172743843</v>
      </c>
      <c r="T15" s="6" t="s">
        <v>1060</v>
      </c>
      <c r="U15" s="10" t="b">
        <v>0</v>
      </c>
    </row>
    <row r="16" spans="1:21" ht="15" customHeight="1" x14ac:dyDescent="0.3">
      <c r="A16" s="10" t="s">
        <v>293</v>
      </c>
      <c r="B16" s="10" t="s">
        <v>302</v>
      </c>
      <c r="C16" s="10" t="s">
        <v>33</v>
      </c>
      <c r="D16" s="16">
        <v>3500</v>
      </c>
      <c r="E16" s="23">
        <f t="shared" si="0"/>
        <v>36</v>
      </c>
      <c r="F16" s="45">
        <v>1.8116900903848401E-2</v>
      </c>
      <c r="G16" s="45">
        <v>6.7200000000000003E-3</v>
      </c>
      <c r="H16" s="45">
        <v>4.6600000000000001E-3</v>
      </c>
      <c r="I16" s="45">
        <v>9.0299999999999998E-3</v>
      </c>
      <c r="J16" s="34">
        <f t="shared" si="1"/>
        <v>-0.75807999999999998</v>
      </c>
      <c r="K16" s="34">
        <f t="shared" si="2"/>
        <v>-0.55293578373072871</v>
      </c>
      <c r="L16" s="34">
        <f t="shared" si="3"/>
        <v>-0.59001578373072872</v>
      </c>
      <c r="M16" s="22">
        <v>-0.58254578373072807</v>
      </c>
      <c r="N16" s="6" t="b">
        <f t="shared" si="4"/>
        <v>0</v>
      </c>
      <c r="O16" s="6" t="b">
        <f t="shared" si="5"/>
        <v>0</v>
      </c>
      <c r="P16" s="19">
        <v>0</v>
      </c>
      <c r="Q16" s="46" t="str">
        <f t="shared" si="6"/>
        <v>-</v>
      </c>
      <c r="R16" s="24">
        <v>27.976167555083801</v>
      </c>
      <c r="S16" s="24">
        <v>63.16735713908713</v>
      </c>
      <c r="T16" s="6" t="s">
        <v>1061</v>
      </c>
      <c r="U16" s="10" t="b">
        <v>0</v>
      </c>
    </row>
    <row r="17" spans="1:21" ht="15" customHeight="1" x14ac:dyDescent="0.3">
      <c r="A17" s="10" t="s">
        <v>293</v>
      </c>
      <c r="B17" s="10" t="s">
        <v>307</v>
      </c>
      <c r="C17" s="10" t="s">
        <v>33</v>
      </c>
      <c r="D17" s="16">
        <v>6500</v>
      </c>
      <c r="E17" s="23">
        <f t="shared" si="0"/>
        <v>66</v>
      </c>
      <c r="F17" s="45">
        <v>7.7590409046811E-3</v>
      </c>
      <c r="G17" s="45">
        <v>3.3E-3</v>
      </c>
      <c r="H17" s="45">
        <v>2.5600000000000002E-3</v>
      </c>
      <c r="I17" s="45">
        <v>5.2300000000000003E-3</v>
      </c>
      <c r="J17" s="34">
        <f t="shared" si="1"/>
        <v>-0.78220000000000001</v>
      </c>
      <c r="K17" s="34">
        <f t="shared" si="2"/>
        <v>-0.63505165014552367</v>
      </c>
      <c r="L17" s="34">
        <f t="shared" si="3"/>
        <v>-0.65947165014552367</v>
      </c>
      <c r="M17" s="22">
        <v>-0.67465165014552086</v>
      </c>
      <c r="N17" s="6" t="b">
        <f t="shared" si="4"/>
        <v>0</v>
      </c>
      <c r="O17" s="6" t="b">
        <f t="shared" si="5"/>
        <v>0</v>
      </c>
      <c r="P17" s="19">
        <v>0</v>
      </c>
      <c r="Q17" s="46" t="str">
        <f t="shared" si="6"/>
        <v>-</v>
      </c>
      <c r="R17" s="24">
        <v>28.128532834024998</v>
      </c>
      <c r="S17" s="24">
        <v>62.556568894878758</v>
      </c>
      <c r="T17" s="6" t="s">
        <v>1062</v>
      </c>
      <c r="U17" s="10" t="b">
        <v>0</v>
      </c>
    </row>
    <row r="18" spans="1:21" ht="15" customHeight="1" x14ac:dyDescent="0.3">
      <c r="A18" s="10" t="s">
        <v>293</v>
      </c>
      <c r="B18" s="10" t="s">
        <v>303</v>
      </c>
      <c r="C18" s="10" t="s">
        <v>33</v>
      </c>
      <c r="D18" s="16">
        <v>8000</v>
      </c>
      <c r="E18" s="23">
        <f t="shared" si="0"/>
        <v>81</v>
      </c>
      <c r="F18" s="45">
        <v>5.6560904419496001E-3</v>
      </c>
      <c r="G18" s="45">
        <v>1.8780000000000002E-2</v>
      </c>
      <c r="H18" s="45">
        <v>1.189E-2</v>
      </c>
      <c r="I18" s="45">
        <v>2.3E-2</v>
      </c>
      <c r="J18" s="34">
        <f t="shared" si="1"/>
        <v>0.5211800000000002</v>
      </c>
      <c r="K18" s="34">
        <f t="shared" si="2"/>
        <v>-1.0338337101041151E-2</v>
      </c>
      <c r="L18" s="34">
        <f t="shared" si="3"/>
        <v>-0.28938333710104125</v>
      </c>
      <c r="M18" s="22">
        <v>-0.1553283371010386</v>
      </c>
      <c r="N18" s="6" t="b">
        <f t="shared" si="4"/>
        <v>0</v>
      </c>
      <c r="O18" s="6" t="b">
        <f t="shared" si="5"/>
        <v>0</v>
      </c>
      <c r="P18" s="19">
        <v>0</v>
      </c>
      <c r="Q18" s="46" t="str">
        <f t="shared" si="6"/>
        <v>-</v>
      </c>
      <c r="R18" s="24">
        <v>30.119502932560572</v>
      </c>
      <c r="S18" s="24">
        <v>62.72180079170456</v>
      </c>
      <c r="T18" s="6" t="s">
        <v>1063</v>
      </c>
      <c r="U18" s="10" t="b">
        <v>0</v>
      </c>
    </row>
    <row r="19" spans="1:21" ht="15" customHeight="1" x14ac:dyDescent="0.3">
      <c r="A19" s="10" t="s">
        <v>293</v>
      </c>
      <c r="B19" s="10" t="s">
        <v>304</v>
      </c>
      <c r="C19" s="10" t="s">
        <v>33</v>
      </c>
      <c r="D19" s="16">
        <v>10000</v>
      </c>
      <c r="E19" s="23">
        <f t="shared" si="0"/>
        <v>101</v>
      </c>
      <c r="F19" s="45">
        <v>3.9516225501723002E-3</v>
      </c>
      <c r="G19" s="45">
        <v>3.1800000000000001E-3</v>
      </c>
      <c r="H19" s="45">
        <v>1.6800000000000001E-3</v>
      </c>
      <c r="I19" s="45">
        <v>3.9100000000000003E-3</v>
      </c>
      <c r="J19" s="34">
        <f t="shared" si="1"/>
        <v>-0.67881999999999998</v>
      </c>
      <c r="K19" s="34">
        <f t="shared" si="2"/>
        <v>-0.63985306121629881</v>
      </c>
      <c r="L19" s="34">
        <f t="shared" si="3"/>
        <v>-0.71560306121629891</v>
      </c>
      <c r="M19" s="22">
        <v>-0.69439306121629774</v>
      </c>
      <c r="N19" s="6" t="b">
        <f t="shared" si="4"/>
        <v>0</v>
      </c>
      <c r="O19" s="6" t="b">
        <f t="shared" si="5"/>
        <v>0</v>
      </c>
      <c r="P19" s="19">
        <v>0</v>
      </c>
      <c r="Q19" s="46" t="str">
        <f t="shared" si="6"/>
        <v>-</v>
      </c>
      <c r="R19" s="24">
        <v>30.261034551294308</v>
      </c>
      <c r="S19" s="24">
        <v>52.345212178439454</v>
      </c>
      <c r="T19" s="6" t="s">
        <v>1064</v>
      </c>
      <c r="U19" s="10" t="b">
        <v>0</v>
      </c>
    </row>
    <row r="20" spans="1:21" ht="15" customHeight="1" x14ac:dyDescent="0.3">
      <c r="A20" s="10" t="s">
        <v>293</v>
      </c>
      <c r="B20" s="10" t="s">
        <v>306</v>
      </c>
      <c r="C20" s="10" t="s">
        <v>33</v>
      </c>
      <c r="D20" s="16">
        <v>10000</v>
      </c>
      <c r="E20" s="23">
        <f t="shared" si="0"/>
        <v>101</v>
      </c>
      <c r="F20" s="45">
        <v>3.9516225501723002E-3</v>
      </c>
      <c r="G20" s="45">
        <v>9.7599999999999996E-3</v>
      </c>
      <c r="H20" s="45">
        <v>5.79E-3</v>
      </c>
      <c r="I20" s="45">
        <v>1.12E-2</v>
      </c>
      <c r="J20" s="34">
        <f t="shared" si="1"/>
        <v>-1.424000000000003E-2</v>
      </c>
      <c r="K20" s="34">
        <f t="shared" si="2"/>
        <v>-0.30756306121629884</v>
      </c>
      <c r="L20" s="34">
        <f t="shared" si="3"/>
        <v>-0.50804806121629886</v>
      </c>
      <c r="M20" s="22">
        <v>-0.44946806121629779</v>
      </c>
      <c r="N20" s="6" t="b">
        <f t="shared" si="4"/>
        <v>0</v>
      </c>
      <c r="O20" s="6" t="b">
        <f t="shared" si="5"/>
        <v>0</v>
      </c>
      <c r="P20" s="19">
        <v>0</v>
      </c>
      <c r="Q20" s="46" t="str">
        <f t="shared" si="6"/>
        <v>-</v>
      </c>
      <c r="R20" s="24">
        <v>30.96484172371029</v>
      </c>
      <c r="S20" s="24">
        <v>62.183930715151348</v>
      </c>
      <c r="T20" s="6" t="s">
        <v>1065</v>
      </c>
      <c r="U20" s="10" t="b">
        <v>0</v>
      </c>
    </row>
    <row r="21" spans="1:21" ht="15" customHeight="1" x14ac:dyDescent="0.3">
      <c r="A21" s="10" t="s">
        <v>293</v>
      </c>
      <c r="B21" s="10" t="s">
        <v>305</v>
      </c>
      <c r="C21" s="10" t="s">
        <v>33</v>
      </c>
      <c r="D21" s="16">
        <v>15000</v>
      </c>
      <c r="E21" s="23">
        <f t="shared" si="0"/>
        <v>151</v>
      </c>
      <c r="F21" s="45">
        <v>1.9654759380407999E-3</v>
      </c>
      <c r="G21" s="45">
        <v>3.1E-4</v>
      </c>
      <c r="H21" s="45">
        <v>1E-4</v>
      </c>
      <c r="I21" s="45">
        <v>6.9999999999999999E-4</v>
      </c>
      <c r="J21" s="34">
        <f t="shared" si="1"/>
        <v>-0.95318999999999998</v>
      </c>
      <c r="K21" s="34">
        <f t="shared" si="2"/>
        <v>-0.82820156667791966</v>
      </c>
      <c r="L21" s="34">
        <f t="shared" si="3"/>
        <v>-0.84405656667791962</v>
      </c>
      <c r="M21" s="22">
        <v>-0.83461906667791408</v>
      </c>
      <c r="N21" s="6" t="b">
        <f t="shared" si="4"/>
        <v>0</v>
      </c>
      <c r="O21" s="6" t="b">
        <f t="shared" si="5"/>
        <v>0</v>
      </c>
      <c r="P21" s="19">
        <v>0</v>
      </c>
      <c r="Q21" s="46" t="str">
        <f t="shared" si="6"/>
        <v>-</v>
      </c>
      <c r="R21" s="24">
        <v>27.188685134714099</v>
      </c>
      <c r="S21" s="24">
        <v>63.977808276796623</v>
      </c>
      <c r="T21" s="6" t="s">
        <v>1066</v>
      </c>
      <c r="U21" s="10" t="b">
        <v>0</v>
      </c>
    </row>
    <row r="22" spans="1:21" ht="15" customHeight="1" x14ac:dyDescent="0.3">
      <c r="A22" s="10" t="s">
        <v>293</v>
      </c>
      <c r="B22" s="10" t="s">
        <v>308</v>
      </c>
      <c r="C22" s="10" t="s">
        <v>33</v>
      </c>
      <c r="D22" s="16">
        <v>15000</v>
      </c>
      <c r="E22" s="23">
        <f t="shared" si="0"/>
        <v>151</v>
      </c>
      <c r="F22" s="45">
        <v>1.9654759380407999E-3</v>
      </c>
      <c r="G22" s="45">
        <v>3.5189999999999999E-2</v>
      </c>
      <c r="H22" s="45">
        <v>2.3769999999999999E-2</v>
      </c>
      <c r="I22" s="45">
        <v>4.1399999999999999E-2</v>
      </c>
      <c r="J22" s="34">
        <f t="shared" si="1"/>
        <v>4.3136900000000002</v>
      </c>
      <c r="K22" s="34">
        <f t="shared" si="2"/>
        <v>1.8052384333220801</v>
      </c>
      <c r="L22" s="34">
        <f t="shared" si="3"/>
        <v>0.9430284333220802</v>
      </c>
      <c r="M22" s="22">
        <v>1.5757184333220859</v>
      </c>
      <c r="N22" s="6" t="b">
        <f t="shared" si="4"/>
        <v>1</v>
      </c>
      <c r="O22" s="6" t="b">
        <f t="shared" si="5"/>
        <v>0</v>
      </c>
      <c r="P22" s="19">
        <v>0</v>
      </c>
      <c r="Q22" s="46" t="str">
        <f t="shared" si="6"/>
        <v>-</v>
      </c>
      <c r="R22" s="24">
        <v>30.129304639703559</v>
      </c>
      <c r="S22" s="24">
        <v>56.020318984172718</v>
      </c>
      <c r="T22" s="6" t="s">
        <v>1067</v>
      </c>
      <c r="U22" s="10" t="b">
        <v>1</v>
      </c>
    </row>
    <row r="23" spans="1:21" ht="15" customHeight="1" x14ac:dyDescent="0.3">
      <c r="A23" s="10" t="s">
        <v>293</v>
      </c>
      <c r="B23" s="10" t="s">
        <v>309</v>
      </c>
      <c r="C23" s="10" t="s">
        <v>33</v>
      </c>
      <c r="D23" s="16">
        <v>15000</v>
      </c>
      <c r="E23" s="23">
        <f t="shared" si="0"/>
        <v>151</v>
      </c>
      <c r="F23" s="45">
        <v>1.9654759380407999E-3</v>
      </c>
      <c r="G23" s="45">
        <v>4.4099999999999999E-3</v>
      </c>
      <c r="H23" s="45">
        <v>2.5999999999999999E-3</v>
      </c>
      <c r="I23" s="45">
        <v>5.3E-3</v>
      </c>
      <c r="J23" s="34">
        <f t="shared" si="1"/>
        <v>-0.33409</v>
      </c>
      <c r="K23" s="34">
        <f t="shared" si="2"/>
        <v>-0.51865156667791967</v>
      </c>
      <c r="L23" s="34">
        <f t="shared" si="3"/>
        <v>-0.65530656667791964</v>
      </c>
      <c r="M23" s="22">
        <v>-0.50996906667791408</v>
      </c>
      <c r="N23" s="6" t="b">
        <f t="shared" si="4"/>
        <v>0</v>
      </c>
      <c r="O23" s="6" t="b">
        <f t="shared" si="5"/>
        <v>0</v>
      </c>
      <c r="P23" s="19">
        <v>0</v>
      </c>
      <c r="Q23" s="46" t="str">
        <f t="shared" si="6"/>
        <v>-</v>
      </c>
      <c r="R23" s="24">
        <v>25.067770917719969</v>
      </c>
      <c r="S23" s="24">
        <v>49.04095266553972</v>
      </c>
      <c r="T23" s="6" t="s">
        <v>1068</v>
      </c>
      <c r="U23" s="10" t="b">
        <v>0</v>
      </c>
    </row>
    <row r="24" spans="1:21" ht="15" customHeight="1" x14ac:dyDescent="0.3">
      <c r="A24" s="10" t="s">
        <v>293</v>
      </c>
      <c r="B24" s="10" t="s">
        <v>310</v>
      </c>
      <c r="C24" s="10" t="s">
        <v>33</v>
      </c>
      <c r="D24" s="16">
        <v>15000</v>
      </c>
      <c r="E24" s="23">
        <f t="shared" si="0"/>
        <v>151</v>
      </c>
      <c r="F24" s="45">
        <v>1.9654759380407999E-3</v>
      </c>
      <c r="G24" s="45">
        <v>4.3400000000000001E-3</v>
      </c>
      <c r="H24" s="45">
        <v>2.8699999999999E-3</v>
      </c>
      <c r="I24" s="45">
        <v>5.0099999999999997E-3</v>
      </c>
      <c r="J24" s="34">
        <f t="shared" si="1"/>
        <v>-0.34465999999999997</v>
      </c>
      <c r="K24" s="34">
        <f t="shared" si="2"/>
        <v>-0.52393656667791966</v>
      </c>
      <c r="L24" s="34">
        <f t="shared" si="3"/>
        <v>-0.63492156667792721</v>
      </c>
      <c r="M24" s="22">
        <v>-0.58358156667791405</v>
      </c>
      <c r="N24" s="6" t="b">
        <f t="shared" si="4"/>
        <v>0</v>
      </c>
      <c r="O24" s="6" t="b">
        <f t="shared" si="5"/>
        <v>0</v>
      </c>
      <c r="P24" s="19">
        <v>0</v>
      </c>
      <c r="Q24" s="46" t="str">
        <f t="shared" si="6"/>
        <v>-</v>
      </c>
      <c r="R24" s="24">
        <v>29.39071332669409</v>
      </c>
      <c r="S24" s="24">
        <v>51.709210772462093</v>
      </c>
      <c r="T24" s="6" t="s">
        <v>1069</v>
      </c>
      <c r="U24" s="10" t="b">
        <v>0</v>
      </c>
    </row>
    <row r="25" spans="1:21" ht="15" customHeight="1" x14ac:dyDescent="0.3">
      <c r="A25" s="10" t="s">
        <v>293</v>
      </c>
      <c r="B25" s="10" t="s">
        <v>311</v>
      </c>
      <c r="C25" s="10" t="s">
        <v>33</v>
      </c>
      <c r="D25" s="16">
        <v>15000</v>
      </c>
      <c r="E25" s="23">
        <f t="shared" si="0"/>
        <v>151</v>
      </c>
      <c r="F25" s="45">
        <v>1.9654759380407999E-3</v>
      </c>
      <c r="G25" s="45">
        <v>2.0500000000000002E-3</v>
      </c>
      <c r="H25" s="45">
        <v>1.48E-3</v>
      </c>
      <c r="I25" s="45">
        <v>3.3300000000000001E-3</v>
      </c>
      <c r="J25" s="34">
        <f t="shared" si="1"/>
        <v>-0.69045000000000001</v>
      </c>
      <c r="K25" s="34">
        <f t="shared" si="2"/>
        <v>-0.69683156667791957</v>
      </c>
      <c r="L25" s="34">
        <f t="shared" si="3"/>
        <v>-0.73986656667791961</v>
      </c>
      <c r="M25" s="22">
        <v>-0.74590656667791411</v>
      </c>
      <c r="N25" s="6" t="b">
        <f t="shared" si="4"/>
        <v>0</v>
      </c>
      <c r="O25" s="6" t="b">
        <f t="shared" si="5"/>
        <v>0</v>
      </c>
      <c r="P25" s="19">
        <v>0</v>
      </c>
      <c r="Q25" s="46" t="str">
        <f t="shared" si="6"/>
        <v>-</v>
      </c>
      <c r="R25" s="24">
        <v>30.45814695969419</v>
      </c>
      <c r="S25" s="24">
        <v>61.916826616736977</v>
      </c>
      <c r="T25" s="6" t="s">
        <v>1070</v>
      </c>
      <c r="U25" s="10" t="b">
        <v>0</v>
      </c>
    </row>
    <row r="26" spans="1:21" ht="15" customHeight="1" x14ac:dyDescent="0.3">
      <c r="A26" s="10" t="s">
        <v>293</v>
      </c>
      <c r="B26" s="10" t="s">
        <v>312</v>
      </c>
      <c r="C26" s="10" t="s">
        <v>33</v>
      </c>
      <c r="D26" s="16">
        <v>15000</v>
      </c>
      <c r="E26" s="23">
        <f t="shared" si="0"/>
        <v>151</v>
      </c>
      <c r="F26" s="45">
        <v>1.9654759380407999E-3</v>
      </c>
      <c r="G26" s="45">
        <v>1.9820000000000001E-2</v>
      </c>
      <c r="H26" s="45">
        <v>1.312E-2</v>
      </c>
      <c r="I26" s="45">
        <v>2.7859999999999999E-2</v>
      </c>
      <c r="J26" s="34">
        <f t="shared" si="1"/>
        <v>1.99282</v>
      </c>
      <c r="K26" s="34">
        <f t="shared" si="2"/>
        <v>0.64480343332208045</v>
      </c>
      <c r="L26" s="34">
        <f t="shared" si="3"/>
        <v>0.13895343332208032</v>
      </c>
      <c r="M26" s="22">
        <v>0.44699343332208569</v>
      </c>
      <c r="N26" s="6" t="b">
        <f t="shared" si="4"/>
        <v>1</v>
      </c>
      <c r="O26" s="6" t="b">
        <f t="shared" si="5"/>
        <v>0</v>
      </c>
      <c r="P26" s="19">
        <v>0</v>
      </c>
      <c r="Q26" s="46" t="str">
        <f t="shared" si="6"/>
        <v>-</v>
      </c>
      <c r="R26" s="24">
        <v>33.756483513246437</v>
      </c>
      <c r="S26" s="24">
        <v>59.760608262132067</v>
      </c>
      <c r="T26" s="6" t="s">
        <v>1071</v>
      </c>
      <c r="U26" s="10" t="b">
        <v>0</v>
      </c>
    </row>
    <row r="27" spans="1:21" ht="15" customHeight="1" x14ac:dyDescent="0.3">
      <c r="A27" s="10" t="s">
        <v>293</v>
      </c>
      <c r="B27" s="10" t="s">
        <v>315</v>
      </c>
      <c r="C27" s="10" t="s">
        <v>33</v>
      </c>
      <c r="D27" s="16">
        <v>15000</v>
      </c>
      <c r="E27" s="23">
        <f t="shared" si="0"/>
        <v>151</v>
      </c>
      <c r="F27" s="45">
        <v>1.9654759380407999E-3</v>
      </c>
      <c r="G27" s="45">
        <v>6.8199999999999997E-3</v>
      </c>
      <c r="H27" s="45">
        <v>4.47E-3</v>
      </c>
      <c r="I27" s="45">
        <v>7.6E-3</v>
      </c>
      <c r="J27" s="34">
        <f t="shared" si="1"/>
        <v>2.9819999999999958E-2</v>
      </c>
      <c r="K27" s="34">
        <f t="shared" si="2"/>
        <v>-0.3366965666779197</v>
      </c>
      <c r="L27" s="34">
        <f t="shared" si="3"/>
        <v>-0.51412156667791953</v>
      </c>
      <c r="M27" s="22">
        <v>-0.48543156667791409</v>
      </c>
      <c r="N27" s="6" t="b">
        <f t="shared" si="4"/>
        <v>0</v>
      </c>
      <c r="O27" s="6" t="b">
        <f t="shared" si="5"/>
        <v>0</v>
      </c>
      <c r="P27" s="19">
        <v>0</v>
      </c>
      <c r="Q27" s="46" t="str">
        <f t="shared" si="6"/>
        <v>-</v>
      </c>
      <c r="R27" s="24">
        <v>27.3921401380079</v>
      </c>
      <c r="S27" s="24">
        <v>62.220067115805662</v>
      </c>
      <c r="T27" s="6" t="s">
        <v>1072</v>
      </c>
      <c r="U27" s="10" t="b">
        <v>0</v>
      </c>
    </row>
    <row r="28" spans="1:21" ht="15" customHeight="1" x14ac:dyDescent="0.3">
      <c r="A28" s="10" t="s">
        <v>293</v>
      </c>
      <c r="B28" s="10" t="s">
        <v>317</v>
      </c>
      <c r="C28" s="10" t="s">
        <v>33</v>
      </c>
      <c r="D28" s="16">
        <v>20000</v>
      </c>
      <c r="E28" s="23">
        <f t="shared" si="0"/>
        <v>201</v>
      </c>
      <c r="F28" s="45">
        <v>1.1617810785276E-3</v>
      </c>
      <c r="G28" s="45">
        <v>2E-3</v>
      </c>
      <c r="H28" s="45">
        <v>1.2999999999999999E-3</v>
      </c>
      <c r="I28" s="45">
        <v>2.3999999999999998E-3</v>
      </c>
      <c r="J28" s="34">
        <f t="shared" si="1"/>
        <v>-0.59799999999999998</v>
      </c>
      <c r="K28" s="34">
        <f t="shared" si="2"/>
        <v>-0.68224100160797618</v>
      </c>
      <c r="L28" s="34">
        <f t="shared" si="3"/>
        <v>-0.75259100160797621</v>
      </c>
      <c r="M28" s="22">
        <v>-0.75007850160797096</v>
      </c>
      <c r="N28" s="6" t="b">
        <f t="shared" si="4"/>
        <v>0</v>
      </c>
      <c r="O28" s="6" t="b">
        <f t="shared" si="5"/>
        <v>0</v>
      </c>
      <c r="P28" s="19">
        <v>0</v>
      </c>
      <c r="Q28" s="46" t="str">
        <f t="shared" si="6"/>
        <v>-</v>
      </c>
      <c r="R28" s="24">
        <v>28.08356899447551</v>
      </c>
      <c r="S28" s="24">
        <v>53.748822140376937</v>
      </c>
      <c r="T28" s="6" t="s">
        <v>1073</v>
      </c>
      <c r="U28" s="10" t="b">
        <v>0</v>
      </c>
    </row>
    <row r="29" spans="1:21" ht="15" customHeight="1" x14ac:dyDescent="0.3">
      <c r="A29" s="10" t="s">
        <v>293</v>
      </c>
      <c r="B29" s="10" t="s">
        <v>313</v>
      </c>
      <c r="C29" s="10" t="s">
        <v>33</v>
      </c>
      <c r="D29" s="16">
        <v>25000</v>
      </c>
      <c r="E29" s="23">
        <f t="shared" si="0"/>
        <v>251</v>
      </c>
      <c r="F29" s="45">
        <v>7.6295169864920001E-4</v>
      </c>
      <c r="G29" s="45">
        <v>1.009E-2</v>
      </c>
      <c r="H29" s="45">
        <v>7.3299999999999997E-3</v>
      </c>
      <c r="I29" s="45">
        <v>1.285E-2</v>
      </c>
      <c r="J29" s="34">
        <f t="shared" si="1"/>
        <v>1.5325899999999999</v>
      </c>
      <c r="K29" s="34">
        <f t="shared" si="2"/>
        <v>0.36204543818047474</v>
      </c>
      <c r="L29" s="34">
        <f t="shared" si="3"/>
        <v>1.5665438180474611E-2</v>
      </c>
      <c r="M29" s="22">
        <v>-5.0849561819520203E-2</v>
      </c>
      <c r="N29" s="6" t="b">
        <f t="shared" si="4"/>
        <v>0</v>
      </c>
      <c r="O29" s="6" t="b">
        <f t="shared" si="5"/>
        <v>0</v>
      </c>
      <c r="P29" s="19">
        <v>0</v>
      </c>
      <c r="Q29" s="46" t="str">
        <f t="shared" si="6"/>
        <v>-</v>
      </c>
      <c r="R29" s="24">
        <v>31.312974027363879</v>
      </c>
      <c r="S29" s="24">
        <v>65.910806406125303</v>
      </c>
      <c r="T29" s="6" t="s">
        <v>1074</v>
      </c>
      <c r="U29" s="10" t="b">
        <v>0</v>
      </c>
    </row>
    <row r="30" spans="1:21" ht="15" customHeight="1" x14ac:dyDescent="0.3">
      <c r="A30" s="10" t="s">
        <v>293</v>
      </c>
      <c r="B30" s="10" t="s">
        <v>314</v>
      </c>
      <c r="C30" s="10" t="s">
        <v>33</v>
      </c>
      <c r="D30" s="16">
        <v>25000</v>
      </c>
      <c r="E30" s="23">
        <f t="shared" si="0"/>
        <v>251</v>
      </c>
      <c r="F30" s="45">
        <v>7.6295169864920001E-4</v>
      </c>
      <c r="G30" s="45">
        <v>4.0400000000000002E-3</v>
      </c>
      <c r="H30" s="45">
        <v>2.97E-3</v>
      </c>
      <c r="I30" s="45">
        <v>5.62E-3</v>
      </c>
      <c r="J30" s="34">
        <f t="shared" si="1"/>
        <v>1.4040000000000052E-2</v>
      </c>
      <c r="K30" s="34">
        <f t="shared" si="2"/>
        <v>-0.3972295618195254</v>
      </c>
      <c r="L30" s="34">
        <f t="shared" si="3"/>
        <v>-0.53151456181952539</v>
      </c>
      <c r="M30" s="22">
        <v>-0.57481206181952027</v>
      </c>
      <c r="N30" s="6" t="b">
        <f t="shared" si="4"/>
        <v>0</v>
      </c>
      <c r="O30" s="6" t="b">
        <f t="shared" si="5"/>
        <v>0</v>
      </c>
      <c r="P30" s="19">
        <v>0</v>
      </c>
      <c r="Q30" s="46" t="str">
        <f t="shared" si="6"/>
        <v>-</v>
      </c>
      <c r="R30" s="24">
        <v>31.139884461683248</v>
      </c>
      <c r="S30" s="24">
        <v>63.044866779027537</v>
      </c>
      <c r="T30" s="6" t="s">
        <v>1075</v>
      </c>
      <c r="U30" s="10" t="b">
        <v>0</v>
      </c>
    </row>
    <row r="31" spans="1:21" ht="15" customHeight="1" x14ac:dyDescent="0.3">
      <c r="A31" s="10" t="s">
        <v>293</v>
      </c>
      <c r="B31" s="10" t="s">
        <v>316</v>
      </c>
      <c r="C31" s="10" t="s">
        <v>33</v>
      </c>
      <c r="D31" s="16">
        <v>25000</v>
      </c>
      <c r="E31" s="23">
        <f t="shared" si="0"/>
        <v>251</v>
      </c>
      <c r="F31" s="45">
        <v>7.6295169864920001E-4</v>
      </c>
      <c r="G31" s="45">
        <v>1.2700000000000001E-3</v>
      </c>
      <c r="H31" s="45">
        <v>6.9999999999999999E-4</v>
      </c>
      <c r="I31" s="45">
        <v>1.9E-3</v>
      </c>
      <c r="J31" s="34">
        <f t="shared" si="1"/>
        <v>-0.68123</v>
      </c>
      <c r="K31" s="34">
        <f t="shared" si="2"/>
        <v>-0.74486456181952543</v>
      </c>
      <c r="L31" s="34">
        <f t="shared" si="3"/>
        <v>-0.81639956181952544</v>
      </c>
      <c r="M31" s="22">
        <v>-0.80071206181952026</v>
      </c>
      <c r="N31" s="6" t="b">
        <f t="shared" si="4"/>
        <v>0</v>
      </c>
      <c r="O31" s="6" t="b">
        <f t="shared" si="5"/>
        <v>0</v>
      </c>
      <c r="P31" s="19">
        <v>0</v>
      </c>
      <c r="Q31" s="46" t="str">
        <f t="shared" si="6"/>
        <v>-</v>
      </c>
      <c r="R31" s="24">
        <v>28.207876848042911</v>
      </c>
      <c r="S31" s="24">
        <v>61.316203579703313</v>
      </c>
      <c r="T31" s="6" t="s">
        <v>1076</v>
      </c>
      <c r="U31" s="10" t="b">
        <v>0</v>
      </c>
    </row>
    <row r="32" spans="1:21" ht="15" customHeight="1" x14ac:dyDescent="0.3">
      <c r="A32" s="10" t="s">
        <v>293</v>
      </c>
      <c r="B32" s="10" t="s">
        <v>318</v>
      </c>
      <c r="C32" s="10" t="s">
        <v>33</v>
      </c>
      <c r="D32" s="16">
        <v>25000</v>
      </c>
      <c r="E32" s="23">
        <f t="shared" si="0"/>
        <v>251</v>
      </c>
      <c r="F32" s="45">
        <v>7.6295169864920001E-4</v>
      </c>
      <c r="G32" s="45">
        <v>2.1099999999999999E-3</v>
      </c>
      <c r="H32" s="45">
        <v>1.1999999999999999E-3</v>
      </c>
      <c r="I32" s="45">
        <v>2.5100000000000001E-3</v>
      </c>
      <c r="J32" s="34">
        <f t="shared" si="1"/>
        <v>-0.47038999999999997</v>
      </c>
      <c r="K32" s="34">
        <f t="shared" si="2"/>
        <v>-0.63944456181952547</v>
      </c>
      <c r="L32" s="34">
        <f t="shared" si="3"/>
        <v>-0.75364956181952536</v>
      </c>
      <c r="M32" s="22">
        <v>-0.75992456181952028</v>
      </c>
      <c r="N32" s="6" t="b">
        <f t="shared" si="4"/>
        <v>0</v>
      </c>
      <c r="O32" s="6" t="b">
        <f t="shared" si="5"/>
        <v>0</v>
      </c>
      <c r="P32" s="19">
        <v>0</v>
      </c>
      <c r="Q32" s="46" t="str">
        <f t="shared" si="6"/>
        <v>-</v>
      </c>
      <c r="R32" s="24">
        <v>29.607781335772419</v>
      </c>
      <c r="S32" s="24">
        <v>62.330618947869553</v>
      </c>
      <c r="T32" s="6" t="s">
        <v>1077</v>
      </c>
      <c r="U32" s="10" t="b">
        <v>0</v>
      </c>
    </row>
    <row r="33" spans="1:21" ht="15" customHeight="1" x14ac:dyDescent="0.3">
      <c r="A33" s="10" t="s">
        <v>293</v>
      </c>
      <c r="B33" s="10" t="s">
        <v>319</v>
      </c>
      <c r="C33" s="10" t="s">
        <v>33</v>
      </c>
      <c r="D33" s="16">
        <v>25000</v>
      </c>
      <c r="E33" s="23">
        <f t="shared" si="0"/>
        <v>251</v>
      </c>
      <c r="F33" s="45">
        <v>7.6295169864920001E-4</v>
      </c>
      <c r="G33" s="45">
        <v>4.0999999999999999E-4</v>
      </c>
      <c r="H33" s="45">
        <v>1E-4</v>
      </c>
      <c r="I33" s="45">
        <v>5.9999999999999995E-4</v>
      </c>
      <c r="J33" s="34">
        <f t="shared" si="1"/>
        <v>-0.89708999999999994</v>
      </c>
      <c r="K33" s="34">
        <f t="shared" si="2"/>
        <v>-0.8527945618195254</v>
      </c>
      <c r="L33" s="34">
        <f t="shared" si="3"/>
        <v>-0.89169956181952537</v>
      </c>
      <c r="M33" s="22">
        <v>-0.87287456181952028</v>
      </c>
      <c r="N33" s="6" t="b">
        <f t="shared" si="4"/>
        <v>0</v>
      </c>
      <c r="O33" s="6" t="b">
        <f t="shared" si="5"/>
        <v>0</v>
      </c>
      <c r="P33" s="19">
        <v>0</v>
      </c>
      <c r="Q33" s="46" t="str">
        <f t="shared" si="6"/>
        <v>-</v>
      </c>
      <c r="R33" s="24">
        <v>23.413499118640051</v>
      </c>
      <c r="S33" s="24">
        <v>57.955781950537279</v>
      </c>
      <c r="T33" s="6" t="s">
        <v>1078</v>
      </c>
      <c r="U33" s="10" t="b">
        <v>0</v>
      </c>
    </row>
    <row r="34" spans="1:21" ht="15" customHeight="1" x14ac:dyDescent="0.3">
      <c r="A34" s="10" t="s">
        <v>293</v>
      </c>
      <c r="B34" s="10" t="s">
        <v>320</v>
      </c>
      <c r="C34" s="10" t="s">
        <v>33</v>
      </c>
      <c r="D34" s="16">
        <v>25000</v>
      </c>
      <c r="E34" s="23">
        <f t="shared" si="0"/>
        <v>251</v>
      </c>
      <c r="F34" s="45">
        <v>7.6295169864920001E-4</v>
      </c>
      <c r="G34" s="45">
        <v>6.2700000000000004E-3</v>
      </c>
      <c r="H34" s="45">
        <v>3.5999999999999999E-3</v>
      </c>
      <c r="I34" s="45">
        <v>7.4200000000000004E-3</v>
      </c>
      <c r="J34" s="34">
        <f t="shared" si="1"/>
        <v>0.57377000000000011</v>
      </c>
      <c r="K34" s="34">
        <f t="shared" si="2"/>
        <v>-0.11736456181952537</v>
      </c>
      <c r="L34" s="34">
        <f t="shared" si="3"/>
        <v>-0.45244956181952545</v>
      </c>
      <c r="M34" s="22">
        <v>-0.26106206181952019</v>
      </c>
      <c r="N34" s="6" t="b">
        <f t="shared" si="4"/>
        <v>0</v>
      </c>
      <c r="O34" s="6" t="b">
        <f t="shared" si="5"/>
        <v>0</v>
      </c>
      <c r="P34" s="19">
        <v>0</v>
      </c>
      <c r="Q34" s="46" t="str">
        <f t="shared" si="6"/>
        <v>-</v>
      </c>
      <c r="R34" s="24">
        <v>29.530698006165</v>
      </c>
      <c r="S34" s="24">
        <v>63.93533410744616</v>
      </c>
      <c r="T34" s="6" t="s">
        <v>1079</v>
      </c>
      <c r="U34" s="10" t="b">
        <v>0</v>
      </c>
    </row>
    <row r="35" spans="1:21" ht="15" customHeight="1" x14ac:dyDescent="0.3">
      <c r="A35" s="10" t="s">
        <v>293</v>
      </c>
      <c r="B35" s="10" t="s">
        <v>321</v>
      </c>
      <c r="C35" s="10" t="s">
        <v>33</v>
      </c>
      <c r="D35" s="16">
        <v>25000</v>
      </c>
      <c r="E35" s="23">
        <f t="shared" si="0"/>
        <v>251</v>
      </c>
      <c r="F35" s="45">
        <v>7.6295169864920001E-4</v>
      </c>
      <c r="G35" s="45">
        <v>1.1E-4</v>
      </c>
      <c r="H35" s="45">
        <v>0</v>
      </c>
      <c r="I35" s="45">
        <v>2.1000000000000001E-4</v>
      </c>
      <c r="J35" s="34">
        <f t="shared" si="1"/>
        <v>-0.97238999999999998</v>
      </c>
      <c r="K35" s="34">
        <f t="shared" si="2"/>
        <v>-0.89044456181952536</v>
      </c>
      <c r="L35" s="34">
        <f t="shared" si="3"/>
        <v>-0.90424956181952543</v>
      </c>
      <c r="M35" s="22">
        <v>-0.89483706181952027</v>
      </c>
      <c r="N35" s="6" t="b">
        <f t="shared" si="4"/>
        <v>0</v>
      </c>
      <c r="O35" s="6" t="b">
        <f t="shared" si="5"/>
        <v>0</v>
      </c>
      <c r="P35" s="19">
        <v>0</v>
      </c>
      <c r="Q35" s="46" t="str">
        <f t="shared" si="6"/>
        <v>-</v>
      </c>
      <c r="R35" s="24">
        <v>25.125070958577041</v>
      </c>
      <c r="S35" s="24">
        <v>50.064654617833668</v>
      </c>
      <c r="T35" s="6" t="s">
        <v>1080</v>
      </c>
      <c r="U35" s="10" t="b">
        <v>0</v>
      </c>
    </row>
    <row r="36" spans="1:21" ht="15" customHeight="1" x14ac:dyDescent="0.3">
      <c r="A36" s="10" t="s">
        <v>322</v>
      </c>
      <c r="B36" s="10" t="s">
        <v>294</v>
      </c>
      <c r="C36" s="10" t="s">
        <v>33</v>
      </c>
      <c r="D36" s="16">
        <v>-360</v>
      </c>
      <c r="E36" s="23">
        <f t="shared" si="0"/>
        <v>1.2777777777777777</v>
      </c>
      <c r="F36" s="45">
        <v>0.74009713785539355</v>
      </c>
      <c r="G36" s="45">
        <v>0.44284000000000001</v>
      </c>
      <c r="H36" s="45">
        <v>0.41643000000000002</v>
      </c>
      <c r="I36" s="45">
        <v>0.45566000000000001</v>
      </c>
      <c r="J36" s="34">
        <f t="shared" si="1"/>
        <v>-0.43414888888888892</v>
      </c>
      <c r="K36" s="34">
        <f t="shared" si="2"/>
        <v>-0.24423460637016525</v>
      </c>
      <c r="L36" s="34">
        <f t="shared" si="3"/>
        <v>-0.26110766192572077</v>
      </c>
      <c r="M36" s="22">
        <v>-0.24922752303683191</v>
      </c>
      <c r="N36" s="6" t="b">
        <f t="shared" si="4"/>
        <v>0</v>
      </c>
      <c r="O36" s="6" t="b">
        <f t="shared" si="5"/>
        <v>0</v>
      </c>
      <c r="P36" s="19">
        <v>0</v>
      </c>
      <c r="Q36" s="46" t="str">
        <f t="shared" si="6"/>
        <v>-</v>
      </c>
      <c r="R36" s="24">
        <v>26.5079366799173</v>
      </c>
      <c r="S36" s="24">
        <v>60.359402405244488</v>
      </c>
      <c r="T36" s="6" t="s">
        <v>1053</v>
      </c>
      <c r="U36" s="10" t="b">
        <v>0</v>
      </c>
    </row>
    <row r="37" spans="1:21" ht="15" customHeight="1" x14ac:dyDescent="0.3">
      <c r="A37" s="10" t="s">
        <v>322</v>
      </c>
      <c r="B37" s="10" t="s">
        <v>323</v>
      </c>
      <c r="C37" s="10" t="s">
        <v>33</v>
      </c>
      <c r="D37" s="16">
        <v>1100</v>
      </c>
      <c r="E37" s="23">
        <f t="shared" si="0"/>
        <v>12</v>
      </c>
      <c r="F37" s="45">
        <v>7.5194828776366296E-2</v>
      </c>
      <c r="G37" s="45">
        <v>0.11451</v>
      </c>
      <c r="H37" s="45">
        <v>9.3890000000000001E-2</v>
      </c>
      <c r="I37" s="45">
        <v>0.15647</v>
      </c>
      <c r="J37" s="34">
        <f t="shared" si="1"/>
        <v>0.37412000000000001</v>
      </c>
      <c r="K37" s="34">
        <f t="shared" si="2"/>
        <v>0.13822897265819778</v>
      </c>
      <c r="L37" s="34">
        <f t="shared" si="3"/>
        <v>1.4508972658197727E-2</v>
      </c>
      <c r="M37" s="22">
        <v>-0.16978102734180189</v>
      </c>
      <c r="N37" s="6" t="b">
        <f t="shared" si="4"/>
        <v>0</v>
      </c>
      <c r="O37" s="6" t="b">
        <f t="shared" si="5"/>
        <v>0</v>
      </c>
      <c r="P37" s="19">
        <v>0</v>
      </c>
      <c r="Q37" s="46" t="str">
        <f t="shared" si="6"/>
        <v>-</v>
      </c>
      <c r="R37" s="24">
        <v>27.045434371270229</v>
      </c>
      <c r="S37" s="24">
        <v>60.188808783759278</v>
      </c>
      <c r="T37" s="6" t="s">
        <v>1081</v>
      </c>
      <c r="U37" s="10" t="b">
        <v>0</v>
      </c>
    </row>
    <row r="38" spans="1:21" ht="15" customHeight="1" x14ac:dyDescent="0.3">
      <c r="A38" s="10" t="s">
        <v>322</v>
      </c>
      <c r="B38" s="10" t="s">
        <v>324</v>
      </c>
      <c r="C38" s="10" t="s">
        <v>33</v>
      </c>
      <c r="D38" s="16">
        <v>2500</v>
      </c>
      <c r="E38" s="23">
        <f t="shared" si="0"/>
        <v>26</v>
      </c>
      <c r="F38" s="45">
        <v>3.2649341644846397E-2</v>
      </c>
      <c r="G38" s="45">
        <v>2.7210000000000002E-2</v>
      </c>
      <c r="H38" s="45">
        <v>1.397E-2</v>
      </c>
      <c r="I38" s="45">
        <v>3.6909999999999998E-2</v>
      </c>
      <c r="J38" s="34">
        <f t="shared" si="1"/>
        <v>-0.29253999999999991</v>
      </c>
      <c r="K38" s="34">
        <f t="shared" si="2"/>
        <v>-0.22182855861699691</v>
      </c>
      <c r="L38" s="34">
        <f t="shared" si="3"/>
        <v>-0.39394855861699685</v>
      </c>
      <c r="M38" s="22">
        <v>-0.48650855861699621</v>
      </c>
      <c r="N38" s="6" t="b">
        <f t="shared" si="4"/>
        <v>0</v>
      </c>
      <c r="O38" s="6" t="b">
        <f t="shared" si="5"/>
        <v>0</v>
      </c>
      <c r="P38" s="19">
        <v>0</v>
      </c>
      <c r="Q38" s="46" t="str">
        <f t="shared" si="6"/>
        <v>-</v>
      </c>
      <c r="R38" s="24">
        <v>22.889612380768021</v>
      </c>
      <c r="S38" s="24">
        <v>63.795160889233209</v>
      </c>
      <c r="T38" s="6" t="s">
        <v>1082</v>
      </c>
      <c r="U38" s="10" t="b">
        <v>0</v>
      </c>
    </row>
    <row r="39" spans="1:21" ht="15" customHeight="1" x14ac:dyDescent="0.3">
      <c r="A39" s="10" t="s">
        <v>322</v>
      </c>
      <c r="B39" s="10" t="s">
        <v>325</v>
      </c>
      <c r="C39" s="10" t="s">
        <v>33</v>
      </c>
      <c r="D39" s="16">
        <v>3000</v>
      </c>
      <c r="E39" s="23">
        <f t="shared" si="0"/>
        <v>31</v>
      </c>
      <c r="F39" s="45">
        <v>2.6794971194231802E-2</v>
      </c>
      <c r="G39" s="45">
        <v>1.1939999999999999E-2</v>
      </c>
      <c r="H39" s="45">
        <v>8.9699999999998999E-3</v>
      </c>
      <c r="I39" s="45">
        <v>1.806E-2</v>
      </c>
      <c r="J39" s="34">
        <f t="shared" si="1"/>
        <v>-0.62986000000000009</v>
      </c>
      <c r="K39" s="34">
        <f t="shared" si="2"/>
        <v>-0.39960794648940701</v>
      </c>
      <c r="L39" s="34">
        <f t="shared" si="3"/>
        <v>-0.44564294648940861</v>
      </c>
      <c r="M39" s="22">
        <v>-0.53972794648940592</v>
      </c>
      <c r="N39" s="6" t="b">
        <f t="shared" si="4"/>
        <v>0</v>
      </c>
      <c r="O39" s="6" t="b">
        <f t="shared" si="5"/>
        <v>0</v>
      </c>
      <c r="P39" s="19">
        <v>0</v>
      </c>
      <c r="Q39" s="46" t="str">
        <f t="shared" si="6"/>
        <v>-</v>
      </c>
      <c r="R39" s="24">
        <v>30.75907474159272</v>
      </c>
      <c r="S39" s="24">
        <v>62.588887936973073</v>
      </c>
      <c r="T39" s="6" t="s">
        <v>1083</v>
      </c>
      <c r="U39" s="10" t="b">
        <v>0</v>
      </c>
    </row>
    <row r="40" spans="1:21" ht="15" customHeight="1" x14ac:dyDescent="0.3">
      <c r="A40" s="10" t="s">
        <v>322</v>
      </c>
      <c r="B40" s="10" t="s">
        <v>326</v>
      </c>
      <c r="C40" s="10" t="s">
        <v>33</v>
      </c>
      <c r="D40" s="16">
        <v>4000</v>
      </c>
      <c r="E40" s="23">
        <f t="shared" si="0"/>
        <v>41</v>
      </c>
      <c r="F40" s="45">
        <v>1.94022494539169E-2</v>
      </c>
      <c r="G40" s="45">
        <v>1.1650000000000001E-2</v>
      </c>
      <c r="H40" s="45">
        <v>8.9999999999999993E-3</v>
      </c>
      <c r="I40" s="45">
        <v>1.882E-2</v>
      </c>
      <c r="J40" s="34">
        <f t="shared" si="1"/>
        <v>-0.52234999999999998</v>
      </c>
      <c r="K40" s="34">
        <f t="shared" si="2"/>
        <v>-0.36342888619470348</v>
      </c>
      <c r="L40" s="34">
        <f t="shared" si="3"/>
        <v>-0.41775388619470355</v>
      </c>
      <c r="M40" s="22">
        <v>-0.54382888619470326</v>
      </c>
      <c r="N40" s="6" t="b">
        <f t="shared" si="4"/>
        <v>0</v>
      </c>
      <c r="O40" s="6" t="b">
        <f t="shared" si="5"/>
        <v>0</v>
      </c>
      <c r="P40" s="19">
        <v>0</v>
      </c>
      <c r="Q40" s="46" t="str">
        <f t="shared" si="6"/>
        <v>-</v>
      </c>
      <c r="R40" s="24">
        <v>28.435078781563249</v>
      </c>
      <c r="S40" s="24">
        <v>62.7001754758857</v>
      </c>
      <c r="T40" s="6" t="s">
        <v>1084</v>
      </c>
      <c r="U40" s="10" t="b">
        <v>0</v>
      </c>
    </row>
    <row r="41" spans="1:21" ht="15" customHeight="1" x14ac:dyDescent="0.3">
      <c r="A41" s="10" t="s">
        <v>322</v>
      </c>
      <c r="B41" s="10" t="s">
        <v>327</v>
      </c>
      <c r="C41" s="10" t="s">
        <v>33</v>
      </c>
      <c r="D41" s="16">
        <v>4000</v>
      </c>
      <c r="E41" s="23">
        <f t="shared" si="0"/>
        <v>41</v>
      </c>
      <c r="F41" s="45">
        <v>1.94022494539169E-2</v>
      </c>
      <c r="G41" s="45">
        <v>1.0300000000000001E-3</v>
      </c>
      <c r="H41" s="45">
        <v>5.9000000000000003E-4</v>
      </c>
      <c r="I41" s="45">
        <v>1.41E-3</v>
      </c>
      <c r="J41" s="34">
        <f t="shared" si="1"/>
        <v>-0.95777000000000001</v>
      </c>
      <c r="K41" s="34">
        <f t="shared" si="2"/>
        <v>-0.58113888619470355</v>
      </c>
      <c r="L41" s="34">
        <f t="shared" si="3"/>
        <v>-0.59015888619470358</v>
      </c>
      <c r="M41" s="22">
        <v>-0.59917888619470316</v>
      </c>
      <c r="N41" s="6" t="b">
        <f t="shared" si="4"/>
        <v>0</v>
      </c>
      <c r="O41" s="6" t="b">
        <f t="shared" si="5"/>
        <v>0</v>
      </c>
      <c r="P41" s="19">
        <v>0</v>
      </c>
      <c r="Q41" s="46" t="str">
        <f t="shared" si="6"/>
        <v>-</v>
      </c>
      <c r="R41" s="24">
        <v>27.02368363400878</v>
      </c>
      <c r="S41" s="24">
        <v>64.459123025902727</v>
      </c>
      <c r="T41" s="6" t="s">
        <v>1085</v>
      </c>
      <c r="U41" s="10" t="b">
        <v>0</v>
      </c>
    </row>
    <row r="42" spans="1:21" ht="15" customHeight="1" x14ac:dyDescent="0.3">
      <c r="A42" s="10" t="s">
        <v>322</v>
      </c>
      <c r="B42" s="10" t="s">
        <v>313</v>
      </c>
      <c r="C42" s="10" t="s">
        <v>33</v>
      </c>
      <c r="D42" s="16">
        <v>5000</v>
      </c>
      <c r="E42" s="23">
        <f t="shared" si="0"/>
        <v>51</v>
      </c>
      <c r="F42" s="45">
        <v>1.49426965601397E-2</v>
      </c>
      <c r="G42" s="45">
        <v>3.3369999999999997E-2</v>
      </c>
      <c r="H42" s="45">
        <v>2.7549999999999901E-2</v>
      </c>
      <c r="I42" s="45">
        <v>4.104E-2</v>
      </c>
      <c r="J42" s="34">
        <f t="shared" si="1"/>
        <v>0.70186999999999977</v>
      </c>
      <c r="K42" s="34">
        <f t="shared" si="2"/>
        <v>0.23197376228356248</v>
      </c>
      <c r="L42" s="34">
        <f t="shared" si="3"/>
        <v>8.3563762283559662E-2</v>
      </c>
      <c r="M42" s="22">
        <v>-0.42962373771643642</v>
      </c>
      <c r="N42" s="6" t="b">
        <f t="shared" si="4"/>
        <v>0</v>
      </c>
      <c r="O42" s="6" t="b">
        <f t="shared" si="5"/>
        <v>0</v>
      </c>
      <c r="P42" s="19">
        <v>0</v>
      </c>
      <c r="Q42" s="46" t="str">
        <f t="shared" si="6"/>
        <v>-</v>
      </c>
      <c r="R42" s="24">
        <v>31.312974027363879</v>
      </c>
      <c r="S42" s="24">
        <v>65.910806406125303</v>
      </c>
      <c r="T42" s="6" t="s">
        <v>1074</v>
      </c>
      <c r="U42" s="10" t="b">
        <v>0</v>
      </c>
    </row>
    <row r="43" spans="1:21" ht="15" customHeight="1" x14ac:dyDescent="0.3">
      <c r="A43" s="10" t="s">
        <v>322</v>
      </c>
      <c r="B43" s="10" t="s">
        <v>330</v>
      </c>
      <c r="C43" s="10" t="s">
        <v>33</v>
      </c>
      <c r="D43" s="16">
        <v>6500</v>
      </c>
      <c r="E43" s="23">
        <f t="shared" si="0"/>
        <v>66</v>
      </c>
      <c r="F43" s="45">
        <v>1.0835084085781301E-2</v>
      </c>
      <c r="G43" s="45">
        <v>2.31E-3</v>
      </c>
      <c r="H43" s="45">
        <v>1.4E-3</v>
      </c>
      <c r="I43" s="45">
        <v>3.2100000000000002E-3</v>
      </c>
      <c r="J43" s="34">
        <f t="shared" si="1"/>
        <v>-0.84753999999999996</v>
      </c>
      <c r="K43" s="34">
        <f t="shared" si="2"/>
        <v>-0.5662122251692171</v>
      </c>
      <c r="L43" s="34">
        <f t="shared" si="3"/>
        <v>-0.5962422251692171</v>
      </c>
      <c r="M43" s="22">
        <v>-0.62924222516921469</v>
      </c>
      <c r="N43" s="6" t="b">
        <f t="shared" si="4"/>
        <v>0</v>
      </c>
      <c r="O43" s="6" t="b">
        <f t="shared" si="5"/>
        <v>0</v>
      </c>
      <c r="P43" s="19">
        <v>0</v>
      </c>
      <c r="Q43" s="46" t="str">
        <f t="shared" si="6"/>
        <v>-</v>
      </c>
      <c r="R43" s="24">
        <v>27.269230784551649</v>
      </c>
      <c r="S43" s="24">
        <v>62.577616980088607</v>
      </c>
      <c r="T43" s="6" t="s">
        <v>1086</v>
      </c>
      <c r="U43" s="10" t="b">
        <v>0</v>
      </c>
    </row>
    <row r="44" spans="1:21" ht="15" customHeight="1" x14ac:dyDescent="0.3">
      <c r="A44" s="10" t="s">
        <v>322</v>
      </c>
      <c r="B44" s="10" t="s">
        <v>298</v>
      </c>
      <c r="C44" s="10" t="s">
        <v>33</v>
      </c>
      <c r="D44" s="16">
        <v>7500</v>
      </c>
      <c r="E44" s="23">
        <f t="shared" si="0"/>
        <v>76</v>
      </c>
      <c r="F44" s="45">
        <v>9.0241886679109998E-3</v>
      </c>
      <c r="G44" s="45">
        <v>1.72E-3</v>
      </c>
      <c r="H44" s="45">
        <v>9.8999999999999999E-4</v>
      </c>
      <c r="I44" s="45">
        <v>2.7100000000000002E-3</v>
      </c>
      <c r="J44" s="34">
        <f t="shared" si="1"/>
        <v>-0.86928000000000005</v>
      </c>
      <c r="K44" s="34">
        <f t="shared" si="2"/>
        <v>-0.59172083061938197</v>
      </c>
      <c r="L44" s="34">
        <f t="shared" si="3"/>
        <v>-0.61946083061938206</v>
      </c>
      <c r="M44" s="22">
        <v>-0.64378083061938107</v>
      </c>
      <c r="N44" s="6" t="b">
        <f t="shared" si="4"/>
        <v>0</v>
      </c>
      <c r="O44" s="6" t="b">
        <f t="shared" si="5"/>
        <v>0</v>
      </c>
      <c r="P44" s="19">
        <v>0</v>
      </c>
      <c r="Q44" s="46" t="str">
        <f t="shared" si="6"/>
        <v>-</v>
      </c>
      <c r="R44" s="24">
        <v>26.177646553511341</v>
      </c>
      <c r="S44" s="24">
        <v>53.430498589117953</v>
      </c>
      <c r="T44" s="6" t="s">
        <v>1057</v>
      </c>
      <c r="U44" s="10" t="b">
        <v>0</v>
      </c>
    </row>
    <row r="45" spans="1:21" ht="15" customHeight="1" x14ac:dyDescent="0.3">
      <c r="A45" s="10" t="s">
        <v>322</v>
      </c>
      <c r="B45" s="10" t="s">
        <v>328</v>
      </c>
      <c r="C45" s="10" t="s">
        <v>33</v>
      </c>
      <c r="D45" s="16">
        <v>7500</v>
      </c>
      <c r="E45" s="23">
        <f t="shared" si="0"/>
        <v>76</v>
      </c>
      <c r="F45" s="45">
        <v>9.0241886679109998E-3</v>
      </c>
      <c r="G45" s="45">
        <v>1.7999999999999999E-2</v>
      </c>
      <c r="H45" s="45">
        <v>1.141E-2</v>
      </c>
      <c r="I45" s="45">
        <v>2.1309999999999999E-2</v>
      </c>
      <c r="J45" s="34">
        <f t="shared" si="1"/>
        <v>0.36799999999999988</v>
      </c>
      <c r="K45" s="34">
        <f t="shared" si="2"/>
        <v>2.6919169380617891E-2</v>
      </c>
      <c r="L45" s="34">
        <f t="shared" si="3"/>
        <v>-0.22350083061938197</v>
      </c>
      <c r="M45" s="22">
        <v>-0.50983083061938106</v>
      </c>
      <c r="N45" s="6" t="b">
        <f t="shared" si="4"/>
        <v>0</v>
      </c>
      <c r="O45" s="6" t="b">
        <f t="shared" si="5"/>
        <v>0</v>
      </c>
      <c r="P45" s="19">
        <v>0</v>
      </c>
      <c r="Q45" s="46" t="str">
        <f t="shared" si="6"/>
        <v>-</v>
      </c>
      <c r="R45" s="24">
        <v>30.977014210540709</v>
      </c>
      <c r="S45" s="24">
        <v>66.236592254158239</v>
      </c>
      <c r="T45" s="6" t="s">
        <v>1087</v>
      </c>
      <c r="U45" s="10" t="b">
        <v>0</v>
      </c>
    </row>
    <row r="46" spans="1:21" ht="15" customHeight="1" x14ac:dyDescent="0.3">
      <c r="A46" s="10" t="s">
        <v>322</v>
      </c>
      <c r="B46" s="10" t="s">
        <v>329</v>
      </c>
      <c r="C46" s="10" t="s">
        <v>33</v>
      </c>
      <c r="D46" s="16">
        <v>7500</v>
      </c>
      <c r="E46" s="23">
        <f t="shared" si="0"/>
        <v>76</v>
      </c>
      <c r="F46" s="45">
        <v>9.0241886679109998E-3</v>
      </c>
      <c r="G46" s="45">
        <v>1.0499999999999999E-3</v>
      </c>
      <c r="H46" s="45">
        <v>6.8999999999999997E-4</v>
      </c>
      <c r="I46" s="45">
        <v>1.6100000000000001E-3</v>
      </c>
      <c r="J46" s="34">
        <f t="shared" si="1"/>
        <v>-0.92020000000000002</v>
      </c>
      <c r="K46" s="34">
        <f t="shared" si="2"/>
        <v>-0.617180830619382</v>
      </c>
      <c r="L46" s="34">
        <f t="shared" si="3"/>
        <v>-0.63086083061938203</v>
      </c>
      <c r="M46" s="22">
        <v>-0.649480830619381</v>
      </c>
      <c r="N46" s="6" t="b">
        <f t="shared" si="4"/>
        <v>0</v>
      </c>
      <c r="O46" s="6" t="b">
        <f t="shared" si="5"/>
        <v>0</v>
      </c>
      <c r="P46" s="19">
        <v>0</v>
      </c>
      <c r="Q46" s="46" t="str">
        <f t="shared" si="6"/>
        <v>-</v>
      </c>
      <c r="R46" s="24">
        <v>24.78342251888359</v>
      </c>
      <c r="S46" s="24">
        <v>58.337129483783357</v>
      </c>
      <c r="T46" s="6" t="s">
        <v>1088</v>
      </c>
      <c r="U46" s="10" t="b">
        <v>0</v>
      </c>
    </row>
    <row r="47" spans="1:21" ht="15" customHeight="1" x14ac:dyDescent="0.3">
      <c r="A47" s="10" t="s">
        <v>322</v>
      </c>
      <c r="B47" s="10" t="s">
        <v>332</v>
      </c>
      <c r="C47" s="10" t="s">
        <v>33</v>
      </c>
      <c r="D47" s="16">
        <v>7500</v>
      </c>
      <c r="E47" s="23">
        <f t="shared" si="0"/>
        <v>76</v>
      </c>
      <c r="F47" s="45">
        <v>9.0241886679109998E-3</v>
      </c>
      <c r="G47" s="45">
        <v>4.9199999999999999E-3</v>
      </c>
      <c r="H47" s="45">
        <v>1.8699999999999999E-3</v>
      </c>
      <c r="I47" s="45">
        <v>8.9300000000000004E-3</v>
      </c>
      <c r="J47" s="34">
        <f t="shared" si="1"/>
        <v>-0.62607999999999997</v>
      </c>
      <c r="K47" s="34">
        <f t="shared" si="2"/>
        <v>-0.47012083061938204</v>
      </c>
      <c r="L47" s="34">
        <f t="shared" si="3"/>
        <v>-0.58602083061938193</v>
      </c>
      <c r="M47" s="22">
        <v>-0.62288083061938104</v>
      </c>
      <c r="N47" s="6" t="b">
        <f t="shared" si="4"/>
        <v>0</v>
      </c>
      <c r="O47" s="6" t="b">
        <f t="shared" si="5"/>
        <v>0</v>
      </c>
      <c r="P47" s="19">
        <v>0</v>
      </c>
      <c r="Q47" s="46" t="str">
        <f t="shared" si="6"/>
        <v>-</v>
      </c>
      <c r="R47" s="24">
        <v>25.9299236312572</v>
      </c>
      <c r="S47" s="24">
        <v>66.135727209917519</v>
      </c>
      <c r="T47" s="6" t="s">
        <v>1089</v>
      </c>
      <c r="U47" s="10" t="b">
        <v>0</v>
      </c>
    </row>
    <row r="48" spans="1:21" ht="15" customHeight="1" x14ac:dyDescent="0.3">
      <c r="A48" s="10" t="s">
        <v>322</v>
      </c>
      <c r="B48" s="10" t="s">
        <v>333</v>
      </c>
      <c r="C48" s="10" t="s">
        <v>33</v>
      </c>
      <c r="D48" s="16">
        <v>8000</v>
      </c>
      <c r="E48" s="23">
        <f t="shared" si="0"/>
        <v>81</v>
      </c>
      <c r="F48" s="45">
        <v>8.2936706499222995E-3</v>
      </c>
      <c r="G48" s="45">
        <v>5.2700000000000004E-3</v>
      </c>
      <c r="H48" s="45">
        <v>3.8799999999999E-3</v>
      </c>
      <c r="I48" s="45">
        <v>8.3099999999999997E-3</v>
      </c>
      <c r="J48" s="34">
        <f t="shared" si="1"/>
        <v>-0.57312999999999992</v>
      </c>
      <c r="K48" s="34">
        <f t="shared" si="2"/>
        <v>-0.4506713386781469</v>
      </c>
      <c r="L48" s="34">
        <f t="shared" si="3"/>
        <v>-0.50696633867815089</v>
      </c>
      <c r="M48" s="22">
        <v>-0.55374383867814481</v>
      </c>
      <c r="N48" s="6" t="b">
        <f t="shared" si="4"/>
        <v>0</v>
      </c>
      <c r="O48" s="6" t="b">
        <f t="shared" si="5"/>
        <v>0</v>
      </c>
      <c r="P48" s="19">
        <v>0</v>
      </c>
      <c r="Q48" s="46" t="str">
        <f t="shared" si="6"/>
        <v>-</v>
      </c>
      <c r="R48" s="24">
        <v>25.136939395056341</v>
      </c>
      <c r="S48" s="24">
        <v>46.404778953743417</v>
      </c>
      <c r="T48" s="6" t="s">
        <v>1090</v>
      </c>
      <c r="U48" s="10" t="b">
        <v>0</v>
      </c>
    </row>
    <row r="49" spans="1:21" ht="15" customHeight="1" x14ac:dyDescent="0.3">
      <c r="A49" s="10" t="s">
        <v>322</v>
      </c>
      <c r="B49" s="10" t="s">
        <v>331</v>
      </c>
      <c r="C49" s="10" t="s">
        <v>33</v>
      </c>
      <c r="D49" s="16">
        <v>10000</v>
      </c>
      <c r="E49" s="23">
        <f t="shared" si="0"/>
        <v>101</v>
      </c>
      <c r="F49" s="45">
        <v>6.1318512545710004E-3</v>
      </c>
      <c r="G49" s="45">
        <v>4.2100000000000002E-3</v>
      </c>
      <c r="H49" s="45">
        <v>2.8600000000000001E-3</v>
      </c>
      <c r="I49" s="45">
        <v>5.9199999999999999E-3</v>
      </c>
      <c r="J49" s="34">
        <f t="shared" si="1"/>
        <v>-0.57478999999999991</v>
      </c>
      <c r="K49" s="34">
        <f t="shared" si="2"/>
        <v>-0.47773651164416442</v>
      </c>
      <c r="L49" s="34">
        <f t="shared" si="3"/>
        <v>-0.54591151164416452</v>
      </c>
      <c r="M49" s="22">
        <v>-0.63605401164415953</v>
      </c>
      <c r="N49" s="6" t="b">
        <f t="shared" si="4"/>
        <v>0</v>
      </c>
      <c r="O49" s="6" t="b">
        <f t="shared" si="5"/>
        <v>0</v>
      </c>
      <c r="P49" s="19">
        <v>0</v>
      </c>
      <c r="Q49" s="46" t="str">
        <f t="shared" si="6"/>
        <v>-</v>
      </c>
      <c r="R49" s="24">
        <v>29.802923386011571</v>
      </c>
      <c r="S49" s="24">
        <v>65.573542632355441</v>
      </c>
      <c r="T49" s="6" t="s">
        <v>1091</v>
      </c>
      <c r="U49" s="10" t="b">
        <v>0</v>
      </c>
    </row>
    <row r="50" spans="1:21" ht="15" customHeight="1" x14ac:dyDescent="0.3">
      <c r="A50" s="10" t="s">
        <v>322</v>
      </c>
      <c r="B50" s="10" t="s">
        <v>334</v>
      </c>
      <c r="C50" s="10" t="s">
        <v>33</v>
      </c>
      <c r="D50" s="16">
        <v>15000</v>
      </c>
      <c r="E50" s="23">
        <f t="shared" si="0"/>
        <v>151</v>
      </c>
      <c r="F50" s="45">
        <v>3.3863881330897E-3</v>
      </c>
      <c r="G50" s="45">
        <v>7.2000000000000005E-4</v>
      </c>
      <c r="H50" s="45">
        <v>4.0000000000000002E-4</v>
      </c>
      <c r="I50" s="45">
        <v>1.5100000000000001E-3</v>
      </c>
      <c r="J50" s="34">
        <f t="shared" si="1"/>
        <v>-0.89127999999999996</v>
      </c>
      <c r="K50" s="34">
        <f t="shared" si="2"/>
        <v>-0.68996769595172769</v>
      </c>
      <c r="L50" s="34">
        <f t="shared" si="3"/>
        <v>-0.71412769595172765</v>
      </c>
      <c r="M50" s="22">
        <v>-0.73489019595172422</v>
      </c>
      <c r="N50" s="6" t="b">
        <f t="shared" si="4"/>
        <v>0</v>
      </c>
      <c r="O50" s="6" t="b">
        <f t="shared" si="5"/>
        <v>0</v>
      </c>
      <c r="P50" s="19">
        <v>0</v>
      </c>
      <c r="Q50" s="46" t="str">
        <f t="shared" si="6"/>
        <v>-</v>
      </c>
      <c r="R50" s="24">
        <v>28.357974224180939</v>
      </c>
      <c r="S50" s="24">
        <v>58.361504383355538</v>
      </c>
      <c r="T50" s="6" t="s">
        <v>1092</v>
      </c>
      <c r="U50" s="10" t="b">
        <v>0</v>
      </c>
    </row>
    <row r="51" spans="1:21" ht="15" customHeight="1" x14ac:dyDescent="0.3">
      <c r="A51" s="10" t="s">
        <v>322</v>
      </c>
      <c r="B51" s="10" t="s">
        <v>335</v>
      </c>
      <c r="C51" s="10" t="s">
        <v>33</v>
      </c>
      <c r="D51" s="16">
        <v>15000</v>
      </c>
      <c r="E51" s="23">
        <f t="shared" si="0"/>
        <v>151</v>
      </c>
      <c r="F51" s="45">
        <v>3.3863881330897E-3</v>
      </c>
      <c r="G51" s="45">
        <v>7.1999999999999998E-3</v>
      </c>
      <c r="H51" s="45">
        <v>5.5599999999999998E-3</v>
      </c>
      <c r="I51" s="45">
        <v>1.4E-2</v>
      </c>
      <c r="J51" s="34">
        <f t="shared" si="1"/>
        <v>8.7199999999999944E-2</v>
      </c>
      <c r="K51" s="34">
        <f t="shared" si="2"/>
        <v>-0.20072769595172768</v>
      </c>
      <c r="L51" s="34">
        <f t="shared" si="3"/>
        <v>-0.32454769595172761</v>
      </c>
      <c r="M51" s="22">
        <v>-0.63862769595172419</v>
      </c>
      <c r="N51" s="6" t="b">
        <f t="shared" si="4"/>
        <v>0</v>
      </c>
      <c r="O51" s="6" t="b">
        <f t="shared" si="5"/>
        <v>0</v>
      </c>
      <c r="P51" s="19">
        <v>0</v>
      </c>
      <c r="Q51" s="46" t="str">
        <f t="shared" si="6"/>
        <v>-</v>
      </c>
      <c r="R51" s="24">
        <v>24.070942053433608</v>
      </c>
      <c r="S51" s="24">
        <v>65.586956438236413</v>
      </c>
      <c r="T51" s="6" t="s">
        <v>1093</v>
      </c>
      <c r="U51" s="10" t="b">
        <v>0</v>
      </c>
    </row>
    <row r="52" spans="1:21" ht="15" customHeight="1" x14ac:dyDescent="0.3">
      <c r="A52" s="10" t="s">
        <v>322</v>
      </c>
      <c r="B52" s="10" t="s">
        <v>336</v>
      </c>
      <c r="C52" s="10" t="s">
        <v>33</v>
      </c>
      <c r="D52" s="16">
        <v>15000</v>
      </c>
      <c r="E52" s="23">
        <f t="shared" si="0"/>
        <v>151</v>
      </c>
      <c r="F52" s="45">
        <v>3.3863881330897E-3</v>
      </c>
      <c r="G52" s="45">
        <v>3.1179999999999999E-2</v>
      </c>
      <c r="H52" s="45">
        <v>1.511E-2</v>
      </c>
      <c r="I52" s="45">
        <v>3.9980000000000002E-2</v>
      </c>
      <c r="J52" s="34">
        <f t="shared" si="1"/>
        <v>3.7081799999999996</v>
      </c>
      <c r="K52" s="34">
        <f t="shared" si="2"/>
        <v>1.6097623040482727</v>
      </c>
      <c r="L52" s="34">
        <f t="shared" si="3"/>
        <v>0.39647730404827253</v>
      </c>
      <c r="M52" s="22">
        <v>-0.1988401959517242</v>
      </c>
      <c r="N52" s="6" t="b">
        <f t="shared" si="4"/>
        <v>0</v>
      </c>
      <c r="O52" s="6" t="b">
        <f t="shared" si="5"/>
        <v>0</v>
      </c>
      <c r="P52" s="19">
        <v>0</v>
      </c>
      <c r="Q52" s="46" t="str">
        <f t="shared" si="6"/>
        <v>-</v>
      </c>
      <c r="R52" s="24">
        <v>24.371298175560138</v>
      </c>
      <c r="S52" s="24">
        <v>65.680277324754883</v>
      </c>
      <c r="T52" s="6" t="s">
        <v>1094</v>
      </c>
      <c r="U52" s="10" t="b">
        <v>0</v>
      </c>
    </row>
    <row r="53" spans="1:21" ht="15" customHeight="1" x14ac:dyDescent="0.3">
      <c r="A53" s="10" t="s">
        <v>337</v>
      </c>
      <c r="B53" s="10" t="s">
        <v>338</v>
      </c>
      <c r="C53" s="10" t="s">
        <v>33</v>
      </c>
      <c r="D53" s="16">
        <v>300</v>
      </c>
      <c r="E53" s="23">
        <f t="shared" si="0"/>
        <v>4</v>
      </c>
      <c r="F53" s="45">
        <v>0.2231636454815947</v>
      </c>
      <c r="G53" s="45">
        <v>0.14393</v>
      </c>
      <c r="H53" s="45">
        <v>0.12838999999999989</v>
      </c>
      <c r="I53" s="45">
        <v>0.14777999999999999</v>
      </c>
      <c r="J53" s="34">
        <f t="shared" si="1"/>
        <v>-0.42427999999999999</v>
      </c>
      <c r="K53" s="34">
        <f t="shared" si="2"/>
        <v>-0.26581270903681053</v>
      </c>
      <c r="L53" s="34">
        <f t="shared" si="3"/>
        <v>-0.29689270903681075</v>
      </c>
      <c r="M53" s="22">
        <v>-0.30867270903681049</v>
      </c>
      <c r="N53" s="6" t="b">
        <f t="shared" si="4"/>
        <v>0</v>
      </c>
      <c r="O53" s="6" t="b">
        <f t="shared" si="5"/>
        <v>0</v>
      </c>
      <c r="P53" s="19">
        <v>0</v>
      </c>
      <c r="Q53" s="46" t="str">
        <f t="shared" si="6"/>
        <v>-</v>
      </c>
      <c r="R53" s="24">
        <v>23.137340338680641</v>
      </c>
      <c r="S53" s="24">
        <v>71.108236711557282</v>
      </c>
      <c r="T53" s="6" t="s">
        <v>1095</v>
      </c>
      <c r="U53" s="10" t="b">
        <v>0</v>
      </c>
    </row>
    <row r="54" spans="1:21" ht="15" customHeight="1" x14ac:dyDescent="0.3">
      <c r="A54" s="10" t="s">
        <v>337</v>
      </c>
      <c r="B54" s="10" t="s">
        <v>339</v>
      </c>
      <c r="C54" s="10" t="s">
        <v>33</v>
      </c>
      <c r="D54" s="16">
        <v>330</v>
      </c>
      <c r="E54" s="23">
        <f t="shared" si="0"/>
        <v>4.3</v>
      </c>
      <c r="F54" s="45">
        <v>0.20704826025551379</v>
      </c>
      <c r="G54" s="45">
        <v>0.24578</v>
      </c>
      <c r="H54" s="45">
        <v>0.23680999999999999</v>
      </c>
      <c r="I54" s="45">
        <v>0.25164999999999998</v>
      </c>
      <c r="J54" s="34">
        <f t="shared" si="1"/>
        <v>5.685399999999996E-2</v>
      </c>
      <c r="K54" s="34">
        <f t="shared" si="2"/>
        <v>-2.6419240450645365E-2</v>
      </c>
      <c r="L54" s="34">
        <f t="shared" si="3"/>
        <v>-4.5704740450645431E-2</v>
      </c>
      <c r="M54" s="22">
        <v>-0.1323174904506452</v>
      </c>
      <c r="N54" s="6" t="b">
        <f t="shared" si="4"/>
        <v>0</v>
      </c>
      <c r="O54" s="6" t="b">
        <f t="shared" si="5"/>
        <v>0</v>
      </c>
      <c r="P54" s="19">
        <v>0</v>
      </c>
      <c r="Q54" s="46" t="str">
        <f t="shared" si="6"/>
        <v>-</v>
      </c>
      <c r="R54" s="24">
        <v>24.366664411070989</v>
      </c>
      <c r="S54" s="24">
        <v>76.596069587549792</v>
      </c>
      <c r="T54" s="6" t="s">
        <v>1096</v>
      </c>
      <c r="U54" s="10" t="b">
        <v>0</v>
      </c>
    </row>
    <row r="55" spans="1:21" ht="15" customHeight="1" x14ac:dyDescent="0.3">
      <c r="A55" s="10" t="s">
        <v>337</v>
      </c>
      <c r="B55" s="10" t="s">
        <v>340</v>
      </c>
      <c r="C55" s="10" t="s">
        <v>33</v>
      </c>
      <c r="D55" s="16">
        <v>350</v>
      </c>
      <c r="E55" s="23">
        <f t="shared" si="0"/>
        <v>4.5</v>
      </c>
      <c r="F55" s="45">
        <v>0.19749919291070001</v>
      </c>
      <c r="G55" s="45">
        <v>9.7110000000000002E-2</v>
      </c>
      <c r="H55" s="45">
        <v>7.9329999999999998E-2</v>
      </c>
      <c r="I55" s="45">
        <v>0.10385</v>
      </c>
      <c r="J55" s="34">
        <f t="shared" si="1"/>
        <v>-0.56300499999999998</v>
      </c>
      <c r="K55" s="34">
        <f t="shared" si="2"/>
        <v>-0.33712931595092499</v>
      </c>
      <c r="L55" s="34">
        <f t="shared" si="3"/>
        <v>-0.37713431595092495</v>
      </c>
      <c r="M55" s="22">
        <v>-0.35588306595092489</v>
      </c>
      <c r="N55" s="6" t="b">
        <f t="shared" si="4"/>
        <v>0</v>
      </c>
      <c r="O55" s="6" t="b">
        <f t="shared" si="5"/>
        <v>0</v>
      </c>
      <c r="P55" s="19">
        <v>0</v>
      </c>
      <c r="Q55" s="46" t="str">
        <f t="shared" si="6"/>
        <v>-</v>
      </c>
      <c r="R55" s="24">
        <v>22.73684334382277</v>
      </c>
      <c r="S55" s="24">
        <v>67.214557320990878</v>
      </c>
      <c r="T55" s="6" t="s">
        <v>1097</v>
      </c>
      <c r="U55" s="10" t="b">
        <v>0</v>
      </c>
    </row>
    <row r="56" spans="1:21" ht="15" customHeight="1" x14ac:dyDescent="0.3">
      <c r="A56" s="10" t="s">
        <v>337</v>
      </c>
      <c r="B56" s="10" t="s">
        <v>341</v>
      </c>
      <c r="C56" s="10" t="s">
        <v>33</v>
      </c>
      <c r="D56" s="16">
        <v>400</v>
      </c>
      <c r="E56" s="23">
        <f t="shared" si="0"/>
        <v>5</v>
      </c>
      <c r="F56" s="45">
        <v>0.17697118755206509</v>
      </c>
      <c r="G56" s="45">
        <v>0.32688</v>
      </c>
      <c r="H56" s="45">
        <v>0.29675000000000001</v>
      </c>
      <c r="I56" s="45">
        <v>0.40811999999999998</v>
      </c>
      <c r="J56" s="34">
        <f t="shared" si="1"/>
        <v>0.63440000000000007</v>
      </c>
      <c r="K56" s="34">
        <f t="shared" si="2"/>
        <v>0.2596279688801626</v>
      </c>
      <c r="L56" s="34">
        <f t="shared" si="3"/>
        <v>0.18430296888016273</v>
      </c>
      <c r="M56" s="22">
        <v>7.9177968880162597E-2</v>
      </c>
      <c r="N56" s="6" t="b">
        <f t="shared" si="4"/>
        <v>1</v>
      </c>
      <c r="O56" s="6" t="b">
        <f t="shared" si="5"/>
        <v>1</v>
      </c>
      <c r="P56" s="19">
        <v>4.3568841855356998E-3</v>
      </c>
      <c r="Q56" s="46" t="str">
        <f t="shared" si="6"/>
        <v>-</v>
      </c>
      <c r="R56" s="24">
        <v>23.948968910568841</v>
      </c>
      <c r="S56" s="24">
        <v>79.539999999999992</v>
      </c>
      <c r="T56" s="6" t="s">
        <v>1098</v>
      </c>
      <c r="U56" s="10" t="b">
        <v>1</v>
      </c>
    </row>
    <row r="57" spans="1:21" ht="15" customHeight="1" x14ac:dyDescent="0.3">
      <c r="A57" s="10" t="s">
        <v>337</v>
      </c>
      <c r="B57" s="10" t="s">
        <v>342</v>
      </c>
      <c r="C57" s="10" t="s">
        <v>33</v>
      </c>
      <c r="D57" s="16">
        <v>1200</v>
      </c>
      <c r="E57" s="23">
        <f t="shared" si="0"/>
        <v>13</v>
      </c>
      <c r="F57" s="45">
        <v>6.3462813238804094E-2</v>
      </c>
      <c r="G57" s="45">
        <v>4.206E-2</v>
      </c>
      <c r="H57" s="45">
        <v>2.8729999999999999E-2</v>
      </c>
      <c r="I57" s="45">
        <v>4.913E-2</v>
      </c>
      <c r="J57" s="34">
        <f t="shared" si="1"/>
        <v>-0.45321999999999996</v>
      </c>
      <c r="K57" s="34">
        <f t="shared" si="2"/>
        <v>-0.31410171394777342</v>
      </c>
      <c r="L57" s="34">
        <f t="shared" si="3"/>
        <v>-0.40074671394777339</v>
      </c>
      <c r="M57" s="22">
        <v>-0.3627542139477733</v>
      </c>
      <c r="N57" s="6" t="b">
        <f t="shared" si="4"/>
        <v>0</v>
      </c>
      <c r="O57" s="6" t="b">
        <f t="shared" si="5"/>
        <v>0</v>
      </c>
      <c r="P57" s="19">
        <v>0</v>
      </c>
      <c r="Q57" s="46" t="str">
        <f t="shared" si="6"/>
        <v>-</v>
      </c>
      <c r="R57" s="24">
        <v>21.212589412822719</v>
      </c>
      <c r="S57" s="24">
        <v>59.640347216240741</v>
      </c>
      <c r="T57" s="6" t="s">
        <v>1099</v>
      </c>
      <c r="U57" s="10" t="b">
        <v>0</v>
      </c>
    </row>
    <row r="58" spans="1:21" ht="15" customHeight="1" x14ac:dyDescent="0.3">
      <c r="A58" s="10" t="s">
        <v>337</v>
      </c>
      <c r="B58" s="10" t="s">
        <v>343</v>
      </c>
      <c r="C58" s="10" t="s">
        <v>33</v>
      </c>
      <c r="D58" s="16">
        <v>1500</v>
      </c>
      <c r="E58" s="23">
        <f t="shared" si="0"/>
        <v>16</v>
      </c>
      <c r="F58" s="45">
        <v>5.0233457986429697E-2</v>
      </c>
      <c r="G58" s="45">
        <v>1.5679999999999999E-2</v>
      </c>
      <c r="H58" s="45">
        <v>8.7899999999999992E-3</v>
      </c>
      <c r="I58" s="45">
        <v>2.1340000000000001E-2</v>
      </c>
      <c r="J58" s="34">
        <f t="shared" si="1"/>
        <v>-0.74912000000000001</v>
      </c>
      <c r="K58" s="34">
        <f t="shared" si="2"/>
        <v>-0.47269233610856243</v>
      </c>
      <c r="L58" s="34">
        <f t="shared" si="3"/>
        <v>-0.52781233610856249</v>
      </c>
      <c r="M58" s="22">
        <v>-0.49633233610856159</v>
      </c>
      <c r="N58" s="6" t="b">
        <f t="shared" si="4"/>
        <v>0</v>
      </c>
      <c r="O58" s="6" t="b">
        <f t="shared" si="5"/>
        <v>0</v>
      </c>
      <c r="P58" s="19">
        <v>0</v>
      </c>
      <c r="Q58" s="46" t="str">
        <f t="shared" si="6"/>
        <v>-</v>
      </c>
      <c r="R58" s="24">
        <v>20.097565627618089</v>
      </c>
      <c r="S58" s="24">
        <v>53.522881688541133</v>
      </c>
      <c r="T58" s="6" t="s">
        <v>1100</v>
      </c>
      <c r="U58" s="10" t="b">
        <v>0</v>
      </c>
    </row>
    <row r="59" spans="1:21" ht="15" customHeight="1" x14ac:dyDescent="0.3">
      <c r="A59" s="10" t="s">
        <v>337</v>
      </c>
      <c r="B59" s="10" t="s">
        <v>344</v>
      </c>
      <c r="C59" s="10" t="s">
        <v>33</v>
      </c>
      <c r="D59" s="16">
        <v>2000</v>
      </c>
      <c r="E59" s="23">
        <f t="shared" si="0"/>
        <v>21</v>
      </c>
      <c r="F59" s="45">
        <v>3.6649885817773301E-2</v>
      </c>
      <c r="G59" s="45">
        <v>6.0089999999999998E-2</v>
      </c>
      <c r="H59" s="45">
        <v>4.5339999999999998E-2</v>
      </c>
      <c r="I59" s="45">
        <v>6.8220000000000003E-2</v>
      </c>
      <c r="J59" s="34">
        <f t="shared" si="1"/>
        <v>0.26188999999999996</v>
      </c>
      <c r="K59" s="34">
        <f t="shared" si="2"/>
        <v>1.5768801086619488E-2</v>
      </c>
      <c r="L59" s="34">
        <f t="shared" si="3"/>
        <v>-0.13910619891338027</v>
      </c>
      <c r="M59" s="22">
        <v>-7.2063698913379895E-2</v>
      </c>
      <c r="N59" s="6" t="b">
        <f t="shared" si="4"/>
        <v>0</v>
      </c>
      <c r="O59" s="6" t="b">
        <f t="shared" si="5"/>
        <v>0</v>
      </c>
      <c r="P59" s="19">
        <v>0</v>
      </c>
      <c r="Q59" s="46" t="str">
        <f t="shared" si="6"/>
        <v>-</v>
      </c>
      <c r="R59" s="24">
        <v>22.522893137525859</v>
      </c>
      <c r="S59" s="24">
        <v>61.726724444998368</v>
      </c>
      <c r="T59" s="6" t="s">
        <v>1101</v>
      </c>
      <c r="U59" s="10" t="b">
        <v>0</v>
      </c>
    </row>
    <row r="60" spans="1:21" ht="15" customHeight="1" x14ac:dyDescent="0.3">
      <c r="A60" s="10" t="s">
        <v>337</v>
      </c>
      <c r="B60" s="10" t="s">
        <v>345</v>
      </c>
      <c r="C60" s="10" t="s">
        <v>33</v>
      </c>
      <c r="D60" s="16">
        <v>4000</v>
      </c>
      <c r="E60" s="23">
        <f t="shared" si="0"/>
        <v>41</v>
      </c>
      <c r="F60" s="45">
        <v>1.5848172322864201E-2</v>
      </c>
      <c r="G60" s="45">
        <v>6.8459999999999993E-2</v>
      </c>
      <c r="H60" s="45">
        <v>5.3870000000000001E-2</v>
      </c>
      <c r="I60" s="45">
        <v>7.7579999999999996E-2</v>
      </c>
      <c r="J60" s="34">
        <f t="shared" si="1"/>
        <v>1.8068599999999999</v>
      </c>
      <c r="K60" s="34">
        <f t="shared" si="2"/>
        <v>0.7283175326187159</v>
      </c>
      <c r="L60" s="34">
        <f t="shared" si="3"/>
        <v>0.42922253261871623</v>
      </c>
      <c r="M60" s="22">
        <v>0.53285003261871733</v>
      </c>
      <c r="N60" s="6" t="b">
        <f t="shared" si="4"/>
        <v>1</v>
      </c>
      <c r="O60" s="6" t="b">
        <f t="shared" si="5"/>
        <v>0</v>
      </c>
      <c r="P60" s="19">
        <v>0</v>
      </c>
      <c r="Q60" s="46" t="str">
        <f t="shared" si="6"/>
        <v>-</v>
      </c>
      <c r="R60" s="24">
        <v>21.92530034610941</v>
      </c>
      <c r="S60" s="24">
        <v>64.194384949855134</v>
      </c>
      <c r="T60" s="6" t="s">
        <v>1102</v>
      </c>
      <c r="U60" s="10" t="b">
        <v>1</v>
      </c>
    </row>
    <row r="61" spans="1:21" ht="15" customHeight="1" x14ac:dyDescent="0.3">
      <c r="A61" s="10" t="s">
        <v>337</v>
      </c>
      <c r="B61" s="10" t="s">
        <v>348</v>
      </c>
      <c r="C61" s="10" t="s">
        <v>33</v>
      </c>
      <c r="D61" s="16">
        <v>7500</v>
      </c>
      <c r="E61" s="23">
        <f t="shared" si="0"/>
        <v>76</v>
      </c>
      <c r="F61" s="45">
        <v>6.5066289527281997E-3</v>
      </c>
      <c r="G61" s="45">
        <v>0</v>
      </c>
      <c r="H61" s="45">
        <v>0</v>
      </c>
      <c r="I61" s="45">
        <v>0</v>
      </c>
      <c r="J61" s="34">
        <f t="shared" si="1"/>
        <v>-1</v>
      </c>
      <c r="K61" s="34">
        <f t="shared" si="2"/>
        <v>-0.7527480997963284</v>
      </c>
      <c r="L61" s="34">
        <f t="shared" si="3"/>
        <v>-0.7527480997963284</v>
      </c>
      <c r="M61" s="22">
        <v>-0.75274809979632673</v>
      </c>
      <c r="N61" s="6" t="b">
        <f t="shared" si="4"/>
        <v>0</v>
      </c>
      <c r="O61" s="6" t="b">
        <f t="shared" si="5"/>
        <v>0</v>
      </c>
      <c r="P61" s="19">
        <v>0</v>
      </c>
      <c r="Q61" s="46" t="str">
        <f t="shared" si="6"/>
        <v>-</v>
      </c>
      <c r="R61" s="24" t="s">
        <v>33</v>
      </c>
      <c r="S61" s="24" t="s">
        <v>33</v>
      </c>
      <c r="T61" s="6"/>
      <c r="U61" s="10" t="b">
        <v>0</v>
      </c>
    </row>
    <row r="62" spans="1:21" ht="15" customHeight="1" x14ac:dyDescent="0.3">
      <c r="A62" s="10" t="s">
        <v>337</v>
      </c>
      <c r="B62" s="10" t="s">
        <v>346</v>
      </c>
      <c r="C62" s="10" t="s">
        <v>33</v>
      </c>
      <c r="D62" s="16">
        <v>10000</v>
      </c>
      <c r="E62" s="23">
        <f t="shared" si="0"/>
        <v>101</v>
      </c>
      <c r="F62" s="45">
        <v>4.1167339770257E-3</v>
      </c>
      <c r="G62" s="45">
        <v>0</v>
      </c>
      <c r="H62" s="45">
        <v>0</v>
      </c>
      <c r="I62" s="45">
        <v>0</v>
      </c>
      <c r="J62" s="34">
        <f t="shared" si="1"/>
        <v>-1</v>
      </c>
      <c r="K62" s="34">
        <f t="shared" si="2"/>
        <v>-0.79210493416020211</v>
      </c>
      <c r="L62" s="34">
        <f t="shared" si="3"/>
        <v>-0.79210493416020211</v>
      </c>
      <c r="M62" s="22">
        <v>-0.792104934160202</v>
      </c>
      <c r="N62" s="6" t="b">
        <f t="shared" si="4"/>
        <v>0</v>
      </c>
      <c r="O62" s="6" t="b">
        <f t="shared" si="5"/>
        <v>0</v>
      </c>
      <c r="P62" s="19">
        <v>0</v>
      </c>
      <c r="Q62" s="46" t="str">
        <f t="shared" si="6"/>
        <v>-</v>
      </c>
      <c r="R62" s="24" t="s">
        <v>33</v>
      </c>
      <c r="S62" s="24" t="s">
        <v>33</v>
      </c>
      <c r="T62" s="6"/>
      <c r="U62" s="10" t="b">
        <v>0</v>
      </c>
    </row>
    <row r="63" spans="1:21" ht="15" customHeight="1" x14ac:dyDescent="0.3">
      <c r="A63" s="10" t="s">
        <v>337</v>
      </c>
      <c r="B63" s="10" t="s">
        <v>347</v>
      </c>
      <c r="C63" s="10" t="s">
        <v>33</v>
      </c>
      <c r="D63" s="16">
        <v>10000</v>
      </c>
      <c r="E63" s="23">
        <f t="shared" si="0"/>
        <v>101</v>
      </c>
      <c r="F63" s="45">
        <v>4.1167339770257E-3</v>
      </c>
      <c r="G63" s="45">
        <v>0</v>
      </c>
      <c r="H63" s="45">
        <v>0</v>
      </c>
      <c r="I63" s="45">
        <v>0</v>
      </c>
      <c r="J63" s="34">
        <f t="shared" si="1"/>
        <v>-1</v>
      </c>
      <c r="K63" s="34">
        <f t="shared" si="2"/>
        <v>-0.79210493416020211</v>
      </c>
      <c r="L63" s="34">
        <f t="shared" si="3"/>
        <v>-0.79210493416020211</v>
      </c>
      <c r="M63" s="22">
        <v>-0.792104934160202</v>
      </c>
      <c r="N63" s="6" t="b">
        <f t="shared" si="4"/>
        <v>0</v>
      </c>
      <c r="O63" s="6" t="b">
        <f t="shared" si="5"/>
        <v>0</v>
      </c>
      <c r="P63" s="19">
        <v>0</v>
      </c>
      <c r="Q63" s="46" t="str">
        <f t="shared" si="6"/>
        <v>-</v>
      </c>
      <c r="R63" s="24" t="s">
        <v>33</v>
      </c>
      <c r="S63" s="24" t="s">
        <v>33</v>
      </c>
      <c r="T63" s="6"/>
      <c r="U63" s="10" t="b">
        <v>0</v>
      </c>
    </row>
    <row r="64" spans="1:21" ht="15" customHeight="1" x14ac:dyDescent="0.3">
      <c r="A64" s="10" t="s">
        <v>337</v>
      </c>
      <c r="B64" s="10" t="s">
        <v>349</v>
      </c>
      <c r="C64" s="10" t="s">
        <v>33</v>
      </c>
      <c r="D64" s="16">
        <v>10000</v>
      </c>
      <c r="E64" s="23">
        <f t="shared" si="0"/>
        <v>101</v>
      </c>
      <c r="F64" s="45">
        <v>4.1167339770257E-3</v>
      </c>
      <c r="G64" s="45">
        <v>0</v>
      </c>
      <c r="H64" s="45">
        <v>0</v>
      </c>
      <c r="I64" s="45">
        <v>0</v>
      </c>
      <c r="J64" s="34">
        <f t="shared" si="1"/>
        <v>-1</v>
      </c>
      <c r="K64" s="34">
        <f t="shared" si="2"/>
        <v>-0.79210493416020211</v>
      </c>
      <c r="L64" s="34">
        <f t="shared" si="3"/>
        <v>-0.79210493416020211</v>
      </c>
      <c r="M64" s="22">
        <v>-0.792104934160202</v>
      </c>
      <c r="N64" s="6" t="b">
        <f t="shared" si="4"/>
        <v>0</v>
      </c>
      <c r="O64" s="6" t="b">
        <f t="shared" si="5"/>
        <v>0</v>
      </c>
      <c r="P64" s="19">
        <v>0</v>
      </c>
      <c r="Q64" s="46" t="str">
        <f t="shared" si="6"/>
        <v>-</v>
      </c>
      <c r="R64" s="24" t="s">
        <v>33</v>
      </c>
      <c r="S64" s="24" t="s">
        <v>33</v>
      </c>
      <c r="T64" s="6"/>
      <c r="U64" s="10" t="b">
        <v>0</v>
      </c>
    </row>
    <row r="65" spans="1:21" ht="15" customHeight="1" x14ac:dyDescent="0.3">
      <c r="A65" s="10" t="s">
        <v>337</v>
      </c>
      <c r="B65" s="10" t="s">
        <v>350</v>
      </c>
      <c r="C65" s="10" t="s">
        <v>33</v>
      </c>
      <c r="D65" s="16">
        <v>10000</v>
      </c>
      <c r="E65" s="23">
        <f t="shared" si="0"/>
        <v>101</v>
      </c>
      <c r="F65" s="45">
        <v>4.1167339770257E-3</v>
      </c>
      <c r="G65" s="45">
        <v>0</v>
      </c>
      <c r="H65" s="45">
        <v>0</v>
      </c>
      <c r="I65" s="45">
        <v>0</v>
      </c>
      <c r="J65" s="34">
        <f t="shared" si="1"/>
        <v>-1</v>
      </c>
      <c r="K65" s="34">
        <f t="shared" si="2"/>
        <v>-0.79210493416020211</v>
      </c>
      <c r="L65" s="34">
        <f t="shared" si="3"/>
        <v>-0.79210493416020211</v>
      </c>
      <c r="M65" s="22">
        <v>-0.792104934160202</v>
      </c>
      <c r="N65" s="6" t="b">
        <f t="shared" si="4"/>
        <v>0</v>
      </c>
      <c r="O65" s="6" t="b">
        <f t="shared" si="5"/>
        <v>0</v>
      </c>
      <c r="P65" s="19">
        <v>0</v>
      </c>
      <c r="Q65" s="46" t="str">
        <f t="shared" si="6"/>
        <v>-</v>
      </c>
      <c r="R65" s="24" t="s">
        <v>33</v>
      </c>
      <c r="S65" s="24" t="s">
        <v>33</v>
      </c>
      <c r="T65" s="6"/>
      <c r="U65" s="10" t="b">
        <v>0</v>
      </c>
    </row>
    <row r="66" spans="1:21" ht="15" customHeight="1" x14ac:dyDescent="0.3">
      <c r="A66" s="10" t="s">
        <v>337</v>
      </c>
      <c r="B66" s="10" t="s">
        <v>351</v>
      </c>
      <c r="C66" s="10" t="s">
        <v>33</v>
      </c>
      <c r="D66" s="16">
        <v>15000</v>
      </c>
      <c r="E66" s="23">
        <f t="shared" si="0"/>
        <v>151</v>
      </c>
      <c r="F66" s="45">
        <v>2.0499398578079E-3</v>
      </c>
      <c r="G66" s="45">
        <v>0</v>
      </c>
      <c r="H66" s="45">
        <v>0</v>
      </c>
      <c r="I66" s="45">
        <v>0</v>
      </c>
      <c r="J66" s="34">
        <f t="shared" si="1"/>
        <v>-1</v>
      </c>
      <c r="K66" s="34">
        <f t="shared" si="2"/>
        <v>-0.84522954073550349</v>
      </c>
      <c r="L66" s="34">
        <f t="shared" si="3"/>
        <v>-0.84522954073550349</v>
      </c>
      <c r="M66" s="22">
        <v>-0.84522954073550161</v>
      </c>
      <c r="N66" s="6" t="b">
        <f t="shared" si="4"/>
        <v>0</v>
      </c>
      <c r="O66" s="6" t="b">
        <f t="shared" si="5"/>
        <v>0</v>
      </c>
      <c r="P66" s="19">
        <v>0</v>
      </c>
      <c r="Q66" s="46" t="str">
        <f t="shared" si="6"/>
        <v>-</v>
      </c>
      <c r="R66" s="24" t="s">
        <v>33</v>
      </c>
      <c r="S66" s="24" t="s">
        <v>33</v>
      </c>
      <c r="T66" s="6"/>
      <c r="U66" s="10" t="b">
        <v>0</v>
      </c>
    </row>
    <row r="67" spans="1:21" ht="15" customHeight="1" x14ac:dyDescent="0.3">
      <c r="A67" s="10" t="s">
        <v>337</v>
      </c>
      <c r="B67" s="10" t="s">
        <v>352</v>
      </c>
      <c r="C67" s="10" t="s">
        <v>33</v>
      </c>
      <c r="D67" s="16">
        <v>15000</v>
      </c>
      <c r="E67" s="23">
        <f t="shared" si="0"/>
        <v>151</v>
      </c>
      <c r="F67" s="45">
        <v>2.0499398578079E-3</v>
      </c>
      <c r="G67" s="45">
        <v>0</v>
      </c>
      <c r="H67" s="45">
        <v>0</v>
      </c>
      <c r="I67" s="45">
        <v>0</v>
      </c>
      <c r="J67" s="34">
        <f t="shared" si="1"/>
        <v>-1</v>
      </c>
      <c r="K67" s="34">
        <f t="shared" si="2"/>
        <v>-0.84522954073550349</v>
      </c>
      <c r="L67" s="34">
        <f t="shared" si="3"/>
        <v>-0.84522954073550349</v>
      </c>
      <c r="M67" s="22">
        <v>-0.84522954073550161</v>
      </c>
      <c r="N67" s="6" t="b">
        <f t="shared" si="4"/>
        <v>0</v>
      </c>
      <c r="O67" s="6" t="b">
        <f t="shared" si="5"/>
        <v>0</v>
      </c>
      <c r="P67" s="19">
        <v>0</v>
      </c>
      <c r="Q67" s="46" t="str">
        <f t="shared" si="6"/>
        <v>-</v>
      </c>
      <c r="R67" s="24" t="s">
        <v>33</v>
      </c>
      <c r="S67" s="24" t="s">
        <v>33</v>
      </c>
      <c r="T67" s="6"/>
      <c r="U67" s="10" t="b">
        <v>0</v>
      </c>
    </row>
    <row r="68" spans="1:21" ht="15" customHeight="1" x14ac:dyDescent="0.3">
      <c r="A68" s="10" t="s">
        <v>337</v>
      </c>
      <c r="B68" s="10" t="s">
        <v>353</v>
      </c>
      <c r="C68" s="10" t="s">
        <v>33</v>
      </c>
      <c r="D68" s="16">
        <v>15000</v>
      </c>
      <c r="E68" s="23">
        <f t="shared" si="0"/>
        <v>151</v>
      </c>
      <c r="F68" s="45">
        <v>2.0499398578079E-3</v>
      </c>
      <c r="G68" s="45">
        <v>0</v>
      </c>
      <c r="H68" s="45">
        <v>0</v>
      </c>
      <c r="I68" s="45">
        <v>0</v>
      </c>
      <c r="J68" s="34">
        <f t="shared" si="1"/>
        <v>-1</v>
      </c>
      <c r="K68" s="34">
        <f t="shared" si="2"/>
        <v>-0.84522954073550349</v>
      </c>
      <c r="L68" s="34">
        <f t="shared" si="3"/>
        <v>-0.84522954073550349</v>
      </c>
      <c r="M68" s="22">
        <v>-0.84522954073550161</v>
      </c>
      <c r="N68" s="6" t="b">
        <f t="shared" si="4"/>
        <v>0</v>
      </c>
      <c r="O68" s="6" t="b">
        <f t="shared" si="5"/>
        <v>0</v>
      </c>
      <c r="P68" s="19">
        <v>0</v>
      </c>
      <c r="Q68" s="46" t="str">
        <f t="shared" si="6"/>
        <v>-</v>
      </c>
      <c r="R68" s="24" t="s">
        <v>33</v>
      </c>
      <c r="S68" s="24" t="s">
        <v>33</v>
      </c>
      <c r="T68" s="6"/>
      <c r="U68" s="10" t="b">
        <v>0</v>
      </c>
    </row>
    <row r="69" spans="1:21" ht="15" customHeight="1" x14ac:dyDescent="0.3">
      <c r="A69" s="10" t="s">
        <v>456</v>
      </c>
      <c r="B69" s="10" t="s">
        <v>297</v>
      </c>
      <c r="C69" s="10" t="s">
        <v>33</v>
      </c>
      <c r="D69" s="16">
        <v>-120</v>
      </c>
      <c r="E69" s="23">
        <f t="shared" si="0"/>
        <v>1.8333333333333335</v>
      </c>
      <c r="F69" s="45">
        <v>0.49777418344564639</v>
      </c>
      <c r="G69" s="45">
        <v>0.3246117792649324</v>
      </c>
      <c r="H69" s="45">
        <v>0.17038102235618979</v>
      </c>
      <c r="I69" s="45">
        <v>0.56569568741205423</v>
      </c>
      <c r="J69" s="34">
        <f t="shared" si="1"/>
        <v>-0.40487840468095726</v>
      </c>
      <c r="K69" s="34">
        <f t="shared" si="2"/>
        <v>-0.24614620084863614</v>
      </c>
      <c r="L69" s="34">
        <f t="shared" si="3"/>
        <v>-0.38752439468165012</v>
      </c>
      <c r="M69" s="22">
        <v>-0.3287792593696518</v>
      </c>
      <c r="N69" s="6" t="b">
        <f t="shared" si="4"/>
        <v>0</v>
      </c>
      <c r="O69" s="6" t="b">
        <f t="shared" si="5"/>
        <v>0</v>
      </c>
      <c r="P69" s="19">
        <v>0</v>
      </c>
      <c r="Q69" s="46" t="str">
        <f t="shared" si="6"/>
        <v>-</v>
      </c>
      <c r="R69" s="24">
        <v>33.125934196024232</v>
      </c>
      <c r="S69" s="24">
        <v>60.11935487331364</v>
      </c>
      <c r="T69" s="6" t="s">
        <v>1103</v>
      </c>
      <c r="U69" s="10" t="b">
        <v>0</v>
      </c>
    </row>
    <row r="70" spans="1:21" ht="15" customHeight="1" x14ac:dyDescent="0.3">
      <c r="A70" s="10" t="s">
        <v>456</v>
      </c>
      <c r="B70" s="10" t="s">
        <v>295</v>
      </c>
      <c r="C70" s="10" t="s">
        <v>33</v>
      </c>
      <c r="D70" s="16">
        <v>250</v>
      </c>
      <c r="E70" s="23">
        <f t="shared" si="0"/>
        <v>3.5</v>
      </c>
      <c r="F70" s="45">
        <v>0.257661626393898</v>
      </c>
      <c r="G70" s="45">
        <v>0.35402904612502911</v>
      </c>
      <c r="H70" s="45">
        <v>0.18497422520539369</v>
      </c>
      <c r="I70" s="45">
        <v>0.61147777812483317</v>
      </c>
      <c r="J70" s="34">
        <f t="shared" si="1"/>
        <v>0.23910166143760181</v>
      </c>
      <c r="K70" s="34">
        <f t="shared" si="2"/>
        <v>7.0458676908122353E-2</v>
      </c>
      <c r="L70" s="34">
        <f t="shared" si="3"/>
        <v>-0.22538725970123952</v>
      </c>
      <c r="M70" s="22">
        <v>-0.10911338174756589</v>
      </c>
      <c r="N70" s="6" t="b">
        <f t="shared" si="4"/>
        <v>0</v>
      </c>
      <c r="O70" s="6" t="b">
        <f t="shared" si="5"/>
        <v>0</v>
      </c>
      <c r="P70" s="19">
        <v>0</v>
      </c>
      <c r="Q70" s="46" t="str">
        <f t="shared" si="6"/>
        <v>-</v>
      </c>
      <c r="R70" s="24">
        <v>31.72070449786353</v>
      </c>
      <c r="S70" s="24">
        <v>63.304134235828073</v>
      </c>
      <c r="T70" s="6" t="s">
        <v>1104</v>
      </c>
      <c r="U70" s="10" t="b">
        <v>0</v>
      </c>
    </row>
    <row r="71" spans="1:21" ht="15" customHeight="1" x14ac:dyDescent="0.3">
      <c r="A71" s="10" t="s">
        <v>456</v>
      </c>
      <c r="B71" s="10" t="s">
        <v>300</v>
      </c>
      <c r="C71" s="10" t="s">
        <v>33</v>
      </c>
      <c r="D71" s="16">
        <v>1150</v>
      </c>
      <c r="E71" s="23">
        <f t="shared" si="0"/>
        <v>12.5</v>
      </c>
      <c r="F71" s="45">
        <v>6.7672142749487199E-2</v>
      </c>
      <c r="G71" s="45">
        <v>0.1002660209196759</v>
      </c>
      <c r="H71" s="45">
        <v>7.7775915566705794E-2</v>
      </c>
      <c r="I71" s="45">
        <v>0.10784099401958649</v>
      </c>
      <c r="J71" s="34">
        <f t="shared" si="1"/>
        <v>0.25332526149594869</v>
      </c>
      <c r="K71" s="34">
        <f t="shared" si="2"/>
        <v>4.9613522932269394E-2</v>
      </c>
      <c r="L71" s="34">
        <f t="shared" si="3"/>
        <v>-9.0949635523793759E-2</v>
      </c>
      <c r="M71" s="22">
        <v>-4.6443173499227698E-2</v>
      </c>
      <c r="N71" s="6" t="b">
        <f t="shared" si="4"/>
        <v>0</v>
      </c>
      <c r="O71" s="6" t="b">
        <f t="shared" si="5"/>
        <v>0</v>
      </c>
      <c r="P71" s="19">
        <v>0</v>
      </c>
      <c r="Q71" s="46" t="str">
        <f t="shared" si="6"/>
        <v>-</v>
      </c>
      <c r="R71" s="24">
        <v>33.60429383389026</v>
      </c>
      <c r="S71" s="24">
        <v>62.441260901540097</v>
      </c>
      <c r="T71" s="6" t="s">
        <v>1105</v>
      </c>
      <c r="U71" s="10" t="b">
        <v>0</v>
      </c>
    </row>
    <row r="72" spans="1:21" ht="15" customHeight="1" x14ac:dyDescent="0.3">
      <c r="A72" s="10" t="s">
        <v>456</v>
      </c>
      <c r="B72" s="10" t="s">
        <v>298</v>
      </c>
      <c r="C72" s="10" t="s">
        <v>33</v>
      </c>
      <c r="D72" s="16">
        <v>1400</v>
      </c>
      <c r="E72" s="23">
        <f t="shared" ref="E72:E135" si="7">IF(D72&gt;0,1+D72/100,1+100/ABS(D72))</f>
        <v>15</v>
      </c>
      <c r="F72" s="45">
        <v>5.5402602899976297E-2</v>
      </c>
      <c r="G72" s="45">
        <v>1.6551078330729201E-2</v>
      </c>
      <c r="H72" s="45">
        <v>7.1577066516042001E-3</v>
      </c>
      <c r="I72" s="45">
        <v>2.28254398925452E-2</v>
      </c>
      <c r="J72" s="34">
        <f t="shared" ref="J72:J135" si="8">G72*E72-1</f>
        <v>-0.75173382503906194</v>
      </c>
      <c r="K72" s="34">
        <f t="shared" ref="K72:K135" si="9">((1-A_shrink)*G72+A_shrink*F72)*E72-1</f>
        <v>-0.46034739076970876</v>
      </c>
      <c r="L72" s="34">
        <f t="shared" ref="L72:L135" si="10">((1-A_shrink)*H72+A_shrink*F72)*E72-1</f>
        <v>-0.53079767836314629</v>
      </c>
      <c r="M72" s="22">
        <v>-0.49867144218053339</v>
      </c>
      <c r="N72" s="6" t="b">
        <f t="shared" ref="N72:N135" si="11">AND(K72&gt;=A_minev,L72&gt;0,M72&gt;=A_minev)</f>
        <v>0</v>
      </c>
      <c r="O72" s="6" t="b">
        <f t="shared" ref="O72:O135" si="12">AND(N72,U72,F72&gt;=A_t1_fair,((1-A_t1_shrink)*G72+A_t1_shrink*F72)*E72-1&gt;=A_minev,((1-A_t1_shrink)*H72+A_t1_shrink*F72)*E72-1&gt;0)</f>
        <v>0</v>
      </c>
      <c r="P72" s="19">
        <v>0</v>
      </c>
      <c r="Q72" s="46" t="str">
        <f t="shared" ref="Q72:Q135" si="13">IF(AND(O72,ISNUMBER(A_bankroll)),P72*A_bankroll,"-")</f>
        <v>-</v>
      </c>
      <c r="R72" s="24">
        <v>26.177646553511341</v>
      </c>
      <c r="S72" s="24">
        <v>53.430498589117953</v>
      </c>
      <c r="T72" s="6" t="s">
        <v>1106</v>
      </c>
      <c r="U72" s="10" t="b">
        <v>0</v>
      </c>
    </row>
    <row r="73" spans="1:21" ht="15" customHeight="1" x14ac:dyDescent="0.3">
      <c r="A73" s="10" t="s">
        <v>456</v>
      </c>
      <c r="B73" s="10" t="s">
        <v>301</v>
      </c>
      <c r="C73" s="10" t="s">
        <v>33</v>
      </c>
      <c r="D73" s="16">
        <v>2500</v>
      </c>
      <c r="E73" s="23">
        <f t="shared" si="7"/>
        <v>26</v>
      </c>
      <c r="F73" s="45">
        <v>2.95785762846579E-2</v>
      </c>
      <c r="G73" s="45">
        <v>1.3183326099331301E-2</v>
      </c>
      <c r="H73" s="45">
        <v>5.9335108660983002E-3</v>
      </c>
      <c r="I73" s="45">
        <v>1.9296678421775602E-2</v>
      </c>
      <c r="J73" s="34">
        <f t="shared" si="8"/>
        <v>-0.65723352141738611</v>
      </c>
      <c r="K73" s="34">
        <f t="shared" si="9"/>
        <v>-0.44409526900814045</v>
      </c>
      <c r="L73" s="34">
        <f t="shared" si="10"/>
        <v>-0.53834286704016943</v>
      </c>
      <c r="M73" s="22">
        <v>-0.4918571503736292</v>
      </c>
      <c r="N73" s="6" t="b">
        <f t="shared" si="11"/>
        <v>0</v>
      </c>
      <c r="O73" s="6" t="b">
        <f t="shared" si="12"/>
        <v>0</v>
      </c>
      <c r="P73" s="19">
        <v>0</v>
      </c>
      <c r="Q73" s="46" t="str">
        <f t="shared" si="13"/>
        <v>-</v>
      </c>
      <c r="R73" s="24">
        <v>32.363100352860492</v>
      </c>
      <c r="S73" s="24">
        <v>49.859589025339083</v>
      </c>
      <c r="T73" s="6" t="s">
        <v>1107</v>
      </c>
      <c r="U73" s="10" t="b">
        <v>0</v>
      </c>
    </row>
    <row r="74" spans="1:21" ht="15" customHeight="1" x14ac:dyDescent="0.3">
      <c r="A74" s="10" t="s">
        <v>456</v>
      </c>
      <c r="B74" s="10" t="s">
        <v>296</v>
      </c>
      <c r="C74" s="10" t="s">
        <v>33</v>
      </c>
      <c r="D74" s="16">
        <v>3400</v>
      </c>
      <c r="E74" s="23">
        <f t="shared" si="7"/>
        <v>35</v>
      </c>
      <c r="F74" s="45">
        <v>2.0638295357363501E-2</v>
      </c>
      <c r="G74" s="45">
        <v>2.46216633348098E-2</v>
      </c>
      <c r="H74" s="45">
        <v>1.20384407711631E-2</v>
      </c>
      <c r="I74" s="45">
        <v>3.3320925031852001E-2</v>
      </c>
      <c r="J74" s="34">
        <f t="shared" si="8"/>
        <v>-0.13824178328165704</v>
      </c>
      <c r="K74" s="34">
        <f t="shared" si="9"/>
        <v>-0.20795072288696725</v>
      </c>
      <c r="L74" s="34">
        <f t="shared" si="10"/>
        <v>-0.42815711775078447</v>
      </c>
      <c r="M74" s="22">
        <v>-0.29884740199797249</v>
      </c>
      <c r="N74" s="6" t="b">
        <f t="shared" si="11"/>
        <v>0</v>
      </c>
      <c r="O74" s="6" t="b">
        <f t="shared" si="12"/>
        <v>0</v>
      </c>
      <c r="P74" s="19">
        <v>0</v>
      </c>
      <c r="Q74" s="46" t="str">
        <f t="shared" si="13"/>
        <v>-</v>
      </c>
      <c r="R74" s="24">
        <v>29.947368665182118</v>
      </c>
      <c r="S74" s="24">
        <v>61.00020333075102</v>
      </c>
      <c r="T74" s="6" t="s">
        <v>1108</v>
      </c>
      <c r="U74" s="10" t="b">
        <v>0</v>
      </c>
    </row>
    <row r="75" spans="1:21" ht="15" customHeight="1" x14ac:dyDescent="0.3">
      <c r="A75" s="10" t="s">
        <v>456</v>
      </c>
      <c r="B75" s="10" t="s">
        <v>294</v>
      </c>
      <c r="C75" s="10" t="s">
        <v>33</v>
      </c>
      <c r="D75" s="16">
        <v>3900</v>
      </c>
      <c r="E75" s="23">
        <f t="shared" si="7"/>
        <v>40</v>
      </c>
      <c r="F75" s="45">
        <v>1.7447604293555002E-2</v>
      </c>
      <c r="G75" s="45">
        <v>3.0960296814951001E-3</v>
      </c>
      <c r="H75" s="45">
        <v>6.5119523616329999E-4</v>
      </c>
      <c r="I75" s="45">
        <v>7.5471196527919998E-3</v>
      </c>
      <c r="J75" s="34">
        <f t="shared" si="8"/>
        <v>-0.87615881274019602</v>
      </c>
      <c r="K75" s="34">
        <f t="shared" si="9"/>
        <v>-0.58912732049899796</v>
      </c>
      <c r="L75" s="34">
        <f t="shared" si="10"/>
        <v>-0.63802400940563397</v>
      </c>
      <c r="M75" s="22">
        <v>-0.62390951735088984</v>
      </c>
      <c r="N75" s="6" t="b">
        <f t="shared" si="11"/>
        <v>0</v>
      </c>
      <c r="O75" s="6" t="b">
        <f t="shared" si="12"/>
        <v>0</v>
      </c>
      <c r="P75" s="19">
        <v>0</v>
      </c>
      <c r="Q75" s="46" t="str">
        <f t="shared" si="13"/>
        <v>-</v>
      </c>
      <c r="R75" s="24">
        <v>26.5079366799173</v>
      </c>
      <c r="S75" s="24">
        <v>60.359402405244488</v>
      </c>
      <c r="T75" s="6" t="s">
        <v>1109</v>
      </c>
      <c r="U75" s="10" t="b">
        <v>0</v>
      </c>
    </row>
    <row r="76" spans="1:21" ht="15" customHeight="1" x14ac:dyDescent="0.3">
      <c r="A76" s="10" t="s">
        <v>456</v>
      </c>
      <c r="B76" s="10" t="s">
        <v>303</v>
      </c>
      <c r="C76" s="10" t="s">
        <v>33</v>
      </c>
      <c r="D76" s="16">
        <v>4200</v>
      </c>
      <c r="E76" s="23">
        <f t="shared" si="7"/>
        <v>43</v>
      </c>
      <c r="F76" s="45">
        <v>1.5901051595246098E-2</v>
      </c>
      <c r="G76" s="45">
        <v>3.2691252784101399E-2</v>
      </c>
      <c r="H76" s="45">
        <v>1.8275602561731798E-2</v>
      </c>
      <c r="I76" s="45">
        <v>4.0586486307565603E-2</v>
      </c>
      <c r="J76" s="34">
        <f t="shared" si="8"/>
        <v>0.4057238697163601</v>
      </c>
      <c r="K76" s="34">
        <f t="shared" si="9"/>
        <v>4.4734544155971223E-2</v>
      </c>
      <c r="L76" s="34">
        <f t="shared" si="10"/>
        <v>-0.26520193562497518</v>
      </c>
      <c r="M76" s="22">
        <v>-7.3527960357795699E-2</v>
      </c>
      <c r="N76" s="6" t="b">
        <f t="shared" si="11"/>
        <v>0</v>
      </c>
      <c r="O76" s="6" t="b">
        <f t="shared" si="12"/>
        <v>0</v>
      </c>
      <c r="P76" s="19">
        <v>0</v>
      </c>
      <c r="Q76" s="46" t="str">
        <f t="shared" si="13"/>
        <v>-</v>
      </c>
      <c r="R76" s="24">
        <v>30.119502932560572</v>
      </c>
      <c r="S76" s="24">
        <v>62.72180079170456</v>
      </c>
      <c r="T76" s="6" t="s">
        <v>1110</v>
      </c>
      <c r="U76" s="10" t="b">
        <v>0</v>
      </c>
    </row>
    <row r="77" spans="1:21" ht="15" customHeight="1" x14ac:dyDescent="0.3">
      <c r="A77" s="10" t="s">
        <v>456</v>
      </c>
      <c r="B77" s="10" t="s">
        <v>302</v>
      </c>
      <c r="C77" s="10" t="s">
        <v>33</v>
      </c>
      <c r="D77" s="16">
        <v>6900</v>
      </c>
      <c r="E77" s="23">
        <f t="shared" si="7"/>
        <v>70</v>
      </c>
      <c r="F77" s="45">
        <v>8.1725295195855998E-3</v>
      </c>
      <c r="G77" s="45">
        <v>3.4091949764191E-3</v>
      </c>
      <c r="H77" s="45">
        <v>5.0653181103450004E-4</v>
      </c>
      <c r="I77" s="45">
        <v>8.3559543063331E-3</v>
      </c>
      <c r="J77" s="34">
        <f t="shared" si="8"/>
        <v>-0.76135635165066295</v>
      </c>
      <c r="K77" s="34">
        <f t="shared" si="9"/>
        <v>-0.59463964263983549</v>
      </c>
      <c r="L77" s="34">
        <f t="shared" si="10"/>
        <v>-0.69623285342829655</v>
      </c>
      <c r="M77" s="22">
        <v>-0.664713599065198</v>
      </c>
      <c r="N77" s="6" t="b">
        <f t="shared" si="11"/>
        <v>0</v>
      </c>
      <c r="O77" s="6" t="b">
        <f t="shared" si="12"/>
        <v>0</v>
      </c>
      <c r="P77" s="19">
        <v>0</v>
      </c>
      <c r="Q77" s="46" t="str">
        <f t="shared" si="13"/>
        <v>-</v>
      </c>
      <c r="R77" s="24">
        <v>27.976167555083801</v>
      </c>
      <c r="S77" s="24">
        <v>63.16735713908713</v>
      </c>
      <c r="T77" s="6" t="s">
        <v>1111</v>
      </c>
      <c r="U77" s="10" t="b">
        <v>0</v>
      </c>
    </row>
    <row r="78" spans="1:21" ht="15" customHeight="1" x14ac:dyDescent="0.3">
      <c r="A78" s="10" t="s">
        <v>456</v>
      </c>
      <c r="B78" s="10" t="s">
        <v>311</v>
      </c>
      <c r="C78" s="10" t="s">
        <v>33</v>
      </c>
      <c r="D78" s="16">
        <v>8000</v>
      </c>
      <c r="E78" s="23">
        <f t="shared" si="7"/>
        <v>81</v>
      </c>
      <c r="F78" s="45">
        <v>6.5916904813382998E-3</v>
      </c>
      <c r="G78" s="45">
        <v>1.30689687303247E-2</v>
      </c>
      <c r="H78" s="45">
        <v>3.9454537104129002E-3</v>
      </c>
      <c r="I78" s="45">
        <v>2.4283343989966101E-2</v>
      </c>
      <c r="J78" s="34">
        <f t="shared" si="8"/>
        <v>5.8586467156300781E-2</v>
      </c>
      <c r="K78" s="34">
        <f t="shared" si="9"/>
        <v>-0.20374330192764845</v>
      </c>
      <c r="L78" s="34">
        <f t="shared" si="10"/>
        <v>-0.57324566023407642</v>
      </c>
      <c r="M78" s="22">
        <v>-0.38039281106334838</v>
      </c>
      <c r="N78" s="6" t="b">
        <f t="shared" si="11"/>
        <v>0</v>
      </c>
      <c r="O78" s="6" t="b">
        <f t="shared" si="12"/>
        <v>0</v>
      </c>
      <c r="P78" s="19">
        <v>0</v>
      </c>
      <c r="Q78" s="46" t="str">
        <f t="shared" si="13"/>
        <v>-</v>
      </c>
      <c r="R78" s="24">
        <v>30.45814695969419</v>
      </c>
      <c r="S78" s="24">
        <v>61.916826616736977</v>
      </c>
      <c r="T78" s="6" t="s">
        <v>1112</v>
      </c>
      <c r="U78" s="10" t="b">
        <v>0</v>
      </c>
    </row>
    <row r="79" spans="1:21" ht="15" customHeight="1" x14ac:dyDescent="0.3">
      <c r="A79" s="10" t="s">
        <v>456</v>
      </c>
      <c r="B79" s="10" t="s">
        <v>306</v>
      </c>
      <c r="C79" s="10" t="s">
        <v>33</v>
      </c>
      <c r="D79" s="16">
        <v>8500</v>
      </c>
      <c r="E79" s="23">
        <f t="shared" si="7"/>
        <v>86</v>
      </c>
      <c r="F79" s="45">
        <v>6.0212615033755999E-3</v>
      </c>
      <c r="G79" s="45">
        <v>1.2418051613381199E-2</v>
      </c>
      <c r="H79" s="45">
        <v>3.3511499934358001E-3</v>
      </c>
      <c r="I79" s="45">
        <v>2.40214574492712E-2</v>
      </c>
      <c r="J79" s="34">
        <f t="shared" si="8"/>
        <v>6.7952438750783051E-2</v>
      </c>
      <c r="K79" s="34">
        <f t="shared" si="9"/>
        <v>-0.20710953597945769</v>
      </c>
      <c r="L79" s="34">
        <f t="shared" si="10"/>
        <v>-0.59698630563710986</v>
      </c>
      <c r="M79" s="22">
        <v>-0.36197715114477519</v>
      </c>
      <c r="N79" s="6" t="b">
        <f t="shared" si="11"/>
        <v>0</v>
      </c>
      <c r="O79" s="6" t="b">
        <f t="shared" si="12"/>
        <v>0</v>
      </c>
      <c r="P79" s="19">
        <v>0</v>
      </c>
      <c r="Q79" s="46" t="str">
        <f t="shared" si="13"/>
        <v>-</v>
      </c>
      <c r="R79" s="24">
        <v>30.96484172371029</v>
      </c>
      <c r="S79" s="24">
        <v>62.183930715151348</v>
      </c>
      <c r="T79" s="6" t="s">
        <v>1113</v>
      </c>
      <c r="U79" s="10" t="b">
        <v>0</v>
      </c>
    </row>
    <row r="80" spans="1:21" ht="15" customHeight="1" x14ac:dyDescent="0.3">
      <c r="A80" s="10" t="s">
        <v>456</v>
      </c>
      <c r="B80" s="10" t="s">
        <v>312</v>
      </c>
      <c r="C80" s="10" t="s">
        <v>33</v>
      </c>
      <c r="D80" s="16">
        <v>13000</v>
      </c>
      <c r="E80" s="23">
        <f t="shared" si="7"/>
        <v>131</v>
      </c>
      <c r="F80" s="45">
        <v>3.0670398400067002E-3</v>
      </c>
      <c r="G80" s="45">
        <v>3.1875580410525198E-2</v>
      </c>
      <c r="H80" s="45">
        <v>2.0028836505559099E-2</v>
      </c>
      <c r="I80" s="45">
        <v>4.00759225216447E-2</v>
      </c>
      <c r="J80" s="34">
        <f t="shared" si="8"/>
        <v>3.1757010337788012</v>
      </c>
      <c r="K80" s="34">
        <f t="shared" si="9"/>
        <v>1.288741626409839</v>
      </c>
      <c r="L80" s="34">
        <f t="shared" si="10"/>
        <v>0.51277990063455992</v>
      </c>
      <c r="M80" s="22">
        <v>1.135907403740158</v>
      </c>
      <c r="N80" s="6" t="b">
        <f t="shared" si="11"/>
        <v>1</v>
      </c>
      <c r="O80" s="6" t="b">
        <f t="shared" si="12"/>
        <v>0</v>
      </c>
      <c r="P80" s="19">
        <v>0</v>
      </c>
      <c r="Q80" s="46" t="str">
        <f t="shared" si="13"/>
        <v>-</v>
      </c>
      <c r="R80" s="24">
        <v>33.756483513246437</v>
      </c>
      <c r="S80" s="24">
        <v>59.760608262132067</v>
      </c>
      <c r="T80" s="6" t="s">
        <v>1114</v>
      </c>
      <c r="U80" s="10" t="b">
        <v>0</v>
      </c>
    </row>
    <row r="81" spans="1:21" ht="15" customHeight="1" x14ac:dyDescent="0.3">
      <c r="A81" s="10" t="s">
        <v>456</v>
      </c>
      <c r="B81" s="10" t="s">
        <v>307</v>
      </c>
      <c r="C81" s="10" t="s">
        <v>33</v>
      </c>
      <c r="D81" s="16">
        <v>15000</v>
      </c>
      <c r="E81" s="23">
        <f t="shared" si="7"/>
        <v>151</v>
      </c>
      <c r="F81" s="45">
        <v>2.4062791073850998E-3</v>
      </c>
      <c r="G81" s="45">
        <v>4.2206481514701997E-3</v>
      </c>
      <c r="H81" s="45">
        <v>9.7513293819349997E-4</v>
      </c>
      <c r="I81" s="45">
        <v>9.3007614012348E-3</v>
      </c>
      <c r="J81" s="34">
        <f t="shared" si="8"/>
        <v>-0.3626821291279998</v>
      </c>
      <c r="K81" s="34">
        <f t="shared" si="9"/>
        <v>-0.49966699195642483</v>
      </c>
      <c r="L81" s="34">
        <f t="shared" si="10"/>
        <v>-0.74470339055881574</v>
      </c>
      <c r="M81" s="22">
        <v>-0.67700397946770519</v>
      </c>
      <c r="N81" s="6" t="b">
        <f t="shared" si="11"/>
        <v>0</v>
      </c>
      <c r="O81" s="6" t="b">
        <f t="shared" si="12"/>
        <v>0</v>
      </c>
      <c r="P81" s="19">
        <v>0</v>
      </c>
      <c r="Q81" s="46" t="str">
        <f t="shared" si="13"/>
        <v>-</v>
      </c>
      <c r="R81" s="24">
        <v>28.128532834024998</v>
      </c>
      <c r="S81" s="24">
        <v>62.556568894878758</v>
      </c>
      <c r="T81" s="6" t="s">
        <v>1115</v>
      </c>
      <c r="U81" s="10" t="b">
        <v>0</v>
      </c>
    </row>
    <row r="82" spans="1:21" ht="15" customHeight="1" x14ac:dyDescent="0.3">
      <c r="A82" s="10" t="s">
        <v>456</v>
      </c>
      <c r="B82" s="10" t="s">
        <v>310</v>
      </c>
      <c r="C82" s="10" t="s">
        <v>33</v>
      </c>
      <c r="D82" s="16">
        <v>16000</v>
      </c>
      <c r="E82" s="23">
        <f t="shared" si="7"/>
        <v>161</v>
      </c>
      <c r="F82" s="45">
        <v>2.1517914351693E-3</v>
      </c>
      <c r="G82" s="45">
        <v>1.7474232481718401E-2</v>
      </c>
      <c r="H82" s="45">
        <v>8.0609801526186995E-3</v>
      </c>
      <c r="I82" s="45">
        <v>2.3261160169493301E-2</v>
      </c>
      <c r="J82" s="34">
        <f t="shared" si="8"/>
        <v>1.8133514295566626</v>
      </c>
      <c r="K82" s="34">
        <f t="shared" si="9"/>
        <v>0.57989492530945985</v>
      </c>
      <c r="L82" s="34">
        <f t="shared" si="10"/>
        <v>-0.17787188718306601</v>
      </c>
      <c r="M82" s="22">
        <v>0.21068768090312681</v>
      </c>
      <c r="N82" s="6" t="b">
        <f t="shared" si="11"/>
        <v>0</v>
      </c>
      <c r="O82" s="6" t="b">
        <f t="shared" si="12"/>
        <v>0</v>
      </c>
      <c r="P82" s="19">
        <v>0</v>
      </c>
      <c r="Q82" s="46" t="str">
        <f t="shared" si="13"/>
        <v>-</v>
      </c>
      <c r="R82" s="24">
        <v>29.39071332669409</v>
      </c>
      <c r="S82" s="24">
        <v>51.709210772462093</v>
      </c>
      <c r="T82" s="6" t="s">
        <v>1116</v>
      </c>
      <c r="U82" s="10" t="b">
        <v>0</v>
      </c>
    </row>
    <row r="83" spans="1:21" ht="15" customHeight="1" x14ac:dyDescent="0.3">
      <c r="A83" s="10" t="s">
        <v>456</v>
      </c>
      <c r="B83" s="10" t="s">
        <v>308</v>
      </c>
      <c r="C83" s="10" t="s">
        <v>33</v>
      </c>
      <c r="D83" s="16">
        <v>16000</v>
      </c>
      <c r="E83" s="23">
        <f t="shared" si="7"/>
        <v>161</v>
      </c>
      <c r="F83" s="45">
        <v>2.1517914351693E-3</v>
      </c>
      <c r="G83" s="45">
        <v>2.1608624988304799E-2</v>
      </c>
      <c r="H83" s="45">
        <v>1.2629678180641601E-2</v>
      </c>
      <c r="I83" s="45">
        <v>2.80426437128183E-2</v>
      </c>
      <c r="J83" s="34">
        <f t="shared" si="8"/>
        <v>2.4789886231170728</v>
      </c>
      <c r="K83" s="34">
        <f t="shared" si="9"/>
        <v>0.91271352208966494</v>
      </c>
      <c r="L83" s="34">
        <f t="shared" si="10"/>
        <v>0.18990830407277759</v>
      </c>
      <c r="M83" s="22">
        <v>0.59525158298779046</v>
      </c>
      <c r="N83" s="6" t="b">
        <f t="shared" si="11"/>
        <v>1</v>
      </c>
      <c r="O83" s="6" t="b">
        <f t="shared" si="12"/>
        <v>0</v>
      </c>
      <c r="P83" s="19">
        <v>0</v>
      </c>
      <c r="Q83" s="46" t="str">
        <f t="shared" si="13"/>
        <v>-</v>
      </c>
      <c r="R83" s="24">
        <v>30.129304639703559</v>
      </c>
      <c r="S83" s="24">
        <v>56.020318984172718</v>
      </c>
      <c r="T83" s="6" t="s">
        <v>1117</v>
      </c>
      <c r="U83" s="10" t="b">
        <v>0</v>
      </c>
    </row>
    <row r="84" spans="1:21" ht="15" customHeight="1" x14ac:dyDescent="0.3">
      <c r="A84" s="10" t="s">
        <v>456</v>
      </c>
      <c r="B84" s="10" t="s">
        <v>299</v>
      </c>
      <c r="C84" s="10" t="s">
        <v>33</v>
      </c>
      <c r="D84" s="16">
        <v>19000</v>
      </c>
      <c r="E84" s="23">
        <f t="shared" si="7"/>
        <v>191</v>
      </c>
      <c r="F84" s="45">
        <v>1.5873785423422E-3</v>
      </c>
      <c r="G84" s="45">
        <v>1.07441023195848E-2</v>
      </c>
      <c r="H84" s="45">
        <v>2.5187277063790001E-3</v>
      </c>
      <c r="I84" s="45">
        <v>1.9734596781127E-2</v>
      </c>
      <c r="J84" s="34">
        <f t="shared" si="8"/>
        <v>1.0521235430406968</v>
      </c>
      <c r="K84" s="34">
        <f t="shared" si="9"/>
        <v>0.17765642231402845</v>
      </c>
      <c r="L84" s="34">
        <f t="shared" si="10"/>
        <v>-0.60786685324712542</v>
      </c>
      <c r="M84" s="22">
        <v>-0.1689844448357741</v>
      </c>
      <c r="N84" s="6" t="b">
        <f t="shared" si="11"/>
        <v>0</v>
      </c>
      <c r="O84" s="6" t="b">
        <f t="shared" si="12"/>
        <v>0</v>
      </c>
      <c r="P84" s="19">
        <v>0</v>
      </c>
      <c r="Q84" s="46" t="str">
        <f t="shared" si="13"/>
        <v>-</v>
      </c>
      <c r="R84" s="24">
        <v>31.16043270574357</v>
      </c>
      <c r="S84" s="24">
        <v>62.355484172743843</v>
      </c>
      <c r="T84" s="6" t="s">
        <v>1118</v>
      </c>
      <c r="U84" s="10" t="b">
        <v>0</v>
      </c>
    </row>
    <row r="85" spans="1:21" ht="15" customHeight="1" x14ac:dyDescent="0.3">
      <c r="A85" s="10" t="s">
        <v>456</v>
      </c>
      <c r="B85" s="10" t="s">
        <v>309</v>
      </c>
      <c r="C85" s="10" t="s">
        <v>33</v>
      </c>
      <c r="D85" s="16">
        <v>20000</v>
      </c>
      <c r="E85" s="23">
        <f t="shared" si="7"/>
        <v>201</v>
      </c>
      <c r="F85" s="45">
        <v>1.4471099276239E-3</v>
      </c>
      <c r="G85" s="45">
        <v>3.2478238727283002E-3</v>
      </c>
      <c r="H85" s="45">
        <v>7.0141697356109996E-4</v>
      </c>
      <c r="I85" s="45">
        <v>7.3330177243955E-3</v>
      </c>
      <c r="J85" s="34">
        <f t="shared" si="8"/>
        <v>-0.34718740158161165</v>
      </c>
      <c r="K85" s="34">
        <f t="shared" si="9"/>
        <v>-0.52815915306460393</v>
      </c>
      <c r="L85" s="34">
        <f t="shared" si="10"/>
        <v>-0.78407304643090747</v>
      </c>
      <c r="M85" s="22">
        <v>-0.7130045230181169</v>
      </c>
      <c r="N85" s="6" t="b">
        <f t="shared" si="11"/>
        <v>0</v>
      </c>
      <c r="O85" s="6" t="b">
        <f t="shared" si="12"/>
        <v>0</v>
      </c>
      <c r="P85" s="19">
        <v>0</v>
      </c>
      <c r="Q85" s="46" t="str">
        <f t="shared" si="13"/>
        <v>-</v>
      </c>
      <c r="R85" s="24">
        <v>25.067770917719969</v>
      </c>
      <c r="S85" s="24">
        <v>49.04095266553972</v>
      </c>
      <c r="T85" s="6" t="s">
        <v>1119</v>
      </c>
      <c r="U85" s="10" t="b">
        <v>0</v>
      </c>
    </row>
    <row r="86" spans="1:21" ht="15" customHeight="1" x14ac:dyDescent="0.3">
      <c r="A86" s="10" t="s">
        <v>456</v>
      </c>
      <c r="B86" s="10" t="s">
        <v>449</v>
      </c>
      <c r="C86" s="10" t="s">
        <v>33</v>
      </c>
      <c r="D86" s="16">
        <v>20000</v>
      </c>
      <c r="E86" s="23">
        <f t="shared" si="7"/>
        <v>201</v>
      </c>
      <c r="F86" s="45">
        <v>1.4471099276239E-3</v>
      </c>
      <c r="G86" s="45">
        <v>1.496457257971E-4</v>
      </c>
      <c r="H86" s="45">
        <v>8.0801096984278001E-6</v>
      </c>
      <c r="I86" s="45">
        <v>5.9553399264539999E-4</v>
      </c>
      <c r="J86" s="34">
        <f t="shared" si="8"/>
        <v>-0.96992120911478286</v>
      </c>
      <c r="K86" s="34">
        <f t="shared" si="9"/>
        <v>-0.83952605683118953</v>
      </c>
      <c r="L86" s="34">
        <f t="shared" si="10"/>
        <v>-0.85375340124910604</v>
      </c>
      <c r="M86" s="22">
        <v>-0.8484079432576096</v>
      </c>
      <c r="N86" s="6" t="b">
        <f t="shared" si="11"/>
        <v>0</v>
      </c>
      <c r="O86" s="6" t="b">
        <f t="shared" si="12"/>
        <v>0</v>
      </c>
      <c r="P86" s="19">
        <v>0</v>
      </c>
      <c r="Q86" s="46" t="str">
        <f t="shared" si="13"/>
        <v>-</v>
      </c>
      <c r="R86" s="24">
        <v>31.550715559382681</v>
      </c>
      <c r="S86" s="24">
        <v>58.750874493675397</v>
      </c>
      <c r="T86" s="6" t="s">
        <v>1120</v>
      </c>
      <c r="U86" s="10" t="b">
        <v>0</v>
      </c>
    </row>
    <row r="87" spans="1:21" ht="15" customHeight="1" x14ac:dyDescent="0.3">
      <c r="A87" s="10" t="s">
        <v>456</v>
      </c>
      <c r="B87" s="10" t="s">
        <v>457</v>
      </c>
      <c r="C87" s="10" t="s">
        <v>33</v>
      </c>
      <c r="D87" s="16">
        <v>25000</v>
      </c>
      <c r="E87" s="23">
        <f t="shared" si="7"/>
        <v>251</v>
      </c>
      <c r="F87" s="45">
        <v>9.5997842018289998E-4</v>
      </c>
      <c r="G87" s="45">
        <v>1.6479890437560001E-4</v>
      </c>
      <c r="H87" s="45">
        <v>5.6679204221456017E-6</v>
      </c>
      <c r="I87" s="45">
        <v>8.1589200896670002E-4</v>
      </c>
      <c r="J87" s="34">
        <f t="shared" si="8"/>
        <v>-0.95863547500172441</v>
      </c>
      <c r="K87" s="34">
        <f t="shared" si="9"/>
        <v>-0.85884044576790819</v>
      </c>
      <c r="L87" s="34">
        <f t="shared" si="10"/>
        <v>-0.8788113842540668</v>
      </c>
      <c r="M87" s="22">
        <v>-0.8758265602736689</v>
      </c>
      <c r="N87" s="6" t="b">
        <f t="shared" si="11"/>
        <v>0</v>
      </c>
      <c r="O87" s="6" t="b">
        <f t="shared" si="12"/>
        <v>0</v>
      </c>
      <c r="P87" s="19">
        <v>0</v>
      </c>
      <c r="Q87" s="46" t="str">
        <f t="shared" si="13"/>
        <v>-</v>
      </c>
      <c r="R87" s="24">
        <v>30.269767169003689</v>
      </c>
      <c r="S87" s="24">
        <v>62.894714289099817</v>
      </c>
      <c r="T87" s="6" t="s">
        <v>1121</v>
      </c>
      <c r="U87" s="10" t="b">
        <v>0</v>
      </c>
    </row>
    <row r="88" spans="1:21" ht="15" customHeight="1" x14ac:dyDescent="0.3">
      <c r="A88" s="10" t="s">
        <v>456</v>
      </c>
      <c r="B88" s="10" t="s">
        <v>320</v>
      </c>
      <c r="C88" s="10" t="s">
        <v>33</v>
      </c>
      <c r="D88" s="16">
        <v>25000</v>
      </c>
      <c r="E88" s="23">
        <f t="shared" si="7"/>
        <v>251</v>
      </c>
      <c r="F88" s="45">
        <v>9.5997842018289998E-4</v>
      </c>
      <c r="G88" s="45">
        <v>7.8197098008569998E-4</v>
      </c>
      <c r="H88" s="45">
        <v>1.3308972346440001E-4</v>
      </c>
      <c r="I88" s="45">
        <v>2.5382163036873E-3</v>
      </c>
      <c r="J88" s="34">
        <f t="shared" si="8"/>
        <v>-0.8037252839984893</v>
      </c>
      <c r="K88" s="34">
        <f t="shared" si="9"/>
        <v>-0.78138535026629075</v>
      </c>
      <c r="L88" s="34">
        <f t="shared" si="10"/>
        <v>-0.8628199479722638</v>
      </c>
      <c r="M88" s="22">
        <v>-0.84521503326544367</v>
      </c>
      <c r="N88" s="6" t="b">
        <f t="shared" si="11"/>
        <v>0</v>
      </c>
      <c r="O88" s="6" t="b">
        <f t="shared" si="12"/>
        <v>0</v>
      </c>
      <c r="P88" s="19">
        <v>0</v>
      </c>
      <c r="Q88" s="46" t="str">
        <f t="shared" si="13"/>
        <v>-</v>
      </c>
      <c r="R88" s="24">
        <v>29.530698006165</v>
      </c>
      <c r="S88" s="24">
        <v>63.93533410744616</v>
      </c>
      <c r="T88" s="6" t="s">
        <v>1122</v>
      </c>
      <c r="U88" s="10" t="b">
        <v>0</v>
      </c>
    </row>
    <row r="89" spans="1:21" ht="15" customHeight="1" x14ac:dyDescent="0.3">
      <c r="A89" s="10" t="s">
        <v>456</v>
      </c>
      <c r="B89" s="10" t="s">
        <v>314</v>
      </c>
      <c r="C89" s="10" t="s">
        <v>33</v>
      </c>
      <c r="D89" s="16">
        <v>25000</v>
      </c>
      <c r="E89" s="23">
        <f t="shared" si="7"/>
        <v>251</v>
      </c>
      <c r="F89" s="45">
        <v>9.5997842018289998E-4</v>
      </c>
      <c r="G89" s="45">
        <v>7.5479604234430001E-4</v>
      </c>
      <c r="H89" s="45">
        <v>9.3206125891803359E-5</v>
      </c>
      <c r="I89" s="45">
        <v>2.7136315337413998E-3</v>
      </c>
      <c r="J89" s="34">
        <f t="shared" si="8"/>
        <v>-0.81054619337158074</v>
      </c>
      <c r="K89" s="34">
        <f t="shared" si="9"/>
        <v>-0.78479580495283641</v>
      </c>
      <c r="L89" s="34">
        <f t="shared" si="10"/>
        <v>-0.86782533946762475</v>
      </c>
      <c r="M89" s="22">
        <v>-0.85814394468259203</v>
      </c>
      <c r="N89" s="6" t="b">
        <f t="shared" si="11"/>
        <v>0</v>
      </c>
      <c r="O89" s="6" t="b">
        <f t="shared" si="12"/>
        <v>0</v>
      </c>
      <c r="P89" s="19">
        <v>0</v>
      </c>
      <c r="Q89" s="46" t="str">
        <f t="shared" si="13"/>
        <v>-</v>
      </c>
      <c r="R89" s="24">
        <v>31.139884461683248</v>
      </c>
      <c r="S89" s="24">
        <v>63.044866779027537</v>
      </c>
      <c r="T89" s="6" t="s">
        <v>1123</v>
      </c>
      <c r="U89" s="10" t="b">
        <v>0</v>
      </c>
    </row>
    <row r="90" spans="1:21" ht="15" customHeight="1" x14ac:dyDescent="0.3">
      <c r="A90" s="10" t="s">
        <v>458</v>
      </c>
      <c r="B90" s="10" t="s">
        <v>296</v>
      </c>
      <c r="C90" s="10" t="s">
        <v>33</v>
      </c>
      <c r="D90" s="16">
        <v>280</v>
      </c>
      <c r="E90" s="23">
        <f t="shared" si="7"/>
        <v>3.8</v>
      </c>
      <c r="F90" s="45">
        <v>0.2359293298065917</v>
      </c>
      <c r="G90" s="45">
        <v>0.19140612517084321</v>
      </c>
      <c r="H90" s="45">
        <v>0.1588981750099567</v>
      </c>
      <c r="I90" s="45">
        <v>0.2183937756303895</v>
      </c>
      <c r="J90" s="34">
        <f t="shared" si="8"/>
        <v>-0.2726567243507958</v>
      </c>
      <c r="K90" s="34">
        <f t="shared" si="9"/>
        <v>-0.18806263554287372</v>
      </c>
      <c r="L90" s="34">
        <f t="shared" si="10"/>
        <v>-0.24982774084855808</v>
      </c>
      <c r="M90" s="22">
        <v>-0.24999216302975369</v>
      </c>
      <c r="N90" s="6" t="b">
        <f t="shared" si="11"/>
        <v>0</v>
      </c>
      <c r="O90" s="6" t="b">
        <f t="shared" si="12"/>
        <v>0</v>
      </c>
      <c r="P90" s="19">
        <v>0</v>
      </c>
      <c r="Q90" s="46" t="str">
        <f t="shared" si="13"/>
        <v>-</v>
      </c>
      <c r="R90" s="24">
        <v>29.947368665182118</v>
      </c>
      <c r="S90" s="24">
        <v>61.00020333075102</v>
      </c>
      <c r="T90" s="6" t="s">
        <v>1124</v>
      </c>
      <c r="U90" s="10" t="b">
        <v>0</v>
      </c>
    </row>
    <row r="91" spans="1:21" ht="15" customHeight="1" x14ac:dyDescent="0.3">
      <c r="A91" s="10" t="s">
        <v>458</v>
      </c>
      <c r="B91" s="10" t="s">
        <v>294</v>
      </c>
      <c r="C91" s="10" t="s">
        <v>33</v>
      </c>
      <c r="D91" s="16">
        <v>690</v>
      </c>
      <c r="E91" s="23">
        <f t="shared" si="7"/>
        <v>7.9</v>
      </c>
      <c r="F91" s="45">
        <v>0.1107880538506822</v>
      </c>
      <c r="G91" s="45">
        <v>4.9592390975572602E-2</v>
      </c>
      <c r="H91" s="45">
        <v>4.1689007312067997E-2</v>
      </c>
      <c r="I91" s="45">
        <v>5.0901343138265699E-2</v>
      </c>
      <c r="J91" s="34">
        <f t="shared" si="8"/>
        <v>-0.60822011129297637</v>
      </c>
      <c r="K91" s="34">
        <f t="shared" si="9"/>
        <v>-0.36649724293629349</v>
      </c>
      <c r="L91" s="34">
        <f t="shared" si="10"/>
        <v>-0.39771560840713671</v>
      </c>
      <c r="M91" s="22">
        <v>-0.39901786016048091</v>
      </c>
      <c r="N91" s="6" t="b">
        <f t="shared" si="11"/>
        <v>0</v>
      </c>
      <c r="O91" s="6" t="b">
        <f t="shared" si="12"/>
        <v>0</v>
      </c>
      <c r="P91" s="19">
        <v>0</v>
      </c>
      <c r="Q91" s="46" t="str">
        <f t="shared" si="13"/>
        <v>-</v>
      </c>
      <c r="R91" s="24">
        <v>26.5079366799173</v>
      </c>
      <c r="S91" s="24">
        <v>60.359402405244488</v>
      </c>
      <c r="T91" s="6" t="s">
        <v>1125</v>
      </c>
      <c r="U91" s="10" t="b">
        <v>0</v>
      </c>
    </row>
    <row r="92" spans="1:21" ht="15" customHeight="1" x14ac:dyDescent="0.3">
      <c r="A92" s="10" t="s">
        <v>458</v>
      </c>
      <c r="B92" s="10" t="s">
        <v>452</v>
      </c>
      <c r="C92" s="10" t="s">
        <v>33</v>
      </c>
      <c r="D92" s="16">
        <v>700</v>
      </c>
      <c r="E92" s="23">
        <f t="shared" si="7"/>
        <v>8</v>
      </c>
      <c r="F92" s="45">
        <v>0.1093390736566945</v>
      </c>
      <c r="G92" s="45">
        <v>2.2547512774558701E-2</v>
      </c>
      <c r="H92" s="45">
        <v>1.56181850444527E-2</v>
      </c>
      <c r="I92" s="45">
        <v>2.7612146179121999E-2</v>
      </c>
      <c r="J92" s="34">
        <f t="shared" si="8"/>
        <v>-0.8196198978035304</v>
      </c>
      <c r="K92" s="34">
        <f t="shared" si="9"/>
        <v>-0.4724536542749872</v>
      </c>
      <c r="L92" s="34">
        <f t="shared" si="10"/>
        <v>-0.50017096519541115</v>
      </c>
      <c r="M92" s="22">
        <v>-0.50165085789351416</v>
      </c>
      <c r="N92" s="6" t="b">
        <f t="shared" si="11"/>
        <v>0</v>
      </c>
      <c r="O92" s="6" t="b">
        <f t="shared" si="12"/>
        <v>0</v>
      </c>
      <c r="P92" s="19">
        <v>0</v>
      </c>
      <c r="Q92" s="46" t="str">
        <f t="shared" si="13"/>
        <v>-</v>
      </c>
      <c r="R92" s="24">
        <v>25.822963635967731</v>
      </c>
      <c r="S92" s="24">
        <v>64.071973761339876</v>
      </c>
      <c r="T92" s="6" t="s">
        <v>1126</v>
      </c>
      <c r="U92" s="10" t="b">
        <v>0</v>
      </c>
    </row>
    <row r="93" spans="1:21" ht="15" customHeight="1" x14ac:dyDescent="0.3">
      <c r="A93" s="10" t="s">
        <v>458</v>
      </c>
      <c r="B93" s="10" t="s">
        <v>335</v>
      </c>
      <c r="C93" s="10" t="s">
        <v>33</v>
      </c>
      <c r="D93" s="16">
        <v>770</v>
      </c>
      <c r="E93" s="23">
        <f t="shared" si="7"/>
        <v>8.6999999999999993</v>
      </c>
      <c r="F93" s="45">
        <v>0.1001299022712278</v>
      </c>
      <c r="G93" s="45">
        <v>8.1021912130590096E-2</v>
      </c>
      <c r="H93" s="45">
        <v>7.61153484875777E-2</v>
      </c>
      <c r="I93" s="45">
        <v>8.47302894975311E-2</v>
      </c>
      <c r="J93" s="34">
        <f t="shared" si="8"/>
        <v>-0.29510936446386626</v>
      </c>
      <c r="K93" s="34">
        <f t="shared" si="9"/>
        <v>-0.21198960735209227</v>
      </c>
      <c r="L93" s="34">
        <f t="shared" si="10"/>
        <v>-0.23333315919919617</v>
      </c>
      <c r="M93" s="22">
        <v>-0.23363750021400259</v>
      </c>
      <c r="N93" s="6" t="b">
        <f t="shared" si="11"/>
        <v>0</v>
      </c>
      <c r="O93" s="6" t="b">
        <f t="shared" si="12"/>
        <v>0</v>
      </c>
      <c r="P93" s="19">
        <v>0</v>
      </c>
      <c r="Q93" s="46" t="str">
        <f t="shared" si="13"/>
        <v>-</v>
      </c>
      <c r="R93" s="24">
        <v>24.070942053433608</v>
      </c>
      <c r="S93" s="24">
        <v>65.586956438236413</v>
      </c>
      <c r="T93" s="6" t="s">
        <v>1127</v>
      </c>
      <c r="U93" s="10" t="b">
        <v>0</v>
      </c>
    </row>
    <row r="94" spans="1:21" ht="15" customHeight="1" x14ac:dyDescent="0.3">
      <c r="A94" s="10" t="s">
        <v>458</v>
      </c>
      <c r="B94" s="10" t="s">
        <v>459</v>
      </c>
      <c r="C94" s="10" t="s">
        <v>33</v>
      </c>
      <c r="D94" s="16">
        <v>900</v>
      </c>
      <c r="E94" s="23">
        <f t="shared" si="7"/>
        <v>10</v>
      </c>
      <c r="F94" s="45">
        <v>8.6451794293691195E-2</v>
      </c>
      <c r="G94" s="45">
        <v>0.21065562664166651</v>
      </c>
      <c r="H94" s="45">
        <v>0.165579322599953</v>
      </c>
      <c r="I94" s="45">
        <v>0.26023241654039991</v>
      </c>
      <c r="J94" s="34">
        <f t="shared" si="8"/>
        <v>1.106556266416665</v>
      </c>
      <c r="K94" s="34">
        <f t="shared" si="9"/>
        <v>0.48553710467678846</v>
      </c>
      <c r="L94" s="34">
        <f t="shared" si="10"/>
        <v>0.26015558446822107</v>
      </c>
      <c r="M94" s="22">
        <v>0.24963066537869569</v>
      </c>
      <c r="N94" s="6" t="b">
        <f t="shared" si="11"/>
        <v>1</v>
      </c>
      <c r="O94" s="6" t="b">
        <f t="shared" si="12"/>
        <v>1</v>
      </c>
      <c r="P94" s="19">
        <v>5.8618553079941996E-3</v>
      </c>
      <c r="Q94" s="46" t="str">
        <f t="shared" si="13"/>
        <v>-</v>
      </c>
      <c r="R94" s="24">
        <v>29.595107612315012</v>
      </c>
      <c r="S94" s="24">
        <v>52.57366324025142</v>
      </c>
      <c r="T94" s="6" t="s">
        <v>1128</v>
      </c>
      <c r="U94" s="10" t="b">
        <v>1</v>
      </c>
    </row>
    <row r="95" spans="1:21" ht="15" customHeight="1" x14ac:dyDescent="0.3">
      <c r="A95" s="10" t="s">
        <v>458</v>
      </c>
      <c r="B95" s="10" t="s">
        <v>325</v>
      </c>
      <c r="C95" s="10" t="s">
        <v>33</v>
      </c>
      <c r="D95" s="16">
        <v>990</v>
      </c>
      <c r="E95" s="23">
        <f t="shared" si="7"/>
        <v>10.9</v>
      </c>
      <c r="F95" s="45">
        <v>7.8896456452349203E-2</v>
      </c>
      <c r="G95" s="45">
        <v>0.25576686533213988</v>
      </c>
      <c r="H95" s="45">
        <v>0.21234068474272499</v>
      </c>
      <c r="I95" s="45">
        <v>0.30700488509231799</v>
      </c>
      <c r="J95" s="34">
        <f t="shared" si="8"/>
        <v>1.7878588321203246</v>
      </c>
      <c r="K95" s="34">
        <f t="shared" si="9"/>
        <v>0.82391510372546573</v>
      </c>
      <c r="L95" s="34">
        <f t="shared" si="10"/>
        <v>0.58724241951315448</v>
      </c>
      <c r="M95" s="22">
        <v>0.54799176629501334</v>
      </c>
      <c r="N95" s="6" t="b">
        <f t="shared" si="11"/>
        <v>1</v>
      </c>
      <c r="O95" s="6" t="b">
        <f t="shared" si="12"/>
        <v>1</v>
      </c>
      <c r="P95" s="19">
        <v>9.1636058707939994E-3</v>
      </c>
      <c r="Q95" s="46" t="str">
        <f t="shared" si="13"/>
        <v>-</v>
      </c>
      <c r="R95" s="24">
        <v>30.75907474159272</v>
      </c>
      <c r="S95" s="24">
        <v>62.588887936973073</v>
      </c>
      <c r="T95" s="6" t="s">
        <v>1129</v>
      </c>
      <c r="U95" s="10" t="b">
        <v>1</v>
      </c>
    </row>
    <row r="96" spans="1:21" ht="15" customHeight="1" x14ac:dyDescent="0.3">
      <c r="A96" s="10" t="s">
        <v>458</v>
      </c>
      <c r="B96" s="10" t="s">
        <v>394</v>
      </c>
      <c r="C96" s="10" t="s">
        <v>33</v>
      </c>
      <c r="D96" s="16">
        <v>1450</v>
      </c>
      <c r="E96" s="23">
        <f t="shared" si="7"/>
        <v>15.5</v>
      </c>
      <c r="F96" s="45">
        <v>5.40083798509539E-2</v>
      </c>
      <c r="G96" s="45">
        <v>7.4057115055239693E-6</v>
      </c>
      <c r="H96" s="45">
        <v>0</v>
      </c>
      <c r="I96" s="45">
        <v>4.5703017449407783E-5</v>
      </c>
      <c r="J96" s="34">
        <f t="shared" si="8"/>
        <v>-0.99988521147166443</v>
      </c>
      <c r="K96" s="34">
        <f t="shared" si="9"/>
        <v>-0.58137766189093942</v>
      </c>
      <c r="L96" s="34">
        <f t="shared" si="10"/>
        <v>-0.58143505615510727</v>
      </c>
      <c r="M96" s="22">
        <v>-0.5814295218053378</v>
      </c>
      <c r="N96" s="6" t="b">
        <f t="shared" si="11"/>
        <v>0</v>
      </c>
      <c r="O96" s="6" t="b">
        <f t="shared" si="12"/>
        <v>0</v>
      </c>
      <c r="P96" s="19">
        <v>0</v>
      </c>
      <c r="Q96" s="46" t="str">
        <f t="shared" si="13"/>
        <v>-</v>
      </c>
      <c r="R96" s="24">
        <v>17.900260238399071</v>
      </c>
      <c r="S96" s="24">
        <v>48.782234761232438</v>
      </c>
      <c r="T96" s="6" t="s">
        <v>1130</v>
      </c>
      <c r="U96" s="10" t="b">
        <v>0</v>
      </c>
    </row>
    <row r="97" spans="1:21" ht="15" customHeight="1" x14ac:dyDescent="0.3">
      <c r="A97" s="10" t="s">
        <v>458</v>
      </c>
      <c r="B97" s="10" t="s">
        <v>333</v>
      </c>
      <c r="C97" s="10" t="s">
        <v>33</v>
      </c>
      <c r="D97" s="16">
        <v>1700</v>
      </c>
      <c r="E97" s="23">
        <f t="shared" si="7"/>
        <v>18</v>
      </c>
      <c r="F97" s="45">
        <v>4.5832955336428803E-2</v>
      </c>
      <c r="G97" s="45">
        <v>7.2892233598321997E-3</v>
      </c>
      <c r="H97" s="45">
        <v>4.5632634375679998E-3</v>
      </c>
      <c r="I97" s="45">
        <v>9.2646891226398007E-3</v>
      </c>
      <c r="J97" s="34">
        <f t="shared" si="8"/>
        <v>-0.8687939795230204</v>
      </c>
      <c r="K97" s="34">
        <f t="shared" si="9"/>
        <v>-0.52190039173365099</v>
      </c>
      <c r="L97" s="34">
        <f t="shared" si="10"/>
        <v>-0.54643403103402877</v>
      </c>
      <c r="M97" s="22">
        <v>-0.54178254748086507</v>
      </c>
      <c r="N97" s="6" t="b">
        <f t="shared" si="11"/>
        <v>0</v>
      </c>
      <c r="O97" s="6" t="b">
        <f t="shared" si="12"/>
        <v>0</v>
      </c>
      <c r="P97" s="19">
        <v>0</v>
      </c>
      <c r="Q97" s="46" t="str">
        <f t="shared" si="13"/>
        <v>-</v>
      </c>
      <c r="R97" s="24">
        <v>25.136939395056341</v>
      </c>
      <c r="S97" s="24">
        <v>46.404778953743417</v>
      </c>
      <c r="T97" s="6" t="s">
        <v>1131</v>
      </c>
      <c r="U97" s="10" t="b">
        <v>0</v>
      </c>
    </row>
    <row r="98" spans="1:21" ht="15" customHeight="1" x14ac:dyDescent="0.3">
      <c r="A98" s="10" t="s">
        <v>458</v>
      </c>
      <c r="B98" s="10" t="s">
        <v>321</v>
      </c>
      <c r="C98" s="10" t="s">
        <v>33</v>
      </c>
      <c r="D98" s="16">
        <v>1900</v>
      </c>
      <c r="E98" s="23">
        <f t="shared" si="7"/>
        <v>20</v>
      </c>
      <c r="F98" s="45">
        <v>4.0771183669852398E-2</v>
      </c>
      <c r="G98" s="45">
        <v>3.112806671809E-3</v>
      </c>
      <c r="H98" s="45">
        <v>1.7546482565686001E-3</v>
      </c>
      <c r="I98" s="45">
        <v>5.8870409387525996E-3</v>
      </c>
      <c r="J98" s="34">
        <f t="shared" si="8"/>
        <v>-0.93774386656382003</v>
      </c>
      <c r="K98" s="34">
        <f t="shared" si="9"/>
        <v>-0.56116009658338606</v>
      </c>
      <c r="L98" s="34">
        <f t="shared" si="10"/>
        <v>-0.57474168073579002</v>
      </c>
      <c r="M98" s="22">
        <v>-0.57277624829750573</v>
      </c>
      <c r="N98" s="6" t="b">
        <f t="shared" si="11"/>
        <v>0</v>
      </c>
      <c r="O98" s="6" t="b">
        <f t="shared" si="12"/>
        <v>0</v>
      </c>
      <c r="P98" s="19">
        <v>0</v>
      </c>
      <c r="Q98" s="46" t="str">
        <f t="shared" si="13"/>
        <v>-</v>
      </c>
      <c r="R98" s="24">
        <v>25.125070958577041</v>
      </c>
      <c r="S98" s="24">
        <v>50.064654617833668</v>
      </c>
      <c r="T98" s="6" t="s">
        <v>1132</v>
      </c>
      <c r="U98" s="10" t="b">
        <v>0</v>
      </c>
    </row>
    <row r="99" spans="1:21" ht="15" customHeight="1" x14ac:dyDescent="0.3">
      <c r="A99" s="10" t="s">
        <v>458</v>
      </c>
      <c r="B99" s="10" t="s">
        <v>371</v>
      </c>
      <c r="C99" s="10" t="s">
        <v>33</v>
      </c>
      <c r="D99" s="16">
        <v>2000</v>
      </c>
      <c r="E99" s="23">
        <f t="shared" si="7"/>
        <v>21</v>
      </c>
      <c r="F99" s="45">
        <v>3.8604064761153099E-2</v>
      </c>
      <c r="G99" s="45">
        <v>5.0595077076047262E-6</v>
      </c>
      <c r="H99" s="45">
        <v>0</v>
      </c>
      <c r="I99" s="45">
        <v>2.4877571657014439E-5</v>
      </c>
      <c r="J99" s="34">
        <f t="shared" si="8"/>
        <v>-0.99989375033814032</v>
      </c>
      <c r="K99" s="34">
        <f t="shared" si="9"/>
        <v>-0.59460419517696261</v>
      </c>
      <c r="L99" s="34">
        <f t="shared" si="10"/>
        <v>-0.5946573200078924</v>
      </c>
      <c r="M99" s="22">
        <v>-0.5946573200078924</v>
      </c>
      <c r="N99" s="6" t="b">
        <f t="shared" si="11"/>
        <v>0</v>
      </c>
      <c r="O99" s="6" t="b">
        <f t="shared" si="12"/>
        <v>0</v>
      </c>
      <c r="P99" s="19">
        <v>0</v>
      </c>
      <c r="Q99" s="46" t="str">
        <f t="shared" si="13"/>
        <v>-</v>
      </c>
      <c r="R99" s="24">
        <v>17.177445273496289</v>
      </c>
      <c r="S99" s="24">
        <v>65.306993778680948</v>
      </c>
      <c r="T99" s="6" t="s">
        <v>1133</v>
      </c>
      <c r="U99" s="10" t="b">
        <v>0</v>
      </c>
    </row>
    <row r="100" spans="1:21" ht="15" customHeight="1" x14ac:dyDescent="0.3">
      <c r="A100" s="10" t="s">
        <v>458</v>
      </c>
      <c r="B100" s="10" t="s">
        <v>298</v>
      </c>
      <c r="C100" s="10" t="s">
        <v>33</v>
      </c>
      <c r="D100" s="16">
        <v>2250</v>
      </c>
      <c r="E100" s="23">
        <f t="shared" si="7"/>
        <v>23.5</v>
      </c>
      <c r="F100" s="45">
        <v>3.3998916119528599E-2</v>
      </c>
      <c r="G100" s="45">
        <v>5.0732294354605004E-3</v>
      </c>
      <c r="H100" s="45">
        <v>3.0307371718343002E-3</v>
      </c>
      <c r="I100" s="45">
        <v>8.0212761549106996E-3</v>
      </c>
      <c r="J100" s="34">
        <f t="shared" si="8"/>
        <v>-0.88077910826667827</v>
      </c>
      <c r="K100" s="34">
        <f t="shared" si="9"/>
        <v>-0.54090228972887811</v>
      </c>
      <c r="L100" s="34">
        <f t="shared" si="10"/>
        <v>-0.56490157382648598</v>
      </c>
      <c r="M100" s="22">
        <v>-0.56458865928753688</v>
      </c>
      <c r="N100" s="6" t="b">
        <f t="shared" si="11"/>
        <v>0</v>
      </c>
      <c r="O100" s="6" t="b">
        <f t="shared" si="12"/>
        <v>0</v>
      </c>
      <c r="P100" s="19">
        <v>0</v>
      </c>
      <c r="Q100" s="46" t="str">
        <f t="shared" si="13"/>
        <v>-</v>
      </c>
      <c r="R100" s="24">
        <v>26.177646553511341</v>
      </c>
      <c r="S100" s="24">
        <v>53.430498589117953</v>
      </c>
      <c r="T100" s="6" t="s">
        <v>1134</v>
      </c>
      <c r="U100" s="10" t="b">
        <v>0</v>
      </c>
    </row>
    <row r="101" spans="1:21" ht="15" customHeight="1" x14ac:dyDescent="0.3">
      <c r="A101" s="10" t="s">
        <v>458</v>
      </c>
      <c r="B101" s="10" t="s">
        <v>334</v>
      </c>
      <c r="C101" s="10" t="s">
        <v>33</v>
      </c>
      <c r="D101" s="16">
        <v>3600</v>
      </c>
      <c r="E101" s="23">
        <f t="shared" si="7"/>
        <v>37</v>
      </c>
      <c r="F101" s="45">
        <v>1.9973501302721099E-2</v>
      </c>
      <c r="G101" s="45">
        <v>9.0651459692565106E-2</v>
      </c>
      <c r="H101" s="45">
        <v>8.0895185200115002E-2</v>
      </c>
      <c r="I101" s="45">
        <v>9.7009004169809704E-2</v>
      </c>
      <c r="J101" s="34">
        <f t="shared" si="8"/>
        <v>2.3541040086249088</v>
      </c>
      <c r="K101" s="34">
        <f t="shared" si="9"/>
        <v>1.0465617784127947</v>
      </c>
      <c r="L101" s="34">
        <f t="shared" si="10"/>
        <v>0.86607070030246791</v>
      </c>
      <c r="M101" s="22">
        <v>0.88017709555348378</v>
      </c>
      <c r="N101" s="6" t="b">
        <f t="shared" si="11"/>
        <v>1</v>
      </c>
      <c r="O101" s="6" t="b">
        <f t="shared" si="12"/>
        <v>0</v>
      </c>
      <c r="P101" s="19">
        <v>0</v>
      </c>
      <c r="Q101" s="46" t="str">
        <f t="shared" si="13"/>
        <v>-</v>
      </c>
      <c r="R101" s="24">
        <v>28.357974224180939</v>
      </c>
      <c r="S101" s="24">
        <v>58.361504383355538</v>
      </c>
      <c r="T101" s="6" t="s">
        <v>1135</v>
      </c>
      <c r="U101" s="10" t="b">
        <v>1</v>
      </c>
    </row>
    <row r="102" spans="1:21" ht="15" customHeight="1" x14ac:dyDescent="0.3">
      <c r="A102" s="10" t="s">
        <v>458</v>
      </c>
      <c r="B102" s="10" t="s">
        <v>460</v>
      </c>
      <c r="C102" s="10" t="s">
        <v>33</v>
      </c>
      <c r="D102" s="16">
        <v>6500</v>
      </c>
      <c r="E102" s="23">
        <f t="shared" si="7"/>
        <v>66</v>
      </c>
      <c r="F102" s="45">
        <v>9.5149195358927002E-3</v>
      </c>
      <c r="G102" s="45">
        <v>5.2187772570609699E-2</v>
      </c>
      <c r="H102" s="45">
        <v>4.4045046822523998E-2</v>
      </c>
      <c r="I102" s="45">
        <v>5.5460442516002198E-2</v>
      </c>
      <c r="J102" s="34">
        <f t="shared" si="8"/>
        <v>2.4443929896602401</v>
      </c>
      <c r="K102" s="34">
        <f t="shared" si="9"/>
        <v>1.0361888395145793</v>
      </c>
      <c r="L102" s="34">
        <f t="shared" si="10"/>
        <v>0.76747888982775114</v>
      </c>
      <c r="M102" s="22">
        <v>0.83115571131324995</v>
      </c>
      <c r="N102" s="6" t="b">
        <f t="shared" si="11"/>
        <v>1</v>
      </c>
      <c r="O102" s="6" t="b">
        <f t="shared" si="12"/>
        <v>0</v>
      </c>
      <c r="P102" s="19">
        <v>0</v>
      </c>
      <c r="Q102" s="46" t="str">
        <f t="shared" si="13"/>
        <v>-</v>
      </c>
      <c r="R102" s="24">
        <v>25.399191264207129</v>
      </c>
      <c r="S102" s="24">
        <v>64.853893273576148</v>
      </c>
      <c r="T102" s="6" t="s">
        <v>1136</v>
      </c>
      <c r="U102" s="10" t="b">
        <v>1</v>
      </c>
    </row>
    <row r="103" spans="1:21" ht="15" customHeight="1" x14ac:dyDescent="0.3">
      <c r="A103" s="10" t="s">
        <v>458</v>
      </c>
      <c r="B103" s="10" t="s">
        <v>316</v>
      </c>
      <c r="C103" s="10" t="s">
        <v>33</v>
      </c>
      <c r="D103" s="16">
        <v>8100</v>
      </c>
      <c r="E103" s="23">
        <f t="shared" si="7"/>
        <v>82</v>
      </c>
      <c r="F103" s="45">
        <v>7.0263568732220998E-3</v>
      </c>
      <c r="G103" s="45">
        <v>1.0473653318307E-3</v>
      </c>
      <c r="H103" s="45">
        <v>4.3385681014909997E-4</v>
      </c>
      <c r="I103" s="45">
        <v>1.8349073973544E-3</v>
      </c>
      <c r="J103" s="34">
        <f t="shared" si="8"/>
        <v>-0.91411604278988257</v>
      </c>
      <c r="K103" s="34">
        <f t="shared" si="9"/>
        <v>-0.66897738959283526</v>
      </c>
      <c r="L103" s="34">
        <f t="shared" si="10"/>
        <v>-0.69413123898178086</v>
      </c>
      <c r="M103" s="22">
        <v>-0.69838747982639027</v>
      </c>
      <c r="N103" s="6" t="b">
        <f t="shared" si="11"/>
        <v>0</v>
      </c>
      <c r="O103" s="6" t="b">
        <f t="shared" si="12"/>
        <v>0</v>
      </c>
      <c r="P103" s="19">
        <v>0</v>
      </c>
      <c r="Q103" s="46" t="str">
        <f t="shared" si="13"/>
        <v>-</v>
      </c>
      <c r="R103" s="24">
        <v>28.207876848042911</v>
      </c>
      <c r="S103" s="24">
        <v>61.316203579703313</v>
      </c>
      <c r="T103" s="6" t="s">
        <v>1137</v>
      </c>
      <c r="U103" s="10" t="b">
        <v>0</v>
      </c>
    </row>
    <row r="104" spans="1:21" ht="15" customHeight="1" x14ac:dyDescent="0.3">
      <c r="A104" s="10" t="s">
        <v>458</v>
      </c>
      <c r="B104" s="10" t="s">
        <v>461</v>
      </c>
      <c r="C104" s="10" t="s">
        <v>33</v>
      </c>
      <c r="D104" s="16">
        <v>9100</v>
      </c>
      <c r="E104" s="23">
        <f t="shared" si="7"/>
        <v>92</v>
      </c>
      <c r="F104" s="45">
        <v>5.9436584256129001E-3</v>
      </c>
      <c r="G104" s="45">
        <v>1.5083268438739999E-4</v>
      </c>
      <c r="H104" s="45">
        <v>4.5703017449407783E-5</v>
      </c>
      <c r="I104" s="45">
        <v>5.2509129758989998E-4</v>
      </c>
      <c r="J104" s="34">
        <f t="shared" si="8"/>
        <v>-0.98612339303635921</v>
      </c>
      <c r="K104" s="34">
        <f t="shared" si="9"/>
        <v>-0.71965340893998619</v>
      </c>
      <c r="L104" s="34">
        <f t="shared" si="10"/>
        <v>-0.72448937361913379</v>
      </c>
      <c r="M104" s="22">
        <v>-0.72457635990759095</v>
      </c>
      <c r="N104" s="6" t="b">
        <f t="shared" si="11"/>
        <v>0</v>
      </c>
      <c r="O104" s="6" t="b">
        <f t="shared" si="12"/>
        <v>0</v>
      </c>
      <c r="P104" s="19">
        <v>0</v>
      </c>
      <c r="Q104" s="46" t="str">
        <f t="shared" si="13"/>
        <v>-</v>
      </c>
      <c r="R104" s="24">
        <v>18.34870431135046</v>
      </c>
      <c r="S104" s="24">
        <v>55.787238598250639</v>
      </c>
      <c r="T104" s="6" t="s">
        <v>1138</v>
      </c>
      <c r="U104" s="10" t="b">
        <v>0</v>
      </c>
    </row>
    <row r="105" spans="1:21" ht="15" customHeight="1" x14ac:dyDescent="0.3">
      <c r="A105" s="10" t="s">
        <v>458</v>
      </c>
      <c r="B105" s="10" t="s">
        <v>450</v>
      </c>
      <c r="C105" s="10" t="s">
        <v>33</v>
      </c>
      <c r="D105" s="16">
        <v>10000</v>
      </c>
      <c r="E105" s="23">
        <f t="shared" si="7"/>
        <v>101</v>
      </c>
      <c r="F105" s="45">
        <v>5.1707998811278003E-3</v>
      </c>
      <c r="G105" s="45">
        <v>7.8809518947017005E-3</v>
      </c>
      <c r="H105" s="45">
        <v>4.2662134817074999E-3</v>
      </c>
      <c r="I105" s="45">
        <v>1.26404174365092E-2</v>
      </c>
      <c r="J105" s="34">
        <f t="shared" si="8"/>
        <v>-0.20402385863512829</v>
      </c>
      <c r="K105" s="34">
        <f t="shared" si="9"/>
        <v>-0.3408865353206102</v>
      </c>
      <c r="L105" s="34">
        <f t="shared" si="10"/>
        <v>-0.52343082517681727</v>
      </c>
      <c r="M105" s="22">
        <v>-0.50856363064912147</v>
      </c>
      <c r="N105" s="6" t="b">
        <f t="shared" si="11"/>
        <v>0</v>
      </c>
      <c r="O105" s="6" t="b">
        <f t="shared" si="12"/>
        <v>0</v>
      </c>
      <c r="P105" s="19">
        <v>0</v>
      </c>
      <c r="Q105" s="46" t="str">
        <f t="shared" si="13"/>
        <v>-</v>
      </c>
      <c r="R105" s="24">
        <v>30.121050236115959</v>
      </c>
      <c r="S105" s="24">
        <v>65.049039040442636</v>
      </c>
      <c r="T105" s="6" t="s">
        <v>1139</v>
      </c>
      <c r="U105" s="10" t="b">
        <v>0</v>
      </c>
    </row>
    <row r="106" spans="1:21" ht="15" customHeight="1" x14ac:dyDescent="0.3">
      <c r="A106" s="10" t="s">
        <v>458</v>
      </c>
      <c r="B106" s="10" t="s">
        <v>462</v>
      </c>
      <c r="C106" s="10" t="s">
        <v>33</v>
      </c>
      <c r="D106" s="16">
        <v>13000</v>
      </c>
      <c r="E106" s="23">
        <f t="shared" si="7"/>
        <v>131</v>
      </c>
      <c r="F106" s="45">
        <v>3.4466412740674001E-3</v>
      </c>
      <c r="G106" s="45">
        <v>5.1097526896867432E-7</v>
      </c>
      <c r="H106" s="45">
        <v>0</v>
      </c>
      <c r="I106" s="45">
        <v>3.1096964571268049E-6</v>
      </c>
      <c r="J106" s="34">
        <f t="shared" si="8"/>
        <v>-0.99993306223976508</v>
      </c>
      <c r="K106" s="34">
        <f t="shared" si="9"/>
        <v>-0.77421152766846779</v>
      </c>
      <c r="L106" s="34">
        <f t="shared" si="10"/>
        <v>-0.77424499654858525</v>
      </c>
      <c r="M106" s="22">
        <v>-0.77421953590883807</v>
      </c>
      <c r="N106" s="6" t="b">
        <f t="shared" si="11"/>
        <v>0</v>
      </c>
      <c r="O106" s="6" t="b">
        <f t="shared" si="12"/>
        <v>0</v>
      </c>
      <c r="P106" s="19">
        <v>0</v>
      </c>
      <c r="Q106" s="46" t="str">
        <f t="shared" si="13"/>
        <v>-</v>
      </c>
      <c r="R106" s="24">
        <v>16.548049293569971</v>
      </c>
      <c r="S106" s="24">
        <v>64.382288907325631</v>
      </c>
      <c r="T106" s="6" t="s">
        <v>1140</v>
      </c>
      <c r="U106" s="10" t="b">
        <v>0</v>
      </c>
    </row>
    <row r="107" spans="1:21" ht="15" customHeight="1" x14ac:dyDescent="0.3">
      <c r="A107" s="10" t="s">
        <v>458</v>
      </c>
      <c r="B107" s="10" t="s">
        <v>327</v>
      </c>
      <c r="C107" s="10" t="s">
        <v>33</v>
      </c>
      <c r="D107" s="16">
        <v>13000</v>
      </c>
      <c r="E107" s="23">
        <f t="shared" si="7"/>
        <v>131</v>
      </c>
      <c r="F107" s="45">
        <v>3.4466412740674001E-3</v>
      </c>
      <c r="G107" s="45">
        <v>1.7488697020646999E-3</v>
      </c>
      <c r="H107" s="45">
        <v>7.1696798968439997E-4</v>
      </c>
      <c r="I107" s="45">
        <v>3.2341222290050002E-3</v>
      </c>
      <c r="J107" s="34">
        <f t="shared" si="8"/>
        <v>-0.77089806902952429</v>
      </c>
      <c r="K107" s="34">
        <f t="shared" si="9"/>
        <v>-0.65969403106334745</v>
      </c>
      <c r="L107" s="34">
        <f t="shared" si="10"/>
        <v>-0.72728359322425706</v>
      </c>
      <c r="M107" s="22">
        <v>-0.73548594064529516</v>
      </c>
      <c r="N107" s="6" t="b">
        <f t="shared" si="11"/>
        <v>0</v>
      </c>
      <c r="O107" s="6" t="b">
        <f t="shared" si="12"/>
        <v>0</v>
      </c>
      <c r="P107" s="19">
        <v>0</v>
      </c>
      <c r="Q107" s="46" t="str">
        <f t="shared" si="13"/>
        <v>-</v>
      </c>
      <c r="R107" s="24">
        <v>27.02368363400878</v>
      </c>
      <c r="S107" s="24">
        <v>64.459123025902727</v>
      </c>
      <c r="T107" s="6" t="s">
        <v>1141</v>
      </c>
      <c r="U107" s="10" t="b">
        <v>0</v>
      </c>
    </row>
    <row r="108" spans="1:21" ht="15" customHeight="1" x14ac:dyDescent="0.3">
      <c r="A108" s="10" t="s">
        <v>458</v>
      </c>
      <c r="B108" s="10" t="s">
        <v>323</v>
      </c>
      <c r="C108" s="10" t="s">
        <v>33</v>
      </c>
      <c r="D108" s="16">
        <v>16000</v>
      </c>
      <c r="E108" s="23">
        <f t="shared" si="7"/>
        <v>161</v>
      </c>
      <c r="F108" s="45">
        <v>2.4533516852901002E-3</v>
      </c>
      <c r="G108" s="45">
        <v>1.1716762575113E-3</v>
      </c>
      <c r="H108" s="45">
        <v>4.9825426261839996E-4</v>
      </c>
      <c r="I108" s="45">
        <v>2.2098375117486999E-3</v>
      </c>
      <c r="J108" s="34">
        <f t="shared" si="8"/>
        <v>-0.81136012254068068</v>
      </c>
      <c r="K108" s="34">
        <f t="shared" si="9"/>
        <v>-0.70818525060448723</v>
      </c>
      <c r="L108" s="34">
        <f t="shared" si="10"/>
        <v>-0.76239572119336574</v>
      </c>
      <c r="M108" s="22">
        <v>-0.76915805519572311</v>
      </c>
      <c r="N108" s="6" t="b">
        <f t="shared" si="11"/>
        <v>0</v>
      </c>
      <c r="O108" s="6" t="b">
        <f t="shared" si="12"/>
        <v>0</v>
      </c>
      <c r="P108" s="19">
        <v>0</v>
      </c>
      <c r="Q108" s="46" t="str">
        <f t="shared" si="13"/>
        <v>-</v>
      </c>
      <c r="R108" s="24">
        <v>27.045434371270229</v>
      </c>
      <c r="S108" s="24">
        <v>60.188808783759278</v>
      </c>
      <c r="T108" s="6" t="s">
        <v>1142</v>
      </c>
      <c r="U108" s="10" t="b">
        <v>0</v>
      </c>
    </row>
    <row r="109" spans="1:21" ht="15" customHeight="1" x14ac:dyDescent="0.3">
      <c r="A109" s="10" t="s">
        <v>458</v>
      </c>
      <c r="B109" s="10" t="s">
        <v>463</v>
      </c>
      <c r="C109" s="10" t="s">
        <v>33</v>
      </c>
      <c r="D109" s="16">
        <v>16000</v>
      </c>
      <c r="E109" s="23">
        <f t="shared" si="7"/>
        <v>161</v>
      </c>
      <c r="F109" s="45">
        <v>2.4533516852901002E-3</v>
      </c>
      <c r="G109" s="45">
        <v>8.1393776907122996E-3</v>
      </c>
      <c r="H109" s="45">
        <v>4.6199202123817004E-3</v>
      </c>
      <c r="I109" s="45">
        <v>1.1771032820802701E-2</v>
      </c>
      <c r="J109" s="34">
        <f t="shared" si="8"/>
        <v>0.3104398082046802</v>
      </c>
      <c r="K109" s="34">
        <f t="shared" si="9"/>
        <v>-0.14728528523180684</v>
      </c>
      <c r="L109" s="34">
        <f t="shared" si="10"/>
        <v>-0.43060161223742011</v>
      </c>
      <c r="M109" s="22">
        <v>-0.40729936209369139</v>
      </c>
      <c r="N109" s="6" t="b">
        <f t="shared" si="11"/>
        <v>0</v>
      </c>
      <c r="O109" s="6" t="b">
        <f t="shared" si="12"/>
        <v>0</v>
      </c>
      <c r="P109" s="19">
        <v>0</v>
      </c>
      <c r="Q109" s="46" t="str">
        <f t="shared" si="13"/>
        <v>-</v>
      </c>
      <c r="R109" s="24">
        <v>24.138623567505451</v>
      </c>
      <c r="S109" s="24">
        <v>56.252258642886197</v>
      </c>
      <c r="T109" s="6" t="s">
        <v>1143</v>
      </c>
      <c r="U109" s="10" t="b">
        <v>0</v>
      </c>
    </row>
    <row r="110" spans="1:21" ht="15" customHeight="1" x14ac:dyDescent="0.3">
      <c r="A110" s="10" t="s">
        <v>458</v>
      </c>
      <c r="B110" s="10" t="s">
        <v>326</v>
      </c>
      <c r="C110" s="10" t="s">
        <v>33</v>
      </c>
      <c r="D110" s="16">
        <v>16000</v>
      </c>
      <c r="E110" s="23">
        <f t="shared" si="7"/>
        <v>161</v>
      </c>
      <c r="F110" s="45">
        <v>2.4533516852901002E-3</v>
      </c>
      <c r="G110" s="45">
        <v>3.0759398774549002E-3</v>
      </c>
      <c r="H110" s="45">
        <v>1.4536951638105E-3</v>
      </c>
      <c r="I110" s="45">
        <v>5.3894227285250004E-3</v>
      </c>
      <c r="J110" s="34">
        <f t="shared" si="8"/>
        <v>-0.50477367972976106</v>
      </c>
      <c r="K110" s="34">
        <f t="shared" si="9"/>
        <v>-0.55489202919902747</v>
      </c>
      <c r="L110" s="34">
        <f t="shared" si="10"/>
        <v>-0.68548272864740167</v>
      </c>
      <c r="M110" s="22">
        <v>-0.71838814572549936</v>
      </c>
      <c r="N110" s="6" t="b">
        <f t="shared" si="11"/>
        <v>0</v>
      </c>
      <c r="O110" s="6" t="b">
        <f t="shared" si="12"/>
        <v>0</v>
      </c>
      <c r="P110" s="19">
        <v>0</v>
      </c>
      <c r="Q110" s="46" t="str">
        <f t="shared" si="13"/>
        <v>-</v>
      </c>
      <c r="R110" s="24">
        <v>28.435078781563249</v>
      </c>
      <c r="S110" s="24">
        <v>62.7001754758857</v>
      </c>
      <c r="T110" s="6" t="s">
        <v>1144</v>
      </c>
      <c r="U110" s="10" t="b">
        <v>0</v>
      </c>
    </row>
    <row r="111" spans="1:21" ht="15" customHeight="1" x14ac:dyDescent="0.3">
      <c r="A111" s="10" t="s">
        <v>458</v>
      </c>
      <c r="B111" s="10" t="s">
        <v>464</v>
      </c>
      <c r="C111" s="10" t="s">
        <v>33</v>
      </c>
      <c r="D111" s="16">
        <v>25000</v>
      </c>
      <c r="E111" s="23">
        <f t="shared" si="7"/>
        <v>251</v>
      </c>
      <c r="F111" s="45">
        <v>1.1224387694213E-3</v>
      </c>
      <c r="G111" s="45">
        <v>2.0198070974477089E-6</v>
      </c>
      <c r="H111" s="45">
        <v>0</v>
      </c>
      <c r="I111" s="45">
        <v>8.7955498090645834E-6</v>
      </c>
      <c r="J111" s="34">
        <f t="shared" si="8"/>
        <v>-0.9994930284185406</v>
      </c>
      <c r="K111" s="34">
        <f t="shared" si="9"/>
        <v>-0.85888044864689717</v>
      </c>
      <c r="L111" s="34">
        <f t="shared" si="10"/>
        <v>-0.85913393443762687</v>
      </c>
      <c r="M111" s="22">
        <v>-0.85913393443762587</v>
      </c>
      <c r="N111" s="6" t="b">
        <f t="shared" si="11"/>
        <v>0</v>
      </c>
      <c r="O111" s="6" t="b">
        <f t="shared" si="12"/>
        <v>0</v>
      </c>
      <c r="P111" s="19">
        <v>0</v>
      </c>
      <c r="Q111" s="46" t="str">
        <f t="shared" si="13"/>
        <v>-</v>
      </c>
      <c r="R111" s="24">
        <v>18.487927189140649</v>
      </c>
      <c r="S111" s="24">
        <v>64.833805024473577</v>
      </c>
      <c r="T111" s="6" t="s">
        <v>1145</v>
      </c>
      <c r="U111" s="10" t="b">
        <v>0</v>
      </c>
    </row>
    <row r="112" spans="1:21" ht="15" customHeight="1" x14ac:dyDescent="0.3">
      <c r="A112" s="10" t="s">
        <v>458</v>
      </c>
      <c r="B112" s="10" t="s">
        <v>465</v>
      </c>
      <c r="C112" s="10" t="s">
        <v>33</v>
      </c>
      <c r="D112" s="16">
        <v>25000</v>
      </c>
      <c r="E112" s="23">
        <f t="shared" si="7"/>
        <v>251</v>
      </c>
      <c r="F112" s="45">
        <v>1.1224387694213E-3</v>
      </c>
      <c r="G112" s="45">
        <v>5.5698864004720004E-4</v>
      </c>
      <c r="H112" s="45">
        <v>2.074755154827E-4</v>
      </c>
      <c r="I112" s="45">
        <v>1.1110080640282E-3</v>
      </c>
      <c r="J112" s="34">
        <f t="shared" si="8"/>
        <v>-0.8601958513481528</v>
      </c>
      <c r="K112" s="34">
        <f t="shared" si="9"/>
        <v>-0.78923186011170321</v>
      </c>
      <c r="L112" s="34">
        <f t="shared" si="10"/>
        <v>-0.83309575724454799</v>
      </c>
      <c r="M112" s="22">
        <v>-0.83832435813957951</v>
      </c>
      <c r="N112" s="6" t="b">
        <f t="shared" si="11"/>
        <v>0</v>
      </c>
      <c r="O112" s="6" t="b">
        <f t="shared" si="12"/>
        <v>0</v>
      </c>
      <c r="P112" s="19">
        <v>0</v>
      </c>
      <c r="Q112" s="46" t="str">
        <f t="shared" si="13"/>
        <v>-</v>
      </c>
      <c r="R112" s="24">
        <v>20.645971105851959</v>
      </c>
      <c r="S112" s="24">
        <v>52.566846772113003</v>
      </c>
      <c r="T112" s="6" t="s">
        <v>1146</v>
      </c>
      <c r="U112" s="10" t="b">
        <v>0</v>
      </c>
    </row>
    <row r="113" spans="1:21" ht="15" customHeight="1" x14ac:dyDescent="0.3">
      <c r="A113" s="10" t="s">
        <v>458</v>
      </c>
      <c r="B113" s="10" t="s">
        <v>466</v>
      </c>
      <c r="C113" s="10" t="s">
        <v>33</v>
      </c>
      <c r="D113" s="16">
        <v>25000</v>
      </c>
      <c r="E113" s="23">
        <f t="shared" si="7"/>
        <v>251</v>
      </c>
      <c r="F113" s="45">
        <v>1.1224387694213E-3</v>
      </c>
      <c r="G113" s="45">
        <v>6.1955024237459982E-6</v>
      </c>
      <c r="H113" s="45">
        <v>0</v>
      </c>
      <c r="I113" s="45">
        <v>1.6564096725153609E-5</v>
      </c>
      <c r="J113" s="34">
        <f t="shared" si="8"/>
        <v>-0.99844492889163972</v>
      </c>
      <c r="K113" s="34">
        <f t="shared" si="9"/>
        <v>-0.85835639888344673</v>
      </c>
      <c r="L113" s="34">
        <f t="shared" si="10"/>
        <v>-0.85913393443762687</v>
      </c>
      <c r="M113" s="22">
        <v>-0.85913393443762587</v>
      </c>
      <c r="N113" s="6" t="b">
        <f t="shared" si="11"/>
        <v>0</v>
      </c>
      <c r="O113" s="6" t="b">
        <f t="shared" si="12"/>
        <v>0</v>
      </c>
      <c r="P113" s="19">
        <v>0</v>
      </c>
      <c r="Q113" s="46" t="str">
        <f t="shared" si="13"/>
        <v>-</v>
      </c>
      <c r="R113" s="24">
        <v>30.194633777807979</v>
      </c>
      <c r="S113" s="24">
        <v>64.426068276959668</v>
      </c>
      <c r="T113" s="6" t="s">
        <v>1147</v>
      </c>
      <c r="U113" s="10" t="b">
        <v>0</v>
      </c>
    </row>
    <row r="114" spans="1:21" ht="15" customHeight="1" x14ac:dyDescent="0.3">
      <c r="A114" s="10" t="s">
        <v>467</v>
      </c>
      <c r="B114" s="10" t="s">
        <v>296</v>
      </c>
      <c r="C114" s="10" t="s">
        <v>33</v>
      </c>
      <c r="D114" s="16">
        <v>200</v>
      </c>
      <c r="E114" s="23">
        <f t="shared" si="7"/>
        <v>3</v>
      </c>
      <c r="F114" s="45">
        <v>0.30365009811342741</v>
      </c>
      <c r="G114" s="45">
        <v>0.25808110128584599</v>
      </c>
      <c r="H114" s="45">
        <v>0.23479555976317609</v>
      </c>
      <c r="I114" s="45">
        <v>0.30381406424791291</v>
      </c>
      <c r="J114" s="34">
        <f t="shared" si="8"/>
        <v>-0.22575669614246197</v>
      </c>
      <c r="K114" s="34">
        <f t="shared" si="9"/>
        <v>-0.15740320090108995</v>
      </c>
      <c r="L114" s="34">
        <f t="shared" si="10"/>
        <v>-0.19233151318509478</v>
      </c>
      <c r="M114" s="22">
        <v>-0.2440591780569214</v>
      </c>
      <c r="N114" s="6" t="b">
        <f t="shared" si="11"/>
        <v>0</v>
      </c>
      <c r="O114" s="6" t="b">
        <f t="shared" si="12"/>
        <v>0</v>
      </c>
      <c r="P114" s="19">
        <v>0</v>
      </c>
      <c r="Q114" s="46" t="str">
        <f t="shared" si="13"/>
        <v>-</v>
      </c>
      <c r="R114" s="24">
        <v>29.947368665182118</v>
      </c>
      <c r="S114" s="24">
        <v>61.00020333075102</v>
      </c>
      <c r="T114" s="6" t="s">
        <v>1148</v>
      </c>
      <c r="U114" s="10" t="b">
        <v>0</v>
      </c>
    </row>
    <row r="115" spans="1:21" ht="15" customHeight="1" x14ac:dyDescent="0.3">
      <c r="A115" s="10" t="s">
        <v>467</v>
      </c>
      <c r="B115" s="10" t="s">
        <v>445</v>
      </c>
      <c r="C115" s="10" t="s">
        <v>33</v>
      </c>
      <c r="D115" s="16">
        <v>280</v>
      </c>
      <c r="E115" s="23">
        <f t="shared" si="7"/>
        <v>3.8</v>
      </c>
      <c r="F115" s="45">
        <v>0.2382755101847098</v>
      </c>
      <c r="G115" s="45">
        <v>7.5997798202161196E-2</v>
      </c>
      <c r="H115" s="45">
        <v>7.0521947156984802E-2</v>
      </c>
      <c r="I115" s="45">
        <v>8.0620365029915098E-2</v>
      </c>
      <c r="J115" s="34">
        <f t="shared" si="8"/>
        <v>-0.71120836683178745</v>
      </c>
      <c r="K115" s="34">
        <f t="shared" si="9"/>
        <v>-0.40288071406494508</v>
      </c>
      <c r="L115" s="34">
        <f t="shared" si="10"/>
        <v>-0.41328483105078029</v>
      </c>
      <c r="M115" s="22">
        <v>-0.41134396002397478</v>
      </c>
      <c r="N115" s="6" t="b">
        <f t="shared" si="11"/>
        <v>0</v>
      </c>
      <c r="O115" s="6" t="b">
        <f t="shared" si="12"/>
        <v>0</v>
      </c>
      <c r="P115" s="19">
        <v>0</v>
      </c>
      <c r="Q115" s="46" t="str">
        <f t="shared" si="13"/>
        <v>-</v>
      </c>
      <c r="R115" s="24">
        <v>25.542312901946811</v>
      </c>
      <c r="S115" s="24">
        <v>49.981502154789638</v>
      </c>
      <c r="T115" s="6" t="s">
        <v>1149</v>
      </c>
      <c r="U115" s="10" t="b">
        <v>0</v>
      </c>
    </row>
    <row r="116" spans="1:21" ht="15" customHeight="1" x14ac:dyDescent="0.3">
      <c r="A116" s="10" t="s">
        <v>467</v>
      </c>
      <c r="B116" s="10" t="s">
        <v>299</v>
      </c>
      <c r="C116" s="10" t="s">
        <v>33</v>
      </c>
      <c r="D116" s="16">
        <v>360</v>
      </c>
      <c r="E116" s="23">
        <f t="shared" si="7"/>
        <v>4.5999999999999996</v>
      </c>
      <c r="F116" s="45">
        <v>0.1956473438291523</v>
      </c>
      <c r="G116" s="45">
        <v>0.22269317703072269</v>
      </c>
      <c r="H116" s="45">
        <v>0.2068949746847793</v>
      </c>
      <c r="I116" s="45">
        <v>0.2559722878055336</v>
      </c>
      <c r="J116" s="34">
        <f t="shared" si="8"/>
        <v>2.4388614341324333E-2</v>
      </c>
      <c r="K116" s="34">
        <f t="shared" si="9"/>
        <v>-3.7816802022287543E-2</v>
      </c>
      <c r="L116" s="34">
        <f t="shared" si="10"/>
        <v>-7.4152667417957341E-2</v>
      </c>
      <c r="M116" s="22">
        <v>-0.1544805720205594</v>
      </c>
      <c r="N116" s="6" t="b">
        <f t="shared" si="11"/>
        <v>0</v>
      </c>
      <c r="O116" s="6" t="b">
        <f t="shared" si="12"/>
        <v>0</v>
      </c>
      <c r="P116" s="19">
        <v>0</v>
      </c>
      <c r="Q116" s="46" t="str">
        <f t="shared" si="13"/>
        <v>-</v>
      </c>
      <c r="R116" s="24">
        <v>31.16043270574357</v>
      </c>
      <c r="S116" s="24">
        <v>62.355484172743843</v>
      </c>
      <c r="T116" s="6" t="s">
        <v>1150</v>
      </c>
      <c r="U116" s="10" t="b">
        <v>0</v>
      </c>
    </row>
    <row r="117" spans="1:21" ht="15" customHeight="1" x14ac:dyDescent="0.3">
      <c r="A117" s="10" t="s">
        <v>467</v>
      </c>
      <c r="B117" s="10" t="s">
        <v>304</v>
      </c>
      <c r="C117" s="10" t="s">
        <v>33</v>
      </c>
      <c r="D117" s="16">
        <v>780</v>
      </c>
      <c r="E117" s="23">
        <f t="shared" si="7"/>
        <v>8.8000000000000007</v>
      </c>
      <c r="F117" s="45">
        <v>9.90710040980044E-2</v>
      </c>
      <c r="G117" s="45">
        <v>0.2213094426478753</v>
      </c>
      <c r="H117" s="45">
        <v>0.20674841335685601</v>
      </c>
      <c r="I117" s="45">
        <v>0.2715825299471411</v>
      </c>
      <c r="J117" s="34">
        <f t="shared" si="8"/>
        <v>0.94752309530130274</v>
      </c>
      <c r="K117" s="34">
        <f t="shared" si="9"/>
        <v>0.40967396568187087</v>
      </c>
      <c r="L117" s="34">
        <f t="shared" si="10"/>
        <v>0.34560543680138589</v>
      </c>
      <c r="M117" s="22">
        <v>0.2227129673119172</v>
      </c>
      <c r="N117" s="6" t="b">
        <f t="shared" si="11"/>
        <v>1</v>
      </c>
      <c r="O117" s="6" t="b">
        <f t="shared" si="12"/>
        <v>1</v>
      </c>
      <c r="P117" s="19">
        <v>4.4146258877162002E-3</v>
      </c>
      <c r="Q117" s="46" t="str">
        <f t="shared" si="13"/>
        <v>-</v>
      </c>
      <c r="R117" s="24">
        <v>30.261034551294308</v>
      </c>
      <c r="S117" s="24">
        <v>52.345212178439454</v>
      </c>
      <c r="T117" s="6" t="s">
        <v>1151</v>
      </c>
      <c r="U117" s="10" t="b">
        <v>1</v>
      </c>
    </row>
    <row r="118" spans="1:21" ht="15" customHeight="1" x14ac:dyDescent="0.3">
      <c r="A118" s="10" t="s">
        <v>467</v>
      </c>
      <c r="B118" s="10" t="s">
        <v>468</v>
      </c>
      <c r="C118" s="10" t="s">
        <v>33</v>
      </c>
      <c r="D118" s="16">
        <v>900</v>
      </c>
      <c r="E118" s="23">
        <f t="shared" si="7"/>
        <v>10</v>
      </c>
      <c r="F118" s="45">
        <v>8.6395356062245604E-2</v>
      </c>
      <c r="G118" s="45">
        <v>9.1101603935963005E-3</v>
      </c>
      <c r="H118" s="45">
        <v>5.2605728724966997E-3</v>
      </c>
      <c r="I118" s="45">
        <v>1.0720654466883001E-2</v>
      </c>
      <c r="J118" s="34">
        <f t="shared" si="8"/>
        <v>-0.908898396064037</v>
      </c>
      <c r="K118" s="34">
        <f t="shared" si="9"/>
        <v>-0.52247241772079045</v>
      </c>
      <c r="L118" s="34">
        <f t="shared" si="10"/>
        <v>-0.54172035532628848</v>
      </c>
      <c r="M118" s="22">
        <v>-0.54348533760142603</v>
      </c>
      <c r="N118" s="6" t="b">
        <f t="shared" si="11"/>
        <v>0</v>
      </c>
      <c r="O118" s="6" t="b">
        <f t="shared" si="12"/>
        <v>0</v>
      </c>
      <c r="P118" s="19">
        <v>0</v>
      </c>
      <c r="Q118" s="46" t="str">
        <f t="shared" si="13"/>
        <v>-</v>
      </c>
      <c r="R118" s="24">
        <v>25.591702755494541</v>
      </c>
      <c r="S118" s="24">
        <v>59.964446222111143</v>
      </c>
      <c r="T118" s="6" t="s">
        <v>1152</v>
      </c>
      <c r="U118" s="10" t="b">
        <v>0</v>
      </c>
    </row>
    <row r="119" spans="1:21" ht="15" customHeight="1" x14ac:dyDescent="0.3">
      <c r="A119" s="10" t="s">
        <v>467</v>
      </c>
      <c r="B119" s="10" t="s">
        <v>297</v>
      </c>
      <c r="C119" s="10" t="s">
        <v>33</v>
      </c>
      <c r="D119" s="16">
        <v>2100</v>
      </c>
      <c r="E119" s="23">
        <f t="shared" si="7"/>
        <v>22</v>
      </c>
      <c r="F119" s="45">
        <v>3.5882209212428101E-2</v>
      </c>
      <c r="G119" s="45">
        <v>8.2607396965720795E-2</v>
      </c>
      <c r="H119" s="45">
        <v>7.9536410427982901E-2</v>
      </c>
      <c r="I119" s="45">
        <v>9.1586015234288207E-2</v>
      </c>
      <c r="J119" s="34">
        <f t="shared" si="8"/>
        <v>0.81736273324585751</v>
      </c>
      <c r="K119" s="34">
        <f t="shared" si="9"/>
        <v>0.30338566795963784</v>
      </c>
      <c r="L119" s="34">
        <f t="shared" si="10"/>
        <v>0.26960481604452102</v>
      </c>
      <c r="M119" s="22">
        <v>0.21989755427862251</v>
      </c>
      <c r="N119" s="6" t="b">
        <f t="shared" si="11"/>
        <v>1</v>
      </c>
      <c r="O119" s="6" t="b">
        <f t="shared" si="12"/>
        <v>0</v>
      </c>
      <c r="P119" s="19">
        <v>0</v>
      </c>
      <c r="Q119" s="46" t="str">
        <f t="shared" si="13"/>
        <v>-</v>
      </c>
      <c r="R119" s="24">
        <v>33.125934196024232</v>
      </c>
      <c r="S119" s="24">
        <v>60.11935487331364</v>
      </c>
      <c r="T119" s="6" t="s">
        <v>1153</v>
      </c>
      <c r="U119" s="10" t="b">
        <v>0</v>
      </c>
    </row>
    <row r="120" spans="1:21" ht="15" customHeight="1" x14ac:dyDescent="0.3">
      <c r="A120" s="10" t="s">
        <v>467</v>
      </c>
      <c r="B120" s="10" t="s">
        <v>453</v>
      </c>
      <c r="C120" s="10" t="s">
        <v>33</v>
      </c>
      <c r="D120" s="16">
        <v>6000</v>
      </c>
      <c r="E120" s="23">
        <f t="shared" si="7"/>
        <v>61</v>
      </c>
      <c r="F120" s="45">
        <v>9.7687799374999995E-3</v>
      </c>
      <c r="G120" s="45">
        <v>6.7871278523761597E-2</v>
      </c>
      <c r="H120" s="45">
        <v>6.0927493360286598E-2</v>
      </c>
      <c r="I120" s="45">
        <v>7.1497436512760595E-2</v>
      </c>
      <c r="J120" s="34">
        <f t="shared" si="8"/>
        <v>3.1401479899494573</v>
      </c>
      <c r="K120" s="34">
        <f t="shared" si="9"/>
        <v>1.3680217830684787</v>
      </c>
      <c r="L120" s="34">
        <f t="shared" si="10"/>
        <v>1.1562363355824914</v>
      </c>
      <c r="M120" s="22">
        <v>1.203396970806059</v>
      </c>
      <c r="N120" s="6" t="b">
        <f t="shared" si="11"/>
        <v>1</v>
      </c>
      <c r="O120" s="6" t="b">
        <f t="shared" si="12"/>
        <v>0</v>
      </c>
      <c r="P120" s="19">
        <v>0</v>
      </c>
      <c r="Q120" s="46" t="str">
        <f t="shared" si="13"/>
        <v>-</v>
      </c>
      <c r="R120" s="24">
        <v>31.884688809247471</v>
      </c>
      <c r="S120" s="24">
        <v>59.997742479614402</v>
      </c>
      <c r="T120" s="6" t="s">
        <v>1154</v>
      </c>
      <c r="U120" s="10" t="b">
        <v>1</v>
      </c>
    </row>
    <row r="121" spans="1:21" ht="15" customHeight="1" x14ac:dyDescent="0.3">
      <c r="A121" s="10" t="s">
        <v>467</v>
      </c>
      <c r="B121" s="10" t="s">
        <v>317</v>
      </c>
      <c r="C121" s="10" t="s">
        <v>33</v>
      </c>
      <c r="D121" s="16">
        <v>7000</v>
      </c>
      <c r="E121" s="23">
        <f t="shared" si="7"/>
        <v>71</v>
      </c>
      <c r="F121" s="45">
        <v>7.8430009863095992E-3</v>
      </c>
      <c r="G121" s="45">
        <v>5.4844475408572001E-3</v>
      </c>
      <c r="H121" s="45">
        <v>3.3253123522929999E-3</v>
      </c>
      <c r="I121" s="45">
        <v>7.0651406038413998E-3</v>
      </c>
      <c r="J121" s="34">
        <f t="shared" si="8"/>
        <v>-0.61060422459913877</v>
      </c>
      <c r="K121" s="34">
        <f t="shared" si="9"/>
        <v>-0.52687557728557866</v>
      </c>
      <c r="L121" s="34">
        <f t="shared" si="10"/>
        <v>-0.60352487647960773</v>
      </c>
      <c r="M121" s="22">
        <v>-0.62738244588182412</v>
      </c>
      <c r="N121" s="6" t="b">
        <f t="shared" si="11"/>
        <v>0</v>
      </c>
      <c r="O121" s="6" t="b">
        <f t="shared" si="12"/>
        <v>0</v>
      </c>
      <c r="P121" s="19">
        <v>0</v>
      </c>
      <c r="Q121" s="46" t="str">
        <f t="shared" si="13"/>
        <v>-</v>
      </c>
      <c r="R121" s="24">
        <v>28.08356899447551</v>
      </c>
      <c r="S121" s="24">
        <v>53.748822140376937</v>
      </c>
      <c r="T121" s="6" t="s">
        <v>1155</v>
      </c>
      <c r="U121" s="10" t="b">
        <v>0</v>
      </c>
    </row>
    <row r="122" spans="1:21" ht="15" customHeight="1" x14ac:dyDescent="0.3">
      <c r="A122" s="10" t="s">
        <v>467</v>
      </c>
      <c r="B122" s="10" t="s">
        <v>315</v>
      </c>
      <c r="C122" s="10" t="s">
        <v>33</v>
      </c>
      <c r="D122" s="16">
        <v>7000</v>
      </c>
      <c r="E122" s="23">
        <f t="shared" si="7"/>
        <v>71</v>
      </c>
      <c r="F122" s="45">
        <v>7.8430009863095992E-3</v>
      </c>
      <c r="G122" s="45">
        <v>1.78436612969405E-2</v>
      </c>
      <c r="H122" s="45">
        <v>1.3336387175244E-2</v>
      </c>
      <c r="I122" s="45">
        <v>2.0712513246318301E-2</v>
      </c>
      <c r="J122" s="34">
        <f t="shared" si="8"/>
        <v>0.2668999520827755</v>
      </c>
      <c r="K122" s="34">
        <f t="shared" si="9"/>
        <v>-8.812348894462152E-2</v>
      </c>
      <c r="L122" s="34">
        <f t="shared" si="10"/>
        <v>-0.24813172026484731</v>
      </c>
      <c r="M122" s="22">
        <v>-0.30466927231014701</v>
      </c>
      <c r="N122" s="6" t="b">
        <f t="shared" si="11"/>
        <v>0</v>
      </c>
      <c r="O122" s="6" t="b">
        <f t="shared" si="12"/>
        <v>0</v>
      </c>
      <c r="P122" s="19">
        <v>0</v>
      </c>
      <c r="Q122" s="46" t="str">
        <f t="shared" si="13"/>
        <v>-</v>
      </c>
      <c r="R122" s="24">
        <v>27.3921401380079</v>
      </c>
      <c r="S122" s="24">
        <v>62.220067115805662</v>
      </c>
      <c r="T122" s="6" t="s">
        <v>1156</v>
      </c>
      <c r="U122" s="10" t="b">
        <v>0</v>
      </c>
    </row>
    <row r="123" spans="1:21" ht="15" customHeight="1" x14ac:dyDescent="0.3">
      <c r="A123" s="10" t="s">
        <v>467</v>
      </c>
      <c r="B123" s="10" t="s">
        <v>316</v>
      </c>
      <c r="C123" s="10" t="s">
        <v>33</v>
      </c>
      <c r="D123" s="16">
        <v>15000</v>
      </c>
      <c r="E123" s="23">
        <f t="shared" si="7"/>
        <v>151</v>
      </c>
      <c r="F123" s="45">
        <v>2.3168799586384E-3</v>
      </c>
      <c r="G123" s="45">
        <v>4.0471269581070002E-4</v>
      </c>
      <c r="H123" s="45">
        <v>1.6646871355600001E-4</v>
      </c>
      <c r="I123" s="45">
        <v>5.9048457548949997E-4</v>
      </c>
      <c r="J123" s="34">
        <f t="shared" si="8"/>
        <v>-0.93888838293258425</v>
      </c>
      <c r="K123" s="34">
        <f t="shared" si="9"/>
        <v>-0.79451975458909296</v>
      </c>
      <c r="L123" s="34">
        <f t="shared" si="10"/>
        <v>-0.81250717524932281</v>
      </c>
      <c r="M123" s="22">
        <v>-0.81590735693913163</v>
      </c>
      <c r="N123" s="6" t="b">
        <f t="shared" si="11"/>
        <v>0</v>
      </c>
      <c r="O123" s="6" t="b">
        <f t="shared" si="12"/>
        <v>0</v>
      </c>
      <c r="P123" s="19">
        <v>0</v>
      </c>
      <c r="Q123" s="46" t="str">
        <f t="shared" si="13"/>
        <v>-</v>
      </c>
      <c r="R123" s="24">
        <v>28.207876848042911</v>
      </c>
      <c r="S123" s="24">
        <v>61.316203579703313</v>
      </c>
      <c r="T123" s="6" t="s">
        <v>1157</v>
      </c>
      <c r="U123" s="10" t="b">
        <v>0</v>
      </c>
    </row>
    <row r="124" spans="1:21" ht="15" customHeight="1" x14ac:dyDescent="0.3">
      <c r="A124" s="10" t="s">
        <v>467</v>
      </c>
      <c r="B124" s="10" t="s">
        <v>320</v>
      </c>
      <c r="C124" s="10" t="s">
        <v>33</v>
      </c>
      <c r="D124" s="16">
        <v>15000</v>
      </c>
      <c r="E124" s="23">
        <f t="shared" si="7"/>
        <v>151</v>
      </c>
      <c r="F124" s="45">
        <v>2.3168799586384E-3</v>
      </c>
      <c r="G124" s="45">
        <v>1.6193337881968001E-3</v>
      </c>
      <c r="H124" s="45">
        <v>5.7675018910700003E-4</v>
      </c>
      <c r="I124" s="45">
        <v>2.4262206109595002E-3</v>
      </c>
      <c r="J124" s="34">
        <f t="shared" si="8"/>
        <v>-0.75548059798228318</v>
      </c>
      <c r="K124" s="34">
        <f t="shared" si="9"/>
        <v>-0.70281586211394242</v>
      </c>
      <c r="L124" s="34">
        <f t="shared" si="10"/>
        <v>-0.78153092384522227</v>
      </c>
      <c r="M124" s="22">
        <v>-0.78578664116729546</v>
      </c>
      <c r="N124" s="6" t="b">
        <f t="shared" si="11"/>
        <v>0</v>
      </c>
      <c r="O124" s="6" t="b">
        <f t="shared" si="12"/>
        <v>0</v>
      </c>
      <c r="P124" s="19">
        <v>0</v>
      </c>
      <c r="Q124" s="46" t="str">
        <f t="shared" si="13"/>
        <v>-</v>
      </c>
      <c r="R124" s="24">
        <v>29.530698006165</v>
      </c>
      <c r="S124" s="24">
        <v>63.93533410744616</v>
      </c>
      <c r="T124" s="6" t="s">
        <v>1158</v>
      </c>
      <c r="U124" s="10" t="b">
        <v>0</v>
      </c>
    </row>
    <row r="125" spans="1:21" ht="15" customHeight="1" x14ac:dyDescent="0.3">
      <c r="A125" s="10" t="s">
        <v>467</v>
      </c>
      <c r="B125" s="10" t="s">
        <v>295</v>
      </c>
      <c r="C125" s="10" t="s">
        <v>33</v>
      </c>
      <c r="D125" s="16">
        <v>15000</v>
      </c>
      <c r="E125" s="23">
        <f t="shared" si="7"/>
        <v>151</v>
      </c>
      <c r="F125" s="45">
        <v>2.3168799586384E-3</v>
      </c>
      <c r="G125" s="45">
        <v>4.6627284598510996E-3</v>
      </c>
      <c r="H125" s="45">
        <v>2.6122034036113002E-3</v>
      </c>
      <c r="I125" s="45">
        <v>5.8180596195490999E-3</v>
      </c>
      <c r="J125" s="34">
        <f t="shared" si="8"/>
        <v>-0.29592800256248397</v>
      </c>
      <c r="K125" s="34">
        <f t="shared" si="9"/>
        <v>-0.47303956440404271</v>
      </c>
      <c r="L125" s="34">
        <f t="shared" si="10"/>
        <v>-0.62785420615014764</v>
      </c>
      <c r="M125" s="22">
        <v>-0.66534306616080929</v>
      </c>
      <c r="N125" s="6" t="b">
        <f t="shared" si="11"/>
        <v>0</v>
      </c>
      <c r="O125" s="6" t="b">
        <f t="shared" si="12"/>
        <v>0</v>
      </c>
      <c r="P125" s="19">
        <v>0</v>
      </c>
      <c r="Q125" s="46" t="str">
        <f t="shared" si="13"/>
        <v>-</v>
      </c>
      <c r="R125" s="24">
        <v>31.72070449786353</v>
      </c>
      <c r="S125" s="24">
        <v>63.304134235828073</v>
      </c>
      <c r="T125" s="6" t="s">
        <v>1159</v>
      </c>
      <c r="U125" s="10" t="b">
        <v>0</v>
      </c>
    </row>
    <row r="126" spans="1:21" ht="15" customHeight="1" x14ac:dyDescent="0.3">
      <c r="A126" s="10" t="s">
        <v>467</v>
      </c>
      <c r="B126" s="10" t="s">
        <v>469</v>
      </c>
      <c r="C126" s="10" t="s">
        <v>33</v>
      </c>
      <c r="D126" s="16">
        <v>17000</v>
      </c>
      <c r="E126" s="23">
        <f t="shared" si="7"/>
        <v>171</v>
      </c>
      <c r="F126" s="45">
        <v>1.8584403514002E-3</v>
      </c>
      <c r="G126" s="45">
        <v>1.2890438213265E-3</v>
      </c>
      <c r="H126" s="45">
        <v>6.0830065471139999E-4</v>
      </c>
      <c r="I126" s="45">
        <v>1.9550068731273001E-3</v>
      </c>
      <c r="J126" s="34">
        <f t="shared" si="8"/>
        <v>-0.77957350655316848</v>
      </c>
      <c r="K126" s="34">
        <f t="shared" si="9"/>
        <v>-0.73089010323186709</v>
      </c>
      <c r="L126" s="34">
        <f t="shared" si="10"/>
        <v>-0.78909364397745818</v>
      </c>
      <c r="M126" s="22">
        <v>-0.81243720141882314</v>
      </c>
      <c r="N126" s="6" t="b">
        <f t="shared" si="11"/>
        <v>0</v>
      </c>
      <c r="O126" s="6" t="b">
        <f t="shared" si="12"/>
        <v>0</v>
      </c>
      <c r="P126" s="19">
        <v>0</v>
      </c>
      <c r="Q126" s="46" t="str">
        <f t="shared" si="13"/>
        <v>-</v>
      </c>
      <c r="R126" s="24">
        <v>26.39367719734355</v>
      </c>
      <c r="S126" s="24">
        <v>57.88192476127179</v>
      </c>
      <c r="T126" s="6" t="s">
        <v>1160</v>
      </c>
      <c r="U126" s="10" t="b">
        <v>0</v>
      </c>
    </row>
    <row r="127" spans="1:21" ht="15" customHeight="1" x14ac:dyDescent="0.3">
      <c r="A127" s="10" t="s">
        <v>467</v>
      </c>
      <c r="B127" s="10" t="s">
        <v>386</v>
      </c>
      <c r="C127" s="10" t="s">
        <v>33</v>
      </c>
      <c r="D127" s="16">
        <v>17000</v>
      </c>
      <c r="E127" s="23">
        <f t="shared" si="7"/>
        <v>171</v>
      </c>
      <c r="F127" s="45">
        <v>1.8584403514002E-3</v>
      </c>
      <c r="G127" s="45">
        <v>3.9893755758680001E-4</v>
      </c>
      <c r="H127" s="45">
        <v>1.202723935247E-4</v>
      </c>
      <c r="I127" s="45">
        <v>5.6118624817830004E-4</v>
      </c>
      <c r="J127" s="34">
        <f t="shared" si="8"/>
        <v>-0.93178167765265718</v>
      </c>
      <c r="K127" s="34">
        <f t="shared" si="9"/>
        <v>-0.80699418878161144</v>
      </c>
      <c r="L127" s="34">
        <f t="shared" si="10"/>
        <v>-0.83082006030892108</v>
      </c>
      <c r="M127" s="22">
        <v>-0.8311594735796467</v>
      </c>
      <c r="N127" s="6" t="b">
        <f t="shared" si="11"/>
        <v>0</v>
      </c>
      <c r="O127" s="6" t="b">
        <f t="shared" si="12"/>
        <v>0</v>
      </c>
      <c r="P127" s="19">
        <v>0</v>
      </c>
      <c r="Q127" s="46" t="str">
        <f t="shared" si="13"/>
        <v>-</v>
      </c>
      <c r="R127" s="24">
        <v>24.908866071766361</v>
      </c>
      <c r="S127" s="24">
        <v>64.629402177627185</v>
      </c>
      <c r="T127" s="6" t="s">
        <v>1161</v>
      </c>
      <c r="U127" s="10" t="b">
        <v>0</v>
      </c>
    </row>
    <row r="128" spans="1:21" ht="15" customHeight="1" x14ac:dyDescent="0.3">
      <c r="A128" s="10" t="s">
        <v>467</v>
      </c>
      <c r="B128" s="10" t="s">
        <v>470</v>
      </c>
      <c r="C128" s="10" t="s">
        <v>33</v>
      </c>
      <c r="D128" s="16">
        <v>20000</v>
      </c>
      <c r="E128" s="23">
        <f t="shared" si="7"/>
        <v>201</v>
      </c>
      <c r="F128" s="45">
        <v>1.3860538599709E-3</v>
      </c>
      <c r="G128" s="45">
        <v>1.8688959214820701E-2</v>
      </c>
      <c r="H128" s="45">
        <v>1.3637553416127201E-2</v>
      </c>
      <c r="I128" s="45">
        <v>2.00115589092346E-2</v>
      </c>
      <c r="J128" s="34">
        <f t="shared" si="8"/>
        <v>2.7564808021789609</v>
      </c>
      <c r="K128" s="34">
        <f t="shared" si="9"/>
        <v>1.0175388140165555</v>
      </c>
      <c r="L128" s="34">
        <f t="shared" si="10"/>
        <v>0.50987253124785914</v>
      </c>
      <c r="M128" s="22">
        <v>0.3837931738898952</v>
      </c>
      <c r="N128" s="6" t="b">
        <f t="shared" si="11"/>
        <v>1</v>
      </c>
      <c r="O128" s="6" t="b">
        <f t="shared" si="12"/>
        <v>0</v>
      </c>
      <c r="P128" s="19">
        <v>0</v>
      </c>
      <c r="Q128" s="46" t="str">
        <f t="shared" si="13"/>
        <v>-</v>
      </c>
      <c r="R128" s="24">
        <v>27.890961601668941</v>
      </c>
      <c r="S128" s="24">
        <v>52.326871957989283</v>
      </c>
      <c r="T128" s="6" t="s">
        <v>1162</v>
      </c>
      <c r="U128" s="10" t="b">
        <v>0</v>
      </c>
    </row>
    <row r="129" spans="1:21" ht="15" customHeight="1" x14ac:dyDescent="0.3">
      <c r="A129" s="10" t="s">
        <v>467</v>
      </c>
      <c r="B129" s="10" t="s">
        <v>306</v>
      </c>
      <c r="C129" s="10" t="s">
        <v>33</v>
      </c>
      <c r="D129" s="16">
        <v>20000</v>
      </c>
      <c r="E129" s="23">
        <f t="shared" si="7"/>
        <v>201</v>
      </c>
      <c r="F129" s="45">
        <v>1.3860538599709E-3</v>
      </c>
      <c r="G129" s="45">
        <v>3.0634998651749999E-4</v>
      </c>
      <c r="H129" s="45">
        <v>8.6890520830372404E-5</v>
      </c>
      <c r="I129" s="45">
        <v>5.0036973623899996E-4</v>
      </c>
      <c r="J129" s="34">
        <f t="shared" si="8"/>
        <v>-0.93842365270998251</v>
      </c>
      <c r="K129" s="34">
        <f t="shared" si="9"/>
        <v>-0.8299134134279158</v>
      </c>
      <c r="L129" s="34">
        <f t="shared" si="10"/>
        <v>-0.85196908972947216</v>
      </c>
      <c r="M129" s="22">
        <v>-0.84888496237525835</v>
      </c>
      <c r="N129" s="6" t="b">
        <f t="shared" si="11"/>
        <v>0</v>
      </c>
      <c r="O129" s="6" t="b">
        <f t="shared" si="12"/>
        <v>0</v>
      </c>
      <c r="P129" s="19">
        <v>0</v>
      </c>
      <c r="Q129" s="46" t="str">
        <f t="shared" si="13"/>
        <v>-</v>
      </c>
      <c r="R129" s="24">
        <v>30.96484172371029</v>
      </c>
      <c r="S129" s="24">
        <v>62.183930715151348</v>
      </c>
      <c r="T129" s="6" t="s">
        <v>1163</v>
      </c>
      <c r="U129" s="10" t="b">
        <v>0</v>
      </c>
    </row>
    <row r="130" spans="1:21" ht="15" customHeight="1" x14ac:dyDescent="0.3">
      <c r="A130" s="10" t="s">
        <v>467</v>
      </c>
      <c r="B130" s="10" t="s">
        <v>444</v>
      </c>
      <c r="C130" s="10" t="s">
        <v>33</v>
      </c>
      <c r="D130" s="16">
        <v>21000</v>
      </c>
      <c r="E130" s="23">
        <f t="shared" si="7"/>
        <v>211</v>
      </c>
      <c r="F130" s="45">
        <v>1.2674787412606E-3</v>
      </c>
      <c r="G130" s="45">
        <v>6.4085610766519998E-4</v>
      </c>
      <c r="H130" s="45">
        <v>2.5035305786080001E-4</v>
      </c>
      <c r="I130" s="45">
        <v>1.0309649690278999E-3</v>
      </c>
      <c r="J130" s="34">
        <f t="shared" si="8"/>
        <v>-0.86477936128264277</v>
      </c>
      <c r="K130" s="34">
        <f t="shared" si="9"/>
        <v>-0.79867067343832809</v>
      </c>
      <c r="L130" s="34">
        <f t="shared" si="10"/>
        <v>-0.83986874519269228</v>
      </c>
      <c r="M130" s="22">
        <v>-0.84685510972566735</v>
      </c>
      <c r="N130" s="6" t="b">
        <f t="shared" si="11"/>
        <v>0</v>
      </c>
      <c r="O130" s="6" t="b">
        <f t="shared" si="12"/>
        <v>0</v>
      </c>
      <c r="P130" s="19">
        <v>0</v>
      </c>
      <c r="Q130" s="46" t="str">
        <f t="shared" si="13"/>
        <v>-</v>
      </c>
      <c r="R130" s="24">
        <v>29.365910789372041</v>
      </c>
      <c r="S130" s="24">
        <v>63.003123491062773</v>
      </c>
      <c r="T130" s="6" t="s">
        <v>1164</v>
      </c>
      <c r="U130" s="10" t="b">
        <v>0</v>
      </c>
    </row>
    <row r="131" spans="1:21" ht="15" customHeight="1" x14ac:dyDescent="0.3">
      <c r="A131" s="10" t="s">
        <v>467</v>
      </c>
      <c r="B131" s="10" t="s">
        <v>471</v>
      </c>
      <c r="C131" s="10" t="s">
        <v>33</v>
      </c>
      <c r="D131" s="16">
        <v>25000</v>
      </c>
      <c r="E131" s="23">
        <f t="shared" si="7"/>
        <v>251</v>
      </c>
      <c r="F131" s="45">
        <v>9.1658954999439995E-4</v>
      </c>
      <c r="G131" s="45">
        <v>7.405692639767893E-5</v>
      </c>
      <c r="H131" s="45">
        <v>1.5666157994147589E-5</v>
      </c>
      <c r="I131" s="45">
        <v>1.813189476274E-4</v>
      </c>
      <c r="J131" s="34">
        <f t="shared" si="8"/>
        <v>-0.9814117114741826</v>
      </c>
      <c r="K131" s="34">
        <f t="shared" si="9"/>
        <v>-0.87567386721279405</v>
      </c>
      <c r="L131" s="34">
        <f t="shared" si="10"/>
        <v>-0.88300190864743733</v>
      </c>
      <c r="M131" s="22">
        <v>-0.88312350102848647</v>
      </c>
      <c r="N131" s="6" t="b">
        <f t="shared" si="11"/>
        <v>0</v>
      </c>
      <c r="O131" s="6" t="b">
        <f t="shared" si="12"/>
        <v>0</v>
      </c>
      <c r="P131" s="19">
        <v>0</v>
      </c>
      <c r="Q131" s="46" t="str">
        <f t="shared" si="13"/>
        <v>-</v>
      </c>
      <c r="R131" s="24">
        <v>25.25347254206277</v>
      </c>
      <c r="S131" s="24">
        <v>44.912222000056722</v>
      </c>
      <c r="T131" s="6" t="s">
        <v>1165</v>
      </c>
      <c r="U131" s="10" t="b">
        <v>0</v>
      </c>
    </row>
    <row r="132" spans="1:21" ht="15" customHeight="1" x14ac:dyDescent="0.3">
      <c r="A132" s="10" t="s">
        <v>472</v>
      </c>
      <c r="B132" s="10" t="s">
        <v>324</v>
      </c>
      <c r="C132" s="10" t="s">
        <v>33</v>
      </c>
      <c r="D132" s="16">
        <v>300</v>
      </c>
      <c r="E132" s="23">
        <f t="shared" si="7"/>
        <v>4</v>
      </c>
      <c r="F132" s="45">
        <v>0.21562701659240899</v>
      </c>
      <c r="G132" s="45">
        <v>8.6933897200545604E-2</v>
      </c>
      <c r="H132" s="45">
        <v>6.8157619646938894E-2</v>
      </c>
      <c r="I132" s="45">
        <v>0.1106477695238547</v>
      </c>
      <c r="J132" s="34">
        <f t="shared" si="8"/>
        <v>-0.65226441119781753</v>
      </c>
      <c r="K132" s="34">
        <f t="shared" si="9"/>
        <v>-0.39487817241409084</v>
      </c>
      <c r="L132" s="34">
        <f t="shared" si="10"/>
        <v>-0.43243072752130418</v>
      </c>
      <c r="M132" s="22">
        <v>-0.4264474243319733</v>
      </c>
      <c r="N132" s="6" t="b">
        <f t="shared" si="11"/>
        <v>0</v>
      </c>
      <c r="O132" s="6" t="b">
        <f t="shared" si="12"/>
        <v>0</v>
      </c>
      <c r="P132" s="19">
        <v>0</v>
      </c>
      <c r="Q132" s="46" t="str">
        <f t="shared" si="13"/>
        <v>-</v>
      </c>
      <c r="R132" s="24">
        <v>22.889612380768021</v>
      </c>
      <c r="S132" s="24">
        <v>63.795160889233209</v>
      </c>
      <c r="T132" s="6" t="s">
        <v>1166</v>
      </c>
      <c r="U132" s="10" t="b">
        <v>0</v>
      </c>
    </row>
    <row r="133" spans="1:21" ht="15" customHeight="1" x14ac:dyDescent="0.3">
      <c r="A133" s="10" t="s">
        <v>472</v>
      </c>
      <c r="B133" s="10" t="s">
        <v>336</v>
      </c>
      <c r="C133" s="10" t="s">
        <v>33</v>
      </c>
      <c r="D133" s="16">
        <v>400</v>
      </c>
      <c r="E133" s="23">
        <f t="shared" si="7"/>
        <v>5</v>
      </c>
      <c r="F133" s="45">
        <v>0.1717239062305661</v>
      </c>
      <c r="G133" s="45">
        <v>0.1016634143469546</v>
      </c>
      <c r="H133" s="45">
        <v>8.5571661658436202E-2</v>
      </c>
      <c r="I133" s="45">
        <v>0.1373014300884173</v>
      </c>
      <c r="J133" s="34">
        <f t="shared" si="8"/>
        <v>-0.49168292826522697</v>
      </c>
      <c r="K133" s="34">
        <f t="shared" si="9"/>
        <v>-0.31653169855619834</v>
      </c>
      <c r="L133" s="34">
        <f t="shared" si="10"/>
        <v>-0.3567610802774942</v>
      </c>
      <c r="M133" s="22">
        <v>-0.37747290209530832</v>
      </c>
      <c r="N133" s="6" t="b">
        <f t="shared" si="11"/>
        <v>0</v>
      </c>
      <c r="O133" s="6" t="b">
        <f t="shared" si="12"/>
        <v>0</v>
      </c>
      <c r="P133" s="19">
        <v>0</v>
      </c>
      <c r="Q133" s="46" t="str">
        <f t="shared" si="13"/>
        <v>-</v>
      </c>
      <c r="R133" s="24">
        <v>24.371298175560138</v>
      </c>
      <c r="S133" s="24">
        <v>65.680277324754883</v>
      </c>
      <c r="T133" s="6" t="s">
        <v>1167</v>
      </c>
      <c r="U133" s="10" t="b">
        <v>0</v>
      </c>
    </row>
    <row r="134" spans="1:21" ht="15" customHeight="1" x14ac:dyDescent="0.3">
      <c r="A134" s="10" t="s">
        <v>472</v>
      </c>
      <c r="B134" s="10" t="s">
        <v>332</v>
      </c>
      <c r="C134" s="10" t="s">
        <v>33</v>
      </c>
      <c r="D134" s="16">
        <v>560</v>
      </c>
      <c r="E134" s="23">
        <f t="shared" si="7"/>
        <v>6.6</v>
      </c>
      <c r="F134" s="45">
        <v>0.1291568419707762</v>
      </c>
      <c r="G134" s="45">
        <v>0.20442506288526291</v>
      </c>
      <c r="H134" s="45">
        <v>0.15056626108501209</v>
      </c>
      <c r="I134" s="45">
        <v>0.32144478469139931</v>
      </c>
      <c r="J134" s="34">
        <f t="shared" si="8"/>
        <v>0.34920541504273506</v>
      </c>
      <c r="K134" s="34">
        <f t="shared" si="9"/>
        <v>0.10082028602492898</v>
      </c>
      <c r="L134" s="34">
        <f t="shared" si="10"/>
        <v>-7.6913759915898661E-2</v>
      </c>
      <c r="M134" s="22">
        <v>-0.10723489834195291</v>
      </c>
      <c r="N134" s="6" t="b">
        <f t="shared" si="11"/>
        <v>0</v>
      </c>
      <c r="O134" s="6" t="b">
        <f t="shared" si="12"/>
        <v>0</v>
      </c>
      <c r="P134" s="19">
        <v>0</v>
      </c>
      <c r="Q134" s="46" t="str">
        <f t="shared" si="13"/>
        <v>-</v>
      </c>
      <c r="R134" s="24">
        <v>25.9299236312572</v>
      </c>
      <c r="S134" s="24">
        <v>66.135727209917519</v>
      </c>
      <c r="T134" s="6" t="s">
        <v>1168</v>
      </c>
      <c r="U134" s="10" t="b">
        <v>0</v>
      </c>
    </row>
    <row r="135" spans="1:21" ht="15" customHeight="1" x14ac:dyDescent="0.3">
      <c r="A135" s="10" t="s">
        <v>472</v>
      </c>
      <c r="B135" s="10" t="s">
        <v>473</v>
      </c>
      <c r="C135" s="10" t="s">
        <v>33</v>
      </c>
      <c r="D135" s="16">
        <v>600</v>
      </c>
      <c r="E135" s="23">
        <f t="shared" si="7"/>
        <v>7</v>
      </c>
      <c r="F135" s="45">
        <v>0.1215566043777913</v>
      </c>
      <c r="G135" s="45">
        <v>3.26330994699843E-2</v>
      </c>
      <c r="H135" s="45">
        <v>2.8473629655031502E-2</v>
      </c>
      <c r="I135" s="45">
        <v>4.5260532069934301E-2</v>
      </c>
      <c r="J135" s="34">
        <f t="shared" si="8"/>
        <v>-0.77156830371010987</v>
      </c>
      <c r="K135" s="34">
        <f t="shared" si="9"/>
        <v>-0.46033603653278543</v>
      </c>
      <c r="L135" s="34">
        <f t="shared" si="10"/>
        <v>-0.47489418088512025</v>
      </c>
      <c r="M135" s="22">
        <v>-0.47368519926196551</v>
      </c>
      <c r="N135" s="6" t="b">
        <f t="shared" si="11"/>
        <v>0</v>
      </c>
      <c r="O135" s="6" t="b">
        <f t="shared" si="12"/>
        <v>0</v>
      </c>
      <c r="P135" s="19">
        <v>0</v>
      </c>
      <c r="Q135" s="46" t="str">
        <f t="shared" si="13"/>
        <v>-</v>
      </c>
      <c r="R135" s="24">
        <v>17.809997666552469</v>
      </c>
      <c r="S135" s="24">
        <v>47.770979260433542</v>
      </c>
      <c r="T135" s="6" t="s">
        <v>1169</v>
      </c>
      <c r="U135" s="10" t="b">
        <v>0</v>
      </c>
    </row>
    <row r="136" spans="1:21" ht="15" customHeight="1" x14ac:dyDescent="0.3">
      <c r="A136" s="10" t="s">
        <v>472</v>
      </c>
      <c r="B136" s="10" t="s">
        <v>306</v>
      </c>
      <c r="C136" s="10" t="s">
        <v>33</v>
      </c>
      <c r="D136" s="16">
        <v>1850</v>
      </c>
      <c r="E136" s="23">
        <f t="shared" ref="E136:E199" si="14">IF(D136&gt;0,1+D136/100,1+100/ABS(D136))</f>
        <v>19.5</v>
      </c>
      <c r="F136" s="45">
        <v>4.1243351707793897E-2</v>
      </c>
      <c r="G136" s="45">
        <v>3.25352545822181E-2</v>
      </c>
      <c r="H136" s="45">
        <v>2.8231340141692499E-2</v>
      </c>
      <c r="I136" s="45">
        <v>3.71259029854627E-2</v>
      </c>
      <c r="J136" s="34">
        <f t="shared" ref="J136:J199" si="15">G136*E136-1</f>
        <v>-0.36556253564674701</v>
      </c>
      <c r="K136" s="34">
        <f t="shared" ref="K136:K199" si="16">((1-A_shrink)*G136+A_shrink*F136)*E136-1</f>
        <v>-0.28065858867238302</v>
      </c>
      <c r="L136" s="34">
        <f t="shared" ref="L136:L199" si="17">((1-A_shrink)*H136+A_shrink*F136)*E136-1</f>
        <v>-0.32262175446750763</v>
      </c>
      <c r="M136" s="22">
        <v>-0.29958188880004849</v>
      </c>
      <c r="N136" s="6" t="b">
        <f t="shared" ref="N136:N199" si="18">AND(K136&gt;=A_minev,L136&gt;0,M136&gt;=A_minev)</f>
        <v>0</v>
      </c>
      <c r="O136" s="6" t="b">
        <f t="shared" ref="O136:O199" si="19">AND(N136,U136,F136&gt;=A_t1_fair,((1-A_t1_shrink)*G136+A_t1_shrink*F136)*E136-1&gt;=A_minev,((1-A_t1_shrink)*H136+A_t1_shrink*F136)*E136-1&gt;0)</f>
        <v>0</v>
      </c>
      <c r="P136" s="19">
        <v>0</v>
      </c>
      <c r="Q136" s="46" t="str">
        <f t="shared" ref="Q136:Q199" si="20">IF(AND(O136,ISNUMBER(A_bankroll)),P136*A_bankroll,"-")</f>
        <v>-</v>
      </c>
      <c r="R136" s="24">
        <v>30.96484172371029</v>
      </c>
      <c r="S136" s="24">
        <v>62.183930715151348</v>
      </c>
      <c r="T136" s="6" t="s">
        <v>1170</v>
      </c>
      <c r="U136" s="10" t="b">
        <v>0</v>
      </c>
    </row>
    <row r="137" spans="1:21" ht="15" customHeight="1" x14ac:dyDescent="0.3">
      <c r="A137" s="10" t="s">
        <v>472</v>
      </c>
      <c r="B137" s="10" t="s">
        <v>475</v>
      </c>
      <c r="C137" s="10" t="s">
        <v>33</v>
      </c>
      <c r="D137" s="16">
        <v>2150</v>
      </c>
      <c r="E137" s="23">
        <f t="shared" si="14"/>
        <v>22.5</v>
      </c>
      <c r="F137" s="45">
        <v>3.5265009309866098E-2</v>
      </c>
      <c r="G137" s="45">
        <v>8.7790990776489999E-4</v>
      </c>
      <c r="H137" s="45">
        <v>4.8142995660830002E-4</v>
      </c>
      <c r="I137" s="45">
        <v>1.5111196813323E-3</v>
      </c>
      <c r="J137" s="34">
        <f t="shared" si="15"/>
        <v>-0.98024702707528977</v>
      </c>
      <c r="K137" s="34">
        <f t="shared" si="16"/>
        <v>-0.5933921588016513</v>
      </c>
      <c r="L137" s="34">
        <f t="shared" si="17"/>
        <v>-0.59785255825216299</v>
      </c>
      <c r="M137" s="22">
        <v>-0.5964798248999279</v>
      </c>
      <c r="N137" s="6" t="b">
        <f t="shared" si="18"/>
        <v>0</v>
      </c>
      <c r="O137" s="6" t="b">
        <f t="shared" si="19"/>
        <v>0</v>
      </c>
      <c r="P137" s="19">
        <v>0</v>
      </c>
      <c r="Q137" s="46" t="str">
        <f t="shared" si="20"/>
        <v>-</v>
      </c>
      <c r="R137" s="24">
        <v>17.77455297538749</v>
      </c>
      <c r="S137" s="24">
        <v>49.621369653748403</v>
      </c>
      <c r="T137" s="6" t="s">
        <v>1171</v>
      </c>
      <c r="U137" s="10" t="b">
        <v>0</v>
      </c>
    </row>
    <row r="138" spans="1:21" ht="15" customHeight="1" x14ac:dyDescent="0.3">
      <c r="A138" s="10" t="s">
        <v>472</v>
      </c>
      <c r="B138" s="10" t="s">
        <v>474</v>
      </c>
      <c r="C138" s="10" t="s">
        <v>33</v>
      </c>
      <c r="D138" s="16">
        <v>2250</v>
      </c>
      <c r="E138" s="23">
        <f t="shared" si="14"/>
        <v>23.5</v>
      </c>
      <c r="F138" s="45">
        <v>3.3612929916101202E-2</v>
      </c>
      <c r="G138" s="45">
        <v>2.4594984873861199E-2</v>
      </c>
      <c r="H138" s="45">
        <v>2.23818227977341E-2</v>
      </c>
      <c r="I138" s="45">
        <v>2.9589777346281099E-2</v>
      </c>
      <c r="J138" s="34">
        <f t="shared" si="15"/>
        <v>-0.42201785546426185</v>
      </c>
      <c r="K138" s="34">
        <f t="shared" si="16"/>
        <v>-0.31605700121794178</v>
      </c>
      <c r="L138" s="34">
        <f t="shared" si="17"/>
        <v>-0.34206165561243518</v>
      </c>
      <c r="M138" s="22">
        <v>-0.33083940022835268</v>
      </c>
      <c r="N138" s="6" t="b">
        <f t="shared" si="18"/>
        <v>0</v>
      </c>
      <c r="O138" s="6" t="b">
        <f t="shared" si="19"/>
        <v>0</v>
      </c>
      <c r="P138" s="19">
        <v>0</v>
      </c>
      <c r="Q138" s="46" t="str">
        <f t="shared" si="20"/>
        <v>-</v>
      </c>
      <c r="R138" s="24">
        <v>23.5681359405195</v>
      </c>
      <c r="S138" s="24">
        <v>57.329660228233379</v>
      </c>
      <c r="T138" s="6" t="s">
        <v>1172</v>
      </c>
      <c r="U138" s="10" t="b">
        <v>0</v>
      </c>
    </row>
    <row r="139" spans="1:21" ht="15" customHeight="1" x14ac:dyDescent="0.3">
      <c r="A139" s="10" t="s">
        <v>472</v>
      </c>
      <c r="B139" s="10" t="s">
        <v>476</v>
      </c>
      <c r="C139" s="10" t="s">
        <v>33</v>
      </c>
      <c r="D139" s="16">
        <v>2600</v>
      </c>
      <c r="E139" s="23">
        <f t="shared" si="14"/>
        <v>27</v>
      </c>
      <c r="F139" s="45">
        <v>2.8799503624296102E-2</v>
      </c>
      <c r="G139" s="45">
        <v>2.62582436029835E-2</v>
      </c>
      <c r="H139" s="45">
        <v>2.2254375932259301E-2</v>
      </c>
      <c r="I139" s="45">
        <v>3.1277186612950397E-2</v>
      </c>
      <c r="J139" s="34">
        <f t="shared" si="15"/>
        <v>-0.29102742271944548</v>
      </c>
      <c r="K139" s="34">
        <f t="shared" si="16"/>
        <v>-0.25672041243172539</v>
      </c>
      <c r="L139" s="34">
        <f t="shared" si="17"/>
        <v>-0.31077262598650202</v>
      </c>
      <c r="M139" s="22">
        <v>-0.2574703852393978</v>
      </c>
      <c r="N139" s="6" t="b">
        <f t="shared" si="18"/>
        <v>0</v>
      </c>
      <c r="O139" s="6" t="b">
        <f t="shared" si="19"/>
        <v>0</v>
      </c>
      <c r="P139" s="19">
        <v>0</v>
      </c>
      <c r="Q139" s="46" t="str">
        <f t="shared" si="20"/>
        <v>-</v>
      </c>
      <c r="R139" s="24">
        <v>21.699721327215691</v>
      </c>
      <c r="S139" s="24">
        <v>65.233899755484401</v>
      </c>
      <c r="T139" s="6" t="s">
        <v>1173</v>
      </c>
      <c r="U139" s="10" t="b">
        <v>0</v>
      </c>
    </row>
    <row r="140" spans="1:21" ht="15" customHeight="1" x14ac:dyDescent="0.3">
      <c r="A140" s="10" t="s">
        <v>472</v>
      </c>
      <c r="B140" s="10" t="s">
        <v>330</v>
      </c>
      <c r="C140" s="10" t="s">
        <v>33</v>
      </c>
      <c r="D140" s="16">
        <v>4100</v>
      </c>
      <c r="E140" s="23">
        <f t="shared" si="14"/>
        <v>42</v>
      </c>
      <c r="F140" s="45">
        <v>1.73146567803741E-2</v>
      </c>
      <c r="G140" s="45">
        <v>7.4081161481744E-3</v>
      </c>
      <c r="H140" s="45">
        <v>4.3209652898313E-3</v>
      </c>
      <c r="I140" s="45">
        <v>9.4846877710862004E-3</v>
      </c>
      <c r="J140" s="34">
        <f t="shared" si="15"/>
        <v>-0.68885912177667519</v>
      </c>
      <c r="K140" s="34">
        <f t="shared" si="16"/>
        <v>-0.48082176850048153</v>
      </c>
      <c r="L140" s="34">
        <f t="shared" si="17"/>
        <v>-0.54565193652568666</v>
      </c>
      <c r="M140" s="22">
        <v>-0.52214059753284126</v>
      </c>
      <c r="N140" s="6" t="b">
        <f t="shared" si="18"/>
        <v>0</v>
      </c>
      <c r="O140" s="6" t="b">
        <f t="shared" si="19"/>
        <v>0</v>
      </c>
      <c r="P140" s="19">
        <v>0</v>
      </c>
      <c r="Q140" s="46" t="str">
        <f t="shared" si="20"/>
        <v>-</v>
      </c>
      <c r="R140" s="24">
        <v>27.269230784551649</v>
      </c>
      <c r="S140" s="24">
        <v>62.577616980088607</v>
      </c>
      <c r="T140" s="6" t="s">
        <v>1174</v>
      </c>
      <c r="U140" s="10" t="b">
        <v>0</v>
      </c>
    </row>
    <row r="141" spans="1:21" ht="15" customHeight="1" x14ac:dyDescent="0.3">
      <c r="A141" s="10" t="s">
        <v>472</v>
      </c>
      <c r="B141" s="10" t="s">
        <v>328</v>
      </c>
      <c r="C141" s="10" t="s">
        <v>33</v>
      </c>
      <c r="D141" s="16">
        <v>4100</v>
      </c>
      <c r="E141" s="23">
        <f t="shared" si="14"/>
        <v>42</v>
      </c>
      <c r="F141" s="45">
        <v>1.73146567803741E-2</v>
      </c>
      <c r="G141" s="45">
        <v>3.0582062469406E-2</v>
      </c>
      <c r="H141" s="45">
        <v>2.5880684251237501E-2</v>
      </c>
      <c r="I141" s="45">
        <v>3.3605434836327899E-2</v>
      </c>
      <c r="J141" s="34">
        <f t="shared" si="15"/>
        <v>0.28444662371505203</v>
      </c>
      <c r="K141" s="34">
        <f t="shared" si="16"/>
        <v>5.8311042453822459E-3</v>
      </c>
      <c r="L141" s="34">
        <f t="shared" si="17"/>
        <v>-9.2897838336156391E-2</v>
      </c>
      <c r="M141" s="22">
        <v>-5.4598242819257403E-2</v>
      </c>
      <c r="N141" s="6" t="b">
        <f t="shared" si="18"/>
        <v>0</v>
      </c>
      <c r="O141" s="6" t="b">
        <f t="shared" si="19"/>
        <v>0</v>
      </c>
      <c r="P141" s="19">
        <v>0</v>
      </c>
      <c r="Q141" s="46" t="str">
        <f t="shared" si="20"/>
        <v>-</v>
      </c>
      <c r="R141" s="24">
        <v>30.977014210540709</v>
      </c>
      <c r="S141" s="24">
        <v>66.236592254158239</v>
      </c>
      <c r="T141" s="6" t="s">
        <v>1175</v>
      </c>
      <c r="U141" s="10" t="b">
        <v>0</v>
      </c>
    </row>
    <row r="142" spans="1:21" ht="15" customHeight="1" x14ac:dyDescent="0.3">
      <c r="A142" s="10" t="s">
        <v>472</v>
      </c>
      <c r="B142" s="10" t="s">
        <v>308</v>
      </c>
      <c r="C142" s="10" t="s">
        <v>33</v>
      </c>
      <c r="D142" s="16">
        <v>5100</v>
      </c>
      <c r="E142" s="23">
        <f t="shared" si="14"/>
        <v>52</v>
      </c>
      <c r="F142" s="45">
        <v>1.3380165313813201E-2</v>
      </c>
      <c r="G142" s="45">
        <v>6.8237071274262803E-2</v>
      </c>
      <c r="H142" s="45">
        <v>5.5722391089188202E-2</v>
      </c>
      <c r="I142" s="45">
        <v>9.2220505139224404E-2</v>
      </c>
      <c r="J142" s="34">
        <f t="shared" si="15"/>
        <v>2.5483277062616656</v>
      </c>
      <c r="K142" s="34">
        <f t="shared" si="16"/>
        <v>1.122048151289976</v>
      </c>
      <c r="L142" s="34">
        <f t="shared" si="17"/>
        <v>0.79666646647803652</v>
      </c>
      <c r="M142" s="22">
        <v>0.80232164859064081</v>
      </c>
      <c r="N142" s="6" t="b">
        <f t="shared" si="18"/>
        <v>1</v>
      </c>
      <c r="O142" s="6" t="b">
        <f t="shared" si="19"/>
        <v>0</v>
      </c>
      <c r="P142" s="19">
        <v>0</v>
      </c>
      <c r="Q142" s="46" t="str">
        <f t="shared" si="20"/>
        <v>-</v>
      </c>
      <c r="R142" s="24">
        <v>30.129304639703559</v>
      </c>
      <c r="S142" s="24">
        <v>56.020318984172718</v>
      </c>
      <c r="T142" s="6" t="s">
        <v>1176</v>
      </c>
      <c r="U142" s="10" t="b">
        <v>1</v>
      </c>
    </row>
    <row r="143" spans="1:21" ht="15" customHeight="1" x14ac:dyDescent="0.3">
      <c r="A143" s="10" t="s">
        <v>472</v>
      </c>
      <c r="B143" s="10" t="s">
        <v>471</v>
      </c>
      <c r="C143" s="10" t="s">
        <v>33</v>
      </c>
      <c r="D143" s="16">
        <v>5200</v>
      </c>
      <c r="E143" s="23">
        <f t="shared" si="14"/>
        <v>53</v>
      </c>
      <c r="F143" s="45">
        <v>1.30701077835082E-2</v>
      </c>
      <c r="G143" s="45">
        <v>4.2432191615603999E-3</v>
      </c>
      <c r="H143" s="45">
        <v>3.1447846182957001E-3</v>
      </c>
      <c r="I143" s="45">
        <v>5.3833501533146E-3</v>
      </c>
      <c r="J143" s="34">
        <f t="shared" si="15"/>
        <v>-0.77510938443729882</v>
      </c>
      <c r="K143" s="34">
        <f t="shared" si="16"/>
        <v>-0.54119683595568202</v>
      </c>
      <c r="L143" s="34">
        <f t="shared" si="17"/>
        <v>-0.57030535135219662</v>
      </c>
      <c r="M143" s="22">
        <v>-0.56814771271323639</v>
      </c>
      <c r="N143" s="6" t="b">
        <f t="shared" si="18"/>
        <v>0</v>
      </c>
      <c r="O143" s="6" t="b">
        <f t="shared" si="19"/>
        <v>0</v>
      </c>
      <c r="P143" s="19">
        <v>0</v>
      </c>
      <c r="Q143" s="46" t="str">
        <f t="shared" si="20"/>
        <v>-</v>
      </c>
      <c r="R143" s="24">
        <v>25.25347254206277</v>
      </c>
      <c r="S143" s="24">
        <v>44.912222000056722</v>
      </c>
      <c r="T143" s="6" t="s">
        <v>1177</v>
      </c>
      <c r="U143" s="10" t="b">
        <v>0</v>
      </c>
    </row>
    <row r="144" spans="1:21" ht="15" customHeight="1" x14ac:dyDescent="0.3">
      <c r="A144" s="10" t="s">
        <v>472</v>
      </c>
      <c r="B144" s="10" t="s">
        <v>356</v>
      </c>
      <c r="C144" s="10" t="s">
        <v>33</v>
      </c>
      <c r="D144" s="16">
        <v>6600</v>
      </c>
      <c r="E144" s="23">
        <f t="shared" si="14"/>
        <v>67</v>
      </c>
      <c r="F144" s="45">
        <v>9.7266211285470007E-3</v>
      </c>
      <c r="G144" s="45">
        <v>4.7537233766936004E-3</v>
      </c>
      <c r="H144" s="45">
        <v>2.6125001875835999E-3</v>
      </c>
      <c r="I144" s="45">
        <v>5.8913205883287002E-3</v>
      </c>
      <c r="J144" s="34">
        <f t="shared" si="15"/>
        <v>-0.68150053376152875</v>
      </c>
      <c r="K144" s="34">
        <f t="shared" si="16"/>
        <v>-0.51490845907443983</v>
      </c>
      <c r="L144" s="34">
        <f t="shared" si="17"/>
        <v>-0.58663943590962486</v>
      </c>
      <c r="M144" s="22">
        <v>-0.58176437867949082</v>
      </c>
      <c r="N144" s="6" t="b">
        <f t="shared" si="18"/>
        <v>0</v>
      </c>
      <c r="O144" s="6" t="b">
        <f t="shared" si="19"/>
        <v>0</v>
      </c>
      <c r="P144" s="19">
        <v>0</v>
      </c>
      <c r="Q144" s="46" t="str">
        <f t="shared" si="20"/>
        <v>-</v>
      </c>
      <c r="R144" s="24">
        <v>20.628378769140671</v>
      </c>
      <c r="S144" s="24">
        <v>65.443995223575982</v>
      </c>
      <c r="T144" s="6" t="s">
        <v>1178</v>
      </c>
      <c r="U144" s="10" t="b">
        <v>0</v>
      </c>
    </row>
    <row r="145" spans="1:21" ht="15" customHeight="1" x14ac:dyDescent="0.3">
      <c r="A145" s="10" t="s">
        <v>472</v>
      </c>
      <c r="B145" s="10" t="s">
        <v>295</v>
      </c>
      <c r="C145" s="10" t="s">
        <v>33</v>
      </c>
      <c r="D145" s="16">
        <v>7100</v>
      </c>
      <c r="E145" s="23">
        <f t="shared" si="14"/>
        <v>72</v>
      </c>
      <c r="F145" s="45">
        <v>8.8581171892489E-3</v>
      </c>
      <c r="G145" s="45">
        <v>6.4561741523896501E-2</v>
      </c>
      <c r="H145" s="45">
        <v>5.7395139962353202E-2</v>
      </c>
      <c r="I145" s="45">
        <v>7.6946236976664195E-2</v>
      </c>
      <c r="J145" s="34">
        <f t="shared" si="15"/>
        <v>3.648445389720548</v>
      </c>
      <c r="K145" s="34">
        <f t="shared" si="16"/>
        <v>1.6431149136732346</v>
      </c>
      <c r="L145" s="34">
        <f t="shared" si="17"/>
        <v>1.3851172574576758</v>
      </c>
      <c r="M145" s="22">
        <v>1.1556805980304921</v>
      </c>
      <c r="N145" s="6" t="b">
        <f t="shared" si="18"/>
        <v>1</v>
      </c>
      <c r="O145" s="6" t="b">
        <f t="shared" si="19"/>
        <v>0</v>
      </c>
      <c r="P145" s="19">
        <v>0</v>
      </c>
      <c r="Q145" s="46" t="str">
        <f t="shared" si="20"/>
        <v>-</v>
      </c>
      <c r="R145" s="24">
        <v>31.72070449786353</v>
      </c>
      <c r="S145" s="24">
        <v>63.304134235828073</v>
      </c>
      <c r="T145" s="6" t="s">
        <v>1179</v>
      </c>
      <c r="U145" s="10" t="b">
        <v>1</v>
      </c>
    </row>
    <row r="146" spans="1:21" ht="15" customHeight="1" x14ac:dyDescent="0.3">
      <c r="A146" s="10" t="s">
        <v>472</v>
      </c>
      <c r="B146" s="10" t="s">
        <v>478</v>
      </c>
      <c r="C146" s="10" t="s">
        <v>33</v>
      </c>
      <c r="D146" s="16">
        <v>7100</v>
      </c>
      <c r="E146" s="23">
        <f t="shared" si="14"/>
        <v>72</v>
      </c>
      <c r="F146" s="45">
        <v>8.8581171892489E-3</v>
      </c>
      <c r="G146" s="45">
        <v>2.6371698241610002E-4</v>
      </c>
      <c r="H146" s="45">
        <v>1.061374271863E-4</v>
      </c>
      <c r="I146" s="45">
        <v>4.3614077511839997E-4</v>
      </c>
      <c r="J146" s="34">
        <f t="shared" si="15"/>
        <v>-0.98101237726604085</v>
      </c>
      <c r="K146" s="34">
        <f t="shared" si="16"/>
        <v>-0.67161396982006005</v>
      </c>
      <c r="L146" s="34">
        <f t="shared" si="17"/>
        <v>-0.67728683380833288</v>
      </c>
      <c r="M146" s="22">
        <v>-0.679312373638294</v>
      </c>
      <c r="N146" s="6" t="b">
        <f t="shared" si="18"/>
        <v>0</v>
      </c>
      <c r="O146" s="6" t="b">
        <f t="shared" si="19"/>
        <v>0</v>
      </c>
      <c r="P146" s="19">
        <v>0</v>
      </c>
      <c r="Q146" s="46" t="str">
        <f t="shared" si="20"/>
        <v>-</v>
      </c>
      <c r="R146" s="24">
        <v>26.543572381071542</v>
      </c>
      <c r="S146" s="24">
        <v>61.904819953003773</v>
      </c>
      <c r="T146" s="6" t="s">
        <v>1180</v>
      </c>
      <c r="U146" s="10" t="b">
        <v>0</v>
      </c>
    </row>
    <row r="147" spans="1:21" ht="15" customHeight="1" x14ac:dyDescent="0.3">
      <c r="A147" s="10" t="s">
        <v>472</v>
      </c>
      <c r="B147" s="10" t="s">
        <v>477</v>
      </c>
      <c r="C147" s="10" t="s">
        <v>33</v>
      </c>
      <c r="D147" s="16">
        <v>7200</v>
      </c>
      <c r="E147" s="23">
        <f t="shared" si="14"/>
        <v>73</v>
      </c>
      <c r="F147" s="45">
        <v>8.6993304347925005E-3</v>
      </c>
      <c r="G147" s="45">
        <v>4.8619634409428998E-3</v>
      </c>
      <c r="H147" s="45">
        <v>2.9487492547463001E-3</v>
      </c>
      <c r="I147" s="45">
        <v>5.7955828724212E-3</v>
      </c>
      <c r="J147" s="34">
        <f t="shared" si="15"/>
        <v>-0.64507666881116832</v>
      </c>
      <c r="K147" s="34">
        <f t="shared" si="16"/>
        <v>-0.50501277353565799</v>
      </c>
      <c r="L147" s="34">
        <f t="shared" si="17"/>
        <v>-0.57484509133183381</v>
      </c>
      <c r="M147" s="22">
        <v>-0.55633644334560128</v>
      </c>
      <c r="N147" s="6" t="b">
        <f t="shared" si="18"/>
        <v>0</v>
      </c>
      <c r="O147" s="6" t="b">
        <f t="shared" si="19"/>
        <v>0</v>
      </c>
      <c r="P147" s="19">
        <v>0</v>
      </c>
      <c r="Q147" s="46" t="str">
        <f t="shared" si="20"/>
        <v>-</v>
      </c>
      <c r="R147" s="24">
        <v>23.002361764142929</v>
      </c>
      <c r="S147" s="24">
        <v>55.061719591312617</v>
      </c>
      <c r="T147" s="6" t="s">
        <v>1181</v>
      </c>
      <c r="U147" s="10" t="b">
        <v>0</v>
      </c>
    </row>
    <row r="148" spans="1:21" ht="15" customHeight="1" x14ac:dyDescent="0.3">
      <c r="A148" s="10" t="s">
        <v>472</v>
      </c>
      <c r="B148" s="10" t="s">
        <v>479</v>
      </c>
      <c r="C148" s="10" t="s">
        <v>33</v>
      </c>
      <c r="D148" s="16">
        <v>7600</v>
      </c>
      <c r="E148" s="23">
        <f t="shared" si="14"/>
        <v>77</v>
      </c>
      <c r="F148" s="45">
        <v>8.1074138882704008E-3</v>
      </c>
      <c r="G148" s="45">
        <v>5.803866781913028E-5</v>
      </c>
      <c r="H148" s="45">
        <v>1.072174302342706E-5</v>
      </c>
      <c r="I148" s="45">
        <v>1.3946605966120001E-4</v>
      </c>
      <c r="J148" s="34">
        <f t="shared" si="15"/>
        <v>-0.99553102257792692</v>
      </c>
      <c r="K148" s="34">
        <f t="shared" si="16"/>
        <v>-0.68563007659055308</v>
      </c>
      <c r="L148" s="34">
        <f t="shared" si="17"/>
        <v>-0.68745177819518766</v>
      </c>
      <c r="M148" s="22">
        <v>-0.68746247535334359</v>
      </c>
      <c r="N148" s="6" t="b">
        <f t="shared" si="18"/>
        <v>0</v>
      </c>
      <c r="O148" s="6" t="b">
        <f t="shared" si="19"/>
        <v>0</v>
      </c>
      <c r="P148" s="19">
        <v>0</v>
      </c>
      <c r="Q148" s="46" t="str">
        <f t="shared" si="20"/>
        <v>-</v>
      </c>
      <c r="R148" s="24">
        <v>27.56114817706835</v>
      </c>
      <c r="S148" s="24">
        <v>66.764775542888273</v>
      </c>
      <c r="T148" s="6" t="s">
        <v>1182</v>
      </c>
      <c r="U148" s="10" t="b">
        <v>0</v>
      </c>
    </row>
    <row r="149" spans="1:21" ht="15" customHeight="1" x14ac:dyDescent="0.3">
      <c r="A149" s="10" t="s">
        <v>472</v>
      </c>
      <c r="B149" s="10" t="s">
        <v>297</v>
      </c>
      <c r="C149" s="10" t="s">
        <v>33</v>
      </c>
      <c r="D149" s="16">
        <v>7600</v>
      </c>
      <c r="E149" s="23">
        <f t="shared" si="14"/>
        <v>77</v>
      </c>
      <c r="F149" s="45">
        <v>8.1074138882704008E-3</v>
      </c>
      <c r="G149" s="45">
        <v>5.4288140637869603E-2</v>
      </c>
      <c r="H149" s="45">
        <v>4.5887480612000597E-2</v>
      </c>
      <c r="I149" s="45">
        <v>6.4265992829745003E-2</v>
      </c>
      <c r="J149" s="34">
        <f t="shared" si="15"/>
        <v>3.1801868291159598</v>
      </c>
      <c r="K149" s="34">
        <f t="shared" si="16"/>
        <v>1.4022288492563901</v>
      </c>
      <c r="L149" s="34">
        <f t="shared" si="17"/>
        <v>1.0788034382604335</v>
      </c>
      <c r="M149" s="22">
        <v>1.031702806457147</v>
      </c>
      <c r="N149" s="6" t="b">
        <f t="shared" si="18"/>
        <v>1</v>
      </c>
      <c r="O149" s="6" t="b">
        <f t="shared" si="19"/>
        <v>0</v>
      </c>
      <c r="P149" s="19">
        <v>0</v>
      </c>
      <c r="Q149" s="46" t="str">
        <f t="shared" si="20"/>
        <v>-</v>
      </c>
      <c r="R149" s="24">
        <v>33.125934196024232</v>
      </c>
      <c r="S149" s="24">
        <v>60.11935487331364</v>
      </c>
      <c r="T149" s="6" t="s">
        <v>1183</v>
      </c>
      <c r="U149" s="10" t="b">
        <v>1</v>
      </c>
    </row>
    <row r="150" spans="1:21" ht="15" customHeight="1" x14ac:dyDescent="0.3">
      <c r="A150" s="10" t="s">
        <v>472</v>
      </c>
      <c r="B150" s="10" t="s">
        <v>480</v>
      </c>
      <c r="C150" s="10" t="s">
        <v>33</v>
      </c>
      <c r="D150" s="16">
        <v>8100</v>
      </c>
      <c r="E150" s="23">
        <f t="shared" si="14"/>
        <v>82</v>
      </c>
      <c r="F150" s="45">
        <v>7.4528669435679996E-3</v>
      </c>
      <c r="G150" s="45">
        <v>1.89662133661971E-2</v>
      </c>
      <c r="H150" s="45">
        <v>1.55663533483942E-2</v>
      </c>
      <c r="I150" s="45">
        <v>2.2205764278042502E-2</v>
      </c>
      <c r="J150" s="34">
        <f t="shared" si="15"/>
        <v>0.55522949602816207</v>
      </c>
      <c r="K150" s="34">
        <f t="shared" si="16"/>
        <v>8.3182292700369143E-2</v>
      </c>
      <c r="L150" s="34">
        <f t="shared" si="17"/>
        <v>-5.6211968029549753E-2</v>
      </c>
      <c r="M150" s="22">
        <v>6.4932938276263993E-2</v>
      </c>
      <c r="N150" s="6" t="b">
        <f t="shared" si="18"/>
        <v>0</v>
      </c>
      <c r="O150" s="6" t="b">
        <f t="shared" si="19"/>
        <v>0</v>
      </c>
      <c r="P150" s="19">
        <v>0</v>
      </c>
      <c r="Q150" s="46" t="str">
        <f t="shared" si="20"/>
        <v>-</v>
      </c>
      <c r="R150" s="24">
        <v>19.83422527727107</v>
      </c>
      <c r="S150" s="24">
        <v>56.831851192907223</v>
      </c>
      <c r="T150" s="6" t="s">
        <v>1184</v>
      </c>
      <c r="U150" s="10" t="b">
        <v>0</v>
      </c>
    </row>
    <row r="151" spans="1:21" ht="15" customHeight="1" x14ac:dyDescent="0.3">
      <c r="A151" s="10" t="s">
        <v>472</v>
      </c>
      <c r="B151" s="10" t="s">
        <v>296</v>
      </c>
      <c r="C151" s="10" t="s">
        <v>33</v>
      </c>
      <c r="D151" s="16">
        <v>8500</v>
      </c>
      <c r="E151" s="23">
        <f t="shared" si="14"/>
        <v>86</v>
      </c>
      <c r="F151" s="45">
        <v>6.9871286520994001E-3</v>
      </c>
      <c r="G151" s="45">
        <v>1.7191575230506299E-2</v>
      </c>
      <c r="H151" s="45">
        <v>1.27710360481762E-2</v>
      </c>
      <c r="I151" s="45">
        <v>1.95746993302909E-2</v>
      </c>
      <c r="J151" s="34">
        <f t="shared" si="15"/>
        <v>0.47847546982354161</v>
      </c>
      <c r="K151" s="34">
        <f t="shared" si="16"/>
        <v>3.9684266952045189E-2</v>
      </c>
      <c r="L151" s="34">
        <f t="shared" si="17"/>
        <v>-0.15039891788814919</v>
      </c>
      <c r="M151" s="22">
        <v>-3.7620907968209299E-2</v>
      </c>
      <c r="N151" s="6" t="b">
        <f t="shared" si="18"/>
        <v>0</v>
      </c>
      <c r="O151" s="6" t="b">
        <f t="shared" si="19"/>
        <v>0</v>
      </c>
      <c r="P151" s="19">
        <v>0</v>
      </c>
      <c r="Q151" s="46" t="str">
        <f t="shared" si="20"/>
        <v>-</v>
      </c>
      <c r="R151" s="24">
        <v>29.947368665182118</v>
      </c>
      <c r="S151" s="24">
        <v>61.00020333075102</v>
      </c>
      <c r="T151" s="6" t="s">
        <v>1185</v>
      </c>
      <c r="U151" s="10" t="b">
        <v>0</v>
      </c>
    </row>
    <row r="152" spans="1:21" ht="15" customHeight="1" x14ac:dyDescent="0.3">
      <c r="A152" s="10" t="s">
        <v>472</v>
      </c>
      <c r="B152" s="10" t="s">
        <v>481</v>
      </c>
      <c r="C152" s="10" t="s">
        <v>33</v>
      </c>
      <c r="D152" s="16">
        <v>8500</v>
      </c>
      <c r="E152" s="23">
        <f t="shared" si="14"/>
        <v>86</v>
      </c>
      <c r="F152" s="45">
        <v>6.9871286520994001E-3</v>
      </c>
      <c r="G152" s="45">
        <v>2.3158701438766001E-3</v>
      </c>
      <c r="H152" s="45">
        <v>1.2288071475008999E-3</v>
      </c>
      <c r="I152" s="45">
        <v>3.1796556950134999E-3</v>
      </c>
      <c r="J152" s="34">
        <f t="shared" si="15"/>
        <v>-0.80083516762661233</v>
      </c>
      <c r="K152" s="34">
        <f t="shared" si="16"/>
        <v>-0.599971051773032</v>
      </c>
      <c r="L152" s="34">
        <f t="shared" si="17"/>
        <v>-0.64671476061718713</v>
      </c>
      <c r="M152" s="22">
        <v>-0.6495353847332308</v>
      </c>
      <c r="N152" s="6" t="b">
        <f t="shared" si="18"/>
        <v>0</v>
      </c>
      <c r="O152" s="6" t="b">
        <f t="shared" si="19"/>
        <v>0</v>
      </c>
      <c r="P152" s="19">
        <v>0</v>
      </c>
      <c r="Q152" s="46" t="str">
        <f t="shared" si="20"/>
        <v>-</v>
      </c>
      <c r="R152" s="24">
        <v>18.368682753865709</v>
      </c>
      <c r="S152" s="24">
        <v>59.667838756165693</v>
      </c>
      <c r="T152" s="6" t="s">
        <v>1186</v>
      </c>
      <c r="U152" s="10" t="b">
        <v>0</v>
      </c>
    </row>
    <row r="153" spans="1:21" ht="15" customHeight="1" x14ac:dyDescent="0.3">
      <c r="A153" s="10" t="s">
        <v>472</v>
      </c>
      <c r="B153" s="10" t="s">
        <v>443</v>
      </c>
      <c r="C153" s="10" t="s">
        <v>33</v>
      </c>
      <c r="D153" s="16">
        <v>9100</v>
      </c>
      <c r="E153" s="23">
        <f t="shared" si="14"/>
        <v>92</v>
      </c>
      <c r="F153" s="45">
        <v>6.3691789118474002E-3</v>
      </c>
      <c r="G153" s="45">
        <v>8.9909734419574994E-3</v>
      </c>
      <c r="H153" s="45">
        <v>5.8876063265748003E-3</v>
      </c>
      <c r="I153" s="45">
        <v>1.08284660185322E-2</v>
      </c>
      <c r="J153" s="34">
        <f t="shared" si="15"/>
        <v>-0.17283044333991004</v>
      </c>
      <c r="K153" s="34">
        <f t="shared" si="16"/>
        <v>-0.29343299172497461</v>
      </c>
      <c r="L153" s="34">
        <f t="shared" si="17"/>
        <v>-0.43618787903257872</v>
      </c>
      <c r="M153" s="22">
        <v>-0.37553838949749058</v>
      </c>
      <c r="N153" s="6" t="b">
        <f t="shared" si="18"/>
        <v>0</v>
      </c>
      <c r="O153" s="6" t="b">
        <f t="shared" si="19"/>
        <v>0</v>
      </c>
      <c r="P153" s="19">
        <v>0</v>
      </c>
      <c r="Q153" s="46" t="str">
        <f t="shared" si="20"/>
        <v>-</v>
      </c>
      <c r="R153" s="24">
        <v>28.771856576046531</v>
      </c>
      <c r="S153" s="24">
        <v>54.469680370901003</v>
      </c>
      <c r="T153" s="6" t="s">
        <v>1187</v>
      </c>
      <c r="U153" s="10" t="b">
        <v>0</v>
      </c>
    </row>
    <row r="154" spans="1:21" ht="15" customHeight="1" x14ac:dyDescent="0.3">
      <c r="A154" s="10" t="s">
        <v>472</v>
      </c>
      <c r="B154" s="10" t="s">
        <v>404</v>
      </c>
      <c r="C154" s="10" t="s">
        <v>33</v>
      </c>
      <c r="D154" s="16">
        <v>9500</v>
      </c>
      <c r="E154" s="23">
        <f t="shared" si="14"/>
        <v>96</v>
      </c>
      <c r="F154" s="45">
        <v>6.0030771500210996E-3</v>
      </c>
      <c r="G154" s="45">
        <v>9.0628555235070107E-5</v>
      </c>
      <c r="H154" s="45">
        <v>1.6957308643873562E-5</v>
      </c>
      <c r="I154" s="45">
        <v>1.6059046781009999E-4</v>
      </c>
      <c r="J154" s="34">
        <f t="shared" si="15"/>
        <v>-0.99129965869743331</v>
      </c>
      <c r="K154" s="34">
        <f t="shared" si="16"/>
        <v>-0.70750212614770391</v>
      </c>
      <c r="L154" s="34">
        <f t="shared" si="17"/>
        <v>-0.71103834598408133</v>
      </c>
      <c r="M154" s="22">
        <v>-0.71113434552730326</v>
      </c>
      <c r="N154" s="6" t="b">
        <f t="shared" si="18"/>
        <v>0</v>
      </c>
      <c r="O154" s="6" t="b">
        <f t="shared" si="19"/>
        <v>0</v>
      </c>
      <c r="P154" s="19">
        <v>0</v>
      </c>
      <c r="Q154" s="46" t="str">
        <f t="shared" si="20"/>
        <v>-</v>
      </c>
      <c r="R154" s="24">
        <v>19.854546982677839</v>
      </c>
      <c r="S154" s="24">
        <v>63.685362143319708</v>
      </c>
      <c r="T154" s="6" t="s">
        <v>1188</v>
      </c>
      <c r="U154" s="10" t="b">
        <v>0</v>
      </c>
    </row>
    <row r="155" spans="1:21" ht="15" customHeight="1" x14ac:dyDescent="0.3">
      <c r="A155" s="10" t="s">
        <v>472</v>
      </c>
      <c r="B155" s="10" t="s">
        <v>368</v>
      </c>
      <c r="C155" s="10" t="s">
        <v>33</v>
      </c>
      <c r="D155" s="16">
        <v>9500</v>
      </c>
      <c r="E155" s="23">
        <f t="shared" si="14"/>
        <v>96</v>
      </c>
      <c r="F155" s="45">
        <v>6.0030771500210996E-3</v>
      </c>
      <c r="G155" s="45">
        <v>2.8421776093249997E-4</v>
      </c>
      <c r="H155" s="45">
        <v>1.0402289423649999E-4</v>
      </c>
      <c r="I155" s="45">
        <v>5.0431423750700003E-4</v>
      </c>
      <c r="J155" s="34">
        <f t="shared" si="15"/>
        <v>-0.97271509495048003</v>
      </c>
      <c r="K155" s="34">
        <f t="shared" si="16"/>
        <v>-0.69820984427422728</v>
      </c>
      <c r="L155" s="34">
        <f t="shared" si="17"/>
        <v>-0.70685919787563523</v>
      </c>
      <c r="M155" s="22">
        <v>-0.70955374219197076</v>
      </c>
      <c r="N155" s="6" t="b">
        <f t="shared" si="18"/>
        <v>0</v>
      </c>
      <c r="O155" s="6" t="b">
        <f t="shared" si="19"/>
        <v>0</v>
      </c>
      <c r="P155" s="19">
        <v>0</v>
      </c>
      <c r="Q155" s="46" t="str">
        <f t="shared" si="20"/>
        <v>-</v>
      </c>
      <c r="R155" s="24">
        <v>22.005927889957221</v>
      </c>
      <c r="S155" s="24">
        <v>63.345670773835941</v>
      </c>
      <c r="T155" s="6" t="s">
        <v>1189</v>
      </c>
      <c r="U155" s="10" t="b">
        <v>0</v>
      </c>
    </row>
    <row r="156" spans="1:21" ht="15" customHeight="1" x14ac:dyDescent="0.3">
      <c r="A156" s="10" t="s">
        <v>472</v>
      </c>
      <c r="B156" s="10" t="s">
        <v>313</v>
      </c>
      <c r="C156" s="10" t="s">
        <v>33</v>
      </c>
      <c r="D156" s="16">
        <v>10000</v>
      </c>
      <c r="E156" s="23">
        <f t="shared" si="14"/>
        <v>101</v>
      </c>
      <c r="F156" s="45">
        <v>5.5893087960735997E-3</v>
      </c>
      <c r="G156" s="45">
        <v>2.4177405016171698E-2</v>
      </c>
      <c r="H156" s="45">
        <v>2.0795956660051299E-2</v>
      </c>
      <c r="I156" s="45">
        <v>2.8753774267339501E-2</v>
      </c>
      <c r="J156" s="34">
        <f t="shared" si="15"/>
        <v>1.4419179066333414</v>
      </c>
      <c r="K156" s="34">
        <f t="shared" si="16"/>
        <v>0.50321904751838753</v>
      </c>
      <c r="L156" s="34">
        <f t="shared" si="17"/>
        <v>0.33245590553430748</v>
      </c>
      <c r="M156" s="22">
        <v>0.49647826270855488</v>
      </c>
      <c r="N156" s="6" t="b">
        <f t="shared" si="18"/>
        <v>1</v>
      </c>
      <c r="O156" s="6" t="b">
        <f t="shared" si="19"/>
        <v>0</v>
      </c>
      <c r="P156" s="19">
        <v>0</v>
      </c>
      <c r="Q156" s="46" t="str">
        <f t="shared" si="20"/>
        <v>-</v>
      </c>
      <c r="R156" s="24">
        <v>31.312974027363879</v>
      </c>
      <c r="S156" s="24">
        <v>65.910806406125303</v>
      </c>
      <c r="T156" s="6" t="s">
        <v>1175</v>
      </c>
      <c r="U156" s="10" t="b">
        <v>0</v>
      </c>
    </row>
    <row r="157" spans="1:21" ht="15" customHeight="1" x14ac:dyDescent="0.3">
      <c r="A157" s="10" t="s">
        <v>472</v>
      </c>
      <c r="B157" s="10" t="s">
        <v>300</v>
      </c>
      <c r="C157" s="10" t="s">
        <v>33</v>
      </c>
      <c r="D157" s="16">
        <v>10000</v>
      </c>
      <c r="E157" s="23">
        <f t="shared" si="14"/>
        <v>101</v>
      </c>
      <c r="F157" s="45">
        <v>5.5893087960735997E-3</v>
      </c>
      <c r="G157" s="45">
        <v>1.10663426455329E-2</v>
      </c>
      <c r="H157" s="45">
        <v>6.9290716192950998E-3</v>
      </c>
      <c r="I157" s="45">
        <v>1.44241346192491E-2</v>
      </c>
      <c r="J157" s="34">
        <f t="shared" si="15"/>
        <v>0.11770060719882292</v>
      </c>
      <c r="K157" s="34">
        <f t="shared" si="16"/>
        <v>-0.15888960219887183</v>
      </c>
      <c r="L157" s="34">
        <f t="shared" si="17"/>
        <v>-0.36782178902388063</v>
      </c>
      <c r="M157" s="22">
        <v>-0.18774449624541709</v>
      </c>
      <c r="N157" s="6" t="b">
        <f t="shared" si="18"/>
        <v>0</v>
      </c>
      <c r="O157" s="6" t="b">
        <f t="shared" si="19"/>
        <v>0</v>
      </c>
      <c r="P157" s="19">
        <v>0</v>
      </c>
      <c r="Q157" s="46" t="str">
        <f t="shared" si="20"/>
        <v>-</v>
      </c>
      <c r="R157" s="24">
        <v>33.60429383389026</v>
      </c>
      <c r="S157" s="24">
        <v>62.441260901540097</v>
      </c>
      <c r="T157" s="6" t="s">
        <v>1190</v>
      </c>
      <c r="U157" s="10" t="b">
        <v>0</v>
      </c>
    </row>
    <row r="158" spans="1:21" ht="15" customHeight="1" x14ac:dyDescent="0.3">
      <c r="A158" s="10" t="s">
        <v>472</v>
      </c>
      <c r="B158" s="10" t="s">
        <v>303</v>
      </c>
      <c r="C158" s="10" t="s">
        <v>33</v>
      </c>
      <c r="D158" s="16">
        <v>11000</v>
      </c>
      <c r="E158" s="23">
        <f t="shared" si="14"/>
        <v>111</v>
      </c>
      <c r="F158" s="45">
        <v>4.8826483267737997E-3</v>
      </c>
      <c r="G158" s="45">
        <v>3.0310736410000899E-2</v>
      </c>
      <c r="H158" s="45">
        <v>2.4856602172254098E-2</v>
      </c>
      <c r="I158" s="45">
        <v>3.2897403862666597E-2</v>
      </c>
      <c r="J158" s="34">
        <f t="shared" si="15"/>
        <v>2.3644917415100997</v>
      </c>
      <c r="K158" s="34">
        <f t="shared" si="16"/>
        <v>0.95323285289099569</v>
      </c>
      <c r="L158" s="34">
        <f t="shared" si="17"/>
        <v>0.65052840269604828</v>
      </c>
      <c r="M158" s="22">
        <v>0.80328649126907847</v>
      </c>
      <c r="N158" s="6" t="b">
        <f t="shared" si="18"/>
        <v>1</v>
      </c>
      <c r="O158" s="6" t="b">
        <f t="shared" si="19"/>
        <v>0</v>
      </c>
      <c r="P158" s="19">
        <v>0</v>
      </c>
      <c r="Q158" s="46" t="str">
        <f t="shared" si="20"/>
        <v>-</v>
      </c>
      <c r="R158" s="24">
        <v>30.119502932560572</v>
      </c>
      <c r="S158" s="24">
        <v>62.72180079170456</v>
      </c>
      <c r="T158" s="6" t="s">
        <v>1191</v>
      </c>
      <c r="U158" s="10" t="b">
        <v>1</v>
      </c>
    </row>
    <row r="159" spans="1:21" ht="15" customHeight="1" x14ac:dyDescent="0.3">
      <c r="A159" s="10" t="s">
        <v>472</v>
      </c>
      <c r="B159" s="10" t="s">
        <v>316</v>
      </c>
      <c r="C159" s="10" t="s">
        <v>33</v>
      </c>
      <c r="D159" s="16">
        <v>12000</v>
      </c>
      <c r="E159" s="23">
        <f t="shared" si="14"/>
        <v>121</v>
      </c>
      <c r="F159" s="45">
        <v>4.3033784553444003E-3</v>
      </c>
      <c r="G159" s="45">
        <v>7.4490945816019997E-4</v>
      </c>
      <c r="H159" s="45">
        <v>3.3263306463740002E-4</v>
      </c>
      <c r="I159" s="45">
        <v>1.1685048188622999E-3</v>
      </c>
      <c r="J159" s="34">
        <f t="shared" si="15"/>
        <v>-0.90986595556261585</v>
      </c>
      <c r="K159" s="34">
        <f t="shared" si="16"/>
        <v>-0.69457858123297167</v>
      </c>
      <c r="L159" s="34">
        <f t="shared" si="17"/>
        <v>-0.71952130304110107</v>
      </c>
      <c r="M159" s="22">
        <v>-0.71774642897228846</v>
      </c>
      <c r="N159" s="6" t="b">
        <f t="shared" si="18"/>
        <v>0</v>
      </c>
      <c r="O159" s="6" t="b">
        <f t="shared" si="19"/>
        <v>0</v>
      </c>
      <c r="P159" s="19">
        <v>0</v>
      </c>
      <c r="Q159" s="46" t="str">
        <f t="shared" si="20"/>
        <v>-</v>
      </c>
      <c r="R159" s="24">
        <v>28.207876848042911</v>
      </c>
      <c r="S159" s="24">
        <v>61.316203579703313</v>
      </c>
      <c r="T159" s="6" t="s">
        <v>1192</v>
      </c>
      <c r="U159" s="10" t="b">
        <v>0</v>
      </c>
    </row>
    <row r="160" spans="1:21" ht="15" customHeight="1" x14ac:dyDescent="0.3">
      <c r="A160" s="10" t="s">
        <v>472</v>
      </c>
      <c r="B160" s="10" t="s">
        <v>331</v>
      </c>
      <c r="C160" s="10" t="s">
        <v>33</v>
      </c>
      <c r="D160" s="16">
        <v>13000</v>
      </c>
      <c r="E160" s="23">
        <f t="shared" si="14"/>
        <v>131</v>
      </c>
      <c r="F160" s="45">
        <v>3.8217961031279E-3</v>
      </c>
      <c r="G160" s="45">
        <v>2.5360659872547E-3</v>
      </c>
      <c r="H160" s="45">
        <v>1.2879490240324E-3</v>
      </c>
      <c r="I160" s="45">
        <v>3.2796990886423999E-3</v>
      </c>
      <c r="J160" s="34">
        <f t="shared" si="15"/>
        <v>-0.66777535566963431</v>
      </c>
      <c r="K160" s="34">
        <f t="shared" si="16"/>
        <v>-0.58356003307993976</v>
      </c>
      <c r="L160" s="34">
        <f t="shared" si="17"/>
        <v>-0.66531169417100033</v>
      </c>
      <c r="M160" s="22">
        <v>-0.66654403143530061</v>
      </c>
      <c r="N160" s="6" t="b">
        <f t="shared" si="18"/>
        <v>0</v>
      </c>
      <c r="O160" s="6" t="b">
        <f t="shared" si="19"/>
        <v>0</v>
      </c>
      <c r="P160" s="19">
        <v>0</v>
      </c>
      <c r="Q160" s="46" t="str">
        <f t="shared" si="20"/>
        <v>-</v>
      </c>
      <c r="R160" s="24">
        <v>29.802923386011571</v>
      </c>
      <c r="S160" s="24">
        <v>65.573542632355441</v>
      </c>
      <c r="T160" s="6" t="s">
        <v>1193</v>
      </c>
      <c r="U160" s="10" t="b">
        <v>0</v>
      </c>
    </row>
    <row r="161" spans="1:21" ht="15" customHeight="1" x14ac:dyDescent="0.3">
      <c r="A161" s="10" t="s">
        <v>472</v>
      </c>
      <c r="B161" s="10" t="s">
        <v>304</v>
      </c>
      <c r="C161" s="10" t="s">
        <v>33</v>
      </c>
      <c r="D161" s="16">
        <v>13000</v>
      </c>
      <c r="E161" s="23">
        <f t="shared" si="14"/>
        <v>131</v>
      </c>
      <c r="F161" s="45">
        <v>3.8217961031279E-3</v>
      </c>
      <c r="G161" s="45">
        <v>6.9356998517217999E-3</v>
      </c>
      <c r="H161" s="45">
        <v>4.4211041060198001E-3</v>
      </c>
      <c r="I161" s="45">
        <v>8.6439909586865996E-3</v>
      </c>
      <c r="J161" s="34">
        <f t="shared" si="15"/>
        <v>-9.142331942444426E-2</v>
      </c>
      <c r="K161" s="34">
        <f t="shared" si="16"/>
        <v>-0.29538401495734468</v>
      </c>
      <c r="L161" s="34">
        <f t="shared" si="17"/>
        <v>-0.46009003630082568</v>
      </c>
      <c r="M161" s="22">
        <v>-0.40315819422180371</v>
      </c>
      <c r="N161" s="6" t="b">
        <f t="shared" si="18"/>
        <v>0</v>
      </c>
      <c r="O161" s="6" t="b">
        <f t="shared" si="19"/>
        <v>0</v>
      </c>
      <c r="P161" s="19">
        <v>0</v>
      </c>
      <c r="Q161" s="46" t="str">
        <f t="shared" si="20"/>
        <v>-</v>
      </c>
      <c r="R161" s="24">
        <v>30.261034551294308</v>
      </c>
      <c r="S161" s="24">
        <v>52.345212178439454</v>
      </c>
      <c r="T161" s="6" t="s">
        <v>1194</v>
      </c>
      <c r="U161" s="10" t="b">
        <v>0</v>
      </c>
    </row>
    <row r="162" spans="1:21" ht="15" customHeight="1" x14ac:dyDescent="0.3">
      <c r="A162" s="10" t="s">
        <v>472</v>
      </c>
      <c r="B162" s="10" t="s">
        <v>482</v>
      </c>
      <c r="C162" s="10" t="s">
        <v>33</v>
      </c>
      <c r="D162" s="16">
        <v>15000</v>
      </c>
      <c r="E162" s="23">
        <f t="shared" si="14"/>
        <v>151</v>
      </c>
      <c r="F162" s="45">
        <v>3.0722557492200001E-3</v>
      </c>
      <c r="G162" s="45">
        <v>5.4439040081409997E-4</v>
      </c>
      <c r="H162" s="45">
        <v>2.6215460429140003E-4</v>
      </c>
      <c r="I162" s="45">
        <v>8.9941206525820004E-4</v>
      </c>
      <c r="J162" s="34">
        <f t="shared" si="15"/>
        <v>-0.91779704947707086</v>
      </c>
      <c r="K162" s="34">
        <f t="shared" si="16"/>
        <v>-0.72694321567242537</v>
      </c>
      <c r="L162" s="34">
        <f t="shared" si="17"/>
        <v>-0.7482520183098893</v>
      </c>
      <c r="M162" s="22">
        <v>-0.75019124436917128</v>
      </c>
      <c r="N162" s="6" t="b">
        <f t="shared" si="18"/>
        <v>0</v>
      </c>
      <c r="O162" s="6" t="b">
        <f t="shared" si="19"/>
        <v>0</v>
      </c>
      <c r="P162" s="19">
        <v>0</v>
      </c>
      <c r="Q162" s="46" t="str">
        <f t="shared" si="20"/>
        <v>-</v>
      </c>
      <c r="R162" s="24">
        <v>27.180345467462079</v>
      </c>
      <c r="S162" s="24">
        <v>63.621348173189531</v>
      </c>
      <c r="T162" s="6" t="s">
        <v>1195</v>
      </c>
      <c r="U162" s="10" t="b">
        <v>0</v>
      </c>
    </row>
    <row r="163" spans="1:21" ht="15" customHeight="1" x14ac:dyDescent="0.3">
      <c r="A163" s="10" t="s">
        <v>472</v>
      </c>
      <c r="B163" s="10" t="s">
        <v>484</v>
      </c>
      <c r="C163" s="10" t="s">
        <v>33</v>
      </c>
      <c r="D163" s="16">
        <v>15000</v>
      </c>
      <c r="E163" s="23">
        <f t="shared" si="14"/>
        <v>151</v>
      </c>
      <c r="F163" s="45">
        <v>3.0722557492200001E-3</v>
      </c>
      <c r="G163" s="45">
        <v>3.2371529467551522E-6</v>
      </c>
      <c r="H163" s="45">
        <v>0</v>
      </c>
      <c r="I163" s="45">
        <v>8.6309298571481215E-6</v>
      </c>
      <c r="J163" s="34">
        <f t="shared" si="15"/>
        <v>-0.99951118990503995</v>
      </c>
      <c r="K163" s="34">
        <f t="shared" si="16"/>
        <v>-0.76780028588640992</v>
      </c>
      <c r="L163" s="34">
        <f t="shared" si="17"/>
        <v>-0.76804469093389005</v>
      </c>
      <c r="M163" s="22">
        <v>-0.76802699068816815</v>
      </c>
      <c r="N163" s="6" t="b">
        <f t="shared" si="18"/>
        <v>0</v>
      </c>
      <c r="O163" s="6" t="b">
        <f t="shared" si="19"/>
        <v>0</v>
      </c>
      <c r="P163" s="19">
        <v>0</v>
      </c>
      <c r="Q163" s="46" t="str">
        <f t="shared" si="20"/>
        <v>-</v>
      </c>
      <c r="R163" s="24">
        <v>23.849744885709629</v>
      </c>
      <c r="S163" s="24">
        <v>66.377763721172627</v>
      </c>
      <c r="T163" s="6" t="s">
        <v>1196</v>
      </c>
      <c r="U163" s="10" t="b">
        <v>0</v>
      </c>
    </row>
    <row r="164" spans="1:21" ht="15" customHeight="1" x14ac:dyDescent="0.3">
      <c r="A164" s="10" t="s">
        <v>472</v>
      </c>
      <c r="B164" s="10" t="s">
        <v>485</v>
      </c>
      <c r="C164" s="10" t="s">
        <v>33</v>
      </c>
      <c r="D164" s="16">
        <v>15000</v>
      </c>
      <c r="E164" s="23">
        <f t="shared" si="14"/>
        <v>151</v>
      </c>
      <c r="F164" s="45">
        <v>3.0722557492200001E-3</v>
      </c>
      <c r="G164" s="45">
        <v>1.5159714662217E-3</v>
      </c>
      <c r="H164" s="45">
        <v>1.0565605841895999E-3</v>
      </c>
      <c r="I164" s="45">
        <v>1.838789665046E-3</v>
      </c>
      <c r="J164" s="34">
        <f t="shared" si="15"/>
        <v>-0.77108830860052335</v>
      </c>
      <c r="K164" s="34">
        <f t="shared" si="16"/>
        <v>-0.65358884523415162</v>
      </c>
      <c r="L164" s="34">
        <f t="shared" si="17"/>
        <v>-0.68827436682757526</v>
      </c>
      <c r="M164" s="22">
        <v>-0.65863962818848565</v>
      </c>
      <c r="N164" s="6" t="b">
        <f t="shared" si="18"/>
        <v>0</v>
      </c>
      <c r="O164" s="6" t="b">
        <f t="shared" si="19"/>
        <v>0</v>
      </c>
      <c r="P164" s="19">
        <v>0</v>
      </c>
      <c r="Q164" s="46" t="str">
        <f t="shared" si="20"/>
        <v>-</v>
      </c>
      <c r="R164" s="24">
        <v>32.254966457055048</v>
      </c>
      <c r="S164" s="24">
        <v>30.338296772023529</v>
      </c>
      <c r="T164" s="6" t="s">
        <v>1197</v>
      </c>
      <c r="U164" s="10" t="b">
        <v>0</v>
      </c>
    </row>
    <row r="165" spans="1:21" ht="15" customHeight="1" x14ac:dyDescent="0.3">
      <c r="A165" s="10" t="s">
        <v>472</v>
      </c>
      <c r="B165" s="10" t="s">
        <v>486</v>
      </c>
      <c r="C165" s="10" t="s">
        <v>33</v>
      </c>
      <c r="D165" s="16">
        <v>15000</v>
      </c>
      <c r="E165" s="23">
        <f t="shared" si="14"/>
        <v>151</v>
      </c>
      <c r="F165" s="45">
        <v>3.0722557492200001E-3</v>
      </c>
      <c r="G165" s="45">
        <v>1.06375480300519E-2</v>
      </c>
      <c r="H165" s="45">
        <v>6.9699101833664004E-3</v>
      </c>
      <c r="I165" s="45">
        <v>1.22775908126592E-2</v>
      </c>
      <c r="J165" s="34">
        <f t="shared" si="15"/>
        <v>0.60626975253783688</v>
      </c>
      <c r="K165" s="34">
        <f t="shared" si="16"/>
        <v>3.5090185335028501E-2</v>
      </c>
      <c r="L165" s="34">
        <f t="shared" si="17"/>
        <v>-0.24181647208972668</v>
      </c>
      <c r="M165" s="22">
        <v>-0.20258278977694949</v>
      </c>
      <c r="N165" s="6" t="b">
        <f t="shared" si="18"/>
        <v>0</v>
      </c>
      <c r="O165" s="6" t="b">
        <f t="shared" si="19"/>
        <v>0</v>
      </c>
      <c r="P165" s="19">
        <v>0</v>
      </c>
      <c r="Q165" s="46" t="str">
        <f t="shared" si="20"/>
        <v>-</v>
      </c>
      <c r="R165" s="24">
        <v>31.32378275121664</v>
      </c>
      <c r="S165" s="24">
        <v>67.462592835891797</v>
      </c>
      <c r="T165" s="6" t="s">
        <v>1198</v>
      </c>
      <c r="U165" s="10" t="b">
        <v>0</v>
      </c>
    </row>
    <row r="166" spans="1:21" ht="15" customHeight="1" x14ac:dyDescent="0.3">
      <c r="A166" s="10" t="s">
        <v>472</v>
      </c>
      <c r="B166" s="10" t="s">
        <v>483</v>
      </c>
      <c r="C166" s="10" t="s">
        <v>33</v>
      </c>
      <c r="D166" s="16">
        <v>16000</v>
      </c>
      <c r="E166" s="23">
        <f t="shared" si="14"/>
        <v>161</v>
      </c>
      <c r="F166" s="45">
        <v>2.7769407305716998E-3</v>
      </c>
      <c r="G166" s="45">
        <v>8.4382712185690992E-3</v>
      </c>
      <c r="H166" s="45">
        <v>5.8624444969334003E-3</v>
      </c>
      <c r="I166" s="45">
        <v>1.00880132145137E-2</v>
      </c>
      <c r="J166" s="34">
        <f t="shared" si="15"/>
        <v>0.35856166618962493</v>
      </c>
      <c r="K166" s="34">
        <f t="shared" si="16"/>
        <v>-9.7175438094165623E-2</v>
      </c>
      <c r="L166" s="34">
        <f t="shared" si="17"/>
        <v>-0.30452948918583933</v>
      </c>
      <c r="M166" s="22">
        <v>-0.3172423244152483</v>
      </c>
      <c r="N166" s="6" t="b">
        <f t="shared" si="18"/>
        <v>0</v>
      </c>
      <c r="O166" s="6" t="b">
        <f t="shared" si="19"/>
        <v>0</v>
      </c>
      <c r="P166" s="19">
        <v>0</v>
      </c>
      <c r="Q166" s="46" t="str">
        <f t="shared" si="20"/>
        <v>-</v>
      </c>
      <c r="R166" s="24">
        <v>23.073999279727371</v>
      </c>
      <c r="S166" s="24">
        <v>60.136830981510101</v>
      </c>
      <c r="T166" s="6" t="s">
        <v>1199</v>
      </c>
      <c r="U166" s="10" t="b">
        <v>0</v>
      </c>
    </row>
    <row r="167" spans="1:21" ht="15" customHeight="1" x14ac:dyDescent="0.3">
      <c r="A167" s="10" t="s">
        <v>472</v>
      </c>
      <c r="B167" s="10" t="s">
        <v>487</v>
      </c>
      <c r="C167" s="10" t="s">
        <v>33</v>
      </c>
      <c r="D167" s="16">
        <v>16000</v>
      </c>
      <c r="E167" s="23">
        <f t="shared" si="14"/>
        <v>161</v>
      </c>
      <c r="F167" s="45">
        <v>2.7769407305716998E-3</v>
      </c>
      <c r="G167" s="45">
        <v>0</v>
      </c>
      <c r="H167" s="45">
        <v>0</v>
      </c>
      <c r="I167" s="45">
        <v>0</v>
      </c>
      <c r="J167" s="34">
        <f t="shared" si="15"/>
        <v>-1</v>
      </c>
      <c r="K167" s="34">
        <f t="shared" si="16"/>
        <v>-0.7764562711889782</v>
      </c>
      <c r="L167" s="34">
        <f t="shared" si="17"/>
        <v>-0.7764562711889782</v>
      </c>
      <c r="M167" s="22">
        <v>-0.77645627118897098</v>
      </c>
      <c r="N167" s="6" t="b">
        <f t="shared" si="18"/>
        <v>0</v>
      </c>
      <c r="O167" s="6" t="b">
        <f t="shared" si="19"/>
        <v>0</v>
      </c>
      <c r="P167" s="19">
        <v>0</v>
      </c>
      <c r="Q167" s="46" t="str">
        <f t="shared" si="20"/>
        <v>-</v>
      </c>
      <c r="R167" s="24">
        <v>21.025011423997039</v>
      </c>
      <c r="S167" s="24">
        <v>63.620233296037838</v>
      </c>
      <c r="T167" s="6"/>
      <c r="U167" s="10" t="b">
        <v>0</v>
      </c>
    </row>
    <row r="168" spans="1:21" ht="15" customHeight="1" x14ac:dyDescent="0.3">
      <c r="A168" s="10" t="s">
        <v>472</v>
      </c>
      <c r="B168" s="10" t="s">
        <v>488</v>
      </c>
      <c r="C168" s="10" t="s">
        <v>33</v>
      </c>
      <c r="D168" s="16">
        <v>16000</v>
      </c>
      <c r="E168" s="23">
        <f t="shared" si="14"/>
        <v>161</v>
      </c>
      <c r="F168" s="45">
        <v>2.7769407305716998E-3</v>
      </c>
      <c r="G168" s="45">
        <v>5.9790543623735637E-7</v>
      </c>
      <c r="H168" s="45">
        <v>0</v>
      </c>
      <c r="I168" s="45">
        <v>4.9237740570949812E-7</v>
      </c>
      <c r="J168" s="34">
        <f t="shared" si="15"/>
        <v>-0.99990373722476578</v>
      </c>
      <c r="K168" s="34">
        <f t="shared" si="16"/>
        <v>-0.77640813980136103</v>
      </c>
      <c r="L168" s="34">
        <f t="shared" si="17"/>
        <v>-0.7764562711889782</v>
      </c>
      <c r="M168" s="22">
        <v>-0.77645627118897098</v>
      </c>
      <c r="N168" s="6" t="b">
        <f t="shared" si="18"/>
        <v>0</v>
      </c>
      <c r="O168" s="6" t="b">
        <f t="shared" si="19"/>
        <v>0</v>
      </c>
      <c r="P168" s="19">
        <v>0</v>
      </c>
      <c r="Q168" s="46" t="str">
        <f t="shared" si="20"/>
        <v>-</v>
      </c>
      <c r="R168" s="24">
        <v>22.88930701501905</v>
      </c>
      <c r="S168" s="24">
        <v>63.335945573318611</v>
      </c>
      <c r="T168" s="6" t="s">
        <v>1200</v>
      </c>
      <c r="U168" s="10" t="b">
        <v>0</v>
      </c>
    </row>
    <row r="169" spans="1:21" ht="15" customHeight="1" x14ac:dyDescent="0.3">
      <c r="A169" s="10" t="s">
        <v>472</v>
      </c>
      <c r="B169" s="10" t="s">
        <v>447</v>
      </c>
      <c r="C169" s="10" t="s">
        <v>33</v>
      </c>
      <c r="D169" s="16">
        <v>16000</v>
      </c>
      <c r="E169" s="23">
        <f t="shared" si="14"/>
        <v>161</v>
      </c>
      <c r="F169" s="45">
        <v>2.7769407305716998E-3</v>
      </c>
      <c r="G169" s="45">
        <v>2.34903575319719E-2</v>
      </c>
      <c r="H169" s="45">
        <v>1.9223721839630802E-2</v>
      </c>
      <c r="I169" s="45">
        <v>2.6609973992361601E-2</v>
      </c>
      <c r="J169" s="34">
        <f t="shared" si="15"/>
        <v>2.7819475626474759</v>
      </c>
      <c r="K169" s="34">
        <f t="shared" si="16"/>
        <v>1.11451751013476</v>
      </c>
      <c r="L169" s="34">
        <f t="shared" si="17"/>
        <v>0.77105333690130129</v>
      </c>
      <c r="M169" s="22">
        <v>0.85696699612566185</v>
      </c>
      <c r="N169" s="6" t="b">
        <f t="shared" si="18"/>
        <v>1</v>
      </c>
      <c r="O169" s="6" t="b">
        <f t="shared" si="19"/>
        <v>0</v>
      </c>
      <c r="P169" s="19">
        <v>0</v>
      </c>
      <c r="Q169" s="46" t="str">
        <f t="shared" si="20"/>
        <v>-</v>
      </c>
      <c r="R169" s="24">
        <v>29.283188270538211</v>
      </c>
      <c r="S169" s="24">
        <v>48.776507810376437</v>
      </c>
      <c r="T169" s="6" t="s">
        <v>1201</v>
      </c>
      <c r="U169" s="10" t="b">
        <v>0</v>
      </c>
    </row>
    <row r="170" spans="1:21" ht="15" customHeight="1" x14ac:dyDescent="0.3">
      <c r="A170" s="10" t="s">
        <v>472</v>
      </c>
      <c r="B170" s="10" t="s">
        <v>396</v>
      </c>
      <c r="C170" s="10" t="s">
        <v>33</v>
      </c>
      <c r="D170" s="16">
        <v>18000</v>
      </c>
      <c r="E170" s="23">
        <f t="shared" si="14"/>
        <v>181</v>
      </c>
      <c r="F170" s="45">
        <v>2.2995982923031E-3</v>
      </c>
      <c r="G170" s="45">
        <v>2.4908703195975E-3</v>
      </c>
      <c r="H170" s="45">
        <v>1.3938547642909E-3</v>
      </c>
      <c r="I170" s="45">
        <v>3.3752447346787002E-3</v>
      </c>
      <c r="J170" s="34">
        <f t="shared" si="15"/>
        <v>-0.54915247215285246</v>
      </c>
      <c r="K170" s="34">
        <f t="shared" si="16"/>
        <v>-0.56646259062299564</v>
      </c>
      <c r="L170" s="34">
        <f t="shared" si="17"/>
        <v>-0.66574249837824295</v>
      </c>
      <c r="M170" s="22">
        <v>-0.67074428958758892</v>
      </c>
      <c r="N170" s="6" t="b">
        <f t="shared" si="18"/>
        <v>0</v>
      </c>
      <c r="O170" s="6" t="b">
        <f t="shared" si="19"/>
        <v>0</v>
      </c>
      <c r="P170" s="19">
        <v>0</v>
      </c>
      <c r="Q170" s="46" t="str">
        <f t="shared" si="20"/>
        <v>-</v>
      </c>
      <c r="R170" s="24">
        <v>26.815959869931749</v>
      </c>
      <c r="S170" s="24">
        <v>65.829069774879855</v>
      </c>
      <c r="T170" s="6" t="s">
        <v>1202</v>
      </c>
      <c r="U170" s="10" t="b">
        <v>0</v>
      </c>
    </row>
    <row r="171" spans="1:21" ht="15" customHeight="1" x14ac:dyDescent="0.3">
      <c r="A171" s="10" t="s">
        <v>472</v>
      </c>
      <c r="B171" s="10" t="s">
        <v>489</v>
      </c>
      <c r="C171" s="10" t="s">
        <v>33</v>
      </c>
      <c r="D171" s="16">
        <v>19000</v>
      </c>
      <c r="E171" s="23">
        <f t="shared" si="14"/>
        <v>191</v>
      </c>
      <c r="F171" s="45">
        <v>2.1050982258496E-3</v>
      </c>
      <c r="G171" s="45">
        <v>7.8049896304461996E-3</v>
      </c>
      <c r="H171" s="45">
        <v>5.6505898730579004E-3</v>
      </c>
      <c r="I171" s="45">
        <v>1.0211316506306601E-2</v>
      </c>
      <c r="J171" s="34">
        <f t="shared" si="15"/>
        <v>0.49075301941522409</v>
      </c>
      <c r="K171" s="34">
        <f t="shared" si="16"/>
        <v>-5.3586609723751177E-2</v>
      </c>
      <c r="L171" s="34">
        <f t="shared" si="17"/>
        <v>-0.25933178655433375</v>
      </c>
      <c r="M171" s="22">
        <v>-0.20813509350206061</v>
      </c>
      <c r="N171" s="6" t="b">
        <f t="shared" si="18"/>
        <v>0</v>
      </c>
      <c r="O171" s="6" t="b">
        <f t="shared" si="19"/>
        <v>0</v>
      </c>
      <c r="P171" s="19">
        <v>0</v>
      </c>
      <c r="Q171" s="46" t="str">
        <f t="shared" si="20"/>
        <v>-</v>
      </c>
      <c r="R171" s="24">
        <v>24.158059047590228</v>
      </c>
      <c r="S171" s="24">
        <v>56.473655962277761</v>
      </c>
      <c r="T171" s="6" t="s">
        <v>1203</v>
      </c>
      <c r="U171" s="10" t="b">
        <v>0</v>
      </c>
    </row>
    <row r="172" spans="1:21" ht="15" customHeight="1" x14ac:dyDescent="0.3">
      <c r="A172" s="10" t="s">
        <v>472</v>
      </c>
      <c r="B172" s="10" t="s">
        <v>329</v>
      </c>
      <c r="C172" s="10" t="s">
        <v>33</v>
      </c>
      <c r="D172" s="16">
        <v>20000</v>
      </c>
      <c r="E172" s="23">
        <f t="shared" si="14"/>
        <v>201</v>
      </c>
      <c r="F172" s="45">
        <v>1.9338239204657001E-3</v>
      </c>
      <c r="G172" s="45">
        <v>9.0818922265871322E-5</v>
      </c>
      <c r="H172" s="45">
        <v>1.2509511346442509E-5</v>
      </c>
      <c r="I172" s="45">
        <v>1.7099141377000001E-4</v>
      </c>
      <c r="J172" s="34">
        <f t="shared" si="15"/>
        <v>-0.98174539662455984</v>
      </c>
      <c r="K172" s="34">
        <f t="shared" si="16"/>
        <v>-0.79652339430547703</v>
      </c>
      <c r="L172" s="34">
        <f t="shared" si="17"/>
        <v>-0.80439349010287964</v>
      </c>
      <c r="M172" s="22">
        <v>-0.80369937459586382</v>
      </c>
      <c r="N172" s="6" t="b">
        <f t="shared" si="18"/>
        <v>0</v>
      </c>
      <c r="O172" s="6" t="b">
        <f t="shared" si="19"/>
        <v>0</v>
      </c>
      <c r="P172" s="19">
        <v>0</v>
      </c>
      <c r="Q172" s="46" t="str">
        <f t="shared" si="20"/>
        <v>-</v>
      </c>
      <c r="R172" s="24">
        <v>24.78342251888359</v>
      </c>
      <c r="S172" s="24">
        <v>58.337129483783357</v>
      </c>
      <c r="T172" s="6" t="s">
        <v>1204</v>
      </c>
      <c r="U172" s="10" t="b">
        <v>0</v>
      </c>
    </row>
    <row r="173" spans="1:21" ht="15" customHeight="1" x14ac:dyDescent="0.3">
      <c r="A173" s="10" t="s">
        <v>472</v>
      </c>
      <c r="B173" s="10" t="s">
        <v>315</v>
      </c>
      <c r="C173" s="10" t="s">
        <v>33</v>
      </c>
      <c r="D173" s="16">
        <v>20000</v>
      </c>
      <c r="E173" s="23">
        <f t="shared" si="14"/>
        <v>201</v>
      </c>
      <c r="F173" s="45">
        <v>1.9338239204657001E-3</v>
      </c>
      <c r="G173" s="45">
        <v>4.9044288053456996E-3</v>
      </c>
      <c r="H173" s="45">
        <v>2.5981429433652998E-3</v>
      </c>
      <c r="I173" s="45">
        <v>6.4067057237683998E-3</v>
      </c>
      <c r="J173" s="34">
        <f t="shared" si="15"/>
        <v>-1.4209810125514366E-2</v>
      </c>
      <c r="K173" s="34">
        <f t="shared" si="16"/>
        <v>-0.31275560105595424</v>
      </c>
      <c r="L173" s="34">
        <f t="shared" si="17"/>
        <v>-0.54453733018498451</v>
      </c>
      <c r="M173" s="22">
        <v>-0.53951751005194426</v>
      </c>
      <c r="N173" s="6" t="b">
        <f t="shared" si="18"/>
        <v>0</v>
      </c>
      <c r="O173" s="6" t="b">
        <f t="shared" si="19"/>
        <v>0</v>
      </c>
      <c r="P173" s="19">
        <v>0</v>
      </c>
      <c r="Q173" s="46" t="str">
        <f t="shared" si="20"/>
        <v>-</v>
      </c>
      <c r="R173" s="24">
        <v>27.3921401380079</v>
      </c>
      <c r="S173" s="24">
        <v>62.220067115805662</v>
      </c>
      <c r="T173" s="6" t="s">
        <v>1205</v>
      </c>
      <c r="U173" s="10" t="b">
        <v>0</v>
      </c>
    </row>
    <row r="174" spans="1:21" ht="15" customHeight="1" x14ac:dyDescent="0.3">
      <c r="A174" s="10" t="s">
        <v>472</v>
      </c>
      <c r="B174" s="10" t="s">
        <v>299</v>
      </c>
      <c r="C174" s="10" t="s">
        <v>33</v>
      </c>
      <c r="D174" s="16">
        <v>21000</v>
      </c>
      <c r="E174" s="23">
        <f t="shared" si="14"/>
        <v>211</v>
      </c>
      <c r="F174" s="45">
        <v>1.7822331420951E-3</v>
      </c>
      <c r="G174" s="45">
        <v>3.6470410952025999E-3</v>
      </c>
      <c r="H174" s="45">
        <v>2.0119349376601001E-3</v>
      </c>
      <c r="I174" s="45">
        <v>4.6912469104631004E-3</v>
      </c>
      <c r="J174" s="34">
        <f t="shared" si="15"/>
        <v>-0.23047432891225139</v>
      </c>
      <c r="K174" s="34">
        <f t="shared" si="16"/>
        <v>-0.42721156796509263</v>
      </c>
      <c r="L174" s="34">
        <f t="shared" si="17"/>
        <v>-0.59971526758582638</v>
      </c>
      <c r="M174" s="22">
        <v>-0.61562238869536401</v>
      </c>
      <c r="N174" s="6" t="b">
        <f t="shared" si="18"/>
        <v>0</v>
      </c>
      <c r="O174" s="6" t="b">
        <f t="shared" si="19"/>
        <v>0</v>
      </c>
      <c r="P174" s="19">
        <v>0</v>
      </c>
      <c r="Q174" s="46" t="str">
        <f t="shared" si="20"/>
        <v>-</v>
      </c>
      <c r="R174" s="24">
        <v>31.16043270574357</v>
      </c>
      <c r="S174" s="24">
        <v>62.355484172743843</v>
      </c>
      <c r="T174" s="6" t="s">
        <v>1206</v>
      </c>
      <c r="U174" s="10" t="b">
        <v>0</v>
      </c>
    </row>
    <row r="175" spans="1:21" ht="15" customHeight="1" x14ac:dyDescent="0.3">
      <c r="A175" s="10" t="s">
        <v>472</v>
      </c>
      <c r="B175" s="10" t="s">
        <v>378</v>
      </c>
      <c r="C175" s="10" t="s">
        <v>33</v>
      </c>
      <c r="D175" s="16">
        <v>21000</v>
      </c>
      <c r="E175" s="23">
        <f t="shared" si="14"/>
        <v>211</v>
      </c>
      <c r="F175" s="45">
        <v>1.7822331420951E-3</v>
      </c>
      <c r="G175" s="45">
        <v>3.7859951859811002E-3</v>
      </c>
      <c r="H175" s="45">
        <v>2.2161072713802999E-3</v>
      </c>
      <c r="I175" s="45">
        <v>4.8003122334728003E-3</v>
      </c>
      <c r="J175" s="34">
        <f t="shared" si="15"/>
        <v>-0.20115501575798789</v>
      </c>
      <c r="K175" s="34">
        <f t="shared" si="16"/>
        <v>-0.41255191138796088</v>
      </c>
      <c r="L175" s="34">
        <f t="shared" si="17"/>
        <v>-0.57817508637834525</v>
      </c>
      <c r="M175" s="22">
        <v>-0.56947821010396549</v>
      </c>
      <c r="N175" s="6" t="b">
        <f t="shared" si="18"/>
        <v>0</v>
      </c>
      <c r="O175" s="6" t="b">
        <f t="shared" si="19"/>
        <v>0</v>
      </c>
      <c r="P175" s="19">
        <v>0</v>
      </c>
      <c r="Q175" s="46" t="str">
        <f t="shared" si="20"/>
        <v>-</v>
      </c>
      <c r="R175" s="24">
        <v>19.686309331235361</v>
      </c>
      <c r="S175" s="24">
        <v>56.122331844908217</v>
      </c>
      <c r="T175" s="6" t="s">
        <v>1207</v>
      </c>
      <c r="U175" s="10" t="b">
        <v>0</v>
      </c>
    </row>
    <row r="176" spans="1:21" ht="15" customHeight="1" x14ac:dyDescent="0.3">
      <c r="A176" s="10" t="s">
        <v>472</v>
      </c>
      <c r="B176" s="10" t="s">
        <v>453</v>
      </c>
      <c r="C176" s="10" t="s">
        <v>33</v>
      </c>
      <c r="D176" s="16">
        <v>21000</v>
      </c>
      <c r="E176" s="23">
        <f t="shared" si="14"/>
        <v>211</v>
      </c>
      <c r="F176" s="45">
        <v>1.7822331420951E-3</v>
      </c>
      <c r="G176" s="45">
        <v>4.0369467692431002E-3</v>
      </c>
      <c r="H176" s="45">
        <v>2.3345767742971998E-3</v>
      </c>
      <c r="I176" s="45">
        <v>5.3588659189909996E-3</v>
      </c>
      <c r="J176" s="34">
        <f t="shared" si="15"/>
        <v>-0.14820423168970587</v>
      </c>
      <c r="K176" s="34">
        <f t="shared" si="16"/>
        <v>-0.38607651935381992</v>
      </c>
      <c r="L176" s="34">
        <f t="shared" si="17"/>
        <v>-0.56567655382061233</v>
      </c>
      <c r="M176" s="22">
        <v>-0.53242434805737249</v>
      </c>
      <c r="N176" s="6" t="b">
        <f t="shared" si="18"/>
        <v>0</v>
      </c>
      <c r="O176" s="6" t="b">
        <f t="shared" si="19"/>
        <v>0</v>
      </c>
      <c r="P176" s="19">
        <v>0</v>
      </c>
      <c r="Q176" s="46" t="str">
        <f t="shared" si="20"/>
        <v>-</v>
      </c>
      <c r="R176" s="24">
        <v>31.884688809247471</v>
      </c>
      <c r="S176" s="24">
        <v>59.997742479614402</v>
      </c>
      <c r="T176" s="6" t="s">
        <v>1208</v>
      </c>
      <c r="U176" s="10" t="b">
        <v>0</v>
      </c>
    </row>
    <row r="177" spans="1:21" ht="15" customHeight="1" x14ac:dyDescent="0.3">
      <c r="A177" s="10" t="s">
        <v>472</v>
      </c>
      <c r="B177" s="10" t="s">
        <v>294</v>
      </c>
      <c r="C177" s="10" t="s">
        <v>33</v>
      </c>
      <c r="D177" s="16">
        <v>21000</v>
      </c>
      <c r="E177" s="23">
        <f t="shared" si="14"/>
        <v>211</v>
      </c>
      <c r="F177" s="45">
        <v>1.7822331420951E-3</v>
      </c>
      <c r="G177" s="45">
        <v>1.1200733238340001E-4</v>
      </c>
      <c r="H177" s="45">
        <v>2.5232670241427651E-5</v>
      </c>
      <c r="I177" s="45">
        <v>2.411839558556E-4</v>
      </c>
      <c r="J177" s="34">
        <f t="shared" si="15"/>
        <v>-0.97636645286710255</v>
      </c>
      <c r="K177" s="34">
        <f t="shared" si="16"/>
        <v>-0.80015762994251827</v>
      </c>
      <c r="L177" s="34">
        <f t="shared" si="17"/>
        <v>-0.80931235679849634</v>
      </c>
      <c r="M177" s="22">
        <v>-0.81023566500560806</v>
      </c>
      <c r="N177" s="6" t="b">
        <f t="shared" si="18"/>
        <v>0</v>
      </c>
      <c r="O177" s="6" t="b">
        <f t="shared" si="19"/>
        <v>0</v>
      </c>
      <c r="P177" s="19">
        <v>0</v>
      </c>
      <c r="Q177" s="46" t="str">
        <f t="shared" si="20"/>
        <v>-</v>
      </c>
      <c r="R177" s="24">
        <v>26.5079366799173</v>
      </c>
      <c r="S177" s="24">
        <v>60.359402405244488</v>
      </c>
      <c r="T177" s="6" t="s">
        <v>1209</v>
      </c>
      <c r="U177" s="10" t="b">
        <v>0</v>
      </c>
    </row>
    <row r="178" spans="1:21" ht="15" customHeight="1" x14ac:dyDescent="0.3">
      <c r="A178" s="10" t="s">
        <v>472</v>
      </c>
      <c r="B178" s="10" t="s">
        <v>301</v>
      </c>
      <c r="C178" s="10" t="s">
        <v>33</v>
      </c>
      <c r="D178" s="16">
        <v>22000</v>
      </c>
      <c r="E178" s="23">
        <f t="shared" si="14"/>
        <v>221</v>
      </c>
      <c r="F178" s="45">
        <v>1.6474386846687E-3</v>
      </c>
      <c r="G178" s="45">
        <v>2.6747719197950002E-4</v>
      </c>
      <c r="H178" s="45">
        <v>1.1343728623859999E-4</v>
      </c>
      <c r="I178" s="45">
        <v>3.7566100322620002E-4</v>
      </c>
      <c r="J178" s="34">
        <f t="shared" si="15"/>
        <v>-0.94088754057253055</v>
      </c>
      <c r="K178" s="34">
        <f t="shared" si="16"/>
        <v>-0.78840179563037394</v>
      </c>
      <c r="L178" s="34">
        <f t="shared" si="17"/>
        <v>-0.80542320521474342</v>
      </c>
      <c r="M178" s="22">
        <v>-0.80907238477465038</v>
      </c>
      <c r="N178" s="6" t="b">
        <f t="shared" si="18"/>
        <v>0</v>
      </c>
      <c r="O178" s="6" t="b">
        <f t="shared" si="19"/>
        <v>0</v>
      </c>
      <c r="P178" s="19">
        <v>0</v>
      </c>
      <c r="Q178" s="46" t="str">
        <f t="shared" si="20"/>
        <v>-</v>
      </c>
      <c r="R178" s="24">
        <v>32.363100352860492</v>
      </c>
      <c r="S178" s="24">
        <v>49.859589025339083</v>
      </c>
      <c r="T178" s="6" t="s">
        <v>1210</v>
      </c>
      <c r="U178" s="10" t="b">
        <v>0</v>
      </c>
    </row>
    <row r="179" spans="1:21" ht="15" customHeight="1" x14ac:dyDescent="0.3">
      <c r="A179" s="10" t="s">
        <v>472</v>
      </c>
      <c r="B179" s="10" t="s">
        <v>454</v>
      </c>
      <c r="C179" s="10" t="s">
        <v>33</v>
      </c>
      <c r="D179" s="16">
        <v>25000</v>
      </c>
      <c r="E179" s="23">
        <f t="shared" si="14"/>
        <v>251</v>
      </c>
      <c r="F179" s="45">
        <v>1.3220403224782999E-3</v>
      </c>
      <c r="G179" s="45">
        <v>4.0479484511460083E-5</v>
      </c>
      <c r="H179" s="45">
        <v>5.3712270438985303E-6</v>
      </c>
      <c r="I179" s="45">
        <v>7.219042650712138E-5</v>
      </c>
      <c r="J179" s="34">
        <f t="shared" si="15"/>
        <v>-0.98983964938762348</v>
      </c>
      <c r="K179" s="34">
        <f t="shared" si="16"/>
        <v>-0.8290037642227851</v>
      </c>
      <c r="L179" s="34">
        <f t="shared" si="17"/>
        <v>-0.83340985053496408</v>
      </c>
      <c r="M179" s="22">
        <v>-0.83333326062821911</v>
      </c>
      <c r="N179" s="6" t="b">
        <f t="shared" si="18"/>
        <v>0</v>
      </c>
      <c r="O179" s="6" t="b">
        <f t="shared" si="19"/>
        <v>0</v>
      </c>
      <c r="P179" s="19">
        <v>0</v>
      </c>
      <c r="Q179" s="46" t="str">
        <f t="shared" si="20"/>
        <v>-</v>
      </c>
      <c r="R179" s="24">
        <v>27.160159005938841</v>
      </c>
      <c r="S179" s="24">
        <v>53.881162808858022</v>
      </c>
      <c r="T179" s="6" t="s">
        <v>1211</v>
      </c>
      <c r="U179" s="10" t="b">
        <v>0</v>
      </c>
    </row>
    <row r="180" spans="1:21" ht="15" customHeight="1" x14ac:dyDescent="0.3">
      <c r="A180" s="10" t="s">
        <v>490</v>
      </c>
      <c r="B180" s="10" t="s">
        <v>294</v>
      </c>
      <c r="C180" s="10" t="s">
        <v>33</v>
      </c>
      <c r="D180" s="16">
        <v>-600</v>
      </c>
      <c r="E180" s="23">
        <f t="shared" si="14"/>
        <v>1.1666666666666667</v>
      </c>
      <c r="F180" s="45">
        <v>0.7834656721021479</v>
      </c>
      <c r="G180" s="45">
        <v>0.84492052561238629</v>
      </c>
      <c r="H180" s="45">
        <v>0.71071375906249268</v>
      </c>
      <c r="I180" s="45">
        <v>1.062311798571985</v>
      </c>
      <c r="J180" s="34">
        <f t="shared" si="15"/>
        <v>-1.4259386785549277E-2</v>
      </c>
      <c r="K180" s="34">
        <f t="shared" si="16"/>
        <v>-5.0108051333188297E-2</v>
      </c>
      <c r="L180" s="34">
        <f t="shared" si="17"/>
        <v>-0.12839533182062624</v>
      </c>
      <c r="M180" s="22">
        <v>-0.19163637601170211</v>
      </c>
      <c r="N180" s="6" t="b">
        <f t="shared" si="18"/>
        <v>0</v>
      </c>
      <c r="O180" s="6" t="b">
        <f t="shared" si="19"/>
        <v>0</v>
      </c>
      <c r="P180" s="19">
        <v>0</v>
      </c>
      <c r="Q180" s="46" t="str">
        <f t="shared" si="20"/>
        <v>-</v>
      </c>
      <c r="R180" s="24">
        <v>26.5079366799173</v>
      </c>
      <c r="S180" s="24">
        <v>60.359402405244488</v>
      </c>
      <c r="T180" s="6" t="s">
        <v>1212</v>
      </c>
      <c r="U180" s="10" t="b">
        <v>0</v>
      </c>
    </row>
    <row r="181" spans="1:21" ht="15" customHeight="1" x14ac:dyDescent="0.3">
      <c r="A181" s="10" t="s">
        <v>490</v>
      </c>
      <c r="B181" s="10" t="s">
        <v>333</v>
      </c>
      <c r="C181" s="10" t="s">
        <v>33</v>
      </c>
      <c r="D181" s="16">
        <v>1200</v>
      </c>
      <c r="E181" s="23">
        <f t="shared" si="14"/>
        <v>13</v>
      </c>
      <c r="F181" s="45">
        <v>6.6238805405222007E-2</v>
      </c>
      <c r="G181" s="45">
        <v>4.3566432132187201E-2</v>
      </c>
      <c r="H181" s="45">
        <v>3.85051110095583E-2</v>
      </c>
      <c r="I181" s="45">
        <v>4.4871756076149003E-2</v>
      </c>
      <c r="J181" s="34">
        <f t="shared" si="15"/>
        <v>-0.43363638228156642</v>
      </c>
      <c r="K181" s="34">
        <f t="shared" si="16"/>
        <v>-0.28626595600684024</v>
      </c>
      <c r="L181" s="34">
        <f t="shared" si="17"/>
        <v>-0.31916454330392796</v>
      </c>
      <c r="M181" s="22">
        <v>-0.34078441658771741</v>
      </c>
      <c r="N181" s="6" t="b">
        <f t="shared" si="18"/>
        <v>0</v>
      </c>
      <c r="O181" s="6" t="b">
        <f t="shared" si="19"/>
        <v>0</v>
      </c>
      <c r="P181" s="19">
        <v>0</v>
      </c>
      <c r="Q181" s="46" t="str">
        <f t="shared" si="20"/>
        <v>-</v>
      </c>
      <c r="R181" s="24">
        <v>25.136939395056341</v>
      </c>
      <c r="S181" s="24">
        <v>46.404778953743417</v>
      </c>
      <c r="T181" s="6" t="s">
        <v>1213</v>
      </c>
      <c r="U181" s="10" t="b">
        <v>0</v>
      </c>
    </row>
    <row r="182" spans="1:21" ht="15" customHeight="1" x14ac:dyDescent="0.3">
      <c r="A182" s="10" t="s">
        <v>490</v>
      </c>
      <c r="B182" s="10" t="s">
        <v>323</v>
      </c>
      <c r="C182" s="10" t="s">
        <v>33</v>
      </c>
      <c r="D182" s="16">
        <v>3100</v>
      </c>
      <c r="E182" s="23">
        <f t="shared" si="14"/>
        <v>32</v>
      </c>
      <c r="F182" s="45">
        <v>2.4465297400290999E-2</v>
      </c>
      <c r="G182" s="45">
        <v>5.23829670284882E-2</v>
      </c>
      <c r="H182" s="45">
        <v>4.7488225807319401E-2</v>
      </c>
      <c r="I182" s="45">
        <v>5.7107805407499303E-2</v>
      </c>
      <c r="J182" s="34">
        <f t="shared" si="15"/>
        <v>0.67625494491162241</v>
      </c>
      <c r="K182" s="34">
        <f t="shared" si="16"/>
        <v>0.2295722308604673</v>
      </c>
      <c r="L182" s="34">
        <f t="shared" si="17"/>
        <v>0.15125637132176628</v>
      </c>
      <c r="M182" s="22">
        <v>0.14759318087187659</v>
      </c>
      <c r="N182" s="6" t="b">
        <f t="shared" si="18"/>
        <v>1</v>
      </c>
      <c r="O182" s="6" t="b">
        <f t="shared" si="19"/>
        <v>0</v>
      </c>
      <c r="P182" s="19">
        <v>0</v>
      </c>
      <c r="Q182" s="46" t="str">
        <f t="shared" si="20"/>
        <v>-</v>
      </c>
      <c r="R182" s="24">
        <v>27.045434371270229</v>
      </c>
      <c r="S182" s="24">
        <v>60.188808783759278</v>
      </c>
      <c r="T182" s="6" t="s">
        <v>1214</v>
      </c>
      <c r="U182" s="10" t="b">
        <v>0</v>
      </c>
    </row>
    <row r="183" spans="1:21" ht="15" customHeight="1" x14ac:dyDescent="0.3">
      <c r="A183" s="10" t="s">
        <v>490</v>
      </c>
      <c r="B183" s="10" t="s">
        <v>398</v>
      </c>
      <c r="C183" s="10" t="s">
        <v>33</v>
      </c>
      <c r="D183" s="16">
        <v>3600</v>
      </c>
      <c r="E183" s="23">
        <f t="shared" si="14"/>
        <v>37</v>
      </c>
      <c r="F183" s="45">
        <v>2.0639751398064999E-2</v>
      </c>
      <c r="G183" s="45">
        <v>2.0606226972016998E-3</v>
      </c>
      <c r="H183" s="45">
        <v>8.8513982548990002E-4</v>
      </c>
      <c r="I183" s="45">
        <v>3.0867224134183999E-3</v>
      </c>
      <c r="J183" s="34">
        <f t="shared" si="15"/>
        <v>-0.92375696020353715</v>
      </c>
      <c r="K183" s="34">
        <f t="shared" si="16"/>
        <v>-0.58004307923756604</v>
      </c>
      <c r="L183" s="34">
        <f t="shared" si="17"/>
        <v>-0.60178951236423439</v>
      </c>
      <c r="M183" s="22">
        <v>-0.60093490916948289</v>
      </c>
      <c r="N183" s="6" t="b">
        <f t="shared" si="18"/>
        <v>0</v>
      </c>
      <c r="O183" s="6" t="b">
        <f t="shared" si="19"/>
        <v>0</v>
      </c>
      <c r="P183" s="19">
        <v>0</v>
      </c>
      <c r="Q183" s="46" t="str">
        <f t="shared" si="20"/>
        <v>-</v>
      </c>
      <c r="R183" s="24">
        <v>20.921379357106002</v>
      </c>
      <c r="S183" s="24">
        <v>62.8201689331217</v>
      </c>
      <c r="T183" s="6" t="s">
        <v>1215</v>
      </c>
      <c r="U183" s="10" t="b">
        <v>0</v>
      </c>
    </row>
    <row r="184" spans="1:21" ht="15" customHeight="1" x14ac:dyDescent="0.3">
      <c r="A184" s="10" t="s">
        <v>490</v>
      </c>
      <c r="B184" s="10" t="s">
        <v>394</v>
      </c>
      <c r="C184" s="10" t="s">
        <v>33</v>
      </c>
      <c r="D184" s="16">
        <v>4100</v>
      </c>
      <c r="E184" s="23">
        <f t="shared" si="14"/>
        <v>42</v>
      </c>
      <c r="F184" s="45">
        <v>1.77382840938617E-2</v>
      </c>
      <c r="G184" s="45">
        <v>5.7315236200298032E-5</v>
      </c>
      <c r="H184" s="45">
        <v>5.1172430293918959E-6</v>
      </c>
      <c r="I184" s="45">
        <v>1.4192190385389999E-4</v>
      </c>
      <c r="J184" s="34">
        <f t="shared" si="15"/>
        <v>-0.99759276007958753</v>
      </c>
      <c r="K184" s="34">
        <f t="shared" si="16"/>
        <v>-0.62629241406869807</v>
      </c>
      <c r="L184" s="34">
        <f t="shared" si="17"/>
        <v>-0.62738857192528708</v>
      </c>
      <c r="M184" s="22">
        <v>-0.62734003803920269</v>
      </c>
      <c r="N184" s="6" t="b">
        <f t="shared" si="18"/>
        <v>0</v>
      </c>
      <c r="O184" s="6" t="b">
        <f t="shared" si="19"/>
        <v>0</v>
      </c>
      <c r="P184" s="19">
        <v>0</v>
      </c>
      <c r="Q184" s="46" t="str">
        <f t="shared" si="20"/>
        <v>-</v>
      </c>
      <c r="R184" s="24">
        <v>17.900260238399071</v>
      </c>
      <c r="S184" s="24">
        <v>48.782234761232438</v>
      </c>
      <c r="T184" s="6" t="s">
        <v>1216</v>
      </c>
      <c r="U184" s="10" t="b">
        <v>0</v>
      </c>
    </row>
    <row r="185" spans="1:21" ht="15" customHeight="1" x14ac:dyDescent="0.3">
      <c r="A185" s="10" t="s">
        <v>490</v>
      </c>
      <c r="B185" s="10" t="s">
        <v>321</v>
      </c>
      <c r="C185" s="10" t="s">
        <v>33</v>
      </c>
      <c r="D185" s="16">
        <v>5200</v>
      </c>
      <c r="E185" s="23">
        <f t="shared" si="14"/>
        <v>53</v>
      </c>
      <c r="F185" s="45">
        <v>1.3318219036028299E-2</v>
      </c>
      <c r="G185" s="45">
        <v>5.2442504440991002E-3</v>
      </c>
      <c r="H185" s="45">
        <v>2.8154179673887999E-3</v>
      </c>
      <c r="I185" s="45">
        <v>6.2173670101830997E-3</v>
      </c>
      <c r="J185" s="34">
        <f t="shared" si="15"/>
        <v>-0.72205472646274771</v>
      </c>
      <c r="K185" s="34">
        <f t="shared" si="16"/>
        <v>-0.50809455877662391</v>
      </c>
      <c r="L185" s="34">
        <f t="shared" si="17"/>
        <v>-0.57245861940944687</v>
      </c>
      <c r="M185" s="22">
        <v>-0.5740456298173694</v>
      </c>
      <c r="N185" s="6" t="b">
        <f t="shared" si="18"/>
        <v>0</v>
      </c>
      <c r="O185" s="6" t="b">
        <f t="shared" si="19"/>
        <v>0</v>
      </c>
      <c r="P185" s="19">
        <v>0</v>
      </c>
      <c r="Q185" s="46" t="str">
        <f t="shared" si="20"/>
        <v>-</v>
      </c>
      <c r="R185" s="24">
        <v>25.125070958577041</v>
      </c>
      <c r="S185" s="24">
        <v>50.064654617833668</v>
      </c>
      <c r="T185" s="6" t="s">
        <v>1217</v>
      </c>
      <c r="U185" s="10" t="b">
        <v>0</v>
      </c>
    </row>
    <row r="186" spans="1:21" ht="15" customHeight="1" x14ac:dyDescent="0.3">
      <c r="A186" s="10" t="s">
        <v>490</v>
      </c>
      <c r="B186" s="10" t="s">
        <v>335</v>
      </c>
      <c r="C186" s="10" t="s">
        <v>33</v>
      </c>
      <c r="D186" s="16">
        <v>6500</v>
      </c>
      <c r="E186" s="23">
        <f t="shared" si="14"/>
        <v>66</v>
      </c>
      <c r="F186" s="45">
        <v>1.0043768790102801E-2</v>
      </c>
      <c r="G186" s="45">
        <v>1.3747917124598099E-2</v>
      </c>
      <c r="H186" s="45">
        <v>9.4768476828655992E-3</v>
      </c>
      <c r="I186" s="45">
        <v>1.7494365777102901E-2</v>
      </c>
      <c r="J186" s="34">
        <f t="shared" si="15"/>
        <v>-9.2637469776525427E-2</v>
      </c>
      <c r="K186" s="34">
        <f t="shared" si="16"/>
        <v>-0.21487436481487032</v>
      </c>
      <c r="L186" s="34">
        <f t="shared" si="17"/>
        <v>-0.35581965639204283</v>
      </c>
      <c r="M186" s="22">
        <v>-0.38675262554954493</v>
      </c>
      <c r="N186" s="6" t="b">
        <f t="shared" si="18"/>
        <v>0</v>
      </c>
      <c r="O186" s="6" t="b">
        <f t="shared" si="19"/>
        <v>0</v>
      </c>
      <c r="P186" s="19">
        <v>0</v>
      </c>
      <c r="Q186" s="46" t="str">
        <f t="shared" si="20"/>
        <v>-</v>
      </c>
      <c r="R186" s="24">
        <v>24.070942053433608</v>
      </c>
      <c r="S186" s="24">
        <v>65.586956438236413</v>
      </c>
      <c r="T186" s="6" t="s">
        <v>1218</v>
      </c>
      <c r="U186" s="10" t="b">
        <v>0</v>
      </c>
    </row>
    <row r="187" spans="1:21" ht="15" customHeight="1" x14ac:dyDescent="0.3">
      <c r="A187" s="10" t="s">
        <v>490</v>
      </c>
      <c r="B187" s="10" t="s">
        <v>329</v>
      </c>
      <c r="C187" s="10" t="s">
        <v>33</v>
      </c>
      <c r="D187" s="16">
        <v>8500</v>
      </c>
      <c r="E187" s="23">
        <f t="shared" si="14"/>
        <v>86</v>
      </c>
      <c r="F187" s="45">
        <v>7.0150337455991999E-3</v>
      </c>
      <c r="G187" s="45">
        <v>6.938621347831E-4</v>
      </c>
      <c r="H187" s="45">
        <v>1.9834189032099999E-4</v>
      </c>
      <c r="I187" s="45">
        <v>1.1542929317928999E-3</v>
      </c>
      <c r="J187" s="34">
        <f t="shared" si="15"/>
        <v>-0.94032785640865335</v>
      </c>
      <c r="K187" s="34">
        <f t="shared" si="16"/>
        <v>-0.66851747714356113</v>
      </c>
      <c r="L187" s="34">
        <f t="shared" si="17"/>
        <v>-0.68982484765543139</v>
      </c>
      <c r="M187" s="22">
        <v>-0.68827783212918447</v>
      </c>
      <c r="N187" s="6" t="b">
        <f t="shared" si="18"/>
        <v>0</v>
      </c>
      <c r="O187" s="6" t="b">
        <f t="shared" si="19"/>
        <v>0</v>
      </c>
      <c r="P187" s="19">
        <v>0</v>
      </c>
      <c r="Q187" s="46" t="str">
        <f t="shared" si="20"/>
        <v>-</v>
      </c>
      <c r="R187" s="24">
        <v>24.78342251888359</v>
      </c>
      <c r="S187" s="24">
        <v>58.337129483783357</v>
      </c>
      <c r="T187" s="6" t="s">
        <v>1219</v>
      </c>
      <c r="U187" s="10" t="b">
        <v>0</v>
      </c>
    </row>
    <row r="188" spans="1:21" ht="15" customHeight="1" x14ac:dyDescent="0.3">
      <c r="A188" s="10" t="s">
        <v>490</v>
      </c>
      <c r="B188" s="10" t="s">
        <v>325</v>
      </c>
      <c r="C188" s="10" t="s">
        <v>33</v>
      </c>
      <c r="D188" s="16">
        <v>9500</v>
      </c>
      <c r="E188" s="23">
        <f t="shared" si="14"/>
        <v>96</v>
      </c>
      <c r="F188" s="45">
        <v>6.0026510921143998E-3</v>
      </c>
      <c r="G188" s="45">
        <v>1.2693792170850799E-2</v>
      </c>
      <c r="H188" s="45">
        <v>9.1714753569728004E-3</v>
      </c>
      <c r="I188" s="45">
        <v>1.5503767279784701E-2</v>
      </c>
      <c r="J188" s="34">
        <f t="shared" si="15"/>
        <v>0.21860404840167669</v>
      </c>
      <c r="K188" s="34">
        <f t="shared" si="16"/>
        <v>-0.10257072337767048</v>
      </c>
      <c r="L188" s="34">
        <f t="shared" si="17"/>
        <v>-0.27164193044381435</v>
      </c>
      <c r="M188" s="22">
        <v>-0.3439929906024955</v>
      </c>
      <c r="N188" s="6" t="b">
        <f t="shared" si="18"/>
        <v>0</v>
      </c>
      <c r="O188" s="6" t="b">
        <f t="shared" si="19"/>
        <v>0</v>
      </c>
      <c r="P188" s="19">
        <v>0</v>
      </c>
      <c r="Q188" s="46" t="str">
        <f t="shared" si="20"/>
        <v>-</v>
      </c>
      <c r="R188" s="24">
        <v>30.75907474159272</v>
      </c>
      <c r="S188" s="24">
        <v>62.588887936973073</v>
      </c>
      <c r="T188" s="6" t="s">
        <v>1220</v>
      </c>
      <c r="U188" s="10" t="b">
        <v>0</v>
      </c>
    </row>
    <row r="189" spans="1:21" ht="15" customHeight="1" x14ac:dyDescent="0.3">
      <c r="A189" s="10" t="s">
        <v>490</v>
      </c>
      <c r="B189" s="10" t="s">
        <v>326</v>
      </c>
      <c r="C189" s="10" t="s">
        <v>33</v>
      </c>
      <c r="D189" s="16">
        <v>10000</v>
      </c>
      <c r="E189" s="23">
        <f t="shared" si="14"/>
        <v>101</v>
      </c>
      <c r="F189" s="45">
        <v>5.5780347987935E-3</v>
      </c>
      <c r="G189" s="45">
        <v>7.7143197531549003E-3</v>
      </c>
      <c r="H189" s="45">
        <v>3.7716409263314002E-3</v>
      </c>
      <c r="I189" s="45">
        <v>9.2057638075086004E-3</v>
      </c>
      <c r="J189" s="34">
        <f t="shared" si="15"/>
        <v>-0.22085370493135503</v>
      </c>
      <c r="K189" s="34">
        <f t="shared" si="16"/>
        <v>-0.32873609512660584</v>
      </c>
      <c r="L189" s="34">
        <f t="shared" si="17"/>
        <v>-0.52784137588119262</v>
      </c>
      <c r="M189" s="22">
        <v>-0.49505183640000361</v>
      </c>
      <c r="N189" s="6" t="b">
        <f t="shared" si="18"/>
        <v>0</v>
      </c>
      <c r="O189" s="6" t="b">
        <f t="shared" si="19"/>
        <v>0</v>
      </c>
      <c r="P189" s="19">
        <v>0</v>
      </c>
      <c r="Q189" s="46" t="str">
        <f t="shared" si="20"/>
        <v>-</v>
      </c>
      <c r="R189" s="24">
        <v>28.435078781563249</v>
      </c>
      <c r="S189" s="24">
        <v>62.7001754758857</v>
      </c>
      <c r="T189" s="6" t="s">
        <v>1221</v>
      </c>
      <c r="U189" s="10" t="b">
        <v>0</v>
      </c>
    </row>
    <row r="190" spans="1:21" ht="15" customHeight="1" x14ac:dyDescent="0.3">
      <c r="A190" s="10" t="s">
        <v>490</v>
      </c>
      <c r="B190" s="10" t="s">
        <v>493</v>
      </c>
      <c r="C190" s="10" t="s">
        <v>33</v>
      </c>
      <c r="D190" s="16">
        <v>12000</v>
      </c>
      <c r="E190" s="23">
        <f t="shared" si="14"/>
        <v>121</v>
      </c>
      <c r="F190" s="45">
        <v>4.2636580491102003E-3</v>
      </c>
      <c r="G190" s="45">
        <v>3.2747786953569E-3</v>
      </c>
      <c r="H190" s="45">
        <v>1.4951877926335001E-3</v>
      </c>
      <c r="I190" s="45">
        <v>4.0181719445972998E-3</v>
      </c>
      <c r="J190" s="34">
        <f t="shared" si="15"/>
        <v>-0.60375177786181511</v>
      </c>
      <c r="K190" s="34">
        <f t="shared" si="16"/>
        <v>-0.5439245769597405</v>
      </c>
      <c r="L190" s="34">
        <f t="shared" si="17"/>
        <v>-0.65158982657450615</v>
      </c>
      <c r="M190" s="22">
        <v>-0.65459001505606884</v>
      </c>
      <c r="N190" s="6" t="b">
        <f t="shared" si="18"/>
        <v>0</v>
      </c>
      <c r="O190" s="6" t="b">
        <f t="shared" si="19"/>
        <v>0</v>
      </c>
      <c r="P190" s="19">
        <v>0</v>
      </c>
      <c r="Q190" s="46" t="str">
        <f t="shared" si="20"/>
        <v>-</v>
      </c>
      <c r="R190" s="24">
        <v>21.824184569241581</v>
      </c>
      <c r="S190" s="24">
        <v>63.06649209484641</v>
      </c>
      <c r="T190" s="6" t="s">
        <v>1222</v>
      </c>
      <c r="U190" s="10" t="b">
        <v>0</v>
      </c>
    </row>
    <row r="191" spans="1:21" ht="15" customHeight="1" x14ac:dyDescent="0.3">
      <c r="A191" s="10" t="s">
        <v>490</v>
      </c>
      <c r="B191" s="10" t="s">
        <v>491</v>
      </c>
      <c r="C191" s="10" t="s">
        <v>33</v>
      </c>
      <c r="D191" s="16">
        <v>12500</v>
      </c>
      <c r="E191" s="23">
        <f t="shared" si="14"/>
        <v>126</v>
      </c>
      <c r="F191" s="45">
        <v>4.0077269010337004E-3</v>
      </c>
      <c r="G191" s="45">
        <v>2.2782442966179999E-4</v>
      </c>
      <c r="H191" s="45">
        <v>5.1587705811015088E-5</v>
      </c>
      <c r="I191" s="45">
        <v>3.7407309782970001E-4</v>
      </c>
      <c r="J191" s="34">
        <f t="shared" si="15"/>
        <v>-0.97129412186261321</v>
      </c>
      <c r="K191" s="34">
        <f t="shared" si="16"/>
        <v>-0.73316026616618346</v>
      </c>
      <c r="L191" s="34">
        <f t="shared" si="17"/>
        <v>-0.74426317976878287</v>
      </c>
      <c r="M191" s="22">
        <v>-0.74502042238828547</v>
      </c>
      <c r="N191" s="6" t="b">
        <f t="shared" si="18"/>
        <v>0</v>
      </c>
      <c r="O191" s="6" t="b">
        <f t="shared" si="19"/>
        <v>0</v>
      </c>
      <c r="P191" s="19">
        <v>0</v>
      </c>
      <c r="Q191" s="46" t="str">
        <f t="shared" si="20"/>
        <v>-</v>
      </c>
      <c r="R191" s="24">
        <v>19.188206034189861</v>
      </c>
      <c r="S191" s="24">
        <v>45.098079792527777</v>
      </c>
      <c r="T191" s="6" t="s">
        <v>1223</v>
      </c>
      <c r="U191" s="10" t="b">
        <v>0</v>
      </c>
    </row>
    <row r="192" spans="1:21" ht="15" customHeight="1" x14ac:dyDescent="0.3">
      <c r="A192" s="10" t="s">
        <v>490</v>
      </c>
      <c r="B192" s="10" t="s">
        <v>492</v>
      </c>
      <c r="C192" s="10" t="s">
        <v>33</v>
      </c>
      <c r="D192" s="16">
        <v>13000</v>
      </c>
      <c r="E192" s="23">
        <f t="shared" si="14"/>
        <v>131</v>
      </c>
      <c r="F192" s="45">
        <v>3.7740174015488E-3</v>
      </c>
      <c r="G192" s="45">
        <v>2.8122226735000002E-4</v>
      </c>
      <c r="H192" s="45">
        <v>8.41004657739583E-5</v>
      </c>
      <c r="I192" s="45">
        <v>6.2853488648890001E-4</v>
      </c>
      <c r="J192" s="34">
        <f t="shared" si="15"/>
        <v>-0.96315988297714994</v>
      </c>
      <c r="K192" s="34">
        <f t="shared" si="16"/>
        <v>-0.73438180168712863</v>
      </c>
      <c r="L192" s="34">
        <f t="shared" si="17"/>
        <v>-0.7472932796903593</v>
      </c>
      <c r="M192" s="22">
        <v>-0.74879940150429758</v>
      </c>
      <c r="N192" s="6" t="b">
        <f t="shared" si="18"/>
        <v>0</v>
      </c>
      <c r="O192" s="6" t="b">
        <f t="shared" si="19"/>
        <v>0</v>
      </c>
      <c r="P192" s="19">
        <v>0</v>
      </c>
      <c r="Q192" s="46" t="str">
        <f t="shared" si="20"/>
        <v>-</v>
      </c>
      <c r="R192" s="24">
        <v>17.694525853682489</v>
      </c>
      <c r="S192" s="24">
        <v>63.38180717449027</v>
      </c>
      <c r="T192" s="6" t="s">
        <v>1224</v>
      </c>
      <c r="U192" s="10" t="b">
        <v>0</v>
      </c>
    </row>
    <row r="193" spans="1:21" ht="15" customHeight="1" x14ac:dyDescent="0.3">
      <c r="A193" s="10" t="s">
        <v>490</v>
      </c>
      <c r="B193" s="10" t="s">
        <v>371</v>
      </c>
      <c r="C193" s="10" t="s">
        <v>33</v>
      </c>
      <c r="D193" s="16">
        <v>13000</v>
      </c>
      <c r="E193" s="23">
        <f t="shared" si="14"/>
        <v>131</v>
      </c>
      <c r="F193" s="45">
        <v>3.7740174015488E-3</v>
      </c>
      <c r="G193" s="45">
        <v>1.4597187598152359E-6</v>
      </c>
      <c r="H193" s="45">
        <v>0</v>
      </c>
      <c r="I193" s="45">
        <v>9.7648597073707818E-6</v>
      </c>
      <c r="J193" s="34">
        <f t="shared" si="15"/>
        <v>-0.99980877684246416</v>
      </c>
      <c r="K193" s="34">
        <f t="shared" si="16"/>
        <v>-0.75270624861978574</v>
      </c>
      <c r="L193" s="34">
        <f t="shared" si="17"/>
        <v>-0.75280186019855355</v>
      </c>
      <c r="M193" s="22">
        <v>-0.75275834104571793</v>
      </c>
      <c r="N193" s="6" t="b">
        <f t="shared" si="18"/>
        <v>0</v>
      </c>
      <c r="O193" s="6" t="b">
        <f t="shared" si="19"/>
        <v>0</v>
      </c>
      <c r="P193" s="19">
        <v>0</v>
      </c>
      <c r="Q193" s="46" t="str">
        <f t="shared" si="20"/>
        <v>-</v>
      </c>
      <c r="R193" s="24">
        <v>17.177445273496289</v>
      </c>
      <c r="S193" s="24">
        <v>65.306993778680948</v>
      </c>
      <c r="T193" s="6" t="s">
        <v>1225</v>
      </c>
      <c r="U193" s="10" t="b">
        <v>0</v>
      </c>
    </row>
    <row r="194" spans="1:21" ht="15" customHeight="1" x14ac:dyDescent="0.3">
      <c r="A194" s="10" t="s">
        <v>490</v>
      </c>
      <c r="B194" s="10" t="s">
        <v>494</v>
      </c>
      <c r="C194" s="10" t="s">
        <v>33</v>
      </c>
      <c r="D194" s="16">
        <v>14000</v>
      </c>
      <c r="E194" s="23">
        <f t="shared" si="14"/>
        <v>141</v>
      </c>
      <c r="F194" s="45">
        <v>3.3634702361209998E-3</v>
      </c>
      <c r="G194" s="45">
        <v>1.8950565146770001E-4</v>
      </c>
      <c r="H194" s="45">
        <v>4.8085466689835693E-5</v>
      </c>
      <c r="I194" s="45">
        <v>3.750336080283E-4</v>
      </c>
      <c r="J194" s="34">
        <f t="shared" si="15"/>
        <v>-0.97327970314305434</v>
      </c>
      <c r="K194" s="34">
        <f t="shared" si="16"/>
        <v>-0.74951519992499671</v>
      </c>
      <c r="L194" s="34">
        <f t="shared" si="17"/>
        <v>-0.75948532295183613</v>
      </c>
      <c r="M194" s="22">
        <v>-0.75787057519907686</v>
      </c>
      <c r="N194" s="6" t="b">
        <f t="shared" si="18"/>
        <v>0</v>
      </c>
      <c r="O194" s="6" t="b">
        <f t="shared" si="19"/>
        <v>0</v>
      </c>
      <c r="P194" s="19">
        <v>0</v>
      </c>
      <c r="Q194" s="46" t="str">
        <f t="shared" si="20"/>
        <v>-</v>
      </c>
      <c r="R194" s="24">
        <v>17.066744048909388</v>
      </c>
      <c r="S194" s="24">
        <v>63.64168158494315</v>
      </c>
      <c r="T194" s="6" t="s">
        <v>1226</v>
      </c>
      <c r="U194" s="10" t="b">
        <v>0</v>
      </c>
    </row>
    <row r="195" spans="1:21" ht="15" customHeight="1" x14ac:dyDescent="0.3">
      <c r="A195" s="10" t="s">
        <v>490</v>
      </c>
      <c r="B195" s="10" t="s">
        <v>495</v>
      </c>
      <c r="C195" s="10" t="s">
        <v>33</v>
      </c>
      <c r="D195" s="16">
        <v>16000</v>
      </c>
      <c r="E195" s="23">
        <f t="shared" si="14"/>
        <v>161</v>
      </c>
      <c r="F195" s="45">
        <v>2.7184311069330001E-3</v>
      </c>
      <c r="G195" s="45">
        <v>2.1193732959716E-3</v>
      </c>
      <c r="H195" s="45">
        <v>9.1022312153910001E-4</v>
      </c>
      <c r="I195" s="45">
        <v>3.4087613176627001E-3</v>
      </c>
      <c r="J195" s="34">
        <f t="shared" si="15"/>
        <v>-0.65878089934857242</v>
      </c>
      <c r="K195" s="34">
        <f t="shared" si="16"/>
        <v>-0.61055674556617978</v>
      </c>
      <c r="L195" s="34">
        <f t="shared" si="17"/>
        <v>-0.70789333460799597</v>
      </c>
      <c r="M195" s="22">
        <v>-0.70202595003771118</v>
      </c>
      <c r="N195" s="6" t="b">
        <f t="shared" si="18"/>
        <v>0</v>
      </c>
      <c r="O195" s="6" t="b">
        <f t="shared" si="19"/>
        <v>0</v>
      </c>
      <c r="P195" s="19">
        <v>0</v>
      </c>
      <c r="Q195" s="46" t="str">
        <f t="shared" si="20"/>
        <v>-</v>
      </c>
      <c r="R195" s="24">
        <v>19.720259902148101</v>
      </c>
      <c r="S195" s="24">
        <v>58.26322197587313</v>
      </c>
      <c r="T195" s="6" t="s">
        <v>1227</v>
      </c>
      <c r="U195" s="10" t="b">
        <v>0</v>
      </c>
    </row>
    <row r="196" spans="1:21" ht="15" customHeight="1" x14ac:dyDescent="0.3">
      <c r="A196" s="10" t="s">
        <v>490</v>
      </c>
      <c r="B196" s="10" t="s">
        <v>496</v>
      </c>
      <c r="C196" s="10" t="s">
        <v>33</v>
      </c>
      <c r="D196" s="16">
        <v>17000</v>
      </c>
      <c r="E196" s="23">
        <f t="shared" si="14"/>
        <v>171</v>
      </c>
      <c r="F196" s="45">
        <v>2.4623432650680002E-3</v>
      </c>
      <c r="G196" s="45">
        <v>8.0241125343470004E-4</v>
      </c>
      <c r="H196" s="45">
        <v>2.694088221015E-4</v>
      </c>
      <c r="I196" s="45">
        <v>1.2151188514482E-3</v>
      </c>
      <c r="J196" s="34">
        <f t="shared" si="15"/>
        <v>-0.86278767566266623</v>
      </c>
      <c r="K196" s="34">
        <f t="shared" si="16"/>
        <v>-0.72086348866801919</v>
      </c>
      <c r="L196" s="34">
        <f t="shared" si="17"/>
        <v>-0.76643519654700776</v>
      </c>
      <c r="M196" s="22">
        <v>-0.76894676965260611</v>
      </c>
      <c r="N196" s="6" t="b">
        <f t="shared" si="18"/>
        <v>0</v>
      </c>
      <c r="O196" s="6" t="b">
        <f t="shared" si="19"/>
        <v>0</v>
      </c>
      <c r="P196" s="19">
        <v>0</v>
      </c>
      <c r="Q196" s="46" t="str">
        <f t="shared" si="20"/>
        <v>-</v>
      </c>
      <c r="R196" s="24">
        <v>24.679834437382532</v>
      </c>
      <c r="S196" s="24">
        <v>65.756328853033793</v>
      </c>
      <c r="T196" s="6" t="s">
        <v>1228</v>
      </c>
      <c r="U196" s="10" t="b">
        <v>0</v>
      </c>
    </row>
    <row r="197" spans="1:21" ht="15" customHeight="1" x14ac:dyDescent="0.3">
      <c r="A197" s="10" t="s">
        <v>490</v>
      </c>
      <c r="B197" s="10" t="s">
        <v>461</v>
      </c>
      <c r="C197" s="10" t="s">
        <v>33</v>
      </c>
      <c r="D197" s="16">
        <v>17000</v>
      </c>
      <c r="E197" s="23">
        <f t="shared" si="14"/>
        <v>171</v>
      </c>
      <c r="F197" s="45">
        <v>2.4623432650680002E-3</v>
      </c>
      <c r="G197" s="45">
        <v>4.0088038655362358E-5</v>
      </c>
      <c r="H197" s="45">
        <v>8.4534480087382094E-6</v>
      </c>
      <c r="I197" s="45">
        <v>1.142163106954E-4</v>
      </c>
      <c r="J197" s="34">
        <f t="shared" si="15"/>
        <v>-0.99314494538993303</v>
      </c>
      <c r="K197" s="34">
        <f t="shared" si="16"/>
        <v>-0.78604212353165248</v>
      </c>
      <c r="L197" s="34">
        <f t="shared" si="17"/>
        <v>-0.78874688103193891</v>
      </c>
      <c r="M197" s="22">
        <v>-0.78902931892057526</v>
      </c>
      <c r="N197" s="6" t="b">
        <f t="shared" si="18"/>
        <v>0</v>
      </c>
      <c r="O197" s="6" t="b">
        <f t="shared" si="19"/>
        <v>0</v>
      </c>
      <c r="P197" s="19">
        <v>0</v>
      </c>
      <c r="Q197" s="46" t="str">
        <f t="shared" si="20"/>
        <v>-</v>
      </c>
      <c r="R197" s="24">
        <v>18.34870431135046</v>
      </c>
      <c r="S197" s="24">
        <v>55.787238598250639</v>
      </c>
      <c r="T197" s="6" t="s">
        <v>1229</v>
      </c>
      <c r="U197" s="10" t="b">
        <v>0</v>
      </c>
    </row>
    <row r="198" spans="1:21" ht="15" customHeight="1" x14ac:dyDescent="0.3">
      <c r="A198" s="10" t="s">
        <v>490</v>
      </c>
      <c r="B198" s="10" t="s">
        <v>334</v>
      </c>
      <c r="C198" s="10" t="s">
        <v>33</v>
      </c>
      <c r="D198" s="16">
        <v>18000</v>
      </c>
      <c r="E198" s="23">
        <f t="shared" si="14"/>
        <v>181</v>
      </c>
      <c r="F198" s="45">
        <v>2.2401679141662999E-3</v>
      </c>
      <c r="G198" s="45">
        <v>3.0724264685635998E-5</v>
      </c>
      <c r="H198" s="45">
        <v>5.3153163762047726E-6</v>
      </c>
      <c r="I198" s="45">
        <v>1.006111198955E-4</v>
      </c>
      <c r="J198" s="34">
        <f t="shared" si="15"/>
        <v>-0.99443890809189983</v>
      </c>
      <c r="K198" s="34">
        <f t="shared" si="16"/>
        <v>-0.79448425781389975</v>
      </c>
      <c r="L198" s="34">
        <f t="shared" si="17"/>
        <v>-0.79678376763590331</v>
      </c>
      <c r="M198" s="22">
        <v>-0.79709473181246326</v>
      </c>
      <c r="N198" s="6" t="b">
        <f t="shared" si="18"/>
        <v>0</v>
      </c>
      <c r="O198" s="6" t="b">
        <f t="shared" si="19"/>
        <v>0</v>
      </c>
      <c r="P198" s="19">
        <v>0</v>
      </c>
      <c r="Q198" s="46" t="str">
        <f t="shared" si="20"/>
        <v>-</v>
      </c>
      <c r="R198" s="24">
        <v>28.357974224180939</v>
      </c>
      <c r="S198" s="24">
        <v>58.361504383355538</v>
      </c>
      <c r="T198" s="6" t="s">
        <v>1230</v>
      </c>
      <c r="U198" s="10" t="b">
        <v>0</v>
      </c>
    </row>
    <row r="199" spans="1:21" ht="15" customHeight="1" x14ac:dyDescent="0.3">
      <c r="A199" s="10" t="s">
        <v>490</v>
      </c>
      <c r="B199" s="10" t="s">
        <v>497</v>
      </c>
      <c r="C199" s="10" t="s">
        <v>33</v>
      </c>
      <c r="D199" s="16">
        <v>21000</v>
      </c>
      <c r="E199" s="23">
        <f t="shared" si="14"/>
        <v>211</v>
      </c>
      <c r="F199" s="45">
        <v>1.7255316303281E-3</v>
      </c>
      <c r="G199" s="45">
        <v>2.1744287595745998E-3</v>
      </c>
      <c r="H199" s="45">
        <v>9.428838299608E-4</v>
      </c>
      <c r="I199" s="45">
        <v>3.4852489263152999E-3</v>
      </c>
      <c r="J199" s="34">
        <f t="shared" si="15"/>
        <v>-0.54119553172975943</v>
      </c>
      <c r="K199" s="34">
        <f t="shared" si="16"/>
        <v>-0.58855417886526518</v>
      </c>
      <c r="L199" s="34">
        <f t="shared" si="17"/>
        <v>-0.7184821689395211</v>
      </c>
      <c r="M199" s="22">
        <v>-0.70532912695660599</v>
      </c>
      <c r="N199" s="6" t="b">
        <f t="shared" si="18"/>
        <v>0</v>
      </c>
      <c r="O199" s="6" t="b">
        <f t="shared" si="19"/>
        <v>0</v>
      </c>
      <c r="P199" s="19">
        <v>0</v>
      </c>
      <c r="Q199" s="46" t="str">
        <f t="shared" si="20"/>
        <v>-</v>
      </c>
      <c r="R199" s="24">
        <v>16.265246628854388</v>
      </c>
      <c r="S199" s="24">
        <v>65.41496436425426</v>
      </c>
      <c r="T199" s="6" t="s">
        <v>1231</v>
      </c>
      <c r="U199" s="10" t="b">
        <v>0</v>
      </c>
    </row>
    <row r="200" spans="1:21" ht="15" customHeight="1" x14ac:dyDescent="0.3">
      <c r="A200" s="10" t="s">
        <v>490</v>
      </c>
      <c r="B200" s="10" t="s">
        <v>498</v>
      </c>
      <c r="C200" s="10" t="s">
        <v>33</v>
      </c>
      <c r="D200" s="16">
        <v>22000</v>
      </c>
      <c r="E200" s="23">
        <f t="shared" ref="E200:E263" si="21">IF(D200&gt;0,1+D200/100,1+100/ABS(D200))</f>
        <v>221</v>
      </c>
      <c r="F200" s="45">
        <v>1.5921996845715001E-3</v>
      </c>
      <c r="G200" s="45">
        <v>4.4090486248819999E-4</v>
      </c>
      <c r="H200" s="45">
        <v>1.447511251393E-4</v>
      </c>
      <c r="I200" s="45">
        <v>6.5430802197229999E-4</v>
      </c>
      <c r="J200" s="34">
        <f t="shared" ref="J200:J243" si="22">G200*E200-1</f>
        <v>-0.90256002539010782</v>
      </c>
      <c r="K200" s="34">
        <f t="shared" ref="K200:K243" si="23">((1-A_shrink)*G200+A_shrink*F200)*E200-1</f>
        <v>-0.77534194754990315</v>
      </c>
      <c r="L200" s="34">
        <f t="shared" ref="L200:L243" si="24">((1-A_shrink)*H200+A_shrink*F200)*E200-1</f>
        <v>-0.80806693552695663</v>
      </c>
      <c r="M200" s="22">
        <v>-0.81373784933923077</v>
      </c>
      <c r="N200" s="6" t="b">
        <f t="shared" ref="N200:N263" si="25">AND(K200&gt;=A_minev,L200&gt;0,M200&gt;=A_minev)</f>
        <v>0</v>
      </c>
      <c r="O200" s="6" t="b">
        <f t="shared" ref="O200:O263" si="26">AND(N200,U200,F200&gt;=A_t1_fair,((1-A_t1_shrink)*G200+A_t1_shrink*F200)*E200-1&gt;=A_minev,((1-A_t1_shrink)*H200+A_t1_shrink*F200)*E200-1&gt;0)</f>
        <v>0</v>
      </c>
      <c r="P200" s="19">
        <v>0</v>
      </c>
      <c r="Q200" s="46" t="str">
        <f t="shared" ref="Q200:Q263" si="27">IF(AND(O200,ISNUMBER(A_bankroll)),P200*A_bankroll,"-")</f>
        <v>-</v>
      </c>
      <c r="R200" s="24">
        <v>19.008510534394521</v>
      </c>
      <c r="S200" s="24">
        <v>59.975512056802913</v>
      </c>
      <c r="T200" s="6" t="s">
        <v>1232</v>
      </c>
      <c r="U200" s="10" t="b">
        <v>0</v>
      </c>
    </row>
    <row r="201" spans="1:21" ht="15" customHeight="1" x14ac:dyDescent="0.3">
      <c r="A201" s="10" t="s">
        <v>490</v>
      </c>
      <c r="B201" s="10" t="s">
        <v>313</v>
      </c>
      <c r="C201" s="10" t="s">
        <v>33</v>
      </c>
      <c r="D201" s="16">
        <v>23000</v>
      </c>
      <c r="E201" s="23">
        <f t="shared" si="21"/>
        <v>231</v>
      </c>
      <c r="F201" s="45">
        <v>1.4734288184939E-3</v>
      </c>
      <c r="G201" s="45">
        <v>1.2725189572700001E-3</v>
      </c>
      <c r="H201" s="45">
        <v>4.3055772306970001E-4</v>
      </c>
      <c r="I201" s="45">
        <v>2.1449516269398E-3</v>
      </c>
      <c r="J201" s="34">
        <f t="shared" si="22"/>
        <v>-0.70604812087062996</v>
      </c>
      <c r="K201" s="34">
        <f t="shared" si="23"/>
        <v>-0.68284303189926954</v>
      </c>
      <c r="L201" s="34">
        <f t="shared" si="24"/>
        <v>-0.7800895544494042</v>
      </c>
      <c r="M201" s="22">
        <v>-0.76647818775932242</v>
      </c>
      <c r="N201" s="6" t="b">
        <f t="shared" si="25"/>
        <v>0</v>
      </c>
      <c r="O201" s="6" t="b">
        <f t="shared" si="26"/>
        <v>0</v>
      </c>
      <c r="P201" s="19">
        <v>0</v>
      </c>
      <c r="Q201" s="46" t="str">
        <f t="shared" si="27"/>
        <v>-</v>
      </c>
      <c r="R201" s="24">
        <v>31.312974027363879</v>
      </c>
      <c r="S201" s="24">
        <v>65.910806406125303</v>
      </c>
      <c r="T201" s="6" t="s">
        <v>1233</v>
      </c>
      <c r="U201" s="10" t="b">
        <v>0</v>
      </c>
    </row>
    <row r="202" spans="1:21" ht="15" customHeight="1" x14ac:dyDescent="0.3">
      <c r="A202" s="10" t="s">
        <v>490</v>
      </c>
      <c r="B202" s="10" t="s">
        <v>391</v>
      </c>
      <c r="C202" s="10" t="s">
        <v>33</v>
      </c>
      <c r="D202" s="16">
        <v>24000</v>
      </c>
      <c r="E202" s="23">
        <f t="shared" si="21"/>
        <v>241</v>
      </c>
      <c r="F202" s="45">
        <v>1.3671974054842999E-3</v>
      </c>
      <c r="G202" s="45">
        <v>1.6945260117060001E-4</v>
      </c>
      <c r="H202" s="45">
        <v>3.7319538555781452E-5</v>
      </c>
      <c r="I202" s="45">
        <v>3.207043092429E-4</v>
      </c>
      <c r="J202" s="34">
        <f t="shared" si="22"/>
        <v>-0.9591619231178854</v>
      </c>
      <c r="K202" s="34">
        <f t="shared" si="23"/>
        <v>-0.81483367419808461</v>
      </c>
      <c r="L202" s="34">
        <f t="shared" si="24"/>
        <v>-0.83075570824317024</v>
      </c>
      <c r="M202" s="22">
        <v>-0.83251246319292771</v>
      </c>
      <c r="N202" s="6" t="b">
        <f t="shared" si="25"/>
        <v>0</v>
      </c>
      <c r="O202" s="6" t="b">
        <f t="shared" si="26"/>
        <v>0</v>
      </c>
      <c r="P202" s="19">
        <v>0</v>
      </c>
      <c r="Q202" s="46" t="str">
        <f t="shared" si="27"/>
        <v>-</v>
      </c>
      <c r="R202" s="24">
        <v>17.10968831584065</v>
      </c>
      <c r="S202" s="24">
        <v>50.889617578170551</v>
      </c>
      <c r="T202" s="6" t="s">
        <v>1234</v>
      </c>
      <c r="U202" s="10" t="b">
        <v>0</v>
      </c>
    </row>
    <row r="203" spans="1:21" ht="15" customHeight="1" x14ac:dyDescent="0.3">
      <c r="A203" s="10" t="s">
        <v>490</v>
      </c>
      <c r="B203" s="10" t="s">
        <v>390</v>
      </c>
      <c r="C203" s="10" t="s">
        <v>33</v>
      </c>
      <c r="D203" s="16">
        <v>24000</v>
      </c>
      <c r="E203" s="23">
        <f t="shared" si="21"/>
        <v>241</v>
      </c>
      <c r="F203" s="45">
        <v>1.3671974054842999E-3</v>
      </c>
      <c r="G203" s="45">
        <v>0</v>
      </c>
      <c r="H203" s="45">
        <v>0</v>
      </c>
      <c r="I203" s="45">
        <v>0</v>
      </c>
      <c r="J203" s="34">
        <f t="shared" si="22"/>
        <v>-1</v>
      </c>
      <c r="K203" s="34">
        <f t="shared" si="23"/>
        <v>-0.8352527126391418</v>
      </c>
      <c r="L203" s="34">
        <f t="shared" si="24"/>
        <v>-0.8352527126391418</v>
      </c>
      <c r="M203" s="22">
        <v>-0.83525271263913092</v>
      </c>
      <c r="N203" s="6" t="b">
        <f t="shared" si="25"/>
        <v>0</v>
      </c>
      <c r="O203" s="6" t="b">
        <f t="shared" si="26"/>
        <v>0</v>
      </c>
      <c r="P203" s="19">
        <v>0</v>
      </c>
      <c r="Q203" s="46" t="str">
        <f t="shared" si="27"/>
        <v>-</v>
      </c>
      <c r="R203" s="24" t="s">
        <v>33</v>
      </c>
      <c r="S203" s="24" t="s">
        <v>33</v>
      </c>
      <c r="T203" s="6"/>
      <c r="U203" s="10" t="b">
        <v>0</v>
      </c>
    </row>
    <row r="204" spans="1:21" ht="15" customHeight="1" x14ac:dyDescent="0.3">
      <c r="A204" s="10" t="s">
        <v>490</v>
      </c>
      <c r="B204" s="10" t="s">
        <v>499</v>
      </c>
      <c r="C204" s="10" t="s">
        <v>33</v>
      </c>
      <c r="D204" s="16">
        <v>25000</v>
      </c>
      <c r="E204" s="23">
        <f t="shared" si="21"/>
        <v>251</v>
      </c>
      <c r="F204" s="45">
        <v>1.2718216646875999E-3</v>
      </c>
      <c r="G204" s="45">
        <v>1.5115426932868E-3</v>
      </c>
      <c r="H204" s="45">
        <v>5.24048664035E-4</v>
      </c>
      <c r="I204" s="45">
        <v>2.5726737260415001E-3</v>
      </c>
      <c r="J204" s="34">
        <f t="shared" si="22"/>
        <v>-0.62060278398501323</v>
      </c>
      <c r="K204" s="34">
        <f t="shared" si="23"/>
        <v>-0.65068777307421277</v>
      </c>
      <c r="L204" s="34">
        <f t="shared" si="24"/>
        <v>-0.77461827374531378</v>
      </c>
      <c r="M204" s="22">
        <v>-0.75794904825738629</v>
      </c>
      <c r="N204" s="6" t="b">
        <f t="shared" si="25"/>
        <v>0</v>
      </c>
      <c r="O204" s="6" t="b">
        <f t="shared" si="26"/>
        <v>0</v>
      </c>
      <c r="P204" s="19">
        <v>0</v>
      </c>
      <c r="Q204" s="46" t="str">
        <f t="shared" si="27"/>
        <v>-</v>
      </c>
      <c r="R204" s="24">
        <v>16.89009110528637</v>
      </c>
      <c r="S204" s="24">
        <v>55.815830841182724</v>
      </c>
      <c r="T204" s="6" t="s">
        <v>1235</v>
      </c>
      <c r="U204" s="10" t="b">
        <v>0</v>
      </c>
    </row>
    <row r="205" spans="1:21" ht="15" customHeight="1" x14ac:dyDescent="0.3">
      <c r="A205" s="10" t="s">
        <v>490</v>
      </c>
      <c r="B205" s="10" t="s">
        <v>298</v>
      </c>
      <c r="C205" s="10" t="s">
        <v>33</v>
      </c>
      <c r="D205" s="16">
        <v>25000</v>
      </c>
      <c r="E205" s="23">
        <f t="shared" si="21"/>
        <v>251</v>
      </c>
      <c r="F205" s="45">
        <v>1.2718216646875999E-3</v>
      </c>
      <c r="G205" s="45">
        <v>7.3195135306185392E-7</v>
      </c>
      <c r="H205" s="45">
        <v>0</v>
      </c>
      <c r="I205" s="45">
        <v>5.3153163762047726E-6</v>
      </c>
      <c r="J205" s="34">
        <f t="shared" si="22"/>
        <v>-0.99981628021038149</v>
      </c>
      <c r="K205" s="34">
        <f t="shared" si="23"/>
        <v>-0.84029452118689696</v>
      </c>
      <c r="L205" s="34">
        <f t="shared" si="24"/>
        <v>-0.84038638108170627</v>
      </c>
      <c r="M205" s="22">
        <v>-0.84035690037671207</v>
      </c>
      <c r="N205" s="6" t="b">
        <f t="shared" si="25"/>
        <v>0</v>
      </c>
      <c r="O205" s="6" t="b">
        <f t="shared" si="26"/>
        <v>0</v>
      </c>
      <c r="P205" s="19">
        <v>0</v>
      </c>
      <c r="Q205" s="46" t="str">
        <f t="shared" si="27"/>
        <v>-</v>
      </c>
      <c r="R205" s="24">
        <v>26.177646553511341</v>
      </c>
      <c r="S205" s="24">
        <v>53.430498589117953</v>
      </c>
      <c r="T205" s="6" t="s">
        <v>1236</v>
      </c>
      <c r="U205" s="10" t="b">
        <v>0</v>
      </c>
    </row>
    <row r="206" spans="1:21" ht="15" customHeight="1" x14ac:dyDescent="0.3">
      <c r="A206" s="10" t="s">
        <v>490</v>
      </c>
      <c r="B206" s="10" t="s">
        <v>500</v>
      </c>
      <c r="C206" s="10" t="s">
        <v>33</v>
      </c>
      <c r="D206" s="16">
        <v>25000</v>
      </c>
      <c r="E206" s="23">
        <f t="shared" si="21"/>
        <v>251</v>
      </c>
      <c r="F206" s="45">
        <v>1.2718216646875999E-3</v>
      </c>
      <c r="G206" s="45">
        <v>7.4820534768760001E-4</v>
      </c>
      <c r="H206" s="45">
        <v>3.3026285262699999E-4</v>
      </c>
      <c r="I206" s="45">
        <v>1.2542454337038001E-3</v>
      </c>
      <c r="J206" s="34">
        <f t="shared" si="22"/>
        <v>-0.81220045773041238</v>
      </c>
      <c r="K206" s="34">
        <f t="shared" si="23"/>
        <v>-0.74648660994691241</v>
      </c>
      <c r="L206" s="34">
        <f t="shared" si="24"/>
        <v>-0.79893839307701775</v>
      </c>
      <c r="M206" s="22">
        <v>-0.79679845042291553</v>
      </c>
      <c r="N206" s="6" t="b">
        <f t="shared" si="25"/>
        <v>0</v>
      </c>
      <c r="O206" s="6" t="b">
        <f t="shared" si="26"/>
        <v>0</v>
      </c>
      <c r="P206" s="19">
        <v>0</v>
      </c>
      <c r="Q206" s="46" t="str">
        <f t="shared" si="27"/>
        <v>-</v>
      </c>
      <c r="R206" s="24">
        <v>24.715335193255129</v>
      </c>
      <c r="S206" s="24">
        <v>44.301012706522251</v>
      </c>
      <c r="T206" s="6" t="s">
        <v>1237</v>
      </c>
      <c r="U206" s="10" t="b">
        <v>0</v>
      </c>
    </row>
    <row r="207" spans="1:21" ht="15" customHeight="1" x14ac:dyDescent="0.3">
      <c r="A207" s="10" t="s">
        <v>490</v>
      </c>
      <c r="B207" s="10" t="s">
        <v>385</v>
      </c>
      <c r="C207" s="10" t="s">
        <v>33</v>
      </c>
      <c r="D207" s="16">
        <v>25000</v>
      </c>
      <c r="E207" s="23">
        <f t="shared" si="21"/>
        <v>251</v>
      </c>
      <c r="F207" s="45">
        <v>1.2718216646875999E-3</v>
      </c>
      <c r="G207" s="45">
        <v>1.671847750384542E-6</v>
      </c>
      <c r="H207" s="45">
        <v>0</v>
      </c>
      <c r="I207" s="45">
        <v>2.0219391184853108E-6</v>
      </c>
      <c r="J207" s="34">
        <f t="shared" si="22"/>
        <v>-0.99958036621465352</v>
      </c>
      <c r="K207" s="34">
        <f t="shared" si="23"/>
        <v>-0.84017656418903297</v>
      </c>
      <c r="L207" s="34">
        <f t="shared" si="24"/>
        <v>-0.84038638108170627</v>
      </c>
      <c r="M207" s="22">
        <v>-0.84035690037671207</v>
      </c>
      <c r="N207" s="6" t="b">
        <f t="shared" si="25"/>
        <v>0</v>
      </c>
      <c r="O207" s="6" t="b">
        <f t="shared" si="26"/>
        <v>0</v>
      </c>
      <c r="P207" s="19">
        <v>0</v>
      </c>
      <c r="Q207" s="46" t="str">
        <f t="shared" si="27"/>
        <v>-</v>
      </c>
      <c r="R207" s="24">
        <v>19.339149016829111</v>
      </c>
      <c r="S207" s="24">
        <v>59.62462631832657</v>
      </c>
      <c r="T207" s="6" t="s">
        <v>1238</v>
      </c>
      <c r="U207" s="10" t="b">
        <v>0</v>
      </c>
    </row>
    <row r="208" spans="1:21" ht="15" customHeight="1" x14ac:dyDescent="0.3">
      <c r="A208" s="10" t="s">
        <v>490</v>
      </c>
      <c r="B208" s="10" t="s">
        <v>501</v>
      </c>
      <c r="C208" s="10" t="s">
        <v>33</v>
      </c>
      <c r="D208" s="16">
        <v>25000</v>
      </c>
      <c r="E208" s="23">
        <f t="shared" si="21"/>
        <v>251</v>
      </c>
      <c r="F208" s="45">
        <v>1.2718216646875999E-3</v>
      </c>
      <c r="G208" s="45">
        <v>6.1669428550653401E-5</v>
      </c>
      <c r="H208" s="45">
        <v>7.4283804619448238E-6</v>
      </c>
      <c r="I208" s="45">
        <v>7.3606538082482515E-5</v>
      </c>
      <c r="J208" s="34">
        <f t="shared" si="22"/>
        <v>-0.98452097343378597</v>
      </c>
      <c r="K208" s="34">
        <f t="shared" si="23"/>
        <v>-0.8326468677985992</v>
      </c>
      <c r="L208" s="34">
        <f t="shared" si="24"/>
        <v>-0.83945411933373215</v>
      </c>
      <c r="M208" s="22">
        <v>-0.83945411933372849</v>
      </c>
      <c r="N208" s="6" t="b">
        <f t="shared" si="25"/>
        <v>0</v>
      </c>
      <c r="O208" s="6" t="b">
        <f t="shared" si="26"/>
        <v>0</v>
      </c>
      <c r="P208" s="19">
        <v>0</v>
      </c>
      <c r="Q208" s="46" t="str">
        <f t="shared" si="27"/>
        <v>-</v>
      </c>
      <c r="R208" s="24">
        <v>19.372869269797171</v>
      </c>
      <c r="S208" s="24">
        <v>64.25565051101583</v>
      </c>
      <c r="T208" s="6" t="s">
        <v>1239</v>
      </c>
      <c r="U208" s="10" t="b">
        <v>0</v>
      </c>
    </row>
    <row r="209" spans="1:21" ht="15" customHeight="1" x14ac:dyDescent="0.3">
      <c r="A209" s="10" t="s">
        <v>490</v>
      </c>
      <c r="B209" s="10" t="s">
        <v>309</v>
      </c>
      <c r="C209" s="10" t="s">
        <v>33</v>
      </c>
      <c r="D209" s="16">
        <v>25000</v>
      </c>
      <c r="E209" s="23">
        <f t="shared" si="21"/>
        <v>251</v>
      </c>
      <c r="F209" s="45">
        <v>1.2718216646875999E-3</v>
      </c>
      <c r="G209" s="45">
        <v>2.7331994186153151E-5</v>
      </c>
      <c r="H209" s="45">
        <v>6.2370488996555588E-6</v>
      </c>
      <c r="I209" s="45">
        <v>5.9278538006693331E-5</v>
      </c>
      <c r="J209" s="34">
        <f t="shared" si="22"/>
        <v>-0.99313966945927556</v>
      </c>
      <c r="K209" s="34">
        <f t="shared" si="23"/>
        <v>-0.83695621581134394</v>
      </c>
      <c r="L209" s="34">
        <f t="shared" si="24"/>
        <v>-0.83960363144479944</v>
      </c>
      <c r="M209" s="22">
        <v>-0.83977073930298562</v>
      </c>
      <c r="N209" s="6" t="b">
        <f t="shared" si="25"/>
        <v>0</v>
      </c>
      <c r="O209" s="6" t="b">
        <f t="shared" si="26"/>
        <v>0</v>
      </c>
      <c r="P209" s="19">
        <v>0</v>
      </c>
      <c r="Q209" s="46" t="str">
        <f t="shared" si="27"/>
        <v>-</v>
      </c>
      <c r="R209" s="24">
        <v>25.067770917719969</v>
      </c>
      <c r="S209" s="24">
        <v>49.04095266553972</v>
      </c>
      <c r="T209" s="6" t="s">
        <v>1240</v>
      </c>
      <c r="U209" s="10" t="b">
        <v>0</v>
      </c>
    </row>
    <row r="210" spans="1:21" ht="15" customHeight="1" x14ac:dyDescent="0.3">
      <c r="A210" s="10" t="s">
        <v>490</v>
      </c>
      <c r="B210" s="10" t="s">
        <v>393</v>
      </c>
      <c r="C210" s="10" t="s">
        <v>33</v>
      </c>
      <c r="D210" s="16">
        <v>25000</v>
      </c>
      <c r="E210" s="23">
        <f t="shared" si="21"/>
        <v>251</v>
      </c>
      <c r="F210" s="45">
        <v>1.2718216646875999E-3</v>
      </c>
      <c r="G210" s="45">
        <v>1.907753928921E-4</v>
      </c>
      <c r="H210" s="45">
        <v>4.864029559759704E-5</v>
      </c>
      <c r="I210" s="45">
        <v>3.8851104695599998E-4</v>
      </c>
      <c r="J210" s="34">
        <f t="shared" si="22"/>
        <v>-0.95211537638408295</v>
      </c>
      <c r="K210" s="34">
        <f t="shared" si="23"/>
        <v>-0.81644406927374769</v>
      </c>
      <c r="L210" s="34">
        <f t="shared" si="24"/>
        <v>-0.83428202398420781</v>
      </c>
      <c r="M210" s="22">
        <v>-0.83081134136364554</v>
      </c>
      <c r="N210" s="6" t="b">
        <f t="shared" si="25"/>
        <v>0</v>
      </c>
      <c r="O210" s="6" t="b">
        <f t="shared" si="26"/>
        <v>0</v>
      </c>
      <c r="P210" s="19">
        <v>0</v>
      </c>
      <c r="Q210" s="46" t="str">
        <f t="shared" si="27"/>
        <v>-</v>
      </c>
      <c r="R210" s="24">
        <v>21.52936274418542</v>
      </c>
      <c r="S210" s="24">
        <v>66.800127962976688</v>
      </c>
      <c r="T210" s="6" t="s">
        <v>1241</v>
      </c>
      <c r="U210" s="10" t="b">
        <v>0</v>
      </c>
    </row>
    <row r="211" spans="1:21" ht="15" customHeight="1" x14ac:dyDescent="0.3">
      <c r="A211" s="10" t="s">
        <v>502</v>
      </c>
      <c r="B211" s="10" t="s">
        <v>310</v>
      </c>
      <c r="C211" s="10" t="s">
        <v>33</v>
      </c>
      <c r="D211" s="16">
        <v>-125</v>
      </c>
      <c r="E211" s="23">
        <f t="shared" si="21"/>
        <v>1.8</v>
      </c>
      <c r="F211" s="45">
        <v>0.50033643327540001</v>
      </c>
      <c r="G211" s="45">
        <v>0.33114218633629561</v>
      </c>
      <c r="H211" s="45">
        <v>0.2332140647721993</v>
      </c>
      <c r="I211" s="45">
        <v>0.48296653435626208</v>
      </c>
      <c r="J211" s="34">
        <f t="shared" si="22"/>
        <v>-0.40394406459466792</v>
      </c>
      <c r="K211" s="34">
        <f t="shared" si="23"/>
        <v>-0.25166924234947385</v>
      </c>
      <c r="L211" s="34">
        <f t="shared" si="24"/>
        <v>-0.33980455175716062</v>
      </c>
      <c r="M211" s="22">
        <v>-0.35512618532953111</v>
      </c>
      <c r="N211" s="6" t="b">
        <f t="shared" si="25"/>
        <v>0</v>
      </c>
      <c r="O211" s="6" t="b">
        <f t="shared" si="26"/>
        <v>0</v>
      </c>
      <c r="P211" s="19">
        <v>0</v>
      </c>
      <c r="Q211" s="46" t="str">
        <f t="shared" si="27"/>
        <v>-</v>
      </c>
      <c r="R211" s="24">
        <v>29.39071332669409</v>
      </c>
      <c r="S211" s="24">
        <v>51.709210772462093</v>
      </c>
      <c r="T211" s="6" t="s">
        <v>1242</v>
      </c>
      <c r="U211" s="10" t="b">
        <v>0</v>
      </c>
    </row>
    <row r="212" spans="1:21" ht="15" customHeight="1" x14ac:dyDescent="0.3">
      <c r="A212" s="10" t="s">
        <v>502</v>
      </c>
      <c r="B212" s="10" t="s">
        <v>297</v>
      </c>
      <c r="C212" s="10" t="s">
        <v>33</v>
      </c>
      <c r="D212" s="16">
        <v>350</v>
      </c>
      <c r="E212" s="23">
        <f t="shared" si="21"/>
        <v>4.5</v>
      </c>
      <c r="F212" s="45">
        <v>0.1974710725049271</v>
      </c>
      <c r="G212" s="45">
        <v>0.2130280897787499</v>
      </c>
      <c r="H212" s="45">
        <v>0.15219307011564129</v>
      </c>
      <c r="I212" s="45">
        <v>0.29411452287240281</v>
      </c>
      <c r="J212" s="34">
        <f t="shared" si="22"/>
        <v>-4.1373595995625401E-2</v>
      </c>
      <c r="K212" s="34">
        <f t="shared" si="23"/>
        <v>-7.6376884861726779E-2</v>
      </c>
      <c r="L212" s="34">
        <f t="shared" si="24"/>
        <v>-0.21325567910372112</v>
      </c>
      <c r="M212" s="22">
        <v>-0.1996287501587502</v>
      </c>
      <c r="N212" s="6" t="b">
        <f t="shared" si="25"/>
        <v>0</v>
      </c>
      <c r="O212" s="6" t="b">
        <f t="shared" si="26"/>
        <v>0</v>
      </c>
      <c r="P212" s="19">
        <v>0</v>
      </c>
      <c r="Q212" s="46" t="str">
        <f t="shared" si="27"/>
        <v>-</v>
      </c>
      <c r="R212" s="24">
        <v>33.125934196024232</v>
      </c>
      <c r="S212" s="24">
        <v>60.11935487331364</v>
      </c>
      <c r="T212" s="6" t="s">
        <v>1243</v>
      </c>
      <c r="U212" s="10" t="b">
        <v>0</v>
      </c>
    </row>
    <row r="213" spans="1:21" ht="15" customHeight="1" x14ac:dyDescent="0.3">
      <c r="A213" s="10" t="s">
        <v>502</v>
      </c>
      <c r="B213" s="10" t="s">
        <v>315</v>
      </c>
      <c r="C213" s="10" t="s">
        <v>33</v>
      </c>
      <c r="D213" s="16">
        <v>1100</v>
      </c>
      <c r="E213" s="23">
        <f t="shared" si="21"/>
        <v>12</v>
      </c>
      <c r="F213" s="45">
        <v>7.1348400397798703E-2</v>
      </c>
      <c r="G213" s="45">
        <v>0.19490181063012971</v>
      </c>
      <c r="H213" s="45">
        <v>0.15600979002426191</v>
      </c>
      <c r="I213" s="45">
        <v>0.25264185110834031</v>
      </c>
      <c r="J213" s="34">
        <f t="shared" si="22"/>
        <v>1.3388217275615566</v>
      </c>
      <c r="K213" s="34">
        <f t="shared" si="23"/>
        <v>0.59750126616757049</v>
      </c>
      <c r="L213" s="34">
        <f t="shared" si="24"/>
        <v>0.36414914253236375</v>
      </c>
      <c r="M213" s="22">
        <v>0.3087980283511817</v>
      </c>
      <c r="N213" s="6" t="b">
        <f t="shared" si="25"/>
        <v>1</v>
      </c>
      <c r="O213" s="6" t="b">
        <f t="shared" si="26"/>
        <v>1</v>
      </c>
      <c r="P213" s="19">
        <v>5.1340585476039998E-3</v>
      </c>
      <c r="Q213" s="46" t="str">
        <f t="shared" si="27"/>
        <v>-</v>
      </c>
      <c r="R213" s="24">
        <v>27.3921401380079</v>
      </c>
      <c r="S213" s="24">
        <v>62.220067115805662</v>
      </c>
      <c r="T213" s="6" t="s">
        <v>1244</v>
      </c>
      <c r="U213" s="10" t="b">
        <v>1</v>
      </c>
    </row>
    <row r="214" spans="1:21" ht="15" customHeight="1" x14ac:dyDescent="0.3">
      <c r="A214" s="10" t="s">
        <v>502</v>
      </c>
      <c r="B214" s="10" t="s">
        <v>300</v>
      </c>
      <c r="C214" s="10" t="s">
        <v>33</v>
      </c>
      <c r="D214" s="16">
        <v>1900</v>
      </c>
      <c r="E214" s="23">
        <f t="shared" si="21"/>
        <v>20</v>
      </c>
      <c r="F214" s="45">
        <v>4.1147936471432799E-2</v>
      </c>
      <c r="G214" s="45">
        <v>0.1027084349097085</v>
      </c>
      <c r="H214" s="45">
        <v>8.6807798031832306E-2</v>
      </c>
      <c r="I214" s="45">
        <v>0.120794184482205</v>
      </c>
      <c r="J214" s="34">
        <f t="shared" si="22"/>
        <v>1.0541686981941703</v>
      </c>
      <c r="K214" s="34">
        <f t="shared" si="23"/>
        <v>0.4385637138114129</v>
      </c>
      <c r="L214" s="34">
        <f t="shared" si="24"/>
        <v>0.27955734503265117</v>
      </c>
      <c r="M214" s="22">
        <v>0.24634413081354631</v>
      </c>
      <c r="N214" s="6" t="b">
        <f t="shared" si="25"/>
        <v>1</v>
      </c>
      <c r="O214" s="6" t="b">
        <f t="shared" si="26"/>
        <v>0</v>
      </c>
      <c r="P214" s="19">
        <v>0</v>
      </c>
      <c r="Q214" s="46" t="str">
        <f t="shared" si="27"/>
        <v>-</v>
      </c>
      <c r="R214" s="24">
        <v>33.60429383389026</v>
      </c>
      <c r="S214" s="24">
        <v>62.441260901540097</v>
      </c>
      <c r="T214" s="6" t="s">
        <v>1245</v>
      </c>
      <c r="U214" s="10" t="b">
        <v>1</v>
      </c>
    </row>
    <row r="215" spans="1:21" ht="15" customHeight="1" x14ac:dyDescent="0.3">
      <c r="A215" s="10" t="s">
        <v>502</v>
      </c>
      <c r="B215" s="10" t="s">
        <v>405</v>
      </c>
      <c r="C215" s="10" t="s">
        <v>33</v>
      </c>
      <c r="D215" s="16">
        <v>2000</v>
      </c>
      <c r="E215" s="23">
        <f t="shared" si="21"/>
        <v>21</v>
      </c>
      <c r="F215" s="45">
        <v>3.8995500878853902E-2</v>
      </c>
      <c r="G215" s="45">
        <v>8.7127876227892E-3</v>
      </c>
      <c r="H215" s="45">
        <v>4.4758246072099999E-3</v>
      </c>
      <c r="I215" s="45">
        <v>1.15848277806918E-2</v>
      </c>
      <c r="J215" s="34">
        <f t="shared" si="22"/>
        <v>-0.81703145992142678</v>
      </c>
      <c r="K215" s="34">
        <f t="shared" si="23"/>
        <v>-0.49906297073274741</v>
      </c>
      <c r="L215" s="34">
        <f t="shared" si="24"/>
        <v>-0.54355108239632899</v>
      </c>
      <c r="M215" s="22">
        <v>-0.54133086191129165</v>
      </c>
      <c r="N215" s="6" t="b">
        <f t="shared" si="25"/>
        <v>0</v>
      </c>
      <c r="O215" s="6" t="b">
        <f t="shared" si="26"/>
        <v>0</v>
      </c>
      <c r="P215" s="19">
        <v>0</v>
      </c>
      <c r="Q215" s="46" t="str">
        <f t="shared" si="27"/>
        <v>-</v>
      </c>
      <c r="R215" s="24">
        <v>24.582952530364739</v>
      </c>
      <c r="S215" s="24">
        <v>67.897217593730943</v>
      </c>
      <c r="T215" s="6" t="s">
        <v>1246</v>
      </c>
      <c r="U215" s="10" t="b">
        <v>0</v>
      </c>
    </row>
    <row r="216" spans="1:21" ht="15" customHeight="1" x14ac:dyDescent="0.3">
      <c r="A216" s="10" t="s">
        <v>502</v>
      </c>
      <c r="B216" s="10" t="s">
        <v>383</v>
      </c>
      <c r="C216" s="10" t="s">
        <v>33</v>
      </c>
      <c r="D216" s="16">
        <v>3500</v>
      </c>
      <c r="E216" s="23">
        <f t="shared" si="21"/>
        <v>36</v>
      </c>
      <c r="F216" s="45">
        <v>2.1131327878877001E-2</v>
      </c>
      <c r="G216" s="45">
        <v>4.0650471598687003E-3</v>
      </c>
      <c r="H216" s="45">
        <v>1.7203118739958E-3</v>
      </c>
      <c r="I216" s="45">
        <v>5.6359504151881996E-3</v>
      </c>
      <c r="J216" s="34">
        <f t="shared" si="22"/>
        <v>-0.85365830224472683</v>
      </c>
      <c r="K216" s="34">
        <f t="shared" si="23"/>
        <v>-0.54646524930257745</v>
      </c>
      <c r="L216" s="34">
        <f t="shared" si="24"/>
        <v>-0.58867048444828951</v>
      </c>
      <c r="M216" s="22">
        <v>-0.58304417229606154</v>
      </c>
      <c r="N216" s="6" t="b">
        <f t="shared" si="25"/>
        <v>0</v>
      </c>
      <c r="O216" s="6" t="b">
        <f t="shared" si="26"/>
        <v>0</v>
      </c>
      <c r="P216" s="19">
        <v>0</v>
      </c>
      <c r="Q216" s="46" t="str">
        <f t="shared" si="27"/>
        <v>-</v>
      </c>
      <c r="R216" s="24">
        <v>25.701326241059331</v>
      </c>
      <c r="S216" s="24">
        <v>58.797929187654823</v>
      </c>
      <c r="T216" s="6" t="s">
        <v>1247</v>
      </c>
      <c r="U216" s="10" t="b">
        <v>0</v>
      </c>
    </row>
    <row r="217" spans="1:21" ht="15" customHeight="1" x14ac:dyDescent="0.3">
      <c r="A217" s="10" t="s">
        <v>502</v>
      </c>
      <c r="B217" s="10" t="s">
        <v>457</v>
      </c>
      <c r="C217" s="10" t="s">
        <v>33</v>
      </c>
      <c r="D217" s="16">
        <v>3800</v>
      </c>
      <c r="E217" s="23">
        <f t="shared" si="21"/>
        <v>39</v>
      </c>
      <c r="F217" s="45">
        <v>1.92224125822541E-2</v>
      </c>
      <c r="G217" s="45">
        <v>1.3274968487291299E-2</v>
      </c>
      <c r="H217" s="45">
        <v>7.5680626749322997E-3</v>
      </c>
      <c r="I217" s="45">
        <v>1.6049025323082701E-2</v>
      </c>
      <c r="J217" s="34">
        <f t="shared" si="22"/>
        <v>-0.48227622899563938</v>
      </c>
      <c r="K217" s="34">
        <f t="shared" si="23"/>
        <v>-0.36630106914386462</v>
      </c>
      <c r="L217" s="34">
        <f t="shared" si="24"/>
        <v>-0.47758573248486524</v>
      </c>
      <c r="M217" s="22">
        <v>-0.45628990539603481</v>
      </c>
      <c r="N217" s="6" t="b">
        <f t="shared" si="25"/>
        <v>0</v>
      </c>
      <c r="O217" s="6" t="b">
        <f t="shared" si="26"/>
        <v>0</v>
      </c>
      <c r="P217" s="19">
        <v>0</v>
      </c>
      <c r="Q217" s="46" t="str">
        <f t="shared" si="27"/>
        <v>-</v>
      </c>
      <c r="R217" s="24">
        <v>30.269767169003689</v>
      </c>
      <c r="S217" s="24">
        <v>62.894714289099817</v>
      </c>
      <c r="T217" s="6" t="s">
        <v>1248</v>
      </c>
      <c r="U217" s="10" t="b">
        <v>0</v>
      </c>
    </row>
    <row r="218" spans="1:21" ht="15" customHeight="1" x14ac:dyDescent="0.3">
      <c r="A218" s="10" t="s">
        <v>502</v>
      </c>
      <c r="B218" s="10" t="s">
        <v>301</v>
      </c>
      <c r="C218" s="10" t="s">
        <v>33</v>
      </c>
      <c r="D218" s="16">
        <v>6500</v>
      </c>
      <c r="E218" s="23">
        <f t="shared" si="21"/>
        <v>66</v>
      </c>
      <c r="F218" s="45">
        <v>9.9780720443891999E-3</v>
      </c>
      <c r="G218" s="45">
        <v>1.35051363502305E-2</v>
      </c>
      <c r="H218" s="45">
        <v>1.12616710402835E-2</v>
      </c>
      <c r="I218" s="45">
        <v>1.45848077237406E-2</v>
      </c>
      <c r="J218" s="34">
        <f t="shared" si="22"/>
        <v>-0.10866100088478703</v>
      </c>
      <c r="K218" s="34">
        <f t="shared" si="23"/>
        <v>-0.2250541229775499</v>
      </c>
      <c r="L218" s="34">
        <f t="shared" si="24"/>
        <v>-0.29908847820580098</v>
      </c>
      <c r="M218" s="22">
        <v>-0.30434359411944761</v>
      </c>
      <c r="N218" s="6" t="b">
        <f t="shared" si="25"/>
        <v>0</v>
      </c>
      <c r="O218" s="6" t="b">
        <f t="shared" si="26"/>
        <v>0</v>
      </c>
      <c r="P218" s="19">
        <v>0</v>
      </c>
      <c r="Q218" s="46" t="str">
        <f t="shared" si="27"/>
        <v>-</v>
      </c>
      <c r="R218" s="24">
        <v>32.363100352860492</v>
      </c>
      <c r="S218" s="24">
        <v>49.859589025339083</v>
      </c>
      <c r="T218" s="6" t="s">
        <v>1249</v>
      </c>
      <c r="U218" s="10" t="b">
        <v>0</v>
      </c>
    </row>
    <row r="219" spans="1:21" ht="15" customHeight="1" x14ac:dyDescent="0.3">
      <c r="A219" s="10" t="s">
        <v>502</v>
      </c>
      <c r="B219" s="10" t="s">
        <v>303</v>
      </c>
      <c r="C219" s="10" t="s">
        <v>33</v>
      </c>
      <c r="D219" s="16">
        <v>6900</v>
      </c>
      <c r="E219" s="23">
        <f t="shared" si="21"/>
        <v>70</v>
      </c>
      <c r="F219" s="45">
        <v>9.2325977501883996E-3</v>
      </c>
      <c r="G219" s="45">
        <v>3.7321506029438199E-2</v>
      </c>
      <c r="H219" s="45">
        <v>3.2317485338292699E-2</v>
      </c>
      <c r="I219" s="45">
        <v>4.0045408835819502E-2</v>
      </c>
      <c r="J219" s="34">
        <f t="shared" si="22"/>
        <v>1.612505422060674</v>
      </c>
      <c r="K219" s="34">
        <f t="shared" si="23"/>
        <v>0.6293936322869309</v>
      </c>
      <c r="L219" s="34">
        <f t="shared" si="24"/>
        <v>0.45425290809683849</v>
      </c>
      <c r="M219" s="22">
        <v>0.50571460519654821</v>
      </c>
      <c r="N219" s="6" t="b">
        <f t="shared" si="25"/>
        <v>1</v>
      </c>
      <c r="O219" s="6" t="b">
        <f t="shared" si="26"/>
        <v>0</v>
      </c>
      <c r="P219" s="19">
        <v>0</v>
      </c>
      <c r="Q219" s="46" t="str">
        <f t="shared" si="27"/>
        <v>-</v>
      </c>
      <c r="R219" s="24">
        <v>30.119502932560572</v>
      </c>
      <c r="S219" s="24">
        <v>62.72180079170456</v>
      </c>
      <c r="T219" s="6" t="s">
        <v>1250</v>
      </c>
      <c r="U219" s="10" t="b">
        <v>0</v>
      </c>
    </row>
    <row r="220" spans="1:21" ht="15" customHeight="1" x14ac:dyDescent="0.3">
      <c r="A220" s="10" t="s">
        <v>502</v>
      </c>
      <c r="B220" s="10" t="s">
        <v>503</v>
      </c>
      <c r="C220" s="10" t="s">
        <v>33</v>
      </c>
      <c r="D220" s="16">
        <v>7900</v>
      </c>
      <c r="E220" s="23">
        <f t="shared" si="21"/>
        <v>80</v>
      </c>
      <c r="F220" s="45">
        <v>7.7114082019002998E-3</v>
      </c>
      <c r="G220" s="45">
        <v>6.9048562157740002E-4</v>
      </c>
      <c r="H220" s="45">
        <v>1.220514473541E-4</v>
      </c>
      <c r="I220" s="45">
        <v>1.3545950825688E-3</v>
      </c>
      <c r="J220" s="34">
        <f t="shared" si="22"/>
        <v>-0.94476115027380803</v>
      </c>
      <c r="K220" s="34">
        <f t="shared" si="23"/>
        <v>-0.66392424706089204</v>
      </c>
      <c r="L220" s="34">
        <f t="shared" si="24"/>
        <v>-0.68666161402982406</v>
      </c>
      <c r="M220" s="22">
        <v>-0.68218094423284947</v>
      </c>
      <c r="N220" s="6" t="b">
        <f t="shared" si="25"/>
        <v>0</v>
      </c>
      <c r="O220" s="6" t="b">
        <f t="shared" si="26"/>
        <v>0</v>
      </c>
      <c r="P220" s="19">
        <v>0</v>
      </c>
      <c r="Q220" s="46" t="str">
        <f t="shared" si="27"/>
        <v>-</v>
      </c>
      <c r="R220" s="24">
        <v>25.71574265174802</v>
      </c>
      <c r="S220" s="24">
        <v>55.052121534828359</v>
      </c>
      <c r="T220" s="6" t="s">
        <v>1251</v>
      </c>
      <c r="U220" s="10" t="b">
        <v>0</v>
      </c>
    </row>
    <row r="221" spans="1:21" ht="15" customHeight="1" x14ac:dyDescent="0.3">
      <c r="A221" s="10" t="s">
        <v>502</v>
      </c>
      <c r="B221" s="10" t="s">
        <v>504</v>
      </c>
      <c r="C221" s="10" t="s">
        <v>33</v>
      </c>
      <c r="D221" s="16">
        <v>7950</v>
      </c>
      <c r="E221" s="23">
        <f t="shared" si="21"/>
        <v>80.5</v>
      </c>
      <c r="F221" s="45">
        <v>7.6458648330709998E-3</v>
      </c>
      <c r="G221" s="45">
        <v>2.8363181581592001E-3</v>
      </c>
      <c r="H221" s="45">
        <v>2.3931591280039002E-3</v>
      </c>
      <c r="I221" s="45">
        <v>3.3945667971587001E-3</v>
      </c>
      <c r="J221" s="34">
        <f t="shared" si="22"/>
        <v>-0.77167638826818441</v>
      </c>
      <c r="K221" s="34">
        <f t="shared" si="23"/>
        <v>-0.57809213460298448</v>
      </c>
      <c r="L221" s="34">
        <f t="shared" si="24"/>
        <v>-0.5959292855667353</v>
      </c>
      <c r="M221" s="22">
        <v>-0.6014639424012882</v>
      </c>
      <c r="N221" s="6" t="b">
        <f t="shared" si="25"/>
        <v>0</v>
      </c>
      <c r="O221" s="6" t="b">
        <f t="shared" si="26"/>
        <v>0</v>
      </c>
      <c r="P221" s="19">
        <v>0</v>
      </c>
      <c r="Q221" s="46" t="str">
        <f t="shared" si="27"/>
        <v>-</v>
      </c>
      <c r="R221" s="24">
        <v>34.198364003857272</v>
      </c>
      <c r="S221" s="24">
        <v>30.338296772023529</v>
      </c>
      <c r="T221" s="6" t="s">
        <v>1252</v>
      </c>
      <c r="U221" s="10" t="b">
        <v>0</v>
      </c>
    </row>
    <row r="222" spans="1:21" ht="15" customHeight="1" x14ac:dyDescent="0.3">
      <c r="A222" s="10" t="s">
        <v>502</v>
      </c>
      <c r="B222" s="10" t="s">
        <v>482</v>
      </c>
      <c r="C222" s="10" t="s">
        <v>33</v>
      </c>
      <c r="D222" s="16">
        <v>8000</v>
      </c>
      <c r="E222" s="23">
        <f t="shared" si="21"/>
        <v>81</v>
      </c>
      <c r="F222" s="45">
        <v>7.5811859590280998E-3</v>
      </c>
      <c r="G222" s="45">
        <v>3.6403426204703999E-3</v>
      </c>
      <c r="H222" s="45">
        <v>1.013001981648E-3</v>
      </c>
      <c r="I222" s="45">
        <v>5.3859659251114999E-3</v>
      </c>
      <c r="J222" s="34">
        <f t="shared" si="22"/>
        <v>-0.70513224774189753</v>
      </c>
      <c r="K222" s="34">
        <f t="shared" si="23"/>
        <v>-0.54552809253031076</v>
      </c>
      <c r="L222" s="34">
        <f t="shared" si="24"/>
        <v>-0.651935388402618</v>
      </c>
      <c r="M222" s="22">
        <v>-0.61248222704259003</v>
      </c>
      <c r="N222" s="6" t="b">
        <f t="shared" si="25"/>
        <v>0</v>
      </c>
      <c r="O222" s="6" t="b">
        <f t="shared" si="26"/>
        <v>0</v>
      </c>
      <c r="P222" s="19">
        <v>0</v>
      </c>
      <c r="Q222" s="46" t="str">
        <f t="shared" si="27"/>
        <v>-</v>
      </c>
      <c r="R222" s="24">
        <v>27.180345467462079</v>
      </c>
      <c r="S222" s="24">
        <v>63.621348173189531</v>
      </c>
      <c r="T222" s="6" t="s">
        <v>1253</v>
      </c>
      <c r="U222" s="10" t="b">
        <v>0</v>
      </c>
    </row>
    <row r="223" spans="1:21" ht="15" customHeight="1" x14ac:dyDescent="0.3">
      <c r="A223" s="10" t="s">
        <v>502</v>
      </c>
      <c r="B223" s="10" t="s">
        <v>320</v>
      </c>
      <c r="C223" s="10" t="s">
        <v>33</v>
      </c>
      <c r="D223" s="16">
        <v>8500</v>
      </c>
      <c r="E223" s="23">
        <f t="shared" si="21"/>
        <v>86</v>
      </c>
      <c r="F223" s="45">
        <v>6.9785976402274002E-3</v>
      </c>
      <c r="G223" s="45">
        <v>3.2156818348596E-3</v>
      </c>
      <c r="H223" s="45">
        <v>1.1563033459549999E-3</v>
      </c>
      <c r="I223" s="45">
        <v>5.0909026497499999E-3</v>
      </c>
      <c r="J223" s="34">
        <f t="shared" si="22"/>
        <v>-0.7234513622020744</v>
      </c>
      <c r="K223" s="34">
        <f t="shared" si="23"/>
        <v>-0.56164598257125897</v>
      </c>
      <c r="L223" s="34">
        <f t="shared" si="24"/>
        <v>-0.65019925759415687</v>
      </c>
      <c r="M223" s="22">
        <v>-0.63202242380332507</v>
      </c>
      <c r="N223" s="6" t="b">
        <f t="shared" si="25"/>
        <v>0</v>
      </c>
      <c r="O223" s="6" t="b">
        <f t="shared" si="26"/>
        <v>0</v>
      </c>
      <c r="P223" s="19">
        <v>0</v>
      </c>
      <c r="Q223" s="46" t="str">
        <f t="shared" si="27"/>
        <v>-</v>
      </c>
      <c r="R223" s="24">
        <v>29.530698006165</v>
      </c>
      <c r="S223" s="24">
        <v>63.93533410744616</v>
      </c>
      <c r="T223" s="6" t="s">
        <v>1254</v>
      </c>
      <c r="U223" s="10" t="b">
        <v>0</v>
      </c>
    </row>
    <row r="224" spans="1:21" ht="15" customHeight="1" x14ac:dyDescent="0.3">
      <c r="A224" s="10" t="s">
        <v>502</v>
      </c>
      <c r="B224" s="10" t="s">
        <v>445</v>
      </c>
      <c r="C224" s="10" t="s">
        <v>33</v>
      </c>
      <c r="D224" s="16">
        <v>9100</v>
      </c>
      <c r="E224" s="23">
        <f t="shared" si="21"/>
        <v>92</v>
      </c>
      <c r="F224" s="45">
        <v>6.3481843067648997E-3</v>
      </c>
      <c r="G224" s="45">
        <v>5.2018358486406537E-5</v>
      </c>
      <c r="H224" s="45">
        <v>3.349250336228234E-6</v>
      </c>
      <c r="I224" s="45">
        <v>1.6952567010639999E-4</v>
      </c>
      <c r="J224" s="34">
        <f t="shared" si="22"/>
        <v>-0.99521431101925062</v>
      </c>
      <c r="K224" s="34">
        <f t="shared" si="23"/>
        <v>-0.70559067739843995</v>
      </c>
      <c r="L224" s="34">
        <f t="shared" si="24"/>
        <v>-0.70782945637334804</v>
      </c>
      <c r="M224" s="22">
        <v>-0.70729366346412381</v>
      </c>
      <c r="N224" s="6" t="b">
        <f t="shared" si="25"/>
        <v>0</v>
      </c>
      <c r="O224" s="6" t="b">
        <f t="shared" si="26"/>
        <v>0</v>
      </c>
      <c r="P224" s="19">
        <v>0</v>
      </c>
      <c r="Q224" s="46" t="str">
        <f t="shared" si="27"/>
        <v>-</v>
      </c>
      <c r="R224" s="24">
        <v>25.542312901946811</v>
      </c>
      <c r="S224" s="24">
        <v>49.981502154789638</v>
      </c>
      <c r="T224" s="6" t="s">
        <v>1255</v>
      </c>
      <c r="U224" s="10" t="b">
        <v>0</v>
      </c>
    </row>
    <row r="225" spans="1:21" ht="15" customHeight="1" x14ac:dyDescent="0.3">
      <c r="A225" s="10" t="s">
        <v>502</v>
      </c>
      <c r="B225" s="10" t="s">
        <v>384</v>
      </c>
      <c r="C225" s="10" t="s">
        <v>33</v>
      </c>
      <c r="D225" s="16">
        <v>10000</v>
      </c>
      <c r="E225" s="23">
        <f t="shared" si="21"/>
        <v>101</v>
      </c>
      <c r="F225" s="45">
        <v>5.5541982586009998E-3</v>
      </c>
      <c r="G225" s="45">
        <v>4.3774126325302996E-3</v>
      </c>
      <c r="H225" s="45">
        <v>1.9276505095988999E-3</v>
      </c>
      <c r="I225" s="45">
        <v>6.9998932960153998E-3</v>
      </c>
      <c r="J225" s="34">
        <f t="shared" si="22"/>
        <v>-0.5578813241144398</v>
      </c>
      <c r="K225" s="34">
        <f t="shared" si="23"/>
        <v>-0.49845364999786934</v>
      </c>
      <c r="L225" s="34">
        <f t="shared" si="24"/>
        <v>-0.62216663720590515</v>
      </c>
      <c r="M225" s="22">
        <v>-0.60627830609846689</v>
      </c>
      <c r="N225" s="6" t="b">
        <f t="shared" si="25"/>
        <v>0</v>
      </c>
      <c r="O225" s="6" t="b">
        <f t="shared" si="26"/>
        <v>0</v>
      </c>
      <c r="P225" s="19">
        <v>0</v>
      </c>
      <c r="Q225" s="46" t="str">
        <f t="shared" si="27"/>
        <v>-</v>
      </c>
      <c r="R225" s="24">
        <v>27.247734639874729</v>
      </c>
      <c r="S225" s="24">
        <v>66.442492364759033</v>
      </c>
      <c r="T225" s="6" t="s">
        <v>1256</v>
      </c>
      <c r="U225" s="10" t="b">
        <v>0</v>
      </c>
    </row>
    <row r="226" spans="1:21" ht="15" customHeight="1" x14ac:dyDescent="0.3">
      <c r="A226" s="10" t="s">
        <v>502</v>
      </c>
      <c r="B226" s="10" t="s">
        <v>448</v>
      </c>
      <c r="C226" s="10" t="s">
        <v>33</v>
      </c>
      <c r="D226" s="16">
        <v>10000</v>
      </c>
      <c r="E226" s="23">
        <f t="shared" si="21"/>
        <v>101</v>
      </c>
      <c r="F226" s="45">
        <v>5.5541982586009998E-3</v>
      </c>
      <c r="G226" s="45">
        <v>1.44309817902984E-2</v>
      </c>
      <c r="H226" s="45">
        <v>9.2601792097000007E-3</v>
      </c>
      <c r="I226" s="45">
        <v>1.8471094003708902E-2</v>
      </c>
      <c r="J226" s="34">
        <f t="shared" si="22"/>
        <v>0.45752916082013839</v>
      </c>
      <c r="K226" s="34">
        <f t="shared" si="23"/>
        <v>9.251592469419645E-3</v>
      </c>
      <c r="L226" s="34">
        <f t="shared" si="24"/>
        <v>-0.25187393785079948</v>
      </c>
      <c r="M226" s="22">
        <v>-0.14930928057132009</v>
      </c>
      <c r="N226" s="6" t="b">
        <f t="shared" si="25"/>
        <v>0</v>
      </c>
      <c r="O226" s="6" t="b">
        <f t="shared" si="26"/>
        <v>0</v>
      </c>
      <c r="P226" s="19">
        <v>0</v>
      </c>
      <c r="Q226" s="46" t="str">
        <f t="shared" si="27"/>
        <v>-</v>
      </c>
      <c r="R226" s="24">
        <v>31.28748049975162</v>
      </c>
      <c r="S226" s="24">
        <v>64.163689445404557</v>
      </c>
      <c r="T226" s="6" t="s">
        <v>1257</v>
      </c>
      <c r="U226" s="10" t="b">
        <v>0</v>
      </c>
    </row>
    <row r="227" spans="1:21" ht="15" customHeight="1" x14ac:dyDescent="0.3">
      <c r="A227" s="10" t="s">
        <v>502</v>
      </c>
      <c r="B227" s="10" t="s">
        <v>304</v>
      </c>
      <c r="C227" s="10" t="s">
        <v>33</v>
      </c>
      <c r="D227" s="16">
        <v>11000</v>
      </c>
      <c r="E227" s="23">
        <f t="shared" si="21"/>
        <v>111</v>
      </c>
      <c r="F227" s="45">
        <v>4.8366581843980998E-3</v>
      </c>
      <c r="G227" s="45">
        <v>5.3595012183779997E-3</v>
      </c>
      <c r="H227" s="45">
        <v>3.0556333521255001E-3</v>
      </c>
      <c r="I227" s="45">
        <v>6.8819326244807999E-3</v>
      </c>
      <c r="J227" s="34">
        <f t="shared" si="22"/>
        <v>-0.40509536476004204</v>
      </c>
      <c r="K227" s="34">
        <f t="shared" si="23"/>
        <v>-0.43411315314592647</v>
      </c>
      <c r="L227" s="34">
        <f t="shared" si="24"/>
        <v>-0.56197781972294025</v>
      </c>
      <c r="M227" s="22">
        <v>-0.53830332527316149</v>
      </c>
      <c r="N227" s="6" t="b">
        <f t="shared" si="25"/>
        <v>0</v>
      </c>
      <c r="O227" s="6" t="b">
        <f t="shared" si="26"/>
        <v>0</v>
      </c>
      <c r="P227" s="19">
        <v>0</v>
      </c>
      <c r="Q227" s="46" t="str">
        <f t="shared" si="27"/>
        <v>-</v>
      </c>
      <c r="R227" s="24">
        <v>30.261034551294308</v>
      </c>
      <c r="S227" s="24">
        <v>52.345212178439454</v>
      </c>
      <c r="T227" s="6" t="s">
        <v>1258</v>
      </c>
      <c r="U227" s="10" t="b">
        <v>0</v>
      </c>
    </row>
    <row r="228" spans="1:21" ht="15" customHeight="1" x14ac:dyDescent="0.3">
      <c r="A228" s="10" t="s">
        <v>502</v>
      </c>
      <c r="B228" s="10" t="s">
        <v>469</v>
      </c>
      <c r="C228" s="10" t="s">
        <v>33</v>
      </c>
      <c r="D228" s="16">
        <v>12000</v>
      </c>
      <c r="E228" s="23">
        <f t="shared" si="21"/>
        <v>121</v>
      </c>
      <c r="F228" s="45">
        <v>4.2501498355177999E-3</v>
      </c>
      <c r="G228" s="45">
        <v>8.9956209007200001E-4</v>
      </c>
      <c r="H228" s="45">
        <v>1.9994909280040001E-4</v>
      </c>
      <c r="I228" s="45">
        <v>1.9122091339817001E-3</v>
      </c>
      <c r="J228" s="34">
        <f t="shared" si="22"/>
        <v>-0.89115298710128799</v>
      </c>
      <c r="K228" s="34">
        <f t="shared" si="23"/>
        <v>-0.68844242850181714</v>
      </c>
      <c r="L228" s="34">
        <f t="shared" si="24"/>
        <v>-0.73076901483674894</v>
      </c>
      <c r="M228" s="22">
        <v>-0.72371322922875514</v>
      </c>
      <c r="N228" s="6" t="b">
        <f t="shared" si="25"/>
        <v>0</v>
      </c>
      <c r="O228" s="6" t="b">
        <f t="shared" si="26"/>
        <v>0</v>
      </c>
      <c r="P228" s="19">
        <v>0</v>
      </c>
      <c r="Q228" s="46" t="str">
        <f t="shared" si="27"/>
        <v>-</v>
      </c>
      <c r="R228" s="24">
        <v>26.39367719734355</v>
      </c>
      <c r="S228" s="24">
        <v>57.88192476127179</v>
      </c>
      <c r="T228" s="6" t="s">
        <v>1259</v>
      </c>
      <c r="U228" s="10" t="b">
        <v>0</v>
      </c>
    </row>
    <row r="229" spans="1:21" ht="15" customHeight="1" x14ac:dyDescent="0.3">
      <c r="A229" s="10" t="s">
        <v>502</v>
      </c>
      <c r="B229" s="10" t="s">
        <v>505</v>
      </c>
      <c r="C229" s="10" t="s">
        <v>33</v>
      </c>
      <c r="D229" s="16">
        <v>13000</v>
      </c>
      <c r="E229" s="23">
        <f t="shared" si="21"/>
        <v>131</v>
      </c>
      <c r="F229" s="45">
        <v>3.7639510850889998E-3</v>
      </c>
      <c r="G229" s="45">
        <v>0</v>
      </c>
      <c r="H229" s="45">
        <v>0</v>
      </c>
      <c r="I229" s="45">
        <v>0</v>
      </c>
      <c r="J229" s="34">
        <f t="shared" si="22"/>
        <v>-1</v>
      </c>
      <c r="K229" s="34">
        <f t="shared" si="23"/>
        <v>-0.75346120392667049</v>
      </c>
      <c r="L229" s="34">
        <f t="shared" si="24"/>
        <v>-0.75346120392667049</v>
      </c>
      <c r="M229" s="22">
        <v>-0.75346120392666616</v>
      </c>
      <c r="N229" s="6" t="b">
        <f t="shared" si="25"/>
        <v>0</v>
      </c>
      <c r="O229" s="6" t="b">
        <f t="shared" si="26"/>
        <v>0</v>
      </c>
      <c r="P229" s="19">
        <v>0</v>
      </c>
      <c r="Q229" s="46" t="str">
        <f t="shared" si="27"/>
        <v>-</v>
      </c>
      <c r="R229" s="24" t="s">
        <v>33</v>
      </c>
      <c r="S229" s="24" t="s">
        <v>33</v>
      </c>
      <c r="T229" s="6"/>
      <c r="U229" s="10" t="b">
        <v>0</v>
      </c>
    </row>
    <row r="230" spans="1:21" ht="15" customHeight="1" x14ac:dyDescent="0.3">
      <c r="A230" s="10" t="s">
        <v>502</v>
      </c>
      <c r="B230" s="10" t="s">
        <v>509</v>
      </c>
      <c r="C230" s="10" t="s">
        <v>33</v>
      </c>
      <c r="D230" s="16">
        <v>14000</v>
      </c>
      <c r="E230" s="23">
        <f t="shared" si="21"/>
        <v>141</v>
      </c>
      <c r="F230" s="45">
        <v>3.3560726609205001E-3</v>
      </c>
      <c r="G230" s="45">
        <v>3.1372831869828999E-3</v>
      </c>
      <c r="H230" s="45">
        <v>1.1235657753034E-3</v>
      </c>
      <c r="I230" s="45">
        <v>4.5649332558688003E-3</v>
      </c>
      <c r="J230" s="34">
        <f t="shared" si="22"/>
        <v>-0.55764307063541119</v>
      </c>
      <c r="K230" s="34">
        <f t="shared" si="23"/>
        <v>-0.54221841272281035</v>
      </c>
      <c r="L230" s="34">
        <f t="shared" si="24"/>
        <v>-0.684185490246215</v>
      </c>
      <c r="M230" s="22">
        <v>-0.64543011172607823</v>
      </c>
      <c r="N230" s="6" t="b">
        <f t="shared" si="25"/>
        <v>0</v>
      </c>
      <c r="O230" s="6" t="b">
        <f t="shared" si="26"/>
        <v>0</v>
      </c>
      <c r="P230" s="19">
        <v>0</v>
      </c>
      <c r="Q230" s="46" t="str">
        <f t="shared" si="27"/>
        <v>-</v>
      </c>
      <c r="R230" s="24">
        <v>20.44304230955774</v>
      </c>
      <c r="S230" s="24">
        <v>59.713308624397143</v>
      </c>
      <c r="T230" s="6" t="s">
        <v>1260</v>
      </c>
      <c r="U230" s="10" t="b">
        <v>0</v>
      </c>
    </row>
    <row r="231" spans="1:21" ht="15" customHeight="1" x14ac:dyDescent="0.3">
      <c r="A231" s="10" t="s">
        <v>502</v>
      </c>
      <c r="B231" s="10" t="s">
        <v>306</v>
      </c>
      <c r="C231" s="10" t="s">
        <v>33</v>
      </c>
      <c r="D231" s="16">
        <v>15000</v>
      </c>
      <c r="E231" s="23">
        <f t="shared" si="21"/>
        <v>151</v>
      </c>
      <c r="F231" s="45">
        <v>3.0103720312675002E-3</v>
      </c>
      <c r="G231" s="45">
        <v>6.1038077224764E-3</v>
      </c>
      <c r="H231" s="45">
        <v>2.6708986641737001E-3</v>
      </c>
      <c r="I231" s="45">
        <v>7.3385010650842001E-3</v>
      </c>
      <c r="J231" s="34">
        <f t="shared" si="22"/>
        <v>-7.8325033906063601E-2</v>
      </c>
      <c r="K231" s="34">
        <f t="shared" si="23"/>
        <v>-0.31187942859233553</v>
      </c>
      <c r="L231" s="34">
        <f t="shared" si="24"/>
        <v>-0.5710640624941894</v>
      </c>
      <c r="M231" s="22">
        <v>-0.51080278744201957</v>
      </c>
      <c r="N231" s="6" t="b">
        <f t="shared" si="25"/>
        <v>0</v>
      </c>
      <c r="O231" s="6" t="b">
        <f t="shared" si="26"/>
        <v>0</v>
      </c>
      <c r="P231" s="19">
        <v>0</v>
      </c>
      <c r="Q231" s="46" t="str">
        <f t="shared" si="27"/>
        <v>-</v>
      </c>
      <c r="R231" s="24">
        <v>30.96484172371029</v>
      </c>
      <c r="S231" s="24">
        <v>62.183930715151348</v>
      </c>
      <c r="T231" s="6" t="s">
        <v>1261</v>
      </c>
      <c r="U231" s="10" t="b">
        <v>0</v>
      </c>
    </row>
    <row r="232" spans="1:21" ht="15" customHeight="1" x14ac:dyDescent="0.3">
      <c r="A232" s="10" t="s">
        <v>502</v>
      </c>
      <c r="B232" s="10" t="s">
        <v>356</v>
      </c>
      <c r="C232" s="10" t="s">
        <v>33</v>
      </c>
      <c r="D232" s="16">
        <v>15000</v>
      </c>
      <c r="E232" s="23">
        <f t="shared" si="21"/>
        <v>151</v>
      </c>
      <c r="F232" s="45">
        <v>3.0103720312675002E-3</v>
      </c>
      <c r="G232" s="45">
        <v>1.7263238467300001E-4</v>
      </c>
      <c r="H232" s="45">
        <v>1.7403215248843339E-5</v>
      </c>
      <c r="I232" s="45">
        <v>3.746686959099E-4</v>
      </c>
      <c r="J232" s="34">
        <f t="shared" si="22"/>
        <v>-0.97393250991437696</v>
      </c>
      <c r="K232" s="34">
        <f t="shared" si="23"/>
        <v>-0.75968316659649227</v>
      </c>
      <c r="L232" s="34">
        <f t="shared" si="24"/>
        <v>-0.77140296888801607</v>
      </c>
      <c r="M232" s="22">
        <v>-0.76955848008962902</v>
      </c>
      <c r="N232" s="6" t="b">
        <f t="shared" si="25"/>
        <v>0</v>
      </c>
      <c r="O232" s="6" t="b">
        <f t="shared" si="26"/>
        <v>0</v>
      </c>
      <c r="P232" s="19">
        <v>0</v>
      </c>
      <c r="Q232" s="46" t="str">
        <f t="shared" si="27"/>
        <v>-</v>
      </c>
      <c r="R232" s="24">
        <v>20.628378769140671</v>
      </c>
      <c r="S232" s="24">
        <v>65.443995223575982</v>
      </c>
      <c r="T232" s="6" t="s">
        <v>1262</v>
      </c>
      <c r="U232" s="10" t="b">
        <v>0</v>
      </c>
    </row>
    <row r="233" spans="1:21" ht="15" customHeight="1" x14ac:dyDescent="0.3">
      <c r="A233" s="10" t="s">
        <v>502</v>
      </c>
      <c r="B233" s="10" t="s">
        <v>453</v>
      </c>
      <c r="C233" s="10" t="s">
        <v>33</v>
      </c>
      <c r="D233" s="16">
        <v>15000</v>
      </c>
      <c r="E233" s="23">
        <f t="shared" si="21"/>
        <v>151</v>
      </c>
      <c r="F233" s="45">
        <v>3.0103720312675002E-3</v>
      </c>
      <c r="G233" s="45">
        <v>1.10638074157154E-2</v>
      </c>
      <c r="H233" s="45">
        <v>7.5479644052288001E-3</v>
      </c>
      <c r="I233" s="45">
        <v>1.3283184972194899E-2</v>
      </c>
      <c r="J233" s="34">
        <f t="shared" si="22"/>
        <v>0.67063491977302547</v>
      </c>
      <c r="K233" s="34">
        <f t="shared" si="23"/>
        <v>6.2600548247208954E-2</v>
      </c>
      <c r="L233" s="34">
        <f t="shared" si="24"/>
        <v>-0.20284559904452926</v>
      </c>
      <c r="M233" s="22">
        <v>-9.7721361271625701E-2</v>
      </c>
      <c r="N233" s="6" t="b">
        <f t="shared" si="25"/>
        <v>0</v>
      </c>
      <c r="O233" s="6" t="b">
        <f t="shared" si="26"/>
        <v>0</v>
      </c>
      <c r="P233" s="19">
        <v>0</v>
      </c>
      <c r="Q233" s="46" t="str">
        <f t="shared" si="27"/>
        <v>-</v>
      </c>
      <c r="R233" s="24">
        <v>31.884688809247471</v>
      </c>
      <c r="S233" s="24">
        <v>59.997742479614402</v>
      </c>
      <c r="T233" s="6" t="s">
        <v>1263</v>
      </c>
      <c r="U233" s="10" t="b">
        <v>0</v>
      </c>
    </row>
    <row r="234" spans="1:21" ht="15" customHeight="1" x14ac:dyDescent="0.3">
      <c r="A234" s="10" t="s">
        <v>502</v>
      </c>
      <c r="B234" s="10" t="s">
        <v>484</v>
      </c>
      <c r="C234" s="10" t="s">
        <v>33</v>
      </c>
      <c r="D234" s="16">
        <v>16000</v>
      </c>
      <c r="E234" s="23">
        <f t="shared" si="21"/>
        <v>161</v>
      </c>
      <c r="F234" s="45">
        <v>2.7147414275318E-3</v>
      </c>
      <c r="G234" s="45">
        <v>9.7991874009322155E-5</v>
      </c>
      <c r="H234" s="45">
        <v>6.050701718397311E-6</v>
      </c>
      <c r="I234" s="45">
        <v>3.2077845636660003E-4</v>
      </c>
      <c r="J234" s="34">
        <f t="shared" si="22"/>
        <v>-0.98422330828449911</v>
      </c>
      <c r="K234" s="34">
        <f t="shared" si="23"/>
        <v>-0.77357496922593971</v>
      </c>
      <c r="L234" s="34">
        <f t="shared" si="24"/>
        <v>-0.78097623359535917</v>
      </c>
      <c r="M234" s="22">
        <v>-0.77905925026284117</v>
      </c>
      <c r="N234" s="6" t="b">
        <f t="shared" si="25"/>
        <v>0</v>
      </c>
      <c r="O234" s="6" t="b">
        <f t="shared" si="26"/>
        <v>0</v>
      </c>
      <c r="P234" s="19">
        <v>0</v>
      </c>
      <c r="Q234" s="46" t="str">
        <f t="shared" si="27"/>
        <v>-</v>
      </c>
      <c r="R234" s="24">
        <v>23.849744885709629</v>
      </c>
      <c r="S234" s="24">
        <v>66.377763721172627</v>
      </c>
      <c r="T234" s="6" t="s">
        <v>1264</v>
      </c>
      <c r="U234" s="10" t="b">
        <v>0</v>
      </c>
    </row>
    <row r="235" spans="1:21" ht="15" customHeight="1" x14ac:dyDescent="0.3">
      <c r="A235" s="10" t="s">
        <v>502</v>
      </c>
      <c r="B235" s="10" t="s">
        <v>506</v>
      </c>
      <c r="C235" s="10" t="s">
        <v>33</v>
      </c>
      <c r="D235" s="16">
        <v>16000</v>
      </c>
      <c r="E235" s="23">
        <f t="shared" si="21"/>
        <v>161</v>
      </c>
      <c r="F235" s="45">
        <v>2.7147414275318E-3</v>
      </c>
      <c r="G235" s="45">
        <v>1.8181088942100001E-4</v>
      </c>
      <c r="H235" s="45">
        <v>4.6179515983103622E-5</v>
      </c>
      <c r="I235" s="45">
        <v>2.2720429976680001E-4</v>
      </c>
      <c r="J235" s="34">
        <f t="shared" si="22"/>
        <v>-0.97072844680321901</v>
      </c>
      <c r="K235" s="34">
        <f t="shared" si="23"/>
        <v>-0.76682753848529961</v>
      </c>
      <c r="L235" s="34">
        <f t="shared" si="24"/>
        <v>-0.77774586404705026</v>
      </c>
      <c r="M235" s="22">
        <v>-0.77720838872143561</v>
      </c>
      <c r="N235" s="6" t="b">
        <f t="shared" si="25"/>
        <v>0</v>
      </c>
      <c r="O235" s="6" t="b">
        <f t="shared" si="26"/>
        <v>0</v>
      </c>
      <c r="P235" s="19">
        <v>0</v>
      </c>
      <c r="Q235" s="46" t="str">
        <f t="shared" si="27"/>
        <v>-</v>
      </c>
      <c r="R235" s="24">
        <v>29.990625928386791</v>
      </c>
      <c r="S235" s="24">
        <v>30.338296772023529</v>
      </c>
      <c r="T235" s="6" t="s">
        <v>1265</v>
      </c>
      <c r="U235" s="10" t="b">
        <v>0</v>
      </c>
    </row>
    <row r="236" spans="1:21" ht="15" customHeight="1" x14ac:dyDescent="0.3">
      <c r="A236" s="10" t="s">
        <v>502</v>
      </c>
      <c r="B236" s="10" t="s">
        <v>507</v>
      </c>
      <c r="C236" s="10" t="s">
        <v>33</v>
      </c>
      <c r="D236" s="16">
        <v>17000</v>
      </c>
      <c r="E236" s="23">
        <f t="shared" si="21"/>
        <v>171</v>
      </c>
      <c r="F236" s="45">
        <v>2.4599304712455E-3</v>
      </c>
      <c r="G236" s="45">
        <v>7.4646743077810005E-4</v>
      </c>
      <c r="H236" s="45">
        <v>1.3532841127959999E-4</v>
      </c>
      <c r="I236" s="45">
        <v>1.4741240043709999E-3</v>
      </c>
      <c r="J236" s="34">
        <f t="shared" si="22"/>
        <v>-0.87235406933694493</v>
      </c>
      <c r="K236" s="34">
        <f t="shared" si="23"/>
        <v>-0.72585297937698212</v>
      </c>
      <c r="L236" s="34">
        <f t="shared" si="24"/>
        <v>-0.77810536554410392</v>
      </c>
      <c r="M236" s="22">
        <v>-0.77634383008442076</v>
      </c>
      <c r="N236" s="6" t="b">
        <f t="shared" si="25"/>
        <v>0</v>
      </c>
      <c r="O236" s="6" t="b">
        <f t="shared" si="26"/>
        <v>0</v>
      </c>
      <c r="P236" s="19">
        <v>0</v>
      </c>
      <c r="Q236" s="46" t="str">
        <f t="shared" si="27"/>
        <v>-</v>
      </c>
      <c r="R236" s="24">
        <v>25.44177160184487</v>
      </c>
      <c r="S236" s="24">
        <v>57.440173428707539</v>
      </c>
      <c r="T236" s="6" t="s">
        <v>1266</v>
      </c>
      <c r="U236" s="10" t="b">
        <v>0</v>
      </c>
    </row>
    <row r="237" spans="1:21" ht="15" customHeight="1" x14ac:dyDescent="0.3">
      <c r="A237" s="10" t="s">
        <v>502</v>
      </c>
      <c r="B237" s="10" t="s">
        <v>508</v>
      </c>
      <c r="C237" s="10" t="s">
        <v>33</v>
      </c>
      <c r="D237" s="16">
        <v>20000</v>
      </c>
      <c r="E237" s="23">
        <f t="shared" si="21"/>
        <v>201</v>
      </c>
      <c r="F237" s="45">
        <v>1.8758660813895001E-3</v>
      </c>
      <c r="G237" s="45">
        <v>1.1641833396662999E-3</v>
      </c>
      <c r="H237" s="45">
        <v>2.5862117297029998E-4</v>
      </c>
      <c r="I237" s="45">
        <v>2.2563861089113001E-3</v>
      </c>
      <c r="J237" s="34">
        <f t="shared" si="22"/>
        <v>-0.76599914872707375</v>
      </c>
      <c r="K237" s="34">
        <f t="shared" si="23"/>
        <v>-0.69447503318389203</v>
      </c>
      <c r="L237" s="34">
        <f t="shared" si="24"/>
        <v>-0.78548403093684005</v>
      </c>
      <c r="M237" s="22">
        <v>-0.76888403235968839</v>
      </c>
      <c r="N237" s="6" t="b">
        <f t="shared" si="25"/>
        <v>0</v>
      </c>
      <c r="O237" s="6" t="b">
        <f t="shared" si="26"/>
        <v>0</v>
      </c>
      <c r="P237" s="19">
        <v>0</v>
      </c>
      <c r="Q237" s="46" t="str">
        <f t="shared" si="27"/>
        <v>-</v>
      </c>
      <c r="R237" s="24">
        <v>27.20681012034532</v>
      </c>
      <c r="S237" s="24">
        <v>58.298360127725992</v>
      </c>
      <c r="T237" s="6" t="s">
        <v>1267</v>
      </c>
      <c r="U237" s="10" t="b">
        <v>0</v>
      </c>
    </row>
    <row r="238" spans="1:21" ht="15" customHeight="1" x14ac:dyDescent="0.3">
      <c r="A238" s="10" t="s">
        <v>502</v>
      </c>
      <c r="B238" s="10" t="s">
        <v>370</v>
      </c>
      <c r="C238" s="10" t="s">
        <v>33</v>
      </c>
      <c r="D238" s="16">
        <v>20000</v>
      </c>
      <c r="E238" s="23">
        <f t="shared" si="21"/>
        <v>201</v>
      </c>
      <c r="F238" s="45">
        <v>1.8758660813895001E-3</v>
      </c>
      <c r="G238" s="45">
        <v>9.0930380564640005E-4</v>
      </c>
      <c r="H238" s="45">
        <v>2.0851762628730001E-4</v>
      </c>
      <c r="I238" s="45">
        <v>1.7174962700571999E-3</v>
      </c>
      <c r="J238" s="34">
        <f t="shared" si="22"/>
        <v>-0.81722993506507358</v>
      </c>
      <c r="K238" s="34">
        <f t="shared" si="23"/>
        <v>-0.720090426352892</v>
      </c>
      <c r="L238" s="34">
        <f t="shared" si="24"/>
        <v>-0.79051943737848163</v>
      </c>
      <c r="M238" s="22">
        <v>-0.77869670962846937</v>
      </c>
      <c r="N238" s="6" t="b">
        <f t="shared" si="25"/>
        <v>0</v>
      </c>
      <c r="O238" s="6" t="b">
        <f t="shared" si="26"/>
        <v>0</v>
      </c>
      <c r="P238" s="19">
        <v>0</v>
      </c>
      <c r="Q238" s="46" t="str">
        <f t="shared" si="27"/>
        <v>-</v>
      </c>
      <c r="R238" s="24">
        <v>23.45173564822603</v>
      </c>
      <c r="S238" s="24">
        <v>56.921092178913</v>
      </c>
      <c r="T238" s="6" t="s">
        <v>1268</v>
      </c>
      <c r="U238" s="10" t="b">
        <v>0</v>
      </c>
    </row>
    <row r="239" spans="1:21" ht="15" customHeight="1" x14ac:dyDescent="0.3">
      <c r="A239" s="10" t="s">
        <v>502</v>
      </c>
      <c r="B239" s="10" t="s">
        <v>510</v>
      </c>
      <c r="C239" s="10" t="s">
        <v>33</v>
      </c>
      <c r="D239" s="16">
        <v>20000</v>
      </c>
      <c r="E239" s="23">
        <f t="shared" si="21"/>
        <v>201</v>
      </c>
      <c r="F239" s="45">
        <v>1.8758660813895001E-3</v>
      </c>
      <c r="G239" s="45">
        <v>5.5838444655426003E-3</v>
      </c>
      <c r="H239" s="45">
        <v>1.9517292466439001E-3</v>
      </c>
      <c r="I239" s="45">
        <v>7.8513010998919001E-3</v>
      </c>
      <c r="J239" s="34">
        <f t="shared" si="22"/>
        <v>0.12235273757406273</v>
      </c>
      <c r="K239" s="34">
        <f t="shared" si="23"/>
        <v>-0.25029909003332396</v>
      </c>
      <c r="L239" s="34">
        <f t="shared" si="24"/>
        <v>-0.61532666953264326</v>
      </c>
      <c r="M239" s="22">
        <v>-0.49290825426115298</v>
      </c>
      <c r="N239" s="6" t="b">
        <f t="shared" si="25"/>
        <v>0</v>
      </c>
      <c r="O239" s="6" t="b">
        <f t="shared" si="26"/>
        <v>0</v>
      </c>
      <c r="P239" s="19">
        <v>0</v>
      </c>
      <c r="Q239" s="46" t="str">
        <f t="shared" si="27"/>
        <v>-</v>
      </c>
      <c r="R239" s="24">
        <v>24.44605952684168</v>
      </c>
      <c r="S239" s="24">
        <v>63.977047672367583</v>
      </c>
      <c r="T239" s="6" t="s">
        <v>1269</v>
      </c>
      <c r="U239" s="10" t="b">
        <v>0</v>
      </c>
    </row>
    <row r="240" spans="1:21" ht="15" customHeight="1" x14ac:dyDescent="0.3">
      <c r="A240" s="10" t="s">
        <v>502</v>
      </c>
      <c r="B240" s="10" t="s">
        <v>511</v>
      </c>
      <c r="C240" s="10" t="s">
        <v>33</v>
      </c>
      <c r="D240" s="16">
        <v>25000</v>
      </c>
      <c r="E240" s="23">
        <f t="shared" si="21"/>
        <v>251</v>
      </c>
      <c r="F240" s="45">
        <v>1.2733639013488001E-3</v>
      </c>
      <c r="G240" s="45">
        <v>3.7352181751364702E-5</v>
      </c>
      <c r="H240" s="45">
        <v>1.011035442438499E-6</v>
      </c>
      <c r="I240" s="45">
        <v>1.107142307025E-4</v>
      </c>
      <c r="J240" s="34">
        <f t="shared" si="22"/>
        <v>-0.9906246023804075</v>
      </c>
      <c r="K240" s="34">
        <f t="shared" si="23"/>
        <v>-0.83550513157092932</v>
      </c>
      <c r="L240" s="34">
        <f t="shared" si="24"/>
        <v>-0.84006594543269952</v>
      </c>
      <c r="M240" s="22">
        <v>-0.83997467194035247</v>
      </c>
      <c r="N240" s="6" t="b">
        <f t="shared" si="25"/>
        <v>0</v>
      </c>
      <c r="O240" s="6" t="b">
        <f t="shared" si="26"/>
        <v>0</v>
      </c>
      <c r="P240" s="19">
        <v>0</v>
      </c>
      <c r="Q240" s="46" t="str">
        <f t="shared" si="27"/>
        <v>-</v>
      </c>
      <c r="R240" s="24">
        <v>19.227568684974681</v>
      </c>
      <c r="S240" s="24">
        <v>65.784921095965871</v>
      </c>
      <c r="T240" s="6" t="s">
        <v>1270</v>
      </c>
      <c r="U240" s="10" t="b">
        <v>0</v>
      </c>
    </row>
    <row r="241" spans="1:21" ht="15" customHeight="1" x14ac:dyDescent="0.3">
      <c r="A241" s="10" t="s">
        <v>502</v>
      </c>
      <c r="B241" s="10" t="s">
        <v>512</v>
      </c>
      <c r="C241" s="10" t="s">
        <v>33</v>
      </c>
      <c r="D241" s="16">
        <v>25000</v>
      </c>
      <c r="E241" s="23">
        <f t="shared" si="21"/>
        <v>251</v>
      </c>
      <c r="F241" s="45">
        <v>1.2733639013488001E-3</v>
      </c>
      <c r="G241" s="45">
        <v>6.007929750331E-4</v>
      </c>
      <c r="H241" s="45">
        <v>1.190106164342E-4</v>
      </c>
      <c r="I241" s="45">
        <v>1.4701768802986999E-3</v>
      </c>
      <c r="J241" s="34">
        <f t="shared" si="22"/>
        <v>-0.84920096326669192</v>
      </c>
      <c r="K241" s="34">
        <f t="shared" si="23"/>
        <v>-0.76479331201407152</v>
      </c>
      <c r="L241" s="34">
        <f t="shared" si="24"/>
        <v>-0.82525699801823349</v>
      </c>
      <c r="M241" s="22">
        <v>-0.81763171664458367</v>
      </c>
      <c r="N241" s="6" t="b">
        <f t="shared" si="25"/>
        <v>0</v>
      </c>
      <c r="O241" s="6" t="b">
        <f t="shared" si="26"/>
        <v>0</v>
      </c>
      <c r="P241" s="19">
        <v>0</v>
      </c>
      <c r="Q241" s="46" t="str">
        <f t="shared" si="27"/>
        <v>-</v>
      </c>
      <c r="R241" s="24">
        <v>20.548715487868321</v>
      </c>
      <c r="S241" s="24">
        <v>58.197133292483947</v>
      </c>
      <c r="T241" s="6" t="s">
        <v>1271</v>
      </c>
      <c r="U241" s="10" t="b">
        <v>0</v>
      </c>
    </row>
    <row r="242" spans="1:21" ht="15" customHeight="1" x14ac:dyDescent="0.3">
      <c r="A242" s="10" t="s">
        <v>502</v>
      </c>
      <c r="B242" s="10" t="s">
        <v>408</v>
      </c>
      <c r="C242" s="10" t="s">
        <v>33</v>
      </c>
      <c r="D242" s="16">
        <v>25000</v>
      </c>
      <c r="E242" s="23">
        <f t="shared" si="21"/>
        <v>251</v>
      </c>
      <c r="F242" s="45">
        <v>1.2733639013488001E-3</v>
      </c>
      <c r="G242" s="45">
        <v>3.3214586913539999E-4</v>
      </c>
      <c r="H242" s="45">
        <v>3.3583583792183513E-5</v>
      </c>
      <c r="I242" s="45">
        <v>7.9811630962299995E-4</v>
      </c>
      <c r="J242" s="34">
        <f t="shared" si="22"/>
        <v>-0.91663138684701462</v>
      </c>
      <c r="K242" s="34">
        <f t="shared" si="23"/>
        <v>-0.79850852380423287</v>
      </c>
      <c r="L242" s="34">
        <f t="shared" si="24"/>
        <v>-0.83597809061480655</v>
      </c>
      <c r="M242" s="22">
        <v>-0.82973806138165374</v>
      </c>
      <c r="N242" s="6" t="b">
        <f t="shared" si="25"/>
        <v>0</v>
      </c>
      <c r="O242" s="6" t="b">
        <f t="shared" si="26"/>
        <v>0</v>
      </c>
      <c r="P242" s="19">
        <v>0</v>
      </c>
      <c r="Q242" s="46" t="str">
        <f t="shared" si="27"/>
        <v>-</v>
      </c>
      <c r="R242" s="24">
        <v>25.31873731577382</v>
      </c>
      <c r="S242" s="24">
        <v>59.045455957870139</v>
      </c>
      <c r="T242" s="6" t="s">
        <v>1272</v>
      </c>
      <c r="U242" s="10" t="b">
        <v>0</v>
      </c>
    </row>
    <row r="243" spans="1:21" ht="15" customHeight="1" x14ac:dyDescent="0.3">
      <c r="A243" s="10" t="s">
        <v>502</v>
      </c>
      <c r="B243" s="10" t="s">
        <v>375</v>
      </c>
      <c r="C243" s="10" t="s">
        <v>33</v>
      </c>
      <c r="D243" s="16">
        <v>26000</v>
      </c>
      <c r="E243" s="23">
        <f t="shared" si="21"/>
        <v>261</v>
      </c>
      <c r="F243" s="45">
        <v>1.1875576234957001E-3</v>
      </c>
      <c r="G243" s="45">
        <v>2.2942759134890001E-4</v>
      </c>
      <c r="H243" s="45">
        <v>1.696995276993425E-5</v>
      </c>
      <c r="I243" s="45">
        <v>7.1776852454479999E-4</v>
      </c>
      <c r="J243" s="34">
        <f t="shared" si="22"/>
        <v>-0.94011939865793714</v>
      </c>
      <c r="K243" s="34">
        <f t="shared" si="23"/>
        <v>-0.81508342946277967</v>
      </c>
      <c r="L243" s="34">
        <f t="shared" si="24"/>
        <v>-0.84280915129733469</v>
      </c>
      <c r="M243" s="22">
        <v>-0.8349866365748394</v>
      </c>
      <c r="N243" s="6" t="b">
        <f t="shared" si="25"/>
        <v>0</v>
      </c>
      <c r="O243" s="6" t="b">
        <f t="shared" si="26"/>
        <v>0</v>
      </c>
      <c r="P243" s="19">
        <v>0</v>
      </c>
      <c r="Q243" s="46" t="str">
        <f t="shared" si="27"/>
        <v>-</v>
      </c>
      <c r="R243" s="24">
        <v>22.117886655478859</v>
      </c>
      <c r="S243" s="24">
        <v>64.060974036058951</v>
      </c>
      <c r="T243" s="6" t="s">
        <v>1273</v>
      </c>
      <c r="U243" s="10" t="b">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AM761"/>
  <sheetViews>
    <sheetView showGridLines="0" workbookViewId="0">
      <pane xSplit="2" ySplit="7" topLeftCell="C8" activePane="bottomRight" state="frozen"/>
      <selection pane="topRight"/>
      <selection pane="bottomLeft"/>
      <selection pane="bottomRight"/>
    </sheetView>
  </sheetViews>
  <sheetFormatPr defaultRowHeight="14.4" outlineLevelCol="1" x14ac:dyDescent="0.3"/>
  <cols>
    <col min="1" max="1" width="24" customWidth="1"/>
    <col min="2" max="2" width="28" customWidth="1"/>
    <col min="3" max="23" width="14" customWidth="1"/>
    <col min="24" max="24" width="24" customWidth="1"/>
    <col min="25" max="25" width="60" customWidth="1"/>
    <col min="26" max="26" width="14" customWidth="1" outlineLevel="1"/>
    <col min="27" max="27" width="20" customWidth="1"/>
    <col min="28" max="39" width="14" customWidth="1"/>
  </cols>
  <sheetData>
    <row r="1" spans="1:39" ht="15" customHeight="1" x14ac:dyDescent="0.3">
      <c r="A1" s="1" t="s">
        <v>0</v>
      </c>
      <c r="B1" s="2"/>
      <c r="C1" s="2"/>
      <c r="D1" s="2"/>
      <c r="E1" s="2"/>
      <c r="F1" s="2"/>
      <c r="G1" s="2"/>
      <c r="H1" s="2"/>
      <c r="I1" s="2"/>
      <c r="J1" s="2"/>
      <c r="K1" s="2"/>
      <c r="L1" s="2"/>
    </row>
    <row r="2" spans="1:39" ht="15" customHeight="1" x14ac:dyDescent="0.3">
      <c r="A2" s="3" t="s">
        <v>1274</v>
      </c>
    </row>
    <row r="3" spans="1:39" ht="15" customHeight="1" x14ac:dyDescent="0.3">
      <c r="A3" s="4" t="s">
        <v>2</v>
      </c>
    </row>
    <row r="4" spans="1:39" ht="6" customHeight="1" x14ac:dyDescent="0.3"/>
    <row r="5" spans="1:39" ht="15" customHeight="1" x14ac:dyDescent="0.3">
      <c r="A5" s="4" t="s">
        <v>1275</v>
      </c>
      <c r="L5" s="47" t="str">
        <f>Sim_Stale</f>
        <v>OK - sims match current assumptions</v>
      </c>
    </row>
    <row r="6" spans="1:39" ht="15" customHeight="1" x14ac:dyDescent="0.3"/>
    <row r="7" spans="1:39" ht="30" customHeight="1" x14ac:dyDescent="0.3">
      <c r="A7" s="11" t="s">
        <v>230</v>
      </c>
      <c r="B7" s="11" t="s">
        <v>231</v>
      </c>
      <c r="C7" s="11" t="s">
        <v>195</v>
      </c>
      <c r="D7" s="11" t="s">
        <v>232</v>
      </c>
      <c r="E7" s="11" t="s">
        <v>233</v>
      </c>
      <c r="F7" s="11" t="s">
        <v>1276</v>
      </c>
      <c r="G7" s="11" t="s">
        <v>517</v>
      </c>
      <c r="H7" s="11" t="s">
        <v>235</v>
      </c>
      <c r="I7" s="11" t="s">
        <v>1277</v>
      </c>
      <c r="J7" s="11" t="s">
        <v>1038</v>
      </c>
      <c r="K7" s="11" t="s">
        <v>1278</v>
      </c>
      <c r="L7" s="11" t="s">
        <v>1279</v>
      </c>
      <c r="M7" s="11" t="s">
        <v>1280</v>
      </c>
      <c r="N7" s="11" t="s">
        <v>945</v>
      </c>
      <c r="O7" s="11" t="s">
        <v>946</v>
      </c>
      <c r="P7" s="11" t="s">
        <v>1281</v>
      </c>
      <c r="Q7" s="11" t="s">
        <v>1282</v>
      </c>
      <c r="R7" s="11" t="s">
        <v>1283</v>
      </c>
      <c r="S7" s="11" t="s">
        <v>1284</v>
      </c>
      <c r="T7" s="11" t="s">
        <v>1285</v>
      </c>
      <c r="U7" s="11" t="s">
        <v>1286</v>
      </c>
      <c r="V7" s="11" t="s">
        <v>951</v>
      </c>
      <c r="W7" s="11" t="s">
        <v>1287</v>
      </c>
      <c r="X7" s="11" t="s">
        <v>1288</v>
      </c>
      <c r="Y7" s="11" t="s">
        <v>973</v>
      </c>
      <c r="Z7" s="11" t="s">
        <v>229</v>
      </c>
      <c r="AA7" s="11" t="s">
        <v>10</v>
      </c>
      <c r="AB7" s="11" t="s">
        <v>1289</v>
      </c>
      <c r="AC7" s="11" t="s">
        <v>1290</v>
      </c>
      <c r="AD7" s="11" t="s">
        <v>1291</v>
      </c>
      <c r="AE7" s="11" t="s">
        <v>1292</v>
      </c>
      <c r="AF7" s="11" t="s">
        <v>1293</v>
      </c>
      <c r="AG7" s="11" t="s">
        <v>1294</v>
      </c>
      <c r="AH7" s="11" t="s">
        <v>1295</v>
      </c>
      <c r="AI7" s="11" t="s">
        <v>1047</v>
      </c>
      <c r="AJ7" s="11" t="s">
        <v>1296</v>
      </c>
      <c r="AK7" s="11" t="s">
        <v>1297</v>
      </c>
      <c r="AL7" s="11" t="s">
        <v>1298</v>
      </c>
      <c r="AM7" s="11" t="s">
        <v>1299</v>
      </c>
    </row>
    <row r="8" spans="1:39" ht="15" customHeight="1" x14ac:dyDescent="0.3">
      <c r="A8" s="48" t="s">
        <v>236</v>
      </c>
      <c r="B8" s="49" t="s">
        <v>1300</v>
      </c>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row>
    <row r="9" spans="1:39" ht="15" customHeight="1" x14ac:dyDescent="0.3">
      <c r="A9" s="6" t="s">
        <v>236</v>
      </c>
      <c r="B9" s="7" t="str">
        <f>Odds_Input!C8</f>
        <v>Atlanta Hawks</v>
      </c>
      <c r="C9" s="6" t="s">
        <v>197</v>
      </c>
      <c r="D9" s="7" t="str">
        <f>Odds_Input!D8</f>
        <v>YES</v>
      </c>
      <c r="E9" s="31" t="str">
        <f>Odds_Input!E8</f>
        <v>-</v>
      </c>
      <c r="F9" s="32">
        <f>Odds_Input!F8</f>
        <v>6200</v>
      </c>
      <c r="G9" s="36">
        <f>M_DeVig!H8</f>
        <v>63</v>
      </c>
      <c r="H9" s="7" t="str">
        <f>Odds_Input!G8</f>
        <v>-</v>
      </c>
      <c r="I9" s="42">
        <f>M_DeVig!Q8</f>
        <v>9.7295800994913507E-3</v>
      </c>
      <c r="J9" s="42">
        <f>INDEX(M_Sims!$I$15:$I$44,MATCH($C9,M_Sims!$A$15:$A$44,0))</f>
        <v>1.5689999999999999E-2</v>
      </c>
      <c r="K9" s="43">
        <f t="shared" ref="K9:K38" si="0">IF(J9&gt;=0.5,-100*J9/(1-J9),100*(1-J9)/J9)</f>
        <v>6273.4862970044614</v>
      </c>
      <c r="L9" s="34">
        <f t="shared" ref="L9:L38" si="1">J9*G9-1</f>
        <v>-1.153000000000004E-2</v>
      </c>
      <c r="M9" s="38">
        <f t="shared" ref="M9:M38" si="2">(J9-I9)*100</f>
        <v>0.59604199005086489</v>
      </c>
      <c r="N9" s="42">
        <f>M_Sims!B83</f>
        <v>-0.35571999999999998</v>
      </c>
      <c r="O9" s="42">
        <f>M_Sims!C83</f>
        <v>0.28435999999999989</v>
      </c>
      <c r="P9" s="42">
        <f>M_Sims!D83</f>
        <v>0.45</v>
      </c>
      <c r="Q9" s="34">
        <f t="shared" ref="Q9:Q38" si="3">(1-A_shrink)*J9+A_shrink*I9</f>
        <v>1.2709790049745675E-2</v>
      </c>
      <c r="R9" s="18" t="str">
        <f t="shared" ref="R9:R38" si="4">IF(A_tier2_on=1,MAX(0,(Q9*G9-1)/(G9-1))*A_kelly,"-")</f>
        <v>-</v>
      </c>
      <c r="S9" s="46" t="str">
        <f t="shared" ref="S9:S38" si="5">IF(OR(A_bankroll="",A_tier2_on&lt;&gt;1),"-",MIN(A_maxbet,MAX(0,(Q9*G9-1)/(G9-1))*A_kelly*A_bankroll))</f>
        <v>-</v>
      </c>
      <c r="T9" s="51" t="str">
        <f>IF(A_tier2_on=1,M_Sims!M83,"-")</f>
        <v>-</v>
      </c>
      <c r="U9" s="46" t="str">
        <f>IF(OR(A_bankroll="",A_tier2_on&lt;&gt;1),"-",MIN(A_maxbet,M_Sims!M83*A_bankroll))</f>
        <v>-</v>
      </c>
      <c r="V9" s="30">
        <f>M_Sims!H83</f>
        <v>1</v>
      </c>
      <c r="W9" s="6" t="b">
        <f>AND(H9&lt;&gt;"IMPUTED_20C_LADDER",L9&gt;=A_minev,N9&gt;0,V9=1,IF(A9="PLAYOFFS",A_poconf=1,TRUE),IF(AND(A9="WINS",A_zs_on=1),AND(AE9&gt;=A_minev,M_Sims!O83&gt;0),TRUE),AF9&gt;=A_minev,AG9&gt;0,IF(I9&lt;A_longthr,(1-A_shrink)*M_Sims!K83+A_shrink*(I9*G9-1)&gt;=A_minev,TRUE),IF(AND(OR(A9="WINS",A9="PLAYOFFS",LEFT(A9,4)="DIV_"),INDEX(Raw_Teams!$F$8:$F$37,MATCH($C9,Raw_Teams!$A$8:$A$37,0))&lt;A_contthr),AND(((1-A_contshrink)*J9+A_contshrink*I9)*G9-1&gt;=A_minev,(1-A_contshrink)*N9+A_contshrink*(I9*G9-1)&gt;0),TRUE),M_Sims!P83=0)</f>
        <v>0</v>
      </c>
      <c r="X9" s="6" t="s">
        <v>1301</v>
      </c>
      <c r="Y9" s="6" t="s">
        <v>1302</v>
      </c>
      <c r="Z9" s="6">
        <v>0</v>
      </c>
      <c r="AA9" s="7" t="str">
        <f t="shared" ref="AA9:AA38" si="6">Sim_Stale</f>
        <v>OK - sims match current assumptions</v>
      </c>
      <c r="AB9" s="13" t="s">
        <v>33</v>
      </c>
      <c r="AC9" s="13" t="s">
        <v>33</v>
      </c>
      <c r="AD9" s="13" t="s">
        <v>33</v>
      </c>
      <c r="AE9" s="13" t="s">
        <v>33</v>
      </c>
      <c r="AF9" s="34">
        <f t="shared" ref="AF9:AF38" si="7">Q9*G9-1</f>
        <v>-0.19928322686602251</v>
      </c>
      <c r="AG9" s="34">
        <f t="shared" ref="AG9:AG38" si="8">(1-A_shrink)*N9+A_shrink*(I9*G9-1)</f>
        <v>-0.3713782268660224</v>
      </c>
      <c r="AH9" s="6" t="b">
        <f>AND(W9,I9&gt;=A_t1_fair,((1-A_t1_shrink)*J9+A_t1_shrink*I9)*G9-1&gt;=A_minev,(1-A_t1_shrink)*N9+A_t1_shrink*(I9*G9-1)&gt;0,M_Sims!Q83=1)</f>
        <v>0</v>
      </c>
      <c r="AI9" s="18">
        <f>IF(AH9,M_Sims!R83*A_t1_cap/A_t1_engcap,0)</f>
        <v>0</v>
      </c>
      <c r="AJ9" s="46" t="str">
        <f t="shared" ref="AJ9:AJ38" si="9">IF(OR(A_bankroll="",NOT(AH9)),"-",MIN(A_maxbet,AI9*A_bankroll))</f>
        <v>-</v>
      </c>
      <c r="AK9" s="7" t="str">
        <f>IF(AH9,M_Sims!S83,"-")</f>
        <v>-</v>
      </c>
      <c r="AL9" s="51">
        <f>M_Sims!M83</f>
        <v>0</v>
      </c>
      <c r="AM9" s="6" t="str">
        <f t="shared" ref="AM9:AM38" si="10">IF(W9,IF(AH9,"Tier 1","Tier 2"),"-")</f>
        <v>-</v>
      </c>
    </row>
    <row r="10" spans="1:39" ht="15" customHeight="1" x14ac:dyDescent="0.3">
      <c r="A10" s="6" t="s">
        <v>236</v>
      </c>
      <c r="B10" s="7" t="str">
        <f>Odds_Input!C9</f>
        <v>Boston Celtics</v>
      </c>
      <c r="C10" s="6" t="s">
        <v>199</v>
      </c>
      <c r="D10" s="7" t="str">
        <f>Odds_Input!D9</f>
        <v>YES</v>
      </c>
      <c r="E10" s="31" t="str">
        <f>Odds_Input!E9</f>
        <v>-</v>
      </c>
      <c r="F10" s="32">
        <f>Odds_Input!F9</f>
        <v>1400</v>
      </c>
      <c r="G10" s="36">
        <f>M_DeVig!H9</f>
        <v>15</v>
      </c>
      <c r="H10" s="7" t="str">
        <f>Odds_Input!G9</f>
        <v>-</v>
      </c>
      <c r="I10" s="42">
        <f>M_DeVig!Q9</f>
        <v>5.4571644329192905E-2</v>
      </c>
      <c r="J10" s="42">
        <f>INDEX(M_Sims!$I$15:$I$44,MATCH($C10,M_Sims!$A$15:$A$44,0))</f>
        <v>8.5879999999999998E-2</v>
      </c>
      <c r="K10" s="43">
        <f t="shared" si="0"/>
        <v>1064.4154634373544</v>
      </c>
      <c r="L10" s="34">
        <f t="shared" si="1"/>
        <v>0.28820000000000001</v>
      </c>
      <c r="M10" s="38">
        <f t="shared" si="2"/>
        <v>3.1308355670807093</v>
      </c>
      <c r="N10" s="42">
        <f>M_Sims!B84</f>
        <v>0.20680000000000001</v>
      </c>
      <c r="O10" s="42">
        <f>M_Sims!C84</f>
        <v>0.3660000000000001</v>
      </c>
      <c r="P10" s="42">
        <f>M_Sims!D84</f>
        <v>1</v>
      </c>
      <c r="Q10" s="34">
        <f t="shared" si="3"/>
        <v>7.0225822164596455E-2</v>
      </c>
      <c r="R10" s="18" t="str">
        <f t="shared" si="4"/>
        <v>-</v>
      </c>
      <c r="S10" s="46" t="str">
        <f t="shared" si="5"/>
        <v>-</v>
      </c>
      <c r="T10" s="51" t="str">
        <f>IF(A_tier2_on=1,M_Sims!M84,"-")</f>
        <v>-</v>
      </c>
      <c r="U10" s="46" t="str">
        <f>IF(OR(A_bankroll="",A_tier2_on&lt;&gt;1),"-",MIN(A_maxbet,M_Sims!M84*A_bankroll))</f>
        <v>-</v>
      </c>
      <c r="V10" s="30">
        <f>M_Sims!H84</f>
        <v>1</v>
      </c>
      <c r="W10" s="6" t="b">
        <f>AND(H10&lt;&gt;"IMPUTED_20C_LADDER",L10&gt;=A_minev,N10&gt;0,V10=1,IF(A10="PLAYOFFS",A_poconf=1,TRUE),IF(AND(A10="WINS",A_zs_on=1),AND(AE10&gt;=A_minev,M_Sims!O84&gt;0),TRUE),AF10&gt;=A_minev,AG10&gt;0,IF(I10&lt;A_longthr,(1-A_shrink)*M_Sims!K84+A_shrink*(I10*G10-1)&gt;=A_minev,TRUE),IF(AND(OR(A10="WINS",A10="PLAYOFFS",LEFT(A10,4)="DIV_"),INDEX(Raw_Teams!$F$8:$F$37,MATCH($C10,Raw_Teams!$A$8:$A$37,0))&lt;A_contthr),AND(((1-A_contshrink)*J10+A_contshrink*I10)*G10-1&gt;=A_minev,(1-A_contshrink)*N10+A_contshrink*(I10*G10-1)&gt;0),TRUE),M_Sims!P84=0)</f>
        <v>1</v>
      </c>
      <c r="X10" s="6" t="s">
        <v>1301</v>
      </c>
      <c r="Y10" s="6" t="s">
        <v>1302</v>
      </c>
      <c r="Z10" s="6">
        <v>1</v>
      </c>
      <c r="AA10" s="7" t="str">
        <f t="shared" si="6"/>
        <v>OK - sims match current assumptions</v>
      </c>
      <c r="AB10" s="13" t="s">
        <v>33</v>
      </c>
      <c r="AC10" s="13" t="s">
        <v>33</v>
      </c>
      <c r="AD10" s="13" t="s">
        <v>33</v>
      </c>
      <c r="AE10" s="13" t="s">
        <v>33</v>
      </c>
      <c r="AF10" s="34">
        <f t="shared" si="7"/>
        <v>5.3387332468946891E-2</v>
      </c>
      <c r="AG10" s="34">
        <f t="shared" si="8"/>
        <v>1.268733246894678E-2</v>
      </c>
      <c r="AH10" s="6" t="b">
        <f>AND(W10,I10&gt;=A_t1_fair,((1-A_t1_shrink)*J10+A_t1_shrink*I10)*G10-1&gt;=A_minev,(1-A_t1_shrink)*N10+A_t1_shrink*(I10*G10-1)&gt;0,M_Sims!Q84=1)</f>
        <v>0</v>
      </c>
      <c r="AI10" s="18">
        <f>IF(AH10,M_Sims!R84*A_t1_cap/A_t1_engcap,0)</f>
        <v>0</v>
      </c>
      <c r="AJ10" s="46" t="str">
        <f t="shared" si="9"/>
        <v>-</v>
      </c>
      <c r="AK10" s="7" t="str">
        <f>IF(AH10,M_Sims!S84,"-")</f>
        <v>-</v>
      </c>
      <c r="AL10" s="51">
        <f>M_Sims!M84</f>
        <v>9.2843870954166486E-6</v>
      </c>
      <c r="AM10" s="6" t="str">
        <f t="shared" si="10"/>
        <v>Tier 2</v>
      </c>
    </row>
    <row r="11" spans="1:39" ht="15" customHeight="1" x14ac:dyDescent="0.3">
      <c r="A11" s="6" t="s">
        <v>236</v>
      </c>
      <c r="B11" s="7" t="str">
        <f>Odds_Input!C10</f>
        <v>Brooklyn Nets</v>
      </c>
      <c r="C11" s="6" t="s">
        <v>198</v>
      </c>
      <c r="D11" s="7" t="str">
        <f>Odds_Input!D10</f>
        <v>YES</v>
      </c>
      <c r="E11" s="31" t="str">
        <f>Odds_Input!E10</f>
        <v>-</v>
      </c>
      <c r="F11" s="32">
        <f>Odds_Input!F10</f>
        <v>25000</v>
      </c>
      <c r="G11" s="36">
        <f>M_DeVig!H10</f>
        <v>251</v>
      </c>
      <c r="H11" s="7" t="str">
        <f>Odds_Input!G10</f>
        <v>-</v>
      </c>
      <c r="I11" s="42">
        <f>M_DeVig!Q10</f>
        <v>1.0482741504970515E-3</v>
      </c>
      <c r="J11" s="42">
        <f>INDEX(M_Sims!$I$15:$I$44,MATCH($C11,M_Sims!$A$15:$A$44,0))</f>
        <v>1.6900000000000001E-3</v>
      </c>
      <c r="K11" s="43">
        <f t="shared" si="0"/>
        <v>59071.597633136094</v>
      </c>
      <c r="L11" s="34">
        <f t="shared" si="1"/>
        <v>-0.57580999999999993</v>
      </c>
      <c r="M11" s="38">
        <f t="shared" si="2"/>
        <v>6.4172584950294861E-2</v>
      </c>
      <c r="N11" s="42">
        <f>M_Sims!B85</f>
        <v>-0.79920000000000002</v>
      </c>
      <c r="O11" s="42">
        <f>M_Sims!C85</f>
        <v>-0.3289933333333333</v>
      </c>
      <c r="P11" s="42">
        <f>M_Sims!D85</f>
        <v>1.6666666666666601E-2</v>
      </c>
      <c r="Q11" s="34">
        <f t="shared" si="3"/>
        <v>1.3691370752485258E-3</v>
      </c>
      <c r="R11" s="18" t="str">
        <f t="shared" si="4"/>
        <v>-</v>
      </c>
      <c r="S11" s="46" t="str">
        <f t="shared" si="5"/>
        <v>-</v>
      </c>
      <c r="T11" s="51" t="str">
        <f>IF(A_tier2_on=1,M_Sims!M85,"-")</f>
        <v>-</v>
      </c>
      <c r="U11" s="46" t="str">
        <f>IF(OR(A_bankroll="",A_tier2_on&lt;&gt;1),"-",MIN(A_maxbet,M_Sims!M85*A_bankroll))</f>
        <v>-</v>
      </c>
      <c r="V11" s="30">
        <f>M_Sims!H85</f>
        <v>0</v>
      </c>
      <c r="W11" s="6" t="b">
        <f>AND(H11&lt;&gt;"IMPUTED_20C_LADDER",L11&gt;=A_minev,N11&gt;0,V11=1,IF(A11="PLAYOFFS",A_poconf=1,TRUE),IF(AND(A11="WINS",A_zs_on=1),AND(AE11&gt;=A_minev,M_Sims!O85&gt;0),TRUE),AF11&gt;=A_minev,AG11&gt;0,IF(I11&lt;A_longthr,(1-A_shrink)*M_Sims!K85+A_shrink*(I11*G11-1)&gt;=A_minev,TRUE),IF(AND(OR(A11="WINS",A11="PLAYOFFS",LEFT(A11,4)="DIV_"),INDEX(Raw_Teams!$F$8:$F$37,MATCH($C11,Raw_Teams!$A$8:$A$37,0))&lt;A_contthr),AND(((1-A_contshrink)*J11+A_contshrink*I11)*G11-1&gt;=A_minev,(1-A_contshrink)*N11+A_contshrink*(I11*G11-1)&gt;0),TRUE),M_Sims!P85=0)</f>
        <v>0</v>
      </c>
      <c r="X11" s="6" t="s">
        <v>1301</v>
      </c>
      <c r="Y11" s="6" t="s">
        <v>1302</v>
      </c>
      <c r="Z11" s="6">
        <v>2</v>
      </c>
      <c r="AA11" s="7" t="str">
        <f t="shared" si="6"/>
        <v>OK - sims match current assumptions</v>
      </c>
      <c r="AB11" s="13" t="s">
        <v>33</v>
      </c>
      <c r="AC11" s="13" t="s">
        <v>33</v>
      </c>
      <c r="AD11" s="13" t="s">
        <v>33</v>
      </c>
      <c r="AE11" s="13" t="s">
        <v>33</v>
      </c>
      <c r="AF11" s="34">
        <f t="shared" si="7"/>
        <v>-0.65634659411262009</v>
      </c>
      <c r="AG11" s="34">
        <f t="shared" si="8"/>
        <v>-0.76804159411261996</v>
      </c>
      <c r="AH11" s="6" t="b">
        <f>AND(W11,I11&gt;=A_t1_fair,((1-A_t1_shrink)*J11+A_t1_shrink*I11)*G11-1&gt;=A_minev,(1-A_t1_shrink)*N11+A_t1_shrink*(I11*G11-1)&gt;0,M_Sims!Q85=1)</f>
        <v>0</v>
      </c>
      <c r="AI11" s="18">
        <f>IF(AH11,M_Sims!R85*A_t1_cap/A_t1_engcap,0)</f>
        <v>0</v>
      </c>
      <c r="AJ11" s="46" t="str">
        <f t="shared" si="9"/>
        <v>-</v>
      </c>
      <c r="AK11" s="7" t="str">
        <f>IF(AH11,M_Sims!S85,"-")</f>
        <v>-</v>
      </c>
      <c r="AL11" s="51">
        <f>M_Sims!M85</f>
        <v>0</v>
      </c>
      <c r="AM11" s="6" t="str">
        <f t="shared" si="10"/>
        <v>-</v>
      </c>
    </row>
    <row r="12" spans="1:39" ht="15" customHeight="1" x14ac:dyDescent="0.3">
      <c r="A12" s="6" t="s">
        <v>236</v>
      </c>
      <c r="B12" s="7" t="str">
        <f>Odds_Input!C11</f>
        <v>Charlotte Hornets</v>
      </c>
      <c r="C12" s="6" t="s">
        <v>200</v>
      </c>
      <c r="D12" s="7" t="str">
        <f>Odds_Input!D11</f>
        <v>YES</v>
      </c>
      <c r="E12" s="31" t="str">
        <f>Odds_Input!E11</f>
        <v>-</v>
      </c>
      <c r="F12" s="32">
        <f>Odds_Input!F11</f>
        <v>8600</v>
      </c>
      <c r="G12" s="36">
        <f>M_DeVig!H11</f>
        <v>87</v>
      </c>
      <c r="H12" s="7" t="str">
        <f>Odds_Input!G11</f>
        <v>-</v>
      </c>
      <c r="I12" s="42">
        <f>M_DeVig!Q11</f>
        <v>6.1544724355321713E-3</v>
      </c>
      <c r="J12" s="42">
        <f>INDEX(M_Sims!$I$15:$I$44,MATCH($C12,M_Sims!$A$15:$A$44,0))</f>
        <v>8.5000000000000006E-3</v>
      </c>
      <c r="K12" s="43">
        <f t="shared" si="0"/>
        <v>11664.705882352941</v>
      </c>
      <c r="L12" s="34">
        <f t="shared" si="1"/>
        <v>-0.26049999999999995</v>
      </c>
      <c r="M12" s="38">
        <f t="shared" si="2"/>
        <v>0.23455275644678292</v>
      </c>
      <c r="N12" s="42">
        <f>M_Sims!B86</f>
        <v>-0.53078000000000003</v>
      </c>
      <c r="O12" s="42">
        <f>M_Sims!C86</f>
        <v>1.7320000000000099E-2</v>
      </c>
      <c r="P12" s="42">
        <f>M_Sims!D86</f>
        <v>0.1166666666666666</v>
      </c>
      <c r="Q12" s="34">
        <f t="shared" si="3"/>
        <v>7.3272362177660855E-3</v>
      </c>
      <c r="R12" s="18" t="str">
        <f t="shared" si="4"/>
        <v>-</v>
      </c>
      <c r="S12" s="46" t="str">
        <f t="shared" si="5"/>
        <v>-</v>
      </c>
      <c r="T12" s="51" t="str">
        <f>IF(A_tier2_on=1,M_Sims!M86,"-")</f>
        <v>-</v>
      </c>
      <c r="U12" s="46" t="str">
        <f>IF(OR(A_bankroll="",A_tier2_on&lt;&gt;1),"-",MIN(A_maxbet,M_Sims!M86*A_bankroll))</f>
        <v>-</v>
      </c>
      <c r="V12" s="30">
        <f>M_Sims!H86</f>
        <v>1</v>
      </c>
      <c r="W12" s="6" t="b">
        <f>AND(H12&lt;&gt;"IMPUTED_20C_LADDER",L12&gt;=A_minev,N12&gt;0,V12=1,IF(A12="PLAYOFFS",A_poconf=1,TRUE),IF(AND(A12="WINS",A_zs_on=1),AND(AE12&gt;=A_minev,M_Sims!O86&gt;0),TRUE),AF12&gt;=A_minev,AG12&gt;0,IF(I12&lt;A_longthr,(1-A_shrink)*M_Sims!K86+A_shrink*(I12*G12-1)&gt;=A_minev,TRUE),IF(AND(OR(A12="WINS",A12="PLAYOFFS",LEFT(A12,4)="DIV_"),INDEX(Raw_Teams!$F$8:$F$37,MATCH($C12,Raw_Teams!$A$8:$A$37,0))&lt;A_contthr),AND(((1-A_contshrink)*J12+A_contshrink*I12)*G12-1&gt;=A_minev,(1-A_contshrink)*N12+A_contshrink*(I12*G12-1)&gt;0),TRUE),M_Sims!P86=0)</f>
        <v>0</v>
      </c>
      <c r="X12" s="6" t="s">
        <v>1301</v>
      </c>
      <c r="Y12" s="6" t="s">
        <v>1302</v>
      </c>
      <c r="Z12" s="6">
        <v>3</v>
      </c>
      <c r="AA12" s="7" t="str">
        <f t="shared" si="6"/>
        <v>OK - sims match current assumptions</v>
      </c>
      <c r="AB12" s="13" t="s">
        <v>33</v>
      </c>
      <c r="AC12" s="13" t="s">
        <v>33</v>
      </c>
      <c r="AD12" s="13" t="s">
        <v>33</v>
      </c>
      <c r="AE12" s="13" t="s">
        <v>33</v>
      </c>
      <c r="AF12" s="34">
        <f t="shared" si="7"/>
        <v>-0.36253044905435061</v>
      </c>
      <c r="AG12" s="34">
        <f t="shared" si="8"/>
        <v>-0.49767044905435054</v>
      </c>
      <c r="AH12" s="6" t="b">
        <f>AND(W12,I12&gt;=A_t1_fair,((1-A_t1_shrink)*J12+A_t1_shrink*I12)*G12-1&gt;=A_minev,(1-A_t1_shrink)*N12+A_t1_shrink*(I12*G12-1)&gt;0,M_Sims!Q86=1)</f>
        <v>0</v>
      </c>
      <c r="AI12" s="18">
        <f>IF(AH12,M_Sims!R86*A_t1_cap/A_t1_engcap,0)</f>
        <v>0</v>
      </c>
      <c r="AJ12" s="46" t="str">
        <f t="shared" si="9"/>
        <v>-</v>
      </c>
      <c r="AK12" s="7" t="str">
        <f>IF(AH12,M_Sims!S86,"-")</f>
        <v>-</v>
      </c>
      <c r="AL12" s="51">
        <f>M_Sims!M86</f>
        <v>0</v>
      </c>
      <c r="AM12" s="6" t="str">
        <f t="shared" si="10"/>
        <v>-</v>
      </c>
    </row>
    <row r="13" spans="1:39" ht="15" customHeight="1" x14ac:dyDescent="0.3">
      <c r="A13" s="6" t="s">
        <v>236</v>
      </c>
      <c r="B13" s="7" t="str">
        <f>Odds_Input!C12</f>
        <v>Chicago Bulls</v>
      </c>
      <c r="C13" s="6" t="s">
        <v>201</v>
      </c>
      <c r="D13" s="7" t="str">
        <f>Odds_Input!D12</f>
        <v>YES</v>
      </c>
      <c r="E13" s="31" t="str">
        <f>Odds_Input!E12</f>
        <v>-</v>
      </c>
      <c r="F13" s="32">
        <f>Odds_Input!F12</f>
        <v>25000</v>
      </c>
      <c r="G13" s="36">
        <f>M_DeVig!H12</f>
        <v>251</v>
      </c>
      <c r="H13" s="7" t="str">
        <f>Odds_Input!G12</f>
        <v>-</v>
      </c>
      <c r="I13" s="42">
        <f>M_DeVig!Q12</f>
        <v>1.0482741504970515E-3</v>
      </c>
      <c r="J13" s="42">
        <f>INDEX(M_Sims!$I$15:$I$44,MATCH($C13,M_Sims!$A$15:$A$44,0))</f>
        <v>2.2899999999999999E-3</v>
      </c>
      <c r="K13" s="43">
        <f t="shared" si="0"/>
        <v>43568.122270742359</v>
      </c>
      <c r="L13" s="34">
        <f t="shared" si="1"/>
        <v>-0.42520999999999998</v>
      </c>
      <c r="M13" s="38">
        <f t="shared" si="2"/>
        <v>0.12417258495029485</v>
      </c>
      <c r="N13" s="42">
        <f>M_Sims!B87</f>
        <v>-0.7239000000000001</v>
      </c>
      <c r="O13" s="42">
        <f>M_Sims!C87</f>
        <v>7.0933333333333196E-2</v>
      </c>
      <c r="P13" s="42">
        <f>M_Sims!D87</f>
        <v>0.1333333333333333</v>
      </c>
      <c r="Q13" s="34">
        <f t="shared" si="3"/>
        <v>1.6691370752485257E-3</v>
      </c>
      <c r="R13" s="18" t="str">
        <f t="shared" si="4"/>
        <v>-</v>
      </c>
      <c r="S13" s="46" t="str">
        <f t="shared" si="5"/>
        <v>-</v>
      </c>
      <c r="T13" s="51" t="str">
        <f>IF(A_tier2_on=1,M_Sims!M87,"-")</f>
        <v>-</v>
      </c>
      <c r="U13" s="46" t="str">
        <f>IF(OR(A_bankroll="",A_tier2_on&lt;&gt;1),"-",MIN(A_maxbet,M_Sims!M87*A_bankroll))</f>
        <v>-</v>
      </c>
      <c r="V13" s="30">
        <f>M_Sims!H87</f>
        <v>0</v>
      </c>
      <c r="W13" s="6" t="b">
        <f>AND(H13&lt;&gt;"IMPUTED_20C_LADDER",L13&gt;=A_minev,N13&gt;0,V13=1,IF(A13="PLAYOFFS",A_poconf=1,TRUE),IF(AND(A13="WINS",A_zs_on=1),AND(AE13&gt;=A_minev,M_Sims!O87&gt;0),TRUE),AF13&gt;=A_minev,AG13&gt;0,IF(I13&lt;A_longthr,(1-A_shrink)*M_Sims!K87+A_shrink*(I13*G13-1)&gt;=A_minev,TRUE),IF(AND(OR(A13="WINS",A13="PLAYOFFS",LEFT(A13,4)="DIV_"),INDEX(Raw_Teams!$F$8:$F$37,MATCH($C13,Raw_Teams!$A$8:$A$37,0))&lt;A_contthr),AND(((1-A_contshrink)*J13+A_contshrink*I13)*G13-1&gt;=A_minev,(1-A_contshrink)*N13+A_contshrink*(I13*G13-1)&gt;0),TRUE),M_Sims!P87=0)</f>
        <v>0</v>
      </c>
      <c r="X13" s="6" t="s">
        <v>1301</v>
      </c>
      <c r="Y13" s="6" t="s">
        <v>1302</v>
      </c>
      <c r="Z13" s="6">
        <v>4</v>
      </c>
      <c r="AA13" s="7" t="str">
        <f t="shared" si="6"/>
        <v>OK - sims match current assumptions</v>
      </c>
      <c r="AB13" s="13" t="s">
        <v>33</v>
      </c>
      <c r="AC13" s="13" t="s">
        <v>33</v>
      </c>
      <c r="AD13" s="13" t="s">
        <v>33</v>
      </c>
      <c r="AE13" s="13" t="s">
        <v>33</v>
      </c>
      <c r="AF13" s="34">
        <f t="shared" si="7"/>
        <v>-0.58104659411262005</v>
      </c>
      <c r="AG13" s="34">
        <f t="shared" si="8"/>
        <v>-0.73039159411262</v>
      </c>
      <c r="AH13" s="6" t="b">
        <f>AND(W13,I13&gt;=A_t1_fair,((1-A_t1_shrink)*J13+A_t1_shrink*I13)*G13-1&gt;=A_minev,(1-A_t1_shrink)*N13+A_t1_shrink*(I13*G13-1)&gt;0,M_Sims!Q87=1)</f>
        <v>0</v>
      </c>
      <c r="AI13" s="18">
        <f>IF(AH13,M_Sims!R87*A_t1_cap/A_t1_engcap,0)</f>
        <v>0</v>
      </c>
      <c r="AJ13" s="46" t="str">
        <f t="shared" si="9"/>
        <v>-</v>
      </c>
      <c r="AK13" s="7" t="str">
        <f>IF(AH13,M_Sims!S87,"-")</f>
        <v>-</v>
      </c>
      <c r="AL13" s="51">
        <f>M_Sims!M87</f>
        <v>0</v>
      </c>
      <c r="AM13" s="6" t="str">
        <f t="shared" si="10"/>
        <v>-</v>
      </c>
    </row>
    <row r="14" spans="1:39" ht="15" customHeight="1" x14ac:dyDescent="0.3">
      <c r="A14" s="6" t="s">
        <v>236</v>
      </c>
      <c r="B14" s="7" t="str">
        <f>Odds_Input!C13</f>
        <v>Cleveland Cavaliers</v>
      </c>
      <c r="C14" s="6" t="s">
        <v>202</v>
      </c>
      <c r="D14" s="7" t="str">
        <f>Odds_Input!D13</f>
        <v>YES</v>
      </c>
      <c r="E14" s="31" t="str">
        <f>Odds_Input!E13</f>
        <v>-</v>
      </c>
      <c r="F14" s="32">
        <f>Odds_Input!F13</f>
        <v>2400</v>
      </c>
      <c r="G14" s="36">
        <f>M_DeVig!H13</f>
        <v>25</v>
      </c>
      <c r="H14" s="7" t="str">
        <f>Odds_Input!G13</f>
        <v>-</v>
      </c>
      <c r="I14" s="42">
        <f>M_DeVig!Q13</f>
        <v>3.0783641580231089E-2</v>
      </c>
      <c r="J14" s="42">
        <f>INDEX(M_Sims!$I$15:$I$44,MATCH($C14,M_Sims!$A$15:$A$44,0))</f>
        <v>4.6609999999999999E-2</v>
      </c>
      <c r="K14" s="43">
        <f t="shared" si="0"/>
        <v>2045.4623471358077</v>
      </c>
      <c r="L14" s="34">
        <f t="shared" si="1"/>
        <v>0.1652499999999999</v>
      </c>
      <c r="M14" s="38">
        <f t="shared" si="2"/>
        <v>1.5826358419768909</v>
      </c>
      <c r="N14" s="42">
        <f>M_Sims!B88</f>
        <v>-1.91666666666667E-2</v>
      </c>
      <c r="O14" s="42">
        <f>M_Sims!C88</f>
        <v>0.28083333333333338</v>
      </c>
      <c r="P14" s="42">
        <f>M_Sims!D88</f>
        <v>0.81666666666666665</v>
      </c>
      <c r="Q14" s="34">
        <f t="shared" si="3"/>
        <v>3.8696820790115542E-2</v>
      </c>
      <c r="R14" s="18" t="str">
        <f t="shared" si="4"/>
        <v>-</v>
      </c>
      <c r="S14" s="46" t="str">
        <f t="shared" si="5"/>
        <v>-</v>
      </c>
      <c r="T14" s="51" t="str">
        <f>IF(A_tier2_on=1,M_Sims!M88,"-")</f>
        <v>-</v>
      </c>
      <c r="U14" s="46" t="str">
        <f>IF(OR(A_bankroll="",A_tier2_on&lt;&gt;1),"-",MIN(A_maxbet,M_Sims!M88*A_bankroll))</f>
        <v>-</v>
      </c>
      <c r="V14" s="30">
        <f>M_Sims!H88</f>
        <v>1</v>
      </c>
      <c r="W14" s="6" t="b">
        <f>AND(H14&lt;&gt;"IMPUTED_20C_LADDER",L14&gt;=A_minev,N14&gt;0,V14=1,IF(A14="PLAYOFFS",A_poconf=1,TRUE),IF(AND(A14="WINS",A_zs_on=1),AND(AE14&gt;=A_minev,M_Sims!O88&gt;0),TRUE),AF14&gt;=A_minev,AG14&gt;0,IF(I14&lt;A_longthr,(1-A_shrink)*M_Sims!K88+A_shrink*(I14*G14-1)&gt;=A_minev,TRUE),IF(AND(OR(A14="WINS",A14="PLAYOFFS",LEFT(A14,4)="DIV_"),INDEX(Raw_Teams!$F$8:$F$37,MATCH($C14,Raw_Teams!$A$8:$A$37,0))&lt;A_contthr),AND(((1-A_contshrink)*J14+A_contshrink*I14)*G14-1&gt;=A_minev,(1-A_contshrink)*N14+A_contshrink*(I14*G14-1)&gt;0),TRUE),M_Sims!P88=0)</f>
        <v>0</v>
      </c>
      <c r="X14" s="6" t="s">
        <v>1301</v>
      </c>
      <c r="Y14" s="6" t="s">
        <v>1302</v>
      </c>
      <c r="Z14" s="6">
        <v>5</v>
      </c>
      <c r="AA14" s="7" t="str">
        <f t="shared" si="6"/>
        <v>OK - sims match current assumptions</v>
      </c>
      <c r="AB14" s="13" t="s">
        <v>33</v>
      </c>
      <c r="AC14" s="13" t="s">
        <v>33</v>
      </c>
      <c r="AD14" s="13" t="s">
        <v>33</v>
      </c>
      <c r="AE14" s="13" t="s">
        <v>33</v>
      </c>
      <c r="AF14" s="34">
        <f t="shared" si="7"/>
        <v>-3.2579480247111436E-2</v>
      </c>
      <c r="AG14" s="34">
        <f t="shared" si="8"/>
        <v>-0.12478781358044473</v>
      </c>
      <c r="AH14" s="6" t="b">
        <f>AND(W14,I14&gt;=A_t1_fair,((1-A_t1_shrink)*J14+A_t1_shrink*I14)*G14-1&gt;=A_minev,(1-A_t1_shrink)*N14+A_t1_shrink*(I14*G14-1)&gt;0,M_Sims!Q88=1)</f>
        <v>0</v>
      </c>
      <c r="AI14" s="18">
        <f>IF(AH14,M_Sims!R88*A_t1_cap/A_t1_engcap,0)</f>
        <v>0</v>
      </c>
      <c r="AJ14" s="46" t="str">
        <f t="shared" si="9"/>
        <v>-</v>
      </c>
      <c r="AK14" s="7" t="str">
        <f>IF(AH14,M_Sims!S88,"-")</f>
        <v>-</v>
      </c>
      <c r="AL14" s="51">
        <f>M_Sims!M88</f>
        <v>0</v>
      </c>
      <c r="AM14" s="6" t="str">
        <f t="shared" si="10"/>
        <v>-</v>
      </c>
    </row>
    <row r="15" spans="1:39" ht="15" customHeight="1" x14ac:dyDescent="0.3">
      <c r="A15" s="6" t="s">
        <v>236</v>
      </c>
      <c r="B15" s="7" t="str">
        <f>Odds_Input!C14</f>
        <v>Dallas Mavericks</v>
      </c>
      <c r="C15" s="6" t="s">
        <v>203</v>
      </c>
      <c r="D15" s="7" t="str">
        <f>Odds_Input!D14</f>
        <v>YES</v>
      </c>
      <c r="E15" s="31" t="str">
        <f>Odds_Input!E14</f>
        <v>-</v>
      </c>
      <c r="F15" s="32">
        <f>Odds_Input!F14</f>
        <v>16000</v>
      </c>
      <c r="G15" s="36">
        <f>M_DeVig!H14</f>
        <v>161</v>
      </c>
      <c r="H15" s="7" t="str">
        <f>Odds_Input!G14</f>
        <v>-</v>
      </c>
      <c r="I15" s="42">
        <f>M_DeVig!Q14</f>
        <v>2.3095310156766853E-3</v>
      </c>
      <c r="J15" s="42">
        <f>INDEX(M_Sims!$I$15:$I$44,MATCH($C15,M_Sims!$A$15:$A$44,0))</f>
        <v>2.5200000000000001E-3</v>
      </c>
      <c r="K15" s="43">
        <f t="shared" si="0"/>
        <v>39582.539682539682</v>
      </c>
      <c r="L15" s="34">
        <f t="shared" si="1"/>
        <v>-0.59427999999999992</v>
      </c>
      <c r="M15" s="38">
        <f t="shared" si="2"/>
        <v>2.1046898432331481E-2</v>
      </c>
      <c r="N15" s="42">
        <f>M_Sims!B89</f>
        <v>-0.80787333333333333</v>
      </c>
      <c r="O15" s="42">
        <f>M_Sims!C89</f>
        <v>-0.25939999999999991</v>
      </c>
      <c r="P15" s="42">
        <f>M_Sims!D89</f>
        <v>3.3333333333333298E-2</v>
      </c>
      <c r="Q15" s="34">
        <f t="shared" si="3"/>
        <v>2.4147655078383427E-3</v>
      </c>
      <c r="R15" s="18" t="str">
        <f t="shared" si="4"/>
        <v>-</v>
      </c>
      <c r="S15" s="46" t="str">
        <f t="shared" si="5"/>
        <v>-</v>
      </c>
      <c r="T15" s="51" t="str">
        <f>IF(A_tier2_on=1,M_Sims!M89,"-")</f>
        <v>-</v>
      </c>
      <c r="U15" s="46" t="str">
        <f>IF(OR(A_bankroll="",A_tier2_on&lt;&gt;1),"-",MIN(A_maxbet,M_Sims!M89*A_bankroll))</f>
        <v>-</v>
      </c>
      <c r="V15" s="30">
        <f>M_Sims!H89</f>
        <v>0</v>
      </c>
      <c r="W15" s="6" t="b">
        <f>AND(H15&lt;&gt;"IMPUTED_20C_LADDER",L15&gt;=A_minev,N15&gt;0,V15=1,IF(A15="PLAYOFFS",A_poconf=1,TRUE),IF(AND(A15="WINS",A_zs_on=1),AND(AE15&gt;=A_minev,M_Sims!O89&gt;0),TRUE),AF15&gt;=A_minev,AG15&gt;0,IF(I15&lt;A_longthr,(1-A_shrink)*M_Sims!K89+A_shrink*(I15*G15-1)&gt;=A_minev,TRUE),IF(AND(OR(A15="WINS",A15="PLAYOFFS",LEFT(A15,4)="DIV_"),INDEX(Raw_Teams!$F$8:$F$37,MATCH($C15,Raw_Teams!$A$8:$A$37,0))&lt;A_contthr),AND(((1-A_contshrink)*J15+A_contshrink*I15)*G15-1&gt;=A_minev,(1-A_contshrink)*N15+A_contshrink*(I15*G15-1)&gt;0),TRUE),M_Sims!P89=0)</f>
        <v>0</v>
      </c>
      <c r="X15" s="6" t="s">
        <v>1301</v>
      </c>
      <c r="Y15" s="6" t="s">
        <v>1302</v>
      </c>
      <c r="Z15" s="6">
        <v>6</v>
      </c>
      <c r="AA15" s="7" t="str">
        <f t="shared" si="6"/>
        <v>OK - sims match current assumptions</v>
      </c>
      <c r="AB15" s="13" t="s">
        <v>33</v>
      </c>
      <c r="AC15" s="13" t="s">
        <v>33</v>
      </c>
      <c r="AD15" s="13" t="s">
        <v>33</v>
      </c>
      <c r="AE15" s="13" t="s">
        <v>33</v>
      </c>
      <c r="AF15" s="34">
        <f t="shared" si="7"/>
        <v>-0.61122275323802677</v>
      </c>
      <c r="AG15" s="34">
        <f t="shared" si="8"/>
        <v>-0.71801941990469342</v>
      </c>
      <c r="AH15" s="6" t="b">
        <f>AND(W15,I15&gt;=A_t1_fair,((1-A_t1_shrink)*J15+A_t1_shrink*I15)*G15-1&gt;=A_minev,(1-A_t1_shrink)*N15+A_t1_shrink*(I15*G15-1)&gt;0,M_Sims!Q89=1)</f>
        <v>0</v>
      </c>
      <c r="AI15" s="18">
        <f>IF(AH15,M_Sims!R89*A_t1_cap/A_t1_engcap,0)</f>
        <v>0</v>
      </c>
      <c r="AJ15" s="46" t="str">
        <f t="shared" si="9"/>
        <v>-</v>
      </c>
      <c r="AK15" s="7" t="str">
        <f>IF(AH15,M_Sims!S89,"-")</f>
        <v>-</v>
      </c>
      <c r="AL15" s="51">
        <f>M_Sims!M89</f>
        <v>0</v>
      </c>
      <c r="AM15" s="6" t="str">
        <f t="shared" si="10"/>
        <v>-</v>
      </c>
    </row>
    <row r="16" spans="1:39" ht="15" customHeight="1" x14ac:dyDescent="0.3">
      <c r="A16" s="6" t="s">
        <v>236</v>
      </c>
      <c r="B16" s="7" t="str">
        <f>Odds_Input!C15</f>
        <v>Denver Nuggets</v>
      </c>
      <c r="C16" s="6" t="s">
        <v>204</v>
      </c>
      <c r="D16" s="7" t="str">
        <f>Odds_Input!D15</f>
        <v>YES</v>
      </c>
      <c r="E16" s="31" t="str">
        <f>Odds_Input!E15</f>
        <v>-</v>
      </c>
      <c r="F16" s="32">
        <f>Odds_Input!F15</f>
        <v>2700</v>
      </c>
      <c r="G16" s="36">
        <f>M_DeVig!H15</f>
        <v>28</v>
      </c>
      <c r="H16" s="7" t="str">
        <f>Odds_Input!G15</f>
        <v>-</v>
      </c>
      <c r="I16" s="42">
        <f>M_DeVig!Q15</f>
        <v>2.6984057562211648E-2</v>
      </c>
      <c r="J16" s="42">
        <f>INDEX(M_Sims!$I$15:$I$44,MATCH($C16,M_Sims!$A$15:$A$44,0))</f>
        <v>4.6010000000000002E-2</v>
      </c>
      <c r="K16" s="43">
        <f t="shared" si="0"/>
        <v>2073.4405564007825</v>
      </c>
      <c r="L16" s="34">
        <f t="shared" si="1"/>
        <v>0.28828000000000009</v>
      </c>
      <c r="M16" s="38">
        <f t="shared" si="2"/>
        <v>1.9025942437788355</v>
      </c>
      <c r="N16" s="42">
        <f>M_Sims!B90</f>
        <v>1.6959999999999999E-2</v>
      </c>
      <c r="O16" s="42">
        <f>M_Sims!C90</f>
        <v>0.5571733333333333</v>
      </c>
      <c r="P16" s="42">
        <f>M_Sims!D90</f>
        <v>0.95</v>
      </c>
      <c r="Q16" s="34">
        <f t="shared" si="3"/>
        <v>3.6497028781105827E-2</v>
      </c>
      <c r="R16" s="18" t="str">
        <f t="shared" si="4"/>
        <v>-</v>
      </c>
      <c r="S16" s="46" t="str">
        <f t="shared" si="5"/>
        <v>-</v>
      </c>
      <c r="T16" s="51" t="str">
        <f>IF(A_tier2_on=1,M_Sims!M90,"-")</f>
        <v>-</v>
      </c>
      <c r="U16" s="46" t="str">
        <f>IF(OR(A_bankroll="",A_tier2_on&lt;&gt;1),"-",MIN(A_maxbet,M_Sims!M90*A_bankroll))</f>
        <v>-</v>
      </c>
      <c r="V16" s="30">
        <f>M_Sims!H90</f>
        <v>1</v>
      </c>
      <c r="W16" s="6" t="b">
        <f>AND(H16&lt;&gt;"IMPUTED_20C_LADDER",L16&gt;=A_minev,N16&gt;0,V16=1,IF(A16="PLAYOFFS",A_poconf=1,TRUE),IF(AND(A16="WINS",A_zs_on=1),AND(AE16&gt;=A_minev,M_Sims!O90&gt;0),TRUE),AF16&gt;=A_minev,AG16&gt;0,IF(I16&lt;A_longthr,(1-A_shrink)*M_Sims!K90+A_shrink*(I16*G16-1)&gt;=A_minev,TRUE),IF(AND(OR(A16="WINS",A16="PLAYOFFS",LEFT(A16,4)="DIV_"),INDEX(Raw_Teams!$F$8:$F$37,MATCH($C16,Raw_Teams!$A$8:$A$37,0))&lt;A_contthr),AND(((1-A_contshrink)*J16+A_contshrink*I16)*G16-1&gt;=A_minev,(1-A_contshrink)*N16+A_contshrink*(I16*G16-1)&gt;0),TRUE),M_Sims!P90=0)</f>
        <v>0</v>
      </c>
      <c r="X16" s="6" t="s">
        <v>1301</v>
      </c>
      <c r="Y16" s="6" t="s">
        <v>1302</v>
      </c>
      <c r="Z16" s="6">
        <v>7</v>
      </c>
      <c r="AA16" s="7" t="str">
        <f t="shared" si="6"/>
        <v>OK - sims match current assumptions</v>
      </c>
      <c r="AB16" s="13" t="s">
        <v>33</v>
      </c>
      <c r="AC16" s="13" t="s">
        <v>33</v>
      </c>
      <c r="AD16" s="13" t="s">
        <v>33</v>
      </c>
      <c r="AE16" s="13" t="s">
        <v>33</v>
      </c>
      <c r="AF16" s="34">
        <f t="shared" si="7"/>
        <v>2.1916805870963119E-2</v>
      </c>
      <c r="AG16" s="34">
        <f t="shared" si="8"/>
        <v>-0.11374319412903693</v>
      </c>
      <c r="AH16" s="6" t="b">
        <f>AND(W16,I16&gt;=A_t1_fair,((1-A_t1_shrink)*J16+A_t1_shrink*I16)*G16-1&gt;=A_minev,(1-A_t1_shrink)*N16+A_t1_shrink*(I16*G16-1)&gt;0,M_Sims!Q90=1)</f>
        <v>0</v>
      </c>
      <c r="AI16" s="18">
        <f>IF(AH16,M_Sims!R90*A_t1_cap/A_t1_engcap,0)</f>
        <v>0</v>
      </c>
      <c r="AJ16" s="46" t="str">
        <f t="shared" si="9"/>
        <v>-</v>
      </c>
      <c r="AK16" s="7" t="str">
        <f>IF(AH16,M_Sims!S90,"-")</f>
        <v>-</v>
      </c>
      <c r="AL16" s="51">
        <f>M_Sims!M90</f>
        <v>0</v>
      </c>
      <c r="AM16" s="6" t="str">
        <f t="shared" si="10"/>
        <v>-</v>
      </c>
    </row>
    <row r="17" spans="1:39" ht="15" customHeight="1" x14ac:dyDescent="0.3">
      <c r="A17" s="6" t="s">
        <v>236</v>
      </c>
      <c r="B17" s="7" t="str">
        <f>Odds_Input!C16</f>
        <v>Detroit Pistons</v>
      </c>
      <c r="C17" s="6" t="s">
        <v>205</v>
      </c>
      <c r="D17" s="7" t="str">
        <f>Odds_Input!D16</f>
        <v>YES</v>
      </c>
      <c r="E17" s="31" t="str">
        <f>Odds_Input!E16</f>
        <v>-</v>
      </c>
      <c r="F17" s="32">
        <f>Odds_Input!F16</f>
        <v>3000</v>
      </c>
      <c r="G17" s="36">
        <f>M_DeVig!H16</f>
        <v>31</v>
      </c>
      <c r="H17" s="7" t="str">
        <f>Odds_Input!G16</f>
        <v>-</v>
      </c>
      <c r="I17" s="42">
        <f>M_DeVig!Q16</f>
        <v>2.3929522910412789E-2</v>
      </c>
      <c r="J17" s="42">
        <f>INDEX(M_Sims!$I$15:$I$44,MATCH($C17,M_Sims!$A$15:$A$44,0))</f>
        <v>4.6249999999999999E-2</v>
      </c>
      <c r="K17" s="43">
        <f t="shared" si="0"/>
        <v>2062.1621621621621</v>
      </c>
      <c r="L17" s="34">
        <f t="shared" si="1"/>
        <v>0.43375000000000008</v>
      </c>
      <c r="M17" s="38">
        <f t="shared" si="2"/>
        <v>2.2320477089587212</v>
      </c>
      <c r="N17" s="42">
        <f>M_Sims!B91</f>
        <v>0.31378</v>
      </c>
      <c r="O17" s="42">
        <f>M_Sims!C91</f>
        <v>0.5836866666666668</v>
      </c>
      <c r="P17" s="42">
        <f>M_Sims!D91</f>
        <v>1</v>
      </c>
      <c r="Q17" s="34">
        <f t="shared" si="3"/>
        <v>3.5089761455206397E-2</v>
      </c>
      <c r="R17" s="18" t="str">
        <f t="shared" si="4"/>
        <v>-</v>
      </c>
      <c r="S17" s="46" t="str">
        <f t="shared" si="5"/>
        <v>-</v>
      </c>
      <c r="T17" s="51" t="str">
        <f>IF(A_tier2_on=1,M_Sims!M91,"-")</f>
        <v>-</v>
      </c>
      <c r="U17" s="46" t="str">
        <f>IF(OR(A_bankroll="",A_tier2_on&lt;&gt;1),"-",MIN(A_maxbet,M_Sims!M91*A_bankroll))</f>
        <v>-</v>
      </c>
      <c r="V17" s="30">
        <f>M_Sims!H91</f>
        <v>1</v>
      </c>
      <c r="W17" s="6" t="b">
        <f>AND(H17&lt;&gt;"IMPUTED_20C_LADDER",L17&gt;=A_minev,N17&gt;0,V17=1,IF(A17="PLAYOFFS",A_poconf=1,TRUE),IF(AND(A17="WINS",A_zs_on=1),AND(AE17&gt;=A_minev,M_Sims!O91&gt;0),TRUE),AF17&gt;=A_minev,AG17&gt;0,IF(I17&lt;A_longthr,(1-A_shrink)*M_Sims!K91+A_shrink*(I17*G17-1)&gt;=A_minev,TRUE),IF(AND(OR(A17="WINS",A17="PLAYOFFS",LEFT(A17,4)="DIV_"),INDEX(Raw_Teams!$F$8:$F$37,MATCH($C17,Raw_Teams!$A$8:$A$37,0))&lt;A_contthr),AND(((1-A_contshrink)*J17+A_contshrink*I17)*G17-1&gt;=A_minev,(1-A_contshrink)*N17+A_contshrink*(I17*G17-1)&gt;0),TRUE),M_Sims!P91=0)</f>
        <v>1</v>
      </c>
      <c r="X17" s="6" t="s">
        <v>1301</v>
      </c>
      <c r="Y17" s="6" t="s">
        <v>1302</v>
      </c>
      <c r="Z17" s="6">
        <v>8</v>
      </c>
      <c r="AA17" s="7" t="str">
        <f t="shared" si="6"/>
        <v>OK - sims match current assumptions</v>
      </c>
      <c r="AB17" s="13" t="s">
        <v>33</v>
      </c>
      <c r="AC17" s="13" t="s">
        <v>33</v>
      </c>
      <c r="AD17" s="13" t="s">
        <v>33</v>
      </c>
      <c r="AE17" s="13" t="s">
        <v>33</v>
      </c>
      <c r="AF17" s="34">
        <f t="shared" si="7"/>
        <v>8.7782605111398349E-2</v>
      </c>
      <c r="AG17" s="34">
        <f t="shared" si="8"/>
        <v>2.7797605111398199E-2</v>
      </c>
      <c r="AH17" s="6" t="b">
        <f>AND(W17,I17&gt;=A_t1_fair,((1-A_t1_shrink)*J17+A_t1_shrink*I17)*G17-1&gt;=A_minev,(1-A_t1_shrink)*N17+A_t1_shrink*(I17*G17-1)&gt;0,M_Sims!Q91=1)</f>
        <v>0</v>
      </c>
      <c r="AI17" s="18">
        <f>IF(AH17,M_Sims!R91*A_t1_cap/A_t1_engcap,0)</f>
        <v>0</v>
      </c>
      <c r="AJ17" s="46" t="str">
        <f t="shared" si="9"/>
        <v>-</v>
      </c>
      <c r="AK17" s="7" t="str">
        <f>IF(AH17,M_Sims!S91,"-")</f>
        <v>-</v>
      </c>
      <c r="AL17" s="51">
        <f>M_Sims!M91</f>
        <v>0</v>
      </c>
      <c r="AM17" s="6" t="str">
        <f t="shared" si="10"/>
        <v>Tier 2</v>
      </c>
    </row>
    <row r="18" spans="1:39" ht="15" customHeight="1" x14ac:dyDescent="0.3">
      <c r="A18" s="6" t="s">
        <v>236</v>
      </c>
      <c r="B18" s="7" t="str">
        <f>Odds_Input!C17</f>
        <v>Golden State Warriors</v>
      </c>
      <c r="C18" s="6" t="s">
        <v>206</v>
      </c>
      <c r="D18" s="7" t="str">
        <f>Odds_Input!D17</f>
        <v>YES</v>
      </c>
      <c r="E18" s="31" t="str">
        <f>Odds_Input!E17</f>
        <v>-</v>
      </c>
      <c r="F18" s="32">
        <f>Odds_Input!F17</f>
        <v>5300</v>
      </c>
      <c r="G18" s="36">
        <f>M_DeVig!H17</f>
        <v>54</v>
      </c>
      <c r="H18" s="7" t="str">
        <f>Odds_Input!G17</f>
        <v>-</v>
      </c>
      <c r="I18" s="42">
        <f>M_DeVig!Q17</f>
        <v>1.1964164450396957E-2</v>
      </c>
      <c r="J18" s="42">
        <f>INDEX(M_Sims!$I$15:$I$44,MATCH($C18,M_Sims!$A$15:$A$44,0))</f>
        <v>2.2679999999999999E-2</v>
      </c>
      <c r="K18" s="43">
        <f t="shared" si="0"/>
        <v>4309.171075837743</v>
      </c>
      <c r="L18" s="34">
        <f t="shared" si="1"/>
        <v>0.22472000000000003</v>
      </c>
      <c r="M18" s="38">
        <f t="shared" si="2"/>
        <v>1.0715835549603041</v>
      </c>
      <c r="N18" s="42">
        <f>M_Sims!B92</f>
        <v>1.8439999999999901E-2</v>
      </c>
      <c r="O18" s="42">
        <f>M_Sims!C92</f>
        <v>0.41840000000000011</v>
      </c>
      <c r="P18" s="42">
        <f>M_Sims!D92</f>
        <v>0.95</v>
      </c>
      <c r="Q18" s="34">
        <f t="shared" si="3"/>
        <v>1.7322082225198477E-2</v>
      </c>
      <c r="R18" s="18" t="str">
        <f t="shared" si="4"/>
        <v>-</v>
      </c>
      <c r="S18" s="46" t="str">
        <f t="shared" si="5"/>
        <v>-</v>
      </c>
      <c r="T18" s="51" t="str">
        <f>IF(A_tier2_on=1,M_Sims!M92,"-")</f>
        <v>-</v>
      </c>
      <c r="U18" s="46" t="str">
        <f>IF(OR(A_bankroll="",A_tier2_on&lt;&gt;1),"-",MIN(A_maxbet,M_Sims!M92*A_bankroll))</f>
        <v>-</v>
      </c>
      <c r="V18" s="30">
        <f>M_Sims!H92</f>
        <v>1</v>
      </c>
      <c r="W18" s="6" t="b">
        <f>AND(H18&lt;&gt;"IMPUTED_20C_LADDER",L18&gt;=A_minev,N18&gt;0,V18=1,IF(A18="PLAYOFFS",A_poconf=1,TRUE),IF(AND(A18="WINS",A_zs_on=1),AND(AE18&gt;=A_minev,M_Sims!O92&gt;0),TRUE),AF18&gt;=A_minev,AG18&gt;0,IF(I18&lt;A_longthr,(1-A_shrink)*M_Sims!K92+A_shrink*(I18*G18-1)&gt;=A_minev,TRUE),IF(AND(OR(A18="WINS",A18="PLAYOFFS",LEFT(A18,4)="DIV_"),INDEX(Raw_Teams!$F$8:$F$37,MATCH($C18,Raw_Teams!$A$8:$A$37,0))&lt;A_contthr),AND(((1-A_contshrink)*J18+A_contshrink*I18)*G18-1&gt;=A_minev,(1-A_contshrink)*N18+A_contshrink*(I18*G18-1)&gt;0),TRUE),M_Sims!P92=0)</f>
        <v>0</v>
      </c>
      <c r="X18" s="6" t="s">
        <v>1301</v>
      </c>
      <c r="Y18" s="6" t="s">
        <v>1302</v>
      </c>
      <c r="Z18" s="6">
        <v>9</v>
      </c>
      <c r="AA18" s="7" t="str">
        <f t="shared" si="6"/>
        <v>OK - sims match current assumptions</v>
      </c>
      <c r="AB18" s="13" t="s">
        <v>33</v>
      </c>
      <c r="AC18" s="13" t="s">
        <v>33</v>
      </c>
      <c r="AD18" s="13" t="s">
        <v>33</v>
      </c>
      <c r="AE18" s="13" t="s">
        <v>33</v>
      </c>
      <c r="AF18" s="34">
        <f t="shared" si="7"/>
        <v>-6.4607559839282236E-2</v>
      </c>
      <c r="AG18" s="34">
        <f t="shared" si="8"/>
        <v>-0.16774755983928219</v>
      </c>
      <c r="AH18" s="6" t="b">
        <f>AND(W18,I18&gt;=A_t1_fair,((1-A_t1_shrink)*J18+A_t1_shrink*I18)*G18-1&gt;=A_minev,(1-A_t1_shrink)*N18+A_t1_shrink*(I18*G18-1)&gt;0,M_Sims!Q92=1)</f>
        <v>0</v>
      </c>
      <c r="AI18" s="18">
        <f>IF(AH18,M_Sims!R92*A_t1_cap/A_t1_engcap,0)</f>
        <v>0</v>
      </c>
      <c r="AJ18" s="46" t="str">
        <f t="shared" si="9"/>
        <v>-</v>
      </c>
      <c r="AK18" s="7" t="str">
        <f>IF(AH18,M_Sims!S92,"-")</f>
        <v>-</v>
      </c>
      <c r="AL18" s="51">
        <f>M_Sims!M92</f>
        <v>0</v>
      </c>
      <c r="AM18" s="6" t="str">
        <f t="shared" si="10"/>
        <v>-</v>
      </c>
    </row>
    <row r="19" spans="1:39" ht="15" customHeight="1" x14ac:dyDescent="0.3">
      <c r="A19" s="6" t="s">
        <v>236</v>
      </c>
      <c r="B19" s="7" t="str">
        <f>Odds_Input!C18</f>
        <v>Houston Rockets</v>
      </c>
      <c r="C19" s="6" t="s">
        <v>207</v>
      </c>
      <c r="D19" s="7" t="str">
        <f>Odds_Input!D18</f>
        <v>YES</v>
      </c>
      <c r="E19" s="31" t="str">
        <f>Odds_Input!E18</f>
        <v>-</v>
      </c>
      <c r="F19" s="32">
        <f>Odds_Input!F18</f>
        <v>4900</v>
      </c>
      <c r="G19" s="36">
        <f>M_DeVig!H18</f>
        <v>50</v>
      </c>
      <c r="H19" s="7" t="str">
        <f>Odds_Input!G18</f>
        <v>-</v>
      </c>
      <c r="I19" s="42">
        <f>M_DeVig!Q18</f>
        <v>1.3230777321611098E-2</v>
      </c>
      <c r="J19" s="42">
        <f>INDEX(M_Sims!$I$15:$I$44,MATCH($C19,M_Sims!$A$15:$A$44,0))</f>
        <v>9.1990000000000002E-2</v>
      </c>
      <c r="K19" s="43">
        <f t="shared" si="0"/>
        <v>987.07468203065548</v>
      </c>
      <c r="L19" s="34">
        <f t="shared" si="1"/>
        <v>3.5994999999999999</v>
      </c>
      <c r="M19" s="38">
        <f t="shared" si="2"/>
        <v>7.8759222678388907</v>
      </c>
      <c r="N19" s="42">
        <f>M_Sims!B93</f>
        <v>2.7453333333333338</v>
      </c>
      <c r="O19" s="42">
        <f>M_Sims!C93</f>
        <v>4.7133333333333338</v>
      </c>
      <c r="P19" s="42">
        <f>M_Sims!D93</f>
        <v>1</v>
      </c>
      <c r="Q19" s="34">
        <f t="shared" si="3"/>
        <v>5.261038866080555E-2</v>
      </c>
      <c r="R19" s="18" t="str">
        <f t="shared" si="4"/>
        <v>-</v>
      </c>
      <c r="S19" s="46" t="str">
        <f t="shared" si="5"/>
        <v>-</v>
      </c>
      <c r="T19" s="51" t="str">
        <f>IF(A_tier2_on=1,M_Sims!M93,"-")</f>
        <v>-</v>
      </c>
      <c r="U19" s="46" t="str">
        <f>IF(OR(A_bankroll="",A_tier2_on&lt;&gt;1),"-",MIN(A_maxbet,M_Sims!M93*A_bankroll))</f>
        <v>-</v>
      </c>
      <c r="V19" s="30">
        <f>M_Sims!H93</f>
        <v>1</v>
      </c>
      <c r="W19" s="6" t="b">
        <f>AND(H19&lt;&gt;"IMPUTED_20C_LADDER",L19&gt;=A_minev,N19&gt;0,V19=1,IF(A19="PLAYOFFS",A_poconf=1,TRUE),IF(AND(A19="WINS",A_zs_on=1),AND(AE19&gt;=A_minev,M_Sims!O93&gt;0),TRUE),AF19&gt;=A_minev,AG19&gt;0,IF(I19&lt;A_longthr,(1-A_shrink)*M_Sims!K93+A_shrink*(I19*G19-1)&gt;=A_minev,TRUE),IF(AND(OR(A19="WINS",A19="PLAYOFFS",LEFT(A19,4)="DIV_"),INDEX(Raw_Teams!$F$8:$F$37,MATCH($C19,Raw_Teams!$A$8:$A$37,0))&lt;A_contthr),AND(((1-A_contshrink)*J19+A_contshrink*I19)*G19-1&gt;=A_minev,(1-A_contshrink)*N19+A_contshrink*(I19*G19-1)&gt;0),TRUE),M_Sims!P93=0)</f>
        <v>1</v>
      </c>
      <c r="X19" s="6" t="s">
        <v>1301</v>
      </c>
      <c r="Y19" s="6" t="s">
        <v>1302</v>
      </c>
      <c r="Z19" s="6">
        <v>10</v>
      </c>
      <c r="AA19" s="7" t="str">
        <f t="shared" si="6"/>
        <v>OK - sims match current assumptions</v>
      </c>
      <c r="AB19" s="13" t="s">
        <v>33</v>
      </c>
      <c r="AC19" s="13" t="s">
        <v>33</v>
      </c>
      <c r="AD19" s="13" t="s">
        <v>33</v>
      </c>
      <c r="AE19" s="13" t="s">
        <v>33</v>
      </c>
      <c r="AF19" s="34">
        <f t="shared" si="7"/>
        <v>1.6305194330402775</v>
      </c>
      <c r="AG19" s="34">
        <f t="shared" si="8"/>
        <v>1.2034360997069444</v>
      </c>
      <c r="AH19" s="6" t="b">
        <f>AND(W19,I19&gt;=A_t1_fair,((1-A_t1_shrink)*J19+A_t1_shrink*I19)*G19-1&gt;=A_minev,(1-A_t1_shrink)*N19+A_t1_shrink*(I19*G19-1)&gt;0,M_Sims!Q93=1)</f>
        <v>0</v>
      </c>
      <c r="AI19" s="18">
        <f>IF(AH19,M_Sims!R93*A_t1_cap/A_t1_engcap,0)</f>
        <v>0</v>
      </c>
      <c r="AJ19" s="46" t="str">
        <f t="shared" si="9"/>
        <v>-</v>
      </c>
      <c r="AK19" s="7" t="str">
        <f>IF(AH19,M_Sims!S93,"-")</f>
        <v>-</v>
      </c>
      <c r="AL19" s="51">
        <f>M_Sims!M93</f>
        <v>2.8331647524742001E-3</v>
      </c>
      <c r="AM19" s="6" t="str">
        <f t="shared" si="10"/>
        <v>Tier 2</v>
      </c>
    </row>
    <row r="20" spans="1:39" ht="15" customHeight="1" x14ac:dyDescent="0.3">
      <c r="A20" s="6" t="s">
        <v>236</v>
      </c>
      <c r="B20" s="7" t="str">
        <f>Odds_Input!C19</f>
        <v>Indiana Pacers</v>
      </c>
      <c r="C20" s="6" t="s">
        <v>208</v>
      </c>
      <c r="D20" s="7" t="str">
        <f>Odds_Input!D19</f>
        <v>YES</v>
      </c>
      <c r="E20" s="31" t="str">
        <f>Odds_Input!E19</f>
        <v>-</v>
      </c>
      <c r="F20" s="32">
        <f>Odds_Input!F19</f>
        <v>5000</v>
      </c>
      <c r="G20" s="36">
        <f>M_DeVig!H19</f>
        <v>51</v>
      </c>
      <c r="H20" s="7" t="str">
        <f>Odds_Input!G19</f>
        <v>-</v>
      </c>
      <c r="I20" s="42">
        <f>M_DeVig!Q19</f>
        <v>1.2894615456174987E-2</v>
      </c>
      <c r="J20" s="42">
        <f>INDEX(M_Sims!$I$15:$I$44,MATCH($C20,M_Sims!$A$15:$A$44,0))</f>
        <v>1.8239999999999999E-2</v>
      </c>
      <c r="K20" s="43">
        <f t="shared" si="0"/>
        <v>5382.4561403508778</v>
      </c>
      <c r="L20" s="34">
        <f t="shared" si="1"/>
        <v>-6.9760000000000044E-2</v>
      </c>
      <c r="M20" s="38">
        <f t="shared" si="2"/>
        <v>0.53453845438250125</v>
      </c>
      <c r="N20" s="42">
        <f>M_Sims!B94</f>
        <v>-0.25573999999999991</v>
      </c>
      <c r="O20" s="42">
        <f>M_Sims!C94</f>
        <v>0.1362799999999999</v>
      </c>
      <c r="P20" s="42">
        <f>M_Sims!D94</f>
        <v>0.3</v>
      </c>
      <c r="Q20" s="34">
        <f t="shared" si="3"/>
        <v>1.5567307728087492E-2</v>
      </c>
      <c r="R20" s="18" t="str">
        <f t="shared" si="4"/>
        <v>-</v>
      </c>
      <c r="S20" s="46" t="str">
        <f t="shared" si="5"/>
        <v>-</v>
      </c>
      <c r="T20" s="51" t="str">
        <f>IF(A_tier2_on=1,M_Sims!M94,"-")</f>
        <v>-</v>
      </c>
      <c r="U20" s="46" t="str">
        <f>IF(OR(A_bankroll="",A_tier2_on&lt;&gt;1),"-",MIN(A_maxbet,M_Sims!M94*A_bankroll))</f>
        <v>-</v>
      </c>
      <c r="V20" s="30">
        <f>M_Sims!H94</f>
        <v>1</v>
      </c>
      <c r="W20" s="6" t="b">
        <f>AND(H20&lt;&gt;"IMPUTED_20C_LADDER",L20&gt;=A_minev,N20&gt;0,V20=1,IF(A20="PLAYOFFS",A_poconf=1,TRUE),IF(AND(A20="WINS",A_zs_on=1),AND(AE20&gt;=A_minev,M_Sims!O94&gt;0),TRUE),AF20&gt;=A_minev,AG20&gt;0,IF(I20&lt;A_longthr,(1-A_shrink)*M_Sims!K94+A_shrink*(I20*G20-1)&gt;=A_minev,TRUE),IF(AND(OR(A20="WINS",A20="PLAYOFFS",LEFT(A20,4)="DIV_"),INDEX(Raw_Teams!$F$8:$F$37,MATCH($C20,Raw_Teams!$A$8:$A$37,0))&lt;A_contthr),AND(((1-A_contshrink)*J20+A_contshrink*I20)*G20-1&gt;=A_minev,(1-A_contshrink)*N20+A_contshrink*(I20*G20-1)&gt;0),TRUE),M_Sims!P94=0)</f>
        <v>0</v>
      </c>
      <c r="X20" s="6" t="s">
        <v>1301</v>
      </c>
      <c r="Y20" s="6" t="s">
        <v>1302</v>
      </c>
      <c r="Z20" s="6">
        <v>11</v>
      </c>
      <c r="AA20" s="7" t="str">
        <f t="shared" si="6"/>
        <v>OK - sims match current assumptions</v>
      </c>
      <c r="AB20" s="13" t="s">
        <v>33</v>
      </c>
      <c r="AC20" s="13" t="s">
        <v>33</v>
      </c>
      <c r="AD20" s="13" t="s">
        <v>33</v>
      </c>
      <c r="AE20" s="13" t="s">
        <v>33</v>
      </c>
      <c r="AF20" s="34">
        <f t="shared" si="7"/>
        <v>-0.20606730586753785</v>
      </c>
      <c r="AG20" s="34">
        <f t="shared" si="8"/>
        <v>-0.29905730586753776</v>
      </c>
      <c r="AH20" s="6" t="b">
        <f>AND(W20,I20&gt;=A_t1_fair,((1-A_t1_shrink)*J20+A_t1_shrink*I20)*G20-1&gt;=A_minev,(1-A_t1_shrink)*N20+A_t1_shrink*(I20*G20-1)&gt;0,M_Sims!Q94=1)</f>
        <v>0</v>
      </c>
      <c r="AI20" s="18">
        <f>IF(AH20,M_Sims!R94*A_t1_cap/A_t1_engcap,0)</f>
        <v>0</v>
      </c>
      <c r="AJ20" s="46" t="str">
        <f t="shared" si="9"/>
        <v>-</v>
      </c>
      <c r="AK20" s="7" t="str">
        <f>IF(AH20,M_Sims!S94,"-")</f>
        <v>-</v>
      </c>
      <c r="AL20" s="51">
        <f>M_Sims!M94</f>
        <v>0</v>
      </c>
      <c r="AM20" s="6" t="str">
        <f t="shared" si="10"/>
        <v>-</v>
      </c>
    </row>
    <row r="21" spans="1:39" ht="15" customHeight="1" x14ac:dyDescent="0.3">
      <c r="A21" s="6" t="s">
        <v>236</v>
      </c>
      <c r="B21" s="7" t="str">
        <f>Odds_Input!C20</f>
        <v>Los Angeles Clippers</v>
      </c>
      <c r="C21" s="6" t="s">
        <v>209</v>
      </c>
      <c r="D21" s="7" t="str">
        <f>Odds_Input!D20</f>
        <v>YES</v>
      </c>
      <c r="E21" s="31" t="str">
        <f>Odds_Input!E20</f>
        <v>-</v>
      </c>
      <c r="F21" s="32">
        <f>Odds_Input!F20</f>
        <v>25000</v>
      </c>
      <c r="G21" s="36">
        <f>M_DeVig!H20</f>
        <v>251</v>
      </c>
      <c r="H21" s="7" t="str">
        <f>Odds_Input!G20</f>
        <v>-</v>
      </c>
      <c r="I21" s="42">
        <f>M_DeVig!Q20</f>
        <v>1.0482741504970515E-3</v>
      </c>
      <c r="J21" s="42">
        <f>INDEX(M_Sims!$I$15:$I$44,MATCH($C21,M_Sims!$A$15:$A$44,0))</f>
        <v>1.0499999999999999E-3</v>
      </c>
      <c r="K21" s="43">
        <f t="shared" si="0"/>
        <v>95138.095238095237</v>
      </c>
      <c r="L21" s="34">
        <f t="shared" si="1"/>
        <v>-0.73645000000000005</v>
      </c>
      <c r="M21" s="38">
        <f t="shared" si="2"/>
        <v>1.7258495029484015E-4</v>
      </c>
      <c r="N21" s="42">
        <f>M_Sims!B95</f>
        <v>-0.86613333333333331</v>
      </c>
      <c r="O21" s="42">
        <f>M_Sims!C95</f>
        <v>-0.4226999999999998</v>
      </c>
      <c r="P21" s="42">
        <f>M_Sims!D95</f>
        <v>1.6666666666666601E-2</v>
      </c>
      <c r="Q21" s="34">
        <f t="shared" si="3"/>
        <v>1.0491370752485256E-3</v>
      </c>
      <c r="R21" s="18" t="str">
        <f t="shared" si="4"/>
        <v>-</v>
      </c>
      <c r="S21" s="46" t="str">
        <f t="shared" si="5"/>
        <v>-</v>
      </c>
      <c r="T21" s="51" t="str">
        <f>IF(A_tier2_on=1,M_Sims!M95,"-")</f>
        <v>-</v>
      </c>
      <c r="U21" s="46" t="str">
        <f>IF(OR(A_bankroll="",A_tier2_on&lt;&gt;1),"-",MIN(A_maxbet,M_Sims!M95*A_bankroll))</f>
        <v>-</v>
      </c>
      <c r="V21" s="30">
        <f>M_Sims!H95</f>
        <v>0</v>
      </c>
      <c r="W21" s="6" t="b">
        <f>AND(H21&lt;&gt;"IMPUTED_20C_LADDER",L21&gt;=A_minev,N21&gt;0,V21=1,IF(A21="PLAYOFFS",A_poconf=1,TRUE),IF(AND(A21="WINS",A_zs_on=1),AND(AE21&gt;=A_minev,M_Sims!O95&gt;0),TRUE),AF21&gt;=A_minev,AG21&gt;0,IF(I21&lt;A_longthr,(1-A_shrink)*M_Sims!K95+A_shrink*(I21*G21-1)&gt;=A_minev,TRUE),IF(AND(OR(A21="WINS",A21="PLAYOFFS",LEFT(A21,4)="DIV_"),INDEX(Raw_Teams!$F$8:$F$37,MATCH($C21,Raw_Teams!$A$8:$A$37,0))&lt;A_contthr),AND(((1-A_contshrink)*J21+A_contshrink*I21)*G21-1&gt;=A_minev,(1-A_contshrink)*N21+A_contshrink*(I21*G21-1)&gt;0),TRUE),M_Sims!P95=0)</f>
        <v>0</v>
      </c>
      <c r="X21" s="6" t="s">
        <v>1301</v>
      </c>
      <c r="Y21" s="6" t="s">
        <v>1302</v>
      </c>
      <c r="Z21" s="6">
        <v>12</v>
      </c>
      <c r="AA21" s="7" t="str">
        <f t="shared" si="6"/>
        <v>OK - sims match current assumptions</v>
      </c>
      <c r="AB21" s="13" t="s">
        <v>33</v>
      </c>
      <c r="AC21" s="13" t="s">
        <v>33</v>
      </c>
      <c r="AD21" s="13" t="s">
        <v>33</v>
      </c>
      <c r="AE21" s="13" t="s">
        <v>33</v>
      </c>
      <c r="AF21" s="34">
        <f t="shared" si="7"/>
        <v>-0.73666659411262003</v>
      </c>
      <c r="AG21" s="34">
        <f t="shared" si="8"/>
        <v>-0.80150826077928672</v>
      </c>
      <c r="AH21" s="6" t="b">
        <f>AND(W21,I21&gt;=A_t1_fair,((1-A_t1_shrink)*J21+A_t1_shrink*I21)*G21-1&gt;=A_minev,(1-A_t1_shrink)*N21+A_t1_shrink*(I21*G21-1)&gt;0,M_Sims!Q95=1)</f>
        <v>0</v>
      </c>
      <c r="AI21" s="18">
        <f>IF(AH21,M_Sims!R95*A_t1_cap/A_t1_engcap,0)</f>
        <v>0</v>
      </c>
      <c r="AJ21" s="46" t="str">
        <f t="shared" si="9"/>
        <v>-</v>
      </c>
      <c r="AK21" s="7" t="str">
        <f>IF(AH21,M_Sims!S95,"-")</f>
        <v>-</v>
      </c>
      <c r="AL21" s="51">
        <f>M_Sims!M95</f>
        <v>0</v>
      </c>
      <c r="AM21" s="6" t="str">
        <f t="shared" si="10"/>
        <v>-</v>
      </c>
    </row>
    <row r="22" spans="1:39" ht="15" customHeight="1" x14ac:dyDescent="0.3">
      <c r="A22" s="6" t="s">
        <v>236</v>
      </c>
      <c r="B22" s="7" t="str">
        <f>Odds_Input!C21</f>
        <v>Los Angeles Lakers</v>
      </c>
      <c r="C22" s="6" t="s">
        <v>210</v>
      </c>
      <c r="D22" s="7" t="str">
        <f>Odds_Input!D21</f>
        <v>YES</v>
      </c>
      <c r="E22" s="31" t="str">
        <f>Odds_Input!E21</f>
        <v>-</v>
      </c>
      <c r="F22" s="32">
        <f>Odds_Input!F21</f>
        <v>3800</v>
      </c>
      <c r="G22" s="36">
        <f>M_DeVig!H21</f>
        <v>39</v>
      </c>
      <c r="H22" s="7" t="str">
        <f>Odds_Input!G21</f>
        <v>-</v>
      </c>
      <c r="I22" s="42">
        <f>M_DeVig!Q21</f>
        <v>1.8118413839951487E-2</v>
      </c>
      <c r="J22" s="42">
        <f>INDEX(M_Sims!$I$15:$I$44,MATCH($C22,M_Sims!$A$15:$A$44,0))</f>
        <v>3.4819999999999997E-2</v>
      </c>
      <c r="K22" s="43">
        <f t="shared" si="0"/>
        <v>2771.9126938541071</v>
      </c>
      <c r="L22" s="34">
        <f t="shared" si="1"/>
        <v>0.35797999999999996</v>
      </c>
      <c r="M22" s="38">
        <f t="shared" si="2"/>
        <v>1.6701586160048509</v>
      </c>
      <c r="N22" s="42">
        <f>M_Sims!B96</f>
        <v>0.17207999999999979</v>
      </c>
      <c r="O22" s="42">
        <f>M_Sims!C96</f>
        <v>0.48096</v>
      </c>
      <c r="P22" s="42">
        <f>M_Sims!D96</f>
        <v>1</v>
      </c>
      <c r="Q22" s="34">
        <f t="shared" si="3"/>
        <v>2.6469206919975743E-2</v>
      </c>
      <c r="R22" s="18" t="str">
        <f t="shared" si="4"/>
        <v>-</v>
      </c>
      <c r="S22" s="46" t="str">
        <f t="shared" si="5"/>
        <v>-</v>
      </c>
      <c r="T22" s="51" t="str">
        <f>IF(A_tier2_on=1,M_Sims!M96,"-")</f>
        <v>-</v>
      </c>
      <c r="U22" s="46" t="str">
        <f>IF(OR(A_bankroll="",A_tier2_on&lt;&gt;1),"-",MIN(A_maxbet,M_Sims!M96*A_bankroll))</f>
        <v>-</v>
      </c>
      <c r="V22" s="30">
        <f>M_Sims!H96</f>
        <v>1</v>
      </c>
      <c r="W22" s="6" t="b">
        <f>AND(H22&lt;&gt;"IMPUTED_20C_LADDER",L22&gt;=A_minev,N22&gt;0,V22=1,IF(A22="PLAYOFFS",A_poconf=1,TRUE),IF(AND(A22="WINS",A_zs_on=1),AND(AE22&gt;=A_minev,M_Sims!O96&gt;0),TRUE),AF22&gt;=A_minev,AG22&gt;0,IF(I22&lt;A_longthr,(1-A_shrink)*M_Sims!K96+A_shrink*(I22*G22-1)&gt;=A_minev,TRUE),IF(AND(OR(A22="WINS",A22="PLAYOFFS",LEFT(A22,4)="DIV_"),INDEX(Raw_Teams!$F$8:$F$37,MATCH($C22,Raw_Teams!$A$8:$A$37,0))&lt;A_contthr),AND(((1-A_contshrink)*J22+A_contshrink*I22)*G22-1&gt;=A_minev,(1-A_contshrink)*N22+A_contshrink*(I22*G22-1)&gt;0),TRUE),M_Sims!P96=0)</f>
        <v>0</v>
      </c>
      <c r="X22" s="6" t="s">
        <v>1301</v>
      </c>
      <c r="Y22" s="6" t="s">
        <v>1302</v>
      </c>
      <c r="Z22" s="6">
        <v>13</v>
      </c>
      <c r="AA22" s="7" t="str">
        <f t="shared" si="6"/>
        <v>OK - sims match current assumptions</v>
      </c>
      <c r="AB22" s="13" t="s">
        <v>33</v>
      </c>
      <c r="AC22" s="13" t="s">
        <v>33</v>
      </c>
      <c r="AD22" s="13" t="s">
        <v>33</v>
      </c>
      <c r="AE22" s="13" t="s">
        <v>33</v>
      </c>
      <c r="AF22" s="34">
        <f t="shared" si="7"/>
        <v>3.2299069879053954E-2</v>
      </c>
      <c r="AG22" s="34">
        <f t="shared" si="8"/>
        <v>-6.0650930120946134E-2</v>
      </c>
      <c r="AH22" s="6" t="b">
        <f>AND(W22,I22&gt;=A_t1_fair,((1-A_t1_shrink)*J22+A_t1_shrink*I22)*G22-1&gt;=A_minev,(1-A_t1_shrink)*N22+A_t1_shrink*(I22*G22-1)&gt;0,M_Sims!Q96=1)</f>
        <v>0</v>
      </c>
      <c r="AI22" s="18">
        <f>IF(AH22,M_Sims!R96*A_t1_cap/A_t1_engcap,0)</f>
        <v>0</v>
      </c>
      <c r="AJ22" s="46" t="str">
        <f t="shared" si="9"/>
        <v>-</v>
      </c>
      <c r="AK22" s="7" t="str">
        <f>IF(AH22,M_Sims!S96,"-")</f>
        <v>-</v>
      </c>
      <c r="AL22" s="51">
        <f>M_Sims!M96</f>
        <v>0</v>
      </c>
      <c r="AM22" s="6" t="str">
        <f t="shared" si="10"/>
        <v>-</v>
      </c>
    </row>
    <row r="23" spans="1:39" ht="15" customHeight="1" x14ac:dyDescent="0.3">
      <c r="A23" s="6" t="s">
        <v>236</v>
      </c>
      <c r="B23" s="7" t="str">
        <f>Odds_Input!C22</f>
        <v>Memphis Grizzlies</v>
      </c>
      <c r="C23" s="6" t="s">
        <v>211</v>
      </c>
      <c r="D23" s="7" t="str">
        <f>Odds_Input!D22</f>
        <v>YES</v>
      </c>
      <c r="E23" s="31" t="str">
        <f>Odds_Input!E22</f>
        <v>-</v>
      </c>
      <c r="F23" s="32">
        <f>Odds_Input!F22</f>
        <v>25000</v>
      </c>
      <c r="G23" s="36">
        <f>M_DeVig!H22</f>
        <v>251</v>
      </c>
      <c r="H23" s="7" t="str">
        <f>Odds_Input!G22</f>
        <v>-</v>
      </c>
      <c r="I23" s="42">
        <f>M_DeVig!Q22</f>
        <v>1.0482741504970515E-3</v>
      </c>
      <c r="J23" s="42">
        <f>INDEX(M_Sims!$I$15:$I$44,MATCH($C23,M_Sims!$A$15:$A$44,0))</f>
        <v>4.1700000000000001E-3</v>
      </c>
      <c r="K23" s="43">
        <f t="shared" si="0"/>
        <v>23880.815347721822</v>
      </c>
      <c r="L23" s="34">
        <f t="shared" si="1"/>
        <v>4.6669999999999989E-2</v>
      </c>
      <c r="M23" s="38">
        <f t="shared" si="2"/>
        <v>0.31217258495029487</v>
      </c>
      <c r="N23" s="42">
        <f>M_Sims!B97</f>
        <v>-0.3691533333333335</v>
      </c>
      <c r="O23" s="42">
        <f>M_Sims!C97</f>
        <v>0.68170000000000008</v>
      </c>
      <c r="P23" s="42">
        <f>M_Sims!D97</f>
        <v>0.56666666666666665</v>
      </c>
      <c r="Q23" s="34">
        <f t="shared" si="3"/>
        <v>2.6091370752485258E-3</v>
      </c>
      <c r="R23" s="18" t="str">
        <f t="shared" si="4"/>
        <v>-</v>
      </c>
      <c r="S23" s="46" t="str">
        <f t="shared" si="5"/>
        <v>-</v>
      </c>
      <c r="T23" s="51" t="str">
        <f>IF(A_tier2_on=1,M_Sims!M97,"-")</f>
        <v>-</v>
      </c>
      <c r="U23" s="46" t="str">
        <f>IF(OR(A_bankroll="",A_tier2_on&lt;&gt;1),"-",MIN(A_maxbet,M_Sims!M97*A_bankroll))</f>
        <v>-</v>
      </c>
      <c r="V23" s="30">
        <f>M_Sims!H97</f>
        <v>0</v>
      </c>
      <c r="W23" s="6" t="b">
        <f>AND(H23&lt;&gt;"IMPUTED_20C_LADDER",L23&gt;=A_minev,N23&gt;0,V23=1,IF(A23="PLAYOFFS",A_poconf=1,TRUE),IF(AND(A23="WINS",A_zs_on=1),AND(AE23&gt;=A_minev,M_Sims!O97&gt;0),TRUE),AF23&gt;=A_minev,AG23&gt;0,IF(I23&lt;A_longthr,(1-A_shrink)*M_Sims!K97+A_shrink*(I23*G23-1)&gt;=A_minev,TRUE),IF(AND(OR(A23="WINS",A23="PLAYOFFS",LEFT(A23,4)="DIV_"),INDEX(Raw_Teams!$F$8:$F$37,MATCH($C23,Raw_Teams!$A$8:$A$37,0))&lt;A_contthr),AND(((1-A_contshrink)*J23+A_contshrink*I23)*G23-1&gt;=A_minev,(1-A_contshrink)*N23+A_contshrink*(I23*G23-1)&gt;0),TRUE),M_Sims!P97=0)</f>
        <v>0</v>
      </c>
      <c r="X23" s="6" t="s">
        <v>1301</v>
      </c>
      <c r="Y23" s="6" t="s">
        <v>1302</v>
      </c>
      <c r="Z23" s="6">
        <v>14</v>
      </c>
      <c r="AA23" s="7" t="str">
        <f t="shared" si="6"/>
        <v>OK - sims match current assumptions</v>
      </c>
      <c r="AB23" s="13" t="s">
        <v>33</v>
      </c>
      <c r="AC23" s="13" t="s">
        <v>33</v>
      </c>
      <c r="AD23" s="13" t="s">
        <v>33</v>
      </c>
      <c r="AE23" s="13" t="s">
        <v>33</v>
      </c>
      <c r="AF23" s="34">
        <f t="shared" si="7"/>
        <v>-0.34510659411262001</v>
      </c>
      <c r="AG23" s="34">
        <f t="shared" si="8"/>
        <v>-0.55301826077928673</v>
      </c>
      <c r="AH23" s="6" t="b">
        <f>AND(W23,I23&gt;=A_t1_fair,((1-A_t1_shrink)*J23+A_t1_shrink*I23)*G23-1&gt;=A_minev,(1-A_t1_shrink)*N23+A_t1_shrink*(I23*G23-1)&gt;0,M_Sims!Q97=1)</f>
        <v>0</v>
      </c>
      <c r="AI23" s="18">
        <f>IF(AH23,M_Sims!R97*A_t1_cap/A_t1_engcap,0)</f>
        <v>0</v>
      </c>
      <c r="AJ23" s="46" t="str">
        <f t="shared" si="9"/>
        <v>-</v>
      </c>
      <c r="AK23" s="7" t="str">
        <f>IF(AH23,M_Sims!S97,"-")</f>
        <v>-</v>
      </c>
      <c r="AL23" s="51">
        <f>M_Sims!M97</f>
        <v>0</v>
      </c>
      <c r="AM23" s="6" t="str">
        <f t="shared" si="10"/>
        <v>-</v>
      </c>
    </row>
    <row r="24" spans="1:39" ht="15" customHeight="1" x14ac:dyDescent="0.3">
      <c r="A24" s="6" t="s">
        <v>236</v>
      </c>
      <c r="B24" s="7" t="str">
        <f>Odds_Input!C23</f>
        <v>Miami Heat</v>
      </c>
      <c r="C24" s="6" t="s">
        <v>212</v>
      </c>
      <c r="D24" s="7" t="str">
        <f>Odds_Input!D23</f>
        <v>YES</v>
      </c>
      <c r="E24" s="31" t="str">
        <f>Odds_Input!E23</f>
        <v>-</v>
      </c>
      <c r="F24" s="32">
        <f>Odds_Input!F23</f>
        <v>2900</v>
      </c>
      <c r="G24" s="36">
        <f>M_DeVig!H23</f>
        <v>30</v>
      </c>
      <c r="H24" s="7" t="str">
        <f>Odds_Input!G23</f>
        <v>-</v>
      </c>
      <c r="I24" s="42">
        <f>M_DeVig!Q23</f>
        <v>2.4878720982614358E-2</v>
      </c>
      <c r="J24" s="42">
        <f>INDEX(M_Sims!$I$15:$I$44,MATCH($C24,M_Sims!$A$15:$A$44,0))</f>
        <v>8.5100000000000002E-3</v>
      </c>
      <c r="K24" s="43">
        <f t="shared" si="0"/>
        <v>11650.881316098707</v>
      </c>
      <c r="L24" s="34">
        <f t="shared" si="1"/>
        <v>-0.74469999999999992</v>
      </c>
      <c r="M24" s="38">
        <f t="shared" si="2"/>
        <v>-1.6368720982614358</v>
      </c>
      <c r="N24" s="42">
        <f>M_Sims!B98</f>
        <v>-0.8146000000000001</v>
      </c>
      <c r="O24" s="42">
        <f>M_Sims!C98</f>
        <v>-0.62380000000000002</v>
      </c>
      <c r="P24" s="42">
        <f>M_Sims!D98</f>
        <v>0</v>
      </c>
      <c r="Q24" s="34">
        <f t="shared" si="3"/>
        <v>1.6694360491307181E-2</v>
      </c>
      <c r="R24" s="18" t="str">
        <f t="shared" si="4"/>
        <v>-</v>
      </c>
      <c r="S24" s="46" t="str">
        <f t="shared" si="5"/>
        <v>-</v>
      </c>
      <c r="T24" s="51" t="str">
        <f>IF(A_tier2_on=1,M_Sims!M98,"-")</f>
        <v>-</v>
      </c>
      <c r="U24" s="46" t="str">
        <f>IF(OR(A_bankroll="",A_tier2_on&lt;&gt;1),"-",MIN(A_maxbet,M_Sims!M98*A_bankroll))</f>
        <v>-</v>
      </c>
      <c r="V24" s="30">
        <f>M_Sims!H98</f>
        <v>1</v>
      </c>
      <c r="W24" s="6" t="b">
        <f>AND(H24&lt;&gt;"IMPUTED_20C_LADDER",L24&gt;=A_minev,N24&gt;0,V24=1,IF(A24="PLAYOFFS",A_poconf=1,TRUE),IF(AND(A24="WINS",A_zs_on=1),AND(AE24&gt;=A_minev,M_Sims!O98&gt;0),TRUE),AF24&gt;=A_minev,AG24&gt;0,IF(I24&lt;A_longthr,(1-A_shrink)*M_Sims!K98+A_shrink*(I24*G24-1)&gt;=A_minev,TRUE),IF(AND(OR(A24="WINS",A24="PLAYOFFS",LEFT(A24,4)="DIV_"),INDEX(Raw_Teams!$F$8:$F$37,MATCH($C24,Raw_Teams!$A$8:$A$37,0))&lt;A_contthr),AND(((1-A_contshrink)*J24+A_contshrink*I24)*G24-1&gt;=A_minev,(1-A_contshrink)*N24+A_contshrink*(I24*G24-1)&gt;0),TRUE),M_Sims!P98=0)</f>
        <v>0</v>
      </c>
      <c r="X24" s="6" t="s">
        <v>1301</v>
      </c>
      <c r="Y24" s="6" t="s">
        <v>1302</v>
      </c>
      <c r="Z24" s="6">
        <v>15</v>
      </c>
      <c r="AA24" s="7" t="str">
        <f t="shared" si="6"/>
        <v>OK - sims match current assumptions</v>
      </c>
      <c r="AB24" s="13" t="s">
        <v>33</v>
      </c>
      <c r="AC24" s="13" t="s">
        <v>33</v>
      </c>
      <c r="AD24" s="13" t="s">
        <v>33</v>
      </c>
      <c r="AE24" s="13" t="s">
        <v>33</v>
      </c>
      <c r="AF24" s="34">
        <f t="shared" si="7"/>
        <v>-0.49916918526078458</v>
      </c>
      <c r="AG24" s="34">
        <f t="shared" si="8"/>
        <v>-0.53411918526078472</v>
      </c>
      <c r="AH24" s="6" t="b">
        <f>AND(W24,I24&gt;=A_t1_fair,((1-A_t1_shrink)*J24+A_t1_shrink*I24)*G24-1&gt;=A_minev,(1-A_t1_shrink)*N24+A_t1_shrink*(I24*G24-1)&gt;0,M_Sims!Q98=1)</f>
        <v>0</v>
      </c>
      <c r="AI24" s="18">
        <f>IF(AH24,M_Sims!R98*A_t1_cap/A_t1_engcap,0)</f>
        <v>0</v>
      </c>
      <c r="AJ24" s="46" t="str">
        <f t="shared" si="9"/>
        <v>-</v>
      </c>
      <c r="AK24" s="7" t="str">
        <f>IF(AH24,M_Sims!S98,"-")</f>
        <v>-</v>
      </c>
      <c r="AL24" s="51">
        <f>M_Sims!M98</f>
        <v>0</v>
      </c>
      <c r="AM24" s="6" t="str">
        <f t="shared" si="10"/>
        <v>-</v>
      </c>
    </row>
    <row r="25" spans="1:39" ht="15" customHeight="1" x14ac:dyDescent="0.3">
      <c r="A25" s="6" t="s">
        <v>236</v>
      </c>
      <c r="B25" s="7" t="str">
        <f>Odds_Input!C24</f>
        <v>Milwaukee Bucks</v>
      </c>
      <c r="C25" s="6" t="s">
        <v>213</v>
      </c>
      <c r="D25" s="7" t="str">
        <f>Odds_Input!D24</f>
        <v>YES</v>
      </c>
      <c r="E25" s="31" t="str">
        <f>Odds_Input!E24</f>
        <v>-</v>
      </c>
      <c r="F25" s="32">
        <f>Odds_Input!F24</f>
        <v>25000</v>
      </c>
      <c r="G25" s="36">
        <f>M_DeVig!H24</f>
        <v>251</v>
      </c>
      <c r="H25" s="7" t="str">
        <f>Odds_Input!G24</f>
        <v>-</v>
      </c>
      <c r="I25" s="42">
        <f>M_DeVig!Q24</f>
        <v>1.0482741504970515E-3</v>
      </c>
      <c r="J25" s="42">
        <f>INDEX(M_Sims!$I$15:$I$44,MATCH($C25,M_Sims!$A$15:$A$44,0))</f>
        <v>1.2800000000000001E-3</v>
      </c>
      <c r="K25" s="43">
        <f t="shared" si="0"/>
        <v>78025</v>
      </c>
      <c r="L25" s="34">
        <f t="shared" si="1"/>
        <v>-0.67871999999999999</v>
      </c>
      <c r="M25" s="38">
        <f t="shared" si="2"/>
        <v>2.3172584950294856E-2</v>
      </c>
      <c r="N25" s="42">
        <f>M_Sims!B99</f>
        <v>-0.83434000000000008</v>
      </c>
      <c r="O25" s="42">
        <f>M_Sims!C99</f>
        <v>-0.34405333333333332</v>
      </c>
      <c r="P25" s="42">
        <f>M_Sims!D99</f>
        <v>1.6666666666666601E-2</v>
      </c>
      <c r="Q25" s="34">
        <f t="shared" si="3"/>
        <v>1.1641370752485257E-3</v>
      </c>
      <c r="R25" s="18" t="str">
        <f t="shared" si="4"/>
        <v>-</v>
      </c>
      <c r="S25" s="46" t="str">
        <f t="shared" si="5"/>
        <v>-</v>
      </c>
      <c r="T25" s="51" t="str">
        <f>IF(A_tier2_on=1,M_Sims!M99,"-")</f>
        <v>-</v>
      </c>
      <c r="U25" s="46" t="str">
        <f>IF(OR(A_bankroll="",A_tier2_on&lt;&gt;1),"-",MIN(A_maxbet,M_Sims!M99*A_bankroll))</f>
        <v>-</v>
      </c>
      <c r="V25" s="30">
        <f>M_Sims!H99</f>
        <v>0</v>
      </c>
      <c r="W25" s="6" t="b">
        <f>AND(H25&lt;&gt;"IMPUTED_20C_LADDER",L25&gt;=A_minev,N25&gt;0,V25=1,IF(A25="PLAYOFFS",A_poconf=1,TRUE),IF(AND(A25="WINS",A_zs_on=1),AND(AE25&gt;=A_minev,M_Sims!O99&gt;0),TRUE),AF25&gt;=A_minev,AG25&gt;0,IF(I25&lt;A_longthr,(1-A_shrink)*M_Sims!K99+A_shrink*(I25*G25-1)&gt;=A_minev,TRUE),IF(AND(OR(A25="WINS",A25="PLAYOFFS",LEFT(A25,4)="DIV_"),INDEX(Raw_Teams!$F$8:$F$37,MATCH($C25,Raw_Teams!$A$8:$A$37,0))&lt;A_contthr),AND(((1-A_contshrink)*J25+A_contshrink*I25)*G25-1&gt;=A_minev,(1-A_contshrink)*N25+A_contshrink*(I25*G25-1)&gt;0),TRUE),M_Sims!P99=0)</f>
        <v>0</v>
      </c>
      <c r="X25" s="6" t="s">
        <v>1301</v>
      </c>
      <c r="Y25" s="6" t="s">
        <v>1302</v>
      </c>
      <c r="Z25" s="6">
        <v>16</v>
      </c>
      <c r="AA25" s="7" t="str">
        <f t="shared" si="6"/>
        <v>OK - sims match current assumptions</v>
      </c>
      <c r="AB25" s="13" t="s">
        <v>33</v>
      </c>
      <c r="AC25" s="13" t="s">
        <v>33</v>
      </c>
      <c r="AD25" s="13" t="s">
        <v>33</v>
      </c>
      <c r="AE25" s="13" t="s">
        <v>33</v>
      </c>
      <c r="AF25" s="34">
        <f t="shared" si="7"/>
        <v>-0.70780159411262011</v>
      </c>
      <c r="AG25" s="34">
        <f t="shared" si="8"/>
        <v>-0.78561159411262005</v>
      </c>
      <c r="AH25" s="6" t="b">
        <f>AND(W25,I25&gt;=A_t1_fair,((1-A_t1_shrink)*J25+A_t1_shrink*I25)*G25-1&gt;=A_minev,(1-A_t1_shrink)*N25+A_t1_shrink*(I25*G25-1)&gt;0,M_Sims!Q99=1)</f>
        <v>0</v>
      </c>
      <c r="AI25" s="18">
        <f>IF(AH25,M_Sims!R99*A_t1_cap/A_t1_engcap,0)</f>
        <v>0</v>
      </c>
      <c r="AJ25" s="46" t="str">
        <f t="shared" si="9"/>
        <v>-</v>
      </c>
      <c r="AK25" s="7" t="str">
        <f>IF(AH25,M_Sims!S99,"-")</f>
        <v>-</v>
      </c>
      <c r="AL25" s="51">
        <f>M_Sims!M99</f>
        <v>0</v>
      </c>
      <c r="AM25" s="6" t="str">
        <f t="shared" si="10"/>
        <v>-</v>
      </c>
    </row>
    <row r="26" spans="1:39" ht="15" customHeight="1" x14ac:dyDescent="0.3">
      <c r="A26" s="6" t="s">
        <v>236</v>
      </c>
      <c r="B26" s="7" t="str">
        <f>Odds_Input!C25</f>
        <v>Minnesota Timberwolves</v>
      </c>
      <c r="C26" s="6" t="s">
        <v>214</v>
      </c>
      <c r="D26" s="7" t="str">
        <f>Odds_Input!D25</f>
        <v>YES</v>
      </c>
      <c r="E26" s="31" t="str">
        <f>Odds_Input!E25</f>
        <v>-</v>
      </c>
      <c r="F26" s="32">
        <f>Odds_Input!F25</f>
        <v>2400</v>
      </c>
      <c r="G26" s="36">
        <f>M_DeVig!H25</f>
        <v>25</v>
      </c>
      <c r="H26" s="7" t="str">
        <f>Odds_Input!G25</f>
        <v>-</v>
      </c>
      <c r="I26" s="42">
        <f>M_DeVig!Q25</f>
        <v>3.0783641580231089E-2</v>
      </c>
      <c r="J26" s="42">
        <f>INDEX(M_Sims!$I$15:$I$44,MATCH($C26,M_Sims!$A$15:$A$44,0))</f>
        <v>2.4330000000000001E-2</v>
      </c>
      <c r="K26" s="43">
        <f t="shared" si="0"/>
        <v>4010.1520756267983</v>
      </c>
      <c r="L26" s="34">
        <f t="shared" si="1"/>
        <v>-0.39174999999999993</v>
      </c>
      <c r="M26" s="38">
        <f t="shared" si="2"/>
        <v>-0.64536415802310887</v>
      </c>
      <c r="N26" s="42">
        <f>M_Sims!B100</f>
        <v>-0.48399999999999999</v>
      </c>
      <c r="O26" s="42">
        <f>M_Sims!C100</f>
        <v>-0.2548333333333333</v>
      </c>
      <c r="P26" s="42">
        <f>M_Sims!D100</f>
        <v>0</v>
      </c>
      <c r="Q26" s="34">
        <f t="shared" si="3"/>
        <v>2.7556820790115545E-2</v>
      </c>
      <c r="R26" s="18" t="str">
        <f t="shared" si="4"/>
        <v>-</v>
      </c>
      <c r="S26" s="46" t="str">
        <f t="shared" si="5"/>
        <v>-</v>
      </c>
      <c r="T26" s="51" t="str">
        <f>IF(A_tier2_on=1,M_Sims!M100,"-")</f>
        <v>-</v>
      </c>
      <c r="U26" s="46" t="str">
        <f>IF(OR(A_bankroll="",A_tier2_on&lt;&gt;1),"-",MIN(A_maxbet,M_Sims!M100*A_bankroll))</f>
        <v>-</v>
      </c>
      <c r="V26" s="30">
        <f>M_Sims!H100</f>
        <v>1</v>
      </c>
      <c r="W26" s="6" t="b">
        <f>AND(H26&lt;&gt;"IMPUTED_20C_LADDER",L26&gt;=A_minev,N26&gt;0,V26=1,IF(A26="PLAYOFFS",A_poconf=1,TRUE),IF(AND(A26="WINS",A_zs_on=1),AND(AE26&gt;=A_minev,M_Sims!O100&gt;0),TRUE),AF26&gt;=A_minev,AG26&gt;0,IF(I26&lt;A_longthr,(1-A_shrink)*M_Sims!K100+A_shrink*(I26*G26-1)&gt;=A_minev,TRUE),IF(AND(OR(A26="WINS",A26="PLAYOFFS",LEFT(A26,4)="DIV_"),INDEX(Raw_Teams!$F$8:$F$37,MATCH($C26,Raw_Teams!$A$8:$A$37,0))&lt;A_contthr),AND(((1-A_contshrink)*J26+A_contshrink*I26)*G26-1&gt;=A_minev,(1-A_contshrink)*N26+A_contshrink*(I26*G26-1)&gt;0),TRUE),M_Sims!P100=0)</f>
        <v>0</v>
      </c>
      <c r="X26" s="6" t="s">
        <v>1301</v>
      </c>
      <c r="Y26" s="6" t="s">
        <v>1302</v>
      </c>
      <c r="Z26" s="6">
        <v>17</v>
      </c>
      <c r="AA26" s="7" t="str">
        <f t="shared" si="6"/>
        <v>OK - sims match current assumptions</v>
      </c>
      <c r="AB26" s="13" t="s">
        <v>33</v>
      </c>
      <c r="AC26" s="13" t="s">
        <v>33</v>
      </c>
      <c r="AD26" s="13" t="s">
        <v>33</v>
      </c>
      <c r="AE26" s="13" t="s">
        <v>33</v>
      </c>
      <c r="AF26" s="34">
        <f t="shared" si="7"/>
        <v>-0.31107948024711141</v>
      </c>
      <c r="AG26" s="34">
        <f t="shared" si="8"/>
        <v>-0.35720448024711138</v>
      </c>
      <c r="AH26" s="6" t="b">
        <f>AND(W26,I26&gt;=A_t1_fair,((1-A_t1_shrink)*J26+A_t1_shrink*I26)*G26-1&gt;=A_minev,(1-A_t1_shrink)*N26+A_t1_shrink*(I26*G26-1)&gt;0,M_Sims!Q100=1)</f>
        <v>0</v>
      </c>
      <c r="AI26" s="18">
        <f>IF(AH26,M_Sims!R100*A_t1_cap/A_t1_engcap,0)</f>
        <v>0</v>
      </c>
      <c r="AJ26" s="46" t="str">
        <f t="shared" si="9"/>
        <v>-</v>
      </c>
      <c r="AK26" s="7" t="str">
        <f>IF(AH26,M_Sims!S100,"-")</f>
        <v>-</v>
      </c>
      <c r="AL26" s="51">
        <f>M_Sims!M100</f>
        <v>0</v>
      </c>
      <c r="AM26" s="6" t="str">
        <f t="shared" si="10"/>
        <v>-</v>
      </c>
    </row>
    <row r="27" spans="1:39" ht="15" customHeight="1" x14ac:dyDescent="0.3">
      <c r="A27" s="6" t="s">
        <v>236</v>
      </c>
      <c r="B27" s="7" t="str">
        <f>Odds_Input!C26</f>
        <v>New Orleans Pelicans</v>
      </c>
      <c r="C27" s="6" t="s">
        <v>215</v>
      </c>
      <c r="D27" s="7" t="str">
        <f>Odds_Input!D26</f>
        <v>YES</v>
      </c>
      <c r="E27" s="31" t="str">
        <f>Odds_Input!E26</f>
        <v>-</v>
      </c>
      <c r="F27" s="32">
        <f>Odds_Input!F26</f>
        <v>25000</v>
      </c>
      <c r="G27" s="36">
        <f>M_DeVig!H26</f>
        <v>251</v>
      </c>
      <c r="H27" s="7" t="str">
        <f>Odds_Input!G26</f>
        <v>-</v>
      </c>
      <c r="I27" s="42">
        <f>M_DeVig!Q26</f>
        <v>1.0482741504970515E-3</v>
      </c>
      <c r="J27" s="42">
        <f>INDEX(M_Sims!$I$15:$I$44,MATCH($C27,M_Sims!$A$15:$A$44,0))</f>
        <v>1.6299999999999999E-3</v>
      </c>
      <c r="K27" s="43">
        <f t="shared" si="0"/>
        <v>61249.693251533747</v>
      </c>
      <c r="L27" s="34">
        <f t="shared" si="1"/>
        <v>-0.59087000000000001</v>
      </c>
      <c r="M27" s="38">
        <f t="shared" si="2"/>
        <v>5.8172584950294842E-2</v>
      </c>
      <c r="N27" s="42">
        <f>M_Sims!B101</f>
        <v>-0.7690800000000001</v>
      </c>
      <c r="O27" s="42">
        <f>M_Sims!C101</f>
        <v>-0.27711999999999992</v>
      </c>
      <c r="P27" s="42">
        <f>M_Sims!D101</f>
        <v>3.3333333333333298E-2</v>
      </c>
      <c r="Q27" s="34">
        <f t="shared" si="3"/>
        <v>1.3391370752485257E-3</v>
      </c>
      <c r="R27" s="18" t="str">
        <f t="shared" si="4"/>
        <v>-</v>
      </c>
      <c r="S27" s="46" t="str">
        <f t="shared" si="5"/>
        <v>-</v>
      </c>
      <c r="T27" s="51" t="str">
        <f>IF(A_tier2_on=1,M_Sims!M101,"-")</f>
        <v>-</v>
      </c>
      <c r="U27" s="46" t="str">
        <f>IF(OR(A_bankroll="",A_tier2_on&lt;&gt;1),"-",MIN(A_maxbet,M_Sims!M101*A_bankroll))</f>
        <v>-</v>
      </c>
      <c r="V27" s="30">
        <f>M_Sims!H101</f>
        <v>0</v>
      </c>
      <c r="W27" s="6" t="b">
        <f>AND(H27&lt;&gt;"IMPUTED_20C_LADDER",L27&gt;=A_minev,N27&gt;0,V27=1,IF(A27="PLAYOFFS",A_poconf=1,TRUE),IF(AND(A27="WINS",A_zs_on=1),AND(AE27&gt;=A_minev,M_Sims!O101&gt;0),TRUE),AF27&gt;=A_minev,AG27&gt;0,IF(I27&lt;A_longthr,(1-A_shrink)*M_Sims!K101+A_shrink*(I27*G27-1)&gt;=A_minev,TRUE),IF(AND(OR(A27="WINS",A27="PLAYOFFS",LEFT(A27,4)="DIV_"),INDEX(Raw_Teams!$F$8:$F$37,MATCH($C27,Raw_Teams!$A$8:$A$37,0))&lt;A_contthr),AND(((1-A_contshrink)*J27+A_contshrink*I27)*G27-1&gt;=A_minev,(1-A_contshrink)*N27+A_contshrink*(I27*G27-1)&gt;0),TRUE),M_Sims!P101=0)</f>
        <v>0</v>
      </c>
      <c r="X27" s="6" t="s">
        <v>1301</v>
      </c>
      <c r="Y27" s="6" t="s">
        <v>1302</v>
      </c>
      <c r="Z27" s="6">
        <v>18</v>
      </c>
      <c r="AA27" s="7" t="str">
        <f t="shared" si="6"/>
        <v>OK - sims match current assumptions</v>
      </c>
      <c r="AB27" s="13" t="s">
        <v>33</v>
      </c>
      <c r="AC27" s="13" t="s">
        <v>33</v>
      </c>
      <c r="AD27" s="13" t="s">
        <v>33</v>
      </c>
      <c r="AE27" s="13" t="s">
        <v>33</v>
      </c>
      <c r="AF27" s="34">
        <f t="shared" si="7"/>
        <v>-0.66387659411262012</v>
      </c>
      <c r="AG27" s="34">
        <f t="shared" si="8"/>
        <v>-0.75298159411262011</v>
      </c>
      <c r="AH27" s="6" t="b">
        <f>AND(W27,I27&gt;=A_t1_fair,((1-A_t1_shrink)*J27+A_t1_shrink*I27)*G27-1&gt;=A_minev,(1-A_t1_shrink)*N27+A_t1_shrink*(I27*G27-1)&gt;0,M_Sims!Q101=1)</f>
        <v>0</v>
      </c>
      <c r="AI27" s="18">
        <f>IF(AH27,M_Sims!R101*A_t1_cap/A_t1_engcap,0)</f>
        <v>0</v>
      </c>
      <c r="AJ27" s="46" t="str">
        <f t="shared" si="9"/>
        <v>-</v>
      </c>
      <c r="AK27" s="7" t="str">
        <f>IF(AH27,M_Sims!S101,"-")</f>
        <v>-</v>
      </c>
      <c r="AL27" s="51">
        <f>M_Sims!M101</f>
        <v>0</v>
      </c>
      <c r="AM27" s="6" t="str">
        <f t="shared" si="10"/>
        <v>-</v>
      </c>
    </row>
    <row r="28" spans="1:39" ht="15" customHeight="1" x14ac:dyDescent="0.3">
      <c r="A28" s="6" t="s">
        <v>236</v>
      </c>
      <c r="B28" s="7" t="str">
        <f>Odds_Input!C27</f>
        <v>New York Knicks</v>
      </c>
      <c r="C28" s="6" t="s">
        <v>216</v>
      </c>
      <c r="D28" s="7" t="str">
        <f>Odds_Input!D27</f>
        <v>YES</v>
      </c>
      <c r="E28" s="31" t="str">
        <f>Odds_Input!E27</f>
        <v>-</v>
      </c>
      <c r="F28" s="32">
        <f>Odds_Input!F27</f>
        <v>925</v>
      </c>
      <c r="G28" s="36">
        <f>M_DeVig!H27</f>
        <v>10.25</v>
      </c>
      <c r="H28" s="7" t="str">
        <f>Odds_Input!G27</f>
        <v>-</v>
      </c>
      <c r="I28" s="42">
        <f>M_DeVig!Q27</f>
        <v>8.2247714149514636E-2</v>
      </c>
      <c r="J28" s="42">
        <f>INDEX(M_Sims!$I$15:$I$44,MATCH($C28,M_Sims!$A$15:$A$44,0))</f>
        <v>2.87E-2</v>
      </c>
      <c r="K28" s="43">
        <f t="shared" si="0"/>
        <v>3384.3205574912895</v>
      </c>
      <c r="L28" s="34">
        <f t="shared" si="1"/>
        <v>-0.70582499999999992</v>
      </c>
      <c r="M28" s="38">
        <f t="shared" si="2"/>
        <v>-5.3547714149514629</v>
      </c>
      <c r="N28" s="42">
        <f>M_Sims!B102</f>
        <v>-0.80463499999999999</v>
      </c>
      <c r="O28" s="42">
        <f>M_Sims!C102</f>
        <v>-0.56574166666666659</v>
      </c>
      <c r="P28" s="42">
        <f>M_Sims!D102</f>
        <v>0</v>
      </c>
      <c r="Q28" s="34">
        <f t="shared" si="3"/>
        <v>5.547385707475732E-2</v>
      </c>
      <c r="R28" s="18" t="str">
        <f t="shared" si="4"/>
        <v>-</v>
      </c>
      <c r="S28" s="46" t="str">
        <f t="shared" si="5"/>
        <v>-</v>
      </c>
      <c r="T28" s="51" t="str">
        <f>IF(A_tier2_on=1,M_Sims!M102,"-")</f>
        <v>-</v>
      </c>
      <c r="U28" s="46" t="str">
        <f>IF(OR(A_bankroll="",A_tier2_on&lt;&gt;1),"-",MIN(A_maxbet,M_Sims!M102*A_bankroll))</f>
        <v>-</v>
      </c>
      <c r="V28" s="30">
        <f>M_Sims!H102</f>
        <v>1</v>
      </c>
      <c r="W28" s="6" t="b">
        <f>AND(H28&lt;&gt;"IMPUTED_20C_LADDER",L28&gt;=A_minev,N28&gt;0,V28=1,IF(A28="PLAYOFFS",A_poconf=1,TRUE),IF(AND(A28="WINS",A_zs_on=1),AND(AE28&gt;=A_minev,M_Sims!O102&gt;0),TRUE),AF28&gt;=A_minev,AG28&gt;0,IF(I28&lt;A_longthr,(1-A_shrink)*M_Sims!K102+A_shrink*(I28*G28-1)&gt;=A_minev,TRUE),IF(AND(OR(A28="WINS",A28="PLAYOFFS",LEFT(A28,4)="DIV_"),INDEX(Raw_Teams!$F$8:$F$37,MATCH($C28,Raw_Teams!$A$8:$A$37,0))&lt;A_contthr),AND(((1-A_contshrink)*J28+A_contshrink*I28)*G28-1&gt;=A_minev,(1-A_contshrink)*N28+A_contshrink*(I28*G28-1)&gt;0),TRUE),M_Sims!P102=0)</f>
        <v>0</v>
      </c>
      <c r="X28" s="6" t="s">
        <v>1301</v>
      </c>
      <c r="Y28" s="6" t="s">
        <v>1302</v>
      </c>
      <c r="Z28" s="6">
        <v>19</v>
      </c>
      <c r="AA28" s="7" t="str">
        <f t="shared" si="6"/>
        <v>OK - sims match current assumptions</v>
      </c>
      <c r="AB28" s="13" t="s">
        <v>33</v>
      </c>
      <c r="AC28" s="13" t="s">
        <v>33</v>
      </c>
      <c r="AD28" s="13" t="s">
        <v>33</v>
      </c>
      <c r="AE28" s="13" t="s">
        <v>33</v>
      </c>
      <c r="AF28" s="34">
        <f t="shared" si="7"/>
        <v>-0.43139296498373747</v>
      </c>
      <c r="AG28" s="34">
        <f t="shared" si="8"/>
        <v>-0.4807979649837375</v>
      </c>
      <c r="AH28" s="6" t="b">
        <f>AND(W28,I28&gt;=A_t1_fair,((1-A_t1_shrink)*J28+A_t1_shrink*I28)*G28-1&gt;=A_minev,(1-A_t1_shrink)*N28+A_t1_shrink*(I28*G28-1)&gt;0,M_Sims!Q102=1)</f>
        <v>0</v>
      </c>
      <c r="AI28" s="18">
        <f>IF(AH28,M_Sims!R102*A_t1_cap/A_t1_engcap,0)</f>
        <v>0</v>
      </c>
      <c r="AJ28" s="46" t="str">
        <f t="shared" si="9"/>
        <v>-</v>
      </c>
      <c r="AK28" s="7" t="str">
        <f>IF(AH28,M_Sims!S102,"-")</f>
        <v>-</v>
      </c>
      <c r="AL28" s="51">
        <f>M_Sims!M102</f>
        <v>0</v>
      </c>
      <c r="AM28" s="6" t="str">
        <f t="shared" si="10"/>
        <v>-</v>
      </c>
    </row>
    <row r="29" spans="1:39" ht="15" customHeight="1" x14ac:dyDescent="0.3">
      <c r="A29" s="6" t="s">
        <v>236</v>
      </c>
      <c r="B29" s="7" t="str">
        <f>Odds_Input!C28</f>
        <v>Oklahoma City Thunder</v>
      </c>
      <c r="C29" s="6" t="s">
        <v>217</v>
      </c>
      <c r="D29" s="7" t="str">
        <f>Odds_Input!D28</f>
        <v>YES</v>
      </c>
      <c r="E29" s="31" t="str">
        <f>Odds_Input!E28</f>
        <v>-</v>
      </c>
      <c r="F29" s="32">
        <f>Odds_Input!F28</f>
        <v>250</v>
      </c>
      <c r="G29" s="36">
        <f>M_DeVig!H28</f>
        <v>3.5</v>
      </c>
      <c r="H29" s="7" t="str">
        <f>Odds_Input!G28</f>
        <v>-</v>
      </c>
      <c r="I29" s="42">
        <f>M_DeVig!Q28</f>
        <v>0.25118441200397795</v>
      </c>
      <c r="J29" s="42">
        <f>INDEX(M_Sims!$I$15:$I$44,MATCH($C29,M_Sims!$A$15:$A$44,0))</f>
        <v>0.22633</v>
      </c>
      <c r="K29" s="43">
        <f t="shared" si="0"/>
        <v>341.832722131401</v>
      </c>
      <c r="L29" s="34">
        <f t="shared" si="1"/>
        <v>-0.20784499999999995</v>
      </c>
      <c r="M29" s="38">
        <f t="shared" si="2"/>
        <v>-2.485441200397795</v>
      </c>
      <c r="N29" s="42">
        <f>M_Sims!B103</f>
        <v>-0.3780033333333333</v>
      </c>
      <c r="O29" s="42">
        <f>M_Sims!C103</f>
        <v>-4.0649999999999901E-2</v>
      </c>
      <c r="P29" s="42">
        <f>M_Sims!D103</f>
        <v>6.6666666666666596E-2</v>
      </c>
      <c r="Q29" s="34">
        <f t="shared" si="3"/>
        <v>0.23875720600198896</v>
      </c>
      <c r="R29" s="18" t="str">
        <f t="shared" si="4"/>
        <v>-</v>
      </c>
      <c r="S29" s="46" t="str">
        <f t="shared" si="5"/>
        <v>-</v>
      </c>
      <c r="T29" s="51" t="str">
        <f>IF(A_tier2_on=1,M_Sims!M103,"-")</f>
        <v>-</v>
      </c>
      <c r="U29" s="46" t="str">
        <f>IF(OR(A_bankroll="",A_tier2_on&lt;&gt;1),"-",MIN(A_maxbet,M_Sims!M103*A_bankroll))</f>
        <v>-</v>
      </c>
      <c r="V29" s="30">
        <f>M_Sims!H103</f>
        <v>1</v>
      </c>
      <c r="W29" s="6" t="b">
        <f>AND(H29&lt;&gt;"IMPUTED_20C_LADDER",L29&gt;=A_minev,N29&gt;0,V29=1,IF(A29="PLAYOFFS",A_poconf=1,TRUE),IF(AND(A29="WINS",A_zs_on=1),AND(AE29&gt;=A_minev,M_Sims!O103&gt;0),TRUE),AF29&gt;=A_minev,AG29&gt;0,IF(I29&lt;A_longthr,(1-A_shrink)*M_Sims!K103+A_shrink*(I29*G29-1)&gt;=A_minev,TRUE),IF(AND(OR(A29="WINS",A29="PLAYOFFS",LEFT(A29,4)="DIV_"),INDEX(Raw_Teams!$F$8:$F$37,MATCH($C29,Raw_Teams!$A$8:$A$37,0))&lt;A_contthr),AND(((1-A_contshrink)*J29+A_contshrink*I29)*G29-1&gt;=A_minev,(1-A_contshrink)*N29+A_contshrink*(I29*G29-1)&gt;0),TRUE),M_Sims!P103=0)</f>
        <v>0</v>
      </c>
      <c r="X29" s="6" t="s">
        <v>1301</v>
      </c>
      <c r="Y29" s="6" t="s">
        <v>1302</v>
      </c>
      <c r="Z29" s="6">
        <v>20</v>
      </c>
      <c r="AA29" s="7" t="str">
        <f t="shared" si="6"/>
        <v>OK - sims match current assumptions</v>
      </c>
      <c r="AB29" s="13" t="s">
        <v>33</v>
      </c>
      <c r="AC29" s="13" t="s">
        <v>33</v>
      </c>
      <c r="AD29" s="13" t="s">
        <v>33</v>
      </c>
      <c r="AE29" s="13" t="s">
        <v>33</v>
      </c>
      <c r="AF29" s="34">
        <f t="shared" si="7"/>
        <v>-0.1643497789930386</v>
      </c>
      <c r="AG29" s="34">
        <f t="shared" si="8"/>
        <v>-0.24942894565970522</v>
      </c>
      <c r="AH29" s="6" t="b">
        <f>AND(W29,I29&gt;=A_t1_fair,((1-A_t1_shrink)*J29+A_t1_shrink*I29)*G29-1&gt;=A_minev,(1-A_t1_shrink)*N29+A_t1_shrink*(I29*G29-1)&gt;0,M_Sims!Q103=1)</f>
        <v>0</v>
      </c>
      <c r="AI29" s="18">
        <f>IF(AH29,M_Sims!R103*A_t1_cap/A_t1_engcap,0)</f>
        <v>0</v>
      </c>
      <c r="AJ29" s="46" t="str">
        <f t="shared" si="9"/>
        <v>-</v>
      </c>
      <c r="AK29" s="7" t="str">
        <f>IF(AH29,M_Sims!S103,"-")</f>
        <v>-</v>
      </c>
      <c r="AL29" s="51">
        <f>M_Sims!M103</f>
        <v>0</v>
      </c>
      <c r="AM29" s="6" t="str">
        <f t="shared" si="10"/>
        <v>-</v>
      </c>
    </row>
    <row r="30" spans="1:39" ht="15" customHeight="1" x14ac:dyDescent="0.3">
      <c r="A30" s="6" t="s">
        <v>236</v>
      </c>
      <c r="B30" s="7" t="str">
        <f>Odds_Input!C29</f>
        <v>Orlando Magic</v>
      </c>
      <c r="C30" s="6" t="s">
        <v>218</v>
      </c>
      <c r="D30" s="7" t="str">
        <f>Odds_Input!D29</f>
        <v>YES</v>
      </c>
      <c r="E30" s="31" t="str">
        <f>Odds_Input!E29</f>
        <v>-</v>
      </c>
      <c r="F30" s="32">
        <f>Odds_Input!F29</f>
        <v>5500</v>
      </c>
      <c r="G30" s="36">
        <f>M_DeVig!H29</f>
        <v>56</v>
      </c>
      <c r="H30" s="7" t="str">
        <f>Odds_Input!G29</f>
        <v>-</v>
      </c>
      <c r="I30" s="42">
        <f>M_DeVig!Q29</f>
        <v>1.1401895822062667E-2</v>
      </c>
      <c r="J30" s="42">
        <f>INDEX(M_Sims!$I$15:$I$44,MATCH($C30,M_Sims!$A$15:$A$44,0))</f>
        <v>2.681E-2</v>
      </c>
      <c r="K30" s="43">
        <f t="shared" si="0"/>
        <v>3629.951510630362</v>
      </c>
      <c r="L30" s="34">
        <f t="shared" si="1"/>
        <v>0.50136000000000003</v>
      </c>
      <c r="M30" s="38">
        <f t="shared" si="2"/>
        <v>1.5408104177937334</v>
      </c>
      <c r="N30" s="42">
        <f>M_Sims!B104</f>
        <v>0.14725333333333321</v>
      </c>
      <c r="O30" s="42">
        <f>M_Sims!C104</f>
        <v>0.83157333333333305</v>
      </c>
      <c r="P30" s="42">
        <f>M_Sims!D104</f>
        <v>0.96666666666666679</v>
      </c>
      <c r="Q30" s="34">
        <f t="shared" si="3"/>
        <v>1.9105947911031332E-2</v>
      </c>
      <c r="R30" s="18" t="str">
        <f t="shared" si="4"/>
        <v>-</v>
      </c>
      <c r="S30" s="46" t="str">
        <f t="shared" si="5"/>
        <v>-</v>
      </c>
      <c r="T30" s="51" t="str">
        <f>IF(A_tier2_on=1,M_Sims!M104,"-")</f>
        <v>-</v>
      </c>
      <c r="U30" s="46" t="str">
        <f>IF(OR(A_bankroll="",A_tier2_on&lt;&gt;1),"-",MIN(A_maxbet,M_Sims!M104*A_bankroll))</f>
        <v>-</v>
      </c>
      <c r="V30" s="30">
        <f>M_Sims!H104</f>
        <v>1</v>
      </c>
      <c r="W30" s="6" t="b">
        <f>AND(H30&lt;&gt;"IMPUTED_20C_LADDER",L30&gt;=A_minev,N30&gt;0,V30=1,IF(A30="PLAYOFFS",A_poconf=1,TRUE),IF(AND(A30="WINS",A_zs_on=1),AND(AE30&gt;=A_minev,M_Sims!O104&gt;0),TRUE),AF30&gt;=A_minev,AG30&gt;0,IF(I30&lt;A_longthr,(1-A_shrink)*M_Sims!K104+A_shrink*(I30*G30-1)&gt;=A_minev,TRUE),IF(AND(OR(A30="WINS",A30="PLAYOFFS",LEFT(A30,4)="DIV_"),INDEX(Raw_Teams!$F$8:$F$37,MATCH($C30,Raw_Teams!$A$8:$A$37,0))&lt;A_contthr),AND(((1-A_contshrink)*J30+A_contshrink*I30)*G30-1&gt;=A_minev,(1-A_contshrink)*N30+A_contshrink*(I30*G30-1)&gt;0),TRUE),M_Sims!P104=0)</f>
        <v>0</v>
      </c>
      <c r="X30" s="6" t="s">
        <v>1301</v>
      </c>
      <c r="Y30" s="6" t="s">
        <v>1302</v>
      </c>
      <c r="Z30" s="6">
        <v>21</v>
      </c>
      <c r="AA30" s="7" t="str">
        <f t="shared" si="6"/>
        <v>OK - sims match current assumptions</v>
      </c>
      <c r="AB30" s="13" t="s">
        <v>33</v>
      </c>
      <c r="AC30" s="13" t="s">
        <v>33</v>
      </c>
      <c r="AD30" s="13" t="s">
        <v>33</v>
      </c>
      <c r="AE30" s="13" t="s">
        <v>33</v>
      </c>
      <c r="AF30" s="34">
        <f t="shared" si="7"/>
        <v>6.9933083017754694E-2</v>
      </c>
      <c r="AG30" s="34">
        <f t="shared" si="8"/>
        <v>-0.10712025031557872</v>
      </c>
      <c r="AH30" s="6" t="b">
        <f>AND(W30,I30&gt;=A_t1_fair,((1-A_t1_shrink)*J30+A_t1_shrink*I30)*G30-1&gt;=A_minev,(1-A_t1_shrink)*N30+A_t1_shrink*(I30*G30-1)&gt;0,M_Sims!Q104=1)</f>
        <v>0</v>
      </c>
      <c r="AI30" s="18">
        <f>IF(AH30,M_Sims!R104*A_t1_cap/A_t1_engcap,0)</f>
        <v>0</v>
      </c>
      <c r="AJ30" s="46" t="str">
        <f t="shared" si="9"/>
        <v>-</v>
      </c>
      <c r="AK30" s="7" t="str">
        <f>IF(AH30,M_Sims!S104,"-")</f>
        <v>-</v>
      </c>
      <c r="AL30" s="51">
        <f>M_Sims!M104</f>
        <v>0</v>
      </c>
      <c r="AM30" s="6" t="str">
        <f t="shared" si="10"/>
        <v>-</v>
      </c>
    </row>
    <row r="31" spans="1:39" ht="15" customHeight="1" x14ac:dyDescent="0.3">
      <c r="A31" s="6" t="s">
        <v>236</v>
      </c>
      <c r="B31" s="7" t="str">
        <f>Odds_Input!C30</f>
        <v>Philadelphia 76ers</v>
      </c>
      <c r="C31" s="6" t="s">
        <v>219</v>
      </c>
      <c r="D31" s="7" t="str">
        <f>Odds_Input!D30</f>
        <v>YES</v>
      </c>
      <c r="E31" s="31" t="str">
        <f>Odds_Input!E30</f>
        <v>-</v>
      </c>
      <c r="F31" s="32">
        <f>Odds_Input!F30</f>
        <v>850</v>
      </c>
      <c r="G31" s="36">
        <f>M_DeVig!H30</f>
        <v>9.5</v>
      </c>
      <c r="H31" s="7" t="str">
        <f>Odds_Input!G30</f>
        <v>-</v>
      </c>
      <c r="I31" s="42">
        <f>M_DeVig!Q30</f>
        <v>8.9155050838218536E-2</v>
      </c>
      <c r="J31" s="42">
        <f>INDEX(M_Sims!$I$15:$I$44,MATCH($C31,M_Sims!$A$15:$A$44,0))</f>
        <v>3.3660000000000002E-2</v>
      </c>
      <c r="K31" s="43">
        <f t="shared" si="0"/>
        <v>2870.8853238265001</v>
      </c>
      <c r="L31" s="34">
        <f t="shared" si="1"/>
        <v>-0.68023</v>
      </c>
      <c r="M31" s="38">
        <f t="shared" si="2"/>
        <v>-5.5495050838218534</v>
      </c>
      <c r="N31" s="42">
        <f>M_Sims!B105</f>
        <v>-0.74426000000000003</v>
      </c>
      <c r="O31" s="42">
        <f>M_Sims!C105</f>
        <v>-0.63247666666666658</v>
      </c>
      <c r="P31" s="42">
        <f>M_Sims!D105</f>
        <v>0</v>
      </c>
      <c r="Q31" s="34">
        <f t="shared" si="3"/>
        <v>6.1407525419109266E-2</v>
      </c>
      <c r="R31" s="18" t="str">
        <f t="shared" si="4"/>
        <v>-</v>
      </c>
      <c r="S31" s="46" t="str">
        <f t="shared" si="5"/>
        <v>-</v>
      </c>
      <c r="T31" s="51" t="str">
        <f>IF(A_tier2_on=1,M_Sims!M105,"-")</f>
        <v>-</v>
      </c>
      <c r="U31" s="46" t="str">
        <f>IF(OR(A_bankroll="",A_tier2_on&lt;&gt;1),"-",MIN(A_maxbet,M_Sims!M105*A_bankroll))</f>
        <v>-</v>
      </c>
      <c r="V31" s="30">
        <f>M_Sims!H105</f>
        <v>1</v>
      </c>
      <c r="W31" s="6" t="b">
        <f>AND(H31&lt;&gt;"IMPUTED_20C_LADDER",L31&gt;=A_minev,N31&gt;0,V31=1,IF(A31="PLAYOFFS",A_poconf=1,TRUE),IF(AND(A31="WINS",A_zs_on=1),AND(AE31&gt;=A_minev,M_Sims!O105&gt;0),TRUE),AF31&gt;=A_minev,AG31&gt;0,IF(I31&lt;A_longthr,(1-A_shrink)*M_Sims!K105+A_shrink*(I31*G31-1)&gt;=A_minev,TRUE),IF(AND(OR(A31="WINS",A31="PLAYOFFS",LEFT(A31,4)="DIV_"),INDEX(Raw_Teams!$F$8:$F$37,MATCH($C31,Raw_Teams!$A$8:$A$37,0))&lt;A_contthr),AND(((1-A_contshrink)*J31+A_contshrink*I31)*G31-1&gt;=A_minev,(1-A_contshrink)*N31+A_contshrink*(I31*G31-1)&gt;0),TRUE),M_Sims!P105=0)</f>
        <v>0</v>
      </c>
      <c r="X31" s="6" t="s">
        <v>1301</v>
      </c>
      <c r="Y31" s="6" t="s">
        <v>1302</v>
      </c>
      <c r="Z31" s="6">
        <v>22</v>
      </c>
      <c r="AA31" s="7" t="str">
        <f t="shared" si="6"/>
        <v>OK - sims match current assumptions</v>
      </c>
      <c r="AB31" s="13" t="s">
        <v>33</v>
      </c>
      <c r="AC31" s="13" t="s">
        <v>33</v>
      </c>
      <c r="AD31" s="13" t="s">
        <v>33</v>
      </c>
      <c r="AE31" s="13" t="s">
        <v>33</v>
      </c>
      <c r="AF31" s="34">
        <f t="shared" si="7"/>
        <v>-0.416628508518462</v>
      </c>
      <c r="AG31" s="34">
        <f t="shared" si="8"/>
        <v>-0.44864350851846196</v>
      </c>
      <c r="AH31" s="6" t="b">
        <f>AND(W31,I31&gt;=A_t1_fair,((1-A_t1_shrink)*J31+A_t1_shrink*I31)*G31-1&gt;=A_minev,(1-A_t1_shrink)*N31+A_t1_shrink*(I31*G31-1)&gt;0,M_Sims!Q105=1)</f>
        <v>0</v>
      </c>
      <c r="AI31" s="18">
        <f>IF(AH31,M_Sims!R105*A_t1_cap/A_t1_engcap,0)</f>
        <v>0</v>
      </c>
      <c r="AJ31" s="46" t="str">
        <f t="shared" si="9"/>
        <v>-</v>
      </c>
      <c r="AK31" s="7" t="str">
        <f>IF(AH31,M_Sims!S105,"-")</f>
        <v>-</v>
      </c>
      <c r="AL31" s="51">
        <f>M_Sims!M105</f>
        <v>0</v>
      </c>
      <c r="AM31" s="6" t="str">
        <f t="shared" si="10"/>
        <v>-</v>
      </c>
    </row>
    <row r="32" spans="1:39" ht="15" customHeight="1" x14ac:dyDescent="0.3">
      <c r="A32" s="6" t="s">
        <v>236</v>
      </c>
      <c r="B32" s="7" t="str">
        <f>Odds_Input!C31</f>
        <v>Phoenix Suns</v>
      </c>
      <c r="C32" s="6" t="s">
        <v>220</v>
      </c>
      <c r="D32" s="7" t="str">
        <f>Odds_Input!D31</f>
        <v>YES</v>
      </c>
      <c r="E32" s="31" t="str">
        <f>Odds_Input!E31</f>
        <v>-</v>
      </c>
      <c r="F32" s="32">
        <f>Odds_Input!F31</f>
        <v>18000</v>
      </c>
      <c r="G32" s="36">
        <f>M_DeVig!H31</f>
        <v>181</v>
      </c>
      <c r="H32" s="7" t="str">
        <f>Odds_Input!G31</f>
        <v>-</v>
      </c>
      <c r="I32" s="42">
        <f>M_DeVig!Q31</f>
        <v>1.8865148208312753E-3</v>
      </c>
      <c r="J32" s="42">
        <f>INDEX(M_Sims!$I$15:$I$44,MATCH($C32,M_Sims!$A$15:$A$44,0))</f>
        <v>9.5300000000000003E-3</v>
      </c>
      <c r="K32" s="43">
        <f t="shared" si="0"/>
        <v>10393.17943336831</v>
      </c>
      <c r="L32" s="34">
        <f t="shared" si="1"/>
        <v>0.72493000000000007</v>
      </c>
      <c r="M32" s="38">
        <f t="shared" si="2"/>
        <v>0.76434851791687253</v>
      </c>
      <c r="N32" s="42">
        <f>M_Sims!B106</f>
        <v>0.13788666666666641</v>
      </c>
      <c r="O32" s="42">
        <f>M_Sims!C106</f>
        <v>1.462806666666667</v>
      </c>
      <c r="P32" s="42">
        <f>M_Sims!D106</f>
        <v>0.96666666666666679</v>
      </c>
      <c r="Q32" s="34">
        <f t="shared" si="3"/>
        <v>5.7082574104156377E-3</v>
      </c>
      <c r="R32" s="18" t="str">
        <f t="shared" si="4"/>
        <v>-</v>
      </c>
      <c r="S32" s="46" t="str">
        <f t="shared" si="5"/>
        <v>-</v>
      </c>
      <c r="T32" s="51" t="str">
        <f>IF(A_tier2_on=1,M_Sims!M106,"-")</f>
        <v>-</v>
      </c>
      <c r="U32" s="46" t="str">
        <f>IF(OR(A_bankroll="",A_tier2_on&lt;&gt;1),"-",MIN(A_maxbet,M_Sims!M106*A_bankroll))</f>
        <v>-</v>
      </c>
      <c r="V32" s="30">
        <f>M_Sims!H106</f>
        <v>1</v>
      </c>
      <c r="W32" s="6" t="b">
        <f>AND(H32&lt;&gt;"IMPUTED_20C_LADDER",L32&gt;=A_minev,N32&gt;0,V32=1,IF(A32="PLAYOFFS",A_poconf=1,TRUE),IF(AND(A32="WINS",A_zs_on=1),AND(AE32&gt;=A_minev,M_Sims!O106&gt;0),TRUE),AF32&gt;=A_minev,AG32&gt;0,IF(I32&lt;A_longthr,(1-A_shrink)*M_Sims!K106+A_shrink*(I32*G32-1)&gt;=A_minev,TRUE),IF(AND(OR(A32="WINS",A32="PLAYOFFS",LEFT(A32,4)="DIV_"),INDEX(Raw_Teams!$F$8:$F$37,MATCH($C32,Raw_Teams!$A$8:$A$37,0))&lt;A_contthr),AND(((1-A_contshrink)*J32+A_contshrink*I32)*G32-1&gt;=A_minev,(1-A_contshrink)*N32+A_contshrink*(I32*G32-1)&gt;0),TRUE),M_Sims!P106=0)</f>
        <v>0</v>
      </c>
      <c r="X32" s="6" t="s">
        <v>1301</v>
      </c>
      <c r="Y32" s="6" t="s">
        <v>1302</v>
      </c>
      <c r="Z32" s="6">
        <v>23</v>
      </c>
      <c r="AA32" s="7" t="str">
        <f t="shared" si="6"/>
        <v>OK - sims match current assumptions</v>
      </c>
      <c r="AB32" s="13" t="s">
        <v>33</v>
      </c>
      <c r="AC32" s="13" t="s">
        <v>33</v>
      </c>
      <c r="AD32" s="13" t="s">
        <v>33</v>
      </c>
      <c r="AE32" s="13" t="s">
        <v>33</v>
      </c>
      <c r="AF32" s="34">
        <f t="shared" si="7"/>
        <v>3.3194591285230501E-2</v>
      </c>
      <c r="AG32" s="34">
        <f t="shared" si="8"/>
        <v>-0.2603270753814364</v>
      </c>
      <c r="AH32" s="6" t="b">
        <f>AND(W32,I32&gt;=A_t1_fair,((1-A_t1_shrink)*J32+A_t1_shrink*I32)*G32-1&gt;=A_minev,(1-A_t1_shrink)*N32+A_t1_shrink*(I32*G32-1)&gt;0,M_Sims!Q106=1)</f>
        <v>0</v>
      </c>
      <c r="AI32" s="18">
        <f>IF(AH32,M_Sims!R106*A_t1_cap/A_t1_engcap,0)</f>
        <v>0</v>
      </c>
      <c r="AJ32" s="46" t="str">
        <f t="shared" si="9"/>
        <v>-</v>
      </c>
      <c r="AK32" s="7" t="str">
        <f>IF(AH32,M_Sims!S106,"-")</f>
        <v>-</v>
      </c>
      <c r="AL32" s="51">
        <f>M_Sims!M106</f>
        <v>0</v>
      </c>
      <c r="AM32" s="6" t="str">
        <f t="shared" si="10"/>
        <v>-</v>
      </c>
    </row>
    <row r="33" spans="1:39" ht="15" customHeight="1" x14ac:dyDescent="0.3">
      <c r="A33" s="6" t="s">
        <v>236</v>
      </c>
      <c r="B33" s="7" t="str">
        <f>Odds_Input!C32</f>
        <v>Portland Trail Blazers</v>
      </c>
      <c r="C33" s="6" t="s">
        <v>221</v>
      </c>
      <c r="D33" s="7" t="str">
        <f>Odds_Input!D32</f>
        <v>YES</v>
      </c>
      <c r="E33" s="31" t="str">
        <f>Odds_Input!E32</f>
        <v>-</v>
      </c>
      <c r="F33" s="32">
        <f>Odds_Input!F32</f>
        <v>10000</v>
      </c>
      <c r="G33" s="36">
        <f>M_DeVig!H32</f>
        <v>101</v>
      </c>
      <c r="H33" s="7" t="str">
        <f>Odds_Input!G32</f>
        <v>-</v>
      </c>
      <c r="I33" s="42">
        <f>M_DeVig!Q32</f>
        <v>4.917527402131543E-3</v>
      </c>
      <c r="J33" s="42">
        <f>INDEX(M_Sims!$I$15:$I$44,MATCH($C33,M_Sims!$A$15:$A$44,0))</f>
        <v>2.6360000000000001E-2</v>
      </c>
      <c r="K33" s="43">
        <f t="shared" si="0"/>
        <v>3693.6267071320176</v>
      </c>
      <c r="L33" s="34">
        <f t="shared" si="1"/>
        <v>1.6623600000000001</v>
      </c>
      <c r="M33" s="38">
        <f t="shared" si="2"/>
        <v>2.1442472597868458</v>
      </c>
      <c r="N33" s="42">
        <f>M_Sims!B107</f>
        <v>1.1997800000000001</v>
      </c>
      <c r="O33" s="42">
        <f>M_Sims!C107</f>
        <v>2.21584</v>
      </c>
      <c r="P33" s="42">
        <f>M_Sims!D107</f>
        <v>1</v>
      </c>
      <c r="Q33" s="34">
        <f t="shared" si="3"/>
        <v>1.5638763701065771E-2</v>
      </c>
      <c r="R33" s="18" t="str">
        <f t="shared" si="4"/>
        <v>-</v>
      </c>
      <c r="S33" s="46" t="str">
        <f t="shared" si="5"/>
        <v>-</v>
      </c>
      <c r="T33" s="51" t="str">
        <f>IF(A_tier2_on=1,M_Sims!M107,"-")</f>
        <v>-</v>
      </c>
      <c r="U33" s="46" t="str">
        <f>IF(OR(A_bankroll="",A_tier2_on&lt;&gt;1),"-",MIN(A_maxbet,M_Sims!M107*A_bankroll))</f>
        <v>-</v>
      </c>
      <c r="V33" s="30">
        <f>M_Sims!H107</f>
        <v>1</v>
      </c>
      <c r="W33" s="6" t="b">
        <f>AND(H33&lt;&gt;"IMPUTED_20C_LADDER",L33&gt;=A_minev,N33&gt;0,V33=1,IF(A33="PLAYOFFS",A_poconf=1,TRUE),IF(AND(A33="WINS",A_zs_on=1),AND(AE33&gt;=A_minev,M_Sims!O107&gt;0),TRUE),AF33&gt;=A_minev,AG33&gt;0,IF(I33&lt;A_longthr,(1-A_shrink)*M_Sims!K107+A_shrink*(I33*G33-1)&gt;=A_minev,TRUE),IF(AND(OR(A33="WINS",A33="PLAYOFFS",LEFT(A33,4)="DIV_"),INDEX(Raw_Teams!$F$8:$F$37,MATCH($C33,Raw_Teams!$A$8:$A$37,0))&lt;A_contthr),AND(((1-A_contshrink)*J33+A_contshrink*I33)*G33-1&gt;=A_minev,(1-A_contshrink)*N33+A_contshrink*(I33*G33-1)&gt;0),TRUE),M_Sims!P107=0)</f>
        <v>1</v>
      </c>
      <c r="X33" s="6" t="s">
        <v>1301</v>
      </c>
      <c r="Y33" s="6" t="s">
        <v>1302</v>
      </c>
      <c r="Z33" s="6">
        <v>24</v>
      </c>
      <c r="AA33" s="7" t="str">
        <f t="shared" si="6"/>
        <v>OK - sims match current assumptions</v>
      </c>
      <c r="AB33" s="13" t="s">
        <v>33</v>
      </c>
      <c r="AC33" s="13" t="s">
        <v>33</v>
      </c>
      <c r="AD33" s="13" t="s">
        <v>33</v>
      </c>
      <c r="AE33" s="13" t="s">
        <v>33</v>
      </c>
      <c r="AF33" s="34">
        <f t="shared" si="7"/>
        <v>0.57951513380764297</v>
      </c>
      <c r="AG33" s="34">
        <f t="shared" si="8"/>
        <v>0.34822513380764297</v>
      </c>
      <c r="AH33" s="6" t="b">
        <f>AND(W33,I33&gt;=A_t1_fair,((1-A_t1_shrink)*J33+A_t1_shrink*I33)*G33-1&gt;=A_minev,(1-A_t1_shrink)*N33+A_t1_shrink*(I33*G33-1)&gt;0,M_Sims!Q107=1)</f>
        <v>0</v>
      </c>
      <c r="AI33" s="18">
        <f>IF(AH33,M_Sims!R107*A_t1_cap/A_t1_engcap,0)</f>
        <v>0</v>
      </c>
      <c r="AJ33" s="46" t="str">
        <f t="shared" si="9"/>
        <v>-</v>
      </c>
      <c r="AK33" s="7" t="str">
        <f>IF(AH33,M_Sims!S107,"-")</f>
        <v>-</v>
      </c>
      <c r="AL33" s="51">
        <f>M_Sims!M107</f>
        <v>0</v>
      </c>
      <c r="AM33" s="6" t="str">
        <f t="shared" si="10"/>
        <v>Tier 2</v>
      </c>
    </row>
    <row r="34" spans="1:39" ht="15" customHeight="1" x14ac:dyDescent="0.3">
      <c r="A34" s="6" t="s">
        <v>236</v>
      </c>
      <c r="B34" s="7" t="str">
        <f>Odds_Input!C33</f>
        <v>Sacramento Kings</v>
      </c>
      <c r="C34" s="6" t="s">
        <v>222</v>
      </c>
      <c r="D34" s="7" t="str">
        <f>Odds_Input!D33</f>
        <v>YES</v>
      </c>
      <c r="E34" s="31" t="str">
        <f>Odds_Input!E33</f>
        <v>-</v>
      </c>
      <c r="F34" s="32">
        <f>Odds_Input!F33</f>
        <v>25000</v>
      </c>
      <c r="G34" s="36">
        <f>M_DeVig!H33</f>
        <v>251</v>
      </c>
      <c r="H34" s="7" t="str">
        <f>Odds_Input!G33</f>
        <v>-</v>
      </c>
      <c r="I34" s="42">
        <f>M_DeVig!Q33</f>
        <v>1.0482741504970515E-3</v>
      </c>
      <c r="J34" s="42">
        <f>INDEX(M_Sims!$I$15:$I$44,MATCH($C34,M_Sims!$A$15:$A$44,0))</f>
        <v>1.8000000000000001E-4</v>
      </c>
      <c r="K34" s="43">
        <f t="shared" si="0"/>
        <v>555455.5555555555</v>
      </c>
      <c r="L34" s="34">
        <f t="shared" si="1"/>
        <v>-0.95482</v>
      </c>
      <c r="M34" s="38">
        <f t="shared" si="2"/>
        <v>-8.6827415049705148E-2</v>
      </c>
      <c r="N34" s="42">
        <f>M_Sims!B108</f>
        <v>-1</v>
      </c>
      <c r="O34" s="42">
        <f>M_Sims!C108</f>
        <v>-0.91633333333333322</v>
      </c>
      <c r="P34" s="42">
        <f>M_Sims!D108</f>
        <v>0</v>
      </c>
      <c r="Q34" s="34">
        <f t="shared" si="3"/>
        <v>6.1413707524852579E-4</v>
      </c>
      <c r="R34" s="18" t="str">
        <f t="shared" si="4"/>
        <v>-</v>
      </c>
      <c r="S34" s="46" t="str">
        <f t="shared" si="5"/>
        <v>-</v>
      </c>
      <c r="T34" s="51" t="str">
        <f>IF(A_tier2_on=1,M_Sims!M108,"-")</f>
        <v>-</v>
      </c>
      <c r="U34" s="46" t="str">
        <f>IF(OR(A_bankroll="",A_tier2_on&lt;&gt;1),"-",MIN(A_maxbet,M_Sims!M108*A_bankroll))</f>
        <v>-</v>
      </c>
      <c r="V34" s="30">
        <f>M_Sims!H108</f>
        <v>0</v>
      </c>
      <c r="W34" s="6" t="b">
        <f>AND(H34&lt;&gt;"IMPUTED_20C_LADDER",L34&gt;=A_minev,N34&gt;0,V34=1,IF(A34="PLAYOFFS",A_poconf=1,TRUE),IF(AND(A34="WINS",A_zs_on=1),AND(AE34&gt;=A_minev,M_Sims!O108&gt;0),TRUE),AF34&gt;=A_minev,AG34&gt;0,IF(I34&lt;A_longthr,(1-A_shrink)*M_Sims!K108+A_shrink*(I34*G34-1)&gt;=A_minev,TRUE),IF(AND(OR(A34="WINS",A34="PLAYOFFS",LEFT(A34,4)="DIV_"),INDEX(Raw_Teams!$F$8:$F$37,MATCH($C34,Raw_Teams!$A$8:$A$37,0))&lt;A_contthr),AND(((1-A_contshrink)*J34+A_contshrink*I34)*G34-1&gt;=A_minev,(1-A_contshrink)*N34+A_contshrink*(I34*G34-1)&gt;0),TRUE),M_Sims!P108=0)</f>
        <v>0</v>
      </c>
      <c r="X34" s="6" t="s">
        <v>1301</v>
      </c>
      <c r="Y34" s="6" t="s">
        <v>1302</v>
      </c>
      <c r="Z34" s="6">
        <v>25</v>
      </c>
      <c r="AA34" s="7" t="str">
        <f t="shared" si="6"/>
        <v>OK - sims match current assumptions</v>
      </c>
      <c r="AB34" s="13" t="s">
        <v>33</v>
      </c>
      <c r="AC34" s="13" t="s">
        <v>33</v>
      </c>
      <c r="AD34" s="13" t="s">
        <v>33</v>
      </c>
      <c r="AE34" s="13" t="s">
        <v>33</v>
      </c>
      <c r="AF34" s="34">
        <f t="shared" si="7"/>
        <v>-0.84585159411262001</v>
      </c>
      <c r="AG34" s="34">
        <f t="shared" si="8"/>
        <v>-0.86844159411262001</v>
      </c>
      <c r="AH34" s="6" t="b">
        <f>AND(W34,I34&gt;=A_t1_fair,((1-A_t1_shrink)*J34+A_t1_shrink*I34)*G34-1&gt;=A_minev,(1-A_t1_shrink)*N34+A_t1_shrink*(I34*G34-1)&gt;0,M_Sims!Q108=1)</f>
        <v>0</v>
      </c>
      <c r="AI34" s="18">
        <f>IF(AH34,M_Sims!R108*A_t1_cap/A_t1_engcap,0)</f>
        <v>0</v>
      </c>
      <c r="AJ34" s="46" t="str">
        <f t="shared" si="9"/>
        <v>-</v>
      </c>
      <c r="AK34" s="7" t="str">
        <f>IF(AH34,M_Sims!S108,"-")</f>
        <v>-</v>
      </c>
      <c r="AL34" s="51">
        <f>M_Sims!M108</f>
        <v>0</v>
      </c>
      <c r="AM34" s="6" t="str">
        <f t="shared" si="10"/>
        <v>-</v>
      </c>
    </row>
    <row r="35" spans="1:39" ht="15" customHeight="1" x14ac:dyDescent="0.3">
      <c r="A35" s="6" t="s">
        <v>236</v>
      </c>
      <c r="B35" s="7" t="str">
        <f>Odds_Input!C34</f>
        <v>San Antonio Spurs</v>
      </c>
      <c r="C35" s="6" t="s">
        <v>223</v>
      </c>
      <c r="D35" s="7" t="str">
        <f>Odds_Input!D34</f>
        <v>YES</v>
      </c>
      <c r="E35" s="31" t="str">
        <f>Odds_Input!E34</f>
        <v>-</v>
      </c>
      <c r="F35" s="32">
        <f>Odds_Input!F34</f>
        <v>250</v>
      </c>
      <c r="G35" s="36">
        <f>M_DeVig!H34</f>
        <v>3.5</v>
      </c>
      <c r="H35" s="7" t="str">
        <f>Odds_Input!G34</f>
        <v>-</v>
      </c>
      <c r="I35" s="42">
        <f>M_DeVig!Q34</f>
        <v>0.25118441200397795</v>
      </c>
      <c r="J35" s="42">
        <f>INDEX(M_Sims!$I$15:$I$44,MATCH($C35,M_Sims!$A$15:$A$44,0))</f>
        <v>0.10163</v>
      </c>
      <c r="K35" s="43">
        <f t="shared" si="0"/>
        <v>883.96142871199459</v>
      </c>
      <c r="L35" s="34">
        <f t="shared" si="1"/>
        <v>-0.64429500000000006</v>
      </c>
      <c r="M35" s="38">
        <f t="shared" si="2"/>
        <v>-14.955441200397795</v>
      </c>
      <c r="N35" s="42">
        <f>M_Sims!B109</f>
        <v>-0.69475333333333333</v>
      </c>
      <c r="O35" s="42">
        <f>M_Sims!C109</f>
        <v>-0.59000999999999992</v>
      </c>
      <c r="P35" s="42">
        <f>M_Sims!D109</f>
        <v>0</v>
      </c>
      <c r="Q35" s="34">
        <f t="shared" si="3"/>
        <v>0.17640720600198898</v>
      </c>
      <c r="R35" s="18" t="str">
        <f t="shared" si="4"/>
        <v>-</v>
      </c>
      <c r="S35" s="46" t="str">
        <f t="shared" si="5"/>
        <v>-</v>
      </c>
      <c r="T35" s="51" t="str">
        <f>IF(A_tier2_on=1,M_Sims!M109,"-")</f>
        <v>-</v>
      </c>
      <c r="U35" s="46" t="str">
        <f>IF(OR(A_bankroll="",A_tier2_on&lt;&gt;1),"-",MIN(A_maxbet,M_Sims!M109*A_bankroll))</f>
        <v>-</v>
      </c>
      <c r="V35" s="30">
        <f>M_Sims!H109</f>
        <v>1</v>
      </c>
      <c r="W35" s="6" t="b">
        <f>AND(H35&lt;&gt;"IMPUTED_20C_LADDER",L35&gt;=A_minev,N35&gt;0,V35=1,IF(A35="PLAYOFFS",A_poconf=1,TRUE),IF(AND(A35="WINS",A_zs_on=1),AND(AE35&gt;=A_minev,M_Sims!O109&gt;0),TRUE),AF35&gt;=A_minev,AG35&gt;0,IF(I35&lt;A_longthr,(1-A_shrink)*M_Sims!K109+A_shrink*(I35*G35-1)&gt;=A_minev,TRUE),IF(AND(OR(A35="WINS",A35="PLAYOFFS",LEFT(A35,4)="DIV_"),INDEX(Raw_Teams!$F$8:$F$37,MATCH($C35,Raw_Teams!$A$8:$A$37,0))&lt;A_contthr),AND(((1-A_contshrink)*J35+A_contshrink*I35)*G35-1&gt;=A_minev,(1-A_contshrink)*N35+A_contshrink*(I35*G35-1)&gt;0),TRUE),M_Sims!P109=0)</f>
        <v>0</v>
      </c>
      <c r="X35" s="6" t="s">
        <v>1301</v>
      </c>
      <c r="Y35" s="6" t="s">
        <v>1302</v>
      </c>
      <c r="Z35" s="6">
        <v>26</v>
      </c>
      <c r="AA35" s="7" t="str">
        <f t="shared" si="6"/>
        <v>OK - sims match current assumptions</v>
      </c>
      <c r="AB35" s="13" t="s">
        <v>33</v>
      </c>
      <c r="AC35" s="13" t="s">
        <v>33</v>
      </c>
      <c r="AD35" s="13" t="s">
        <v>33</v>
      </c>
      <c r="AE35" s="13" t="s">
        <v>33</v>
      </c>
      <c r="AF35" s="34">
        <f t="shared" si="7"/>
        <v>-0.3825747789930386</v>
      </c>
      <c r="AG35" s="34">
        <f t="shared" si="8"/>
        <v>-0.40780394565970524</v>
      </c>
      <c r="AH35" s="6" t="b">
        <f>AND(W35,I35&gt;=A_t1_fair,((1-A_t1_shrink)*J35+A_t1_shrink*I35)*G35-1&gt;=A_minev,(1-A_t1_shrink)*N35+A_t1_shrink*(I35*G35-1)&gt;0,M_Sims!Q109=1)</f>
        <v>0</v>
      </c>
      <c r="AI35" s="18">
        <f>IF(AH35,M_Sims!R109*A_t1_cap/A_t1_engcap,0)</f>
        <v>0</v>
      </c>
      <c r="AJ35" s="46" t="str">
        <f t="shared" si="9"/>
        <v>-</v>
      </c>
      <c r="AK35" s="7" t="str">
        <f>IF(AH35,M_Sims!S109,"-")</f>
        <v>-</v>
      </c>
      <c r="AL35" s="51">
        <f>M_Sims!M109</f>
        <v>0</v>
      </c>
      <c r="AM35" s="6" t="str">
        <f t="shared" si="10"/>
        <v>-</v>
      </c>
    </row>
    <row r="36" spans="1:39" ht="15" customHeight="1" x14ac:dyDescent="0.3">
      <c r="A36" s="6" t="s">
        <v>236</v>
      </c>
      <c r="B36" s="7" t="str">
        <f>Odds_Input!C35</f>
        <v>Toronto Raptors</v>
      </c>
      <c r="C36" s="6" t="s">
        <v>224</v>
      </c>
      <c r="D36" s="7" t="str">
        <f>Odds_Input!D35</f>
        <v>YES</v>
      </c>
      <c r="E36" s="31" t="str">
        <f>Odds_Input!E35</f>
        <v>-</v>
      </c>
      <c r="F36" s="32">
        <f>Odds_Input!F35</f>
        <v>2600</v>
      </c>
      <c r="G36" s="36">
        <f>M_DeVig!H35</f>
        <v>27</v>
      </c>
      <c r="H36" s="7" t="str">
        <f>Odds_Input!G35</f>
        <v>-</v>
      </c>
      <c r="I36" s="42">
        <f>M_DeVig!Q35</f>
        <v>2.8155532984986568E-2</v>
      </c>
      <c r="J36" s="42">
        <f>INDEX(M_Sims!$I$15:$I$44,MATCH($C36,M_Sims!$A$15:$A$44,0))</f>
        <v>8.0030000000000004E-2</v>
      </c>
      <c r="K36" s="43">
        <f t="shared" si="0"/>
        <v>1149.5314257153566</v>
      </c>
      <c r="L36" s="34">
        <f t="shared" si="1"/>
        <v>1.1608100000000001</v>
      </c>
      <c r="M36" s="38">
        <f t="shared" si="2"/>
        <v>5.1874467015013437</v>
      </c>
      <c r="N36" s="42">
        <f>M_Sims!B110</f>
        <v>0.90781999999999963</v>
      </c>
      <c r="O36" s="42">
        <f>M_Sims!C110</f>
        <v>1.4784200000000001</v>
      </c>
      <c r="P36" s="42">
        <f>M_Sims!D110</f>
        <v>1</v>
      </c>
      <c r="Q36" s="34">
        <f t="shared" si="3"/>
        <v>5.4092766492493283E-2</v>
      </c>
      <c r="R36" s="18" t="str">
        <f t="shared" si="4"/>
        <v>-</v>
      </c>
      <c r="S36" s="46" t="str">
        <f t="shared" si="5"/>
        <v>-</v>
      </c>
      <c r="T36" s="51" t="str">
        <f>IF(A_tier2_on=1,M_Sims!M110,"-")</f>
        <v>-</v>
      </c>
      <c r="U36" s="46" t="str">
        <f>IF(OR(A_bankroll="",A_tier2_on&lt;&gt;1),"-",MIN(A_maxbet,M_Sims!M110*A_bankroll))</f>
        <v>-</v>
      </c>
      <c r="V36" s="30">
        <f>M_Sims!H110</f>
        <v>1</v>
      </c>
      <c r="W36" s="6" t="b">
        <f>AND(H36&lt;&gt;"IMPUTED_20C_LADDER",L36&gt;=A_minev,N36&gt;0,V36=1,IF(A36="PLAYOFFS",A_poconf=1,TRUE),IF(AND(A36="WINS",A_zs_on=1),AND(AE36&gt;=A_minev,M_Sims!O110&gt;0),TRUE),AF36&gt;=A_minev,AG36&gt;0,IF(I36&lt;A_longthr,(1-A_shrink)*M_Sims!K110+A_shrink*(I36*G36-1)&gt;=A_minev,TRUE),IF(AND(OR(A36="WINS",A36="PLAYOFFS",LEFT(A36,4)="DIV_"),INDEX(Raw_Teams!$F$8:$F$37,MATCH($C36,Raw_Teams!$A$8:$A$37,0))&lt;A_contthr),AND(((1-A_contshrink)*J36+A_contshrink*I36)*G36-1&gt;=A_minev,(1-A_contshrink)*N36+A_contshrink*(I36*G36-1)&gt;0),TRUE),M_Sims!P110=0)</f>
        <v>1</v>
      </c>
      <c r="X36" s="6" t="s">
        <v>1301</v>
      </c>
      <c r="Y36" s="6" t="s">
        <v>1302</v>
      </c>
      <c r="Z36" s="6">
        <v>27</v>
      </c>
      <c r="AA36" s="7" t="str">
        <f t="shared" si="6"/>
        <v>OK - sims match current assumptions</v>
      </c>
      <c r="AB36" s="13" t="s">
        <v>33</v>
      </c>
      <c r="AC36" s="13" t="s">
        <v>33</v>
      </c>
      <c r="AD36" s="13" t="s">
        <v>33</v>
      </c>
      <c r="AE36" s="13" t="s">
        <v>33</v>
      </c>
      <c r="AF36" s="34">
        <f t="shared" si="7"/>
        <v>0.46050469529731863</v>
      </c>
      <c r="AG36" s="34">
        <f t="shared" si="8"/>
        <v>0.3340096952973185</v>
      </c>
      <c r="AH36" s="6" t="b">
        <f>AND(W36,I36&gt;=A_t1_fair,((1-A_t1_shrink)*J36+A_t1_shrink*I36)*G36-1&gt;=A_minev,(1-A_t1_shrink)*N36+A_t1_shrink*(I36*G36-1)&gt;0,M_Sims!Q110=1)</f>
        <v>0</v>
      </c>
      <c r="AI36" s="18">
        <f>IF(AH36,M_Sims!R110*A_t1_cap/A_t1_engcap,0)</f>
        <v>0</v>
      </c>
      <c r="AJ36" s="46" t="str">
        <f t="shared" si="9"/>
        <v>-</v>
      </c>
      <c r="AK36" s="7" t="str">
        <f>IF(AH36,M_Sims!S110,"-")</f>
        <v>-</v>
      </c>
      <c r="AL36" s="51">
        <f>M_Sims!M110</f>
        <v>4.2365657574930003E-4</v>
      </c>
      <c r="AM36" s="6" t="str">
        <f t="shared" si="10"/>
        <v>Tier 2</v>
      </c>
    </row>
    <row r="37" spans="1:39" ht="15" customHeight="1" x14ac:dyDescent="0.3">
      <c r="A37" s="6" t="s">
        <v>236</v>
      </c>
      <c r="B37" s="7" t="str">
        <f>Odds_Input!C36</f>
        <v>Utah Jazz</v>
      </c>
      <c r="C37" s="6" t="s">
        <v>225</v>
      </c>
      <c r="D37" s="7" t="str">
        <f>Odds_Input!D36</f>
        <v>YES</v>
      </c>
      <c r="E37" s="31" t="str">
        <f>Odds_Input!E36</f>
        <v>-</v>
      </c>
      <c r="F37" s="32">
        <f>Odds_Input!F36</f>
        <v>12500</v>
      </c>
      <c r="G37" s="36">
        <f>M_DeVig!H36</f>
        <v>126</v>
      </c>
      <c r="H37" s="7" t="str">
        <f>Odds_Input!G36</f>
        <v>-</v>
      </c>
      <c r="I37" s="42">
        <f>M_DeVig!Q36</f>
        <v>3.4716321778757854E-3</v>
      </c>
      <c r="J37" s="42">
        <f>INDEX(M_Sims!$I$15:$I$44,MATCH($C37,M_Sims!$A$15:$A$44,0))</f>
        <v>1.98E-3</v>
      </c>
      <c r="K37" s="43">
        <f t="shared" si="0"/>
        <v>50405.050505050509</v>
      </c>
      <c r="L37" s="34">
        <f t="shared" si="1"/>
        <v>-0.75051999999999996</v>
      </c>
      <c r="M37" s="38">
        <f t="shared" si="2"/>
        <v>-0.14916321778757854</v>
      </c>
      <c r="N37" s="42">
        <f>M_Sims!B111</f>
        <v>-0.85887999999999998</v>
      </c>
      <c r="O37" s="42">
        <f>M_Sims!C111</f>
        <v>-0.4783599999999999</v>
      </c>
      <c r="P37" s="42">
        <f>M_Sims!D111</f>
        <v>0</v>
      </c>
      <c r="Q37" s="34">
        <f t="shared" si="3"/>
        <v>2.7258160889378925E-3</v>
      </c>
      <c r="R37" s="18" t="str">
        <f t="shared" si="4"/>
        <v>-</v>
      </c>
      <c r="S37" s="46" t="str">
        <f t="shared" si="5"/>
        <v>-</v>
      </c>
      <c r="T37" s="51" t="str">
        <f>IF(A_tier2_on=1,M_Sims!M111,"-")</f>
        <v>-</v>
      </c>
      <c r="U37" s="46" t="str">
        <f>IF(OR(A_bankroll="",A_tier2_on&lt;&gt;1),"-",MIN(A_maxbet,M_Sims!M111*A_bankroll))</f>
        <v>-</v>
      </c>
      <c r="V37" s="30">
        <f>M_Sims!H111</f>
        <v>0</v>
      </c>
      <c r="W37" s="6" t="b">
        <f>AND(H37&lt;&gt;"IMPUTED_20C_LADDER",L37&gt;=A_minev,N37&gt;0,V37=1,IF(A37="PLAYOFFS",A_poconf=1,TRUE),IF(AND(A37="WINS",A_zs_on=1),AND(AE37&gt;=A_minev,M_Sims!O111&gt;0),TRUE),AF37&gt;=A_minev,AG37&gt;0,IF(I37&lt;A_longthr,(1-A_shrink)*M_Sims!K111+A_shrink*(I37*G37-1)&gt;=A_minev,TRUE),IF(AND(OR(A37="WINS",A37="PLAYOFFS",LEFT(A37,4)="DIV_"),INDEX(Raw_Teams!$F$8:$F$37,MATCH($C37,Raw_Teams!$A$8:$A$37,0))&lt;A_contthr),AND(((1-A_contshrink)*J37+A_contshrink*I37)*G37-1&gt;=A_minev,(1-A_contshrink)*N37+A_contshrink*(I37*G37-1)&gt;0),TRUE),M_Sims!P111=0)</f>
        <v>0</v>
      </c>
      <c r="X37" s="6" t="s">
        <v>1301</v>
      </c>
      <c r="Y37" s="6" t="s">
        <v>1302</v>
      </c>
      <c r="Z37" s="6">
        <v>28</v>
      </c>
      <c r="AA37" s="7" t="str">
        <f t="shared" si="6"/>
        <v>OK - sims match current assumptions</v>
      </c>
      <c r="AB37" s="13" t="s">
        <v>33</v>
      </c>
      <c r="AC37" s="13" t="s">
        <v>33</v>
      </c>
      <c r="AD37" s="13" t="s">
        <v>33</v>
      </c>
      <c r="AE37" s="13" t="s">
        <v>33</v>
      </c>
      <c r="AF37" s="34">
        <f t="shared" si="7"/>
        <v>-0.65654717279382557</v>
      </c>
      <c r="AG37" s="34">
        <f t="shared" si="8"/>
        <v>-0.71072717279382558</v>
      </c>
      <c r="AH37" s="6" t="b">
        <f>AND(W37,I37&gt;=A_t1_fair,((1-A_t1_shrink)*J37+A_t1_shrink*I37)*G37-1&gt;=A_minev,(1-A_t1_shrink)*N37+A_t1_shrink*(I37*G37-1)&gt;0,M_Sims!Q111=1)</f>
        <v>0</v>
      </c>
      <c r="AI37" s="18">
        <f>IF(AH37,M_Sims!R111*A_t1_cap/A_t1_engcap,0)</f>
        <v>0</v>
      </c>
      <c r="AJ37" s="46" t="str">
        <f t="shared" si="9"/>
        <v>-</v>
      </c>
      <c r="AK37" s="7" t="str">
        <f>IF(AH37,M_Sims!S111,"-")</f>
        <v>-</v>
      </c>
      <c r="AL37" s="51">
        <f>M_Sims!M111</f>
        <v>0</v>
      </c>
      <c r="AM37" s="6" t="str">
        <f t="shared" si="10"/>
        <v>-</v>
      </c>
    </row>
    <row r="38" spans="1:39" ht="15" customHeight="1" x14ac:dyDescent="0.3">
      <c r="A38" s="6" t="s">
        <v>236</v>
      </c>
      <c r="B38" s="7" t="str">
        <f>Odds_Input!C37</f>
        <v>Washington Wizards</v>
      </c>
      <c r="C38" s="6" t="s">
        <v>226</v>
      </c>
      <c r="D38" s="7" t="str">
        <f>Odds_Input!D37</f>
        <v>YES</v>
      </c>
      <c r="E38" s="31" t="str">
        <f>Odds_Input!E37</f>
        <v>-</v>
      </c>
      <c r="F38" s="32">
        <f>Odds_Input!F37</f>
        <v>14500</v>
      </c>
      <c r="G38" s="36">
        <f>M_DeVig!H37</f>
        <v>146</v>
      </c>
      <c r="H38" s="7" t="str">
        <f>Odds_Input!G37</f>
        <v>-</v>
      </c>
      <c r="I38" s="42">
        <f>M_DeVig!Q37</f>
        <v>2.7246056272470097E-3</v>
      </c>
      <c r="J38" s="42">
        <f>INDEX(M_Sims!$I$15:$I$44,MATCH($C38,M_Sims!$A$15:$A$44,0))</f>
        <v>6.4999999999999997E-4</v>
      </c>
      <c r="K38" s="43">
        <f t="shared" si="0"/>
        <v>153746.15384615384</v>
      </c>
      <c r="L38" s="34">
        <f t="shared" si="1"/>
        <v>-0.90510000000000002</v>
      </c>
      <c r="M38" s="38">
        <f t="shared" si="2"/>
        <v>-0.20746056272470098</v>
      </c>
      <c r="N38" s="42">
        <f>M_Sims!B112</f>
        <v>-0.96106666666666662</v>
      </c>
      <c r="O38" s="42">
        <f>M_Sims!C112</f>
        <v>-0.79462666666666659</v>
      </c>
      <c r="P38" s="42">
        <f>M_Sims!D112</f>
        <v>0</v>
      </c>
      <c r="Q38" s="34">
        <f t="shared" si="3"/>
        <v>1.6873028136235048E-3</v>
      </c>
      <c r="R38" s="18" t="str">
        <f t="shared" si="4"/>
        <v>-</v>
      </c>
      <c r="S38" s="46" t="str">
        <f t="shared" si="5"/>
        <v>-</v>
      </c>
      <c r="T38" s="51" t="str">
        <f>IF(A_tier2_on=1,M_Sims!M112,"-")</f>
        <v>-</v>
      </c>
      <c r="U38" s="46" t="str">
        <f>IF(OR(A_bankroll="",A_tier2_on&lt;&gt;1),"-",MIN(A_maxbet,M_Sims!M112*A_bankroll))</f>
        <v>-</v>
      </c>
      <c r="V38" s="30">
        <f>M_Sims!H112</f>
        <v>0</v>
      </c>
      <c r="W38" s="6" t="b">
        <f>AND(H38&lt;&gt;"IMPUTED_20C_LADDER",L38&gt;=A_minev,N38&gt;0,V38=1,IF(A38="PLAYOFFS",A_poconf=1,TRUE),IF(AND(A38="WINS",A_zs_on=1),AND(AE38&gt;=A_minev,M_Sims!O112&gt;0),TRUE),AF38&gt;=A_minev,AG38&gt;0,IF(I38&lt;A_longthr,(1-A_shrink)*M_Sims!K112+A_shrink*(I38*G38-1)&gt;=A_minev,TRUE),IF(AND(OR(A38="WINS",A38="PLAYOFFS",LEFT(A38,4)="DIV_"),INDEX(Raw_Teams!$F$8:$F$37,MATCH($C38,Raw_Teams!$A$8:$A$37,0))&lt;A_contthr),AND(((1-A_contshrink)*J38+A_contshrink*I38)*G38-1&gt;=A_minev,(1-A_contshrink)*N38+A_contshrink*(I38*G38-1)&gt;0),TRUE),M_Sims!P112=0)</f>
        <v>0</v>
      </c>
      <c r="X38" s="6" t="s">
        <v>1301</v>
      </c>
      <c r="Y38" s="6" t="s">
        <v>1302</v>
      </c>
      <c r="Z38" s="6">
        <v>29</v>
      </c>
      <c r="AA38" s="7" t="str">
        <f t="shared" si="6"/>
        <v>OK - sims match current assumptions</v>
      </c>
      <c r="AB38" s="13" t="s">
        <v>33</v>
      </c>
      <c r="AC38" s="13" t="s">
        <v>33</v>
      </c>
      <c r="AD38" s="13" t="s">
        <v>33</v>
      </c>
      <c r="AE38" s="13" t="s">
        <v>33</v>
      </c>
      <c r="AF38" s="34">
        <f t="shared" si="7"/>
        <v>-0.75365378921096826</v>
      </c>
      <c r="AG38" s="34">
        <f t="shared" si="8"/>
        <v>-0.78163712254430151</v>
      </c>
      <c r="AH38" s="6" t="b">
        <f>AND(W38,I38&gt;=A_t1_fair,((1-A_t1_shrink)*J38+A_t1_shrink*I38)*G38-1&gt;=A_minev,(1-A_t1_shrink)*N38+A_t1_shrink*(I38*G38-1)&gt;0,M_Sims!Q112=1)</f>
        <v>0</v>
      </c>
      <c r="AI38" s="18">
        <f>IF(AH38,M_Sims!R112*A_t1_cap/A_t1_engcap,0)</f>
        <v>0</v>
      </c>
      <c r="AJ38" s="46" t="str">
        <f t="shared" si="9"/>
        <v>-</v>
      </c>
      <c r="AK38" s="7" t="str">
        <f>IF(AH38,M_Sims!S112,"-")</f>
        <v>-</v>
      </c>
      <c r="AL38" s="51">
        <f>M_Sims!M112</f>
        <v>0</v>
      </c>
      <c r="AM38" s="6" t="str">
        <f t="shared" si="10"/>
        <v>-</v>
      </c>
    </row>
    <row r="39" spans="1:39" ht="15" customHeight="1" x14ac:dyDescent="0.3"/>
    <row r="40" spans="1:39" ht="15" customHeight="1" x14ac:dyDescent="0.3">
      <c r="A40" s="48" t="s">
        <v>268</v>
      </c>
      <c r="B40" s="49" t="s">
        <v>1303</v>
      </c>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row>
    <row r="41" spans="1:39" ht="15" customHeight="1" x14ac:dyDescent="0.3">
      <c r="A41" s="6" t="s">
        <v>268</v>
      </c>
      <c r="B41" s="7" t="str">
        <f>Odds_Input!C38</f>
        <v>Atlanta Hawks</v>
      </c>
      <c r="C41" s="6" t="s">
        <v>197</v>
      </c>
      <c r="D41" s="7" t="str">
        <f>Odds_Input!D38</f>
        <v>YES</v>
      </c>
      <c r="E41" s="31" t="str">
        <f>Odds_Input!E38</f>
        <v>-</v>
      </c>
      <c r="F41" s="32">
        <f>Odds_Input!F38</f>
        <v>2000</v>
      </c>
      <c r="G41" s="36">
        <f>M_DeVig!H38</f>
        <v>21</v>
      </c>
      <c r="H41" s="7" t="str">
        <f>Odds_Input!G38</f>
        <v>-</v>
      </c>
      <c r="I41" s="42">
        <f>M_DeVig!Q38</f>
        <v>3.5542440493548995E-2</v>
      </c>
      <c r="J41" s="42">
        <f>INDEX(M_Sims!$H$15:$H$44,MATCH($C41,M_Sims!$A$15:$A$44,0))</f>
        <v>4.4630000000000003E-2</v>
      </c>
      <c r="K41" s="43">
        <f t="shared" ref="K41:K55" si="11">IF(J41&gt;=0.5,-100*J41/(1-J41),100*(1-J41)/J41)</f>
        <v>2140.6453058480843</v>
      </c>
      <c r="L41" s="34">
        <f t="shared" ref="L41:L55" si="12">J41*G41-1</f>
        <v>-6.2769999999999992E-2</v>
      </c>
      <c r="M41" s="38">
        <f t="shared" ref="M41:M55" si="13">(J41-I41)*100</f>
        <v>0.90875595064510084</v>
      </c>
      <c r="N41" s="42">
        <f>M_Sims!B113</f>
        <v>-0.28711999999999999</v>
      </c>
      <c r="O41" s="42">
        <f>M_Sims!C113</f>
        <v>0.17152000000000009</v>
      </c>
      <c r="P41" s="42">
        <f>M_Sims!D113</f>
        <v>0.41666666666666669</v>
      </c>
      <c r="Q41" s="34">
        <f t="shared" ref="Q41:Q55" si="14">(1-A_shrink)*J41+A_shrink*I41</f>
        <v>4.0086220246774495E-2</v>
      </c>
      <c r="R41" s="18" t="str">
        <f t="shared" ref="R41:R55" si="15">IF(A_tier2_on=1,MAX(0,(Q41*G41-1)/(G41-1))*A_kelly,"-")</f>
        <v>-</v>
      </c>
      <c r="S41" s="46" t="str">
        <f t="shared" ref="S41:S55" si="16">IF(OR(A_bankroll="",A_tier2_on&lt;&gt;1),"-",MIN(A_maxbet,MAX(0,(Q41*G41-1)/(G41-1))*A_kelly*A_bankroll))</f>
        <v>-</v>
      </c>
      <c r="T41" s="51" t="str">
        <f>IF(A_tier2_on=1,M_Sims!M113,"-")</f>
        <v>-</v>
      </c>
      <c r="U41" s="46" t="str">
        <f>IF(OR(A_bankroll="",A_tier2_on&lt;&gt;1),"-",MIN(A_maxbet,M_Sims!M113*A_bankroll))</f>
        <v>-</v>
      </c>
      <c r="V41" s="30">
        <f>M_Sims!H113</f>
        <v>1</v>
      </c>
      <c r="W41" s="6" t="b">
        <f>AND(H41&lt;&gt;"IMPUTED_20C_LADDER",L41&gt;=A_minev,N41&gt;0,V41=1,IF(A41="PLAYOFFS",A_poconf=1,TRUE),IF(AND(A41="WINS",A_zs_on=1),AND(AE41&gt;=A_minev,M_Sims!O113&gt;0),TRUE),AF41&gt;=A_minev,AG41&gt;0,IF(I41&lt;A_longthr,(1-A_shrink)*M_Sims!K113+A_shrink*(I41*G41-1)&gt;=A_minev,TRUE),IF(AND(OR(A41="WINS",A41="PLAYOFFS",LEFT(A41,4)="DIV_"),INDEX(Raw_Teams!$F$8:$F$37,MATCH($C41,Raw_Teams!$A$8:$A$37,0))&lt;A_contthr),AND(((1-A_contshrink)*J41+A_contshrink*I41)*G41-1&gt;=A_minev,(1-A_contshrink)*N41+A_contshrink*(I41*G41-1)&gt;0),TRUE),M_Sims!P113=0)</f>
        <v>0</v>
      </c>
      <c r="X41" s="6" t="s">
        <v>1301</v>
      </c>
      <c r="Y41" s="6" t="s">
        <v>1302</v>
      </c>
      <c r="Z41" s="6">
        <v>30</v>
      </c>
      <c r="AA41" s="7" t="str">
        <f t="shared" ref="AA41:AA55" si="17">Sim_Stale</f>
        <v>OK - sims match current assumptions</v>
      </c>
      <c r="AB41" s="13" t="s">
        <v>33</v>
      </c>
      <c r="AC41" s="13" t="s">
        <v>33</v>
      </c>
      <c r="AD41" s="13" t="s">
        <v>33</v>
      </c>
      <c r="AE41" s="13" t="s">
        <v>33</v>
      </c>
      <c r="AF41" s="34">
        <f t="shared" ref="AF41:AF55" si="18">Q41*G41-1</f>
        <v>-0.15818937481773565</v>
      </c>
      <c r="AG41" s="34">
        <f t="shared" ref="AG41:AG55" si="19">(1-A_shrink)*N41+A_shrink*(I41*G41-1)</f>
        <v>-0.27036437481773556</v>
      </c>
      <c r="AH41" s="6" t="b">
        <f>AND(W41,I41&gt;=A_t1_fair,((1-A_t1_shrink)*J41+A_t1_shrink*I41)*G41-1&gt;=A_minev,(1-A_t1_shrink)*N41+A_t1_shrink*(I41*G41-1)&gt;0,M_Sims!Q113=1)</f>
        <v>0</v>
      </c>
      <c r="AI41" s="18">
        <f>IF(AH41,M_Sims!R113*A_t1_cap/A_t1_engcap,0)</f>
        <v>0</v>
      </c>
      <c r="AJ41" s="46" t="str">
        <f t="shared" ref="AJ41:AJ55" si="20">IF(OR(A_bankroll="",NOT(AH41)),"-",MIN(A_maxbet,AI41*A_bankroll))</f>
        <v>-</v>
      </c>
      <c r="AK41" s="7" t="str">
        <f>IF(AH41,M_Sims!S113,"-")</f>
        <v>-</v>
      </c>
      <c r="AL41" s="51">
        <f>M_Sims!M113</f>
        <v>0</v>
      </c>
      <c r="AM41" s="6" t="str">
        <f t="shared" ref="AM41:AM55" si="21">IF(W41,IF(AH41,"Tier 1","Tier 2"),"-")</f>
        <v>-</v>
      </c>
    </row>
    <row r="42" spans="1:39" ht="15" customHeight="1" x14ac:dyDescent="0.3">
      <c r="A42" s="6" t="s">
        <v>268</v>
      </c>
      <c r="B42" s="7" t="str">
        <f>Odds_Input!C39</f>
        <v>Boston Celtics</v>
      </c>
      <c r="C42" s="6" t="s">
        <v>199</v>
      </c>
      <c r="D42" s="7" t="str">
        <f>Odds_Input!D39</f>
        <v>YES</v>
      </c>
      <c r="E42" s="31" t="str">
        <f>Odds_Input!E39</f>
        <v>-</v>
      </c>
      <c r="F42" s="32">
        <f>Odds_Input!F39</f>
        <v>525</v>
      </c>
      <c r="G42" s="36">
        <f>M_DeVig!H39</f>
        <v>6.25</v>
      </c>
      <c r="H42" s="7" t="str">
        <f>Odds_Input!G39</f>
        <v>-</v>
      </c>
      <c r="I42" s="42">
        <f>M_DeVig!Q39</f>
        <v>0.13802485784774374</v>
      </c>
      <c r="J42" s="42">
        <f>INDEX(M_Sims!$H$15:$H$44,MATCH($C42,M_Sims!$A$15:$A$44,0))</f>
        <v>0.18912999999999999</v>
      </c>
      <c r="K42" s="43">
        <f t="shared" si="11"/>
        <v>428.73684767091424</v>
      </c>
      <c r="L42" s="34">
        <f t="shared" si="12"/>
        <v>0.18206250000000002</v>
      </c>
      <c r="M42" s="38">
        <f t="shared" si="13"/>
        <v>5.110514215225626</v>
      </c>
      <c r="N42" s="42">
        <f>M_Sims!B114</f>
        <v>6.0791666666666799E-2</v>
      </c>
      <c r="O42" s="42">
        <f>M_Sims!C114</f>
        <v>0.30212500000000009</v>
      </c>
      <c r="P42" s="42">
        <f>M_Sims!D114</f>
        <v>0.98333333333333317</v>
      </c>
      <c r="Q42" s="34">
        <f t="shared" si="14"/>
        <v>0.16357742892387186</v>
      </c>
      <c r="R42" s="18" t="str">
        <f t="shared" si="15"/>
        <v>-</v>
      </c>
      <c r="S42" s="46" t="str">
        <f t="shared" si="16"/>
        <v>-</v>
      </c>
      <c r="T42" s="51" t="str">
        <f>IF(A_tier2_on=1,M_Sims!M114,"-")</f>
        <v>-</v>
      </c>
      <c r="U42" s="46" t="str">
        <f>IF(OR(A_bankroll="",A_tier2_on&lt;&gt;1),"-",MIN(A_maxbet,M_Sims!M114*A_bankroll))</f>
        <v>-</v>
      </c>
      <c r="V42" s="30">
        <f>M_Sims!H114</f>
        <v>1</v>
      </c>
      <c r="W42" s="6" t="b">
        <f>AND(H42&lt;&gt;"IMPUTED_20C_LADDER",L42&gt;=A_minev,N42&gt;0,V42=1,IF(A42="PLAYOFFS",A_poconf=1,TRUE),IF(AND(A42="WINS",A_zs_on=1),AND(AE42&gt;=A_minev,M_Sims!O114&gt;0),TRUE),AF42&gt;=A_minev,AG42&gt;0,IF(I42&lt;A_longthr,(1-A_shrink)*M_Sims!K114+A_shrink*(I42*G42-1)&gt;=A_minev,TRUE),IF(AND(OR(A42="WINS",A42="PLAYOFFS",LEFT(A42,4)="DIV_"),INDEX(Raw_Teams!$F$8:$F$37,MATCH($C42,Raw_Teams!$A$8:$A$37,0))&lt;A_contthr),AND(((1-A_contshrink)*J42+A_contshrink*I42)*G42-1&gt;=A_minev,(1-A_contshrink)*N42+A_contshrink*(I42*G42-1)&gt;0),TRUE),M_Sims!P114=0)</f>
        <v>0</v>
      </c>
      <c r="X42" s="6" t="s">
        <v>1301</v>
      </c>
      <c r="Y42" s="6" t="s">
        <v>1302</v>
      </c>
      <c r="Z42" s="6">
        <v>31</v>
      </c>
      <c r="AA42" s="7" t="str">
        <f t="shared" si="17"/>
        <v>OK - sims match current assumptions</v>
      </c>
      <c r="AB42" s="13" t="s">
        <v>33</v>
      </c>
      <c r="AC42" s="13" t="s">
        <v>33</v>
      </c>
      <c r="AD42" s="13" t="s">
        <v>33</v>
      </c>
      <c r="AE42" s="13" t="s">
        <v>33</v>
      </c>
      <c r="AF42" s="34">
        <f t="shared" si="18"/>
        <v>2.2358930774199148E-2</v>
      </c>
      <c r="AG42" s="34">
        <f t="shared" si="19"/>
        <v>-3.8276485892467405E-2</v>
      </c>
      <c r="AH42" s="6" t="b">
        <f>AND(W42,I42&gt;=A_t1_fair,((1-A_t1_shrink)*J42+A_t1_shrink*I42)*G42-1&gt;=A_minev,(1-A_t1_shrink)*N42+A_t1_shrink*(I42*G42-1)&gt;0,M_Sims!Q114=1)</f>
        <v>0</v>
      </c>
      <c r="AI42" s="18">
        <f>IF(AH42,M_Sims!R114*A_t1_cap/A_t1_engcap,0)</f>
        <v>0</v>
      </c>
      <c r="AJ42" s="46" t="str">
        <f t="shared" si="20"/>
        <v>-</v>
      </c>
      <c r="AK42" s="7" t="str">
        <f>IF(AH42,M_Sims!S114,"-")</f>
        <v>-</v>
      </c>
      <c r="AL42" s="51">
        <f>M_Sims!M114</f>
        <v>0</v>
      </c>
      <c r="AM42" s="6" t="str">
        <f t="shared" si="21"/>
        <v>-</v>
      </c>
    </row>
    <row r="43" spans="1:39" ht="15" customHeight="1" x14ac:dyDescent="0.3">
      <c r="A43" s="6" t="s">
        <v>268</v>
      </c>
      <c r="B43" s="7" t="str">
        <f>Odds_Input!C40</f>
        <v>Brooklyn Nets</v>
      </c>
      <c r="C43" s="6" t="s">
        <v>198</v>
      </c>
      <c r="D43" s="7" t="str">
        <f>Odds_Input!D40</f>
        <v>YES</v>
      </c>
      <c r="E43" s="31" t="str">
        <f>Odds_Input!E40</f>
        <v>-</v>
      </c>
      <c r="F43" s="32">
        <f>Odds_Input!F40</f>
        <v>25000</v>
      </c>
      <c r="G43" s="36">
        <f>M_DeVig!H40</f>
        <v>251</v>
      </c>
      <c r="H43" s="7" t="str">
        <f>Odds_Input!G40</f>
        <v>-</v>
      </c>
      <c r="I43" s="42">
        <f>M_DeVig!Q40</f>
        <v>7.073360919281807E-4</v>
      </c>
      <c r="J43" s="42">
        <f>INDEX(M_Sims!$H$15:$H$44,MATCH($C43,M_Sims!$A$15:$A$44,0))</f>
        <v>6.0600000000000003E-3</v>
      </c>
      <c r="K43" s="43">
        <f t="shared" si="11"/>
        <v>16401.650165016501</v>
      </c>
      <c r="L43" s="34">
        <f t="shared" si="12"/>
        <v>0.52106000000000008</v>
      </c>
      <c r="M43" s="38">
        <f t="shared" si="13"/>
        <v>0.53526639080718197</v>
      </c>
      <c r="N43" s="42">
        <f>M_Sims!B115</f>
        <v>-3.7833333333333399E-2</v>
      </c>
      <c r="O43" s="42">
        <f>M_Sims!C115</f>
        <v>1.22888</v>
      </c>
      <c r="P43" s="42">
        <f>M_Sims!D115</f>
        <v>0.8666666666666667</v>
      </c>
      <c r="Q43" s="34">
        <f t="shared" si="14"/>
        <v>3.3836680459640904E-3</v>
      </c>
      <c r="R43" s="18" t="str">
        <f t="shared" si="15"/>
        <v>-</v>
      </c>
      <c r="S43" s="46" t="str">
        <f t="shared" si="16"/>
        <v>-</v>
      </c>
      <c r="T43" s="51" t="str">
        <f>IF(A_tier2_on=1,M_Sims!M115,"-")</f>
        <v>-</v>
      </c>
      <c r="U43" s="46" t="str">
        <f>IF(OR(A_bankroll="",A_tier2_on&lt;&gt;1),"-",MIN(A_maxbet,M_Sims!M115*A_bankroll))</f>
        <v>-</v>
      </c>
      <c r="V43" s="30">
        <f>M_Sims!H115</f>
        <v>1</v>
      </c>
      <c r="W43" s="6" t="b">
        <f>AND(H43&lt;&gt;"IMPUTED_20C_LADDER",L43&gt;=A_minev,N43&gt;0,V43=1,IF(A43="PLAYOFFS",A_poconf=1,TRUE),IF(AND(A43="WINS",A_zs_on=1),AND(AE43&gt;=A_minev,M_Sims!O115&gt;0),TRUE),AF43&gt;=A_minev,AG43&gt;0,IF(I43&lt;A_longthr,(1-A_shrink)*M_Sims!K115+A_shrink*(I43*G43-1)&gt;=A_minev,TRUE),IF(AND(OR(A43="WINS",A43="PLAYOFFS",LEFT(A43,4)="DIV_"),INDEX(Raw_Teams!$F$8:$F$37,MATCH($C43,Raw_Teams!$A$8:$A$37,0))&lt;A_contthr),AND(((1-A_contshrink)*J43+A_contshrink*I43)*G43-1&gt;=A_minev,(1-A_contshrink)*N43+A_contshrink*(I43*G43-1)&gt;0),TRUE),M_Sims!P115=0)</f>
        <v>0</v>
      </c>
      <c r="X43" s="6" t="s">
        <v>1301</v>
      </c>
      <c r="Y43" s="6" t="s">
        <v>1302</v>
      </c>
      <c r="Z43" s="6">
        <v>32</v>
      </c>
      <c r="AA43" s="7" t="str">
        <f t="shared" si="17"/>
        <v>OK - sims match current assumptions</v>
      </c>
      <c r="AB43" s="13" t="s">
        <v>33</v>
      </c>
      <c r="AC43" s="13" t="s">
        <v>33</v>
      </c>
      <c r="AD43" s="13" t="s">
        <v>33</v>
      </c>
      <c r="AE43" s="13" t="s">
        <v>33</v>
      </c>
      <c r="AF43" s="34">
        <f t="shared" si="18"/>
        <v>-0.15069932046301326</v>
      </c>
      <c r="AG43" s="34">
        <f t="shared" si="19"/>
        <v>-0.43014598712968</v>
      </c>
      <c r="AH43" s="6" t="b">
        <f>AND(W43,I43&gt;=A_t1_fair,((1-A_t1_shrink)*J43+A_t1_shrink*I43)*G43-1&gt;=A_minev,(1-A_t1_shrink)*N43+A_t1_shrink*(I43*G43-1)&gt;0,M_Sims!Q115=1)</f>
        <v>0</v>
      </c>
      <c r="AI43" s="18">
        <f>IF(AH43,M_Sims!R115*A_t1_cap/A_t1_engcap,0)</f>
        <v>0</v>
      </c>
      <c r="AJ43" s="46" t="str">
        <f t="shared" si="20"/>
        <v>-</v>
      </c>
      <c r="AK43" s="7" t="str">
        <f>IF(AH43,M_Sims!S115,"-")</f>
        <v>-</v>
      </c>
      <c r="AL43" s="51">
        <f>M_Sims!M115</f>
        <v>0</v>
      </c>
      <c r="AM43" s="6" t="str">
        <f t="shared" si="21"/>
        <v>-</v>
      </c>
    </row>
    <row r="44" spans="1:39" ht="15" customHeight="1" x14ac:dyDescent="0.3">
      <c r="A44" s="6" t="s">
        <v>268</v>
      </c>
      <c r="B44" s="7" t="str">
        <f>Odds_Input!C41</f>
        <v>Charlotte Hornets</v>
      </c>
      <c r="C44" s="6" t="s">
        <v>200</v>
      </c>
      <c r="D44" s="7" t="str">
        <f>Odds_Input!D41</f>
        <v>YES</v>
      </c>
      <c r="E44" s="31" t="str">
        <f>Odds_Input!E41</f>
        <v>-</v>
      </c>
      <c r="F44" s="32">
        <f>Odds_Input!F41</f>
        <v>2900</v>
      </c>
      <c r="G44" s="36">
        <f>M_DeVig!H41</f>
        <v>30</v>
      </c>
      <c r="H44" s="7" t="str">
        <f>Odds_Input!G41</f>
        <v>-</v>
      </c>
      <c r="I44" s="42">
        <f>M_DeVig!Q41</f>
        <v>2.2818862657083178E-2</v>
      </c>
      <c r="J44" s="42">
        <f>INDEX(M_Sims!$H$15:$H$44,MATCH($C44,M_Sims!$A$15:$A$44,0))</f>
        <v>2.647E-2</v>
      </c>
      <c r="K44" s="43">
        <f t="shared" si="11"/>
        <v>3677.8617302606722</v>
      </c>
      <c r="L44" s="34">
        <f t="shared" si="12"/>
        <v>-0.20589999999999997</v>
      </c>
      <c r="M44" s="38">
        <f t="shared" si="13"/>
        <v>0.3651137342916822</v>
      </c>
      <c r="N44" s="42">
        <f>M_Sims!B116</f>
        <v>-0.41120000000000001</v>
      </c>
      <c r="O44" s="42">
        <f>M_Sims!C116</f>
        <v>-1.35999999999998E-2</v>
      </c>
      <c r="P44" s="42">
        <f>M_Sims!D116</f>
        <v>0.1</v>
      </c>
      <c r="Q44" s="34">
        <f t="shared" si="14"/>
        <v>2.4644431328541591E-2</v>
      </c>
      <c r="R44" s="18" t="str">
        <f t="shared" si="15"/>
        <v>-</v>
      </c>
      <c r="S44" s="46" t="str">
        <f t="shared" si="16"/>
        <v>-</v>
      </c>
      <c r="T44" s="51" t="str">
        <f>IF(A_tier2_on=1,M_Sims!M116,"-")</f>
        <v>-</v>
      </c>
      <c r="U44" s="46" t="str">
        <f>IF(OR(A_bankroll="",A_tier2_on&lt;&gt;1),"-",MIN(A_maxbet,M_Sims!M116*A_bankroll))</f>
        <v>-</v>
      </c>
      <c r="V44" s="30">
        <f>M_Sims!H116</f>
        <v>1</v>
      </c>
      <c r="W44" s="6" t="b">
        <f>AND(H44&lt;&gt;"IMPUTED_20C_LADDER",L44&gt;=A_minev,N44&gt;0,V44=1,IF(A44="PLAYOFFS",A_poconf=1,TRUE),IF(AND(A44="WINS",A_zs_on=1),AND(AE44&gt;=A_minev,M_Sims!O116&gt;0),TRUE),AF44&gt;=A_minev,AG44&gt;0,IF(I44&lt;A_longthr,(1-A_shrink)*M_Sims!K116+A_shrink*(I44*G44-1)&gt;=A_minev,TRUE),IF(AND(OR(A44="WINS",A44="PLAYOFFS",LEFT(A44,4)="DIV_"),INDEX(Raw_Teams!$F$8:$F$37,MATCH($C44,Raw_Teams!$A$8:$A$37,0))&lt;A_contthr),AND(((1-A_contshrink)*J44+A_contshrink*I44)*G44-1&gt;=A_minev,(1-A_contshrink)*N44+A_contshrink*(I44*G44-1)&gt;0),TRUE),M_Sims!P116=0)</f>
        <v>0</v>
      </c>
      <c r="X44" s="6" t="s">
        <v>1301</v>
      </c>
      <c r="Y44" s="6" t="s">
        <v>1302</v>
      </c>
      <c r="Z44" s="6">
        <v>33</v>
      </c>
      <c r="AA44" s="7" t="str">
        <f t="shared" si="17"/>
        <v>OK - sims match current assumptions</v>
      </c>
      <c r="AB44" s="13" t="s">
        <v>33</v>
      </c>
      <c r="AC44" s="13" t="s">
        <v>33</v>
      </c>
      <c r="AD44" s="13" t="s">
        <v>33</v>
      </c>
      <c r="AE44" s="13" t="s">
        <v>33</v>
      </c>
      <c r="AF44" s="34">
        <f t="shared" si="18"/>
        <v>-0.26066706014375229</v>
      </c>
      <c r="AG44" s="34">
        <f t="shared" si="19"/>
        <v>-0.36331706014375231</v>
      </c>
      <c r="AH44" s="6" t="b">
        <f>AND(W44,I44&gt;=A_t1_fair,((1-A_t1_shrink)*J44+A_t1_shrink*I44)*G44-1&gt;=A_minev,(1-A_t1_shrink)*N44+A_t1_shrink*(I44*G44-1)&gt;0,M_Sims!Q116=1)</f>
        <v>0</v>
      </c>
      <c r="AI44" s="18">
        <f>IF(AH44,M_Sims!R116*A_t1_cap/A_t1_engcap,0)</f>
        <v>0</v>
      </c>
      <c r="AJ44" s="46" t="str">
        <f t="shared" si="20"/>
        <v>-</v>
      </c>
      <c r="AK44" s="7" t="str">
        <f>IF(AH44,M_Sims!S116,"-")</f>
        <v>-</v>
      </c>
      <c r="AL44" s="51">
        <f>M_Sims!M116</f>
        <v>0</v>
      </c>
      <c r="AM44" s="6" t="str">
        <f t="shared" si="21"/>
        <v>-</v>
      </c>
    </row>
    <row r="45" spans="1:39" ht="15" customHeight="1" x14ac:dyDescent="0.3">
      <c r="A45" s="6" t="s">
        <v>268</v>
      </c>
      <c r="B45" s="7" t="str">
        <f>Odds_Input!C42</f>
        <v>Chicago Bulls</v>
      </c>
      <c r="C45" s="6" t="s">
        <v>201</v>
      </c>
      <c r="D45" s="7" t="str">
        <f>Odds_Input!D42</f>
        <v>YES</v>
      </c>
      <c r="E45" s="31" t="str">
        <f>Odds_Input!E42</f>
        <v>-</v>
      </c>
      <c r="F45" s="32">
        <f>Odds_Input!F42</f>
        <v>23000</v>
      </c>
      <c r="G45" s="36">
        <f>M_DeVig!H42</f>
        <v>231</v>
      </c>
      <c r="H45" s="7" t="str">
        <f>Odds_Input!G42</f>
        <v>-</v>
      </c>
      <c r="I45" s="42">
        <f>M_DeVig!Q42</f>
        <v>8.2974689808264679E-4</v>
      </c>
      <c r="J45" s="42">
        <f>INDEX(M_Sims!$H$15:$H$44,MATCH($C45,M_Sims!$A$15:$A$44,0))</f>
        <v>7.7299999999999999E-3</v>
      </c>
      <c r="K45" s="43">
        <f t="shared" si="11"/>
        <v>12836.610608020699</v>
      </c>
      <c r="L45" s="34">
        <f t="shared" si="12"/>
        <v>0.78563000000000005</v>
      </c>
      <c r="M45" s="38">
        <f t="shared" si="13"/>
        <v>0.6900253101917353</v>
      </c>
      <c r="N45" s="42">
        <f>M_Sims!B117</f>
        <v>-6.6760000000000097E-2</v>
      </c>
      <c r="O45" s="42">
        <f>M_Sims!C117</f>
        <v>2.0984799999999999</v>
      </c>
      <c r="P45" s="42">
        <f>M_Sims!D117</f>
        <v>0.8833333333333333</v>
      </c>
      <c r="Q45" s="34">
        <f t="shared" si="14"/>
        <v>4.2798734490413232E-3</v>
      </c>
      <c r="R45" s="18" t="str">
        <f t="shared" si="15"/>
        <v>-</v>
      </c>
      <c r="S45" s="46" t="str">
        <f t="shared" si="16"/>
        <v>-</v>
      </c>
      <c r="T45" s="51" t="str">
        <f>IF(A_tier2_on=1,M_Sims!M117,"-")</f>
        <v>-</v>
      </c>
      <c r="U45" s="46" t="str">
        <f>IF(OR(A_bankroll="",A_tier2_on&lt;&gt;1),"-",MIN(A_maxbet,M_Sims!M117*A_bankroll))</f>
        <v>-</v>
      </c>
      <c r="V45" s="30">
        <f>M_Sims!H117</f>
        <v>1</v>
      </c>
      <c r="W45" s="6" t="b">
        <f>AND(H45&lt;&gt;"IMPUTED_20C_LADDER",L45&gt;=A_minev,N45&gt;0,V45=1,IF(A45="PLAYOFFS",A_poconf=1,TRUE),IF(AND(A45="WINS",A_zs_on=1),AND(AE45&gt;=A_minev,M_Sims!O117&gt;0),TRUE),AF45&gt;=A_minev,AG45&gt;0,IF(I45&lt;A_longthr,(1-A_shrink)*M_Sims!K117+A_shrink*(I45*G45-1)&gt;=A_minev,TRUE),IF(AND(OR(A45="WINS",A45="PLAYOFFS",LEFT(A45,4)="DIV_"),INDEX(Raw_Teams!$F$8:$F$37,MATCH($C45,Raw_Teams!$A$8:$A$37,0))&lt;A_contthr),AND(((1-A_contshrink)*J45+A_contshrink*I45)*G45-1&gt;=A_minev,(1-A_contshrink)*N45+A_contshrink*(I45*G45-1)&gt;0),TRUE),M_Sims!P117=0)</f>
        <v>0</v>
      </c>
      <c r="X45" s="6" t="s">
        <v>1301</v>
      </c>
      <c r="Y45" s="6" t="s">
        <v>1302</v>
      </c>
      <c r="Z45" s="6">
        <v>34</v>
      </c>
      <c r="AA45" s="7" t="str">
        <f t="shared" si="17"/>
        <v>OK - sims match current assumptions</v>
      </c>
      <c r="AB45" s="13" t="s">
        <v>33</v>
      </c>
      <c r="AC45" s="13" t="s">
        <v>33</v>
      </c>
      <c r="AD45" s="13" t="s">
        <v>33</v>
      </c>
      <c r="AE45" s="13" t="s">
        <v>33</v>
      </c>
      <c r="AF45" s="34">
        <f t="shared" si="18"/>
        <v>-1.1349233271454318E-2</v>
      </c>
      <c r="AG45" s="34">
        <f t="shared" si="19"/>
        <v>-0.43754423327145431</v>
      </c>
      <c r="AH45" s="6" t="b">
        <f>AND(W45,I45&gt;=A_t1_fair,((1-A_t1_shrink)*J45+A_t1_shrink*I45)*G45-1&gt;=A_minev,(1-A_t1_shrink)*N45+A_t1_shrink*(I45*G45-1)&gt;0,M_Sims!Q117=1)</f>
        <v>0</v>
      </c>
      <c r="AI45" s="18">
        <f>IF(AH45,M_Sims!R117*A_t1_cap/A_t1_engcap,0)</f>
        <v>0</v>
      </c>
      <c r="AJ45" s="46" t="str">
        <f t="shared" si="20"/>
        <v>-</v>
      </c>
      <c r="AK45" s="7" t="str">
        <f>IF(AH45,M_Sims!S117,"-")</f>
        <v>-</v>
      </c>
      <c r="AL45" s="51">
        <f>M_Sims!M117</f>
        <v>0</v>
      </c>
      <c r="AM45" s="6" t="str">
        <f t="shared" si="21"/>
        <v>-</v>
      </c>
    </row>
    <row r="46" spans="1:39" ht="15" customHeight="1" x14ac:dyDescent="0.3">
      <c r="A46" s="6" t="s">
        <v>268</v>
      </c>
      <c r="B46" s="7" t="str">
        <f>Odds_Input!C43</f>
        <v>Cleveland Cavaliers</v>
      </c>
      <c r="C46" s="6" t="s">
        <v>202</v>
      </c>
      <c r="D46" s="7" t="str">
        <f>Odds_Input!D43</f>
        <v>YES</v>
      </c>
      <c r="E46" s="31" t="str">
        <f>Odds_Input!E43</f>
        <v>-</v>
      </c>
      <c r="F46" s="32">
        <f>Odds_Input!F43</f>
        <v>900</v>
      </c>
      <c r="G46" s="36">
        <f>M_DeVig!H43</f>
        <v>10</v>
      </c>
      <c r="H46" s="7" t="str">
        <f>Odds_Input!G43</f>
        <v>-</v>
      </c>
      <c r="I46" s="42">
        <f>M_DeVig!Q43</f>
        <v>8.3128087470530479E-2</v>
      </c>
      <c r="J46" s="42">
        <f>INDEX(M_Sims!$H$15:$H$44,MATCH($C46,M_Sims!$A$15:$A$44,0))</f>
        <v>0.11386</v>
      </c>
      <c r="K46" s="43">
        <f t="shared" si="11"/>
        <v>778.27156156683645</v>
      </c>
      <c r="L46" s="34">
        <f t="shared" si="12"/>
        <v>0.13860000000000006</v>
      </c>
      <c r="M46" s="38">
        <f t="shared" si="13"/>
        <v>3.0731912529469523</v>
      </c>
      <c r="N46" s="42">
        <f>M_Sims!B118</f>
        <v>-1.4999999999999901E-2</v>
      </c>
      <c r="O46" s="42">
        <f>M_Sims!C118</f>
        <v>0.25419999999999998</v>
      </c>
      <c r="P46" s="42">
        <f>M_Sims!D118</f>
        <v>0.83333333333333337</v>
      </c>
      <c r="Q46" s="34">
        <f t="shared" si="14"/>
        <v>9.8494043735265241E-2</v>
      </c>
      <c r="R46" s="18" t="str">
        <f t="shared" si="15"/>
        <v>-</v>
      </c>
      <c r="S46" s="46" t="str">
        <f t="shared" si="16"/>
        <v>-</v>
      </c>
      <c r="T46" s="51" t="str">
        <f>IF(A_tier2_on=1,M_Sims!M118,"-")</f>
        <v>-</v>
      </c>
      <c r="U46" s="46" t="str">
        <f>IF(OR(A_bankroll="",A_tier2_on&lt;&gt;1),"-",MIN(A_maxbet,M_Sims!M118*A_bankroll))</f>
        <v>-</v>
      </c>
      <c r="V46" s="30">
        <f>M_Sims!H118</f>
        <v>1</v>
      </c>
      <c r="W46" s="6" t="b">
        <f>AND(H46&lt;&gt;"IMPUTED_20C_LADDER",L46&gt;=A_minev,N46&gt;0,V46=1,IF(A46="PLAYOFFS",A_poconf=1,TRUE),IF(AND(A46="WINS",A_zs_on=1),AND(AE46&gt;=A_minev,M_Sims!O118&gt;0),TRUE),AF46&gt;=A_minev,AG46&gt;0,IF(I46&lt;A_longthr,(1-A_shrink)*M_Sims!K118+A_shrink*(I46*G46-1)&gt;=A_minev,TRUE),IF(AND(OR(A46="WINS",A46="PLAYOFFS",LEFT(A46,4)="DIV_"),INDEX(Raw_Teams!$F$8:$F$37,MATCH($C46,Raw_Teams!$A$8:$A$37,0))&lt;A_contthr),AND(((1-A_contshrink)*J46+A_contshrink*I46)*G46-1&gt;=A_minev,(1-A_contshrink)*N46+A_contshrink*(I46*G46-1)&gt;0),TRUE),M_Sims!P118=0)</f>
        <v>0</v>
      </c>
      <c r="X46" s="6" t="s">
        <v>1301</v>
      </c>
      <c r="Y46" s="6" t="s">
        <v>1302</v>
      </c>
      <c r="Z46" s="6">
        <v>35</v>
      </c>
      <c r="AA46" s="7" t="str">
        <f t="shared" si="17"/>
        <v>OK - sims match current assumptions</v>
      </c>
      <c r="AB46" s="13" t="s">
        <v>33</v>
      </c>
      <c r="AC46" s="13" t="s">
        <v>33</v>
      </c>
      <c r="AD46" s="13" t="s">
        <v>33</v>
      </c>
      <c r="AE46" s="13" t="s">
        <v>33</v>
      </c>
      <c r="AF46" s="34">
        <f t="shared" si="18"/>
        <v>-1.5059562647347535E-2</v>
      </c>
      <c r="AG46" s="34">
        <f t="shared" si="19"/>
        <v>-9.185956264734757E-2</v>
      </c>
      <c r="AH46" s="6" t="b">
        <f>AND(W46,I46&gt;=A_t1_fair,((1-A_t1_shrink)*J46+A_t1_shrink*I46)*G46-1&gt;=A_minev,(1-A_t1_shrink)*N46+A_t1_shrink*(I46*G46-1)&gt;0,M_Sims!Q118=1)</f>
        <v>0</v>
      </c>
      <c r="AI46" s="18">
        <f>IF(AH46,M_Sims!R118*A_t1_cap/A_t1_engcap,0)</f>
        <v>0</v>
      </c>
      <c r="AJ46" s="46" t="str">
        <f t="shared" si="20"/>
        <v>-</v>
      </c>
      <c r="AK46" s="7" t="str">
        <f>IF(AH46,M_Sims!S118,"-")</f>
        <v>-</v>
      </c>
      <c r="AL46" s="51">
        <f>M_Sims!M118</f>
        <v>0</v>
      </c>
      <c r="AM46" s="6" t="str">
        <f t="shared" si="21"/>
        <v>-</v>
      </c>
    </row>
    <row r="47" spans="1:39" ht="15" customHeight="1" x14ac:dyDescent="0.3">
      <c r="A47" s="6" t="s">
        <v>268</v>
      </c>
      <c r="B47" s="7" t="str">
        <f>Odds_Input!C44</f>
        <v>Detroit Pistons</v>
      </c>
      <c r="C47" s="6" t="s">
        <v>205</v>
      </c>
      <c r="D47" s="7" t="str">
        <f>Odds_Input!D44</f>
        <v>YES</v>
      </c>
      <c r="E47" s="31" t="str">
        <f>Odds_Input!E44</f>
        <v>-</v>
      </c>
      <c r="F47" s="32">
        <f>Odds_Input!F44</f>
        <v>900</v>
      </c>
      <c r="G47" s="36">
        <f>M_DeVig!H44</f>
        <v>10</v>
      </c>
      <c r="H47" s="7" t="str">
        <f>Odds_Input!G44</f>
        <v>-</v>
      </c>
      <c r="I47" s="42">
        <f>M_DeVig!Q44</f>
        <v>8.3128087470530479E-2</v>
      </c>
      <c r="J47" s="42">
        <f>INDEX(M_Sims!$H$15:$H$44,MATCH($C47,M_Sims!$A$15:$A$44,0))</f>
        <v>0.11394</v>
      </c>
      <c r="K47" s="43">
        <f t="shared" si="11"/>
        <v>777.65490609092501</v>
      </c>
      <c r="L47" s="34">
        <f t="shared" si="12"/>
        <v>0.13939999999999997</v>
      </c>
      <c r="M47" s="38">
        <f t="shared" si="13"/>
        <v>3.0811912529469518</v>
      </c>
      <c r="N47" s="42">
        <f>M_Sims!B119</f>
        <v>8.2333333333333397E-2</v>
      </c>
      <c r="O47" s="42">
        <f>M_Sims!C119</f>
        <v>0.2227333333333332</v>
      </c>
      <c r="P47" s="42">
        <f>M_Sims!D119</f>
        <v>1</v>
      </c>
      <c r="Q47" s="34">
        <f t="shared" si="14"/>
        <v>9.8534043735265239E-2</v>
      </c>
      <c r="R47" s="18" t="str">
        <f t="shared" si="15"/>
        <v>-</v>
      </c>
      <c r="S47" s="46" t="str">
        <f t="shared" si="16"/>
        <v>-</v>
      </c>
      <c r="T47" s="51" t="str">
        <f>IF(A_tier2_on=1,M_Sims!M119,"-")</f>
        <v>-</v>
      </c>
      <c r="U47" s="46" t="str">
        <f>IF(OR(A_bankroll="",A_tier2_on&lt;&gt;1),"-",MIN(A_maxbet,M_Sims!M119*A_bankroll))</f>
        <v>-</v>
      </c>
      <c r="V47" s="30">
        <f>M_Sims!H119</f>
        <v>1</v>
      </c>
      <c r="W47" s="6" t="b">
        <f>AND(H47&lt;&gt;"IMPUTED_20C_LADDER",L47&gt;=A_minev,N47&gt;0,V47=1,IF(A47="PLAYOFFS",A_poconf=1,TRUE),IF(AND(A47="WINS",A_zs_on=1),AND(AE47&gt;=A_minev,M_Sims!O119&gt;0),TRUE),AF47&gt;=A_minev,AG47&gt;0,IF(I47&lt;A_longthr,(1-A_shrink)*M_Sims!K119+A_shrink*(I47*G47-1)&gt;=A_minev,TRUE),IF(AND(OR(A47="WINS",A47="PLAYOFFS",LEFT(A47,4)="DIV_"),INDEX(Raw_Teams!$F$8:$F$37,MATCH($C47,Raw_Teams!$A$8:$A$37,0))&lt;A_contthr),AND(((1-A_contshrink)*J47+A_contshrink*I47)*G47-1&gt;=A_minev,(1-A_contshrink)*N47+A_contshrink*(I47*G47-1)&gt;0),TRUE),M_Sims!P119=0)</f>
        <v>0</v>
      </c>
      <c r="X47" s="6" t="s">
        <v>1301</v>
      </c>
      <c r="Y47" s="6" t="s">
        <v>1302</v>
      </c>
      <c r="Z47" s="6">
        <v>36</v>
      </c>
      <c r="AA47" s="7" t="str">
        <f t="shared" si="17"/>
        <v>OK - sims match current assumptions</v>
      </c>
      <c r="AB47" s="13" t="s">
        <v>33</v>
      </c>
      <c r="AC47" s="13" t="s">
        <v>33</v>
      </c>
      <c r="AD47" s="13" t="s">
        <v>33</v>
      </c>
      <c r="AE47" s="13" t="s">
        <v>33</v>
      </c>
      <c r="AF47" s="34">
        <f t="shared" si="18"/>
        <v>-1.4659562647347579E-2</v>
      </c>
      <c r="AG47" s="34">
        <f t="shared" si="19"/>
        <v>-4.319289598068092E-2</v>
      </c>
      <c r="AH47" s="6" t="b">
        <f>AND(W47,I47&gt;=A_t1_fair,((1-A_t1_shrink)*J47+A_t1_shrink*I47)*G47-1&gt;=A_minev,(1-A_t1_shrink)*N47+A_t1_shrink*(I47*G47-1)&gt;0,M_Sims!Q119=1)</f>
        <v>0</v>
      </c>
      <c r="AI47" s="18">
        <f>IF(AH47,M_Sims!R119*A_t1_cap/A_t1_engcap,0)</f>
        <v>0</v>
      </c>
      <c r="AJ47" s="46" t="str">
        <f t="shared" si="20"/>
        <v>-</v>
      </c>
      <c r="AK47" s="7" t="str">
        <f>IF(AH47,M_Sims!S119,"-")</f>
        <v>-</v>
      </c>
      <c r="AL47" s="51">
        <f>M_Sims!M119</f>
        <v>0</v>
      </c>
      <c r="AM47" s="6" t="str">
        <f t="shared" si="21"/>
        <v>-</v>
      </c>
    </row>
    <row r="48" spans="1:39" ht="15" customHeight="1" x14ac:dyDescent="0.3">
      <c r="A48" s="6" t="s">
        <v>268</v>
      </c>
      <c r="B48" s="7" t="str">
        <f>Odds_Input!C45</f>
        <v>Indiana Pacers</v>
      </c>
      <c r="C48" s="6" t="s">
        <v>208</v>
      </c>
      <c r="D48" s="7" t="str">
        <f>Odds_Input!D45</f>
        <v>YES</v>
      </c>
      <c r="E48" s="31" t="str">
        <f>Odds_Input!E45</f>
        <v>-</v>
      </c>
      <c r="F48" s="32">
        <f>Odds_Input!F45</f>
        <v>1600</v>
      </c>
      <c r="G48" s="36">
        <f>M_DeVig!H45</f>
        <v>17</v>
      </c>
      <c r="H48" s="7" t="str">
        <f>Odds_Input!G45</f>
        <v>-</v>
      </c>
      <c r="I48" s="42">
        <f>M_DeVig!Q45</f>
        <v>4.5649697735921299E-2</v>
      </c>
      <c r="J48" s="42">
        <f>INDEX(M_Sims!$H$15:$H$44,MATCH($C48,M_Sims!$A$15:$A$44,0))</f>
        <v>5.2060000000000002E-2</v>
      </c>
      <c r="K48" s="43">
        <f t="shared" si="11"/>
        <v>1820.8605455243949</v>
      </c>
      <c r="L48" s="34">
        <f t="shared" si="12"/>
        <v>-0.11497999999999997</v>
      </c>
      <c r="M48" s="38">
        <f t="shared" si="13"/>
        <v>0.64103022640787033</v>
      </c>
      <c r="N48" s="42">
        <f>M_Sims!B120</f>
        <v>-0.19589999999999999</v>
      </c>
      <c r="O48" s="42">
        <f>M_Sims!C120</f>
        <v>-2.03466666666667E-2</v>
      </c>
      <c r="P48" s="42">
        <f>M_Sims!D120</f>
        <v>0.05</v>
      </c>
      <c r="Q48" s="34">
        <f t="shared" si="14"/>
        <v>4.8854848867960654E-2</v>
      </c>
      <c r="R48" s="18" t="str">
        <f t="shared" si="15"/>
        <v>-</v>
      </c>
      <c r="S48" s="46" t="str">
        <f t="shared" si="16"/>
        <v>-</v>
      </c>
      <c r="T48" s="51" t="str">
        <f>IF(A_tier2_on=1,M_Sims!M120,"-")</f>
        <v>-</v>
      </c>
      <c r="U48" s="46" t="str">
        <f>IF(OR(A_bankroll="",A_tier2_on&lt;&gt;1),"-",MIN(A_maxbet,M_Sims!M120*A_bankroll))</f>
        <v>-</v>
      </c>
      <c r="V48" s="30">
        <f>M_Sims!H120</f>
        <v>1</v>
      </c>
      <c r="W48" s="6" t="b">
        <f>AND(H48&lt;&gt;"IMPUTED_20C_LADDER",L48&gt;=A_minev,N48&gt;0,V48=1,IF(A48="PLAYOFFS",A_poconf=1,TRUE),IF(AND(A48="WINS",A_zs_on=1),AND(AE48&gt;=A_minev,M_Sims!O120&gt;0),TRUE),AF48&gt;=A_minev,AG48&gt;0,IF(I48&lt;A_longthr,(1-A_shrink)*M_Sims!K120+A_shrink*(I48*G48-1)&gt;=A_minev,TRUE),IF(AND(OR(A48="WINS",A48="PLAYOFFS",LEFT(A48,4)="DIV_"),INDEX(Raw_Teams!$F$8:$F$37,MATCH($C48,Raw_Teams!$A$8:$A$37,0))&lt;A_contthr),AND(((1-A_contshrink)*J48+A_contshrink*I48)*G48-1&gt;=A_minev,(1-A_contshrink)*N48+A_contshrink*(I48*G48-1)&gt;0),TRUE),M_Sims!P120=0)</f>
        <v>0</v>
      </c>
      <c r="X48" s="6" t="s">
        <v>1301</v>
      </c>
      <c r="Y48" s="6" t="s">
        <v>1302</v>
      </c>
      <c r="Z48" s="6">
        <v>37</v>
      </c>
      <c r="AA48" s="7" t="str">
        <f t="shared" si="17"/>
        <v>OK - sims match current assumptions</v>
      </c>
      <c r="AB48" s="13" t="s">
        <v>33</v>
      </c>
      <c r="AC48" s="13" t="s">
        <v>33</v>
      </c>
      <c r="AD48" s="13" t="s">
        <v>33</v>
      </c>
      <c r="AE48" s="13" t="s">
        <v>33</v>
      </c>
      <c r="AF48" s="34">
        <f t="shared" si="18"/>
        <v>-0.16946756924466888</v>
      </c>
      <c r="AG48" s="34">
        <f t="shared" si="19"/>
        <v>-0.20992756924466893</v>
      </c>
      <c r="AH48" s="6" t="b">
        <f>AND(W48,I48&gt;=A_t1_fair,((1-A_t1_shrink)*J48+A_t1_shrink*I48)*G48-1&gt;=A_minev,(1-A_t1_shrink)*N48+A_t1_shrink*(I48*G48-1)&gt;0,M_Sims!Q120=1)</f>
        <v>0</v>
      </c>
      <c r="AI48" s="18">
        <f>IF(AH48,M_Sims!R120*A_t1_cap/A_t1_engcap,0)</f>
        <v>0</v>
      </c>
      <c r="AJ48" s="46" t="str">
        <f t="shared" si="20"/>
        <v>-</v>
      </c>
      <c r="AK48" s="7" t="str">
        <f>IF(AH48,M_Sims!S120,"-")</f>
        <v>-</v>
      </c>
      <c r="AL48" s="51">
        <f>M_Sims!M120</f>
        <v>0</v>
      </c>
      <c r="AM48" s="6" t="str">
        <f t="shared" si="21"/>
        <v>-</v>
      </c>
    </row>
    <row r="49" spans="1:39" ht="15" customHeight="1" x14ac:dyDescent="0.3">
      <c r="A49" s="6" t="s">
        <v>268</v>
      </c>
      <c r="B49" s="7" t="str">
        <f>Odds_Input!C46</f>
        <v>Miami Heat</v>
      </c>
      <c r="C49" s="6" t="s">
        <v>212</v>
      </c>
      <c r="D49" s="7" t="str">
        <f>Odds_Input!D46</f>
        <v>YES</v>
      </c>
      <c r="E49" s="31" t="str">
        <f>Odds_Input!E46</f>
        <v>-</v>
      </c>
      <c r="F49" s="32">
        <f>Odds_Input!F46</f>
        <v>1100</v>
      </c>
      <c r="G49" s="36">
        <f>M_DeVig!H46</f>
        <v>12</v>
      </c>
      <c r="H49" s="7" t="str">
        <f>Odds_Input!G46</f>
        <v>-</v>
      </c>
      <c r="I49" s="42">
        <f>M_DeVig!Q46</f>
        <v>6.7921621552925582E-2</v>
      </c>
      <c r="J49" s="42">
        <f>INDEX(M_Sims!$H$15:$H$44,MATCH($C49,M_Sims!$A$15:$A$44,0))</f>
        <v>2.6589999999999999E-2</v>
      </c>
      <c r="K49" s="43">
        <f t="shared" si="11"/>
        <v>3660.8123354644604</v>
      </c>
      <c r="L49" s="34">
        <f t="shared" si="12"/>
        <v>-0.68091999999999997</v>
      </c>
      <c r="M49" s="38">
        <f t="shared" si="13"/>
        <v>-4.1331621552925579</v>
      </c>
      <c r="N49" s="42">
        <f>M_Sims!B121</f>
        <v>-0.74424000000000001</v>
      </c>
      <c r="O49" s="42">
        <f>M_Sims!C121</f>
        <v>-0.58504</v>
      </c>
      <c r="P49" s="42">
        <f>M_Sims!D121</f>
        <v>0</v>
      </c>
      <c r="Q49" s="34">
        <f t="shared" si="14"/>
        <v>4.7255810776462792E-2</v>
      </c>
      <c r="R49" s="18" t="str">
        <f t="shared" si="15"/>
        <v>-</v>
      </c>
      <c r="S49" s="46" t="str">
        <f t="shared" si="16"/>
        <v>-</v>
      </c>
      <c r="T49" s="51" t="str">
        <f>IF(A_tier2_on=1,M_Sims!M121,"-")</f>
        <v>-</v>
      </c>
      <c r="U49" s="46" t="str">
        <f>IF(OR(A_bankroll="",A_tier2_on&lt;&gt;1),"-",MIN(A_maxbet,M_Sims!M121*A_bankroll))</f>
        <v>-</v>
      </c>
      <c r="V49" s="30">
        <f>M_Sims!H121</f>
        <v>1</v>
      </c>
      <c r="W49" s="6" t="b">
        <f>AND(H49&lt;&gt;"IMPUTED_20C_LADDER",L49&gt;=A_minev,N49&gt;0,V49=1,IF(A49="PLAYOFFS",A_poconf=1,TRUE),IF(AND(A49="WINS",A_zs_on=1),AND(AE49&gt;=A_minev,M_Sims!O121&gt;0),TRUE),AF49&gt;=A_minev,AG49&gt;0,IF(I49&lt;A_longthr,(1-A_shrink)*M_Sims!K121+A_shrink*(I49*G49-1)&gt;=A_minev,TRUE),IF(AND(OR(A49="WINS",A49="PLAYOFFS",LEFT(A49,4)="DIV_"),INDEX(Raw_Teams!$F$8:$F$37,MATCH($C49,Raw_Teams!$A$8:$A$37,0))&lt;A_contthr),AND(((1-A_contshrink)*J49+A_contshrink*I49)*G49-1&gt;=A_minev,(1-A_contshrink)*N49+A_contshrink*(I49*G49-1)&gt;0),TRUE),M_Sims!P121=0)</f>
        <v>0</v>
      </c>
      <c r="X49" s="6" t="s">
        <v>1301</v>
      </c>
      <c r="Y49" s="6" t="s">
        <v>1302</v>
      </c>
      <c r="Z49" s="6">
        <v>38</v>
      </c>
      <c r="AA49" s="7" t="str">
        <f t="shared" si="17"/>
        <v>OK - sims match current assumptions</v>
      </c>
      <c r="AB49" s="13" t="s">
        <v>33</v>
      </c>
      <c r="AC49" s="13" t="s">
        <v>33</v>
      </c>
      <c r="AD49" s="13" t="s">
        <v>33</v>
      </c>
      <c r="AE49" s="13" t="s">
        <v>33</v>
      </c>
      <c r="AF49" s="34">
        <f t="shared" si="18"/>
        <v>-0.43293027068244649</v>
      </c>
      <c r="AG49" s="34">
        <f t="shared" si="19"/>
        <v>-0.46459027068244652</v>
      </c>
      <c r="AH49" s="6" t="b">
        <f>AND(W49,I49&gt;=A_t1_fair,((1-A_t1_shrink)*J49+A_t1_shrink*I49)*G49-1&gt;=A_minev,(1-A_t1_shrink)*N49+A_t1_shrink*(I49*G49-1)&gt;0,M_Sims!Q121=1)</f>
        <v>0</v>
      </c>
      <c r="AI49" s="18">
        <f>IF(AH49,M_Sims!R121*A_t1_cap/A_t1_engcap,0)</f>
        <v>0</v>
      </c>
      <c r="AJ49" s="46" t="str">
        <f t="shared" si="20"/>
        <v>-</v>
      </c>
      <c r="AK49" s="7" t="str">
        <f>IF(AH49,M_Sims!S121,"-")</f>
        <v>-</v>
      </c>
      <c r="AL49" s="51">
        <f>M_Sims!M121</f>
        <v>0</v>
      </c>
      <c r="AM49" s="6" t="str">
        <f t="shared" si="21"/>
        <v>-</v>
      </c>
    </row>
    <row r="50" spans="1:39" ht="15" customHeight="1" x14ac:dyDescent="0.3">
      <c r="A50" s="6" t="s">
        <v>268</v>
      </c>
      <c r="B50" s="7" t="str">
        <f>Odds_Input!C47</f>
        <v>Milwaukee Bucks</v>
      </c>
      <c r="C50" s="6" t="s">
        <v>213</v>
      </c>
      <c r="D50" s="7" t="str">
        <f>Odds_Input!D47</f>
        <v>YES</v>
      </c>
      <c r="E50" s="31" t="str">
        <f>Odds_Input!E47</f>
        <v>-</v>
      </c>
      <c r="F50" s="32">
        <f>Odds_Input!F47</f>
        <v>25000</v>
      </c>
      <c r="G50" s="36">
        <f>M_DeVig!H47</f>
        <v>251</v>
      </c>
      <c r="H50" s="7" t="str">
        <f>Odds_Input!G47</f>
        <v>-</v>
      </c>
      <c r="I50" s="42">
        <f>M_DeVig!Q47</f>
        <v>7.073360919281807E-4</v>
      </c>
      <c r="J50" s="42">
        <f>INDEX(M_Sims!$H$15:$H$44,MATCH($C50,M_Sims!$A$15:$A$44,0))</f>
        <v>4.8799999999999998E-3</v>
      </c>
      <c r="K50" s="43">
        <f t="shared" si="11"/>
        <v>20391.803278688527</v>
      </c>
      <c r="L50" s="34">
        <f t="shared" si="12"/>
        <v>0.22487999999999997</v>
      </c>
      <c r="M50" s="38">
        <f t="shared" si="13"/>
        <v>0.41726639080718192</v>
      </c>
      <c r="N50" s="42">
        <f>M_Sims!B122</f>
        <v>-0.20182</v>
      </c>
      <c r="O50" s="42">
        <f>M_Sims!C122</f>
        <v>0.97286000000000017</v>
      </c>
      <c r="P50" s="42">
        <f>M_Sims!D122</f>
        <v>0.75</v>
      </c>
      <c r="Q50" s="34">
        <f t="shared" si="14"/>
        <v>2.7936680459640902E-3</v>
      </c>
      <c r="R50" s="18" t="str">
        <f t="shared" si="15"/>
        <v>-</v>
      </c>
      <c r="S50" s="46" t="str">
        <f t="shared" si="16"/>
        <v>-</v>
      </c>
      <c r="T50" s="51" t="str">
        <f>IF(A_tier2_on=1,M_Sims!M122,"-")</f>
        <v>-</v>
      </c>
      <c r="U50" s="46" t="str">
        <f>IF(OR(A_bankroll="",A_tier2_on&lt;&gt;1),"-",MIN(A_maxbet,M_Sims!M122*A_bankroll))</f>
        <v>-</v>
      </c>
      <c r="V50" s="30">
        <f>M_Sims!H122</f>
        <v>1</v>
      </c>
      <c r="W50" s="6" t="b">
        <f>AND(H50&lt;&gt;"IMPUTED_20C_LADDER",L50&gt;=A_minev,N50&gt;0,V50=1,IF(A50="PLAYOFFS",A_poconf=1,TRUE),IF(AND(A50="WINS",A_zs_on=1),AND(AE50&gt;=A_minev,M_Sims!O122&gt;0),TRUE),AF50&gt;=A_minev,AG50&gt;0,IF(I50&lt;A_longthr,(1-A_shrink)*M_Sims!K122+A_shrink*(I50*G50-1)&gt;=A_minev,TRUE),IF(AND(OR(A50="WINS",A50="PLAYOFFS",LEFT(A50,4)="DIV_"),INDEX(Raw_Teams!$F$8:$F$37,MATCH($C50,Raw_Teams!$A$8:$A$37,0))&lt;A_contthr),AND(((1-A_contshrink)*J50+A_contshrink*I50)*G50-1&gt;=A_minev,(1-A_contshrink)*N50+A_contshrink*(I50*G50-1)&gt;0),TRUE),M_Sims!P122=0)</f>
        <v>0</v>
      </c>
      <c r="X50" s="6" t="s">
        <v>1301</v>
      </c>
      <c r="Y50" s="6" t="s">
        <v>1302</v>
      </c>
      <c r="Z50" s="6">
        <v>39</v>
      </c>
      <c r="AA50" s="7" t="str">
        <f t="shared" si="17"/>
        <v>OK - sims match current assumptions</v>
      </c>
      <c r="AB50" s="13" t="s">
        <v>33</v>
      </c>
      <c r="AC50" s="13" t="s">
        <v>33</v>
      </c>
      <c r="AD50" s="13" t="s">
        <v>33</v>
      </c>
      <c r="AE50" s="13" t="s">
        <v>33</v>
      </c>
      <c r="AF50" s="34">
        <f t="shared" si="18"/>
        <v>-0.29878932046301332</v>
      </c>
      <c r="AG50" s="34">
        <f t="shared" si="19"/>
        <v>-0.51213932046301336</v>
      </c>
      <c r="AH50" s="6" t="b">
        <f>AND(W50,I50&gt;=A_t1_fair,((1-A_t1_shrink)*J50+A_t1_shrink*I50)*G50-1&gt;=A_minev,(1-A_t1_shrink)*N50+A_t1_shrink*(I50*G50-1)&gt;0,M_Sims!Q122=1)</f>
        <v>0</v>
      </c>
      <c r="AI50" s="18">
        <f>IF(AH50,M_Sims!R122*A_t1_cap/A_t1_engcap,0)</f>
        <v>0</v>
      </c>
      <c r="AJ50" s="46" t="str">
        <f t="shared" si="20"/>
        <v>-</v>
      </c>
      <c r="AK50" s="7" t="str">
        <f>IF(AH50,M_Sims!S122,"-")</f>
        <v>-</v>
      </c>
      <c r="AL50" s="51">
        <f>M_Sims!M122</f>
        <v>0</v>
      </c>
      <c r="AM50" s="6" t="str">
        <f t="shared" si="21"/>
        <v>-</v>
      </c>
    </row>
    <row r="51" spans="1:39" ht="15" customHeight="1" x14ac:dyDescent="0.3">
      <c r="A51" s="6" t="s">
        <v>268</v>
      </c>
      <c r="B51" s="7" t="str">
        <f>Odds_Input!C48</f>
        <v>New York Knicks</v>
      </c>
      <c r="C51" s="6" t="s">
        <v>216</v>
      </c>
      <c r="D51" s="7" t="str">
        <f>Odds_Input!D48</f>
        <v>YES</v>
      </c>
      <c r="E51" s="31" t="str">
        <f>Odds_Input!E48</f>
        <v>-</v>
      </c>
      <c r="F51" s="32">
        <f>Odds_Input!F48</f>
        <v>375</v>
      </c>
      <c r="G51" s="36">
        <f>M_DeVig!H48</f>
        <v>4.75</v>
      </c>
      <c r="H51" s="7" t="str">
        <f>Odds_Input!G48</f>
        <v>-</v>
      </c>
      <c r="I51" s="42">
        <f>M_DeVig!Q48</f>
        <v>0.18432790951462147</v>
      </c>
      <c r="J51" s="42">
        <f>INDEX(M_Sims!$H$15:$H$44,MATCH($C51,M_Sims!$A$15:$A$44,0))</f>
        <v>7.5980000000000006E-2</v>
      </c>
      <c r="K51" s="43">
        <f t="shared" si="11"/>
        <v>1216.1358252171624</v>
      </c>
      <c r="L51" s="34">
        <f t="shared" si="12"/>
        <v>-0.63909499999999997</v>
      </c>
      <c r="M51" s="38">
        <f t="shared" si="13"/>
        <v>-10.834790951462146</v>
      </c>
      <c r="N51" s="42">
        <f>M_Sims!B123</f>
        <v>-0.73159333333333332</v>
      </c>
      <c r="O51" s="42">
        <f>M_Sims!C123</f>
        <v>-0.52189666666666668</v>
      </c>
      <c r="P51" s="42">
        <f>M_Sims!D123</f>
        <v>0</v>
      </c>
      <c r="Q51" s="34">
        <f t="shared" si="14"/>
        <v>0.13015395475731073</v>
      </c>
      <c r="R51" s="18" t="str">
        <f t="shared" si="15"/>
        <v>-</v>
      </c>
      <c r="S51" s="46" t="str">
        <f t="shared" si="16"/>
        <v>-</v>
      </c>
      <c r="T51" s="51" t="str">
        <f>IF(A_tier2_on=1,M_Sims!M123,"-")</f>
        <v>-</v>
      </c>
      <c r="U51" s="46" t="str">
        <f>IF(OR(A_bankroll="",A_tier2_on&lt;&gt;1),"-",MIN(A_maxbet,M_Sims!M123*A_bankroll))</f>
        <v>-</v>
      </c>
      <c r="V51" s="30">
        <f>M_Sims!H123</f>
        <v>1</v>
      </c>
      <c r="W51" s="6" t="b">
        <f>AND(H51&lt;&gt;"IMPUTED_20C_LADDER",L51&gt;=A_minev,N51&gt;0,V51=1,IF(A51="PLAYOFFS",A_poconf=1,TRUE),IF(AND(A51="WINS",A_zs_on=1),AND(AE51&gt;=A_minev,M_Sims!O123&gt;0),TRUE),AF51&gt;=A_minev,AG51&gt;0,IF(I51&lt;A_longthr,(1-A_shrink)*M_Sims!K123+A_shrink*(I51*G51-1)&gt;=A_minev,TRUE),IF(AND(OR(A51="WINS",A51="PLAYOFFS",LEFT(A51,4)="DIV_"),INDEX(Raw_Teams!$F$8:$F$37,MATCH($C51,Raw_Teams!$A$8:$A$37,0))&lt;A_contthr),AND(((1-A_contshrink)*J51+A_contshrink*I51)*G51-1&gt;=A_minev,(1-A_contshrink)*N51+A_contshrink*(I51*G51-1)&gt;0),TRUE),M_Sims!P123=0)</f>
        <v>0</v>
      </c>
      <c r="X51" s="6" t="s">
        <v>1301</v>
      </c>
      <c r="Y51" s="6" t="s">
        <v>1302</v>
      </c>
      <c r="Z51" s="6">
        <v>40</v>
      </c>
      <c r="AA51" s="7" t="str">
        <f t="shared" si="17"/>
        <v>OK - sims match current assumptions</v>
      </c>
      <c r="AB51" s="13" t="s">
        <v>33</v>
      </c>
      <c r="AC51" s="13" t="s">
        <v>33</v>
      </c>
      <c r="AD51" s="13" t="s">
        <v>33</v>
      </c>
      <c r="AE51" s="13" t="s">
        <v>33</v>
      </c>
      <c r="AF51" s="34">
        <f t="shared" si="18"/>
        <v>-0.38176871490277398</v>
      </c>
      <c r="AG51" s="34">
        <f t="shared" si="19"/>
        <v>-0.42801788156944065</v>
      </c>
      <c r="AH51" s="6" t="b">
        <f>AND(W51,I51&gt;=A_t1_fair,((1-A_t1_shrink)*J51+A_t1_shrink*I51)*G51-1&gt;=A_minev,(1-A_t1_shrink)*N51+A_t1_shrink*(I51*G51-1)&gt;0,M_Sims!Q123=1)</f>
        <v>0</v>
      </c>
      <c r="AI51" s="18">
        <f>IF(AH51,M_Sims!R123*A_t1_cap/A_t1_engcap,0)</f>
        <v>0</v>
      </c>
      <c r="AJ51" s="46" t="str">
        <f t="shared" si="20"/>
        <v>-</v>
      </c>
      <c r="AK51" s="7" t="str">
        <f>IF(AH51,M_Sims!S123,"-")</f>
        <v>-</v>
      </c>
      <c r="AL51" s="51">
        <f>M_Sims!M123</f>
        <v>0</v>
      </c>
      <c r="AM51" s="6" t="str">
        <f t="shared" si="21"/>
        <v>-</v>
      </c>
    </row>
    <row r="52" spans="1:39" ht="15" customHeight="1" x14ac:dyDescent="0.3">
      <c r="A52" s="6" t="s">
        <v>268</v>
      </c>
      <c r="B52" s="7" t="str">
        <f>Odds_Input!C49</f>
        <v>Orlando Magic</v>
      </c>
      <c r="C52" s="6" t="s">
        <v>218</v>
      </c>
      <c r="D52" s="7" t="str">
        <f>Odds_Input!D49</f>
        <v>YES</v>
      </c>
      <c r="E52" s="31" t="str">
        <f>Odds_Input!E49</f>
        <v>-</v>
      </c>
      <c r="F52" s="32">
        <f>Odds_Input!F49</f>
        <v>1950</v>
      </c>
      <c r="G52" s="36">
        <f>M_DeVig!H49</f>
        <v>20.5</v>
      </c>
      <c r="H52" s="7" t="str">
        <f>Odds_Input!G49</f>
        <v>-</v>
      </c>
      <c r="I52" s="42">
        <f>M_DeVig!Q49</f>
        <v>3.6586501839075275E-2</v>
      </c>
      <c r="J52" s="42">
        <f>INDEX(M_Sims!$H$15:$H$44,MATCH($C52,M_Sims!$A$15:$A$44,0))</f>
        <v>7.3370000000000005E-2</v>
      </c>
      <c r="K52" s="43">
        <f t="shared" si="11"/>
        <v>1262.9548861932669</v>
      </c>
      <c r="L52" s="34">
        <f t="shared" si="12"/>
        <v>0.50408500000000012</v>
      </c>
      <c r="M52" s="38">
        <f t="shared" si="13"/>
        <v>3.678349816092473</v>
      </c>
      <c r="N52" s="42">
        <f>M_Sims!B124</f>
        <v>0.18790666666666669</v>
      </c>
      <c r="O52" s="42">
        <f>M_Sims!C124</f>
        <v>0.79634666666666654</v>
      </c>
      <c r="P52" s="42">
        <f>M_Sims!D124</f>
        <v>0.98333333333333317</v>
      </c>
      <c r="Q52" s="34">
        <f t="shared" si="14"/>
        <v>5.497825091953764E-2</v>
      </c>
      <c r="R52" s="18" t="str">
        <f t="shared" si="15"/>
        <v>-</v>
      </c>
      <c r="S52" s="46" t="str">
        <f t="shared" si="16"/>
        <v>-</v>
      </c>
      <c r="T52" s="51" t="str">
        <f>IF(A_tier2_on=1,M_Sims!M124,"-")</f>
        <v>-</v>
      </c>
      <c r="U52" s="46" t="str">
        <f>IF(OR(A_bankroll="",A_tier2_on&lt;&gt;1),"-",MIN(A_maxbet,M_Sims!M124*A_bankroll))</f>
        <v>-</v>
      </c>
      <c r="V52" s="30">
        <f>M_Sims!H124</f>
        <v>1</v>
      </c>
      <c r="W52" s="6" t="b">
        <f>AND(H52&lt;&gt;"IMPUTED_20C_LADDER",L52&gt;=A_minev,N52&gt;0,V52=1,IF(A52="PLAYOFFS",A_poconf=1,TRUE),IF(AND(A52="WINS",A_zs_on=1),AND(AE52&gt;=A_minev,M_Sims!O124&gt;0),TRUE),AF52&gt;=A_minev,AG52&gt;0,IF(I52&lt;A_longthr,(1-A_shrink)*M_Sims!K124+A_shrink*(I52*G52-1)&gt;=A_minev,TRUE),IF(AND(OR(A52="WINS",A52="PLAYOFFS",LEFT(A52,4)="DIV_"),INDEX(Raw_Teams!$F$8:$F$37,MATCH($C52,Raw_Teams!$A$8:$A$37,0))&lt;A_contthr),AND(((1-A_contshrink)*J52+A_contshrink*I52)*G52-1&gt;=A_minev,(1-A_contshrink)*N52+A_contshrink*(I52*G52-1)&gt;0),TRUE),M_Sims!P124=0)</f>
        <v>0</v>
      </c>
      <c r="X52" s="6" t="s">
        <v>1301</v>
      </c>
      <c r="Y52" s="6" t="s">
        <v>1302</v>
      </c>
      <c r="Z52" s="6">
        <v>41</v>
      </c>
      <c r="AA52" s="7" t="str">
        <f t="shared" si="17"/>
        <v>OK - sims match current assumptions</v>
      </c>
      <c r="AB52" s="13" t="s">
        <v>33</v>
      </c>
      <c r="AC52" s="13" t="s">
        <v>33</v>
      </c>
      <c r="AD52" s="13" t="s">
        <v>33</v>
      </c>
      <c r="AE52" s="13" t="s">
        <v>33</v>
      </c>
      <c r="AF52" s="34">
        <f t="shared" si="18"/>
        <v>0.12705414385052172</v>
      </c>
      <c r="AG52" s="34">
        <f t="shared" si="19"/>
        <v>-3.1035022816145105E-2</v>
      </c>
      <c r="AH52" s="6" t="b">
        <f>AND(W52,I52&gt;=A_t1_fair,((1-A_t1_shrink)*J52+A_t1_shrink*I52)*G52-1&gt;=A_minev,(1-A_t1_shrink)*N52+A_t1_shrink*(I52*G52-1)&gt;0,M_Sims!Q124=1)</f>
        <v>0</v>
      </c>
      <c r="AI52" s="18">
        <f>IF(AH52,M_Sims!R124*A_t1_cap/A_t1_engcap,0)</f>
        <v>0</v>
      </c>
      <c r="AJ52" s="46" t="str">
        <f t="shared" si="20"/>
        <v>-</v>
      </c>
      <c r="AK52" s="7" t="str">
        <f>IF(AH52,M_Sims!S124,"-")</f>
        <v>-</v>
      </c>
      <c r="AL52" s="51">
        <f>M_Sims!M124</f>
        <v>0</v>
      </c>
      <c r="AM52" s="6" t="str">
        <f t="shared" si="21"/>
        <v>-</v>
      </c>
    </row>
    <row r="53" spans="1:39" ht="15" customHeight="1" x14ac:dyDescent="0.3">
      <c r="A53" s="6" t="s">
        <v>268</v>
      </c>
      <c r="B53" s="7" t="str">
        <f>Odds_Input!C50</f>
        <v>Philadelphia 76ers</v>
      </c>
      <c r="C53" s="6" t="s">
        <v>219</v>
      </c>
      <c r="D53" s="7" t="str">
        <f>Odds_Input!D50</f>
        <v>YES</v>
      </c>
      <c r="E53" s="31" t="str">
        <f>Odds_Input!E50</f>
        <v>-</v>
      </c>
      <c r="F53" s="32">
        <f>Odds_Input!F50</f>
        <v>325</v>
      </c>
      <c r="G53" s="36">
        <f>M_DeVig!H50</f>
        <v>4.25</v>
      </c>
      <c r="H53" s="7" t="str">
        <f>Odds_Input!G50</f>
        <v>-</v>
      </c>
      <c r="I53" s="42">
        <f>M_DeVig!Q50</f>
        <v>0.20703605093231997</v>
      </c>
      <c r="J53" s="42">
        <f>INDEX(M_Sims!$H$15:$H$44,MATCH($C53,M_Sims!$A$15:$A$44,0))</f>
        <v>8.6370000000000002E-2</v>
      </c>
      <c r="K53" s="43">
        <f t="shared" si="11"/>
        <v>1057.8094245687159</v>
      </c>
      <c r="L53" s="34">
        <f t="shared" si="12"/>
        <v>-0.63292749999999998</v>
      </c>
      <c r="M53" s="38">
        <f t="shared" si="13"/>
        <v>-12.066605093231997</v>
      </c>
      <c r="N53" s="42">
        <f>M_Sims!B125</f>
        <v>-0.69456666666666667</v>
      </c>
      <c r="O53" s="42">
        <f>M_Sims!C125</f>
        <v>-0.58347166666666661</v>
      </c>
      <c r="P53" s="42">
        <f>M_Sims!D125</f>
        <v>0</v>
      </c>
      <c r="Q53" s="34">
        <f t="shared" si="14"/>
        <v>0.14670302546615999</v>
      </c>
      <c r="R53" s="18" t="str">
        <f t="shared" si="15"/>
        <v>-</v>
      </c>
      <c r="S53" s="46" t="str">
        <f t="shared" si="16"/>
        <v>-</v>
      </c>
      <c r="T53" s="51" t="str">
        <f>IF(A_tier2_on=1,M_Sims!M125,"-")</f>
        <v>-</v>
      </c>
      <c r="U53" s="46" t="str">
        <f>IF(OR(A_bankroll="",A_tier2_on&lt;&gt;1),"-",MIN(A_maxbet,M_Sims!M125*A_bankroll))</f>
        <v>-</v>
      </c>
      <c r="V53" s="30">
        <f>M_Sims!H125</f>
        <v>1</v>
      </c>
      <c r="W53" s="6" t="b">
        <f>AND(H53&lt;&gt;"IMPUTED_20C_LADDER",L53&gt;=A_minev,N53&gt;0,V53=1,IF(A53="PLAYOFFS",A_poconf=1,TRUE),IF(AND(A53="WINS",A_zs_on=1),AND(AE53&gt;=A_minev,M_Sims!O125&gt;0),TRUE),AF53&gt;=A_minev,AG53&gt;0,IF(I53&lt;A_longthr,(1-A_shrink)*M_Sims!K125+A_shrink*(I53*G53-1)&gt;=A_minev,TRUE),IF(AND(OR(A53="WINS",A53="PLAYOFFS",LEFT(A53,4)="DIV_"),INDEX(Raw_Teams!$F$8:$F$37,MATCH($C53,Raw_Teams!$A$8:$A$37,0))&lt;A_contthr),AND(((1-A_contshrink)*J53+A_contshrink*I53)*G53-1&gt;=A_minev,(1-A_contshrink)*N53+A_contshrink*(I53*G53-1)&gt;0),TRUE),M_Sims!P125=0)</f>
        <v>0</v>
      </c>
      <c r="X53" s="6" t="s">
        <v>1301</v>
      </c>
      <c r="Y53" s="6" t="s">
        <v>1302</v>
      </c>
      <c r="Z53" s="6">
        <v>42</v>
      </c>
      <c r="AA53" s="7" t="str">
        <f t="shared" si="17"/>
        <v>OK - sims match current assumptions</v>
      </c>
      <c r="AB53" s="13" t="s">
        <v>33</v>
      </c>
      <c r="AC53" s="13" t="s">
        <v>33</v>
      </c>
      <c r="AD53" s="13" t="s">
        <v>33</v>
      </c>
      <c r="AE53" s="13" t="s">
        <v>33</v>
      </c>
      <c r="AF53" s="34">
        <f t="shared" si="18"/>
        <v>-0.37651214176882009</v>
      </c>
      <c r="AG53" s="34">
        <f t="shared" si="19"/>
        <v>-0.40733172510215337</v>
      </c>
      <c r="AH53" s="6" t="b">
        <f>AND(W53,I53&gt;=A_t1_fair,((1-A_t1_shrink)*J53+A_t1_shrink*I53)*G53-1&gt;=A_minev,(1-A_t1_shrink)*N53+A_t1_shrink*(I53*G53-1)&gt;0,M_Sims!Q125=1)</f>
        <v>0</v>
      </c>
      <c r="AI53" s="18">
        <f>IF(AH53,M_Sims!R125*A_t1_cap/A_t1_engcap,0)</f>
        <v>0</v>
      </c>
      <c r="AJ53" s="46" t="str">
        <f t="shared" si="20"/>
        <v>-</v>
      </c>
      <c r="AK53" s="7" t="str">
        <f>IF(AH53,M_Sims!S125,"-")</f>
        <v>-</v>
      </c>
      <c r="AL53" s="51">
        <f>M_Sims!M125</f>
        <v>0</v>
      </c>
      <c r="AM53" s="6" t="str">
        <f t="shared" si="21"/>
        <v>-</v>
      </c>
    </row>
    <row r="54" spans="1:39" ht="15" customHeight="1" x14ac:dyDescent="0.3">
      <c r="A54" s="6" t="s">
        <v>268</v>
      </c>
      <c r="B54" s="7" t="str">
        <f>Odds_Input!C51</f>
        <v>Toronto Raptors</v>
      </c>
      <c r="C54" s="6" t="s">
        <v>224</v>
      </c>
      <c r="D54" s="7" t="str">
        <f>Odds_Input!D51</f>
        <v>YES</v>
      </c>
      <c r="E54" s="31" t="str">
        <f>Odds_Input!E51</f>
        <v>-</v>
      </c>
      <c r="F54" s="32">
        <f>Odds_Input!F51</f>
        <v>900</v>
      </c>
      <c r="G54" s="36">
        <f>M_DeVig!H51</f>
        <v>10</v>
      </c>
      <c r="H54" s="7" t="str">
        <f>Odds_Input!G51</f>
        <v>-</v>
      </c>
      <c r="I54" s="42">
        <f>M_DeVig!Q51</f>
        <v>8.3128087470530479E-2</v>
      </c>
      <c r="J54" s="42">
        <f>INDEX(M_Sims!$H$15:$H$44,MATCH($C54,M_Sims!$A$15:$A$44,0))</f>
        <v>0.17624000000000001</v>
      </c>
      <c r="K54" s="43">
        <f t="shared" si="11"/>
        <v>467.40807989105764</v>
      </c>
      <c r="L54" s="34">
        <f t="shared" si="12"/>
        <v>0.76239999999999997</v>
      </c>
      <c r="M54" s="38">
        <f t="shared" si="13"/>
        <v>9.3111912529469532</v>
      </c>
      <c r="N54" s="42">
        <f>M_Sims!B126</f>
        <v>0.58166666666666667</v>
      </c>
      <c r="O54" s="42">
        <f>M_Sims!C126</f>
        <v>0.94940000000000002</v>
      </c>
      <c r="P54" s="42">
        <f>M_Sims!D126</f>
        <v>1</v>
      </c>
      <c r="Q54" s="34">
        <f t="shared" si="14"/>
        <v>0.12968404373526524</v>
      </c>
      <c r="R54" s="18" t="str">
        <f t="shared" si="15"/>
        <v>-</v>
      </c>
      <c r="S54" s="46" t="str">
        <f t="shared" si="16"/>
        <v>-</v>
      </c>
      <c r="T54" s="51" t="str">
        <f>IF(A_tier2_on=1,M_Sims!M126,"-")</f>
        <v>-</v>
      </c>
      <c r="U54" s="46" t="str">
        <f>IF(OR(A_bankroll="",A_tier2_on&lt;&gt;1),"-",MIN(A_maxbet,M_Sims!M126*A_bankroll))</f>
        <v>-</v>
      </c>
      <c r="V54" s="30">
        <f>M_Sims!H126</f>
        <v>1</v>
      </c>
      <c r="W54" s="6" t="b">
        <f>AND(H54&lt;&gt;"IMPUTED_20C_LADDER",L54&gt;=A_minev,N54&gt;0,V54=1,IF(A54="PLAYOFFS",A_poconf=1,TRUE),IF(AND(A54="WINS",A_zs_on=1),AND(AE54&gt;=A_minev,M_Sims!O126&gt;0),TRUE),AF54&gt;=A_minev,AG54&gt;0,IF(I54&lt;A_longthr,(1-A_shrink)*M_Sims!K126+A_shrink*(I54*G54-1)&gt;=A_minev,TRUE),IF(AND(OR(A54="WINS",A54="PLAYOFFS",LEFT(A54,4)="DIV_"),INDEX(Raw_Teams!$F$8:$F$37,MATCH($C54,Raw_Teams!$A$8:$A$37,0))&lt;A_contthr),AND(((1-A_contshrink)*J54+A_contshrink*I54)*G54-1&gt;=A_minev,(1-A_contshrink)*N54+A_contshrink*(I54*G54-1)&gt;0),TRUE),M_Sims!P126=0)</f>
        <v>1</v>
      </c>
      <c r="X54" s="6" t="s">
        <v>1301</v>
      </c>
      <c r="Y54" s="6" t="s">
        <v>1302</v>
      </c>
      <c r="Z54" s="6">
        <v>43</v>
      </c>
      <c r="AA54" s="7" t="str">
        <f t="shared" si="17"/>
        <v>OK - sims match current assumptions</v>
      </c>
      <c r="AB54" s="13" t="s">
        <v>33</v>
      </c>
      <c r="AC54" s="13" t="s">
        <v>33</v>
      </c>
      <c r="AD54" s="13" t="s">
        <v>33</v>
      </c>
      <c r="AE54" s="13" t="s">
        <v>33</v>
      </c>
      <c r="AF54" s="34">
        <f t="shared" si="18"/>
        <v>0.29684043735265231</v>
      </c>
      <c r="AG54" s="34">
        <f t="shared" si="19"/>
        <v>0.20647377068598571</v>
      </c>
      <c r="AH54" s="6" t="b">
        <f>AND(W54,I54&gt;=A_t1_fair,((1-A_t1_shrink)*J54+A_t1_shrink*I54)*G54-1&gt;=A_minev,(1-A_t1_shrink)*N54+A_t1_shrink*(I54*G54-1)&gt;0,M_Sims!Q126=1)</f>
        <v>1</v>
      </c>
      <c r="AI54" s="18">
        <f>IF(AH54,M_Sims!R126*A_t1_cap/A_t1_engcap,0)</f>
        <v>0</v>
      </c>
      <c r="AJ54" s="46" t="str">
        <f t="shared" si="20"/>
        <v>-</v>
      </c>
      <c r="AK54" s="7" t="str">
        <f>IF(AH54,M_Sims!S126,"-")</f>
        <v>Kawhi Leonard rated +6.1 (DARKO +6.3), 30 mpg, 56 g (new to team; +2.8 SRS vs 2025-26) | Gradey Dick gone (1067 min at -3.6 BPM last year; +1.0 SRS)</v>
      </c>
      <c r="AL54" s="51">
        <f>M_Sims!M126</f>
        <v>1.0742813765179999E-4</v>
      </c>
      <c r="AM54" s="6" t="str">
        <f t="shared" si="21"/>
        <v>Tier 1</v>
      </c>
    </row>
    <row r="55" spans="1:39" ht="15" customHeight="1" x14ac:dyDescent="0.3">
      <c r="A55" s="6" t="s">
        <v>268</v>
      </c>
      <c r="B55" s="7" t="str">
        <f>Odds_Input!C52</f>
        <v>Washington Wizards</v>
      </c>
      <c r="C55" s="6" t="s">
        <v>226</v>
      </c>
      <c r="D55" s="7" t="str">
        <f>Odds_Input!D52</f>
        <v>YES</v>
      </c>
      <c r="E55" s="31" t="str">
        <f>Odds_Input!E52</f>
        <v>-</v>
      </c>
      <c r="F55" s="32">
        <f>Odds_Input!F52</f>
        <v>5200</v>
      </c>
      <c r="G55" s="36">
        <f>M_DeVig!H52</f>
        <v>53</v>
      </c>
      <c r="H55" s="7" t="str">
        <f>Odds_Input!G52</f>
        <v>-</v>
      </c>
      <c r="I55" s="42">
        <f>M_DeVig!Q52</f>
        <v>1.0463375598559154E-2</v>
      </c>
      <c r="J55" s="42">
        <f>INDEX(M_Sims!$H$15:$H$44,MATCH($C55,M_Sims!$A$15:$A$44,0))</f>
        <v>2.6900000000000001E-3</v>
      </c>
      <c r="K55" s="43">
        <f t="shared" si="11"/>
        <v>37074.72118959108</v>
      </c>
      <c r="L55" s="34">
        <f t="shared" si="12"/>
        <v>-0.85743000000000003</v>
      </c>
      <c r="M55" s="38">
        <f t="shared" si="13"/>
        <v>-0.77733755985591546</v>
      </c>
      <c r="N55" s="42">
        <f>M_Sims!B127</f>
        <v>-0.92579999999999996</v>
      </c>
      <c r="O55" s="42">
        <f>M_Sims!C127</f>
        <v>-0.74913333333333332</v>
      </c>
      <c r="P55" s="42">
        <f>M_Sims!D127</f>
        <v>0</v>
      </c>
      <c r="Q55" s="34">
        <f t="shared" si="14"/>
        <v>6.5766877992795769E-3</v>
      </c>
      <c r="R55" s="18" t="str">
        <f t="shared" si="15"/>
        <v>-</v>
      </c>
      <c r="S55" s="46" t="str">
        <f t="shared" si="16"/>
        <v>-</v>
      </c>
      <c r="T55" s="51" t="str">
        <f>IF(A_tier2_on=1,M_Sims!M127,"-")</f>
        <v>-</v>
      </c>
      <c r="U55" s="46" t="str">
        <f>IF(OR(A_bankroll="",A_tier2_on&lt;&gt;1),"-",MIN(A_maxbet,M_Sims!M127*A_bankroll))</f>
        <v>-</v>
      </c>
      <c r="V55" s="30">
        <f>M_Sims!H127</f>
        <v>0</v>
      </c>
      <c r="W55" s="6" t="b">
        <f>AND(H55&lt;&gt;"IMPUTED_20C_LADDER",L55&gt;=A_minev,N55&gt;0,V55=1,IF(A55="PLAYOFFS",A_poconf=1,TRUE),IF(AND(A55="WINS",A_zs_on=1),AND(AE55&gt;=A_minev,M_Sims!O127&gt;0),TRUE),AF55&gt;=A_minev,AG55&gt;0,IF(I55&lt;A_longthr,(1-A_shrink)*M_Sims!K127+A_shrink*(I55*G55-1)&gt;=A_minev,TRUE),IF(AND(OR(A55="WINS",A55="PLAYOFFS",LEFT(A55,4)="DIV_"),INDEX(Raw_Teams!$F$8:$F$37,MATCH($C55,Raw_Teams!$A$8:$A$37,0))&lt;A_contthr),AND(((1-A_contshrink)*J55+A_contshrink*I55)*G55-1&gt;=A_minev,(1-A_contshrink)*N55+A_contshrink*(I55*G55-1)&gt;0),TRUE),M_Sims!P127=0)</f>
        <v>0</v>
      </c>
      <c r="X55" s="6" t="s">
        <v>1301</v>
      </c>
      <c r="Y55" s="6" t="s">
        <v>1302</v>
      </c>
      <c r="Z55" s="6">
        <v>44</v>
      </c>
      <c r="AA55" s="7" t="str">
        <f t="shared" si="17"/>
        <v>OK - sims match current assumptions</v>
      </c>
      <c r="AB55" s="13" t="s">
        <v>33</v>
      </c>
      <c r="AC55" s="13" t="s">
        <v>33</v>
      </c>
      <c r="AD55" s="13" t="s">
        <v>33</v>
      </c>
      <c r="AE55" s="13" t="s">
        <v>33</v>
      </c>
      <c r="AF55" s="34">
        <f t="shared" si="18"/>
        <v>-0.65143554663818248</v>
      </c>
      <c r="AG55" s="34">
        <f t="shared" si="19"/>
        <v>-0.68562054663818239</v>
      </c>
      <c r="AH55" s="6" t="b">
        <f>AND(W55,I55&gt;=A_t1_fair,((1-A_t1_shrink)*J55+A_t1_shrink*I55)*G55-1&gt;=A_minev,(1-A_t1_shrink)*N55+A_t1_shrink*(I55*G55-1)&gt;0,M_Sims!Q127=1)</f>
        <v>0</v>
      </c>
      <c r="AI55" s="18">
        <f>IF(AH55,M_Sims!R127*A_t1_cap/A_t1_engcap,0)</f>
        <v>0</v>
      </c>
      <c r="AJ55" s="46" t="str">
        <f t="shared" si="20"/>
        <v>-</v>
      </c>
      <c r="AK55" s="7" t="str">
        <f>IF(AH55,M_Sims!S127,"-")</f>
        <v>-</v>
      </c>
      <c r="AL55" s="51">
        <f>M_Sims!M127</f>
        <v>0</v>
      </c>
      <c r="AM55" s="6" t="str">
        <f t="shared" si="21"/>
        <v>-</v>
      </c>
    </row>
    <row r="56" spans="1:39" ht="15" customHeight="1" x14ac:dyDescent="0.3"/>
    <row r="57" spans="1:39" ht="15" customHeight="1" x14ac:dyDescent="0.3">
      <c r="A57" s="48" t="s">
        <v>269</v>
      </c>
      <c r="B57" s="49" t="s">
        <v>1303</v>
      </c>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row>
    <row r="58" spans="1:39" ht="15" customHeight="1" x14ac:dyDescent="0.3">
      <c r="A58" s="6" t="s">
        <v>269</v>
      </c>
      <c r="B58" s="7" t="str">
        <f>Odds_Input!C53</f>
        <v>Dallas Mavericks</v>
      </c>
      <c r="C58" s="6" t="s">
        <v>203</v>
      </c>
      <c r="D58" s="7" t="str">
        <f>Odds_Input!D53</f>
        <v>YES</v>
      </c>
      <c r="E58" s="31" t="str">
        <f>Odds_Input!E53</f>
        <v>-</v>
      </c>
      <c r="F58" s="32">
        <f>Odds_Input!F53</f>
        <v>8100</v>
      </c>
      <c r="G58" s="36">
        <f>M_DeVig!H53</f>
        <v>82</v>
      </c>
      <c r="H58" s="7" t="str">
        <f>Odds_Input!G53</f>
        <v>-</v>
      </c>
      <c r="I58" s="42">
        <f>M_DeVig!Q53</f>
        <v>5.013537573077374E-3</v>
      </c>
      <c r="J58" s="42">
        <f>INDEX(M_Sims!$H$15:$H$44,MATCH($C58,M_Sims!$A$15:$A$44,0))</f>
        <v>6.8700000000000002E-3</v>
      </c>
      <c r="K58" s="43">
        <f t="shared" ref="K58:K72" si="22">IF(J58&gt;=0.5,-100*J58/(1-J58),100*(1-J58)/J58)</f>
        <v>14456.040756914119</v>
      </c>
      <c r="L58" s="34">
        <f t="shared" ref="L58:L72" si="23">J58*G58-1</f>
        <v>-0.43665999999999994</v>
      </c>
      <c r="M58" s="38">
        <f t="shared" ref="M58:M72" si="24">(J58-I58)*100</f>
        <v>0.18564624269226263</v>
      </c>
      <c r="N58" s="42">
        <f>M_Sims!B128</f>
        <v>-0.72229333333333345</v>
      </c>
      <c r="O58" s="42">
        <f>M_Sims!C128</f>
        <v>-5.2626666666666599E-2</v>
      </c>
      <c r="P58" s="42">
        <f>M_Sims!D128</f>
        <v>6.6666666666666596E-2</v>
      </c>
      <c r="Q58" s="34">
        <f t="shared" ref="Q58:Q72" si="25">(1-A_shrink)*J58+A_shrink*I58</f>
        <v>5.9417687865386867E-3</v>
      </c>
      <c r="R58" s="18" t="str">
        <f t="shared" ref="R58:R72" si="26">IF(A_tier2_on=1,MAX(0,(Q58*G58-1)/(G58-1))*A_kelly,"-")</f>
        <v>-</v>
      </c>
      <c r="S58" s="46" t="str">
        <f t="shared" ref="S58:S72" si="27">IF(OR(A_bankroll="",A_tier2_on&lt;&gt;1),"-",MIN(A_maxbet,MAX(0,(Q58*G58-1)/(G58-1))*A_kelly*A_bankroll))</f>
        <v>-</v>
      </c>
      <c r="T58" s="51" t="str">
        <f>IF(A_tier2_on=1,M_Sims!M128,"-")</f>
        <v>-</v>
      </c>
      <c r="U58" s="46" t="str">
        <f>IF(OR(A_bankroll="",A_tier2_on&lt;&gt;1),"-",MIN(A_maxbet,M_Sims!M128*A_bankroll))</f>
        <v>-</v>
      </c>
      <c r="V58" s="30">
        <f>M_Sims!H128</f>
        <v>0</v>
      </c>
      <c r="W58" s="6" t="b">
        <f>AND(H58&lt;&gt;"IMPUTED_20C_LADDER",L58&gt;=A_minev,N58&gt;0,V58=1,IF(A58="PLAYOFFS",A_poconf=1,TRUE),IF(AND(A58="WINS",A_zs_on=1),AND(AE58&gt;=A_minev,M_Sims!O128&gt;0),TRUE),AF58&gt;=A_minev,AG58&gt;0,IF(I58&lt;A_longthr,(1-A_shrink)*M_Sims!K128+A_shrink*(I58*G58-1)&gt;=A_minev,TRUE),IF(AND(OR(A58="WINS",A58="PLAYOFFS",LEFT(A58,4)="DIV_"),INDEX(Raw_Teams!$F$8:$F$37,MATCH($C58,Raw_Teams!$A$8:$A$37,0))&lt;A_contthr),AND(((1-A_contshrink)*J58+A_contshrink*I58)*G58-1&gt;=A_minev,(1-A_contshrink)*N58+A_contshrink*(I58*G58-1)&gt;0),TRUE),M_Sims!P128=0)</f>
        <v>0</v>
      </c>
      <c r="X58" s="6" t="s">
        <v>1301</v>
      </c>
      <c r="Y58" s="6" t="s">
        <v>1302</v>
      </c>
      <c r="Z58" s="6">
        <v>45</v>
      </c>
      <c r="AA58" s="7" t="str">
        <f t="shared" ref="AA58:AA72" si="28">Sim_Stale</f>
        <v>OK - sims match current assumptions</v>
      </c>
      <c r="AB58" s="13" t="s">
        <v>33</v>
      </c>
      <c r="AC58" s="13" t="s">
        <v>33</v>
      </c>
      <c r="AD58" s="13" t="s">
        <v>33</v>
      </c>
      <c r="AE58" s="13" t="s">
        <v>33</v>
      </c>
      <c r="AF58" s="34">
        <f t="shared" ref="AF58:AF72" si="29">Q58*G58-1</f>
        <v>-0.51277495950382768</v>
      </c>
      <c r="AG58" s="34">
        <f t="shared" ref="AG58:AG72" si="30">(1-A_shrink)*N58+A_shrink*(I58*G58-1)</f>
        <v>-0.65559162617049438</v>
      </c>
      <c r="AH58" s="6" t="b">
        <f>AND(W58,I58&gt;=A_t1_fair,((1-A_t1_shrink)*J58+A_t1_shrink*I58)*G58-1&gt;=A_minev,(1-A_t1_shrink)*N58+A_t1_shrink*(I58*G58-1)&gt;0,M_Sims!Q128=1)</f>
        <v>0</v>
      </c>
      <c r="AI58" s="18">
        <f>IF(AH58,M_Sims!R128*A_t1_cap/A_t1_engcap,0)</f>
        <v>0</v>
      </c>
      <c r="AJ58" s="46" t="str">
        <f t="shared" ref="AJ58:AJ72" si="31">IF(OR(A_bankroll="",NOT(AH58)),"-",MIN(A_maxbet,AI58*A_bankroll))</f>
        <v>-</v>
      </c>
      <c r="AK58" s="7" t="str">
        <f>IF(AH58,M_Sims!S128,"-")</f>
        <v>-</v>
      </c>
      <c r="AL58" s="51">
        <f>M_Sims!M128</f>
        <v>0</v>
      </c>
      <c r="AM58" s="6" t="str">
        <f t="shared" ref="AM58:AM72" si="32">IF(W58,IF(AH58,"Tier 1","Tier 2"),"-")</f>
        <v>-</v>
      </c>
    </row>
    <row r="59" spans="1:39" ht="15" customHeight="1" x14ac:dyDescent="0.3">
      <c r="A59" s="6" t="s">
        <v>269</v>
      </c>
      <c r="B59" s="7" t="str">
        <f>Odds_Input!C54</f>
        <v>Denver Nuggets</v>
      </c>
      <c r="C59" s="6" t="s">
        <v>204</v>
      </c>
      <c r="D59" s="7" t="str">
        <f>Odds_Input!D54</f>
        <v>YES</v>
      </c>
      <c r="E59" s="31" t="str">
        <f>Odds_Input!E54</f>
        <v>-</v>
      </c>
      <c r="F59" s="32">
        <f>Odds_Input!F54</f>
        <v>1400</v>
      </c>
      <c r="G59" s="36">
        <f>M_DeVig!H54</f>
        <v>15</v>
      </c>
      <c r="H59" s="7" t="str">
        <f>Odds_Input!G54</f>
        <v>-</v>
      </c>
      <c r="I59" s="42">
        <f>M_DeVig!Q54</f>
        <v>5.227043286955569E-2</v>
      </c>
      <c r="J59" s="42">
        <f>INDEX(M_Sims!$H$15:$H$44,MATCH($C59,M_Sims!$A$15:$A$44,0))</f>
        <v>8.4889999999999993E-2</v>
      </c>
      <c r="K59" s="43">
        <f t="shared" si="22"/>
        <v>1077.9950524207798</v>
      </c>
      <c r="L59" s="34">
        <f t="shared" si="23"/>
        <v>0.27334999999999998</v>
      </c>
      <c r="M59" s="38">
        <f t="shared" si="24"/>
        <v>3.2619567130444302</v>
      </c>
      <c r="N59" s="42">
        <f>M_Sims!B129</f>
        <v>2.7E-2</v>
      </c>
      <c r="O59" s="42">
        <f>M_Sims!C129</f>
        <v>0.47079999999999989</v>
      </c>
      <c r="P59" s="42">
        <f>M_Sims!D129</f>
        <v>0.93333333333333324</v>
      </c>
      <c r="Q59" s="34">
        <f t="shared" si="25"/>
        <v>6.8580216434777838E-2</v>
      </c>
      <c r="R59" s="18" t="str">
        <f t="shared" si="26"/>
        <v>-</v>
      </c>
      <c r="S59" s="46" t="str">
        <f t="shared" si="27"/>
        <v>-</v>
      </c>
      <c r="T59" s="51" t="str">
        <f>IF(A_tier2_on=1,M_Sims!M129,"-")</f>
        <v>-</v>
      </c>
      <c r="U59" s="46" t="str">
        <f>IF(OR(A_bankroll="",A_tier2_on&lt;&gt;1),"-",MIN(A_maxbet,M_Sims!M129*A_bankroll))</f>
        <v>-</v>
      </c>
      <c r="V59" s="30">
        <f>M_Sims!H129</f>
        <v>1</v>
      </c>
      <c r="W59" s="6" t="b">
        <f>AND(H59&lt;&gt;"IMPUTED_20C_LADDER",L59&gt;=A_minev,N59&gt;0,V59=1,IF(A59="PLAYOFFS",A_poconf=1,TRUE),IF(AND(A59="WINS",A_zs_on=1),AND(AE59&gt;=A_minev,M_Sims!O129&gt;0),TRUE),AF59&gt;=A_minev,AG59&gt;0,IF(I59&lt;A_longthr,(1-A_shrink)*M_Sims!K129+A_shrink*(I59*G59-1)&gt;=A_minev,TRUE),IF(AND(OR(A59="WINS",A59="PLAYOFFS",LEFT(A59,4)="DIV_"),INDEX(Raw_Teams!$F$8:$F$37,MATCH($C59,Raw_Teams!$A$8:$A$37,0))&lt;A_contthr),AND(((1-A_contshrink)*J59+A_contshrink*I59)*G59-1&gt;=A_minev,(1-A_contshrink)*N59+A_contshrink*(I59*G59-1)&gt;0),TRUE),M_Sims!P129=0)</f>
        <v>0</v>
      </c>
      <c r="X59" s="6" t="s">
        <v>1301</v>
      </c>
      <c r="Y59" s="6" t="s">
        <v>1302</v>
      </c>
      <c r="Z59" s="6">
        <v>46</v>
      </c>
      <c r="AA59" s="7" t="str">
        <f t="shared" si="28"/>
        <v>OK - sims match current assumptions</v>
      </c>
      <c r="AB59" s="13" t="s">
        <v>33</v>
      </c>
      <c r="AC59" s="13" t="s">
        <v>33</v>
      </c>
      <c r="AD59" s="13" t="s">
        <v>33</v>
      </c>
      <c r="AE59" s="13" t="s">
        <v>33</v>
      </c>
      <c r="AF59" s="34">
        <f t="shared" si="29"/>
        <v>2.8703246521667669E-2</v>
      </c>
      <c r="AG59" s="34">
        <f t="shared" si="30"/>
        <v>-9.4471753478332324E-2</v>
      </c>
      <c r="AH59" s="6" t="b">
        <f>AND(W59,I59&gt;=A_t1_fair,((1-A_t1_shrink)*J59+A_t1_shrink*I59)*G59-1&gt;=A_minev,(1-A_t1_shrink)*N59+A_t1_shrink*(I59*G59-1)&gt;0,M_Sims!Q129=1)</f>
        <v>0</v>
      </c>
      <c r="AI59" s="18">
        <f>IF(AH59,M_Sims!R129*A_t1_cap/A_t1_engcap,0)</f>
        <v>0</v>
      </c>
      <c r="AJ59" s="46" t="str">
        <f t="shared" si="31"/>
        <v>-</v>
      </c>
      <c r="AK59" s="7" t="str">
        <f>IF(AH59,M_Sims!S129,"-")</f>
        <v>-</v>
      </c>
      <c r="AL59" s="51">
        <f>M_Sims!M129</f>
        <v>0</v>
      </c>
      <c r="AM59" s="6" t="str">
        <f t="shared" si="32"/>
        <v>-</v>
      </c>
    </row>
    <row r="60" spans="1:39" ht="15" customHeight="1" x14ac:dyDescent="0.3">
      <c r="A60" s="6" t="s">
        <v>269</v>
      </c>
      <c r="B60" s="7" t="str">
        <f>Odds_Input!C55</f>
        <v>Golden State Warriors</v>
      </c>
      <c r="C60" s="6" t="s">
        <v>206</v>
      </c>
      <c r="D60" s="7" t="str">
        <f>Odds_Input!D55</f>
        <v>YES</v>
      </c>
      <c r="E60" s="31" t="str">
        <f>Odds_Input!E55</f>
        <v>-</v>
      </c>
      <c r="F60" s="32">
        <f>Odds_Input!F55</f>
        <v>2600</v>
      </c>
      <c r="G60" s="36">
        <f>M_DeVig!H55</f>
        <v>27</v>
      </c>
      <c r="H60" s="7" t="str">
        <f>Odds_Input!G55</f>
        <v>-</v>
      </c>
      <c r="I60" s="42">
        <f>M_DeVig!Q55</f>
        <v>2.5539332882962097E-2</v>
      </c>
      <c r="J60" s="42">
        <f>INDEX(M_Sims!$H$15:$H$44,MATCH($C60,M_Sims!$A$15:$A$44,0))</f>
        <v>4.657E-2</v>
      </c>
      <c r="K60" s="43">
        <f t="shared" si="22"/>
        <v>2047.3051320592656</v>
      </c>
      <c r="L60" s="34">
        <f t="shared" si="23"/>
        <v>0.25739000000000001</v>
      </c>
      <c r="M60" s="38">
        <f t="shared" si="24"/>
        <v>2.1030667117037902</v>
      </c>
      <c r="N60" s="42">
        <f>M_Sims!B130</f>
        <v>5.4439999999999898E-2</v>
      </c>
      <c r="O60" s="42">
        <f>M_Sims!C130</f>
        <v>0.46051999999999998</v>
      </c>
      <c r="P60" s="42">
        <f>M_Sims!D130</f>
        <v>0.98333333333333317</v>
      </c>
      <c r="Q60" s="34">
        <f t="shared" si="25"/>
        <v>3.6054666441481045E-2</v>
      </c>
      <c r="R60" s="18" t="str">
        <f t="shared" si="26"/>
        <v>-</v>
      </c>
      <c r="S60" s="46" t="str">
        <f t="shared" si="27"/>
        <v>-</v>
      </c>
      <c r="T60" s="51" t="str">
        <f>IF(A_tier2_on=1,M_Sims!M130,"-")</f>
        <v>-</v>
      </c>
      <c r="U60" s="46" t="str">
        <f>IF(OR(A_bankroll="",A_tier2_on&lt;&gt;1),"-",MIN(A_maxbet,M_Sims!M130*A_bankroll))</f>
        <v>-</v>
      </c>
      <c r="V60" s="30">
        <f>M_Sims!H130</f>
        <v>1</v>
      </c>
      <c r="W60" s="6" t="b">
        <f>AND(H60&lt;&gt;"IMPUTED_20C_LADDER",L60&gt;=A_minev,N60&gt;0,V60=1,IF(A60="PLAYOFFS",A_poconf=1,TRUE),IF(AND(A60="WINS",A_zs_on=1),AND(AE60&gt;=A_minev,M_Sims!O130&gt;0),TRUE),AF60&gt;=A_minev,AG60&gt;0,IF(I60&lt;A_longthr,(1-A_shrink)*M_Sims!K130+A_shrink*(I60*G60-1)&gt;=A_minev,TRUE),IF(AND(OR(A60="WINS",A60="PLAYOFFS",LEFT(A60,4)="DIV_"),INDEX(Raw_Teams!$F$8:$F$37,MATCH($C60,Raw_Teams!$A$8:$A$37,0))&lt;A_contthr),AND(((1-A_contshrink)*J60+A_contshrink*I60)*G60-1&gt;=A_minev,(1-A_contshrink)*N60+A_contshrink*(I60*G60-1)&gt;0),TRUE),M_Sims!P130=0)</f>
        <v>0</v>
      </c>
      <c r="X60" s="6" t="s">
        <v>1301</v>
      </c>
      <c r="Y60" s="6" t="s">
        <v>1302</v>
      </c>
      <c r="Z60" s="6">
        <v>47</v>
      </c>
      <c r="AA60" s="7" t="str">
        <f t="shared" si="28"/>
        <v>OK - sims match current assumptions</v>
      </c>
      <c r="AB60" s="13" t="s">
        <v>33</v>
      </c>
      <c r="AC60" s="13" t="s">
        <v>33</v>
      </c>
      <c r="AD60" s="13" t="s">
        <v>33</v>
      </c>
      <c r="AE60" s="13" t="s">
        <v>33</v>
      </c>
      <c r="AF60" s="34">
        <f t="shared" si="29"/>
        <v>-2.6524006080011819E-2</v>
      </c>
      <c r="AG60" s="34">
        <f t="shared" si="30"/>
        <v>-0.12799900608001177</v>
      </c>
      <c r="AH60" s="6" t="b">
        <f>AND(W60,I60&gt;=A_t1_fair,((1-A_t1_shrink)*J60+A_t1_shrink*I60)*G60-1&gt;=A_minev,(1-A_t1_shrink)*N60+A_t1_shrink*(I60*G60-1)&gt;0,M_Sims!Q130=1)</f>
        <v>0</v>
      </c>
      <c r="AI60" s="18">
        <f>IF(AH60,M_Sims!R130*A_t1_cap/A_t1_engcap,0)</f>
        <v>0</v>
      </c>
      <c r="AJ60" s="46" t="str">
        <f t="shared" si="31"/>
        <v>-</v>
      </c>
      <c r="AK60" s="7" t="str">
        <f>IF(AH60,M_Sims!S130,"-")</f>
        <v>-</v>
      </c>
      <c r="AL60" s="51">
        <f>M_Sims!M130</f>
        <v>0</v>
      </c>
      <c r="AM60" s="6" t="str">
        <f t="shared" si="32"/>
        <v>-</v>
      </c>
    </row>
    <row r="61" spans="1:39" ht="15" customHeight="1" x14ac:dyDescent="0.3">
      <c r="A61" s="6" t="s">
        <v>269</v>
      </c>
      <c r="B61" s="7" t="str">
        <f>Odds_Input!C56</f>
        <v>Houston Rockets</v>
      </c>
      <c r="C61" s="6" t="s">
        <v>207</v>
      </c>
      <c r="D61" s="7" t="str">
        <f>Odds_Input!D56</f>
        <v>YES</v>
      </c>
      <c r="E61" s="31" t="str">
        <f>Odds_Input!E56</f>
        <v>-</v>
      </c>
      <c r="F61" s="32">
        <f>Odds_Input!F56</f>
        <v>2150</v>
      </c>
      <c r="G61" s="36">
        <f>M_DeVig!H56</f>
        <v>22.5</v>
      </c>
      <c r="H61" s="7" t="str">
        <f>Odds_Input!G56</f>
        <v>-</v>
      </c>
      <c r="I61" s="42">
        <f>M_DeVig!Q56</f>
        <v>3.2145030353957112E-2</v>
      </c>
      <c r="J61" s="42">
        <f>INDEX(M_Sims!$H$15:$H$44,MATCH($C61,M_Sims!$A$15:$A$44,0))</f>
        <v>0.15376000000000001</v>
      </c>
      <c r="K61" s="43">
        <f t="shared" si="22"/>
        <v>550.3642039542143</v>
      </c>
      <c r="L61" s="34">
        <f t="shared" si="23"/>
        <v>2.4596</v>
      </c>
      <c r="M61" s="38">
        <f t="shared" si="24"/>
        <v>12.161496964604289</v>
      </c>
      <c r="N61" s="42">
        <f>M_Sims!B131</f>
        <v>1.8644000000000001</v>
      </c>
      <c r="O61" s="42">
        <f>M_Sims!C131</f>
        <v>3.1563500000000002</v>
      </c>
      <c r="P61" s="42">
        <f>M_Sims!D131</f>
        <v>1</v>
      </c>
      <c r="Q61" s="34">
        <f t="shared" si="25"/>
        <v>9.2952515176978556E-2</v>
      </c>
      <c r="R61" s="18" t="str">
        <f t="shared" si="26"/>
        <v>-</v>
      </c>
      <c r="S61" s="46" t="str">
        <f t="shared" si="27"/>
        <v>-</v>
      </c>
      <c r="T61" s="51" t="str">
        <f>IF(A_tier2_on=1,M_Sims!M131,"-")</f>
        <v>-</v>
      </c>
      <c r="U61" s="46" t="str">
        <f>IF(OR(A_bankroll="",A_tier2_on&lt;&gt;1),"-",MIN(A_maxbet,M_Sims!M131*A_bankroll))</f>
        <v>-</v>
      </c>
      <c r="V61" s="30">
        <f>M_Sims!H131</f>
        <v>1</v>
      </c>
      <c r="W61" s="6" t="b">
        <f>AND(H61&lt;&gt;"IMPUTED_20C_LADDER",L61&gt;=A_minev,N61&gt;0,V61=1,IF(A61="PLAYOFFS",A_poconf=1,TRUE),IF(AND(A61="WINS",A_zs_on=1),AND(AE61&gt;=A_minev,M_Sims!O131&gt;0),TRUE),AF61&gt;=A_minev,AG61&gt;0,IF(I61&lt;A_longthr,(1-A_shrink)*M_Sims!K131+A_shrink*(I61*G61-1)&gt;=A_minev,TRUE),IF(AND(OR(A61="WINS",A61="PLAYOFFS",LEFT(A61,4)="DIV_"),INDEX(Raw_Teams!$F$8:$F$37,MATCH($C61,Raw_Teams!$A$8:$A$37,0))&lt;A_contthr),AND(((1-A_contshrink)*J61+A_contshrink*I61)*G61-1&gt;=A_minev,(1-A_contshrink)*N61+A_contshrink*(I61*G61-1)&gt;0),TRUE),M_Sims!P131=0)</f>
        <v>1</v>
      </c>
      <c r="X61" s="6" t="s">
        <v>1301</v>
      </c>
      <c r="Y61" s="6" t="s">
        <v>1302</v>
      </c>
      <c r="Z61" s="6">
        <v>48</v>
      </c>
      <c r="AA61" s="7" t="str">
        <f t="shared" si="28"/>
        <v>OK - sims match current assumptions</v>
      </c>
      <c r="AB61" s="13" t="s">
        <v>33</v>
      </c>
      <c r="AC61" s="13" t="s">
        <v>33</v>
      </c>
      <c r="AD61" s="13" t="s">
        <v>33</v>
      </c>
      <c r="AE61" s="13" t="s">
        <v>33</v>
      </c>
      <c r="AF61" s="34">
        <f t="shared" si="29"/>
        <v>1.0914315914820176</v>
      </c>
      <c r="AG61" s="34">
        <f t="shared" si="30"/>
        <v>0.79383159148201754</v>
      </c>
      <c r="AH61" s="6" t="b">
        <f>AND(W61,I61&gt;=A_t1_fair,((1-A_t1_shrink)*J61+A_t1_shrink*I61)*G61-1&gt;=A_minev,(1-A_t1_shrink)*N61+A_t1_shrink*(I61*G61-1)&gt;0,M_Sims!Q131=1)</f>
        <v>0</v>
      </c>
      <c r="AI61" s="18">
        <f>IF(AH61,M_Sims!R131*A_t1_cap/A_t1_engcap,0)</f>
        <v>0</v>
      </c>
      <c r="AJ61" s="46" t="str">
        <f t="shared" si="31"/>
        <v>-</v>
      </c>
      <c r="AK61" s="7" t="str">
        <f>IF(AH61,M_Sims!S131,"-")</f>
        <v>-</v>
      </c>
      <c r="AL61" s="51">
        <f>M_Sims!M131</f>
        <v>2.0587205071140001E-3</v>
      </c>
      <c r="AM61" s="6" t="str">
        <f t="shared" si="32"/>
        <v>Tier 2</v>
      </c>
    </row>
    <row r="62" spans="1:39" ht="15" customHeight="1" x14ac:dyDescent="0.3">
      <c r="A62" s="6" t="s">
        <v>269</v>
      </c>
      <c r="B62" s="7" t="str">
        <f>Odds_Input!C57</f>
        <v>Los Angeles Clippers</v>
      </c>
      <c r="C62" s="6" t="s">
        <v>209</v>
      </c>
      <c r="D62" s="7" t="str">
        <f>Odds_Input!D57</f>
        <v>YES</v>
      </c>
      <c r="E62" s="31" t="str">
        <f>Odds_Input!E57</f>
        <v>-</v>
      </c>
      <c r="F62" s="32">
        <f>Odds_Input!F57</f>
        <v>24000</v>
      </c>
      <c r="G62" s="36">
        <f>M_DeVig!H57</f>
        <v>241</v>
      </c>
      <c r="H62" s="7" t="str">
        <f>Odds_Input!G57</f>
        <v>-</v>
      </c>
      <c r="I62" s="42">
        <f>M_DeVig!Q57</f>
        <v>6.9961048549081414E-4</v>
      </c>
      <c r="J62" s="42">
        <f>INDEX(M_Sims!$H$15:$H$44,MATCH($C62,M_Sims!$A$15:$A$44,0))</f>
        <v>3.0799999999999998E-3</v>
      </c>
      <c r="K62" s="43">
        <f t="shared" si="22"/>
        <v>32367.53246753247</v>
      </c>
      <c r="L62" s="34">
        <f t="shared" si="23"/>
        <v>-0.25772000000000006</v>
      </c>
      <c r="M62" s="38">
        <f t="shared" si="24"/>
        <v>0.23803895145091858</v>
      </c>
      <c r="N62" s="42">
        <f>M_Sims!B132</f>
        <v>-0.61440000000000006</v>
      </c>
      <c r="O62" s="42">
        <f>M_Sims!C132</f>
        <v>0.60666666666666669</v>
      </c>
      <c r="P62" s="42">
        <f>M_Sims!D132</f>
        <v>0.4</v>
      </c>
      <c r="Q62" s="34">
        <f t="shared" si="25"/>
        <v>1.8898052427454069E-3</v>
      </c>
      <c r="R62" s="18" t="str">
        <f t="shared" si="26"/>
        <v>-</v>
      </c>
      <c r="S62" s="46" t="str">
        <f t="shared" si="27"/>
        <v>-</v>
      </c>
      <c r="T62" s="51" t="str">
        <f>IF(A_tier2_on=1,M_Sims!M132,"-")</f>
        <v>-</v>
      </c>
      <c r="U62" s="46" t="str">
        <f>IF(OR(A_bankroll="",A_tier2_on&lt;&gt;1),"-",MIN(A_maxbet,M_Sims!M132*A_bankroll))</f>
        <v>-</v>
      </c>
      <c r="V62" s="30">
        <f>M_Sims!H132</f>
        <v>0</v>
      </c>
      <c r="W62" s="6" t="b">
        <f>AND(H62&lt;&gt;"IMPUTED_20C_LADDER",L62&gt;=A_minev,N62&gt;0,V62=1,IF(A62="PLAYOFFS",A_poconf=1,TRUE),IF(AND(A62="WINS",A_zs_on=1),AND(AE62&gt;=A_minev,M_Sims!O132&gt;0),TRUE),AF62&gt;=A_minev,AG62&gt;0,IF(I62&lt;A_longthr,(1-A_shrink)*M_Sims!K132+A_shrink*(I62*G62-1)&gt;=A_minev,TRUE),IF(AND(OR(A62="WINS",A62="PLAYOFFS",LEFT(A62,4)="DIV_"),INDEX(Raw_Teams!$F$8:$F$37,MATCH($C62,Raw_Teams!$A$8:$A$37,0))&lt;A_contthr),AND(((1-A_contshrink)*J62+A_contshrink*I62)*G62-1&gt;=A_minev,(1-A_contshrink)*N62+A_contshrink*(I62*G62-1)&gt;0),TRUE),M_Sims!P132=0)</f>
        <v>0</v>
      </c>
      <c r="X62" s="6" t="s">
        <v>1301</v>
      </c>
      <c r="Y62" s="6" t="s">
        <v>1302</v>
      </c>
      <c r="Z62" s="6">
        <v>49</v>
      </c>
      <c r="AA62" s="7" t="str">
        <f t="shared" si="28"/>
        <v>OK - sims match current assumptions</v>
      </c>
      <c r="AB62" s="13" t="s">
        <v>33</v>
      </c>
      <c r="AC62" s="13" t="s">
        <v>33</v>
      </c>
      <c r="AD62" s="13" t="s">
        <v>33</v>
      </c>
      <c r="AE62" s="13" t="s">
        <v>33</v>
      </c>
      <c r="AF62" s="34">
        <f t="shared" si="29"/>
        <v>-0.5445569364983569</v>
      </c>
      <c r="AG62" s="34">
        <f t="shared" si="30"/>
        <v>-0.72289693649835696</v>
      </c>
      <c r="AH62" s="6" t="b">
        <f>AND(W62,I62&gt;=A_t1_fair,((1-A_t1_shrink)*J62+A_t1_shrink*I62)*G62-1&gt;=A_minev,(1-A_t1_shrink)*N62+A_t1_shrink*(I62*G62-1)&gt;0,M_Sims!Q132=1)</f>
        <v>0</v>
      </c>
      <c r="AI62" s="18">
        <f>IF(AH62,M_Sims!R132*A_t1_cap/A_t1_engcap,0)</f>
        <v>0</v>
      </c>
      <c r="AJ62" s="46" t="str">
        <f t="shared" si="31"/>
        <v>-</v>
      </c>
      <c r="AK62" s="7" t="str">
        <f>IF(AH62,M_Sims!S132,"-")</f>
        <v>-</v>
      </c>
      <c r="AL62" s="51">
        <f>M_Sims!M132</f>
        <v>0</v>
      </c>
      <c r="AM62" s="6" t="str">
        <f t="shared" si="32"/>
        <v>-</v>
      </c>
    </row>
    <row r="63" spans="1:39" ht="15" customHeight="1" x14ac:dyDescent="0.3">
      <c r="A63" s="6" t="s">
        <v>269</v>
      </c>
      <c r="B63" s="7" t="str">
        <f>Odds_Input!C58</f>
        <v>Los Angeles Lakers</v>
      </c>
      <c r="C63" s="6" t="s">
        <v>210</v>
      </c>
      <c r="D63" s="7" t="str">
        <f>Odds_Input!D58</f>
        <v>YES</v>
      </c>
      <c r="E63" s="31" t="str">
        <f>Odds_Input!E58</f>
        <v>-</v>
      </c>
      <c r="F63" s="32">
        <f>Odds_Input!F58</f>
        <v>1725</v>
      </c>
      <c r="G63" s="36">
        <f>M_DeVig!H58</f>
        <v>18.25</v>
      </c>
      <c r="H63" s="7" t="str">
        <f>Odds_Input!G58</f>
        <v>-</v>
      </c>
      <c r="I63" s="42">
        <f>M_DeVig!Q58</f>
        <v>4.1478803448568906E-2</v>
      </c>
      <c r="J63" s="42">
        <f>INDEX(M_Sims!$H$15:$H$44,MATCH($C63,M_Sims!$A$15:$A$44,0))</f>
        <v>6.6220000000000001E-2</v>
      </c>
      <c r="K63" s="43">
        <f t="shared" si="22"/>
        <v>1410.1177891875566</v>
      </c>
      <c r="L63" s="34">
        <f t="shared" si="23"/>
        <v>0.20851500000000001</v>
      </c>
      <c r="M63" s="38">
        <f t="shared" si="24"/>
        <v>2.4741196551431095</v>
      </c>
      <c r="N63" s="42">
        <f>M_Sims!B133</f>
        <v>6.0811666666666597E-2</v>
      </c>
      <c r="O63" s="42">
        <f>M_Sims!C133</f>
        <v>0.33516999999999991</v>
      </c>
      <c r="P63" s="42">
        <f>M_Sims!D133</f>
        <v>0.96666666666666679</v>
      </c>
      <c r="Q63" s="34">
        <f t="shared" si="25"/>
        <v>5.3849401724284457E-2</v>
      </c>
      <c r="R63" s="18" t="str">
        <f t="shared" si="26"/>
        <v>-</v>
      </c>
      <c r="S63" s="46" t="str">
        <f t="shared" si="27"/>
        <v>-</v>
      </c>
      <c r="T63" s="51" t="str">
        <f>IF(A_tier2_on=1,M_Sims!M133,"-")</f>
        <v>-</v>
      </c>
      <c r="U63" s="46" t="str">
        <f>IF(OR(A_bankroll="",A_tier2_on&lt;&gt;1),"-",MIN(A_maxbet,M_Sims!M133*A_bankroll))</f>
        <v>-</v>
      </c>
      <c r="V63" s="30">
        <f>M_Sims!H133</f>
        <v>1</v>
      </c>
      <c r="W63" s="6" t="b">
        <f>AND(H63&lt;&gt;"IMPUTED_20C_LADDER",L63&gt;=A_minev,N63&gt;0,V63=1,IF(A63="PLAYOFFS",A_poconf=1,TRUE),IF(AND(A63="WINS",A_zs_on=1),AND(AE63&gt;=A_minev,M_Sims!O133&gt;0),TRUE),AF63&gt;=A_minev,AG63&gt;0,IF(I63&lt;A_longthr,(1-A_shrink)*M_Sims!K133+A_shrink*(I63*G63-1)&gt;=A_minev,TRUE),IF(AND(OR(A63="WINS",A63="PLAYOFFS",LEFT(A63,4)="DIV_"),INDEX(Raw_Teams!$F$8:$F$37,MATCH($C63,Raw_Teams!$A$8:$A$37,0))&lt;A_contthr),AND(((1-A_contshrink)*J63+A_contshrink*I63)*G63-1&gt;=A_minev,(1-A_contshrink)*N63+A_contshrink*(I63*G63-1)&gt;0),TRUE),M_Sims!P133=0)</f>
        <v>0</v>
      </c>
      <c r="X63" s="6" t="s">
        <v>1301</v>
      </c>
      <c r="Y63" s="6" t="s">
        <v>1302</v>
      </c>
      <c r="Z63" s="6">
        <v>50</v>
      </c>
      <c r="AA63" s="7" t="str">
        <f t="shared" si="28"/>
        <v>OK - sims match current assumptions</v>
      </c>
      <c r="AB63" s="13" t="s">
        <v>33</v>
      </c>
      <c r="AC63" s="13" t="s">
        <v>33</v>
      </c>
      <c r="AD63" s="13" t="s">
        <v>33</v>
      </c>
      <c r="AE63" s="13" t="s">
        <v>33</v>
      </c>
      <c r="AF63" s="34">
        <f t="shared" si="29"/>
        <v>-1.7248418531808696E-2</v>
      </c>
      <c r="AG63" s="34">
        <f t="shared" si="30"/>
        <v>-9.1100085198475456E-2</v>
      </c>
      <c r="AH63" s="6" t="b">
        <f>AND(W63,I63&gt;=A_t1_fair,((1-A_t1_shrink)*J63+A_t1_shrink*I63)*G63-1&gt;=A_minev,(1-A_t1_shrink)*N63+A_t1_shrink*(I63*G63-1)&gt;0,M_Sims!Q133=1)</f>
        <v>0</v>
      </c>
      <c r="AI63" s="18">
        <f>IF(AH63,M_Sims!R133*A_t1_cap/A_t1_engcap,0)</f>
        <v>0</v>
      </c>
      <c r="AJ63" s="46" t="str">
        <f t="shared" si="31"/>
        <v>-</v>
      </c>
      <c r="AK63" s="7" t="str">
        <f>IF(AH63,M_Sims!S133,"-")</f>
        <v>-</v>
      </c>
      <c r="AL63" s="51">
        <f>M_Sims!M133</f>
        <v>0</v>
      </c>
      <c r="AM63" s="6" t="str">
        <f t="shared" si="32"/>
        <v>-</v>
      </c>
    </row>
    <row r="64" spans="1:39" ht="15" customHeight="1" x14ac:dyDescent="0.3">
      <c r="A64" s="52" t="s">
        <v>269</v>
      </c>
      <c r="B64" s="53" t="str">
        <f>Odds_Input!C59</f>
        <v>Memphis Grizzlies</v>
      </c>
      <c r="C64" s="52" t="s">
        <v>211</v>
      </c>
      <c r="D64" s="53" t="str">
        <f>Odds_Input!D59</f>
        <v>YES</v>
      </c>
      <c r="E64" s="54" t="str">
        <f>Odds_Input!E59</f>
        <v>-</v>
      </c>
      <c r="F64" s="55">
        <f>Odds_Input!F59</f>
        <v>25000</v>
      </c>
      <c r="G64" s="56">
        <f>M_DeVig!H59</f>
        <v>251</v>
      </c>
      <c r="H64" s="53" t="str">
        <f>Odds_Input!G59</f>
        <v>BACKFILL_PDF1</v>
      </c>
      <c r="I64" s="42">
        <f>M_DeVig!Q59</f>
        <v>6.466066542709319E-4</v>
      </c>
      <c r="J64" s="42">
        <f>INDEX(M_Sims!$H$15:$H$44,MATCH($C64,M_Sims!$A$15:$A$44,0))</f>
        <v>1.0919999999999999E-2</v>
      </c>
      <c r="K64" s="43">
        <f t="shared" si="22"/>
        <v>9057.5091575091592</v>
      </c>
      <c r="L64" s="34">
        <f t="shared" si="23"/>
        <v>1.7409199999999996</v>
      </c>
      <c r="M64" s="38">
        <f t="shared" si="24"/>
        <v>1.0273393345729067</v>
      </c>
      <c r="N64" s="42">
        <f>M_Sims!B134</f>
        <v>0.85070666666666672</v>
      </c>
      <c r="O64" s="42">
        <f>M_Sims!C134</f>
        <v>2.8336066666666682</v>
      </c>
      <c r="P64" s="42">
        <f>M_Sims!D134</f>
        <v>1</v>
      </c>
      <c r="Q64" s="34">
        <f t="shared" si="25"/>
        <v>5.7833033271354655E-3</v>
      </c>
      <c r="R64" s="18" t="str">
        <f t="shared" si="26"/>
        <v>-</v>
      </c>
      <c r="S64" s="46" t="str">
        <f t="shared" si="27"/>
        <v>-</v>
      </c>
      <c r="T64" s="51" t="str">
        <f>IF(A_tier2_on=1,M_Sims!M134,"-")</f>
        <v>-</v>
      </c>
      <c r="U64" s="46" t="str">
        <f>IF(OR(A_bankroll="",A_tier2_on&lt;&gt;1),"-",MIN(A_maxbet,M_Sims!M134*A_bankroll))</f>
        <v>-</v>
      </c>
      <c r="V64" s="30">
        <f>M_Sims!H134</f>
        <v>1</v>
      </c>
      <c r="W64" s="6" t="b">
        <f>AND(H64&lt;&gt;"IMPUTED_20C_LADDER",L64&gt;=A_minev,N64&gt;0,V64=1,IF(A64="PLAYOFFS",A_poconf=1,TRUE),IF(AND(A64="WINS",A_zs_on=1),AND(AE64&gt;=A_minev,M_Sims!O134&gt;0),TRUE),AF64&gt;=A_minev,AG64&gt;0,IF(I64&lt;A_longthr,(1-A_shrink)*M_Sims!K134+A_shrink*(I64*G64-1)&gt;=A_minev,TRUE),IF(AND(OR(A64="WINS",A64="PLAYOFFS",LEFT(A64,4)="DIV_"),INDEX(Raw_Teams!$F$8:$F$37,MATCH($C64,Raw_Teams!$A$8:$A$37,0))&lt;A_contthr),AND(((1-A_contshrink)*J64+A_contshrink*I64)*G64-1&gt;=A_minev,(1-A_contshrink)*N64+A_contshrink*(I64*G64-1)&gt;0),TRUE),M_Sims!P134=0)</f>
        <v>1</v>
      </c>
      <c r="X64" s="6" t="s">
        <v>1301</v>
      </c>
      <c r="Y64" s="6" t="s">
        <v>1302</v>
      </c>
      <c r="Z64" s="6">
        <v>51</v>
      </c>
      <c r="AA64" s="7" t="str">
        <f t="shared" si="28"/>
        <v>OK - sims match current assumptions</v>
      </c>
      <c r="AB64" s="13" t="s">
        <v>33</v>
      </c>
      <c r="AC64" s="13" t="s">
        <v>33</v>
      </c>
      <c r="AD64" s="13" t="s">
        <v>33</v>
      </c>
      <c r="AE64" s="13" t="s">
        <v>33</v>
      </c>
      <c r="AF64" s="34">
        <f t="shared" si="29"/>
        <v>0.45160913511100187</v>
      </c>
      <c r="AG64" s="34">
        <f t="shared" si="30"/>
        <v>6.5024684443353298E-3</v>
      </c>
      <c r="AH64" s="6" t="b">
        <f>AND(W64,I64&gt;=A_t1_fair,((1-A_t1_shrink)*J64+A_t1_shrink*I64)*G64-1&gt;=A_minev,(1-A_t1_shrink)*N64+A_t1_shrink*(I64*G64-1)&gt;0,M_Sims!Q134=1)</f>
        <v>0</v>
      </c>
      <c r="AI64" s="18">
        <f>IF(AH64,M_Sims!R134*A_t1_cap/A_t1_engcap,0)</f>
        <v>0</v>
      </c>
      <c r="AJ64" s="46" t="str">
        <f t="shared" si="31"/>
        <v>-</v>
      </c>
      <c r="AK64" s="7" t="str">
        <f>IF(AH64,M_Sims!S134,"-")</f>
        <v>-</v>
      </c>
      <c r="AL64" s="51">
        <f>M_Sims!M134</f>
        <v>0</v>
      </c>
      <c r="AM64" s="6" t="str">
        <f t="shared" si="32"/>
        <v>Tier 2</v>
      </c>
    </row>
    <row r="65" spans="1:39" ht="15" customHeight="1" x14ac:dyDescent="0.3">
      <c r="A65" s="6" t="s">
        <v>269</v>
      </c>
      <c r="B65" s="7" t="str">
        <f>Odds_Input!C60</f>
        <v>Minnesota Timberwolves</v>
      </c>
      <c r="C65" s="6" t="s">
        <v>214</v>
      </c>
      <c r="D65" s="7" t="str">
        <f>Odds_Input!D60</f>
        <v>YES</v>
      </c>
      <c r="E65" s="31" t="str">
        <f>Odds_Input!E60</f>
        <v>-</v>
      </c>
      <c r="F65" s="32">
        <f>Odds_Input!F60</f>
        <v>1250</v>
      </c>
      <c r="G65" s="36">
        <f>M_DeVig!H60</f>
        <v>13.5</v>
      </c>
      <c r="H65" s="7" t="str">
        <f>Odds_Input!G60</f>
        <v>-</v>
      </c>
      <c r="I65" s="42">
        <f>M_DeVig!Q60</f>
        <v>5.9031863382166712E-2</v>
      </c>
      <c r="J65" s="42">
        <f>INDEX(M_Sims!$H$15:$H$44,MATCH($C65,M_Sims!$A$15:$A$44,0))</f>
        <v>4.9660000000000003E-2</v>
      </c>
      <c r="K65" s="43">
        <f t="shared" si="22"/>
        <v>1913.6931131695526</v>
      </c>
      <c r="L65" s="34">
        <f t="shared" si="23"/>
        <v>-0.32958999999999994</v>
      </c>
      <c r="M65" s="38">
        <f t="shared" si="24"/>
        <v>-0.93718633821667097</v>
      </c>
      <c r="N65" s="42">
        <f>M_Sims!B135</f>
        <v>-0.4366000000000001</v>
      </c>
      <c r="O65" s="42">
        <f>M_Sims!C135</f>
        <v>-0.1979199999999999</v>
      </c>
      <c r="P65" s="42">
        <f>M_Sims!D135</f>
        <v>0</v>
      </c>
      <c r="Q65" s="34">
        <f t="shared" si="25"/>
        <v>5.4345931691083357E-2</v>
      </c>
      <c r="R65" s="18" t="str">
        <f t="shared" si="26"/>
        <v>-</v>
      </c>
      <c r="S65" s="46" t="str">
        <f t="shared" si="27"/>
        <v>-</v>
      </c>
      <c r="T65" s="51" t="str">
        <f>IF(A_tier2_on=1,M_Sims!M135,"-")</f>
        <v>-</v>
      </c>
      <c r="U65" s="46" t="str">
        <f>IF(OR(A_bankroll="",A_tier2_on&lt;&gt;1),"-",MIN(A_maxbet,M_Sims!M135*A_bankroll))</f>
        <v>-</v>
      </c>
      <c r="V65" s="30">
        <f>M_Sims!H135</f>
        <v>1</v>
      </c>
      <c r="W65" s="6" t="b">
        <f>AND(H65&lt;&gt;"IMPUTED_20C_LADDER",L65&gt;=A_minev,N65&gt;0,V65=1,IF(A65="PLAYOFFS",A_poconf=1,TRUE),IF(AND(A65="WINS",A_zs_on=1),AND(AE65&gt;=A_minev,M_Sims!O135&gt;0),TRUE),AF65&gt;=A_minev,AG65&gt;0,IF(I65&lt;A_longthr,(1-A_shrink)*M_Sims!K135+A_shrink*(I65*G65-1)&gt;=A_minev,TRUE),IF(AND(OR(A65="WINS",A65="PLAYOFFS",LEFT(A65,4)="DIV_"),INDEX(Raw_Teams!$F$8:$F$37,MATCH($C65,Raw_Teams!$A$8:$A$37,0))&lt;A_contthr),AND(((1-A_contshrink)*J65+A_contshrink*I65)*G65-1&gt;=A_minev,(1-A_contshrink)*N65+A_contshrink*(I65*G65-1)&gt;0),TRUE),M_Sims!P135=0)</f>
        <v>0</v>
      </c>
      <c r="X65" s="6" t="s">
        <v>1301</v>
      </c>
      <c r="Y65" s="6" t="s">
        <v>1302</v>
      </c>
      <c r="Z65" s="6">
        <v>52</v>
      </c>
      <c r="AA65" s="7" t="str">
        <f t="shared" si="28"/>
        <v>OK - sims match current assumptions</v>
      </c>
      <c r="AB65" s="13" t="s">
        <v>33</v>
      </c>
      <c r="AC65" s="13" t="s">
        <v>33</v>
      </c>
      <c r="AD65" s="13" t="s">
        <v>33</v>
      </c>
      <c r="AE65" s="13" t="s">
        <v>33</v>
      </c>
      <c r="AF65" s="34">
        <f t="shared" si="29"/>
        <v>-0.26632992217037466</v>
      </c>
      <c r="AG65" s="34">
        <f t="shared" si="30"/>
        <v>-0.31983492217037474</v>
      </c>
      <c r="AH65" s="6" t="b">
        <f>AND(W65,I65&gt;=A_t1_fair,((1-A_t1_shrink)*J65+A_t1_shrink*I65)*G65-1&gt;=A_minev,(1-A_t1_shrink)*N65+A_t1_shrink*(I65*G65-1)&gt;0,M_Sims!Q135=1)</f>
        <v>0</v>
      </c>
      <c r="AI65" s="18">
        <f>IF(AH65,M_Sims!R135*A_t1_cap/A_t1_engcap,0)</f>
        <v>0</v>
      </c>
      <c r="AJ65" s="46" t="str">
        <f t="shared" si="31"/>
        <v>-</v>
      </c>
      <c r="AK65" s="7" t="str">
        <f>IF(AH65,M_Sims!S135,"-")</f>
        <v>-</v>
      </c>
      <c r="AL65" s="51">
        <f>M_Sims!M135</f>
        <v>0</v>
      </c>
      <c r="AM65" s="6" t="str">
        <f t="shared" si="32"/>
        <v>-</v>
      </c>
    </row>
    <row r="66" spans="1:39" ht="15" customHeight="1" x14ac:dyDescent="0.3">
      <c r="A66" s="6" t="s">
        <v>269</v>
      </c>
      <c r="B66" s="7" t="str">
        <f>Odds_Input!C61</f>
        <v>New Orleans Pelicans</v>
      </c>
      <c r="C66" s="6" t="s">
        <v>215</v>
      </c>
      <c r="D66" s="7" t="str">
        <f>Odds_Input!D61</f>
        <v>YES</v>
      </c>
      <c r="E66" s="31" t="str">
        <f>Odds_Input!E61</f>
        <v>-</v>
      </c>
      <c r="F66" s="32">
        <f>Odds_Input!F61</f>
        <v>24000</v>
      </c>
      <c r="G66" s="36">
        <f>M_DeVig!H61</f>
        <v>241</v>
      </c>
      <c r="H66" s="7" t="str">
        <f>Odds_Input!G61</f>
        <v>-</v>
      </c>
      <c r="I66" s="42">
        <f>M_DeVig!Q61</f>
        <v>6.9961048549081414E-4</v>
      </c>
      <c r="J66" s="42">
        <f>INDEX(M_Sims!$H$15:$H$44,MATCH($C66,M_Sims!$A$15:$A$44,0))</f>
        <v>4.7099999999999998E-3</v>
      </c>
      <c r="K66" s="43">
        <f t="shared" si="22"/>
        <v>21131.422505307855</v>
      </c>
      <c r="L66" s="34">
        <f t="shared" si="23"/>
        <v>0.13510999999999984</v>
      </c>
      <c r="M66" s="38">
        <f t="shared" si="24"/>
        <v>0.40103895145091856</v>
      </c>
      <c r="N66" s="42">
        <f>M_Sims!B136</f>
        <v>-0.32680666666666669</v>
      </c>
      <c r="O66" s="42">
        <f>M_Sims!C136</f>
        <v>0.8380266666666667</v>
      </c>
      <c r="P66" s="42">
        <f>M_Sims!D136</f>
        <v>0.6166666666666667</v>
      </c>
      <c r="Q66" s="34">
        <f t="shared" si="25"/>
        <v>2.7048052427454069E-3</v>
      </c>
      <c r="R66" s="18" t="str">
        <f t="shared" si="26"/>
        <v>-</v>
      </c>
      <c r="S66" s="46" t="str">
        <f t="shared" si="27"/>
        <v>-</v>
      </c>
      <c r="T66" s="51" t="str">
        <f>IF(A_tier2_on=1,M_Sims!M136,"-")</f>
        <v>-</v>
      </c>
      <c r="U66" s="46" t="str">
        <f>IF(OR(A_bankroll="",A_tier2_on&lt;&gt;1),"-",MIN(A_maxbet,M_Sims!M136*A_bankroll))</f>
        <v>-</v>
      </c>
      <c r="V66" s="30">
        <f>M_Sims!H136</f>
        <v>0</v>
      </c>
      <c r="W66" s="6" t="b">
        <f>AND(H66&lt;&gt;"IMPUTED_20C_LADDER",L66&gt;=A_minev,N66&gt;0,V66=1,IF(A66="PLAYOFFS",A_poconf=1,TRUE),IF(AND(A66="WINS",A_zs_on=1),AND(AE66&gt;=A_minev,M_Sims!O136&gt;0),TRUE),AF66&gt;=A_minev,AG66&gt;0,IF(I66&lt;A_longthr,(1-A_shrink)*M_Sims!K136+A_shrink*(I66*G66-1)&gt;=A_minev,TRUE),IF(AND(OR(A66="WINS",A66="PLAYOFFS",LEFT(A66,4)="DIV_"),INDEX(Raw_Teams!$F$8:$F$37,MATCH($C66,Raw_Teams!$A$8:$A$37,0))&lt;A_contthr),AND(((1-A_contshrink)*J66+A_contshrink*I66)*G66-1&gt;=A_minev,(1-A_contshrink)*N66+A_contshrink*(I66*G66-1)&gt;0),TRUE),M_Sims!P136=0)</f>
        <v>0</v>
      </c>
      <c r="X66" s="6" t="s">
        <v>1301</v>
      </c>
      <c r="Y66" s="6" t="s">
        <v>1302</v>
      </c>
      <c r="Z66" s="6">
        <v>53</v>
      </c>
      <c r="AA66" s="7" t="str">
        <f t="shared" si="28"/>
        <v>OK - sims match current assumptions</v>
      </c>
      <c r="AB66" s="13" t="s">
        <v>33</v>
      </c>
      <c r="AC66" s="13" t="s">
        <v>33</v>
      </c>
      <c r="AD66" s="13" t="s">
        <v>33</v>
      </c>
      <c r="AE66" s="13" t="s">
        <v>33</v>
      </c>
      <c r="AF66" s="34">
        <f t="shared" si="29"/>
        <v>-0.3481419364983569</v>
      </c>
      <c r="AG66" s="34">
        <f t="shared" si="30"/>
        <v>-0.57910026983169027</v>
      </c>
      <c r="AH66" s="6" t="b">
        <f>AND(W66,I66&gt;=A_t1_fair,((1-A_t1_shrink)*J66+A_t1_shrink*I66)*G66-1&gt;=A_minev,(1-A_t1_shrink)*N66+A_t1_shrink*(I66*G66-1)&gt;0,M_Sims!Q136=1)</f>
        <v>0</v>
      </c>
      <c r="AI66" s="18">
        <f>IF(AH66,M_Sims!R136*A_t1_cap/A_t1_engcap,0)</f>
        <v>0</v>
      </c>
      <c r="AJ66" s="46" t="str">
        <f t="shared" si="31"/>
        <v>-</v>
      </c>
      <c r="AK66" s="7" t="str">
        <f>IF(AH66,M_Sims!S136,"-")</f>
        <v>-</v>
      </c>
      <c r="AL66" s="51">
        <f>M_Sims!M136</f>
        <v>0</v>
      </c>
      <c r="AM66" s="6" t="str">
        <f t="shared" si="32"/>
        <v>-</v>
      </c>
    </row>
    <row r="67" spans="1:39" ht="15" customHeight="1" x14ac:dyDescent="0.3">
      <c r="A67" s="6" t="s">
        <v>269</v>
      </c>
      <c r="B67" s="7" t="str">
        <f>Odds_Input!C62</f>
        <v>Oklahoma City Thunder</v>
      </c>
      <c r="C67" s="6" t="s">
        <v>217</v>
      </c>
      <c r="D67" s="7" t="str">
        <f>Odds_Input!D62</f>
        <v>YES</v>
      </c>
      <c r="E67" s="31" t="str">
        <f>Odds_Input!E62</f>
        <v>-</v>
      </c>
      <c r="F67" s="32">
        <f>Odds_Input!F62</f>
        <v>125</v>
      </c>
      <c r="G67" s="36">
        <f>M_DeVig!H62</f>
        <v>2.25</v>
      </c>
      <c r="H67" s="7" t="str">
        <f>Odds_Input!G62</f>
        <v>-</v>
      </c>
      <c r="I67" s="42">
        <f>M_DeVig!Q62</f>
        <v>0.40058866290880973</v>
      </c>
      <c r="J67" s="42">
        <f>INDEX(M_Sims!$H$15:$H$44,MATCH($C67,M_Sims!$A$15:$A$44,0))</f>
        <v>0.32552999999999999</v>
      </c>
      <c r="K67" s="43">
        <f t="shared" si="22"/>
        <v>207.19134949159834</v>
      </c>
      <c r="L67" s="34">
        <f t="shared" si="23"/>
        <v>-0.2675575</v>
      </c>
      <c r="M67" s="38">
        <f t="shared" si="24"/>
        <v>-7.5058662908809746</v>
      </c>
      <c r="N67" s="42">
        <f>M_Sims!B137</f>
        <v>-0.39119500000000001</v>
      </c>
      <c r="O67" s="42">
        <f>M_Sims!C137</f>
        <v>-0.13998999999999989</v>
      </c>
      <c r="P67" s="42">
        <f>M_Sims!D137</f>
        <v>0</v>
      </c>
      <c r="Q67" s="34">
        <f t="shared" si="25"/>
        <v>0.36305933145440483</v>
      </c>
      <c r="R67" s="18" t="str">
        <f t="shared" si="26"/>
        <v>-</v>
      </c>
      <c r="S67" s="46" t="str">
        <f t="shared" si="27"/>
        <v>-</v>
      </c>
      <c r="T67" s="51" t="str">
        <f>IF(A_tier2_on=1,M_Sims!M137,"-")</f>
        <v>-</v>
      </c>
      <c r="U67" s="46" t="str">
        <f>IF(OR(A_bankroll="",A_tier2_on&lt;&gt;1),"-",MIN(A_maxbet,M_Sims!M137*A_bankroll))</f>
        <v>-</v>
      </c>
      <c r="V67" s="30">
        <f>M_Sims!H137</f>
        <v>1</v>
      </c>
      <c r="W67" s="6" t="b">
        <f>AND(H67&lt;&gt;"IMPUTED_20C_LADDER",L67&gt;=A_minev,N67&gt;0,V67=1,IF(A67="PLAYOFFS",A_poconf=1,TRUE),IF(AND(A67="WINS",A_zs_on=1),AND(AE67&gt;=A_minev,M_Sims!O137&gt;0),TRUE),AF67&gt;=A_minev,AG67&gt;0,IF(I67&lt;A_longthr,(1-A_shrink)*M_Sims!K137+A_shrink*(I67*G67-1)&gt;=A_minev,TRUE),IF(AND(OR(A67="WINS",A67="PLAYOFFS",LEFT(A67,4)="DIV_"),INDEX(Raw_Teams!$F$8:$F$37,MATCH($C67,Raw_Teams!$A$8:$A$37,0))&lt;A_contthr),AND(((1-A_contshrink)*J67+A_contshrink*I67)*G67-1&gt;=A_minev,(1-A_contshrink)*N67+A_contshrink*(I67*G67-1)&gt;0),TRUE),M_Sims!P137=0)</f>
        <v>0</v>
      </c>
      <c r="X67" s="6" t="s">
        <v>1301</v>
      </c>
      <c r="Y67" s="6" t="s">
        <v>1302</v>
      </c>
      <c r="Z67" s="6">
        <v>54</v>
      </c>
      <c r="AA67" s="7" t="str">
        <f t="shared" si="28"/>
        <v>OK - sims match current assumptions</v>
      </c>
      <c r="AB67" s="13" t="s">
        <v>33</v>
      </c>
      <c r="AC67" s="13" t="s">
        <v>33</v>
      </c>
      <c r="AD67" s="13" t="s">
        <v>33</v>
      </c>
      <c r="AE67" s="13" t="s">
        <v>33</v>
      </c>
      <c r="AF67" s="34">
        <f t="shared" si="29"/>
        <v>-0.18311650422758907</v>
      </c>
      <c r="AG67" s="34">
        <f t="shared" si="30"/>
        <v>-0.24493525422758908</v>
      </c>
      <c r="AH67" s="6" t="b">
        <f>AND(W67,I67&gt;=A_t1_fair,((1-A_t1_shrink)*J67+A_t1_shrink*I67)*G67-1&gt;=A_minev,(1-A_t1_shrink)*N67+A_t1_shrink*(I67*G67-1)&gt;0,M_Sims!Q137=1)</f>
        <v>0</v>
      </c>
      <c r="AI67" s="18">
        <f>IF(AH67,M_Sims!R137*A_t1_cap/A_t1_engcap,0)</f>
        <v>0</v>
      </c>
      <c r="AJ67" s="46" t="str">
        <f t="shared" si="31"/>
        <v>-</v>
      </c>
      <c r="AK67" s="7" t="str">
        <f>IF(AH67,M_Sims!S137,"-")</f>
        <v>-</v>
      </c>
      <c r="AL67" s="51">
        <f>M_Sims!M137</f>
        <v>0</v>
      </c>
      <c r="AM67" s="6" t="str">
        <f t="shared" si="32"/>
        <v>-</v>
      </c>
    </row>
    <row r="68" spans="1:39" ht="15" customHeight="1" x14ac:dyDescent="0.3">
      <c r="A68" s="6" t="s">
        <v>269</v>
      </c>
      <c r="B68" s="7" t="str">
        <f>Odds_Input!C63</f>
        <v>Phoenix Suns</v>
      </c>
      <c r="C68" s="6" t="s">
        <v>220</v>
      </c>
      <c r="D68" s="7" t="str">
        <f>Odds_Input!D63</f>
        <v>YES</v>
      </c>
      <c r="E68" s="31" t="str">
        <f>Odds_Input!E63</f>
        <v>-</v>
      </c>
      <c r="F68" s="32">
        <f>Odds_Input!F63</f>
        <v>8500</v>
      </c>
      <c r="G68" s="36">
        <f>M_DeVig!H63</f>
        <v>86</v>
      </c>
      <c r="H68" s="7" t="str">
        <f>Odds_Input!G63</f>
        <v>-</v>
      </c>
      <c r="I68" s="42">
        <f>M_DeVig!Q63</f>
        <v>4.6284079550052105E-3</v>
      </c>
      <c r="J68" s="42">
        <f>INDEX(M_Sims!$H$15:$H$44,MATCH($C68,M_Sims!$A$15:$A$44,0))</f>
        <v>2.2069999999999999E-2</v>
      </c>
      <c r="K68" s="43">
        <f t="shared" si="22"/>
        <v>4431.0376076121429</v>
      </c>
      <c r="L68" s="34">
        <f t="shared" si="23"/>
        <v>0.89802000000000004</v>
      </c>
      <c r="M68" s="38">
        <f t="shared" si="24"/>
        <v>1.7441592044994787</v>
      </c>
      <c r="N68" s="42">
        <f>M_Sims!B138</f>
        <v>0.25961333333333331</v>
      </c>
      <c r="O68" s="42">
        <f>M_Sims!C138</f>
        <v>1.6144000000000009</v>
      </c>
      <c r="P68" s="42">
        <f>M_Sims!D138</f>
        <v>0.98333333333333317</v>
      </c>
      <c r="Q68" s="34">
        <f t="shared" si="25"/>
        <v>1.3349203977502605E-2</v>
      </c>
      <c r="R68" s="18" t="str">
        <f t="shared" si="26"/>
        <v>-</v>
      </c>
      <c r="S68" s="46" t="str">
        <f t="shared" si="27"/>
        <v>-</v>
      </c>
      <c r="T68" s="51" t="str">
        <f>IF(A_tier2_on=1,M_Sims!M138,"-")</f>
        <v>-</v>
      </c>
      <c r="U68" s="46" t="str">
        <f>IF(OR(A_bankroll="",A_tier2_on&lt;&gt;1),"-",MIN(A_maxbet,M_Sims!M138*A_bankroll))</f>
        <v>-</v>
      </c>
      <c r="V68" s="30">
        <f>M_Sims!H138</f>
        <v>1</v>
      </c>
      <c r="W68" s="6" t="b">
        <f>AND(H68&lt;&gt;"IMPUTED_20C_LADDER",L68&gt;=A_minev,N68&gt;0,V68=1,IF(A68="PLAYOFFS",A_poconf=1,TRUE),IF(AND(A68="WINS",A_zs_on=1),AND(AE68&gt;=A_minev,M_Sims!O138&gt;0),TRUE),AF68&gt;=A_minev,AG68&gt;0,IF(I68&lt;A_longthr,(1-A_shrink)*M_Sims!K138+A_shrink*(I68*G68-1)&gt;=A_minev,TRUE),IF(AND(OR(A68="WINS",A68="PLAYOFFS",LEFT(A68,4)="DIV_"),INDEX(Raw_Teams!$F$8:$F$37,MATCH($C68,Raw_Teams!$A$8:$A$37,0))&lt;A_contthr),AND(((1-A_contshrink)*J68+A_contshrink*I68)*G68-1&gt;=A_minev,(1-A_contshrink)*N68+A_contshrink*(I68*G68-1)&gt;0),TRUE),M_Sims!P138=0)</f>
        <v>0</v>
      </c>
      <c r="X68" s="6" t="s">
        <v>1301</v>
      </c>
      <c r="Y68" s="6" t="s">
        <v>1302</v>
      </c>
      <c r="Z68" s="6">
        <v>55</v>
      </c>
      <c r="AA68" s="7" t="str">
        <f t="shared" si="28"/>
        <v>OK - sims match current assumptions</v>
      </c>
      <c r="AB68" s="13" t="s">
        <v>33</v>
      </c>
      <c r="AC68" s="13" t="s">
        <v>33</v>
      </c>
      <c r="AD68" s="13" t="s">
        <v>33</v>
      </c>
      <c r="AE68" s="13" t="s">
        <v>33</v>
      </c>
      <c r="AF68" s="34">
        <f t="shared" si="29"/>
        <v>0.14803154206522406</v>
      </c>
      <c r="AG68" s="34">
        <f t="shared" si="30"/>
        <v>-0.1711717912681093</v>
      </c>
      <c r="AH68" s="6" t="b">
        <f>AND(W68,I68&gt;=A_t1_fair,((1-A_t1_shrink)*J68+A_t1_shrink*I68)*G68-1&gt;=A_minev,(1-A_t1_shrink)*N68+A_t1_shrink*(I68*G68-1)&gt;0,M_Sims!Q138=1)</f>
        <v>0</v>
      </c>
      <c r="AI68" s="18">
        <f>IF(AH68,M_Sims!R138*A_t1_cap/A_t1_engcap,0)</f>
        <v>0</v>
      </c>
      <c r="AJ68" s="46" t="str">
        <f t="shared" si="31"/>
        <v>-</v>
      </c>
      <c r="AK68" s="7" t="str">
        <f>IF(AH68,M_Sims!S138,"-")</f>
        <v>-</v>
      </c>
      <c r="AL68" s="51">
        <f>M_Sims!M138</f>
        <v>0</v>
      </c>
      <c r="AM68" s="6" t="str">
        <f t="shared" si="32"/>
        <v>-</v>
      </c>
    </row>
    <row r="69" spans="1:39" ht="15" customHeight="1" x14ac:dyDescent="0.3">
      <c r="A69" s="6" t="s">
        <v>269</v>
      </c>
      <c r="B69" s="7" t="str">
        <f>Odds_Input!C64</f>
        <v>Portland Trail Blazers</v>
      </c>
      <c r="C69" s="6" t="s">
        <v>221</v>
      </c>
      <c r="D69" s="7" t="str">
        <f>Odds_Input!D64</f>
        <v>YES</v>
      </c>
      <c r="E69" s="31" t="str">
        <f>Odds_Input!E64</f>
        <v>-</v>
      </c>
      <c r="F69" s="32">
        <f>Odds_Input!F64</f>
        <v>4900</v>
      </c>
      <c r="G69" s="36">
        <f>M_DeVig!H64</f>
        <v>50</v>
      </c>
      <c r="H69" s="7" t="str">
        <f>Odds_Input!G64</f>
        <v>-</v>
      </c>
      <c r="I69" s="42">
        <f>M_DeVig!Q64</f>
        <v>1.0930261948490037E-2</v>
      </c>
      <c r="J69" s="42">
        <f>INDEX(M_Sims!$H$15:$H$44,MATCH($C69,M_Sims!$A$15:$A$44,0))</f>
        <v>5.2740000000000002E-2</v>
      </c>
      <c r="K69" s="43">
        <f t="shared" si="22"/>
        <v>1796.0940462646947</v>
      </c>
      <c r="L69" s="34">
        <f t="shared" si="23"/>
        <v>1.637</v>
      </c>
      <c r="M69" s="38">
        <f t="shared" si="24"/>
        <v>4.1809738051509964</v>
      </c>
      <c r="N69" s="42">
        <f>M_Sims!B139</f>
        <v>1.299333333333333</v>
      </c>
      <c r="O69" s="42">
        <f>M_Sims!C139</f>
        <v>2.1606666666666672</v>
      </c>
      <c r="P69" s="42">
        <f>M_Sims!D139</f>
        <v>1</v>
      </c>
      <c r="Q69" s="34">
        <f t="shared" si="25"/>
        <v>3.1835130974245021E-2</v>
      </c>
      <c r="R69" s="18" t="str">
        <f t="shared" si="26"/>
        <v>-</v>
      </c>
      <c r="S69" s="46" t="str">
        <f t="shared" si="27"/>
        <v>-</v>
      </c>
      <c r="T69" s="51" t="str">
        <f>IF(A_tier2_on=1,M_Sims!M139,"-")</f>
        <v>-</v>
      </c>
      <c r="U69" s="46" t="str">
        <f>IF(OR(A_bankroll="",A_tier2_on&lt;&gt;1),"-",MIN(A_maxbet,M_Sims!M139*A_bankroll))</f>
        <v>-</v>
      </c>
      <c r="V69" s="30">
        <f>M_Sims!H139</f>
        <v>1</v>
      </c>
      <c r="W69" s="6" t="b">
        <f>AND(H69&lt;&gt;"IMPUTED_20C_LADDER",L69&gt;=A_minev,N69&gt;0,V69=1,IF(A69="PLAYOFFS",A_poconf=1,TRUE),IF(AND(A69="WINS",A_zs_on=1),AND(AE69&gt;=A_minev,M_Sims!O139&gt;0),TRUE),AF69&gt;=A_minev,AG69&gt;0,IF(I69&lt;A_longthr,(1-A_shrink)*M_Sims!K139+A_shrink*(I69*G69-1)&gt;=A_minev,TRUE),IF(AND(OR(A69="WINS",A69="PLAYOFFS",LEFT(A69,4)="DIV_"),INDEX(Raw_Teams!$F$8:$F$37,MATCH($C69,Raw_Teams!$A$8:$A$37,0))&lt;A_contthr),AND(((1-A_contshrink)*J69+A_contshrink*I69)*G69-1&gt;=A_minev,(1-A_contshrink)*N69+A_contshrink*(I69*G69-1)&gt;0),TRUE),M_Sims!P139=0)</f>
        <v>1</v>
      </c>
      <c r="X69" s="6" t="s">
        <v>1301</v>
      </c>
      <c r="Y69" s="6" t="s">
        <v>1302</v>
      </c>
      <c r="Z69" s="6">
        <v>56</v>
      </c>
      <c r="AA69" s="7" t="str">
        <f t="shared" si="28"/>
        <v>OK - sims match current assumptions</v>
      </c>
      <c r="AB69" s="13" t="s">
        <v>33</v>
      </c>
      <c r="AC69" s="13" t="s">
        <v>33</v>
      </c>
      <c r="AD69" s="13" t="s">
        <v>33</v>
      </c>
      <c r="AE69" s="13" t="s">
        <v>33</v>
      </c>
      <c r="AF69" s="34">
        <f t="shared" si="29"/>
        <v>0.59175654871225114</v>
      </c>
      <c r="AG69" s="34">
        <f t="shared" si="30"/>
        <v>0.42292321537891742</v>
      </c>
      <c r="AH69" s="6" t="b">
        <f>AND(W69,I69&gt;=A_t1_fair,((1-A_t1_shrink)*J69+A_t1_shrink*I69)*G69-1&gt;=A_minev,(1-A_t1_shrink)*N69+A_t1_shrink*(I69*G69-1)&gt;0,M_Sims!Q139=1)</f>
        <v>0</v>
      </c>
      <c r="AI69" s="18">
        <f>IF(AH69,M_Sims!R139*A_t1_cap/A_t1_engcap,0)</f>
        <v>0</v>
      </c>
      <c r="AJ69" s="46" t="str">
        <f t="shared" si="31"/>
        <v>-</v>
      </c>
      <c r="AK69" s="7" t="str">
        <f>IF(AH69,M_Sims!S139,"-")</f>
        <v>-</v>
      </c>
      <c r="AL69" s="51">
        <f>M_Sims!M139</f>
        <v>4.4339072628389999E-4</v>
      </c>
      <c r="AM69" s="6" t="str">
        <f t="shared" si="32"/>
        <v>Tier 2</v>
      </c>
    </row>
    <row r="70" spans="1:39" ht="15" customHeight="1" x14ac:dyDescent="0.3">
      <c r="A70" s="6" t="s">
        <v>269</v>
      </c>
      <c r="B70" s="7" t="str">
        <f>Odds_Input!C65</f>
        <v>Sacramento Kings</v>
      </c>
      <c r="C70" s="6" t="s">
        <v>222</v>
      </c>
      <c r="D70" s="7" t="str">
        <f>Odds_Input!D65</f>
        <v>YES</v>
      </c>
      <c r="E70" s="31" t="str">
        <f>Odds_Input!E65</f>
        <v>-</v>
      </c>
      <c r="F70" s="32">
        <f>Odds_Input!F65</f>
        <v>25000</v>
      </c>
      <c r="G70" s="36">
        <f>M_DeVig!H65</f>
        <v>251</v>
      </c>
      <c r="H70" s="7" t="str">
        <f>Odds_Input!G65</f>
        <v>-</v>
      </c>
      <c r="I70" s="42">
        <f>M_DeVig!Q65</f>
        <v>6.466066542709319E-4</v>
      </c>
      <c r="J70" s="42">
        <f>INDEX(M_Sims!$H$15:$H$44,MATCH($C70,M_Sims!$A$15:$A$44,0))</f>
        <v>5.4000000000000001E-4</v>
      </c>
      <c r="K70" s="43">
        <f t="shared" si="22"/>
        <v>185085.18518518517</v>
      </c>
      <c r="L70" s="34">
        <f t="shared" si="23"/>
        <v>-0.86446000000000001</v>
      </c>
      <c r="M70" s="38">
        <f t="shared" si="24"/>
        <v>-1.066066542709319E-2</v>
      </c>
      <c r="N70" s="42">
        <f>M_Sims!B140</f>
        <v>-0.98326666666666662</v>
      </c>
      <c r="O70" s="42">
        <f>M_Sims!C140</f>
        <v>-0.69712666666666667</v>
      </c>
      <c r="P70" s="42">
        <f>M_Sims!D140</f>
        <v>0</v>
      </c>
      <c r="Q70" s="34">
        <f t="shared" si="25"/>
        <v>5.9330332713546595E-4</v>
      </c>
      <c r="R70" s="18" t="str">
        <f t="shared" si="26"/>
        <v>-</v>
      </c>
      <c r="S70" s="46" t="str">
        <f t="shared" si="27"/>
        <v>-</v>
      </c>
      <c r="T70" s="51" t="str">
        <f>IF(A_tier2_on=1,M_Sims!M140,"-")</f>
        <v>-</v>
      </c>
      <c r="U70" s="46" t="str">
        <f>IF(OR(A_bankroll="",A_tier2_on&lt;&gt;1),"-",MIN(A_maxbet,M_Sims!M140*A_bankroll))</f>
        <v>-</v>
      </c>
      <c r="V70" s="30">
        <f>M_Sims!H140</f>
        <v>0</v>
      </c>
      <c r="W70" s="6" t="b">
        <f>AND(H70&lt;&gt;"IMPUTED_20C_LADDER",L70&gt;=A_minev,N70&gt;0,V70=1,IF(A70="PLAYOFFS",A_poconf=1,TRUE),IF(AND(A70="WINS",A_zs_on=1),AND(AE70&gt;=A_minev,M_Sims!O140&gt;0),TRUE),AF70&gt;=A_minev,AG70&gt;0,IF(I70&lt;A_longthr,(1-A_shrink)*M_Sims!K140+A_shrink*(I70*G70-1)&gt;=A_minev,TRUE),IF(AND(OR(A70="WINS",A70="PLAYOFFS",LEFT(A70,4)="DIV_"),INDEX(Raw_Teams!$F$8:$F$37,MATCH($C70,Raw_Teams!$A$8:$A$37,0))&lt;A_contthr),AND(((1-A_contshrink)*J70+A_contshrink*I70)*G70-1&gt;=A_minev,(1-A_contshrink)*N70+A_contshrink*(I70*G70-1)&gt;0),TRUE),M_Sims!P140=0)</f>
        <v>0</v>
      </c>
      <c r="X70" s="6" t="s">
        <v>1301</v>
      </c>
      <c r="Y70" s="6" t="s">
        <v>1302</v>
      </c>
      <c r="Z70" s="6">
        <v>57</v>
      </c>
      <c r="AA70" s="7" t="str">
        <f t="shared" si="28"/>
        <v>OK - sims match current assumptions</v>
      </c>
      <c r="AB70" s="13" t="s">
        <v>33</v>
      </c>
      <c r="AC70" s="13" t="s">
        <v>33</v>
      </c>
      <c r="AD70" s="13" t="s">
        <v>33</v>
      </c>
      <c r="AE70" s="13" t="s">
        <v>33</v>
      </c>
      <c r="AF70" s="34">
        <f t="shared" si="29"/>
        <v>-0.85108086488899803</v>
      </c>
      <c r="AG70" s="34">
        <f t="shared" si="30"/>
        <v>-0.91048419822233129</v>
      </c>
      <c r="AH70" s="6" t="b">
        <f>AND(W70,I70&gt;=A_t1_fair,((1-A_t1_shrink)*J70+A_t1_shrink*I70)*G70-1&gt;=A_minev,(1-A_t1_shrink)*N70+A_t1_shrink*(I70*G70-1)&gt;0,M_Sims!Q140=1)</f>
        <v>0</v>
      </c>
      <c r="AI70" s="18">
        <f>IF(AH70,M_Sims!R140*A_t1_cap/A_t1_engcap,0)</f>
        <v>0</v>
      </c>
      <c r="AJ70" s="46" t="str">
        <f t="shared" si="31"/>
        <v>-</v>
      </c>
      <c r="AK70" s="7" t="str">
        <f>IF(AH70,M_Sims!S140,"-")</f>
        <v>-</v>
      </c>
      <c r="AL70" s="51">
        <f>M_Sims!M140</f>
        <v>0</v>
      </c>
      <c r="AM70" s="6" t="str">
        <f t="shared" si="32"/>
        <v>-</v>
      </c>
    </row>
    <row r="71" spans="1:39" ht="15" customHeight="1" x14ac:dyDescent="0.3">
      <c r="A71" s="6" t="s">
        <v>269</v>
      </c>
      <c r="B71" s="7" t="str">
        <f>Odds_Input!C66</f>
        <v>San Antonio Spurs</v>
      </c>
      <c r="C71" s="6" t="s">
        <v>223</v>
      </c>
      <c r="D71" s="7" t="str">
        <f>Odds_Input!D66</f>
        <v>YES</v>
      </c>
      <c r="E71" s="31" t="str">
        <f>Odds_Input!E66</f>
        <v>-</v>
      </c>
      <c r="F71" s="32">
        <f>Odds_Input!F66</f>
        <v>150</v>
      </c>
      <c r="G71" s="36">
        <f>M_DeVig!H66</f>
        <v>2.5</v>
      </c>
      <c r="H71" s="7" t="str">
        <f>Odds_Input!G66</f>
        <v>-</v>
      </c>
      <c r="I71" s="42">
        <f>M_DeVig!Q66</f>
        <v>0.35954095929979141</v>
      </c>
      <c r="J71" s="42">
        <f>INDEX(M_Sims!$H$15:$H$44,MATCH($C71,M_Sims!$A$15:$A$44,0))</f>
        <v>0.16697000000000001</v>
      </c>
      <c r="K71" s="43">
        <f t="shared" si="22"/>
        <v>498.90998382943042</v>
      </c>
      <c r="L71" s="34">
        <f t="shared" si="23"/>
        <v>-0.58257499999999995</v>
      </c>
      <c r="M71" s="38">
        <f t="shared" si="24"/>
        <v>-19.25709592997914</v>
      </c>
      <c r="N71" s="42">
        <f>M_Sims!B141</f>
        <v>-0.63670000000000004</v>
      </c>
      <c r="O71" s="42">
        <f>M_Sims!C141</f>
        <v>-0.52523333333333344</v>
      </c>
      <c r="P71" s="42">
        <f>M_Sims!D141</f>
        <v>0</v>
      </c>
      <c r="Q71" s="34">
        <f t="shared" si="25"/>
        <v>0.26325547964989571</v>
      </c>
      <c r="R71" s="18" t="str">
        <f t="shared" si="26"/>
        <v>-</v>
      </c>
      <c r="S71" s="46" t="str">
        <f t="shared" si="27"/>
        <v>-</v>
      </c>
      <c r="T71" s="51" t="str">
        <f>IF(A_tier2_on=1,M_Sims!M141,"-")</f>
        <v>-</v>
      </c>
      <c r="U71" s="46" t="str">
        <f>IF(OR(A_bankroll="",A_tier2_on&lt;&gt;1),"-",MIN(A_maxbet,M_Sims!M141*A_bankroll))</f>
        <v>-</v>
      </c>
      <c r="V71" s="30">
        <f>M_Sims!H141</f>
        <v>1</v>
      </c>
      <c r="W71" s="6" t="b">
        <f>AND(H71&lt;&gt;"IMPUTED_20C_LADDER",L71&gt;=A_minev,N71&gt;0,V71=1,IF(A71="PLAYOFFS",A_poconf=1,TRUE),IF(AND(A71="WINS",A_zs_on=1),AND(AE71&gt;=A_minev,M_Sims!O141&gt;0),TRUE),AF71&gt;=A_minev,AG71&gt;0,IF(I71&lt;A_longthr,(1-A_shrink)*M_Sims!K141+A_shrink*(I71*G71-1)&gt;=A_minev,TRUE),IF(AND(OR(A71="WINS",A71="PLAYOFFS",LEFT(A71,4)="DIV_"),INDEX(Raw_Teams!$F$8:$F$37,MATCH($C71,Raw_Teams!$A$8:$A$37,0))&lt;A_contthr),AND(((1-A_contshrink)*J71+A_contshrink*I71)*G71-1&gt;=A_minev,(1-A_contshrink)*N71+A_contshrink*(I71*G71-1)&gt;0),TRUE),M_Sims!P141=0)</f>
        <v>0</v>
      </c>
      <c r="X71" s="6" t="s">
        <v>1301</v>
      </c>
      <c r="Y71" s="6" t="s">
        <v>1302</v>
      </c>
      <c r="Z71" s="6">
        <v>58</v>
      </c>
      <c r="AA71" s="7" t="str">
        <f t="shared" si="28"/>
        <v>OK - sims match current assumptions</v>
      </c>
      <c r="AB71" s="13" t="s">
        <v>33</v>
      </c>
      <c r="AC71" s="13" t="s">
        <v>33</v>
      </c>
      <c r="AD71" s="13" t="s">
        <v>33</v>
      </c>
      <c r="AE71" s="13" t="s">
        <v>33</v>
      </c>
      <c r="AF71" s="34">
        <f t="shared" si="29"/>
        <v>-0.34186130087526068</v>
      </c>
      <c r="AG71" s="34">
        <f t="shared" si="30"/>
        <v>-0.36892380087526078</v>
      </c>
      <c r="AH71" s="6" t="b">
        <f>AND(W71,I71&gt;=A_t1_fair,((1-A_t1_shrink)*J71+A_t1_shrink*I71)*G71-1&gt;=A_minev,(1-A_t1_shrink)*N71+A_t1_shrink*(I71*G71-1)&gt;0,M_Sims!Q141=1)</f>
        <v>0</v>
      </c>
      <c r="AI71" s="18">
        <f>IF(AH71,M_Sims!R141*A_t1_cap/A_t1_engcap,0)</f>
        <v>0</v>
      </c>
      <c r="AJ71" s="46" t="str">
        <f t="shared" si="31"/>
        <v>-</v>
      </c>
      <c r="AK71" s="7" t="str">
        <f>IF(AH71,M_Sims!S141,"-")</f>
        <v>-</v>
      </c>
      <c r="AL71" s="51">
        <f>M_Sims!M141</f>
        <v>0</v>
      </c>
      <c r="AM71" s="6" t="str">
        <f t="shared" si="32"/>
        <v>-</v>
      </c>
    </row>
    <row r="72" spans="1:39" ht="15" customHeight="1" x14ac:dyDescent="0.3">
      <c r="A72" s="6" t="s">
        <v>269</v>
      </c>
      <c r="B72" s="7" t="str">
        <f>Odds_Input!C67</f>
        <v>Utah Jazz</v>
      </c>
      <c r="C72" s="6" t="s">
        <v>225</v>
      </c>
      <c r="D72" s="7" t="str">
        <f>Odds_Input!D67</f>
        <v>YES</v>
      </c>
      <c r="E72" s="31" t="str">
        <f>Odds_Input!E67</f>
        <v>-</v>
      </c>
      <c r="F72" s="32">
        <f>Odds_Input!F67</f>
        <v>7150</v>
      </c>
      <c r="G72" s="36">
        <f>M_DeVig!H67</f>
        <v>72.5</v>
      </c>
      <c r="H72" s="7" t="str">
        <f>Odds_Input!G67</f>
        <v>-</v>
      </c>
      <c r="I72" s="42">
        <f>M_DeVig!Q67</f>
        <v>6.1402730263658278E-3</v>
      </c>
      <c r="J72" s="42">
        <f>INDEX(M_Sims!$H$15:$H$44,MATCH($C72,M_Sims!$A$15:$A$44,0))</f>
        <v>5.47E-3</v>
      </c>
      <c r="K72" s="43">
        <f t="shared" si="22"/>
        <v>18181.535648994515</v>
      </c>
      <c r="L72" s="34">
        <f t="shared" si="23"/>
        <v>-0.60342499999999999</v>
      </c>
      <c r="M72" s="38">
        <f t="shared" si="24"/>
        <v>-6.7027302636582783E-2</v>
      </c>
      <c r="N72" s="42">
        <f>M_Sims!B142</f>
        <v>-0.74480000000000002</v>
      </c>
      <c r="O72" s="42">
        <f>M_Sims!C142</f>
        <v>-0.30158333333333331</v>
      </c>
      <c r="P72" s="42">
        <f>M_Sims!D142</f>
        <v>1.6666666666666601E-2</v>
      </c>
      <c r="Q72" s="34">
        <f t="shared" si="25"/>
        <v>5.8051365131829135E-3</v>
      </c>
      <c r="R72" s="18" t="str">
        <f t="shared" si="26"/>
        <v>-</v>
      </c>
      <c r="S72" s="46" t="str">
        <f t="shared" si="27"/>
        <v>-</v>
      </c>
      <c r="T72" s="51" t="str">
        <f>IF(A_tier2_on=1,M_Sims!M142,"-")</f>
        <v>-</v>
      </c>
      <c r="U72" s="46" t="str">
        <f>IF(OR(A_bankroll="",A_tier2_on&lt;&gt;1),"-",MIN(A_maxbet,M_Sims!M142*A_bankroll))</f>
        <v>-</v>
      </c>
      <c r="V72" s="30">
        <f>M_Sims!H142</f>
        <v>0</v>
      </c>
      <c r="W72" s="6" t="b">
        <f>AND(H72&lt;&gt;"IMPUTED_20C_LADDER",L72&gt;=A_minev,N72&gt;0,V72=1,IF(A72="PLAYOFFS",A_poconf=1,TRUE),IF(AND(A72="WINS",A_zs_on=1),AND(AE72&gt;=A_minev,M_Sims!O142&gt;0),TRUE),AF72&gt;=A_minev,AG72&gt;0,IF(I72&lt;A_longthr,(1-A_shrink)*M_Sims!K142+A_shrink*(I72*G72-1)&gt;=A_minev,TRUE),IF(AND(OR(A72="WINS",A72="PLAYOFFS",LEFT(A72,4)="DIV_"),INDEX(Raw_Teams!$F$8:$F$37,MATCH($C72,Raw_Teams!$A$8:$A$37,0))&lt;A_contthr),AND(((1-A_contshrink)*J72+A_contshrink*I72)*G72-1&gt;=A_minev,(1-A_contshrink)*N72+A_contshrink*(I72*G72-1)&gt;0),TRUE),M_Sims!P142=0)</f>
        <v>0</v>
      </c>
      <c r="X72" s="6" t="s">
        <v>1301</v>
      </c>
      <c r="Y72" s="6" t="s">
        <v>1302</v>
      </c>
      <c r="Z72" s="6">
        <v>59</v>
      </c>
      <c r="AA72" s="7" t="str">
        <f t="shared" si="28"/>
        <v>OK - sims match current assumptions</v>
      </c>
      <c r="AB72" s="13" t="s">
        <v>33</v>
      </c>
      <c r="AC72" s="13" t="s">
        <v>33</v>
      </c>
      <c r="AD72" s="13" t="s">
        <v>33</v>
      </c>
      <c r="AE72" s="13" t="s">
        <v>33</v>
      </c>
      <c r="AF72" s="34">
        <f t="shared" si="29"/>
        <v>-0.57912760279423869</v>
      </c>
      <c r="AG72" s="34">
        <f t="shared" si="30"/>
        <v>-0.64981510279423871</v>
      </c>
      <c r="AH72" s="6" t="b">
        <f>AND(W72,I72&gt;=A_t1_fair,((1-A_t1_shrink)*J72+A_t1_shrink*I72)*G72-1&gt;=A_minev,(1-A_t1_shrink)*N72+A_t1_shrink*(I72*G72-1)&gt;0,M_Sims!Q142=1)</f>
        <v>0</v>
      </c>
      <c r="AI72" s="18">
        <f>IF(AH72,M_Sims!R142*A_t1_cap/A_t1_engcap,0)</f>
        <v>0</v>
      </c>
      <c r="AJ72" s="46" t="str">
        <f t="shared" si="31"/>
        <v>-</v>
      </c>
      <c r="AK72" s="7" t="str">
        <f>IF(AH72,M_Sims!S142,"-")</f>
        <v>-</v>
      </c>
      <c r="AL72" s="51">
        <f>M_Sims!M142</f>
        <v>0</v>
      </c>
      <c r="AM72" s="6" t="str">
        <f t="shared" si="32"/>
        <v>-</v>
      </c>
    </row>
    <row r="73" spans="1:39" ht="15" customHeight="1" x14ac:dyDescent="0.3"/>
    <row r="74" spans="1:39" ht="15" customHeight="1" x14ac:dyDescent="0.3">
      <c r="A74" s="48" t="s">
        <v>271</v>
      </c>
      <c r="B74" s="49" t="s">
        <v>1304</v>
      </c>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row>
    <row r="75" spans="1:39" ht="15" customHeight="1" x14ac:dyDescent="0.3">
      <c r="A75" s="6" t="s">
        <v>271</v>
      </c>
      <c r="B75" s="7" t="str">
        <f>Odds_Input!C68</f>
        <v>Boston Celtics</v>
      </c>
      <c r="C75" s="6" t="s">
        <v>199</v>
      </c>
      <c r="D75" s="7" t="str">
        <f>Odds_Input!D68</f>
        <v>YES</v>
      </c>
      <c r="E75" s="31" t="str">
        <f>Odds_Input!E68</f>
        <v>-</v>
      </c>
      <c r="F75" s="32">
        <f>Odds_Input!F68</f>
        <v>205</v>
      </c>
      <c r="G75" s="36">
        <f>M_DeVig!H68</f>
        <v>3.05</v>
      </c>
      <c r="H75" s="7" t="str">
        <f>Odds_Input!G68</f>
        <v>-</v>
      </c>
      <c r="I75" s="42">
        <f>M_DeVig!Q68</f>
        <v>0.29005861800286759</v>
      </c>
      <c r="J75" s="42">
        <f>INDEX(M_Sims!$G$15:$G$44,MATCH($C75,M_Sims!$A$15:$A$44,0))</f>
        <v>0.38512999999999997</v>
      </c>
      <c r="K75" s="43">
        <f>IF(J75&gt;=0.5,-100*J75/(1-J75),100*(1-J75)/J75)</f>
        <v>159.65258484148211</v>
      </c>
      <c r="L75" s="34">
        <f>J75*G75-1</f>
        <v>0.17464649999999993</v>
      </c>
      <c r="M75" s="38">
        <f>(J75-I75)*100</f>
        <v>9.5071381997132391</v>
      </c>
      <c r="N75" s="42">
        <f>M_Sims!B143</f>
        <v>6.5893666666666503E-2</v>
      </c>
      <c r="O75" s="42">
        <f>M_Sims!C143</f>
        <v>0.27245999999999992</v>
      </c>
      <c r="P75" s="42">
        <f>M_Sims!D143</f>
        <v>1</v>
      </c>
      <c r="Q75" s="34">
        <f>(1-A_shrink)*J75+A_shrink*I75</f>
        <v>0.33759430900143378</v>
      </c>
      <c r="R75" s="18" t="str">
        <f>IF(A_tier2_on=1,MAX(0,(Q75*G75-1)/(G75-1))*A_kelly,"-")</f>
        <v>-</v>
      </c>
      <c r="S75" s="46" t="str">
        <f>IF(OR(A_bankroll="",A_tier2_on&lt;&gt;1),"-",MIN(A_maxbet,MAX(0,(Q75*G75-1)/(G75-1))*A_kelly*A_bankroll))</f>
        <v>-</v>
      </c>
      <c r="T75" s="51" t="str">
        <f>IF(A_tier2_on=1,M_Sims!M143,"-")</f>
        <v>-</v>
      </c>
      <c r="U75" s="46" t="str">
        <f>IF(OR(A_bankroll="",A_tier2_on&lt;&gt;1),"-",MIN(A_maxbet,M_Sims!M143*A_bankroll))</f>
        <v>-</v>
      </c>
      <c r="V75" s="30">
        <f>M_Sims!H143</f>
        <v>1</v>
      </c>
      <c r="W75" s="6" t="b">
        <f>AND(H75&lt;&gt;"IMPUTED_20C_LADDER",L75&gt;=A_minev,N75&gt;0,V75=1,IF(A75="PLAYOFFS",A_poconf=1,TRUE),IF(AND(A75="WINS",A_zs_on=1),AND(AE75&gt;=A_minev,M_Sims!O143&gt;0),TRUE),AF75&gt;=A_minev,AG75&gt;0,IF(I75&lt;A_longthr,(1-A_shrink)*M_Sims!K143+A_shrink*(I75*G75-1)&gt;=A_minev,TRUE),IF(AND(OR(A75="WINS",A75="PLAYOFFS",LEFT(A75,4)="DIV_"),INDEX(Raw_Teams!$F$8:$F$37,MATCH($C75,Raw_Teams!$A$8:$A$37,0))&lt;A_contthr),AND(((1-A_contshrink)*J75+A_contshrink*I75)*G75-1&gt;=A_minev,(1-A_contshrink)*N75+A_contshrink*(I75*G75-1)&gt;0),TRUE),M_Sims!P143=0)</f>
        <v>0</v>
      </c>
      <c r="X75" s="6" t="s">
        <v>1301</v>
      </c>
      <c r="Y75" s="6" t="s">
        <v>1305</v>
      </c>
      <c r="Z75" s="6">
        <v>60</v>
      </c>
      <c r="AA75" s="7" t="str">
        <f>Sim_Stale</f>
        <v>OK - sims match current assumptions</v>
      </c>
      <c r="AB75" s="13" t="s">
        <v>33</v>
      </c>
      <c r="AC75" s="13" t="s">
        <v>33</v>
      </c>
      <c r="AD75" s="13" t="s">
        <v>33</v>
      </c>
      <c r="AE75" s="13" t="s">
        <v>33</v>
      </c>
      <c r="AF75" s="34">
        <f>Q75*G75-1</f>
        <v>2.9662642454372889E-2</v>
      </c>
      <c r="AG75" s="34">
        <f>(1-A_shrink)*N75+A_shrink*(I75*G75-1)</f>
        <v>-2.4713774212293711E-2</v>
      </c>
      <c r="AH75" s="6" t="b">
        <f>AND(W75,I75&gt;=A_t1_fair,((1-A_t1_shrink)*J75+A_t1_shrink*I75)*G75-1&gt;=A_minev,(1-A_t1_shrink)*N75+A_t1_shrink*(I75*G75-1)&gt;0,M_Sims!Q143=1)</f>
        <v>0</v>
      </c>
      <c r="AI75" s="18">
        <f>IF(AH75,M_Sims!R143*A_t1_cap/A_t1_engcap,0)</f>
        <v>0</v>
      </c>
      <c r="AJ75" s="46" t="str">
        <f>IF(OR(A_bankroll="",NOT(AH75)),"-",MIN(A_maxbet,AI75*A_bankroll))</f>
        <v>-</v>
      </c>
      <c r="AK75" s="7" t="str">
        <f>IF(AH75,M_Sims!S143,"-")</f>
        <v>-</v>
      </c>
      <c r="AL75" s="51">
        <f>M_Sims!M143</f>
        <v>0</v>
      </c>
      <c r="AM75" s="6" t="str">
        <f>IF(W75,IF(AH75,"Tier 1","Tier 2"),"-")</f>
        <v>-</v>
      </c>
    </row>
    <row r="76" spans="1:39" ht="15" customHeight="1" x14ac:dyDescent="0.3">
      <c r="A76" s="6" t="s">
        <v>271</v>
      </c>
      <c r="B76" s="7" t="str">
        <f>Odds_Input!C69</f>
        <v>Brooklyn Nets</v>
      </c>
      <c r="C76" s="6" t="s">
        <v>198</v>
      </c>
      <c r="D76" s="7" t="str">
        <f>Odds_Input!D69</f>
        <v>YES</v>
      </c>
      <c r="E76" s="31" t="str">
        <f>Odds_Input!E69</f>
        <v>-</v>
      </c>
      <c r="F76" s="32">
        <f>Odds_Input!F69</f>
        <v>25000</v>
      </c>
      <c r="G76" s="36">
        <f>M_DeVig!H69</f>
        <v>251</v>
      </c>
      <c r="H76" s="7" t="str">
        <f>Odds_Input!G69</f>
        <v>-</v>
      </c>
      <c r="I76" s="42">
        <f>M_DeVig!Q69</f>
        <v>2.9386601931075519E-4</v>
      </c>
      <c r="J76" s="42">
        <f>INDEX(M_Sims!$G$15:$G$44,MATCH($C76,M_Sims!$A$15:$A$44,0))</f>
        <v>8.5900000000000004E-3</v>
      </c>
      <c r="K76" s="43">
        <f>IF(J76&gt;=0.5,-100*J76/(1-J76),100*(1-J76)/J76)</f>
        <v>11541.443538998836</v>
      </c>
      <c r="L76" s="34">
        <f>J76*G76-1</f>
        <v>1.1560900000000003</v>
      </c>
      <c r="M76" s="38">
        <f>(J76-I76)*100</f>
        <v>0.82961339806892453</v>
      </c>
      <c r="N76" s="42">
        <f>M_Sims!B144</f>
        <v>4.9179999999999897E-2</v>
      </c>
      <c r="O76" s="42">
        <f>M_Sims!C144</f>
        <v>1.9818800000000001</v>
      </c>
      <c r="P76" s="42">
        <f>M_Sims!D144</f>
        <v>0.91666666666666663</v>
      </c>
      <c r="Q76" s="34">
        <f>(1-A_shrink)*J76+A_shrink*I76</f>
        <v>4.4419330096553775E-3</v>
      </c>
      <c r="R76" s="18" t="str">
        <f>IF(A_tier2_on=1,MAX(0,(Q76*G76-1)/(G76-1))*A_kelly,"-")</f>
        <v>-</v>
      </c>
      <c r="S76" s="46" t="str">
        <f>IF(OR(A_bankroll="",A_tier2_on&lt;&gt;1),"-",MIN(A_maxbet,MAX(0,(Q76*G76-1)/(G76-1))*A_kelly*A_bankroll))</f>
        <v>-</v>
      </c>
      <c r="T76" s="51" t="str">
        <f>IF(A_tier2_on=1,M_Sims!M144,"-")</f>
        <v>-</v>
      </c>
      <c r="U76" s="46" t="str">
        <f>IF(OR(A_bankroll="",A_tier2_on&lt;&gt;1),"-",MIN(A_maxbet,M_Sims!M144*A_bankroll))</f>
        <v>-</v>
      </c>
      <c r="V76" s="30">
        <f>M_Sims!H144</f>
        <v>1</v>
      </c>
      <c r="W76" s="6" t="b">
        <f>AND(H76&lt;&gt;"IMPUTED_20C_LADDER",L76&gt;=A_minev,N76&gt;0,V76=1,IF(A76="PLAYOFFS",A_poconf=1,TRUE),IF(AND(A76="WINS",A_zs_on=1),AND(AE76&gt;=A_minev,M_Sims!O144&gt;0),TRUE),AF76&gt;=A_minev,AG76&gt;0,IF(I76&lt;A_longthr,(1-A_shrink)*M_Sims!K144+A_shrink*(I76*G76-1)&gt;=A_minev,TRUE),IF(AND(OR(A76="WINS",A76="PLAYOFFS",LEFT(A76,4)="DIV_"),INDEX(Raw_Teams!$F$8:$F$37,MATCH($C76,Raw_Teams!$A$8:$A$37,0))&lt;A_contthr),AND(((1-A_contshrink)*J76+A_contshrink*I76)*G76-1&gt;=A_minev,(1-A_contshrink)*N76+A_contshrink*(I76*G76-1)&gt;0),TRUE),M_Sims!P144=0)</f>
        <v>0</v>
      </c>
      <c r="X76" s="6" t="s">
        <v>1301</v>
      </c>
      <c r="Y76" s="6" t="s">
        <v>1305</v>
      </c>
      <c r="Z76" s="6">
        <v>61</v>
      </c>
      <c r="AA76" s="7" t="str">
        <f>Sim_Stale</f>
        <v>OK - sims match current assumptions</v>
      </c>
      <c r="AB76" s="13" t="s">
        <v>33</v>
      </c>
      <c r="AC76" s="13" t="s">
        <v>33</v>
      </c>
      <c r="AD76" s="13" t="s">
        <v>33</v>
      </c>
      <c r="AE76" s="13" t="s">
        <v>33</v>
      </c>
      <c r="AF76" s="34">
        <f>Q76*G76-1</f>
        <v>0.11492518542349983</v>
      </c>
      <c r="AG76" s="34">
        <f>(1-A_shrink)*N76+A_shrink*(I76*G76-1)</f>
        <v>-0.43852981457650025</v>
      </c>
      <c r="AH76" s="6" t="b">
        <f>AND(W76,I76&gt;=A_t1_fair,((1-A_t1_shrink)*J76+A_t1_shrink*I76)*G76-1&gt;=A_minev,(1-A_t1_shrink)*N76+A_t1_shrink*(I76*G76-1)&gt;0,M_Sims!Q144=1)</f>
        <v>0</v>
      </c>
      <c r="AI76" s="18">
        <f>IF(AH76,M_Sims!R144*A_t1_cap/A_t1_engcap,0)</f>
        <v>0</v>
      </c>
      <c r="AJ76" s="46" t="str">
        <f>IF(OR(A_bankroll="",NOT(AH76)),"-",MIN(A_maxbet,AI76*A_bankroll))</f>
        <v>-</v>
      </c>
      <c r="AK76" s="7" t="str">
        <f>IF(AH76,M_Sims!S144,"-")</f>
        <v>-</v>
      </c>
      <c r="AL76" s="51">
        <f>M_Sims!M144</f>
        <v>0</v>
      </c>
      <c r="AM76" s="6" t="str">
        <f>IF(W76,IF(AH76,"Tier 1","Tier 2"),"-")</f>
        <v>-</v>
      </c>
    </row>
    <row r="77" spans="1:39" ht="15" customHeight="1" x14ac:dyDescent="0.3">
      <c r="A77" s="6" t="s">
        <v>271</v>
      </c>
      <c r="B77" s="7" t="str">
        <f>Odds_Input!C70</f>
        <v>New York Knicks</v>
      </c>
      <c r="C77" s="6" t="s">
        <v>216</v>
      </c>
      <c r="D77" s="7" t="str">
        <f>Odds_Input!D70</f>
        <v>YES</v>
      </c>
      <c r="E77" s="31" t="str">
        <f>Odds_Input!E70</f>
        <v>-</v>
      </c>
      <c r="F77" s="32">
        <f>Odds_Input!F70</f>
        <v>175</v>
      </c>
      <c r="G77" s="36">
        <f>M_DeVig!H70</f>
        <v>2.75</v>
      </c>
      <c r="H77" s="7" t="str">
        <f>Odds_Input!G70</f>
        <v>-</v>
      </c>
      <c r="I77" s="42">
        <f>M_DeVig!Q70</f>
        <v>0.32418277522186212</v>
      </c>
      <c r="J77" s="42">
        <f>INDEX(M_Sims!$G$15:$G$44,MATCH($C77,M_Sims!$A$15:$A$44,0))</f>
        <v>0.12997</v>
      </c>
      <c r="K77" s="43">
        <f>IF(J77&gt;=0.5,-100*J77/(1-J77),100*(1-J77)/J77)</f>
        <v>669.40832499807652</v>
      </c>
      <c r="L77" s="34">
        <f>J77*G77-1</f>
        <v>-0.64258250000000006</v>
      </c>
      <c r="M77" s="38">
        <f>(J77-I77)*100</f>
        <v>-19.421277522186212</v>
      </c>
      <c r="N77" s="42">
        <f>M_Sims!B145</f>
        <v>-0.74830166666666675</v>
      </c>
      <c r="O77" s="42">
        <f>M_Sims!C145</f>
        <v>-0.5203266666666666</v>
      </c>
      <c r="P77" s="42">
        <f>M_Sims!D145</f>
        <v>0</v>
      </c>
      <c r="Q77" s="34">
        <f>(1-A_shrink)*J77+A_shrink*I77</f>
        <v>0.22707638761093107</v>
      </c>
      <c r="R77" s="18" t="str">
        <f>IF(A_tier2_on=1,MAX(0,(Q77*G77-1)/(G77-1))*A_kelly,"-")</f>
        <v>-</v>
      </c>
      <c r="S77" s="46" t="str">
        <f>IF(OR(A_bankroll="",A_tier2_on&lt;&gt;1),"-",MIN(A_maxbet,MAX(0,(Q77*G77-1)/(G77-1))*A_kelly*A_bankroll))</f>
        <v>-</v>
      </c>
      <c r="T77" s="51" t="str">
        <f>IF(A_tier2_on=1,M_Sims!M145,"-")</f>
        <v>-</v>
      </c>
      <c r="U77" s="46" t="str">
        <f>IF(OR(A_bankroll="",A_tier2_on&lt;&gt;1),"-",MIN(A_maxbet,M_Sims!M145*A_bankroll))</f>
        <v>-</v>
      </c>
      <c r="V77" s="30">
        <f>M_Sims!H145</f>
        <v>1</v>
      </c>
      <c r="W77" s="6" t="b">
        <f>AND(H77&lt;&gt;"IMPUTED_20C_LADDER",L77&gt;=A_minev,N77&gt;0,V77=1,IF(A77="PLAYOFFS",A_poconf=1,TRUE),IF(AND(A77="WINS",A_zs_on=1),AND(AE77&gt;=A_minev,M_Sims!O145&gt;0),TRUE),AF77&gt;=A_minev,AG77&gt;0,IF(I77&lt;A_longthr,(1-A_shrink)*M_Sims!K145+A_shrink*(I77*G77-1)&gt;=A_minev,TRUE),IF(AND(OR(A77="WINS",A77="PLAYOFFS",LEFT(A77,4)="DIV_"),INDEX(Raw_Teams!$F$8:$F$37,MATCH($C77,Raw_Teams!$A$8:$A$37,0))&lt;A_contthr),AND(((1-A_contshrink)*J77+A_contshrink*I77)*G77-1&gt;=A_minev,(1-A_contshrink)*N77+A_contshrink*(I77*G77-1)&gt;0),TRUE),M_Sims!P145=0)</f>
        <v>0</v>
      </c>
      <c r="X77" s="6" t="s">
        <v>1301</v>
      </c>
      <c r="Y77" s="6" t="s">
        <v>1305</v>
      </c>
      <c r="Z77" s="6">
        <v>62</v>
      </c>
      <c r="AA77" s="7" t="str">
        <f>Sim_Stale</f>
        <v>OK - sims match current assumptions</v>
      </c>
      <c r="AB77" s="13" t="s">
        <v>33</v>
      </c>
      <c r="AC77" s="13" t="s">
        <v>33</v>
      </c>
      <c r="AD77" s="13" t="s">
        <v>33</v>
      </c>
      <c r="AE77" s="13" t="s">
        <v>33</v>
      </c>
      <c r="AF77" s="34">
        <f>Q77*G77-1</f>
        <v>-0.37553993406993957</v>
      </c>
      <c r="AG77" s="34">
        <f>(1-A_shrink)*N77+A_shrink*(I77*G77-1)</f>
        <v>-0.42839951740327298</v>
      </c>
      <c r="AH77" s="6" t="b">
        <f>AND(W77,I77&gt;=A_t1_fair,((1-A_t1_shrink)*J77+A_t1_shrink*I77)*G77-1&gt;=A_minev,(1-A_t1_shrink)*N77+A_t1_shrink*(I77*G77-1)&gt;0,M_Sims!Q145=1)</f>
        <v>0</v>
      </c>
      <c r="AI77" s="18">
        <f>IF(AH77,M_Sims!R145*A_t1_cap/A_t1_engcap,0)</f>
        <v>0</v>
      </c>
      <c r="AJ77" s="46" t="str">
        <f>IF(OR(A_bankroll="",NOT(AH77)),"-",MIN(A_maxbet,AI77*A_bankroll))</f>
        <v>-</v>
      </c>
      <c r="AK77" s="7" t="str">
        <f>IF(AH77,M_Sims!S145,"-")</f>
        <v>-</v>
      </c>
      <c r="AL77" s="51">
        <f>M_Sims!M145</f>
        <v>0</v>
      </c>
      <c r="AM77" s="6" t="str">
        <f>IF(W77,IF(AH77,"Tier 1","Tier 2"),"-")</f>
        <v>-</v>
      </c>
    </row>
    <row r="78" spans="1:39" ht="15" customHeight="1" x14ac:dyDescent="0.3">
      <c r="A78" s="6" t="s">
        <v>271</v>
      </c>
      <c r="B78" s="7" t="str">
        <f>Odds_Input!C71</f>
        <v>Philadelphia 76ers</v>
      </c>
      <c r="C78" s="6" t="s">
        <v>219</v>
      </c>
      <c r="D78" s="7" t="str">
        <f>Odds_Input!D71</f>
        <v>YES</v>
      </c>
      <c r="E78" s="31" t="str">
        <f>Odds_Input!E71</f>
        <v>-</v>
      </c>
      <c r="F78" s="32">
        <f>Odds_Input!F71</f>
        <v>215</v>
      </c>
      <c r="G78" s="36">
        <f>M_DeVig!H71</f>
        <v>3.15</v>
      </c>
      <c r="H78" s="7" t="str">
        <f>Odds_Input!G71</f>
        <v>-</v>
      </c>
      <c r="I78" s="42">
        <f>M_DeVig!Q71</f>
        <v>0.28013227947676927</v>
      </c>
      <c r="J78" s="42">
        <f>INDEX(M_Sims!$G$15:$G$44,MATCH($C78,M_Sims!$A$15:$A$44,0))</f>
        <v>0.14221</v>
      </c>
      <c r="K78" s="43">
        <f>IF(J78&gt;=0.5,-100*J78/(1-J78),100*(1-J78)/J78)</f>
        <v>603.18542999789054</v>
      </c>
      <c r="L78" s="34">
        <f>J78*G78-1</f>
        <v>-0.55203849999999999</v>
      </c>
      <c r="M78" s="38">
        <f>(J78-I78)*100</f>
        <v>-13.792227947676928</v>
      </c>
      <c r="N78" s="42">
        <f>M_Sims!B146</f>
        <v>-0.65234499999999995</v>
      </c>
      <c r="O78" s="42">
        <f>M_Sims!C146</f>
        <v>-0.45515499999999998</v>
      </c>
      <c r="P78" s="42">
        <f>M_Sims!D146</f>
        <v>0</v>
      </c>
      <c r="Q78" s="34">
        <f>(1-A_shrink)*J78+A_shrink*I78</f>
        <v>0.21117113973838464</v>
      </c>
      <c r="R78" s="18" t="str">
        <f>IF(A_tier2_on=1,MAX(0,(Q78*G78-1)/(G78-1))*A_kelly,"-")</f>
        <v>-</v>
      </c>
      <c r="S78" s="46" t="str">
        <f>IF(OR(A_bankroll="",A_tier2_on&lt;&gt;1),"-",MIN(A_maxbet,MAX(0,(Q78*G78-1)/(G78-1))*A_kelly*A_bankroll))</f>
        <v>-</v>
      </c>
      <c r="T78" s="51" t="str">
        <f>IF(A_tier2_on=1,M_Sims!M146,"-")</f>
        <v>-</v>
      </c>
      <c r="U78" s="46" t="str">
        <f>IF(OR(A_bankroll="",A_tier2_on&lt;&gt;1),"-",MIN(A_maxbet,M_Sims!M146*A_bankroll))</f>
        <v>-</v>
      </c>
      <c r="V78" s="30">
        <f>M_Sims!H146</f>
        <v>1</v>
      </c>
      <c r="W78" s="6" t="b">
        <f>AND(H78&lt;&gt;"IMPUTED_20C_LADDER",L78&gt;=A_minev,N78&gt;0,V78=1,IF(A78="PLAYOFFS",A_poconf=1,TRUE),IF(AND(A78="WINS",A_zs_on=1),AND(AE78&gt;=A_minev,M_Sims!O146&gt;0),TRUE),AF78&gt;=A_minev,AG78&gt;0,IF(I78&lt;A_longthr,(1-A_shrink)*M_Sims!K146+A_shrink*(I78*G78-1)&gt;=A_minev,TRUE),IF(AND(OR(A78="WINS",A78="PLAYOFFS",LEFT(A78,4)="DIV_"),INDEX(Raw_Teams!$F$8:$F$37,MATCH($C78,Raw_Teams!$A$8:$A$37,0))&lt;A_contthr),AND(((1-A_contshrink)*J78+A_contshrink*I78)*G78-1&gt;=A_minev,(1-A_contshrink)*N78+A_contshrink*(I78*G78-1)&gt;0),TRUE),M_Sims!P146=0)</f>
        <v>0</v>
      </c>
      <c r="X78" s="6" t="s">
        <v>1301</v>
      </c>
      <c r="Y78" s="6" t="s">
        <v>1305</v>
      </c>
      <c r="Z78" s="6">
        <v>63</v>
      </c>
      <c r="AA78" s="7" t="str">
        <f>Sim_Stale</f>
        <v>OK - sims match current assumptions</v>
      </c>
      <c r="AB78" s="13" t="s">
        <v>33</v>
      </c>
      <c r="AC78" s="13" t="s">
        <v>33</v>
      </c>
      <c r="AD78" s="13" t="s">
        <v>33</v>
      </c>
      <c r="AE78" s="13" t="s">
        <v>33</v>
      </c>
      <c r="AF78" s="34">
        <f>Q78*G78-1</f>
        <v>-0.33481090982408845</v>
      </c>
      <c r="AG78" s="34">
        <f>(1-A_shrink)*N78+A_shrink*(I78*G78-1)</f>
        <v>-0.38496415982408838</v>
      </c>
      <c r="AH78" s="6" t="b">
        <f>AND(W78,I78&gt;=A_t1_fair,((1-A_t1_shrink)*J78+A_t1_shrink*I78)*G78-1&gt;=A_minev,(1-A_t1_shrink)*N78+A_t1_shrink*(I78*G78-1)&gt;0,M_Sims!Q146=1)</f>
        <v>0</v>
      </c>
      <c r="AI78" s="18">
        <f>IF(AH78,M_Sims!R146*A_t1_cap/A_t1_engcap,0)</f>
        <v>0</v>
      </c>
      <c r="AJ78" s="46" t="str">
        <f>IF(OR(A_bankroll="",NOT(AH78)),"-",MIN(A_maxbet,AI78*A_bankroll))</f>
        <v>-</v>
      </c>
      <c r="AK78" s="7" t="str">
        <f>IF(AH78,M_Sims!S146,"-")</f>
        <v>-</v>
      </c>
      <c r="AL78" s="51">
        <f>M_Sims!M146</f>
        <v>0</v>
      </c>
      <c r="AM78" s="6" t="str">
        <f>IF(W78,IF(AH78,"Tier 1","Tier 2"),"-")</f>
        <v>-</v>
      </c>
    </row>
    <row r="79" spans="1:39" ht="15" customHeight="1" x14ac:dyDescent="0.3">
      <c r="A79" s="6" t="s">
        <v>271</v>
      </c>
      <c r="B79" s="7" t="str">
        <f>Odds_Input!C72</f>
        <v>Toronto Raptors</v>
      </c>
      <c r="C79" s="6" t="s">
        <v>224</v>
      </c>
      <c r="D79" s="7" t="str">
        <f>Odds_Input!D72</f>
        <v>YES</v>
      </c>
      <c r="E79" s="31" t="str">
        <f>Odds_Input!E72</f>
        <v>-</v>
      </c>
      <c r="F79" s="32">
        <f>Odds_Input!F72</f>
        <v>650</v>
      </c>
      <c r="G79" s="36">
        <f>M_DeVig!H72</f>
        <v>7.5</v>
      </c>
      <c r="H79" s="7" t="str">
        <f>Odds_Input!G72</f>
        <v>-</v>
      </c>
      <c r="I79" s="42">
        <f>M_DeVig!Q72</f>
        <v>0.10533246134600585</v>
      </c>
      <c r="J79" s="42">
        <f>INDEX(M_Sims!$G$15:$G$44,MATCH($C79,M_Sims!$A$15:$A$44,0))</f>
        <v>0.33410000000000001</v>
      </c>
      <c r="K79" s="43">
        <f>IF(J79&gt;=0.5,-100*J79/(1-J79),100*(1-J79)/J79)</f>
        <v>199.31158335827593</v>
      </c>
      <c r="L79" s="34">
        <f>J79*G79-1</f>
        <v>1.5057499999999999</v>
      </c>
      <c r="M79" s="38">
        <f>(J79-I79)*100</f>
        <v>22.876753865399415</v>
      </c>
      <c r="N79" s="42">
        <f>M_Sims!B147</f>
        <v>1.3141499999999999</v>
      </c>
      <c r="O79" s="42">
        <f>M_Sims!C147</f>
        <v>1.6638999999999999</v>
      </c>
      <c r="P79" s="42">
        <f>M_Sims!D147</f>
        <v>1</v>
      </c>
      <c r="Q79" s="34">
        <f>(1-A_shrink)*J79+A_shrink*I79</f>
        <v>0.21971623067300294</v>
      </c>
      <c r="R79" s="18" t="str">
        <f>IF(A_tier2_on=1,MAX(0,(Q79*G79-1)/(G79-1))*A_kelly,"-")</f>
        <v>-</v>
      </c>
      <c r="S79" s="46" t="str">
        <f>IF(OR(A_bankroll="",A_tier2_on&lt;&gt;1),"-",MIN(A_maxbet,MAX(0,(Q79*G79-1)/(G79-1))*A_kelly*A_bankroll))</f>
        <v>-</v>
      </c>
      <c r="T79" s="51" t="str">
        <f>IF(A_tier2_on=1,M_Sims!M147,"-")</f>
        <v>-</v>
      </c>
      <c r="U79" s="46" t="str">
        <f>IF(OR(A_bankroll="",A_tier2_on&lt;&gt;1),"-",MIN(A_maxbet,M_Sims!M147*A_bankroll))</f>
        <v>-</v>
      </c>
      <c r="V79" s="30">
        <f>M_Sims!H147</f>
        <v>1</v>
      </c>
      <c r="W79" s="6" t="b">
        <f>AND(H79&lt;&gt;"IMPUTED_20C_LADDER",L79&gt;=A_minev,N79&gt;0,V79=1,IF(A79="PLAYOFFS",A_poconf=1,TRUE),IF(AND(A79="WINS",A_zs_on=1),AND(AE79&gt;=A_minev,M_Sims!O147&gt;0),TRUE),AF79&gt;=A_minev,AG79&gt;0,IF(I79&lt;A_longthr,(1-A_shrink)*M_Sims!K147+A_shrink*(I79*G79-1)&gt;=A_minev,TRUE),IF(AND(OR(A79="WINS",A79="PLAYOFFS",LEFT(A79,4)="DIV_"),INDEX(Raw_Teams!$F$8:$F$37,MATCH($C79,Raw_Teams!$A$8:$A$37,0))&lt;A_contthr),AND(((1-A_contshrink)*J79+A_contshrink*I79)*G79-1&gt;=A_minev,(1-A_contshrink)*N79+A_contshrink*(I79*G79-1)&gt;0),TRUE),M_Sims!P147=0)</f>
        <v>1</v>
      </c>
      <c r="X79" s="6" t="s">
        <v>1301</v>
      </c>
      <c r="Y79" s="6" t="s">
        <v>1305</v>
      </c>
      <c r="Z79" s="6">
        <v>64</v>
      </c>
      <c r="AA79" s="7" t="str">
        <f>Sim_Stale</f>
        <v>OK - sims match current assumptions</v>
      </c>
      <c r="AB79" s="13" t="s">
        <v>33</v>
      </c>
      <c r="AC79" s="13" t="s">
        <v>33</v>
      </c>
      <c r="AD79" s="13" t="s">
        <v>33</v>
      </c>
      <c r="AE79" s="13" t="s">
        <v>33</v>
      </c>
      <c r="AF79" s="34">
        <f>Q79*G79-1</f>
        <v>0.64787173004752208</v>
      </c>
      <c r="AG79" s="34">
        <f>(1-A_shrink)*N79+A_shrink*(I79*G79-1)</f>
        <v>0.55207173004752197</v>
      </c>
      <c r="AH79" s="6" t="b">
        <f>AND(W79,I79&gt;=A_t1_fair,((1-A_t1_shrink)*J79+A_t1_shrink*I79)*G79-1&gt;=A_minev,(1-A_t1_shrink)*N79+A_t1_shrink*(I79*G79-1)&gt;0,M_Sims!Q147=1)</f>
        <v>1</v>
      </c>
      <c r="AI79" s="18">
        <f>IF(AH79,M_Sims!R147*A_t1_cap/A_t1_engcap,0)</f>
        <v>8.1758484704372997E-3</v>
      </c>
      <c r="AJ79" s="46" t="str">
        <f>IF(OR(A_bankroll="",NOT(AH79)),"-",MIN(A_maxbet,AI79*A_bankroll))</f>
        <v>-</v>
      </c>
      <c r="AK79" s="7" t="str">
        <f>IF(AH79,M_Sims!S147,"-")</f>
        <v>Kawhi Leonard rated +6.1 (DARKO +6.3), 30 mpg, 56 g (new to team; +2.8 SRS vs 2025-26) | Gradey Dick gone (1067 min at -3.6 BPM last year; +1.0 SRS)</v>
      </c>
      <c r="AL79" s="51">
        <f>M_Sims!M147</f>
        <v>9.2953489008118003E-3</v>
      </c>
      <c r="AM79" s="6" t="str">
        <f>IF(W79,IF(AH79,"Tier 1","Tier 2"),"-")</f>
        <v>Tier 1</v>
      </c>
    </row>
    <row r="80" spans="1:39" ht="15" customHeight="1" x14ac:dyDescent="0.3"/>
    <row r="81" spans="1:39" ht="15" customHeight="1" x14ac:dyDescent="0.3">
      <c r="A81" s="48" t="s">
        <v>272</v>
      </c>
      <c r="B81" s="49" t="s">
        <v>1304</v>
      </c>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row>
    <row r="82" spans="1:39" ht="15" customHeight="1" x14ac:dyDescent="0.3">
      <c r="A82" s="6" t="s">
        <v>272</v>
      </c>
      <c r="B82" s="7" t="str">
        <f>Odds_Input!C73</f>
        <v>Chicago Bulls</v>
      </c>
      <c r="C82" s="6" t="s">
        <v>201</v>
      </c>
      <c r="D82" s="7" t="str">
        <f>Odds_Input!D73</f>
        <v>YES</v>
      </c>
      <c r="E82" s="31" t="str">
        <f>Odds_Input!E73</f>
        <v>-</v>
      </c>
      <c r="F82" s="32">
        <f>Odds_Input!F73</f>
        <v>6000</v>
      </c>
      <c r="G82" s="36">
        <f>M_DeVig!H73</f>
        <v>61</v>
      </c>
      <c r="H82" s="7" t="str">
        <f>Odds_Input!G73</f>
        <v>-</v>
      </c>
      <c r="I82" s="42">
        <f>M_DeVig!Q73</f>
        <v>4.8451579737366392E-3</v>
      </c>
      <c r="J82" s="42">
        <f>INDEX(M_Sims!$G$15:$G$44,MATCH($C82,M_Sims!$A$15:$A$44,0))</f>
        <v>2.843E-2</v>
      </c>
      <c r="K82" s="43">
        <f>IF(J82&gt;=0.5,-100*J82/(1-J82),100*(1-J82)/J82)</f>
        <v>3417.4111853675699</v>
      </c>
      <c r="L82" s="34">
        <f>J82*G82-1</f>
        <v>0.73422999999999994</v>
      </c>
      <c r="M82" s="38">
        <f>(J82-I82)*100</f>
        <v>2.358484202626336</v>
      </c>
      <c r="N82" s="42">
        <f>M_Sims!B148</f>
        <v>-0.1370533333333333</v>
      </c>
      <c r="O82" s="42">
        <f>M_Sims!C148</f>
        <v>1.7657400000000001</v>
      </c>
      <c r="P82" s="42">
        <f>M_Sims!D148</f>
        <v>0.83333333333333337</v>
      </c>
      <c r="Q82" s="34">
        <f>(1-A_shrink)*J82+A_shrink*I82</f>
        <v>1.663757898686832E-2</v>
      </c>
      <c r="R82" s="18" t="str">
        <f>IF(A_tier2_on=1,MAX(0,(Q82*G82-1)/(G82-1))*A_kelly,"-")</f>
        <v>-</v>
      </c>
      <c r="S82" s="46" t="str">
        <f>IF(OR(A_bankroll="",A_tier2_on&lt;&gt;1),"-",MIN(A_maxbet,MAX(0,(Q82*G82-1)/(G82-1))*A_kelly*A_bankroll))</f>
        <v>-</v>
      </c>
      <c r="T82" s="51" t="str">
        <f>IF(A_tier2_on=1,M_Sims!M148,"-")</f>
        <v>-</v>
      </c>
      <c r="U82" s="46" t="str">
        <f>IF(OR(A_bankroll="",A_tier2_on&lt;&gt;1),"-",MIN(A_maxbet,M_Sims!M148*A_bankroll))</f>
        <v>-</v>
      </c>
      <c r="V82" s="30">
        <f>M_Sims!H148</f>
        <v>1</v>
      </c>
      <c r="W82" s="6" t="b">
        <f>AND(H82&lt;&gt;"IMPUTED_20C_LADDER",L82&gt;=A_minev,N82&gt;0,V82=1,IF(A82="PLAYOFFS",A_poconf=1,TRUE),IF(AND(A82="WINS",A_zs_on=1),AND(AE82&gt;=A_minev,M_Sims!O148&gt;0),TRUE),AF82&gt;=A_minev,AG82&gt;0,IF(I82&lt;A_longthr,(1-A_shrink)*M_Sims!K148+A_shrink*(I82*G82-1)&gt;=A_minev,TRUE),IF(AND(OR(A82="WINS",A82="PLAYOFFS",LEFT(A82,4)="DIV_"),INDEX(Raw_Teams!$F$8:$F$37,MATCH($C82,Raw_Teams!$A$8:$A$37,0))&lt;A_contthr),AND(((1-A_contshrink)*J82+A_contshrink*I82)*G82-1&gt;=A_minev,(1-A_contshrink)*N82+A_contshrink*(I82*G82-1)&gt;0),TRUE),M_Sims!P148=0)</f>
        <v>0</v>
      </c>
      <c r="X82" s="6" t="s">
        <v>1301</v>
      </c>
      <c r="Y82" s="6" t="s">
        <v>1305</v>
      </c>
      <c r="Z82" s="6">
        <v>65</v>
      </c>
      <c r="AA82" s="7" t="str">
        <f>Sim_Stale</f>
        <v>OK - sims match current assumptions</v>
      </c>
      <c r="AB82" s="13" t="s">
        <v>33</v>
      </c>
      <c r="AC82" s="13" t="s">
        <v>33</v>
      </c>
      <c r="AD82" s="13" t="s">
        <v>33</v>
      </c>
      <c r="AE82" s="13" t="s">
        <v>33</v>
      </c>
      <c r="AF82" s="34">
        <f>Q82*G82-1</f>
        <v>1.4892318198967525E-2</v>
      </c>
      <c r="AG82" s="34">
        <f>(1-A_shrink)*N82+A_shrink*(I82*G82-1)</f>
        <v>-0.42074934846769918</v>
      </c>
      <c r="AH82" s="6" t="b">
        <f>AND(W82,I82&gt;=A_t1_fair,((1-A_t1_shrink)*J82+A_t1_shrink*I82)*G82-1&gt;=A_minev,(1-A_t1_shrink)*N82+A_t1_shrink*(I82*G82-1)&gt;0,M_Sims!Q148=1)</f>
        <v>0</v>
      </c>
      <c r="AI82" s="18">
        <f>IF(AH82,M_Sims!R148*A_t1_cap/A_t1_engcap,0)</f>
        <v>0</v>
      </c>
      <c r="AJ82" s="46" t="str">
        <f>IF(OR(A_bankroll="",NOT(AH82)),"-",MIN(A_maxbet,AI82*A_bankroll))</f>
        <v>-</v>
      </c>
      <c r="AK82" s="7" t="str">
        <f>IF(AH82,M_Sims!S148,"-")</f>
        <v>-</v>
      </c>
      <c r="AL82" s="51">
        <f>M_Sims!M148</f>
        <v>0</v>
      </c>
      <c r="AM82" s="6" t="str">
        <f>IF(W82,IF(AH82,"Tier 1","Tier 2"),"-")</f>
        <v>-</v>
      </c>
    </row>
    <row r="83" spans="1:39" ht="15" customHeight="1" x14ac:dyDescent="0.3">
      <c r="A83" s="6" t="s">
        <v>272</v>
      </c>
      <c r="B83" s="7" t="str">
        <f>Odds_Input!C74</f>
        <v>Cleveland Cavaliers</v>
      </c>
      <c r="C83" s="6" t="s">
        <v>202</v>
      </c>
      <c r="D83" s="7" t="str">
        <f>Odds_Input!D74</f>
        <v>YES</v>
      </c>
      <c r="E83" s="31" t="str">
        <f>Odds_Input!E74</f>
        <v>-</v>
      </c>
      <c r="F83" s="32">
        <f>Odds_Input!F74</f>
        <v>135</v>
      </c>
      <c r="G83" s="36">
        <f>M_DeVig!H74</f>
        <v>2.35</v>
      </c>
      <c r="H83" s="7" t="str">
        <f>Odds_Input!G74</f>
        <v>-</v>
      </c>
      <c r="I83" s="42">
        <f>M_DeVig!Q74</f>
        <v>0.3881807987577397</v>
      </c>
      <c r="J83" s="42">
        <f>INDEX(M_Sims!$G$15:$G$44,MATCH($C83,M_Sims!$A$15:$A$44,0))</f>
        <v>0.37256</v>
      </c>
      <c r="K83" s="43">
        <f>IF(J83&gt;=0.5,-100*J83/(1-J83),100*(1-J83)/J83)</f>
        <v>168.4131415074082</v>
      </c>
      <c r="L83" s="34">
        <f>J83*G83-1</f>
        <v>-0.12448399999999993</v>
      </c>
      <c r="M83" s="38">
        <f>(J83-I83)*100</f>
        <v>-1.5620798757739696</v>
      </c>
      <c r="N83" s="42">
        <f>M_Sims!B149</f>
        <v>-0.223936</v>
      </c>
      <c r="O83" s="42">
        <f>M_Sims!C149</f>
        <v>-7.0465333333333199E-2</v>
      </c>
      <c r="P83" s="42">
        <f>M_Sims!D149</f>
        <v>0</v>
      </c>
      <c r="Q83" s="34">
        <f>(1-A_shrink)*J83+A_shrink*I83</f>
        <v>0.38037039937886985</v>
      </c>
      <c r="R83" s="18" t="str">
        <f>IF(A_tier2_on=1,MAX(0,(Q83*G83-1)/(G83-1))*A_kelly,"-")</f>
        <v>-</v>
      </c>
      <c r="S83" s="46" t="str">
        <f>IF(OR(A_bankroll="",A_tier2_on&lt;&gt;1),"-",MIN(A_maxbet,MAX(0,(Q83*G83-1)/(G83-1))*A_kelly*A_bankroll))</f>
        <v>-</v>
      </c>
      <c r="T83" s="51" t="str">
        <f>IF(A_tier2_on=1,M_Sims!M149,"-")</f>
        <v>-</v>
      </c>
      <c r="U83" s="46" t="str">
        <f>IF(OR(A_bankroll="",A_tier2_on&lt;&gt;1),"-",MIN(A_maxbet,M_Sims!M149*A_bankroll))</f>
        <v>-</v>
      </c>
      <c r="V83" s="30">
        <f>M_Sims!H149</f>
        <v>1</v>
      </c>
      <c r="W83" s="6" t="b">
        <f>AND(H83&lt;&gt;"IMPUTED_20C_LADDER",L83&gt;=A_minev,N83&gt;0,V83=1,IF(A83="PLAYOFFS",A_poconf=1,TRUE),IF(AND(A83="WINS",A_zs_on=1),AND(AE83&gt;=A_minev,M_Sims!O149&gt;0),TRUE),AF83&gt;=A_minev,AG83&gt;0,IF(I83&lt;A_longthr,(1-A_shrink)*M_Sims!K149+A_shrink*(I83*G83-1)&gt;=A_minev,TRUE),IF(AND(OR(A83="WINS",A83="PLAYOFFS",LEFT(A83,4)="DIV_"),INDEX(Raw_Teams!$F$8:$F$37,MATCH($C83,Raw_Teams!$A$8:$A$37,0))&lt;A_contthr),AND(((1-A_contshrink)*J83+A_contshrink*I83)*G83-1&gt;=A_minev,(1-A_contshrink)*N83+A_contshrink*(I83*G83-1)&gt;0),TRUE),M_Sims!P149=0)</f>
        <v>0</v>
      </c>
      <c r="X83" s="6" t="s">
        <v>1301</v>
      </c>
      <c r="Y83" s="6" t="s">
        <v>1305</v>
      </c>
      <c r="Z83" s="6">
        <v>66</v>
      </c>
      <c r="AA83" s="7" t="str">
        <f>Sim_Stale</f>
        <v>OK - sims match current assumptions</v>
      </c>
      <c r="AB83" s="13" t="s">
        <v>33</v>
      </c>
      <c r="AC83" s="13" t="s">
        <v>33</v>
      </c>
      <c r="AD83" s="13" t="s">
        <v>33</v>
      </c>
      <c r="AE83" s="13" t="s">
        <v>33</v>
      </c>
      <c r="AF83" s="34">
        <f>Q83*G83-1</f>
        <v>-0.1061295614596558</v>
      </c>
      <c r="AG83" s="34">
        <f>(1-A_shrink)*N83+A_shrink*(I83*G83-1)</f>
        <v>-0.15585556145965584</v>
      </c>
      <c r="AH83" s="6" t="b">
        <f>AND(W83,I83&gt;=A_t1_fair,((1-A_t1_shrink)*J83+A_t1_shrink*I83)*G83-1&gt;=A_minev,(1-A_t1_shrink)*N83+A_t1_shrink*(I83*G83-1)&gt;0,M_Sims!Q149=1)</f>
        <v>0</v>
      </c>
      <c r="AI83" s="18">
        <f>IF(AH83,M_Sims!R149*A_t1_cap/A_t1_engcap,0)</f>
        <v>0</v>
      </c>
      <c r="AJ83" s="46" t="str">
        <f>IF(OR(A_bankroll="",NOT(AH83)),"-",MIN(A_maxbet,AI83*A_bankroll))</f>
        <v>-</v>
      </c>
      <c r="AK83" s="7" t="str">
        <f>IF(AH83,M_Sims!S149,"-")</f>
        <v>-</v>
      </c>
      <c r="AL83" s="51">
        <f>M_Sims!M149</f>
        <v>0</v>
      </c>
      <c r="AM83" s="6" t="str">
        <f>IF(W83,IF(AH83,"Tier 1","Tier 2"),"-")</f>
        <v>-</v>
      </c>
    </row>
    <row r="84" spans="1:39" ht="15" customHeight="1" x14ac:dyDescent="0.3">
      <c r="A84" s="6" t="s">
        <v>272</v>
      </c>
      <c r="B84" s="7" t="str">
        <f>Odds_Input!C75</f>
        <v>Detroit Pistons</v>
      </c>
      <c r="C84" s="6" t="s">
        <v>205</v>
      </c>
      <c r="D84" s="7" t="str">
        <f>Odds_Input!D75</f>
        <v>YES</v>
      </c>
      <c r="E84" s="31" t="str">
        <f>Odds_Input!E75</f>
        <v>-</v>
      </c>
      <c r="F84" s="32">
        <f>Odds_Input!F75</f>
        <v>125</v>
      </c>
      <c r="G84" s="36">
        <f>M_DeVig!H75</f>
        <v>2.25</v>
      </c>
      <c r="H84" s="7" t="str">
        <f>Odds_Input!G75</f>
        <v>-</v>
      </c>
      <c r="I84" s="42">
        <f>M_DeVig!Q75</f>
        <v>0.40641712481740577</v>
      </c>
      <c r="J84" s="42">
        <f>INDEX(M_Sims!$G$15:$G$44,MATCH($C84,M_Sims!$A$15:$A$44,0))</f>
        <v>0.39449000000000001</v>
      </c>
      <c r="K84" s="43">
        <f>IF(J84&gt;=0.5,-100*J84/(1-J84),100*(1-J84)/J84)</f>
        <v>153.49185023701489</v>
      </c>
      <c r="L84" s="34">
        <f>J84*G84-1</f>
        <v>-0.11239749999999993</v>
      </c>
      <c r="M84" s="38">
        <f>(J84-I84)*100</f>
        <v>-1.1927124817405765</v>
      </c>
      <c r="N84" s="42">
        <f>M_Sims!B150</f>
        <v>-0.16712499999999991</v>
      </c>
      <c r="O84" s="42">
        <f>M_Sims!C150</f>
        <v>-2.596E-2</v>
      </c>
      <c r="P84" s="42">
        <f>M_Sims!D150</f>
        <v>6.6666666666666596E-2</v>
      </c>
      <c r="Q84" s="34">
        <f>(1-A_shrink)*J84+A_shrink*I84</f>
        <v>0.40045356240870289</v>
      </c>
      <c r="R84" s="18" t="str">
        <f>IF(A_tier2_on=1,MAX(0,(Q84*G84-1)/(G84-1))*A_kelly,"-")</f>
        <v>-</v>
      </c>
      <c r="S84" s="46" t="str">
        <f>IF(OR(A_bankroll="",A_tier2_on&lt;&gt;1),"-",MIN(A_maxbet,MAX(0,(Q84*G84-1)/(G84-1))*A_kelly*A_bankroll))</f>
        <v>-</v>
      </c>
      <c r="T84" s="51" t="str">
        <f>IF(A_tier2_on=1,M_Sims!M150,"-")</f>
        <v>-</v>
      </c>
      <c r="U84" s="46" t="str">
        <f>IF(OR(A_bankroll="",A_tier2_on&lt;&gt;1),"-",MIN(A_maxbet,M_Sims!M150*A_bankroll))</f>
        <v>-</v>
      </c>
      <c r="V84" s="30">
        <f>M_Sims!H150</f>
        <v>1</v>
      </c>
      <c r="W84" s="6" t="b">
        <f>AND(H84&lt;&gt;"IMPUTED_20C_LADDER",L84&gt;=A_minev,N84&gt;0,V84=1,IF(A84="PLAYOFFS",A_poconf=1,TRUE),IF(AND(A84="WINS",A_zs_on=1),AND(AE84&gt;=A_minev,M_Sims!O150&gt;0),TRUE),AF84&gt;=A_minev,AG84&gt;0,IF(I84&lt;A_longthr,(1-A_shrink)*M_Sims!K150+A_shrink*(I84*G84-1)&gt;=A_minev,TRUE),IF(AND(OR(A84="WINS",A84="PLAYOFFS",LEFT(A84,4)="DIV_"),INDEX(Raw_Teams!$F$8:$F$37,MATCH($C84,Raw_Teams!$A$8:$A$37,0))&lt;A_contthr),AND(((1-A_contshrink)*J84+A_contshrink*I84)*G84-1&gt;=A_minev,(1-A_contshrink)*N84+A_contshrink*(I84*G84-1)&gt;0),TRUE),M_Sims!P150=0)</f>
        <v>0</v>
      </c>
      <c r="X84" s="6" t="s">
        <v>1301</v>
      </c>
      <c r="Y84" s="6" t="s">
        <v>1305</v>
      </c>
      <c r="Z84" s="6">
        <v>67</v>
      </c>
      <c r="AA84" s="7" t="str">
        <f>Sim_Stale</f>
        <v>OK - sims match current assumptions</v>
      </c>
      <c r="AB84" s="13" t="s">
        <v>33</v>
      </c>
      <c r="AC84" s="13" t="s">
        <v>33</v>
      </c>
      <c r="AD84" s="13" t="s">
        <v>33</v>
      </c>
      <c r="AE84" s="13" t="s">
        <v>33</v>
      </c>
      <c r="AF84" s="34">
        <f>Q84*G84-1</f>
        <v>-9.8979484580418498E-2</v>
      </c>
      <c r="AG84" s="34">
        <f>(1-A_shrink)*N84+A_shrink*(I84*G84-1)</f>
        <v>-0.12634323458041849</v>
      </c>
      <c r="AH84" s="6" t="b">
        <f>AND(W84,I84&gt;=A_t1_fair,((1-A_t1_shrink)*J84+A_t1_shrink*I84)*G84-1&gt;=A_minev,(1-A_t1_shrink)*N84+A_t1_shrink*(I84*G84-1)&gt;0,M_Sims!Q150=1)</f>
        <v>0</v>
      </c>
      <c r="AI84" s="18">
        <f>IF(AH84,M_Sims!R150*A_t1_cap/A_t1_engcap,0)</f>
        <v>0</v>
      </c>
      <c r="AJ84" s="46" t="str">
        <f>IF(OR(A_bankroll="",NOT(AH84)),"-",MIN(A_maxbet,AI84*A_bankroll))</f>
        <v>-</v>
      </c>
      <c r="AK84" s="7" t="str">
        <f>IF(AH84,M_Sims!S150,"-")</f>
        <v>-</v>
      </c>
      <c r="AL84" s="51">
        <f>M_Sims!M150</f>
        <v>0</v>
      </c>
      <c r="AM84" s="6" t="str">
        <f>IF(W84,IF(AH84,"Tier 1","Tier 2"),"-")</f>
        <v>-</v>
      </c>
    </row>
    <row r="85" spans="1:39" ht="15" customHeight="1" x14ac:dyDescent="0.3">
      <c r="A85" s="6" t="s">
        <v>272</v>
      </c>
      <c r="B85" s="7" t="str">
        <f>Odds_Input!C76</f>
        <v>Indiana Pacers</v>
      </c>
      <c r="C85" s="6" t="s">
        <v>208</v>
      </c>
      <c r="D85" s="7" t="str">
        <f>Odds_Input!D76</f>
        <v>YES</v>
      </c>
      <c r="E85" s="31" t="str">
        <f>Odds_Input!E76</f>
        <v>-</v>
      </c>
      <c r="F85" s="32">
        <f>Odds_Input!F76</f>
        <v>335</v>
      </c>
      <c r="G85" s="36">
        <f>M_DeVig!H76</f>
        <v>4.3499999999999996</v>
      </c>
      <c r="H85" s="7" t="str">
        <f>Odds_Input!G76</f>
        <v>-</v>
      </c>
      <c r="I85" s="42">
        <f>M_DeVig!Q76</f>
        <v>0.19980167936752136</v>
      </c>
      <c r="J85" s="42">
        <f>INDEX(M_Sims!$G$15:$G$44,MATCH($C85,M_Sims!$A$15:$A$44,0))</f>
        <v>0.18737999999999999</v>
      </c>
      <c r="K85" s="43">
        <f>IF(J85&gt;=0.5,-100*J85/(1-J85),100*(1-J85)/J85)</f>
        <v>433.67488525989967</v>
      </c>
      <c r="L85" s="34">
        <f>J85*G85-1</f>
        <v>-0.18489700000000009</v>
      </c>
      <c r="M85" s="38">
        <f>(J85-I85)*100</f>
        <v>-1.2421679367521365</v>
      </c>
      <c r="N85" s="42">
        <f>M_Sims!B151</f>
        <v>-0.25991999999999998</v>
      </c>
      <c r="O85" s="42">
        <f>M_Sims!C151</f>
        <v>-8.4470000000000003E-2</v>
      </c>
      <c r="P85" s="42">
        <f>M_Sims!D151</f>
        <v>0</v>
      </c>
      <c r="Q85" s="34">
        <f>(1-A_shrink)*J85+A_shrink*I85</f>
        <v>0.19359083968376067</v>
      </c>
      <c r="R85" s="18" t="str">
        <f>IF(A_tier2_on=1,MAX(0,(Q85*G85-1)/(G85-1))*A_kelly,"-")</f>
        <v>-</v>
      </c>
      <c r="S85" s="46" t="str">
        <f>IF(OR(A_bankroll="",A_tier2_on&lt;&gt;1),"-",MIN(A_maxbet,MAX(0,(Q85*G85-1)/(G85-1))*A_kelly*A_bankroll))</f>
        <v>-</v>
      </c>
      <c r="T85" s="51" t="str">
        <f>IF(A_tier2_on=1,M_Sims!M151,"-")</f>
        <v>-</v>
      </c>
      <c r="U85" s="46" t="str">
        <f>IF(OR(A_bankroll="",A_tier2_on&lt;&gt;1),"-",MIN(A_maxbet,M_Sims!M151*A_bankroll))</f>
        <v>-</v>
      </c>
      <c r="V85" s="30">
        <f>M_Sims!H151</f>
        <v>1</v>
      </c>
      <c r="W85" s="6" t="b">
        <f>AND(H85&lt;&gt;"IMPUTED_20C_LADDER",L85&gt;=A_minev,N85&gt;0,V85=1,IF(A85="PLAYOFFS",A_poconf=1,TRUE),IF(AND(A85="WINS",A_zs_on=1),AND(AE85&gt;=A_minev,M_Sims!O151&gt;0),TRUE),AF85&gt;=A_minev,AG85&gt;0,IF(I85&lt;A_longthr,(1-A_shrink)*M_Sims!K151+A_shrink*(I85*G85-1)&gt;=A_minev,TRUE),IF(AND(OR(A85="WINS",A85="PLAYOFFS",LEFT(A85,4)="DIV_"),INDEX(Raw_Teams!$F$8:$F$37,MATCH($C85,Raw_Teams!$A$8:$A$37,0))&lt;A_contthr),AND(((1-A_contshrink)*J85+A_contshrink*I85)*G85-1&gt;=A_minev,(1-A_contshrink)*N85+A_contshrink*(I85*G85-1)&gt;0),TRUE),M_Sims!P151=0)</f>
        <v>0</v>
      </c>
      <c r="X85" s="6" t="s">
        <v>1301</v>
      </c>
      <c r="Y85" s="6" t="s">
        <v>1305</v>
      </c>
      <c r="Z85" s="6">
        <v>68</v>
      </c>
      <c r="AA85" s="7" t="str">
        <f>Sim_Stale</f>
        <v>OK - sims match current assumptions</v>
      </c>
      <c r="AB85" s="13" t="s">
        <v>33</v>
      </c>
      <c r="AC85" s="13" t="s">
        <v>33</v>
      </c>
      <c r="AD85" s="13" t="s">
        <v>33</v>
      </c>
      <c r="AE85" s="13" t="s">
        <v>33</v>
      </c>
      <c r="AF85" s="34">
        <f>Q85*G85-1</f>
        <v>-0.15787984737564109</v>
      </c>
      <c r="AG85" s="34">
        <f>(1-A_shrink)*N85+A_shrink*(I85*G85-1)</f>
        <v>-0.19539134737564109</v>
      </c>
      <c r="AH85" s="6" t="b">
        <f>AND(W85,I85&gt;=A_t1_fair,((1-A_t1_shrink)*J85+A_t1_shrink*I85)*G85-1&gt;=A_minev,(1-A_t1_shrink)*N85+A_t1_shrink*(I85*G85-1)&gt;0,M_Sims!Q151=1)</f>
        <v>0</v>
      </c>
      <c r="AI85" s="18">
        <f>IF(AH85,M_Sims!R151*A_t1_cap/A_t1_engcap,0)</f>
        <v>0</v>
      </c>
      <c r="AJ85" s="46" t="str">
        <f>IF(OR(A_bankroll="",NOT(AH85)),"-",MIN(A_maxbet,AI85*A_bankroll))</f>
        <v>-</v>
      </c>
      <c r="AK85" s="7" t="str">
        <f>IF(AH85,M_Sims!S151,"-")</f>
        <v>-</v>
      </c>
      <c r="AL85" s="51">
        <f>M_Sims!M151</f>
        <v>0</v>
      </c>
      <c r="AM85" s="6" t="str">
        <f>IF(W85,IF(AH85,"Tier 1","Tier 2"),"-")</f>
        <v>-</v>
      </c>
    </row>
    <row r="86" spans="1:39" ht="15" customHeight="1" x14ac:dyDescent="0.3">
      <c r="A86" s="6" t="s">
        <v>272</v>
      </c>
      <c r="B86" s="7" t="str">
        <f>Odds_Input!C77</f>
        <v>Milwaukee Bucks</v>
      </c>
      <c r="C86" s="6" t="s">
        <v>213</v>
      </c>
      <c r="D86" s="7" t="str">
        <f>Odds_Input!D77</f>
        <v>YES</v>
      </c>
      <c r="E86" s="31" t="str">
        <f>Odds_Input!E77</f>
        <v>-</v>
      </c>
      <c r="F86" s="32">
        <f>Odds_Input!F77</f>
        <v>16000</v>
      </c>
      <c r="G86" s="36">
        <f>M_DeVig!H77</f>
        <v>161</v>
      </c>
      <c r="H86" s="7" t="str">
        <f>Odds_Input!G77</f>
        <v>-</v>
      </c>
      <c r="I86" s="42">
        <f>M_DeVig!Q77</f>
        <v>7.5523904800889384E-4</v>
      </c>
      <c r="J86" s="42">
        <f>INDEX(M_Sims!$G$15:$G$44,MATCH($C86,M_Sims!$A$15:$A$44,0))</f>
        <v>1.7139999999999999E-2</v>
      </c>
      <c r="K86" s="43">
        <f>IF(J86&gt;=0.5,-100*J86/(1-J86),100*(1-J86)/J86)</f>
        <v>5734.3057176196035</v>
      </c>
      <c r="L86" s="34">
        <f>J86*G86-1</f>
        <v>1.7595399999999999</v>
      </c>
      <c r="M86" s="38">
        <f>(J86-I86)*100</f>
        <v>1.6384760951991106</v>
      </c>
      <c r="N86" s="42">
        <f>M_Sims!B152</f>
        <v>0.77529333333333306</v>
      </c>
      <c r="O86" s="42">
        <f>M_Sims!C152</f>
        <v>2.9133733333333329</v>
      </c>
      <c r="P86" s="42">
        <f>M_Sims!D152</f>
        <v>0.98333333333333317</v>
      </c>
      <c r="Q86" s="34">
        <f>(1-A_shrink)*J86+A_shrink*I86</f>
        <v>8.9476195240044461E-3</v>
      </c>
      <c r="R86" s="18" t="str">
        <f>IF(A_tier2_on=1,MAX(0,(Q86*G86-1)/(G86-1))*A_kelly,"-")</f>
        <v>-</v>
      </c>
      <c r="S86" s="46" t="str">
        <f>IF(OR(A_bankroll="",A_tier2_on&lt;&gt;1),"-",MIN(A_maxbet,MAX(0,(Q86*G86-1)/(G86-1))*A_kelly*A_bankroll))</f>
        <v>-</v>
      </c>
      <c r="T86" s="51" t="str">
        <f>IF(A_tier2_on=1,M_Sims!M152,"-")</f>
        <v>-</v>
      </c>
      <c r="U86" s="46" t="str">
        <f>IF(OR(A_bankroll="",A_tier2_on&lt;&gt;1),"-",MIN(A_maxbet,M_Sims!M152*A_bankroll))</f>
        <v>-</v>
      </c>
      <c r="V86" s="30">
        <f>M_Sims!H152</f>
        <v>1</v>
      </c>
      <c r="W86" s="6" t="b">
        <f>AND(H86&lt;&gt;"IMPUTED_20C_LADDER",L86&gt;=A_minev,N86&gt;0,V86=1,IF(A86="PLAYOFFS",A_poconf=1,TRUE),IF(AND(A86="WINS",A_zs_on=1),AND(AE86&gt;=A_minev,M_Sims!O152&gt;0),TRUE),AF86&gt;=A_minev,AG86&gt;0,IF(I86&lt;A_longthr,(1-A_shrink)*M_Sims!K152+A_shrink*(I86*G86-1)&gt;=A_minev,TRUE),IF(AND(OR(A86="WINS",A86="PLAYOFFS",LEFT(A86,4)="DIV_"),INDEX(Raw_Teams!$F$8:$F$37,MATCH($C86,Raw_Teams!$A$8:$A$37,0))&lt;A_contthr),AND(((1-A_contshrink)*J86+A_contshrink*I86)*G86-1&gt;=A_minev,(1-A_contshrink)*N86+A_contshrink*(I86*G86-1)&gt;0),TRUE),M_Sims!P152=0)</f>
        <v>0</v>
      </c>
      <c r="X86" s="6" t="s">
        <v>1301</v>
      </c>
      <c r="Y86" s="6" t="s">
        <v>1305</v>
      </c>
      <c r="Z86" s="6">
        <v>69</v>
      </c>
      <c r="AA86" s="7" t="str">
        <f>Sim_Stale</f>
        <v>OK - sims match current assumptions</v>
      </c>
      <c r="AB86" s="13" t="s">
        <v>33</v>
      </c>
      <c r="AC86" s="13" t="s">
        <v>33</v>
      </c>
      <c r="AD86" s="13" t="s">
        <v>33</v>
      </c>
      <c r="AE86" s="13" t="s">
        <v>33</v>
      </c>
      <c r="AF86" s="34">
        <f>Q86*G86-1</f>
        <v>0.4405667433647158</v>
      </c>
      <c r="AG86" s="34">
        <f>(1-A_shrink)*N86+A_shrink*(I86*G86-1)</f>
        <v>-5.1556589968617506E-2</v>
      </c>
      <c r="AH86" s="6" t="b">
        <f>AND(W86,I86&gt;=A_t1_fair,((1-A_t1_shrink)*J86+A_t1_shrink*I86)*G86-1&gt;=A_minev,(1-A_t1_shrink)*N86+A_t1_shrink*(I86*G86-1)&gt;0,M_Sims!Q152=1)</f>
        <v>0</v>
      </c>
      <c r="AI86" s="18">
        <f>IF(AH86,M_Sims!R152*A_t1_cap/A_t1_engcap,0)</f>
        <v>0</v>
      </c>
      <c r="AJ86" s="46" t="str">
        <f>IF(OR(A_bankroll="",NOT(AH86)),"-",MIN(A_maxbet,AI86*A_bankroll))</f>
        <v>-</v>
      </c>
      <c r="AK86" s="7" t="str">
        <f>IF(AH86,M_Sims!S152,"-")</f>
        <v>-</v>
      </c>
      <c r="AL86" s="51">
        <f>M_Sims!M152</f>
        <v>0</v>
      </c>
      <c r="AM86" s="6" t="str">
        <f>IF(W86,IF(AH86,"Tier 1","Tier 2"),"-")</f>
        <v>-</v>
      </c>
    </row>
    <row r="87" spans="1:39" ht="15" customHeight="1" x14ac:dyDescent="0.3"/>
    <row r="88" spans="1:39" ht="15" customHeight="1" x14ac:dyDescent="0.3">
      <c r="A88" s="48" t="s">
        <v>273</v>
      </c>
      <c r="B88" s="49" t="s">
        <v>1304</v>
      </c>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row>
    <row r="89" spans="1:39" ht="15" customHeight="1" x14ac:dyDescent="0.3">
      <c r="A89" s="6" t="s">
        <v>273</v>
      </c>
      <c r="B89" s="7" t="str">
        <f>Odds_Input!C78</f>
        <v>Atlanta Hawks</v>
      </c>
      <c r="C89" s="6" t="s">
        <v>197</v>
      </c>
      <c r="D89" s="7" t="str">
        <f>Odds_Input!D78</f>
        <v>YES</v>
      </c>
      <c r="E89" s="31" t="str">
        <f>Odds_Input!E78</f>
        <v>-</v>
      </c>
      <c r="F89" s="32">
        <f>Odds_Input!F78</f>
        <v>250</v>
      </c>
      <c r="G89" s="36">
        <f>M_DeVig!H78</f>
        <v>3.5</v>
      </c>
      <c r="H89" s="7" t="str">
        <f>Odds_Input!G78</f>
        <v>-</v>
      </c>
      <c r="I89" s="42">
        <f>M_DeVig!Q78</f>
        <v>0.25920926022040286</v>
      </c>
      <c r="J89" s="42">
        <f>INDEX(M_Sims!$G$15:$G$44,MATCH($C89,M_Sims!$A$15:$A$44,0))</f>
        <v>0.25068000000000001</v>
      </c>
      <c r="K89" s="43">
        <f>IF(J89&gt;=0.5,-100*J89/(1-J89),100*(1-J89)/J89)</f>
        <v>298.91495133237595</v>
      </c>
      <c r="L89" s="34">
        <f>J89*G89-1</f>
        <v>-0.12261999999999995</v>
      </c>
      <c r="M89" s="38">
        <f>(J89-I89)*100</f>
        <v>-0.85292602204028456</v>
      </c>
      <c r="N89" s="42">
        <f>M_Sims!B153</f>
        <v>-0.33901333333333339</v>
      </c>
      <c r="O89" s="42">
        <f>M_Sims!C153</f>
        <v>0.13439666666666669</v>
      </c>
      <c r="P89" s="42">
        <f>M_Sims!D153</f>
        <v>0.3166666666666666</v>
      </c>
      <c r="Q89" s="34">
        <f>(1-A_shrink)*J89+A_shrink*I89</f>
        <v>0.25494463011020141</v>
      </c>
      <c r="R89" s="18" t="str">
        <f>IF(A_tier2_on=1,MAX(0,(Q89*G89-1)/(G89-1))*A_kelly,"-")</f>
        <v>-</v>
      </c>
      <c r="S89" s="46" t="str">
        <f>IF(OR(A_bankroll="",A_tier2_on&lt;&gt;1),"-",MIN(A_maxbet,MAX(0,(Q89*G89-1)/(G89-1))*A_kelly*A_bankroll))</f>
        <v>-</v>
      </c>
      <c r="T89" s="51" t="str">
        <f>IF(A_tier2_on=1,M_Sims!M153,"-")</f>
        <v>-</v>
      </c>
      <c r="U89" s="46" t="str">
        <f>IF(OR(A_bankroll="",A_tier2_on&lt;&gt;1),"-",MIN(A_maxbet,M_Sims!M153*A_bankroll))</f>
        <v>-</v>
      </c>
      <c r="V89" s="30">
        <f>M_Sims!H153</f>
        <v>1</v>
      </c>
      <c r="W89" s="6" t="b">
        <f>AND(H89&lt;&gt;"IMPUTED_20C_LADDER",L89&gt;=A_minev,N89&gt;0,V89=1,IF(A89="PLAYOFFS",A_poconf=1,TRUE),IF(AND(A89="WINS",A_zs_on=1),AND(AE89&gt;=A_minev,M_Sims!O153&gt;0),TRUE),AF89&gt;=A_minev,AG89&gt;0,IF(I89&lt;A_longthr,(1-A_shrink)*M_Sims!K153+A_shrink*(I89*G89-1)&gt;=A_minev,TRUE),IF(AND(OR(A89="WINS",A89="PLAYOFFS",LEFT(A89,4)="DIV_"),INDEX(Raw_Teams!$F$8:$F$37,MATCH($C89,Raw_Teams!$A$8:$A$37,0))&lt;A_contthr),AND(((1-A_contshrink)*J89+A_contshrink*I89)*G89-1&gt;=A_minev,(1-A_contshrink)*N89+A_contshrink*(I89*G89-1)&gt;0),TRUE),M_Sims!P153=0)</f>
        <v>0</v>
      </c>
      <c r="X89" s="6" t="s">
        <v>1301</v>
      </c>
      <c r="Y89" s="6" t="s">
        <v>1305</v>
      </c>
      <c r="Z89" s="6">
        <v>70</v>
      </c>
      <c r="AA89" s="7" t="str">
        <f>Sim_Stale</f>
        <v>OK - sims match current assumptions</v>
      </c>
      <c r="AB89" s="13" t="s">
        <v>33</v>
      </c>
      <c r="AC89" s="13" t="s">
        <v>33</v>
      </c>
      <c r="AD89" s="13" t="s">
        <v>33</v>
      </c>
      <c r="AE89" s="13" t="s">
        <v>33</v>
      </c>
      <c r="AF89" s="34">
        <f>Q89*G89-1</f>
        <v>-0.10769379461429507</v>
      </c>
      <c r="AG89" s="34">
        <f>(1-A_shrink)*N89+A_shrink*(I89*G89-1)</f>
        <v>-0.21589046128096168</v>
      </c>
      <c r="AH89" s="6" t="b">
        <f>AND(W89,I89&gt;=A_t1_fair,((1-A_t1_shrink)*J89+A_t1_shrink*I89)*G89-1&gt;=A_minev,(1-A_t1_shrink)*N89+A_t1_shrink*(I89*G89-1)&gt;0,M_Sims!Q153=1)</f>
        <v>0</v>
      </c>
      <c r="AI89" s="18">
        <f>IF(AH89,M_Sims!R153*A_t1_cap/A_t1_engcap,0)</f>
        <v>0</v>
      </c>
      <c r="AJ89" s="46" t="str">
        <f>IF(OR(A_bankroll="",NOT(AH89)),"-",MIN(A_maxbet,AI89*A_bankroll))</f>
        <v>-</v>
      </c>
      <c r="AK89" s="7" t="str">
        <f>IF(AH89,M_Sims!S153,"-")</f>
        <v>-</v>
      </c>
      <c r="AL89" s="51">
        <f>M_Sims!M153</f>
        <v>0</v>
      </c>
      <c r="AM89" s="6" t="str">
        <f>IF(W89,IF(AH89,"Tier 1","Tier 2"),"-")</f>
        <v>-</v>
      </c>
    </row>
    <row r="90" spans="1:39" ht="15" customHeight="1" x14ac:dyDescent="0.3">
      <c r="A90" s="6" t="s">
        <v>273</v>
      </c>
      <c r="B90" s="7" t="str">
        <f>Odds_Input!C79</f>
        <v>Charlotte Hornets</v>
      </c>
      <c r="C90" s="6" t="s">
        <v>200</v>
      </c>
      <c r="D90" s="7" t="str">
        <f>Odds_Input!D79</f>
        <v>YES</v>
      </c>
      <c r="E90" s="31" t="str">
        <f>Odds_Input!E79</f>
        <v>-</v>
      </c>
      <c r="F90" s="32">
        <f>Odds_Input!F79</f>
        <v>625</v>
      </c>
      <c r="G90" s="36">
        <f>M_DeVig!H79</f>
        <v>7.25</v>
      </c>
      <c r="H90" s="7" t="str">
        <f>Odds_Input!G79</f>
        <v>-</v>
      </c>
      <c r="I90" s="42">
        <f>M_DeVig!Q79</f>
        <v>0.11778231391405181</v>
      </c>
      <c r="J90" s="42">
        <f>INDEX(M_Sims!$G$15:$G$44,MATCH($C90,M_Sims!$A$15:$A$44,0))</f>
        <v>0.16164999999999999</v>
      </c>
      <c r="K90" s="43">
        <f>IF(J90&gt;=0.5,-100*J90/(1-J90),100*(1-J90)/J90)</f>
        <v>518.62047633776683</v>
      </c>
      <c r="L90" s="34">
        <f>J90*G90-1</f>
        <v>0.17196250000000002</v>
      </c>
      <c r="M90" s="38">
        <f>(J90-I90)*100</f>
        <v>4.3867686085948181</v>
      </c>
      <c r="N90" s="42">
        <f>M_Sims!B154</f>
        <v>-2.79683333333333E-2</v>
      </c>
      <c r="O90" s="42">
        <f>M_Sims!C154</f>
        <v>0.36425666666666667</v>
      </c>
      <c r="P90" s="42">
        <f>M_Sims!D154</f>
        <v>0.8666666666666667</v>
      </c>
      <c r="Q90" s="34">
        <f>(1-A_shrink)*J90+A_shrink*I90</f>
        <v>0.13971615695702588</v>
      </c>
      <c r="R90" s="18" t="str">
        <f>IF(A_tier2_on=1,MAX(0,(Q90*G90-1)/(G90-1))*A_kelly,"-")</f>
        <v>-</v>
      </c>
      <c r="S90" s="46" t="str">
        <f>IF(OR(A_bankroll="",A_tier2_on&lt;&gt;1),"-",MIN(A_maxbet,MAX(0,(Q90*G90-1)/(G90-1))*A_kelly*A_bankroll))</f>
        <v>-</v>
      </c>
      <c r="T90" s="51" t="str">
        <f>IF(A_tier2_on=1,M_Sims!M154,"-")</f>
        <v>-</v>
      </c>
      <c r="U90" s="46" t="str">
        <f>IF(OR(A_bankroll="",A_tier2_on&lt;&gt;1),"-",MIN(A_maxbet,M_Sims!M154*A_bankroll))</f>
        <v>-</v>
      </c>
      <c r="V90" s="30">
        <f>M_Sims!H154</f>
        <v>1</v>
      </c>
      <c r="W90" s="6" t="b">
        <f>AND(H90&lt;&gt;"IMPUTED_20C_LADDER",L90&gt;=A_minev,N90&gt;0,V90=1,IF(A90="PLAYOFFS",A_poconf=1,TRUE),IF(AND(A90="WINS",A_zs_on=1),AND(AE90&gt;=A_minev,M_Sims!O154&gt;0),TRUE),AF90&gt;=A_minev,AG90&gt;0,IF(I90&lt;A_longthr,(1-A_shrink)*M_Sims!K154+A_shrink*(I90*G90-1)&gt;=A_minev,TRUE),IF(AND(OR(A90="WINS",A90="PLAYOFFS",LEFT(A90,4)="DIV_"),INDEX(Raw_Teams!$F$8:$F$37,MATCH($C90,Raw_Teams!$A$8:$A$37,0))&lt;A_contthr),AND(((1-A_contshrink)*J90+A_contshrink*I90)*G90-1&gt;=A_minev,(1-A_contshrink)*N90+A_contshrink*(I90*G90-1)&gt;0),TRUE),M_Sims!P154=0)</f>
        <v>0</v>
      </c>
      <c r="X90" s="6" t="s">
        <v>1301</v>
      </c>
      <c r="Y90" s="6" t="s">
        <v>1305</v>
      </c>
      <c r="Z90" s="6">
        <v>71</v>
      </c>
      <c r="AA90" s="7" t="str">
        <f>Sim_Stale</f>
        <v>OK - sims match current assumptions</v>
      </c>
      <c r="AB90" s="13" t="s">
        <v>33</v>
      </c>
      <c r="AC90" s="13" t="s">
        <v>33</v>
      </c>
      <c r="AD90" s="13" t="s">
        <v>33</v>
      </c>
      <c r="AE90" s="13" t="s">
        <v>33</v>
      </c>
      <c r="AF90" s="34">
        <f>Q90*G90-1</f>
        <v>1.294213793843757E-2</v>
      </c>
      <c r="AG90" s="34">
        <f>(1-A_shrink)*N90+A_shrink*(I90*G90-1)</f>
        <v>-8.7023278728228862E-2</v>
      </c>
      <c r="AH90" s="6" t="b">
        <f>AND(W90,I90&gt;=A_t1_fair,((1-A_t1_shrink)*J90+A_t1_shrink*I90)*G90-1&gt;=A_minev,(1-A_t1_shrink)*N90+A_t1_shrink*(I90*G90-1)&gt;0,M_Sims!Q154=1)</f>
        <v>0</v>
      </c>
      <c r="AI90" s="18">
        <f>IF(AH90,M_Sims!R154*A_t1_cap/A_t1_engcap,0)</f>
        <v>0</v>
      </c>
      <c r="AJ90" s="46" t="str">
        <f>IF(OR(A_bankroll="",NOT(AH90)),"-",MIN(A_maxbet,AI90*A_bankroll))</f>
        <v>-</v>
      </c>
      <c r="AK90" s="7" t="str">
        <f>IF(AH90,M_Sims!S154,"-")</f>
        <v>-</v>
      </c>
      <c r="AL90" s="51">
        <f>M_Sims!M154</f>
        <v>0</v>
      </c>
      <c r="AM90" s="6" t="str">
        <f>IF(W90,IF(AH90,"Tier 1","Tier 2"),"-")</f>
        <v>-</v>
      </c>
    </row>
    <row r="91" spans="1:39" ht="15" customHeight="1" x14ac:dyDescent="0.3">
      <c r="A91" s="6" t="s">
        <v>273</v>
      </c>
      <c r="B91" s="7" t="str">
        <f>Odds_Input!C80</f>
        <v>Miami Heat</v>
      </c>
      <c r="C91" s="6" t="s">
        <v>212</v>
      </c>
      <c r="D91" s="7" t="str">
        <f>Odds_Input!D80</f>
        <v>YES</v>
      </c>
      <c r="E91" s="31" t="str">
        <f>Odds_Input!E80</f>
        <v>-</v>
      </c>
      <c r="F91" s="32">
        <f>Odds_Input!F80</f>
        <v>175</v>
      </c>
      <c r="G91" s="36">
        <f>M_DeVig!H80</f>
        <v>2.75</v>
      </c>
      <c r="H91" s="7" t="str">
        <f>Odds_Input!G80</f>
        <v>-</v>
      </c>
      <c r="I91" s="42">
        <f>M_DeVig!Q80</f>
        <v>0.33393341839158242</v>
      </c>
      <c r="J91" s="42">
        <f>INDEX(M_Sims!$G$15:$G$44,MATCH($C91,M_Sims!$A$15:$A$44,0))</f>
        <v>0.16111</v>
      </c>
      <c r="K91" s="43">
        <f>IF(J91&gt;=0.5,-100*J91/(1-J91),100*(1-J91)/J91)</f>
        <v>520.69393582024702</v>
      </c>
      <c r="L91" s="34">
        <f>J91*G91-1</f>
        <v>-0.55694749999999993</v>
      </c>
      <c r="M91" s="38">
        <f>(J91-I91)*100</f>
        <v>-17.282341839158242</v>
      </c>
      <c r="N91" s="42">
        <f>M_Sims!B155</f>
        <v>-0.63962166666666664</v>
      </c>
      <c r="O91" s="42">
        <f>M_Sims!C155</f>
        <v>-0.47671166666666659</v>
      </c>
      <c r="P91" s="42">
        <f>M_Sims!D155</f>
        <v>0</v>
      </c>
      <c r="Q91" s="34">
        <f>(1-A_shrink)*J91+A_shrink*I91</f>
        <v>0.2475217091957912</v>
      </c>
      <c r="R91" s="18" t="str">
        <f>IF(A_tier2_on=1,MAX(0,(Q91*G91-1)/(G91-1))*A_kelly,"-")</f>
        <v>-</v>
      </c>
      <c r="S91" s="46" t="str">
        <f>IF(OR(A_bankroll="",A_tier2_on&lt;&gt;1),"-",MIN(A_maxbet,MAX(0,(Q91*G91-1)/(G91-1))*A_kelly*A_bankroll))</f>
        <v>-</v>
      </c>
      <c r="T91" s="51" t="str">
        <f>IF(A_tier2_on=1,M_Sims!M155,"-")</f>
        <v>-</v>
      </c>
      <c r="U91" s="46" t="str">
        <f>IF(OR(A_bankroll="",A_tier2_on&lt;&gt;1),"-",MIN(A_maxbet,M_Sims!M155*A_bankroll))</f>
        <v>-</v>
      </c>
      <c r="V91" s="30">
        <f>M_Sims!H155</f>
        <v>1</v>
      </c>
      <c r="W91" s="6" t="b">
        <f>AND(H91&lt;&gt;"IMPUTED_20C_LADDER",L91&gt;=A_minev,N91&gt;0,V91=1,IF(A91="PLAYOFFS",A_poconf=1,TRUE),IF(AND(A91="WINS",A_zs_on=1),AND(AE91&gt;=A_minev,M_Sims!O155&gt;0),TRUE),AF91&gt;=A_minev,AG91&gt;0,IF(I91&lt;A_longthr,(1-A_shrink)*M_Sims!K155+A_shrink*(I91*G91-1)&gt;=A_minev,TRUE),IF(AND(OR(A91="WINS",A91="PLAYOFFS",LEFT(A91,4)="DIV_"),INDEX(Raw_Teams!$F$8:$F$37,MATCH($C91,Raw_Teams!$A$8:$A$37,0))&lt;A_contthr),AND(((1-A_contshrink)*J91+A_contshrink*I91)*G91-1&gt;=A_minev,(1-A_contshrink)*N91+A_contshrink*(I91*G91-1)&gt;0),TRUE),M_Sims!P155=0)</f>
        <v>0</v>
      </c>
      <c r="X91" s="6" t="s">
        <v>1301</v>
      </c>
      <c r="Y91" s="6" t="s">
        <v>1305</v>
      </c>
      <c r="Z91" s="6">
        <v>72</v>
      </c>
      <c r="AA91" s="7" t="str">
        <f>Sim_Stale</f>
        <v>OK - sims match current assumptions</v>
      </c>
      <c r="AB91" s="13" t="s">
        <v>33</v>
      </c>
      <c r="AC91" s="13" t="s">
        <v>33</v>
      </c>
      <c r="AD91" s="13" t="s">
        <v>33</v>
      </c>
      <c r="AE91" s="13" t="s">
        <v>33</v>
      </c>
      <c r="AF91" s="34">
        <f>Q91*G91-1</f>
        <v>-0.31931529971157424</v>
      </c>
      <c r="AG91" s="34">
        <f>(1-A_shrink)*N91+A_shrink*(I91*G91-1)</f>
        <v>-0.36065238304490749</v>
      </c>
      <c r="AH91" s="6" t="b">
        <f>AND(W91,I91&gt;=A_t1_fair,((1-A_t1_shrink)*J91+A_t1_shrink*I91)*G91-1&gt;=A_minev,(1-A_t1_shrink)*N91+A_t1_shrink*(I91*G91-1)&gt;0,M_Sims!Q155=1)</f>
        <v>0</v>
      </c>
      <c r="AI91" s="18">
        <f>IF(AH91,M_Sims!R155*A_t1_cap/A_t1_engcap,0)</f>
        <v>0</v>
      </c>
      <c r="AJ91" s="46" t="str">
        <f>IF(OR(A_bankroll="",NOT(AH91)),"-",MIN(A_maxbet,AI91*A_bankroll))</f>
        <v>-</v>
      </c>
      <c r="AK91" s="7" t="str">
        <f>IF(AH91,M_Sims!S155,"-")</f>
        <v>-</v>
      </c>
      <c r="AL91" s="51">
        <f>M_Sims!M155</f>
        <v>0</v>
      </c>
      <c r="AM91" s="6" t="str">
        <f>IF(W91,IF(AH91,"Tier 1","Tier 2"),"-")</f>
        <v>-</v>
      </c>
    </row>
    <row r="92" spans="1:39" ht="15" customHeight="1" x14ac:dyDescent="0.3">
      <c r="A92" s="6" t="s">
        <v>273</v>
      </c>
      <c r="B92" s="7" t="str">
        <f>Odds_Input!C81</f>
        <v>Orlando Magic</v>
      </c>
      <c r="C92" s="6" t="s">
        <v>218</v>
      </c>
      <c r="D92" s="7" t="str">
        <f>Odds_Input!D81</f>
        <v>YES</v>
      </c>
      <c r="E92" s="31" t="str">
        <f>Odds_Input!E81</f>
        <v>-</v>
      </c>
      <c r="F92" s="32">
        <f>Odds_Input!F81</f>
        <v>285</v>
      </c>
      <c r="G92" s="36">
        <f>M_DeVig!H81</f>
        <v>3.85</v>
      </c>
      <c r="H92" s="7" t="str">
        <f>Odds_Input!G81</f>
        <v>-</v>
      </c>
      <c r="I92" s="42">
        <f>M_DeVig!Q81</f>
        <v>0.2343137702100852</v>
      </c>
      <c r="J92" s="42">
        <f>INDEX(M_Sims!$G$15:$G$44,MATCH($C92,M_Sims!$A$15:$A$44,0))</f>
        <v>0.40508</v>
      </c>
      <c r="K92" s="43">
        <f>IF(J92&gt;=0.5,-100*J92/(1-J92),100*(1-J92)/J92)</f>
        <v>146.86481682630591</v>
      </c>
      <c r="L92" s="34">
        <f>J92*G92-1</f>
        <v>0.559558</v>
      </c>
      <c r="M92" s="38">
        <f>(J92-I92)*100</f>
        <v>17.07662297899148</v>
      </c>
      <c r="N92" s="42">
        <f>M_Sims!B156</f>
        <v>0.27660866666666661</v>
      </c>
      <c r="O92" s="42">
        <f>M_Sims!C156</f>
        <v>0.8025186666666666</v>
      </c>
      <c r="P92" s="42">
        <f>M_Sims!D156</f>
        <v>1</v>
      </c>
      <c r="Q92" s="34">
        <f>(1-A_shrink)*J92+A_shrink*I92</f>
        <v>0.31969688510504257</v>
      </c>
      <c r="R92" s="18" t="str">
        <f>IF(A_tier2_on=1,MAX(0,(Q92*G92-1)/(G92-1))*A_kelly,"-")</f>
        <v>-</v>
      </c>
      <c r="S92" s="46" t="str">
        <f>IF(OR(A_bankroll="",A_tier2_on&lt;&gt;1),"-",MIN(A_maxbet,MAX(0,(Q92*G92-1)/(G92-1))*A_kelly*A_bankroll))</f>
        <v>-</v>
      </c>
      <c r="T92" s="51" t="str">
        <f>IF(A_tier2_on=1,M_Sims!M156,"-")</f>
        <v>-</v>
      </c>
      <c r="U92" s="46" t="str">
        <f>IF(OR(A_bankroll="",A_tier2_on&lt;&gt;1),"-",MIN(A_maxbet,M_Sims!M156*A_bankroll))</f>
        <v>-</v>
      </c>
      <c r="V92" s="30">
        <f>M_Sims!H156</f>
        <v>1</v>
      </c>
      <c r="W92" s="6" t="b">
        <f>AND(H92&lt;&gt;"IMPUTED_20C_LADDER",L92&gt;=A_minev,N92&gt;0,V92=1,IF(A92="PLAYOFFS",A_poconf=1,TRUE),IF(AND(A92="WINS",A_zs_on=1),AND(AE92&gt;=A_minev,M_Sims!O156&gt;0),TRUE),AF92&gt;=A_minev,AG92&gt;0,IF(I92&lt;A_longthr,(1-A_shrink)*M_Sims!K156+A_shrink*(I92*G92-1)&gt;=A_minev,TRUE),IF(AND(OR(A92="WINS",A92="PLAYOFFS",LEFT(A92,4)="DIV_"),INDEX(Raw_Teams!$F$8:$F$37,MATCH($C92,Raw_Teams!$A$8:$A$37,0))&lt;A_contthr),AND(((1-A_contshrink)*J92+A_contshrink*I92)*G92-1&gt;=A_minev,(1-A_contshrink)*N92+A_contshrink*(I92*G92-1)&gt;0),TRUE),M_Sims!P156=0)</f>
        <v>1</v>
      </c>
      <c r="X92" s="6" t="s">
        <v>1301</v>
      </c>
      <c r="Y92" s="6" t="s">
        <v>1305</v>
      </c>
      <c r="Z92" s="6">
        <v>73</v>
      </c>
      <c r="AA92" s="7" t="str">
        <f>Sim_Stale</f>
        <v>OK - sims match current assumptions</v>
      </c>
      <c r="AB92" s="13" t="s">
        <v>33</v>
      </c>
      <c r="AC92" s="13" t="s">
        <v>33</v>
      </c>
      <c r="AD92" s="13" t="s">
        <v>33</v>
      </c>
      <c r="AE92" s="13" t="s">
        <v>33</v>
      </c>
      <c r="AF92" s="34">
        <f>Q92*G92-1</f>
        <v>0.23083300765441384</v>
      </c>
      <c r="AG92" s="34">
        <f>(1-A_shrink)*N92+A_shrink*(I92*G92-1)</f>
        <v>8.9358340987747309E-2</v>
      </c>
      <c r="AH92" s="6" t="b">
        <f>AND(W92,I92&gt;=A_t1_fair,((1-A_t1_shrink)*J92+A_t1_shrink*I92)*G92-1&gt;=A_minev,(1-A_t1_shrink)*N92+A_t1_shrink*(I92*G92-1)&gt;0,M_Sims!Q156=1)</f>
        <v>0</v>
      </c>
      <c r="AI92" s="18">
        <f>IF(AH92,M_Sims!R156*A_t1_cap/A_t1_engcap,0)</f>
        <v>0</v>
      </c>
      <c r="AJ92" s="46" t="str">
        <f>IF(OR(A_bankroll="",NOT(AH92)),"-",MIN(A_maxbet,AI92*A_bankroll))</f>
        <v>-</v>
      </c>
      <c r="AK92" s="7" t="str">
        <f>IF(AH92,M_Sims!S156,"-")</f>
        <v>-</v>
      </c>
      <c r="AL92" s="51">
        <f>M_Sims!M156</f>
        <v>0</v>
      </c>
      <c r="AM92" s="6" t="str">
        <f>IF(W92,IF(AH92,"Tier 1","Tier 2"),"-")</f>
        <v>Tier 2</v>
      </c>
    </row>
    <row r="93" spans="1:39" ht="15" customHeight="1" x14ac:dyDescent="0.3">
      <c r="A93" s="6" t="s">
        <v>273</v>
      </c>
      <c r="B93" s="7" t="str">
        <f>Odds_Input!C82</f>
        <v>Washington Wizards</v>
      </c>
      <c r="C93" s="6" t="s">
        <v>226</v>
      </c>
      <c r="D93" s="7" t="str">
        <f>Odds_Input!D82</f>
        <v>YES</v>
      </c>
      <c r="E93" s="31" t="str">
        <f>Odds_Input!E82</f>
        <v>-</v>
      </c>
      <c r="F93" s="32">
        <f>Odds_Input!F82</f>
        <v>1300</v>
      </c>
      <c r="G93" s="36">
        <f>M_DeVig!H82</f>
        <v>14</v>
      </c>
      <c r="H93" s="7" t="str">
        <f>Odds_Input!G82</f>
        <v>-</v>
      </c>
      <c r="I93" s="42">
        <f>M_DeVig!Q82</f>
        <v>5.4761237252288208E-2</v>
      </c>
      <c r="J93" s="42">
        <f>INDEX(M_Sims!$G$15:$G$44,MATCH($C93,M_Sims!$A$15:$A$44,0))</f>
        <v>2.1479999999999999E-2</v>
      </c>
      <c r="K93" s="43">
        <f>IF(J93&gt;=0.5,-100*J93/(1-J93),100*(1-J93)/J93)</f>
        <v>4555.4934823091253</v>
      </c>
      <c r="L93" s="34">
        <f>J93*G93-1</f>
        <v>-0.69928000000000001</v>
      </c>
      <c r="M93" s="38">
        <f>(J93-I93)*100</f>
        <v>-3.3281237252288207</v>
      </c>
      <c r="N93" s="42">
        <f>M_Sims!B157</f>
        <v>-0.79485333333333341</v>
      </c>
      <c r="O93" s="42">
        <f>M_Sims!C157</f>
        <v>-0.58410666666666666</v>
      </c>
      <c r="P93" s="42">
        <f>M_Sims!D157</f>
        <v>0</v>
      </c>
      <c r="Q93" s="34">
        <f>(1-A_shrink)*J93+A_shrink*I93</f>
        <v>3.8120618626144104E-2</v>
      </c>
      <c r="R93" s="18" t="str">
        <f>IF(A_tier2_on=1,MAX(0,(Q93*G93-1)/(G93-1))*A_kelly,"-")</f>
        <v>-</v>
      </c>
      <c r="S93" s="46" t="str">
        <f>IF(OR(A_bankroll="",A_tier2_on&lt;&gt;1),"-",MIN(A_maxbet,MAX(0,(Q93*G93-1)/(G93-1))*A_kelly*A_bankroll))</f>
        <v>-</v>
      </c>
      <c r="T93" s="51" t="str">
        <f>IF(A_tier2_on=1,M_Sims!M157,"-")</f>
        <v>-</v>
      </c>
      <c r="U93" s="46" t="str">
        <f>IF(OR(A_bankroll="",A_tier2_on&lt;&gt;1),"-",MIN(A_maxbet,M_Sims!M157*A_bankroll))</f>
        <v>-</v>
      </c>
      <c r="V93" s="30">
        <f>M_Sims!H157</f>
        <v>0</v>
      </c>
      <c r="W93" s="6" t="b">
        <f>AND(H93&lt;&gt;"IMPUTED_20C_LADDER",L93&gt;=A_minev,N93&gt;0,V93=1,IF(A93="PLAYOFFS",A_poconf=1,TRUE),IF(AND(A93="WINS",A_zs_on=1),AND(AE93&gt;=A_minev,M_Sims!O157&gt;0),TRUE),AF93&gt;=A_minev,AG93&gt;0,IF(I93&lt;A_longthr,(1-A_shrink)*M_Sims!K157+A_shrink*(I93*G93-1)&gt;=A_minev,TRUE),IF(AND(OR(A93="WINS",A93="PLAYOFFS",LEFT(A93,4)="DIV_"),INDEX(Raw_Teams!$F$8:$F$37,MATCH($C93,Raw_Teams!$A$8:$A$37,0))&lt;A_contthr),AND(((1-A_contshrink)*J93+A_contshrink*I93)*G93-1&gt;=A_minev,(1-A_contshrink)*N93+A_contshrink*(I93*G93-1)&gt;0),TRUE),M_Sims!P157=0)</f>
        <v>0</v>
      </c>
      <c r="X93" s="6" t="s">
        <v>1301</v>
      </c>
      <c r="Y93" s="6" t="s">
        <v>1305</v>
      </c>
      <c r="Z93" s="6">
        <v>74</v>
      </c>
      <c r="AA93" s="7" t="str">
        <f>Sim_Stale</f>
        <v>OK - sims match current assumptions</v>
      </c>
      <c r="AB93" s="13" t="s">
        <v>33</v>
      </c>
      <c r="AC93" s="13" t="s">
        <v>33</v>
      </c>
      <c r="AD93" s="13" t="s">
        <v>33</v>
      </c>
      <c r="AE93" s="13" t="s">
        <v>33</v>
      </c>
      <c r="AF93" s="34">
        <f>Q93*G93-1</f>
        <v>-0.4663113392339826</v>
      </c>
      <c r="AG93" s="34">
        <f>(1-A_shrink)*N93+A_shrink*(I93*G93-1)</f>
        <v>-0.51409800590064925</v>
      </c>
      <c r="AH93" s="6" t="b">
        <f>AND(W93,I93&gt;=A_t1_fair,((1-A_t1_shrink)*J93+A_t1_shrink*I93)*G93-1&gt;=A_minev,(1-A_t1_shrink)*N93+A_t1_shrink*(I93*G93-1)&gt;0,M_Sims!Q157=1)</f>
        <v>0</v>
      </c>
      <c r="AI93" s="18">
        <f>IF(AH93,M_Sims!R157*A_t1_cap/A_t1_engcap,0)</f>
        <v>0</v>
      </c>
      <c r="AJ93" s="46" t="str">
        <f>IF(OR(A_bankroll="",NOT(AH93)),"-",MIN(A_maxbet,AI93*A_bankroll))</f>
        <v>-</v>
      </c>
      <c r="AK93" s="7" t="str">
        <f>IF(AH93,M_Sims!S157,"-")</f>
        <v>-</v>
      </c>
      <c r="AL93" s="51">
        <f>M_Sims!M157</f>
        <v>0</v>
      </c>
      <c r="AM93" s="6" t="str">
        <f>IF(W93,IF(AH93,"Tier 1","Tier 2"),"-")</f>
        <v>-</v>
      </c>
    </row>
    <row r="94" spans="1:39" ht="15" customHeight="1" x14ac:dyDescent="0.3"/>
    <row r="95" spans="1:39" ht="15" customHeight="1" x14ac:dyDescent="0.3">
      <c r="A95" s="48" t="s">
        <v>274</v>
      </c>
      <c r="B95" s="49" t="s">
        <v>1304</v>
      </c>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row>
    <row r="96" spans="1:39" ht="15" customHeight="1" x14ac:dyDescent="0.3">
      <c r="A96" s="6" t="s">
        <v>274</v>
      </c>
      <c r="B96" s="7" t="str">
        <f>Odds_Input!C83</f>
        <v>Denver Nuggets</v>
      </c>
      <c r="C96" s="6" t="s">
        <v>204</v>
      </c>
      <c r="D96" s="7" t="str">
        <f>Odds_Input!D83</f>
        <v>YES</v>
      </c>
      <c r="E96" s="31" t="str">
        <f>Odds_Input!E83</f>
        <v>-</v>
      </c>
      <c r="F96" s="32">
        <f>Odds_Input!F83</f>
        <v>925</v>
      </c>
      <c r="G96" s="36">
        <f>M_DeVig!H83</f>
        <v>10.25</v>
      </c>
      <c r="H96" s="7" t="str">
        <f>Odds_Input!G83</f>
        <v>-</v>
      </c>
      <c r="I96" s="42">
        <f>M_DeVig!Q83</f>
        <v>7.7817681530566798E-2</v>
      </c>
      <c r="J96" s="42">
        <f>INDEX(M_Sims!$G$15:$G$44,MATCH($C96,M_Sims!$A$15:$A$44,0))</f>
        <v>0.14124999999999999</v>
      </c>
      <c r="K96" s="43">
        <f>IF(J96&gt;=0.5,-100*J96/(1-J96),100*(1-J96)/J96)</f>
        <v>607.96460176991161</v>
      </c>
      <c r="L96" s="34">
        <f>J96*G96-1</f>
        <v>0.44781249999999995</v>
      </c>
      <c r="M96" s="38">
        <f>(J96-I96)*100</f>
        <v>6.3432318469433184</v>
      </c>
      <c r="N96" s="42">
        <f>M_Sims!B158</f>
        <v>0.2629366666666666</v>
      </c>
      <c r="O96" s="42">
        <f>M_Sims!C158</f>
        <v>0.5435133333333334</v>
      </c>
      <c r="P96" s="42">
        <f>M_Sims!D158</f>
        <v>1</v>
      </c>
      <c r="Q96" s="34">
        <f>(1-A_shrink)*J96+A_shrink*I96</f>
        <v>0.10953384076528339</v>
      </c>
      <c r="R96" s="18" t="str">
        <f>IF(A_tier2_on=1,MAX(0,(Q96*G96-1)/(G96-1))*A_kelly,"-")</f>
        <v>-</v>
      </c>
      <c r="S96" s="46" t="str">
        <f>IF(OR(A_bankroll="",A_tier2_on&lt;&gt;1),"-",MIN(A_maxbet,MAX(0,(Q96*G96-1)/(G96-1))*A_kelly*A_bankroll))</f>
        <v>-</v>
      </c>
      <c r="T96" s="51" t="str">
        <f>IF(A_tier2_on=1,M_Sims!M158,"-")</f>
        <v>-</v>
      </c>
      <c r="U96" s="46" t="str">
        <f>IF(OR(A_bankroll="",A_tier2_on&lt;&gt;1),"-",MIN(A_maxbet,M_Sims!M158*A_bankroll))</f>
        <v>-</v>
      </c>
      <c r="V96" s="30">
        <f>M_Sims!H158</f>
        <v>1</v>
      </c>
      <c r="W96" s="6" t="b">
        <f>AND(H96&lt;&gt;"IMPUTED_20C_LADDER",L96&gt;=A_minev,N96&gt;0,V96=1,IF(A96="PLAYOFFS",A_poconf=1,TRUE),IF(AND(A96="WINS",A_zs_on=1),AND(AE96&gt;=A_minev,M_Sims!O158&gt;0),TRUE),AF96&gt;=A_minev,AG96&gt;0,IF(I96&lt;A_longthr,(1-A_shrink)*M_Sims!K158+A_shrink*(I96*G96-1)&gt;=A_minev,TRUE),IF(AND(OR(A96="WINS",A96="PLAYOFFS",LEFT(A96,4)="DIV_"),INDEX(Raw_Teams!$F$8:$F$37,MATCH($C96,Raw_Teams!$A$8:$A$37,0))&lt;A_contthr),AND(((1-A_contshrink)*J96+A_contshrink*I96)*G96-1&gt;=A_minev,(1-A_contshrink)*N96+A_contshrink*(I96*G96-1)&gt;0),TRUE),M_Sims!P158=0)</f>
        <v>1</v>
      </c>
      <c r="X96" s="6" t="s">
        <v>1301</v>
      </c>
      <c r="Y96" s="6" t="s">
        <v>1305</v>
      </c>
      <c r="Z96" s="6">
        <v>75</v>
      </c>
      <c r="AA96" s="7" t="str">
        <f>Sim_Stale</f>
        <v>OK - sims match current assumptions</v>
      </c>
      <c r="AB96" s="13" t="s">
        <v>33</v>
      </c>
      <c r="AC96" s="13" t="s">
        <v>33</v>
      </c>
      <c r="AD96" s="13" t="s">
        <v>33</v>
      </c>
      <c r="AE96" s="13" t="s">
        <v>33</v>
      </c>
      <c r="AF96" s="34">
        <f>Q96*G96-1</f>
        <v>0.12272186784415462</v>
      </c>
      <c r="AG96" s="34">
        <f>(1-A_shrink)*N96+A_shrink*(I96*G96-1)</f>
        <v>3.0283951177488166E-2</v>
      </c>
      <c r="AH96" s="6" t="b">
        <f>AND(W96,I96&gt;=A_t1_fair,((1-A_t1_shrink)*J96+A_t1_shrink*I96)*G96-1&gt;=A_minev,(1-A_t1_shrink)*N96+A_t1_shrink*(I96*G96-1)&gt;0,M_Sims!Q158=1)</f>
        <v>0</v>
      </c>
      <c r="AI96" s="18">
        <f>IF(AH96,M_Sims!R158*A_t1_cap/A_t1_engcap,0)</f>
        <v>0</v>
      </c>
      <c r="AJ96" s="46" t="str">
        <f>IF(OR(A_bankroll="",NOT(AH96)),"-",MIN(A_maxbet,AI96*A_bankroll))</f>
        <v>-</v>
      </c>
      <c r="AK96" s="7" t="str">
        <f>IF(AH96,M_Sims!S158,"-")</f>
        <v>-</v>
      </c>
      <c r="AL96" s="51">
        <f>M_Sims!M158</f>
        <v>1.6132923528899999E-4</v>
      </c>
      <c r="AM96" s="6" t="str">
        <f>IF(W96,IF(AH96,"Tier 1","Tier 2"),"-")</f>
        <v>Tier 2</v>
      </c>
    </row>
    <row r="97" spans="1:39" ht="15" customHeight="1" x14ac:dyDescent="0.3">
      <c r="A97" s="6" t="s">
        <v>274</v>
      </c>
      <c r="B97" s="7" t="str">
        <f>Odds_Input!C84</f>
        <v>Minnesota Timberwolves</v>
      </c>
      <c r="C97" s="6" t="s">
        <v>214</v>
      </c>
      <c r="D97" s="7" t="str">
        <f>Odds_Input!D84</f>
        <v>YES</v>
      </c>
      <c r="E97" s="31" t="str">
        <f>Odds_Input!E84</f>
        <v>-</v>
      </c>
      <c r="F97" s="32">
        <f>Odds_Input!F84</f>
        <v>875</v>
      </c>
      <c r="G97" s="36">
        <f>M_DeVig!H84</f>
        <v>9.75</v>
      </c>
      <c r="H97" s="7" t="str">
        <f>Odds_Input!G84</f>
        <v>-</v>
      </c>
      <c r="I97" s="42">
        <f>M_DeVig!Q84</f>
        <v>8.2562893807064955E-2</v>
      </c>
      <c r="J97" s="42">
        <f>INDEX(M_Sims!$G$15:$G$44,MATCH($C97,M_Sims!$A$15:$A$44,0))</f>
        <v>7.7240000000000003E-2</v>
      </c>
      <c r="K97" s="43">
        <f>IF(J97&gt;=0.5,-100*J97/(1-J97),100*(1-J97)/J97)</f>
        <v>1194.6659761781459</v>
      </c>
      <c r="L97" s="34">
        <f>J97*G97-1</f>
        <v>-0.24690999999999996</v>
      </c>
      <c r="M97" s="38">
        <f>(J97-I97)*100</f>
        <v>-0.53228938070649523</v>
      </c>
      <c r="N97" s="42">
        <f>M_Sims!B159</f>
        <v>-0.50086499999999989</v>
      </c>
      <c r="O97" s="42">
        <f>M_Sims!C159</f>
        <v>0.1625899999999999</v>
      </c>
      <c r="P97" s="42">
        <f>M_Sims!D159</f>
        <v>0.21666666666666659</v>
      </c>
      <c r="Q97" s="34">
        <f>(1-A_shrink)*J97+A_shrink*I97</f>
        <v>7.9901446903532486E-2</v>
      </c>
      <c r="R97" s="18" t="str">
        <f>IF(A_tier2_on=1,MAX(0,(Q97*G97-1)/(G97-1))*A_kelly,"-")</f>
        <v>-</v>
      </c>
      <c r="S97" s="46" t="str">
        <f>IF(OR(A_bankroll="",A_tier2_on&lt;&gt;1),"-",MIN(A_maxbet,MAX(0,(Q97*G97-1)/(G97-1))*A_kelly*A_bankroll))</f>
        <v>-</v>
      </c>
      <c r="T97" s="51" t="str">
        <f>IF(A_tier2_on=1,M_Sims!M159,"-")</f>
        <v>-</v>
      </c>
      <c r="U97" s="46" t="str">
        <f>IF(OR(A_bankroll="",A_tier2_on&lt;&gt;1),"-",MIN(A_maxbet,M_Sims!M159*A_bankroll))</f>
        <v>-</v>
      </c>
      <c r="V97" s="30">
        <f>M_Sims!H159</f>
        <v>1</v>
      </c>
      <c r="W97" s="6" t="b">
        <f>AND(H97&lt;&gt;"IMPUTED_20C_LADDER",L97&gt;=A_minev,N97&gt;0,V97=1,IF(A97="PLAYOFFS",A_poconf=1,TRUE),IF(AND(A97="WINS",A_zs_on=1),AND(AE97&gt;=A_minev,M_Sims!O159&gt;0),TRUE),AF97&gt;=A_minev,AG97&gt;0,IF(I97&lt;A_longthr,(1-A_shrink)*M_Sims!K159+A_shrink*(I97*G97-1)&gt;=A_minev,TRUE),IF(AND(OR(A97="WINS",A97="PLAYOFFS",LEFT(A97,4)="DIV_"),INDEX(Raw_Teams!$F$8:$F$37,MATCH($C97,Raw_Teams!$A$8:$A$37,0))&lt;A_contthr),AND(((1-A_contshrink)*J97+A_contshrink*I97)*G97-1&gt;=A_minev,(1-A_contshrink)*N97+A_contshrink*(I97*G97-1)&gt;0),TRUE),M_Sims!P159=0)</f>
        <v>0</v>
      </c>
      <c r="X97" s="6" t="s">
        <v>1301</v>
      </c>
      <c r="Y97" s="6" t="s">
        <v>1305</v>
      </c>
      <c r="Z97" s="6">
        <v>76</v>
      </c>
      <c r="AA97" s="7" t="str">
        <f>Sim_Stale</f>
        <v>OK - sims match current assumptions</v>
      </c>
      <c r="AB97" s="13" t="s">
        <v>33</v>
      </c>
      <c r="AC97" s="13" t="s">
        <v>33</v>
      </c>
      <c r="AD97" s="13" t="s">
        <v>33</v>
      </c>
      <c r="AE97" s="13" t="s">
        <v>33</v>
      </c>
      <c r="AF97" s="34">
        <f>Q97*G97-1</f>
        <v>-0.2209608926905583</v>
      </c>
      <c r="AG97" s="34">
        <f>(1-A_shrink)*N97+A_shrink*(I97*G97-1)</f>
        <v>-0.34793839269055832</v>
      </c>
      <c r="AH97" s="6" t="b">
        <f>AND(W97,I97&gt;=A_t1_fair,((1-A_t1_shrink)*J97+A_t1_shrink*I97)*G97-1&gt;=A_minev,(1-A_t1_shrink)*N97+A_t1_shrink*(I97*G97-1)&gt;0,M_Sims!Q159=1)</f>
        <v>0</v>
      </c>
      <c r="AI97" s="18">
        <f>IF(AH97,M_Sims!R159*A_t1_cap/A_t1_engcap,0)</f>
        <v>0</v>
      </c>
      <c r="AJ97" s="46" t="str">
        <f>IF(OR(A_bankroll="",NOT(AH97)),"-",MIN(A_maxbet,AI97*A_bankroll))</f>
        <v>-</v>
      </c>
      <c r="AK97" s="7" t="str">
        <f>IF(AH97,M_Sims!S159,"-")</f>
        <v>-</v>
      </c>
      <c r="AL97" s="51">
        <f>M_Sims!M159</f>
        <v>0</v>
      </c>
      <c r="AM97" s="6" t="str">
        <f>IF(W97,IF(AH97,"Tier 1","Tier 2"),"-")</f>
        <v>-</v>
      </c>
    </row>
    <row r="98" spans="1:39" ht="15" customHeight="1" x14ac:dyDescent="0.3">
      <c r="A98" s="6" t="s">
        <v>274</v>
      </c>
      <c r="B98" s="7" t="str">
        <f>Odds_Input!C85</f>
        <v>Oklahoma City Thunder</v>
      </c>
      <c r="C98" s="6" t="s">
        <v>217</v>
      </c>
      <c r="D98" s="7" t="str">
        <f>Odds_Input!D85</f>
        <v>YES</v>
      </c>
      <c r="E98" s="31" t="str">
        <f>Odds_Input!E85</f>
        <v>-</v>
      </c>
      <c r="F98" s="32">
        <f>Odds_Input!F85</f>
        <v>-650</v>
      </c>
      <c r="G98" s="36">
        <f>M_DeVig!H85</f>
        <v>1.1538461538461537</v>
      </c>
      <c r="H98" s="7" t="str">
        <f>Odds_Input!G85</f>
        <v>-</v>
      </c>
      <c r="I98" s="42">
        <f>M_DeVig!Q85</f>
        <v>0.81836969046429509</v>
      </c>
      <c r="J98" s="42">
        <f>INDEX(M_Sims!$G$15:$G$44,MATCH($C98,M_Sims!$A$15:$A$44,0))</f>
        <v>0.68086999999999998</v>
      </c>
      <c r="K98" s="43">
        <f>IF(J98&gt;=0.5,-100*J98/(1-J98),100*(1-J98)/J98)</f>
        <v>-213.35192554758248</v>
      </c>
      <c r="L98" s="34">
        <f>J98*G98-1</f>
        <v>-0.21438076923076932</v>
      </c>
      <c r="M98" s="38">
        <f>(J98-I98)*100</f>
        <v>-13.749969046429511</v>
      </c>
      <c r="N98" s="42">
        <f>M_Sims!B160</f>
        <v>-0.32832307692307688</v>
      </c>
      <c r="O98" s="42">
        <f>M_Sims!C160</f>
        <v>-0.14062307692307699</v>
      </c>
      <c r="P98" s="42">
        <f>M_Sims!D160</f>
        <v>0</v>
      </c>
      <c r="Q98" s="34">
        <f>(1-A_shrink)*J98+A_shrink*I98</f>
        <v>0.74961984523214753</v>
      </c>
      <c r="R98" s="18" t="str">
        <f>IF(A_tier2_on=1,MAX(0,(Q98*G98-1)/(G98-1))*A_kelly,"-")</f>
        <v>-</v>
      </c>
      <c r="S98" s="46" t="str">
        <f>IF(OR(A_bankroll="",A_tier2_on&lt;&gt;1),"-",MIN(A_maxbet,MAX(0,(Q98*G98-1)/(G98-1))*A_kelly*A_bankroll))</f>
        <v>-</v>
      </c>
      <c r="T98" s="51" t="str">
        <f>IF(A_tier2_on=1,M_Sims!M160,"-")</f>
        <v>-</v>
      </c>
      <c r="U98" s="46" t="str">
        <f>IF(OR(A_bankroll="",A_tier2_on&lt;&gt;1),"-",MIN(A_maxbet,M_Sims!M160*A_bankroll))</f>
        <v>-</v>
      </c>
      <c r="V98" s="30">
        <f>M_Sims!H160</f>
        <v>1</v>
      </c>
      <c r="W98" s="6" t="b">
        <f>AND(H98&lt;&gt;"IMPUTED_20C_LADDER",L98&gt;=A_minev,N98&gt;0,V98=1,IF(A98="PLAYOFFS",A_poconf=1,TRUE),IF(AND(A98="WINS",A_zs_on=1),AND(AE98&gt;=A_minev,M_Sims!O160&gt;0),TRUE),AF98&gt;=A_minev,AG98&gt;0,IF(I98&lt;A_longthr,(1-A_shrink)*M_Sims!K160+A_shrink*(I98*G98-1)&gt;=A_minev,TRUE),IF(AND(OR(A98="WINS",A98="PLAYOFFS",LEFT(A98,4)="DIV_"),INDEX(Raw_Teams!$F$8:$F$37,MATCH($C98,Raw_Teams!$A$8:$A$37,0))&lt;A_contthr),AND(((1-A_contshrink)*J98+A_contshrink*I98)*G98-1&gt;=A_minev,(1-A_contshrink)*N98+A_contshrink*(I98*G98-1)&gt;0),TRUE),M_Sims!P160=0)</f>
        <v>0</v>
      </c>
      <c r="X98" s="6" t="s">
        <v>1301</v>
      </c>
      <c r="Y98" s="6" t="s">
        <v>1305</v>
      </c>
      <c r="Z98" s="6">
        <v>77</v>
      </c>
      <c r="AA98" s="7" t="str">
        <f>Sim_Stale</f>
        <v>OK - sims match current assumptions</v>
      </c>
      <c r="AB98" s="13" t="s">
        <v>33</v>
      </c>
      <c r="AC98" s="13" t="s">
        <v>33</v>
      </c>
      <c r="AD98" s="13" t="s">
        <v>33</v>
      </c>
      <c r="AE98" s="13" t="s">
        <v>33</v>
      </c>
      <c r="AF98" s="34">
        <f>Q98*G98-1</f>
        <v>-0.13505402473213757</v>
      </c>
      <c r="AG98" s="34">
        <f>(1-A_shrink)*N98+A_shrink*(I98*G98-1)</f>
        <v>-0.19202517857829129</v>
      </c>
      <c r="AH98" s="6" t="b">
        <f>AND(W98,I98&gt;=A_t1_fair,((1-A_t1_shrink)*J98+A_t1_shrink*I98)*G98-1&gt;=A_minev,(1-A_t1_shrink)*N98+A_t1_shrink*(I98*G98-1)&gt;0,M_Sims!Q160=1)</f>
        <v>0</v>
      </c>
      <c r="AI98" s="18">
        <f>IF(AH98,M_Sims!R160*A_t1_cap/A_t1_engcap,0)</f>
        <v>0</v>
      </c>
      <c r="AJ98" s="46" t="str">
        <f>IF(OR(A_bankroll="",NOT(AH98)),"-",MIN(A_maxbet,AI98*A_bankroll))</f>
        <v>-</v>
      </c>
      <c r="AK98" s="7" t="str">
        <f>IF(AH98,M_Sims!S160,"-")</f>
        <v>-</v>
      </c>
      <c r="AL98" s="51">
        <f>M_Sims!M160</f>
        <v>0</v>
      </c>
      <c r="AM98" s="6" t="str">
        <f>IF(W98,IF(AH98,"Tier 1","Tier 2"),"-")</f>
        <v>-</v>
      </c>
    </row>
    <row r="99" spans="1:39" ht="15" customHeight="1" x14ac:dyDescent="0.3">
      <c r="A99" s="6" t="s">
        <v>274</v>
      </c>
      <c r="B99" s="7" t="str">
        <f>Odds_Input!C86</f>
        <v>Portland Trail Blazers</v>
      </c>
      <c r="C99" s="6" t="s">
        <v>221</v>
      </c>
      <c r="D99" s="7" t="str">
        <f>Odds_Input!D86</f>
        <v>YES</v>
      </c>
      <c r="E99" s="31" t="str">
        <f>Odds_Input!E86</f>
        <v>-</v>
      </c>
      <c r="F99" s="32">
        <f>Odds_Input!F86</f>
        <v>4000</v>
      </c>
      <c r="G99" s="36">
        <f>M_DeVig!H86</f>
        <v>41</v>
      </c>
      <c r="H99" s="7" t="str">
        <f>Odds_Input!G86</f>
        <v>-</v>
      </c>
      <c r="I99" s="42">
        <f>M_DeVig!Q86</f>
        <v>1.1618351468081841E-2</v>
      </c>
      <c r="J99" s="42">
        <f>INDEX(M_Sims!$G$15:$G$44,MATCH($C99,M_Sims!$A$15:$A$44,0))</f>
        <v>9.4039999999999999E-2</v>
      </c>
      <c r="K99" s="43">
        <f>IF(J99&gt;=0.5,-100*J99/(1-J99),100*(1-J99)/J99)</f>
        <v>963.37728626116552</v>
      </c>
      <c r="L99" s="34">
        <f>J99*G99-1</f>
        <v>2.8556399999999997</v>
      </c>
      <c r="M99" s="38">
        <f>(J99-I99)*100</f>
        <v>8.2421648531918166</v>
      </c>
      <c r="N99" s="42">
        <f>M_Sims!B161</f>
        <v>1.6879599999999999</v>
      </c>
      <c r="O99" s="42">
        <f>M_Sims!C161</f>
        <v>4.7607733333333329</v>
      </c>
      <c r="P99" s="42">
        <f>M_Sims!D161</f>
        <v>1</v>
      </c>
      <c r="Q99" s="34">
        <f>(1-A_shrink)*J99+A_shrink*I99</f>
        <v>5.2829175734040917E-2</v>
      </c>
      <c r="R99" s="18" t="str">
        <f>IF(A_tier2_on=1,MAX(0,(Q99*G99-1)/(G99-1))*A_kelly,"-")</f>
        <v>-</v>
      </c>
      <c r="S99" s="46" t="str">
        <f>IF(OR(A_bankroll="",A_tier2_on&lt;&gt;1),"-",MIN(A_maxbet,MAX(0,(Q99*G99-1)/(G99-1))*A_kelly*A_bankroll))</f>
        <v>-</v>
      </c>
      <c r="T99" s="51" t="str">
        <f>IF(A_tier2_on=1,M_Sims!M161,"-")</f>
        <v>-</v>
      </c>
      <c r="U99" s="46" t="str">
        <f>IF(OR(A_bankroll="",A_tier2_on&lt;&gt;1),"-",MIN(A_maxbet,M_Sims!M161*A_bankroll))</f>
        <v>-</v>
      </c>
      <c r="V99" s="30">
        <f>M_Sims!H161</f>
        <v>1</v>
      </c>
      <c r="W99" s="6" t="b">
        <f>AND(H99&lt;&gt;"IMPUTED_20C_LADDER",L99&gt;=A_minev,N99&gt;0,V99=1,IF(A99="PLAYOFFS",A_poconf=1,TRUE),IF(AND(A99="WINS",A_zs_on=1),AND(AE99&gt;=A_minev,M_Sims!O161&gt;0),TRUE),AF99&gt;=A_minev,AG99&gt;0,IF(I99&lt;A_longthr,(1-A_shrink)*M_Sims!K161+A_shrink*(I99*G99-1)&gt;=A_minev,TRUE),IF(AND(OR(A99="WINS",A99="PLAYOFFS",LEFT(A99,4)="DIV_"),INDEX(Raw_Teams!$F$8:$F$37,MATCH($C99,Raw_Teams!$A$8:$A$37,0))&lt;A_contthr),AND(((1-A_contshrink)*J99+A_contshrink*I99)*G99-1&gt;=A_minev,(1-A_contshrink)*N99+A_contshrink*(I99*G99-1)&gt;0),TRUE),M_Sims!P161=0)</f>
        <v>1</v>
      </c>
      <c r="X99" s="6" t="s">
        <v>1301</v>
      </c>
      <c r="Y99" s="6" t="s">
        <v>1305</v>
      </c>
      <c r="Z99" s="6">
        <v>78</v>
      </c>
      <c r="AA99" s="7" t="str">
        <f>Sim_Stale</f>
        <v>OK - sims match current assumptions</v>
      </c>
      <c r="AB99" s="13" t="s">
        <v>33</v>
      </c>
      <c r="AC99" s="13" t="s">
        <v>33</v>
      </c>
      <c r="AD99" s="13" t="s">
        <v>33</v>
      </c>
      <c r="AE99" s="13" t="s">
        <v>33</v>
      </c>
      <c r="AF99" s="34">
        <f>Q99*G99-1</f>
        <v>1.1659962050956776</v>
      </c>
      <c r="AG99" s="34">
        <f>(1-A_shrink)*N99+A_shrink*(I99*G99-1)</f>
        <v>0.58215620509567767</v>
      </c>
      <c r="AH99" s="6" t="b">
        <f>AND(W99,I99&gt;=A_t1_fair,((1-A_t1_shrink)*J99+A_t1_shrink*I99)*G99-1&gt;=A_minev,(1-A_t1_shrink)*N99+A_t1_shrink*(I99*G99-1)&gt;0,M_Sims!Q161=1)</f>
        <v>0</v>
      </c>
      <c r="AI99" s="18">
        <f>IF(AH99,M_Sims!R161*A_t1_cap/A_t1_engcap,0)</f>
        <v>0</v>
      </c>
      <c r="AJ99" s="46" t="str">
        <f>IF(OR(A_bankroll="",NOT(AH99)),"-",MIN(A_maxbet,AI99*A_bankroll))</f>
        <v>-</v>
      </c>
      <c r="AK99" s="7" t="str">
        <f>IF(AH99,M_Sims!S161,"-")</f>
        <v>-</v>
      </c>
      <c r="AL99" s="51">
        <f>M_Sims!M161</f>
        <v>3.0938662245783002E-3</v>
      </c>
      <c r="AM99" s="6" t="str">
        <f>IF(W99,IF(AH99,"Tier 1","Tier 2"),"-")</f>
        <v>Tier 2</v>
      </c>
    </row>
    <row r="100" spans="1:39" ht="15" customHeight="1" x14ac:dyDescent="0.3">
      <c r="A100" s="6" t="s">
        <v>274</v>
      </c>
      <c r="B100" s="7" t="str">
        <f>Odds_Input!C87</f>
        <v>Utah Jazz</v>
      </c>
      <c r="C100" s="6" t="s">
        <v>225</v>
      </c>
      <c r="D100" s="7" t="str">
        <f>Odds_Input!D87</f>
        <v>YES</v>
      </c>
      <c r="E100" s="31" t="str">
        <f>Odds_Input!E87</f>
        <v>-</v>
      </c>
      <c r="F100" s="32">
        <f>Odds_Input!F87</f>
        <v>4500</v>
      </c>
      <c r="G100" s="36">
        <f>M_DeVig!H87</f>
        <v>46</v>
      </c>
      <c r="H100" s="7" t="str">
        <f>Odds_Input!G87</f>
        <v>-</v>
      </c>
      <c r="I100" s="42">
        <f>M_DeVig!Q87</f>
        <v>9.6313826851673699E-3</v>
      </c>
      <c r="J100" s="42">
        <f>INDEX(M_Sims!$G$15:$G$44,MATCH($C100,M_Sims!$A$15:$A$44,0))</f>
        <v>6.6E-3</v>
      </c>
      <c r="K100" s="43">
        <f>IF(J100&gt;=0.5,-100*J100/(1-J100),100*(1-J100)/J100)</f>
        <v>15051.51515151515</v>
      </c>
      <c r="L100" s="34">
        <f>J100*G100-1</f>
        <v>-0.69640000000000002</v>
      </c>
      <c r="M100" s="38">
        <f>(J100-I100)*100</f>
        <v>-0.30313826851673698</v>
      </c>
      <c r="N100" s="42">
        <f>M_Sims!B162</f>
        <v>-0.87426666666666664</v>
      </c>
      <c r="O100" s="42">
        <f>M_Sims!C162</f>
        <v>-0.37317333333333319</v>
      </c>
      <c r="P100" s="42">
        <f>M_Sims!D162</f>
        <v>0</v>
      </c>
      <c r="Q100" s="34">
        <f>(1-A_shrink)*J100+A_shrink*I100</f>
        <v>8.1156913425836849E-3</v>
      </c>
      <c r="R100" s="18" t="str">
        <f>IF(A_tier2_on=1,MAX(0,(Q100*G100-1)/(G100-1))*A_kelly,"-")</f>
        <v>-</v>
      </c>
      <c r="S100" s="46" t="str">
        <f>IF(OR(A_bankroll="",A_tier2_on&lt;&gt;1),"-",MIN(A_maxbet,MAX(0,(Q100*G100-1)/(G100-1))*A_kelly*A_bankroll))</f>
        <v>-</v>
      </c>
      <c r="T100" s="51" t="str">
        <f>IF(A_tier2_on=1,M_Sims!M162,"-")</f>
        <v>-</v>
      </c>
      <c r="U100" s="46" t="str">
        <f>IF(OR(A_bankroll="",A_tier2_on&lt;&gt;1),"-",MIN(A_maxbet,M_Sims!M162*A_bankroll))</f>
        <v>-</v>
      </c>
      <c r="V100" s="30">
        <f>M_Sims!H162</f>
        <v>0</v>
      </c>
      <c r="W100" s="6" t="b">
        <f>AND(H100&lt;&gt;"IMPUTED_20C_LADDER",L100&gt;=A_minev,N100&gt;0,V100=1,IF(A100="PLAYOFFS",A_poconf=1,TRUE),IF(AND(A100="WINS",A_zs_on=1),AND(AE100&gt;=A_minev,M_Sims!O162&gt;0),TRUE),AF100&gt;=A_minev,AG100&gt;0,IF(I100&lt;A_longthr,(1-A_shrink)*M_Sims!K162+A_shrink*(I100*G100-1)&gt;=A_minev,TRUE),IF(AND(OR(A100="WINS",A100="PLAYOFFS",LEFT(A100,4)="DIV_"),INDEX(Raw_Teams!$F$8:$F$37,MATCH($C100,Raw_Teams!$A$8:$A$37,0))&lt;A_contthr),AND(((1-A_contshrink)*J100+A_contshrink*I100)*G100-1&gt;=A_minev,(1-A_contshrink)*N100+A_contshrink*(I100*G100-1)&gt;0),TRUE),M_Sims!P162=0)</f>
        <v>0</v>
      </c>
      <c r="X100" s="6" t="s">
        <v>1301</v>
      </c>
      <c r="Y100" s="6" t="s">
        <v>1305</v>
      </c>
      <c r="Z100" s="6">
        <v>79</v>
      </c>
      <c r="AA100" s="7" t="str">
        <f>Sim_Stale</f>
        <v>OK - sims match current assumptions</v>
      </c>
      <c r="AB100" s="13" t="s">
        <v>33</v>
      </c>
      <c r="AC100" s="13" t="s">
        <v>33</v>
      </c>
      <c r="AD100" s="13" t="s">
        <v>33</v>
      </c>
      <c r="AE100" s="13" t="s">
        <v>33</v>
      </c>
      <c r="AF100" s="34">
        <f>Q100*G100-1</f>
        <v>-0.62667819824115045</v>
      </c>
      <c r="AG100" s="34">
        <f>(1-A_shrink)*N100+A_shrink*(I100*G100-1)</f>
        <v>-0.71561153157448376</v>
      </c>
      <c r="AH100" s="6" t="b">
        <f>AND(W100,I100&gt;=A_t1_fair,((1-A_t1_shrink)*J100+A_t1_shrink*I100)*G100-1&gt;=A_minev,(1-A_t1_shrink)*N100+A_t1_shrink*(I100*G100-1)&gt;0,M_Sims!Q162=1)</f>
        <v>0</v>
      </c>
      <c r="AI100" s="18">
        <f>IF(AH100,M_Sims!R162*A_t1_cap/A_t1_engcap,0)</f>
        <v>0</v>
      </c>
      <c r="AJ100" s="46" t="str">
        <f>IF(OR(A_bankroll="",NOT(AH100)),"-",MIN(A_maxbet,AI100*A_bankroll))</f>
        <v>-</v>
      </c>
      <c r="AK100" s="7" t="str">
        <f>IF(AH100,M_Sims!S162,"-")</f>
        <v>-</v>
      </c>
      <c r="AL100" s="51">
        <f>M_Sims!M162</f>
        <v>0</v>
      </c>
      <c r="AM100" s="6" t="str">
        <f>IF(W100,IF(AH100,"Tier 1","Tier 2"),"-")</f>
        <v>-</v>
      </c>
    </row>
    <row r="101" spans="1:39" ht="15" customHeight="1" x14ac:dyDescent="0.3"/>
    <row r="102" spans="1:39" ht="15" customHeight="1" x14ac:dyDescent="0.3">
      <c r="A102" s="48" t="s">
        <v>275</v>
      </c>
      <c r="B102" s="49" t="s">
        <v>1304</v>
      </c>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row>
    <row r="103" spans="1:39" ht="15" customHeight="1" x14ac:dyDescent="0.3">
      <c r="A103" s="6" t="s">
        <v>275</v>
      </c>
      <c r="B103" s="7" t="str">
        <f>Odds_Input!C88</f>
        <v>Golden State Warriors</v>
      </c>
      <c r="C103" s="6" t="s">
        <v>206</v>
      </c>
      <c r="D103" s="7" t="str">
        <f>Odds_Input!D88</f>
        <v>YES</v>
      </c>
      <c r="E103" s="31" t="str">
        <f>Odds_Input!E88</f>
        <v>-</v>
      </c>
      <c r="F103" s="32">
        <f>Odds_Input!F88</f>
        <v>325</v>
      </c>
      <c r="G103" s="36">
        <f>M_DeVig!H88</f>
        <v>4.25</v>
      </c>
      <c r="H103" s="7" t="str">
        <f>Odds_Input!G88</f>
        <v>-</v>
      </c>
      <c r="I103" s="42">
        <f>M_DeVig!Q88</f>
        <v>0.2076000601953184</v>
      </c>
      <c r="J103" s="42">
        <f>INDEX(M_Sims!$G$15:$G$44,MATCH($C103,M_Sims!$A$15:$A$44,0))</f>
        <v>0.32805000000000001</v>
      </c>
      <c r="K103" s="43">
        <f>IF(J103&gt;=0.5,-100*J103/(1-J103),100*(1-J103)/J103)</f>
        <v>204.83158055174519</v>
      </c>
      <c r="L103" s="34">
        <f>J103*G103-1</f>
        <v>0.39421250000000008</v>
      </c>
      <c r="M103" s="38">
        <f>(J103-I103)*100</f>
        <v>12.04499398046816</v>
      </c>
      <c r="N103" s="42">
        <f>M_Sims!B163</f>
        <v>0.37053999999999998</v>
      </c>
      <c r="O103" s="42">
        <f>M_Sims!C163</f>
        <v>0.44358333333333338</v>
      </c>
      <c r="P103" s="42">
        <f>M_Sims!D163</f>
        <v>1</v>
      </c>
      <c r="Q103" s="34">
        <f>(1-A_shrink)*J103+A_shrink*I103</f>
        <v>0.26782503009765923</v>
      </c>
      <c r="R103" s="18" t="str">
        <f>IF(A_tier2_on=1,MAX(0,(Q103*G103-1)/(G103-1))*A_kelly,"-")</f>
        <v>-</v>
      </c>
      <c r="S103" s="46" t="str">
        <f>IF(OR(A_bankroll="",A_tier2_on&lt;&gt;1),"-",MIN(A_maxbet,MAX(0,(Q103*G103-1)/(G103-1))*A_kelly*A_bankroll))</f>
        <v>-</v>
      </c>
      <c r="T103" s="51" t="str">
        <f>IF(A_tier2_on=1,M_Sims!M163,"-")</f>
        <v>-</v>
      </c>
      <c r="U103" s="46" t="str">
        <f>IF(OR(A_bankroll="",A_tier2_on&lt;&gt;1),"-",MIN(A_maxbet,M_Sims!M163*A_bankroll))</f>
        <v>-</v>
      </c>
      <c r="V103" s="30">
        <f>M_Sims!H163</f>
        <v>1</v>
      </c>
      <c r="W103" s="6" t="b">
        <f>AND(H103&lt;&gt;"IMPUTED_20C_LADDER",L103&gt;=A_minev,N103&gt;0,V103=1,IF(A103="PLAYOFFS",A_poconf=1,TRUE),IF(AND(A103="WINS",A_zs_on=1),AND(AE103&gt;=A_minev,M_Sims!O163&gt;0),TRUE),AF103&gt;=A_minev,AG103&gt;0,IF(I103&lt;A_longthr,(1-A_shrink)*M_Sims!K163+A_shrink*(I103*G103-1)&gt;=A_minev,TRUE),IF(AND(OR(A103="WINS",A103="PLAYOFFS",LEFT(A103,4)="DIV_"),INDEX(Raw_Teams!$F$8:$F$37,MATCH($C103,Raw_Teams!$A$8:$A$37,0))&lt;A_contthr),AND(((1-A_contshrink)*J103+A_contshrink*I103)*G103-1&gt;=A_minev,(1-A_contshrink)*N103+A_contshrink*(I103*G103-1)&gt;0),TRUE),M_Sims!P163=0)</f>
        <v>1</v>
      </c>
      <c r="X103" s="6" t="s">
        <v>1301</v>
      </c>
      <c r="Y103" s="6" t="s">
        <v>1305</v>
      </c>
      <c r="Z103" s="6">
        <v>80</v>
      </c>
      <c r="AA103" s="7" t="str">
        <f>Sim_Stale</f>
        <v>OK - sims match current assumptions</v>
      </c>
      <c r="AB103" s="13" t="s">
        <v>33</v>
      </c>
      <c r="AC103" s="13" t="s">
        <v>33</v>
      </c>
      <c r="AD103" s="13" t="s">
        <v>33</v>
      </c>
      <c r="AE103" s="13" t="s">
        <v>33</v>
      </c>
      <c r="AF103" s="34">
        <f>Q103*G103-1</f>
        <v>0.13825637791505185</v>
      </c>
      <c r="AG103" s="34">
        <f>(1-A_shrink)*N103+A_shrink*(I103*G103-1)</f>
        <v>0.12642012791505158</v>
      </c>
      <c r="AH103" s="6" t="b">
        <f>AND(W103,I103&gt;=A_t1_fair,((1-A_t1_shrink)*J103+A_t1_shrink*I103)*G103-1&gt;=A_minev,(1-A_t1_shrink)*N103+A_t1_shrink*(I103*G103-1)&gt;0,M_Sims!Q163=1)</f>
        <v>0</v>
      </c>
      <c r="AI103" s="18">
        <f>IF(AH103,M_Sims!R163*A_t1_cap/A_t1_engcap,0)</f>
        <v>0</v>
      </c>
      <c r="AJ103" s="46" t="str">
        <f>IF(OR(A_bankroll="",NOT(AH103)),"-",MIN(A_maxbet,AI103*A_bankroll))</f>
        <v>-</v>
      </c>
      <c r="AK103" s="7" t="str">
        <f>IF(AH103,M_Sims!S163,"-")</f>
        <v>-</v>
      </c>
      <c r="AL103" s="51">
        <f>M_Sims!M163</f>
        <v>0</v>
      </c>
      <c r="AM103" s="6" t="str">
        <f>IF(W103,IF(AH103,"Tier 1","Tier 2"),"-")</f>
        <v>Tier 2</v>
      </c>
    </row>
    <row r="104" spans="1:39" ht="15" customHeight="1" x14ac:dyDescent="0.3">
      <c r="A104" s="6" t="s">
        <v>275</v>
      </c>
      <c r="B104" s="7" t="str">
        <f>Odds_Input!C89</f>
        <v>Los Angeles Clippers</v>
      </c>
      <c r="C104" s="6" t="s">
        <v>209</v>
      </c>
      <c r="D104" s="7" t="str">
        <f>Odds_Input!D89</f>
        <v>YES</v>
      </c>
      <c r="E104" s="31" t="str">
        <f>Odds_Input!E89</f>
        <v>-</v>
      </c>
      <c r="F104" s="32">
        <f>Odds_Input!F89</f>
        <v>2350</v>
      </c>
      <c r="G104" s="36">
        <f>M_DeVig!H89</f>
        <v>24.5</v>
      </c>
      <c r="H104" s="7" t="str">
        <f>Odds_Input!G89</f>
        <v>-</v>
      </c>
      <c r="I104" s="42">
        <f>M_DeVig!Q89</f>
        <v>2.4014843452650269E-2</v>
      </c>
      <c r="J104" s="42">
        <f>INDEX(M_Sims!$G$15:$G$44,MATCH($C104,M_Sims!$A$15:$A$44,0))</f>
        <v>3.3680000000000002E-2</v>
      </c>
      <c r="K104" s="43">
        <f>IF(J104&gt;=0.5,-100*J104/(1-J104),100*(1-J104)/J104)</f>
        <v>2869.1211401425176</v>
      </c>
      <c r="L104" s="34">
        <f>J104*G104-1</f>
        <v>-0.17484</v>
      </c>
      <c r="M104" s="38">
        <f>(J104-I104)*100</f>
        <v>0.96651565473497325</v>
      </c>
      <c r="N104" s="42">
        <f>M_Sims!B164</f>
        <v>-0.51620666666666659</v>
      </c>
      <c r="O104" s="42">
        <f>M_Sims!C164</f>
        <v>0.38424999999999992</v>
      </c>
      <c r="P104" s="42">
        <f>M_Sims!D164</f>
        <v>0.33333333333333331</v>
      </c>
      <c r="Q104" s="34">
        <f>(1-A_shrink)*J104+A_shrink*I104</f>
        <v>2.8847421726325137E-2</v>
      </c>
      <c r="R104" s="18" t="str">
        <f>IF(A_tier2_on=1,MAX(0,(Q104*G104-1)/(G104-1))*A_kelly,"-")</f>
        <v>-</v>
      </c>
      <c r="S104" s="46" t="str">
        <f>IF(OR(A_bankroll="",A_tier2_on&lt;&gt;1),"-",MIN(A_maxbet,MAX(0,(Q104*G104-1)/(G104-1))*A_kelly*A_bankroll))</f>
        <v>-</v>
      </c>
      <c r="T104" s="51" t="str">
        <f>IF(A_tier2_on=1,M_Sims!M164,"-")</f>
        <v>-</v>
      </c>
      <c r="U104" s="46" t="str">
        <f>IF(OR(A_bankroll="",A_tier2_on&lt;&gt;1),"-",MIN(A_maxbet,M_Sims!M164*A_bankroll))</f>
        <v>-</v>
      </c>
      <c r="V104" s="30">
        <f>M_Sims!H164</f>
        <v>0</v>
      </c>
      <c r="W104" s="6" t="b">
        <f>AND(H104&lt;&gt;"IMPUTED_20C_LADDER",L104&gt;=A_minev,N104&gt;0,V104=1,IF(A104="PLAYOFFS",A_poconf=1,TRUE),IF(AND(A104="WINS",A_zs_on=1),AND(AE104&gt;=A_minev,M_Sims!O164&gt;0),TRUE),AF104&gt;=A_minev,AG104&gt;0,IF(I104&lt;A_longthr,(1-A_shrink)*M_Sims!K164+A_shrink*(I104*G104-1)&gt;=A_minev,TRUE),IF(AND(OR(A104="WINS",A104="PLAYOFFS",LEFT(A104,4)="DIV_"),INDEX(Raw_Teams!$F$8:$F$37,MATCH($C104,Raw_Teams!$A$8:$A$37,0))&lt;A_contthr),AND(((1-A_contshrink)*J104+A_contshrink*I104)*G104-1&gt;=A_minev,(1-A_contshrink)*N104+A_contshrink*(I104*G104-1)&gt;0),TRUE),M_Sims!P164=0)</f>
        <v>0</v>
      </c>
      <c r="X104" s="6" t="s">
        <v>1301</v>
      </c>
      <c r="Y104" s="6" t="s">
        <v>1305</v>
      </c>
      <c r="Z104" s="6">
        <v>81</v>
      </c>
      <c r="AA104" s="7" t="str">
        <f>Sim_Stale</f>
        <v>OK - sims match current assumptions</v>
      </c>
      <c r="AB104" s="13" t="s">
        <v>33</v>
      </c>
      <c r="AC104" s="13" t="s">
        <v>33</v>
      </c>
      <c r="AD104" s="13" t="s">
        <v>33</v>
      </c>
      <c r="AE104" s="13" t="s">
        <v>33</v>
      </c>
      <c r="AF104" s="34">
        <f>Q104*G104-1</f>
        <v>-0.29323816770503419</v>
      </c>
      <c r="AG104" s="34">
        <f>(1-A_shrink)*N104+A_shrink*(I104*G104-1)</f>
        <v>-0.46392150103836749</v>
      </c>
      <c r="AH104" s="6" t="b">
        <f>AND(W104,I104&gt;=A_t1_fair,((1-A_t1_shrink)*J104+A_t1_shrink*I104)*G104-1&gt;=A_minev,(1-A_t1_shrink)*N104+A_t1_shrink*(I104*G104-1)&gt;0,M_Sims!Q164=1)</f>
        <v>0</v>
      </c>
      <c r="AI104" s="18">
        <f>IF(AH104,M_Sims!R164*A_t1_cap/A_t1_engcap,0)</f>
        <v>0</v>
      </c>
      <c r="AJ104" s="46" t="str">
        <f>IF(OR(A_bankroll="",NOT(AH104)),"-",MIN(A_maxbet,AI104*A_bankroll))</f>
        <v>-</v>
      </c>
      <c r="AK104" s="7" t="str">
        <f>IF(AH104,M_Sims!S164,"-")</f>
        <v>-</v>
      </c>
      <c r="AL104" s="51">
        <f>M_Sims!M164</f>
        <v>0</v>
      </c>
      <c r="AM104" s="6" t="str">
        <f>IF(W104,IF(AH104,"Tier 1","Tier 2"),"-")</f>
        <v>-</v>
      </c>
    </row>
    <row r="105" spans="1:39" ht="15" customHeight="1" x14ac:dyDescent="0.3">
      <c r="A105" s="6" t="s">
        <v>275</v>
      </c>
      <c r="B105" s="7" t="str">
        <f>Odds_Input!C90</f>
        <v>Los Angeles Lakers</v>
      </c>
      <c r="C105" s="6" t="s">
        <v>210</v>
      </c>
      <c r="D105" s="7" t="str">
        <f>Odds_Input!D90</f>
        <v>YES</v>
      </c>
      <c r="E105" s="31" t="str">
        <f>Odds_Input!E90</f>
        <v>-</v>
      </c>
      <c r="F105" s="32">
        <f>Odds_Input!F90</f>
        <v>-175</v>
      </c>
      <c r="G105" s="36">
        <f>M_DeVig!H90</f>
        <v>1.5714285714285714</v>
      </c>
      <c r="H105" s="7" t="str">
        <f>Odds_Input!G90</f>
        <v>-</v>
      </c>
      <c r="I105" s="42">
        <f>M_DeVig!Q90</f>
        <v>0.59390056135770675</v>
      </c>
      <c r="J105" s="42">
        <f>INDEX(M_Sims!$G$15:$G$44,MATCH($C105,M_Sims!$A$15:$A$44,0))</f>
        <v>0.45612999999999998</v>
      </c>
      <c r="K105" s="43">
        <f>IF(J105&gt;=0.5,-100*J105/(1-J105),100*(1-J105)/J105)</f>
        <v>119.23574419573369</v>
      </c>
      <c r="L105" s="34">
        <f>J105*G105-1</f>
        <v>-0.28322428571428571</v>
      </c>
      <c r="M105" s="38">
        <f>(J105-I105)*100</f>
        <v>-13.777056135770676</v>
      </c>
      <c r="N105" s="42">
        <f>M_Sims!B165</f>
        <v>-0.39017047619047618</v>
      </c>
      <c r="O105" s="42">
        <f>M_Sims!C165</f>
        <v>-0.2199952380952381</v>
      </c>
      <c r="P105" s="42">
        <f>M_Sims!D165</f>
        <v>0</v>
      </c>
      <c r="Q105" s="34">
        <f>(1-A_shrink)*J105+A_shrink*I105</f>
        <v>0.52501528067885339</v>
      </c>
      <c r="R105" s="18" t="str">
        <f>IF(A_tier2_on=1,MAX(0,(Q105*G105-1)/(G105-1))*A_kelly,"-")</f>
        <v>-</v>
      </c>
      <c r="S105" s="46" t="str">
        <f>IF(OR(A_bankroll="",A_tier2_on&lt;&gt;1),"-",MIN(A_maxbet,MAX(0,(Q105*G105-1)/(G105-1))*A_kelly*A_bankroll))</f>
        <v>-</v>
      </c>
      <c r="T105" s="51" t="str">
        <f>IF(A_tier2_on=1,M_Sims!M165,"-")</f>
        <v>-</v>
      </c>
      <c r="U105" s="46" t="str">
        <f>IF(OR(A_bankroll="",A_tier2_on&lt;&gt;1),"-",MIN(A_maxbet,M_Sims!M165*A_bankroll))</f>
        <v>-</v>
      </c>
      <c r="V105" s="30">
        <f>M_Sims!H165</f>
        <v>1</v>
      </c>
      <c r="W105" s="6" t="b">
        <f>AND(H105&lt;&gt;"IMPUTED_20C_LADDER",L105&gt;=A_minev,N105&gt;0,V105=1,IF(A105="PLAYOFFS",A_poconf=1,TRUE),IF(AND(A105="WINS",A_zs_on=1),AND(AE105&gt;=A_minev,M_Sims!O165&gt;0),TRUE),AF105&gt;=A_minev,AG105&gt;0,IF(I105&lt;A_longthr,(1-A_shrink)*M_Sims!K165+A_shrink*(I105*G105-1)&gt;=A_minev,TRUE),IF(AND(OR(A105="WINS",A105="PLAYOFFS",LEFT(A105,4)="DIV_"),INDEX(Raw_Teams!$F$8:$F$37,MATCH($C105,Raw_Teams!$A$8:$A$37,0))&lt;A_contthr),AND(((1-A_contshrink)*J105+A_contshrink*I105)*G105-1&gt;=A_minev,(1-A_contshrink)*N105+A_contshrink*(I105*G105-1)&gt;0),TRUE),M_Sims!P165=0)</f>
        <v>0</v>
      </c>
      <c r="X105" s="6" t="s">
        <v>1301</v>
      </c>
      <c r="Y105" s="6" t="s">
        <v>1305</v>
      </c>
      <c r="Z105" s="6">
        <v>82</v>
      </c>
      <c r="AA105" s="7" t="str">
        <f>Sim_Stale</f>
        <v>OK - sims match current assumptions</v>
      </c>
      <c r="AB105" s="13" t="s">
        <v>33</v>
      </c>
      <c r="AC105" s="13" t="s">
        <v>33</v>
      </c>
      <c r="AD105" s="13" t="s">
        <v>33</v>
      </c>
      <c r="AE105" s="13" t="s">
        <v>33</v>
      </c>
      <c r="AF105" s="34">
        <f>Q105*G105-1</f>
        <v>-0.17497598750465893</v>
      </c>
      <c r="AG105" s="34">
        <f>(1-A_shrink)*N105+A_shrink*(I105*G105-1)</f>
        <v>-0.22844908274275422</v>
      </c>
      <c r="AH105" s="6" t="b">
        <f>AND(W105,I105&gt;=A_t1_fair,((1-A_t1_shrink)*J105+A_t1_shrink*I105)*G105-1&gt;=A_minev,(1-A_t1_shrink)*N105+A_t1_shrink*(I105*G105-1)&gt;0,M_Sims!Q165=1)</f>
        <v>0</v>
      </c>
      <c r="AI105" s="18">
        <f>IF(AH105,M_Sims!R165*A_t1_cap/A_t1_engcap,0)</f>
        <v>0</v>
      </c>
      <c r="AJ105" s="46" t="str">
        <f>IF(OR(A_bankroll="",NOT(AH105)),"-",MIN(A_maxbet,AI105*A_bankroll))</f>
        <v>-</v>
      </c>
      <c r="AK105" s="7" t="str">
        <f>IF(AH105,M_Sims!S165,"-")</f>
        <v>-</v>
      </c>
      <c r="AL105" s="51">
        <f>M_Sims!M165</f>
        <v>0</v>
      </c>
      <c r="AM105" s="6" t="str">
        <f>IF(W105,IF(AH105,"Tier 1","Tier 2"),"-")</f>
        <v>-</v>
      </c>
    </row>
    <row r="106" spans="1:39" ht="15" customHeight="1" x14ac:dyDescent="0.3">
      <c r="A106" s="6" t="s">
        <v>275</v>
      </c>
      <c r="B106" s="7" t="str">
        <f>Odds_Input!C91</f>
        <v>Phoenix Suns</v>
      </c>
      <c r="C106" s="6" t="s">
        <v>220</v>
      </c>
      <c r="D106" s="7" t="str">
        <f>Odds_Input!D91</f>
        <v>YES</v>
      </c>
      <c r="E106" s="31" t="str">
        <f>Odds_Input!E91</f>
        <v>-</v>
      </c>
      <c r="F106" s="32">
        <f>Odds_Input!F91</f>
        <v>400</v>
      </c>
      <c r="G106" s="36">
        <f>M_DeVig!H91</f>
        <v>5</v>
      </c>
      <c r="H106" s="7" t="str">
        <f>Odds_Input!G91</f>
        <v>-</v>
      </c>
      <c r="I106" s="42">
        <f>M_DeVig!Q91</f>
        <v>0.17371413117844284</v>
      </c>
      <c r="J106" s="42">
        <f>INDEX(M_Sims!$G$15:$G$44,MATCH($C106,M_Sims!$A$15:$A$44,0))</f>
        <v>0.17702999999999999</v>
      </c>
      <c r="K106" s="43">
        <f>IF(J106&gt;=0.5,-100*J106/(1-J106),100*(1-J106)/J106)</f>
        <v>464.87600971586738</v>
      </c>
      <c r="L106" s="34">
        <f>J106*G106-1</f>
        <v>-0.11485000000000001</v>
      </c>
      <c r="M106" s="38">
        <f>(J106-I106)*100</f>
        <v>0.33158688215571552</v>
      </c>
      <c r="N106" s="42">
        <f>M_Sims!B166</f>
        <v>-0.24616666666666659</v>
      </c>
      <c r="O106" s="42">
        <f>M_Sims!C166</f>
        <v>6.7699999999999996E-2</v>
      </c>
      <c r="P106" s="42">
        <f>M_Sims!D166</f>
        <v>0.3166666666666666</v>
      </c>
      <c r="Q106" s="34">
        <f>(1-A_shrink)*J106+A_shrink*I106</f>
        <v>0.17537206558922142</v>
      </c>
      <c r="R106" s="18" t="str">
        <f>IF(A_tier2_on=1,MAX(0,(Q106*G106-1)/(G106-1))*A_kelly,"-")</f>
        <v>-</v>
      </c>
      <c r="S106" s="46" t="str">
        <f>IF(OR(A_bankroll="",A_tier2_on&lt;&gt;1),"-",MIN(A_maxbet,MAX(0,(Q106*G106-1)/(G106-1))*A_kelly*A_bankroll))</f>
        <v>-</v>
      </c>
      <c r="T106" s="51" t="str">
        <f>IF(A_tier2_on=1,M_Sims!M166,"-")</f>
        <v>-</v>
      </c>
      <c r="U106" s="46" t="str">
        <f>IF(OR(A_bankroll="",A_tier2_on&lt;&gt;1),"-",MIN(A_maxbet,M_Sims!M166*A_bankroll))</f>
        <v>-</v>
      </c>
      <c r="V106" s="30">
        <f>M_Sims!H166</f>
        <v>1</v>
      </c>
      <c r="W106" s="6" t="b">
        <f>AND(H106&lt;&gt;"IMPUTED_20C_LADDER",L106&gt;=A_minev,N106&gt;0,V106=1,IF(A106="PLAYOFFS",A_poconf=1,TRUE),IF(AND(A106="WINS",A_zs_on=1),AND(AE106&gt;=A_minev,M_Sims!O166&gt;0),TRUE),AF106&gt;=A_minev,AG106&gt;0,IF(I106&lt;A_longthr,(1-A_shrink)*M_Sims!K166+A_shrink*(I106*G106-1)&gt;=A_minev,TRUE),IF(AND(OR(A106="WINS",A106="PLAYOFFS",LEFT(A106,4)="DIV_"),INDEX(Raw_Teams!$F$8:$F$37,MATCH($C106,Raw_Teams!$A$8:$A$37,0))&lt;A_contthr),AND(((1-A_contshrink)*J106+A_contshrink*I106)*G106-1&gt;=A_minev,(1-A_contshrink)*N106+A_contshrink*(I106*G106-1)&gt;0),TRUE),M_Sims!P166=0)</f>
        <v>0</v>
      </c>
      <c r="X106" s="6" t="s">
        <v>1301</v>
      </c>
      <c r="Y106" s="6" t="s">
        <v>1305</v>
      </c>
      <c r="Z106" s="6">
        <v>83</v>
      </c>
      <c r="AA106" s="7" t="str">
        <f>Sim_Stale</f>
        <v>OK - sims match current assumptions</v>
      </c>
      <c r="AB106" s="13" t="s">
        <v>33</v>
      </c>
      <c r="AC106" s="13" t="s">
        <v>33</v>
      </c>
      <c r="AD106" s="13" t="s">
        <v>33</v>
      </c>
      <c r="AE106" s="13" t="s">
        <v>33</v>
      </c>
      <c r="AF106" s="34">
        <f>Q106*G106-1</f>
        <v>-0.12313967205389287</v>
      </c>
      <c r="AG106" s="34">
        <f>(1-A_shrink)*N106+A_shrink*(I106*G106-1)</f>
        <v>-0.18879800538722621</v>
      </c>
      <c r="AH106" s="6" t="b">
        <f>AND(W106,I106&gt;=A_t1_fair,((1-A_t1_shrink)*J106+A_t1_shrink*I106)*G106-1&gt;=A_minev,(1-A_t1_shrink)*N106+A_t1_shrink*(I106*G106-1)&gt;0,M_Sims!Q166=1)</f>
        <v>0</v>
      </c>
      <c r="AI106" s="18">
        <f>IF(AH106,M_Sims!R166*A_t1_cap/A_t1_engcap,0)</f>
        <v>0</v>
      </c>
      <c r="AJ106" s="46" t="str">
        <f>IF(OR(A_bankroll="",NOT(AH106)),"-",MIN(A_maxbet,AI106*A_bankroll))</f>
        <v>-</v>
      </c>
      <c r="AK106" s="7" t="str">
        <f>IF(AH106,M_Sims!S166,"-")</f>
        <v>-</v>
      </c>
      <c r="AL106" s="51">
        <f>M_Sims!M166</f>
        <v>0</v>
      </c>
      <c r="AM106" s="6" t="str">
        <f>IF(W106,IF(AH106,"Tier 1","Tier 2"),"-")</f>
        <v>-</v>
      </c>
    </row>
    <row r="107" spans="1:39" ht="15" customHeight="1" x14ac:dyDescent="0.3">
      <c r="A107" s="6" t="s">
        <v>275</v>
      </c>
      <c r="B107" s="7" t="str">
        <f>Odds_Input!C92</f>
        <v>Sacramento Kings</v>
      </c>
      <c r="C107" s="6" t="s">
        <v>222</v>
      </c>
      <c r="D107" s="7" t="str">
        <f>Odds_Input!D92</f>
        <v>YES</v>
      </c>
      <c r="E107" s="31" t="str">
        <f>Odds_Input!E92</f>
        <v>-</v>
      </c>
      <c r="F107" s="32">
        <f>Odds_Input!F92</f>
        <v>17000</v>
      </c>
      <c r="G107" s="36">
        <f>M_DeVig!H92</f>
        <v>171</v>
      </c>
      <c r="H107" s="7" t="str">
        <f>Odds_Input!G92</f>
        <v>-</v>
      </c>
      <c r="I107" s="42">
        <f>M_DeVig!Q92</f>
        <v>7.7040379811494665E-4</v>
      </c>
      <c r="J107" s="42">
        <f>INDEX(M_Sims!$G$15:$G$44,MATCH($C107,M_Sims!$A$15:$A$44,0))</f>
        <v>5.11E-3</v>
      </c>
      <c r="K107" s="43">
        <f>IF(J107&gt;=0.5,-100*J107/(1-J107),100*(1-J107)/J107)</f>
        <v>19469.471624266145</v>
      </c>
      <c r="L107" s="34">
        <f>J107*G107-1</f>
        <v>-0.12619000000000002</v>
      </c>
      <c r="M107" s="38">
        <f>(J107-I107)*100</f>
        <v>0.43395962018850531</v>
      </c>
      <c r="N107" s="42">
        <f>M_Sims!B167</f>
        <v>-0.52234000000000003</v>
      </c>
      <c r="O107" s="42">
        <f>M_Sims!C167</f>
        <v>0.70430000000000004</v>
      </c>
      <c r="P107" s="42">
        <f>M_Sims!D167</f>
        <v>0.4</v>
      </c>
      <c r="Q107" s="34">
        <f>(1-A_shrink)*J107+A_shrink*I107</f>
        <v>2.9402018990574734E-3</v>
      </c>
      <c r="R107" s="18" t="str">
        <f>IF(A_tier2_on=1,MAX(0,(Q107*G107-1)/(G107-1))*A_kelly,"-")</f>
        <v>-</v>
      </c>
      <c r="S107" s="46" t="str">
        <f>IF(OR(A_bankroll="",A_tier2_on&lt;&gt;1),"-",MIN(A_maxbet,MAX(0,(Q107*G107-1)/(G107-1))*A_kelly*A_bankroll))</f>
        <v>-</v>
      </c>
      <c r="T107" s="51" t="str">
        <f>IF(A_tier2_on=1,M_Sims!M167,"-")</f>
        <v>-</v>
      </c>
      <c r="U107" s="46" t="str">
        <f>IF(OR(A_bankroll="",A_tier2_on&lt;&gt;1),"-",MIN(A_maxbet,M_Sims!M167*A_bankroll))</f>
        <v>-</v>
      </c>
      <c r="V107" s="30">
        <f>M_Sims!H167</f>
        <v>0</v>
      </c>
      <c r="W107" s="6" t="b">
        <f>AND(H107&lt;&gt;"IMPUTED_20C_LADDER",L107&gt;=A_minev,N107&gt;0,V107=1,IF(A107="PLAYOFFS",A_poconf=1,TRUE),IF(AND(A107="WINS",A_zs_on=1),AND(AE107&gt;=A_minev,M_Sims!O167&gt;0),TRUE),AF107&gt;=A_minev,AG107&gt;0,IF(I107&lt;A_longthr,(1-A_shrink)*M_Sims!K167+A_shrink*(I107*G107-1)&gt;=A_minev,TRUE),IF(AND(OR(A107="WINS",A107="PLAYOFFS",LEFT(A107,4)="DIV_"),INDEX(Raw_Teams!$F$8:$F$37,MATCH($C107,Raw_Teams!$A$8:$A$37,0))&lt;A_contthr),AND(((1-A_contshrink)*J107+A_contshrink*I107)*G107-1&gt;=A_minev,(1-A_contshrink)*N107+A_contshrink*(I107*G107-1)&gt;0),TRUE),M_Sims!P167=0)</f>
        <v>0</v>
      </c>
      <c r="X107" s="6" t="s">
        <v>1301</v>
      </c>
      <c r="Y107" s="6" t="s">
        <v>1305</v>
      </c>
      <c r="Z107" s="6">
        <v>84</v>
      </c>
      <c r="AA107" s="7" t="str">
        <f>Sim_Stale</f>
        <v>OK - sims match current assumptions</v>
      </c>
      <c r="AB107" s="13" t="s">
        <v>33</v>
      </c>
      <c r="AC107" s="13" t="s">
        <v>33</v>
      </c>
      <c r="AD107" s="13" t="s">
        <v>33</v>
      </c>
      <c r="AE107" s="13" t="s">
        <v>33</v>
      </c>
      <c r="AF107" s="34">
        <f>Q107*G107-1</f>
        <v>-0.497225475261172</v>
      </c>
      <c r="AG107" s="34">
        <f>(1-A_shrink)*N107+A_shrink*(I107*G107-1)</f>
        <v>-0.695300475261172</v>
      </c>
      <c r="AH107" s="6" t="b">
        <f>AND(W107,I107&gt;=A_t1_fair,((1-A_t1_shrink)*J107+A_t1_shrink*I107)*G107-1&gt;=A_minev,(1-A_t1_shrink)*N107+A_t1_shrink*(I107*G107-1)&gt;0,M_Sims!Q167=1)</f>
        <v>0</v>
      </c>
      <c r="AI107" s="18">
        <f>IF(AH107,M_Sims!R167*A_t1_cap/A_t1_engcap,0)</f>
        <v>0</v>
      </c>
      <c r="AJ107" s="46" t="str">
        <f>IF(OR(A_bankroll="",NOT(AH107)),"-",MIN(A_maxbet,AI107*A_bankroll))</f>
        <v>-</v>
      </c>
      <c r="AK107" s="7" t="str">
        <f>IF(AH107,M_Sims!S167,"-")</f>
        <v>-</v>
      </c>
      <c r="AL107" s="51">
        <f>M_Sims!M167</f>
        <v>0</v>
      </c>
      <c r="AM107" s="6" t="str">
        <f>IF(W107,IF(AH107,"Tier 1","Tier 2"),"-")</f>
        <v>-</v>
      </c>
    </row>
    <row r="108" spans="1:39" ht="15" customHeight="1" x14ac:dyDescent="0.3"/>
    <row r="109" spans="1:39" ht="15" customHeight="1" x14ac:dyDescent="0.3">
      <c r="A109" s="48" t="s">
        <v>276</v>
      </c>
      <c r="B109" s="49" t="s">
        <v>1304</v>
      </c>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row>
    <row r="110" spans="1:39" ht="15" customHeight="1" x14ac:dyDescent="0.3">
      <c r="A110" s="6" t="s">
        <v>276</v>
      </c>
      <c r="B110" s="7" t="str">
        <f>Odds_Input!C93</f>
        <v>Dallas Mavericks</v>
      </c>
      <c r="C110" s="6" t="s">
        <v>203</v>
      </c>
      <c r="D110" s="7" t="str">
        <f>Odds_Input!D93</f>
        <v>YES</v>
      </c>
      <c r="E110" s="31" t="str">
        <f>Odds_Input!E93</f>
        <v>-</v>
      </c>
      <c r="F110" s="32">
        <f>Odds_Input!F93</f>
        <v>3500</v>
      </c>
      <c r="G110" s="36">
        <f>M_DeVig!H93</f>
        <v>36</v>
      </c>
      <c r="H110" s="7" t="str">
        <f>Odds_Input!G93</f>
        <v>-</v>
      </c>
      <c r="I110" s="42">
        <f>M_DeVig!Q93</f>
        <v>8.1365919620160019E-3</v>
      </c>
      <c r="J110" s="42">
        <f>INDEX(M_Sims!$G$15:$G$44,MATCH($C110,M_Sims!$A$15:$A$44,0))</f>
        <v>1.4500000000000001E-2</v>
      </c>
      <c r="K110" s="43">
        <f>IF(J110&gt;=0.5,-100*J110/(1-J110),100*(1-J110)/J110)</f>
        <v>6796.5517241379312</v>
      </c>
      <c r="L110" s="34">
        <f>J110*G110-1</f>
        <v>-0.47799999999999998</v>
      </c>
      <c r="M110" s="38">
        <f>(J110-I110)*100</f>
        <v>0.63634080379839986</v>
      </c>
      <c r="N110" s="42">
        <f>M_Sims!B168</f>
        <v>-0.82264000000000015</v>
      </c>
      <c r="O110" s="42">
        <f>M_Sims!C168</f>
        <v>5.00000000000001E-2</v>
      </c>
      <c r="P110" s="42">
        <f>M_Sims!D168</f>
        <v>0.1333333333333333</v>
      </c>
      <c r="Q110" s="34">
        <f>(1-A_shrink)*J110+A_shrink*I110</f>
        <v>1.1318295981008001E-2</v>
      </c>
      <c r="R110" s="18" t="str">
        <f>IF(A_tier2_on=1,MAX(0,(Q110*G110-1)/(G110-1))*A_kelly,"-")</f>
        <v>-</v>
      </c>
      <c r="S110" s="46" t="str">
        <f>IF(OR(A_bankroll="",A_tier2_on&lt;&gt;1),"-",MIN(A_maxbet,MAX(0,(Q110*G110-1)/(G110-1))*A_kelly*A_bankroll))</f>
        <v>-</v>
      </c>
      <c r="T110" s="51" t="str">
        <f>IF(A_tier2_on=1,M_Sims!M168,"-")</f>
        <v>-</v>
      </c>
      <c r="U110" s="46" t="str">
        <f>IF(OR(A_bankroll="",A_tier2_on&lt;&gt;1),"-",MIN(A_maxbet,M_Sims!M168*A_bankroll))</f>
        <v>-</v>
      </c>
      <c r="V110" s="30">
        <f>M_Sims!H168</f>
        <v>0</v>
      </c>
      <c r="W110" s="6" t="b">
        <f>AND(H110&lt;&gt;"IMPUTED_20C_LADDER",L110&gt;=A_minev,N110&gt;0,V110=1,IF(A110="PLAYOFFS",A_poconf=1,TRUE),IF(AND(A110="WINS",A_zs_on=1),AND(AE110&gt;=A_minev,M_Sims!O168&gt;0),TRUE),AF110&gt;=A_minev,AG110&gt;0,IF(I110&lt;A_longthr,(1-A_shrink)*M_Sims!K168+A_shrink*(I110*G110-1)&gt;=A_minev,TRUE),IF(AND(OR(A110="WINS",A110="PLAYOFFS",LEFT(A110,4)="DIV_"),INDEX(Raw_Teams!$F$8:$F$37,MATCH($C110,Raw_Teams!$A$8:$A$37,0))&lt;A_contthr),AND(((1-A_contshrink)*J110+A_contshrink*I110)*G110-1&gt;=A_minev,(1-A_contshrink)*N110+A_contshrink*(I110*G110-1)&gt;0),TRUE),M_Sims!P168=0)</f>
        <v>0</v>
      </c>
      <c r="X110" s="6" t="s">
        <v>1301</v>
      </c>
      <c r="Y110" s="6" t="s">
        <v>1305</v>
      </c>
      <c r="Z110" s="6">
        <v>85</v>
      </c>
      <c r="AA110" s="7" t="str">
        <f>Sim_Stale</f>
        <v>OK - sims match current assumptions</v>
      </c>
      <c r="AB110" s="13" t="s">
        <v>33</v>
      </c>
      <c r="AC110" s="13" t="s">
        <v>33</v>
      </c>
      <c r="AD110" s="13" t="s">
        <v>33</v>
      </c>
      <c r="AE110" s="13" t="s">
        <v>33</v>
      </c>
      <c r="AF110" s="34">
        <f>Q110*G110-1</f>
        <v>-0.592541344683712</v>
      </c>
      <c r="AG110" s="34">
        <f>(1-A_shrink)*N110+A_shrink*(I110*G110-1)</f>
        <v>-0.76486134468371203</v>
      </c>
      <c r="AH110" s="6" t="b">
        <f>AND(W110,I110&gt;=A_t1_fair,((1-A_t1_shrink)*J110+A_t1_shrink*I110)*G110-1&gt;=A_minev,(1-A_t1_shrink)*N110+A_t1_shrink*(I110*G110-1)&gt;0,M_Sims!Q168=1)</f>
        <v>0</v>
      </c>
      <c r="AI110" s="18">
        <f>IF(AH110,M_Sims!R168*A_t1_cap/A_t1_engcap,0)</f>
        <v>0</v>
      </c>
      <c r="AJ110" s="46" t="str">
        <f>IF(OR(A_bankroll="",NOT(AH110)),"-",MIN(A_maxbet,AI110*A_bankroll))</f>
        <v>-</v>
      </c>
      <c r="AK110" s="7" t="str">
        <f>IF(AH110,M_Sims!S168,"-")</f>
        <v>-</v>
      </c>
      <c r="AL110" s="51">
        <f>M_Sims!M168</f>
        <v>0</v>
      </c>
      <c r="AM110" s="6" t="str">
        <f>IF(W110,IF(AH110,"Tier 1","Tier 2"),"-")</f>
        <v>-</v>
      </c>
    </row>
    <row r="111" spans="1:39" ht="15" customHeight="1" x14ac:dyDescent="0.3">
      <c r="A111" s="6" t="s">
        <v>276</v>
      </c>
      <c r="B111" s="7" t="str">
        <f>Odds_Input!C94</f>
        <v>Houston Rockets</v>
      </c>
      <c r="C111" s="6" t="s">
        <v>207</v>
      </c>
      <c r="D111" s="7" t="str">
        <f>Odds_Input!D94</f>
        <v>YES</v>
      </c>
      <c r="E111" s="31" t="str">
        <f>Odds_Input!E94</f>
        <v>-</v>
      </c>
      <c r="F111" s="32">
        <f>Odds_Input!F94</f>
        <v>450</v>
      </c>
      <c r="G111" s="36">
        <f>M_DeVig!H94</f>
        <v>5.5</v>
      </c>
      <c r="H111" s="7" t="str">
        <f>Odds_Input!G94</f>
        <v>-</v>
      </c>
      <c r="I111" s="42">
        <f>M_DeVig!Q94</f>
        <v>0.14140208267511578</v>
      </c>
      <c r="J111" s="42">
        <f>INDEX(M_Sims!$G$15:$G$44,MATCH($C111,M_Sims!$A$15:$A$44,0))</f>
        <v>0.46250000000000002</v>
      </c>
      <c r="K111" s="43">
        <f>IF(J111&gt;=0.5,-100*J111/(1-J111),100*(1-J111)/J111)</f>
        <v>116.21621621621621</v>
      </c>
      <c r="L111" s="34">
        <f>J111*G111-1</f>
        <v>1.5437500000000002</v>
      </c>
      <c r="M111" s="38">
        <f>(J111-I111)*100</f>
        <v>32.109791732488425</v>
      </c>
      <c r="N111" s="42">
        <f>M_Sims!B169</f>
        <v>1.4751466666666671</v>
      </c>
      <c r="O111" s="42">
        <f>M_Sims!C169</f>
        <v>1.6660699999999999</v>
      </c>
      <c r="P111" s="42">
        <f>M_Sims!D169</f>
        <v>1</v>
      </c>
      <c r="Q111" s="34">
        <f>(1-A_shrink)*J111+A_shrink*I111</f>
        <v>0.3019510413375579</v>
      </c>
      <c r="R111" s="18" t="str">
        <f>IF(A_tier2_on=1,MAX(0,(Q111*G111-1)/(G111-1))*A_kelly,"-")</f>
        <v>-</v>
      </c>
      <c r="S111" s="46" t="str">
        <f>IF(OR(A_bankroll="",A_tier2_on&lt;&gt;1),"-",MIN(A_maxbet,MAX(0,(Q111*G111-1)/(G111-1))*A_kelly*A_bankroll))</f>
        <v>-</v>
      </c>
      <c r="T111" s="51" t="str">
        <f>IF(A_tier2_on=1,M_Sims!M169,"-")</f>
        <v>-</v>
      </c>
      <c r="U111" s="46" t="str">
        <f>IF(OR(A_bankroll="",A_tier2_on&lt;&gt;1),"-",MIN(A_maxbet,M_Sims!M169*A_bankroll))</f>
        <v>-</v>
      </c>
      <c r="V111" s="30">
        <f>M_Sims!H169</f>
        <v>1</v>
      </c>
      <c r="W111" s="6" t="b">
        <f>AND(H111&lt;&gt;"IMPUTED_20C_LADDER",L111&gt;=A_minev,N111&gt;0,V111=1,IF(A111="PLAYOFFS",A_poconf=1,TRUE),IF(AND(A111="WINS",A_zs_on=1),AND(AE111&gt;=A_minev,M_Sims!O169&gt;0),TRUE),AF111&gt;=A_minev,AG111&gt;0,IF(I111&lt;A_longthr,(1-A_shrink)*M_Sims!K169+A_shrink*(I111*G111-1)&gt;=A_minev,TRUE),IF(AND(OR(A111="WINS",A111="PLAYOFFS",LEFT(A111,4)="DIV_"),INDEX(Raw_Teams!$F$8:$F$37,MATCH($C111,Raw_Teams!$A$8:$A$37,0))&lt;A_contthr),AND(((1-A_contshrink)*J111+A_contshrink*I111)*G111-1&gt;=A_minev,(1-A_contshrink)*N111+A_contshrink*(I111*G111-1)&gt;0),TRUE),M_Sims!P169=0)</f>
        <v>1</v>
      </c>
      <c r="X111" s="6" t="s">
        <v>1301</v>
      </c>
      <c r="Y111" s="6" t="s">
        <v>1305</v>
      </c>
      <c r="Z111" s="6">
        <v>86</v>
      </c>
      <c r="AA111" s="7" t="str">
        <f>Sim_Stale</f>
        <v>OK - sims match current assumptions</v>
      </c>
      <c r="AB111" s="13" t="s">
        <v>33</v>
      </c>
      <c r="AC111" s="13" t="s">
        <v>33</v>
      </c>
      <c r="AD111" s="13" t="s">
        <v>33</v>
      </c>
      <c r="AE111" s="13" t="s">
        <v>33</v>
      </c>
      <c r="AF111" s="34">
        <f>Q111*G111-1</f>
        <v>0.66073072735656835</v>
      </c>
      <c r="AG111" s="34">
        <f>(1-A_shrink)*N111+A_shrink*(I111*G111-1)</f>
        <v>0.6264290606899019</v>
      </c>
      <c r="AH111" s="6" t="b">
        <f>AND(W111,I111&gt;=A_t1_fair,((1-A_t1_shrink)*J111+A_t1_shrink*I111)*G111-1&gt;=A_minev,(1-A_t1_shrink)*N111+A_t1_shrink*(I111*G111-1)&gt;0,M_Sims!Q169=1)</f>
        <v>0</v>
      </c>
      <c r="AI111" s="18">
        <f>IF(AH111,M_Sims!R169*A_t1_cap/A_t1_engcap,0)</f>
        <v>0</v>
      </c>
      <c r="AJ111" s="46" t="str">
        <f>IF(OR(A_bankroll="",NOT(AH111)),"-",MIN(A_maxbet,AI111*A_bankroll))</f>
        <v>-</v>
      </c>
      <c r="AK111" s="7" t="str">
        <f>IF(AH111,M_Sims!S169,"-")</f>
        <v>-</v>
      </c>
      <c r="AL111" s="51">
        <f>M_Sims!M169</f>
        <v>9.3272440024644004E-3</v>
      </c>
      <c r="AM111" s="6" t="str">
        <f>IF(W111,IF(AH111,"Tier 1","Tier 2"),"-")</f>
        <v>Tier 2</v>
      </c>
    </row>
    <row r="112" spans="1:39" ht="15" customHeight="1" x14ac:dyDescent="0.3">
      <c r="A112" s="6" t="s">
        <v>276</v>
      </c>
      <c r="B112" s="7" t="str">
        <f>Odds_Input!C95</f>
        <v>Memphis Grizzlies</v>
      </c>
      <c r="C112" s="6" t="s">
        <v>211</v>
      </c>
      <c r="D112" s="7" t="str">
        <f>Odds_Input!D95</f>
        <v>YES</v>
      </c>
      <c r="E112" s="31" t="str">
        <f>Odds_Input!E95</f>
        <v>-</v>
      </c>
      <c r="F112" s="32">
        <f>Odds_Input!F95</f>
        <v>20000</v>
      </c>
      <c r="G112" s="36">
        <f>M_DeVig!H95</f>
        <v>201</v>
      </c>
      <c r="H112" s="7" t="str">
        <f>Odds_Input!G95</f>
        <v>-</v>
      </c>
      <c r="I112" s="42">
        <f>M_DeVig!Q95</f>
        <v>2.8566858045690513E-4</v>
      </c>
      <c r="J112" s="42">
        <f>INDEX(M_Sims!$G$15:$G$44,MATCH($C112,M_Sims!$A$15:$A$44,0))</f>
        <v>2.436E-2</v>
      </c>
      <c r="K112" s="43">
        <f>IF(J112&gt;=0.5,-100*J112/(1-J112),100*(1-J112)/J112)</f>
        <v>4005.0903119868635</v>
      </c>
      <c r="L112" s="34">
        <f>J112*G112-1</f>
        <v>3.8963599999999996</v>
      </c>
      <c r="M112" s="38">
        <f>(J112-I112)*100</f>
        <v>2.4074331419543094</v>
      </c>
      <c r="N112" s="42">
        <f>M_Sims!B170</f>
        <v>2.0833400000000002</v>
      </c>
      <c r="O112" s="42">
        <f>M_Sims!C170</f>
        <v>5.989440000000001</v>
      </c>
      <c r="P112" s="42">
        <f>M_Sims!D170</f>
        <v>1</v>
      </c>
      <c r="Q112" s="34">
        <f>(1-A_shrink)*J112+A_shrink*I112</f>
        <v>1.2322834290228452E-2</v>
      </c>
      <c r="R112" s="18" t="str">
        <f>IF(A_tier2_on=1,MAX(0,(Q112*G112-1)/(G112-1))*A_kelly,"-")</f>
        <v>-</v>
      </c>
      <c r="S112" s="46" t="str">
        <f>IF(OR(A_bankroll="",A_tier2_on&lt;&gt;1),"-",MIN(A_maxbet,MAX(0,(Q112*G112-1)/(G112-1))*A_kelly*A_bankroll))</f>
        <v>-</v>
      </c>
      <c r="T112" s="51" t="str">
        <f>IF(A_tier2_on=1,M_Sims!M170,"-")</f>
        <v>-</v>
      </c>
      <c r="U112" s="46" t="str">
        <f>IF(OR(A_bankroll="",A_tier2_on&lt;&gt;1),"-",MIN(A_maxbet,M_Sims!M170*A_bankroll))</f>
        <v>-</v>
      </c>
      <c r="V112" s="30">
        <f>M_Sims!H170</f>
        <v>1</v>
      </c>
      <c r="W112" s="6" t="b">
        <f>AND(H112&lt;&gt;"IMPUTED_20C_LADDER",L112&gt;=A_minev,N112&gt;0,V112=1,IF(A112="PLAYOFFS",A_poconf=1,TRUE),IF(AND(A112="WINS",A_zs_on=1),AND(AE112&gt;=A_minev,M_Sims!O170&gt;0),TRUE),AF112&gt;=A_minev,AG112&gt;0,IF(I112&lt;A_longthr,(1-A_shrink)*M_Sims!K170+A_shrink*(I112*G112-1)&gt;=A_minev,TRUE),IF(AND(OR(A112="WINS",A112="PLAYOFFS",LEFT(A112,4)="DIV_"),INDEX(Raw_Teams!$F$8:$F$37,MATCH($C112,Raw_Teams!$A$8:$A$37,0))&lt;A_contthr),AND(((1-A_contshrink)*J112+A_contshrink*I112)*G112-1&gt;=A_minev,(1-A_contshrink)*N112+A_contshrink*(I112*G112-1)&gt;0),TRUE),M_Sims!P170=0)</f>
        <v>1</v>
      </c>
      <c r="X112" s="6" t="s">
        <v>1301</v>
      </c>
      <c r="Y112" s="6" t="s">
        <v>1305</v>
      </c>
      <c r="Z112" s="6">
        <v>87</v>
      </c>
      <c r="AA112" s="7" t="str">
        <f>Sim_Stale</f>
        <v>OK - sims match current assumptions</v>
      </c>
      <c r="AB112" s="13" t="s">
        <v>33</v>
      </c>
      <c r="AC112" s="13" t="s">
        <v>33</v>
      </c>
      <c r="AD112" s="13" t="s">
        <v>33</v>
      </c>
      <c r="AE112" s="13" t="s">
        <v>33</v>
      </c>
      <c r="AF112" s="34">
        <f>Q112*G112-1</f>
        <v>1.4768896923359187</v>
      </c>
      <c r="AG112" s="34">
        <f>(1-A_shrink)*N112+A_shrink*(I112*G112-1)</f>
        <v>0.57037969233591901</v>
      </c>
      <c r="AH112" s="6" t="b">
        <f>AND(W112,I112&gt;=A_t1_fair,((1-A_t1_shrink)*J112+A_t1_shrink*I112)*G112-1&gt;=A_minev,(1-A_t1_shrink)*N112+A_t1_shrink*(I112*G112-1)&gt;0,M_Sims!Q170=1)</f>
        <v>0</v>
      </c>
      <c r="AI112" s="18">
        <f>IF(AH112,M_Sims!R170*A_t1_cap/A_t1_engcap,0)</f>
        <v>0</v>
      </c>
      <c r="AJ112" s="46" t="str">
        <f>IF(OR(A_bankroll="",NOT(AH112)),"-",MIN(A_maxbet,AI112*A_bankroll))</f>
        <v>-</v>
      </c>
      <c r="AK112" s="7" t="str">
        <f>IF(AH112,M_Sims!S170,"-")</f>
        <v>-</v>
      </c>
      <c r="AL112" s="51">
        <f>M_Sims!M170</f>
        <v>8.1133681635999996E-4</v>
      </c>
      <c r="AM112" s="6" t="str">
        <f>IF(W112,IF(AH112,"Tier 1","Tier 2"),"-")</f>
        <v>Tier 2</v>
      </c>
    </row>
    <row r="113" spans="1:39" ht="15" customHeight="1" x14ac:dyDescent="0.3">
      <c r="A113" s="6" t="s">
        <v>276</v>
      </c>
      <c r="B113" s="7" t="str">
        <f>Odds_Input!C96</f>
        <v>New Orleans Pelicans</v>
      </c>
      <c r="C113" s="6" t="s">
        <v>215</v>
      </c>
      <c r="D113" s="7" t="str">
        <f>Odds_Input!D96</f>
        <v>YES</v>
      </c>
      <c r="E113" s="31" t="str">
        <f>Odds_Input!E96</f>
        <v>-</v>
      </c>
      <c r="F113" s="32">
        <f>Odds_Input!F96</f>
        <v>18500</v>
      </c>
      <c r="G113" s="36">
        <f>M_DeVig!H96</f>
        <v>186</v>
      </c>
      <c r="H113" s="7" t="str">
        <f>Odds_Input!G96</f>
        <v>-</v>
      </c>
      <c r="I113" s="42">
        <f>M_DeVig!Q96</f>
        <v>3.3341049103323542E-4</v>
      </c>
      <c r="J113" s="42">
        <f>INDEX(M_Sims!$G$15:$G$44,MATCH($C113,M_Sims!$A$15:$A$44,0))</f>
        <v>8.4100000000000008E-3</v>
      </c>
      <c r="K113" s="43">
        <f>IF(J113&gt;=0.5,-100*J113/(1-J113),100*(1-J113)/J113)</f>
        <v>11790.606420927465</v>
      </c>
      <c r="L113" s="34">
        <f>J113*G113-1</f>
        <v>0.56426000000000021</v>
      </c>
      <c r="M113" s="38">
        <f>(J113-I113)*100</f>
        <v>0.8076589508966765</v>
      </c>
      <c r="N113" s="42">
        <f>M_Sims!B171</f>
        <v>-0.27460000000000018</v>
      </c>
      <c r="O113" s="42">
        <f>M_Sims!C171</f>
        <v>1.42048</v>
      </c>
      <c r="P113" s="42">
        <f>M_Sims!D171</f>
        <v>0.83333333333333337</v>
      </c>
      <c r="Q113" s="34">
        <f>(1-A_shrink)*J113+A_shrink*I113</f>
        <v>4.3717052455166184E-3</v>
      </c>
      <c r="R113" s="18" t="str">
        <f>IF(A_tier2_on=1,MAX(0,(Q113*G113-1)/(G113-1))*A_kelly,"-")</f>
        <v>-</v>
      </c>
      <c r="S113" s="46" t="str">
        <f>IF(OR(A_bankroll="",A_tier2_on&lt;&gt;1),"-",MIN(A_maxbet,MAX(0,(Q113*G113-1)/(G113-1))*A_kelly*A_bankroll))</f>
        <v>-</v>
      </c>
      <c r="T113" s="51" t="str">
        <f>IF(A_tier2_on=1,M_Sims!M171,"-")</f>
        <v>-</v>
      </c>
      <c r="U113" s="46" t="str">
        <f>IF(OR(A_bankroll="",A_tier2_on&lt;&gt;1),"-",MIN(A_maxbet,M_Sims!M171*A_bankroll))</f>
        <v>-</v>
      </c>
      <c r="V113" s="30">
        <f>M_Sims!H171</f>
        <v>1</v>
      </c>
      <c r="W113" s="6" t="b">
        <f>AND(H113&lt;&gt;"IMPUTED_20C_LADDER",L113&gt;=A_minev,N113&gt;0,V113=1,IF(A113="PLAYOFFS",A_poconf=1,TRUE),IF(AND(A113="WINS",A_zs_on=1),AND(AE113&gt;=A_minev,M_Sims!O171&gt;0),TRUE),AF113&gt;=A_minev,AG113&gt;0,IF(I113&lt;A_longthr,(1-A_shrink)*M_Sims!K171+A_shrink*(I113*G113-1)&gt;=A_minev,TRUE),IF(AND(OR(A113="WINS",A113="PLAYOFFS",LEFT(A113,4)="DIV_"),INDEX(Raw_Teams!$F$8:$F$37,MATCH($C113,Raw_Teams!$A$8:$A$37,0))&lt;A_contthr),AND(((1-A_contshrink)*J113+A_contshrink*I113)*G113-1&gt;=A_minev,(1-A_contshrink)*N113+A_contshrink*(I113*G113-1)&gt;0),TRUE),M_Sims!P171=0)</f>
        <v>0</v>
      </c>
      <c r="X113" s="6" t="s">
        <v>1301</v>
      </c>
      <c r="Y113" s="6" t="s">
        <v>1305</v>
      </c>
      <c r="Z113" s="6">
        <v>88</v>
      </c>
      <c r="AA113" s="7" t="str">
        <f>Sim_Stale</f>
        <v>OK - sims match current assumptions</v>
      </c>
      <c r="AB113" s="13" t="s">
        <v>33</v>
      </c>
      <c r="AC113" s="13" t="s">
        <v>33</v>
      </c>
      <c r="AD113" s="13" t="s">
        <v>33</v>
      </c>
      <c r="AE113" s="13" t="s">
        <v>33</v>
      </c>
      <c r="AF113" s="34">
        <f>Q113*G113-1</f>
        <v>-0.18686282433390899</v>
      </c>
      <c r="AG113" s="34">
        <f>(1-A_shrink)*N113+A_shrink*(I113*G113-1)</f>
        <v>-0.60629282433390919</v>
      </c>
      <c r="AH113" s="6" t="b">
        <f>AND(W113,I113&gt;=A_t1_fair,((1-A_t1_shrink)*J113+A_t1_shrink*I113)*G113-1&gt;=A_minev,(1-A_t1_shrink)*N113+A_t1_shrink*(I113*G113-1)&gt;0,M_Sims!Q171=1)</f>
        <v>0</v>
      </c>
      <c r="AI113" s="18">
        <f>IF(AH113,M_Sims!R171*A_t1_cap/A_t1_engcap,0)</f>
        <v>0</v>
      </c>
      <c r="AJ113" s="46" t="str">
        <f>IF(OR(A_bankroll="",NOT(AH113)),"-",MIN(A_maxbet,AI113*A_bankroll))</f>
        <v>-</v>
      </c>
      <c r="AK113" s="7" t="str">
        <f>IF(AH113,M_Sims!S171,"-")</f>
        <v>-</v>
      </c>
      <c r="AL113" s="51">
        <f>M_Sims!M171</f>
        <v>0</v>
      </c>
      <c r="AM113" s="6" t="str">
        <f>IF(W113,IF(AH113,"Tier 1","Tier 2"),"-")</f>
        <v>-</v>
      </c>
    </row>
    <row r="114" spans="1:39" ht="15" customHeight="1" x14ac:dyDescent="0.3">
      <c r="A114" s="6" t="s">
        <v>276</v>
      </c>
      <c r="B114" s="7" t="str">
        <f>Odds_Input!C97</f>
        <v>San Antonio Spurs</v>
      </c>
      <c r="C114" s="6" t="s">
        <v>223</v>
      </c>
      <c r="D114" s="7" t="str">
        <f>Odds_Input!D97</f>
        <v>YES</v>
      </c>
      <c r="E114" s="31" t="str">
        <f>Odds_Input!E97</f>
        <v>-</v>
      </c>
      <c r="F114" s="32">
        <f>Odds_Input!F97</f>
        <v>-1000</v>
      </c>
      <c r="G114" s="36">
        <f>M_DeVig!H97</f>
        <v>1.1000000000000001</v>
      </c>
      <c r="H114" s="7" t="str">
        <f>Odds_Input!G97</f>
        <v>-</v>
      </c>
      <c r="I114" s="42">
        <f>M_DeVig!Q97</f>
        <v>0.8498422463161982</v>
      </c>
      <c r="J114" s="42">
        <f>INDEX(M_Sims!$G$15:$G$44,MATCH($C114,M_Sims!$A$15:$A$44,0))</f>
        <v>0.49023</v>
      </c>
      <c r="K114" s="43">
        <f>IF(J114&gt;=0.5,-100*J114/(1-J114),100*(1-J114)/J114)</f>
        <v>103.98588417681498</v>
      </c>
      <c r="L114" s="34">
        <f>J114*G114-1</f>
        <v>-0.46074699999999991</v>
      </c>
      <c r="M114" s="38">
        <f>(J114-I114)*100</f>
        <v>-35.961224631619821</v>
      </c>
      <c r="N114" s="42">
        <f>M_Sims!B172</f>
        <v>-0.48737799999999992</v>
      </c>
      <c r="O114" s="42">
        <f>M_Sims!C172</f>
        <v>-0.45704733333333331</v>
      </c>
      <c r="P114" s="42">
        <f>M_Sims!D172</f>
        <v>0</v>
      </c>
      <c r="Q114" s="34">
        <f>(1-A_shrink)*J114+A_shrink*I114</f>
        <v>0.67003612315809913</v>
      </c>
      <c r="R114" s="18" t="str">
        <f>IF(A_tier2_on=1,MAX(0,(Q114*G114-1)/(G114-1))*A_kelly,"-")</f>
        <v>-</v>
      </c>
      <c r="S114" s="46" t="str">
        <f>IF(OR(A_bankroll="",A_tier2_on&lt;&gt;1),"-",MIN(A_maxbet,MAX(0,(Q114*G114-1)/(G114-1))*A_kelly*A_bankroll))</f>
        <v>-</v>
      </c>
      <c r="T114" s="51" t="str">
        <f>IF(A_tier2_on=1,M_Sims!M172,"-")</f>
        <v>-</v>
      </c>
      <c r="U114" s="46" t="str">
        <f>IF(OR(A_bankroll="",A_tier2_on&lt;&gt;1),"-",MIN(A_maxbet,M_Sims!M172*A_bankroll))</f>
        <v>-</v>
      </c>
      <c r="V114" s="30">
        <f>M_Sims!H172</f>
        <v>1</v>
      </c>
      <c r="W114" s="6" t="b">
        <f>AND(H114&lt;&gt;"IMPUTED_20C_LADDER",L114&gt;=A_minev,N114&gt;0,V114=1,IF(A114="PLAYOFFS",A_poconf=1,TRUE),IF(AND(A114="WINS",A_zs_on=1),AND(AE114&gt;=A_minev,M_Sims!O172&gt;0),TRUE),AF114&gt;=A_minev,AG114&gt;0,IF(I114&lt;A_longthr,(1-A_shrink)*M_Sims!K172+A_shrink*(I114*G114-1)&gt;=A_minev,TRUE),IF(AND(OR(A114="WINS",A114="PLAYOFFS",LEFT(A114,4)="DIV_"),INDEX(Raw_Teams!$F$8:$F$37,MATCH($C114,Raw_Teams!$A$8:$A$37,0))&lt;A_contthr),AND(((1-A_contshrink)*J114+A_contshrink*I114)*G114-1&gt;=A_minev,(1-A_contshrink)*N114+A_contshrink*(I114*G114-1)&gt;0),TRUE),M_Sims!P172=0)</f>
        <v>0</v>
      </c>
      <c r="X114" s="6" t="s">
        <v>1301</v>
      </c>
      <c r="Y114" s="6" t="s">
        <v>1305</v>
      </c>
      <c r="Z114" s="6">
        <v>89</v>
      </c>
      <c r="AA114" s="7" t="str">
        <f>Sim_Stale</f>
        <v>OK - sims match current assumptions</v>
      </c>
      <c r="AB114" s="13" t="s">
        <v>33</v>
      </c>
      <c r="AC114" s="13" t="s">
        <v>33</v>
      </c>
      <c r="AD114" s="13" t="s">
        <v>33</v>
      </c>
      <c r="AE114" s="13" t="s">
        <v>33</v>
      </c>
      <c r="AF114" s="34">
        <f>Q114*G114-1</f>
        <v>-0.26296026452609089</v>
      </c>
      <c r="AG114" s="34">
        <f>(1-A_shrink)*N114+A_shrink*(I114*G114-1)</f>
        <v>-0.27627576452609093</v>
      </c>
      <c r="AH114" s="6" t="b">
        <f>AND(W114,I114&gt;=A_t1_fair,((1-A_t1_shrink)*J114+A_t1_shrink*I114)*G114-1&gt;=A_minev,(1-A_t1_shrink)*N114+A_t1_shrink*(I114*G114-1)&gt;0,M_Sims!Q172=1)</f>
        <v>0</v>
      </c>
      <c r="AI114" s="18">
        <f>IF(AH114,M_Sims!R172*A_t1_cap/A_t1_engcap,0)</f>
        <v>0</v>
      </c>
      <c r="AJ114" s="46" t="str">
        <f>IF(OR(A_bankroll="",NOT(AH114)),"-",MIN(A_maxbet,AI114*A_bankroll))</f>
        <v>-</v>
      </c>
      <c r="AK114" s="7" t="str">
        <f>IF(AH114,M_Sims!S172,"-")</f>
        <v>-</v>
      </c>
      <c r="AL114" s="51">
        <f>M_Sims!M172</f>
        <v>0</v>
      </c>
      <c r="AM114" s="6" t="str">
        <f>IF(W114,IF(AH114,"Tier 1","Tier 2"),"-")</f>
        <v>-</v>
      </c>
    </row>
    <row r="115" spans="1:39" ht="15" customHeight="1" x14ac:dyDescent="0.3"/>
    <row r="116" spans="1:39" ht="15" customHeight="1" x14ac:dyDescent="0.3">
      <c r="A116" s="48" t="s">
        <v>286</v>
      </c>
      <c r="B116" s="49" t="s">
        <v>1306</v>
      </c>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row>
    <row r="117" spans="1:39" ht="15" customHeight="1" x14ac:dyDescent="0.3">
      <c r="A117" s="6" t="s">
        <v>286</v>
      </c>
      <c r="B117" s="7" t="str">
        <f>Odds_Input!C242</f>
        <v>Oklahoma City Thunder</v>
      </c>
      <c r="C117" s="6" t="s">
        <v>217</v>
      </c>
      <c r="D117" s="7" t="str">
        <f>Odds_Input!D242</f>
        <v>YES</v>
      </c>
      <c r="E117" s="31" t="str">
        <f>Odds_Input!E242</f>
        <v>-</v>
      </c>
      <c r="F117" s="32">
        <f>Odds_Input!F242</f>
        <v>275</v>
      </c>
      <c r="G117" s="36">
        <f>M_DeVig!H242</f>
        <v>3.75</v>
      </c>
      <c r="H117" s="7" t="str">
        <f>Odds_Input!G242</f>
        <v>-</v>
      </c>
      <c r="I117" s="42">
        <f>M_DeVig!Q242</f>
        <v>0.22913802987677037</v>
      </c>
      <c r="J117" s="42">
        <f>INDEX(M_Sims!$K$15:$K$44,MATCH($C117,M_Sims!$A$15:$A$44,0))</f>
        <v>0.18082999999999999</v>
      </c>
      <c r="K117" s="43">
        <f t="shared" ref="K117:K146" si="33">IF(J117&gt;=0.5,-100*J117/(1-J117),100*(1-J117)/J117)</f>
        <v>453.00558535641215</v>
      </c>
      <c r="L117" s="34">
        <f t="shared" ref="L117:L146" si="34">J117*G117-1</f>
        <v>-0.32188749999999999</v>
      </c>
      <c r="M117" s="38">
        <f t="shared" ref="M117:M146" si="35">(J117-I117)*100</f>
        <v>-4.8308029876770382</v>
      </c>
      <c r="N117" s="42">
        <f>M_Sims!B317</f>
        <v>-0.49967499999999998</v>
      </c>
      <c r="O117" s="42">
        <f>M_Sims!C317</f>
        <v>-0.17394999999999999</v>
      </c>
      <c r="P117" s="42">
        <f>M_Sims!D317</f>
        <v>0</v>
      </c>
      <c r="Q117" s="34">
        <f t="shared" ref="Q117:Q146" si="36">(1-A_shrink)*J117+A_shrink*I117</f>
        <v>0.2049840149383852</v>
      </c>
      <c r="R117" s="18" t="str">
        <f t="shared" ref="R117:R146" si="37">IF(A_tier2_on=1,MAX(0,(Q117*G117-1)/(G117-1))*A_kelly,"-")</f>
        <v>-</v>
      </c>
      <c r="S117" s="46" t="str">
        <f t="shared" ref="S117:S146" si="38">IF(OR(A_bankroll="",A_tier2_on&lt;&gt;1),"-",MIN(A_maxbet,MAX(0,(Q117*G117-1)/(G117-1))*A_kelly*A_bankroll))</f>
        <v>-</v>
      </c>
      <c r="T117" s="51" t="str">
        <f>IF(A_tier2_on=1,M_Sims!M317,"-")</f>
        <v>-</v>
      </c>
      <c r="U117" s="46" t="str">
        <f>IF(OR(A_bankroll="",A_tier2_on&lt;&gt;1),"-",MIN(A_maxbet,M_Sims!M317*A_bankroll))</f>
        <v>-</v>
      </c>
      <c r="V117" s="30">
        <f>M_Sims!H317</f>
        <v>1</v>
      </c>
      <c r="W117" s="6" t="b">
        <f>AND(H117&lt;&gt;"IMPUTED_20C_LADDER",L117&gt;=A_minev,N117&gt;0,V117=1,IF(A117="PLAYOFFS",A_poconf=1,TRUE),IF(AND(A117="WINS",A_zs_on=1),AND(AE117&gt;=A_minev,M_Sims!O317&gt;0),TRUE),AF117&gt;=A_minev,AG117&gt;0,IF(I117&lt;A_longthr,(1-A_shrink)*M_Sims!K317+A_shrink*(I117*G117-1)&gt;=A_minev,TRUE),IF(AND(OR(A117="WINS",A117="PLAYOFFS",LEFT(A117,4)="DIV_"),INDEX(Raw_Teams!$F$8:$F$37,MATCH($C117,Raw_Teams!$A$8:$A$37,0))&lt;A_contthr),AND(((1-A_contshrink)*J117+A_contshrink*I117)*G117-1&gt;=A_minev,(1-A_contshrink)*N117+A_contshrink*(I117*G117-1)&gt;0),TRUE),M_Sims!P317=0)</f>
        <v>0</v>
      </c>
      <c r="X117" s="6" t="s">
        <v>1301</v>
      </c>
      <c r="Y117" s="6" t="s">
        <v>1307</v>
      </c>
      <c r="Z117" s="6">
        <v>234</v>
      </c>
      <c r="AA117" s="7" t="str">
        <f t="shared" ref="AA117:AA146" si="39">Sim_Stale</f>
        <v>OK - sims match current assumptions</v>
      </c>
      <c r="AB117" s="13" t="s">
        <v>33</v>
      </c>
      <c r="AC117" s="13" t="s">
        <v>33</v>
      </c>
      <c r="AD117" s="13" t="s">
        <v>33</v>
      </c>
      <c r="AE117" s="13" t="s">
        <v>33</v>
      </c>
      <c r="AF117" s="34">
        <f t="shared" ref="AF117:AF146" si="40">Q117*G117-1</f>
        <v>-0.23130994398105553</v>
      </c>
      <c r="AG117" s="34">
        <f t="shared" ref="AG117:AG146" si="41">(1-A_shrink)*N117+A_shrink*(I117*G117-1)</f>
        <v>-0.32020369398105553</v>
      </c>
      <c r="AH117" s="6" t="b">
        <f>AND(W117,I117&gt;=A_t1_fair,((1-A_t1_shrink)*J117+A_t1_shrink*I117)*G117-1&gt;=A_minev,(1-A_t1_shrink)*N117+A_t1_shrink*(I117*G117-1)&gt;0,M_Sims!Q317=1)</f>
        <v>0</v>
      </c>
      <c r="AI117" s="18">
        <f>IF(AH117,M_Sims!R317*A_t1_cap/A_t1_engcap,0)</f>
        <v>0</v>
      </c>
      <c r="AJ117" s="46" t="str">
        <f t="shared" ref="AJ117:AJ146" si="42">IF(OR(A_bankroll="",NOT(AH117)),"-",MIN(A_maxbet,AI117*A_bankroll))</f>
        <v>-</v>
      </c>
      <c r="AK117" s="7" t="str">
        <f>IF(AH117,M_Sims!S317,"-")</f>
        <v>-</v>
      </c>
      <c r="AL117" s="51">
        <f>M_Sims!M317</f>
        <v>0</v>
      </c>
      <c r="AM117" s="6" t="str">
        <f t="shared" ref="AM117:AM146" si="43">IF(W117,IF(AH117,"Tier 1","Tier 2"),"-")</f>
        <v>-</v>
      </c>
    </row>
    <row r="118" spans="1:39" ht="15" customHeight="1" x14ac:dyDescent="0.3">
      <c r="A118" s="6" t="s">
        <v>286</v>
      </c>
      <c r="B118" s="7" t="str">
        <f>Odds_Input!C243</f>
        <v>San Antonio Spurs</v>
      </c>
      <c r="C118" s="6" t="s">
        <v>223</v>
      </c>
      <c r="D118" s="7" t="str">
        <f>Odds_Input!D243</f>
        <v>YES</v>
      </c>
      <c r="E118" s="31" t="str">
        <f>Odds_Input!E243</f>
        <v>-</v>
      </c>
      <c r="F118" s="32">
        <f>Odds_Input!F243</f>
        <v>425</v>
      </c>
      <c r="G118" s="36">
        <f>M_DeVig!H243</f>
        <v>5.25</v>
      </c>
      <c r="H118" s="7" t="str">
        <f>Odds_Input!G243</f>
        <v>-</v>
      </c>
      <c r="I118" s="42">
        <f>M_DeVig!Q243</f>
        <v>0.16190802620413672</v>
      </c>
      <c r="J118" s="42">
        <f>INDEX(M_Sims!$K$15:$K$44,MATCH($C118,M_Sims!$A$15:$A$44,0))</f>
        <v>9.0529999999999999E-2</v>
      </c>
      <c r="K118" s="43">
        <f t="shared" si="33"/>
        <v>1004.6062078868883</v>
      </c>
      <c r="L118" s="34">
        <f t="shared" si="34"/>
        <v>-0.52471749999999995</v>
      </c>
      <c r="M118" s="38">
        <f t="shared" si="35"/>
        <v>-7.1378026204136722</v>
      </c>
      <c r="N118" s="42">
        <f>M_Sims!B318</f>
        <v>-0.59665999999999997</v>
      </c>
      <c r="O118" s="42">
        <f>M_Sims!C318</f>
        <v>-0.45421</v>
      </c>
      <c r="P118" s="42">
        <f>M_Sims!D318</f>
        <v>0</v>
      </c>
      <c r="Q118" s="34">
        <f t="shared" si="36"/>
        <v>0.12621901310206834</v>
      </c>
      <c r="R118" s="18" t="str">
        <f t="shared" si="37"/>
        <v>-</v>
      </c>
      <c r="S118" s="46" t="str">
        <f t="shared" si="38"/>
        <v>-</v>
      </c>
      <c r="T118" s="51" t="str">
        <f>IF(A_tier2_on=1,M_Sims!M318,"-")</f>
        <v>-</v>
      </c>
      <c r="U118" s="46" t="str">
        <f>IF(OR(A_bankroll="",A_tier2_on&lt;&gt;1),"-",MIN(A_maxbet,M_Sims!M318*A_bankroll))</f>
        <v>-</v>
      </c>
      <c r="V118" s="30">
        <f>M_Sims!H318</f>
        <v>1</v>
      </c>
      <c r="W118" s="6" t="b">
        <f>AND(H118&lt;&gt;"IMPUTED_20C_LADDER",L118&gt;=A_minev,N118&gt;0,V118=1,IF(A118="PLAYOFFS",A_poconf=1,TRUE),IF(AND(A118="WINS",A_zs_on=1),AND(AE118&gt;=A_minev,M_Sims!O318&gt;0),TRUE),AF118&gt;=A_minev,AG118&gt;0,IF(I118&lt;A_longthr,(1-A_shrink)*M_Sims!K318+A_shrink*(I118*G118-1)&gt;=A_minev,TRUE),IF(AND(OR(A118="WINS",A118="PLAYOFFS",LEFT(A118,4)="DIV_"),INDEX(Raw_Teams!$F$8:$F$37,MATCH($C118,Raw_Teams!$A$8:$A$37,0))&lt;A_contthr),AND(((1-A_contshrink)*J118+A_contshrink*I118)*G118-1&gt;=A_minev,(1-A_contshrink)*N118+A_contshrink*(I118*G118-1)&gt;0),TRUE),M_Sims!P318=0)</f>
        <v>0</v>
      </c>
      <c r="X118" s="6" t="s">
        <v>1301</v>
      </c>
      <c r="Y118" s="6" t="s">
        <v>1307</v>
      </c>
      <c r="Z118" s="6">
        <v>235</v>
      </c>
      <c r="AA118" s="7" t="str">
        <f t="shared" si="39"/>
        <v>OK - sims match current assumptions</v>
      </c>
      <c r="AB118" s="13" t="s">
        <v>33</v>
      </c>
      <c r="AC118" s="13" t="s">
        <v>33</v>
      </c>
      <c r="AD118" s="13" t="s">
        <v>33</v>
      </c>
      <c r="AE118" s="13" t="s">
        <v>33</v>
      </c>
      <c r="AF118" s="34">
        <f t="shared" si="40"/>
        <v>-0.33735018121414118</v>
      </c>
      <c r="AG118" s="34">
        <f t="shared" si="41"/>
        <v>-0.37332143121414108</v>
      </c>
      <c r="AH118" s="6" t="b">
        <f>AND(W118,I118&gt;=A_t1_fair,((1-A_t1_shrink)*J118+A_t1_shrink*I118)*G118-1&gt;=A_minev,(1-A_t1_shrink)*N118+A_t1_shrink*(I118*G118-1)&gt;0,M_Sims!Q318=1)</f>
        <v>0</v>
      </c>
      <c r="AI118" s="18">
        <f>IF(AH118,M_Sims!R318*A_t1_cap/A_t1_engcap,0)</f>
        <v>0</v>
      </c>
      <c r="AJ118" s="46" t="str">
        <f t="shared" si="42"/>
        <v>-</v>
      </c>
      <c r="AK118" s="7" t="str">
        <f>IF(AH118,M_Sims!S318,"-")</f>
        <v>-</v>
      </c>
      <c r="AL118" s="51">
        <f>M_Sims!M318</f>
        <v>0</v>
      </c>
      <c r="AM118" s="6" t="str">
        <f t="shared" si="43"/>
        <v>-</v>
      </c>
    </row>
    <row r="119" spans="1:39" ht="15" customHeight="1" x14ac:dyDescent="0.3">
      <c r="A119" s="6" t="s">
        <v>286</v>
      </c>
      <c r="B119" s="7" t="str">
        <f>Odds_Input!C244</f>
        <v>Boston Celtics</v>
      </c>
      <c r="C119" s="6" t="s">
        <v>199</v>
      </c>
      <c r="D119" s="7" t="str">
        <f>Odds_Input!D244</f>
        <v>YES</v>
      </c>
      <c r="E119" s="31" t="str">
        <f>Odds_Input!E244</f>
        <v>-</v>
      </c>
      <c r="F119" s="32">
        <f>Odds_Input!F244</f>
        <v>1000</v>
      </c>
      <c r="G119" s="36">
        <f>M_DeVig!H244</f>
        <v>11</v>
      </c>
      <c r="H119" s="7" t="str">
        <f>Odds_Input!G244</f>
        <v>-</v>
      </c>
      <c r="I119" s="42">
        <f>M_DeVig!Q244</f>
        <v>7.4137516443696344E-2</v>
      </c>
      <c r="J119" s="42">
        <f>INDEX(M_Sims!$K$15:$K$44,MATCH($C119,M_Sims!$A$15:$A$44,0))</f>
        <v>9.6360000000000001E-2</v>
      </c>
      <c r="K119" s="43">
        <f t="shared" si="33"/>
        <v>937.77501037775016</v>
      </c>
      <c r="L119" s="34">
        <f t="shared" si="34"/>
        <v>5.9960000000000013E-2</v>
      </c>
      <c r="M119" s="38">
        <f t="shared" si="35"/>
        <v>2.2222483556303656</v>
      </c>
      <c r="N119" s="42">
        <f>M_Sims!B319</f>
        <v>-9.2666666666666002E-3</v>
      </c>
      <c r="O119" s="42">
        <f>M_Sims!C319</f>
        <v>0.1008066666666666</v>
      </c>
      <c r="P119" s="42">
        <f>M_Sims!D319</f>
        <v>0.85</v>
      </c>
      <c r="Q119" s="34">
        <f t="shared" si="36"/>
        <v>8.5248758221848173E-2</v>
      </c>
      <c r="R119" s="18" t="str">
        <f t="shared" si="37"/>
        <v>-</v>
      </c>
      <c r="S119" s="46" t="str">
        <f t="shared" si="38"/>
        <v>-</v>
      </c>
      <c r="T119" s="51" t="str">
        <f>IF(A_tier2_on=1,M_Sims!M319,"-")</f>
        <v>-</v>
      </c>
      <c r="U119" s="46" t="str">
        <f>IF(OR(A_bankroll="",A_tier2_on&lt;&gt;1),"-",MIN(A_maxbet,M_Sims!M319*A_bankroll))</f>
        <v>-</v>
      </c>
      <c r="V119" s="30">
        <f>M_Sims!H319</f>
        <v>1</v>
      </c>
      <c r="W119" s="6" t="b">
        <f>AND(H119&lt;&gt;"IMPUTED_20C_LADDER",L119&gt;=A_minev,N119&gt;0,V119=1,IF(A119="PLAYOFFS",A_poconf=1,TRUE),IF(AND(A119="WINS",A_zs_on=1),AND(AE119&gt;=A_minev,M_Sims!O319&gt;0),TRUE),AF119&gt;=A_minev,AG119&gt;0,IF(I119&lt;A_longthr,(1-A_shrink)*M_Sims!K319+A_shrink*(I119*G119-1)&gt;=A_minev,TRUE),IF(AND(OR(A119="WINS",A119="PLAYOFFS",LEFT(A119,4)="DIV_"),INDEX(Raw_Teams!$F$8:$F$37,MATCH($C119,Raw_Teams!$A$8:$A$37,0))&lt;A_contthr),AND(((1-A_contshrink)*J119+A_contshrink*I119)*G119-1&gt;=A_minev,(1-A_contshrink)*N119+A_contshrink*(I119*G119-1)&gt;0),TRUE),M_Sims!P319=0)</f>
        <v>0</v>
      </c>
      <c r="X119" s="6" t="s">
        <v>1301</v>
      </c>
      <c r="Y119" s="6" t="s">
        <v>1307</v>
      </c>
      <c r="Z119" s="6">
        <v>236</v>
      </c>
      <c r="AA119" s="7" t="str">
        <f t="shared" si="39"/>
        <v>OK - sims match current assumptions</v>
      </c>
      <c r="AB119" s="13" t="s">
        <v>33</v>
      </c>
      <c r="AC119" s="13" t="s">
        <v>33</v>
      </c>
      <c r="AD119" s="13" t="s">
        <v>33</v>
      </c>
      <c r="AE119" s="13" t="s">
        <v>33</v>
      </c>
      <c r="AF119" s="34">
        <f t="shared" si="40"/>
        <v>-6.2263659559670059E-2</v>
      </c>
      <c r="AG119" s="34">
        <f t="shared" si="41"/>
        <v>-9.6876992893003416E-2</v>
      </c>
      <c r="AH119" s="6" t="b">
        <f>AND(W119,I119&gt;=A_t1_fair,((1-A_t1_shrink)*J119+A_t1_shrink*I119)*G119-1&gt;=A_minev,(1-A_t1_shrink)*N119+A_t1_shrink*(I119*G119-1)&gt;0,M_Sims!Q319=1)</f>
        <v>0</v>
      </c>
      <c r="AI119" s="18">
        <f>IF(AH119,M_Sims!R319*A_t1_cap/A_t1_engcap,0)</f>
        <v>0</v>
      </c>
      <c r="AJ119" s="46" t="str">
        <f t="shared" si="42"/>
        <v>-</v>
      </c>
      <c r="AK119" s="7" t="str">
        <f>IF(AH119,M_Sims!S319,"-")</f>
        <v>-</v>
      </c>
      <c r="AL119" s="51">
        <f>M_Sims!M319</f>
        <v>0</v>
      </c>
      <c r="AM119" s="6" t="str">
        <f t="shared" si="43"/>
        <v>-</v>
      </c>
    </row>
    <row r="120" spans="1:39" ht="15" customHeight="1" x14ac:dyDescent="0.3">
      <c r="A120" s="6" t="s">
        <v>286</v>
      </c>
      <c r="B120" s="7" t="str">
        <f>Odds_Input!C245</f>
        <v>Philadelphia 76ers</v>
      </c>
      <c r="C120" s="6" t="s">
        <v>219</v>
      </c>
      <c r="D120" s="7" t="str">
        <f>Odds_Input!D245</f>
        <v>YES</v>
      </c>
      <c r="E120" s="31" t="str">
        <f>Odds_Input!E245</f>
        <v>-</v>
      </c>
      <c r="F120" s="32">
        <f>Odds_Input!F245</f>
        <v>1200</v>
      </c>
      <c r="G120" s="36">
        <f>M_DeVig!H245</f>
        <v>13</v>
      </c>
      <c r="H120" s="7" t="str">
        <f>Odds_Input!G245</f>
        <v>-</v>
      </c>
      <c r="I120" s="42">
        <f>M_DeVig!Q245</f>
        <v>6.1835774401408604E-2</v>
      </c>
      <c r="J120" s="42">
        <f>INDEX(M_Sims!$K$15:$K$44,MATCH($C120,M_Sims!$A$15:$A$44,0))</f>
        <v>3.0509999999999999E-2</v>
      </c>
      <c r="K120" s="43">
        <f t="shared" si="33"/>
        <v>3177.6138970829238</v>
      </c>
      <c r="L120" s="34">
        <f t="shared" si="34"/>
        <v>-0.60336999999999996</v>
      </c>
      <c r="M120" s="38">
        <f t="shared" si="35"/>
        <v>-3.1325774401408601</v>
      </c>
      <c r="N120" s="42">
        <f>M_Sims!B320</f>
        <v>-0.67188000000000003</v>
      </c>
      <c r="O120" s="42">
        <f>M_Sims!C320</f>
        <v>-0.54759999999999998</v>
      </c>
      <c r="P120" s="42">
        <f>M_Sims!D320</f>
        <v>0</v>
      </c>
      <c r="Q120" s="34">
        <f t="shared" si="36"/>
        <v>4.6172887200704303E-2</v>
      </c>
      <c r="R120" s="18" t="str">
        <f t="shared" si="37"/>
        <v>-</v>
      </c>
      <c r="S120" s="46" t="str">
        <f t="shared" si="38"/>
        <v>-</v>
      </c>
      <c r="T120" s="51" t="str">
        <f>IF(A_tier2_on=1,M_Sims!M320,"-")</f>
        <v>-</v>
      </c>
      <c r="U120" s="46" t="str">
        <f>IF(OR(A_bankroll="",A_tier2_on&lt;&gt;1),"-",MIN(A_maxbet,M_Sims!M320*A_bankroll))</f>
        <v>-</v>
      </c>
      <c r="V120" s="30">
        <f>M_Sims!H320</f>
        <v>1</v>
      </c>
      <c r="W120" s="6" t="b">
        <f>AND(H120&lt;&gt;"IMPUTED_20C_LADDER",L120&gt;=A_minev,N120&gt;0,V120=1,IF(A120="PLAYOFFS",A_poconf=1,TRUE),IF(AND(A120="WINS",A_zs_on=1),AND(AE120&gt;=A_minev,M_Sims!O320&gt;0),TRUE),AF120&gt;=A_minev,AG120&gt;0,IF(I120&lt;A_longthr,(1-A_shrink)*M_Sims!K320+A_shrink*(I120*G120-1)&gt;=A_minev,TRUE),IF(AND(OR(A120="WINS",A120="PLAYOFFS",LEFT(A120,4)="DIV_"),INDEX(Raw_Teams!$F$8:$F$37,MATCH($C120,Raw_Teams!$A$8:$A$37,0))&lt;A_contthr),AND(((1-A_contshrink)*J120+A_contshrink*I120)*G120-1&gt;=A_minev,(1-A_contshrink)*N120+A_contshrink*(I120*G120-1)&gt;0),TRUE),M_Sims!P320=0)</f>
        <v>0</v>
      </c>
      <c r="X120" s="6" t="s">
        <v>1301</v>
      </c>
      <c r="Y120" s="6" t="s">
        <v>1307</v>
      </c>
      <c r="Z120" s="6">
        <v>237</v>
      </c>
      <c r="AA120" s="7" t="str">
        <f t="shared" si="39"/>
        <v>OK - sims match current assumptions</v>
      </c>
      <c r="AB120" s="13" t="s">
        <v>33</v>
      </c>
      <c r="AC120" s="13" t="s">
        <v>33</v>
      </c>
      <c r="AD120" s="13" t="s">
        <v>33</v>
      </c>
      <c r="AE120" s="13" t="s">
        <v>33</v>
      </c>
      <c r="AF120" s="34">
        <f t="shared" si="40"/>
        <v>-0.39975246639084405</v>
      </c>
      <c r="AG120" s="34">
        <f t="shared" si="41"/>
        <v>-0.43400746639084409</v>
      </c>
      <c r="AH120" s="6" t="b">
        <f>AND(W120,I120&gt;=A_t1_fair,((1-A_t1_shrink)*J120+A_t1_shrink*I120)*G120-1&gt;=A_minev,(1-A_t1_shrink)*N120+A_t1_shrink*(I120*G120-1)&gt;0,M_Sims!Q320=1)</f>
        <v>0</v>
      </c>
      <c r="AI120" s="18">
        <f>IF(AH120,M_Sims!R320*A_t1_cap/A_t1_engcap,0)</f>
        <v>0</v>
      </c>
      <c r="AJ120" s="46" t="str">
        <f t="shared" si="42"/>
        <v>-</v>
      </c>
      <c r="AK120" s="7" t="str">
        <f>IF(AH120,M_Sims!S320,"-")</f>
        <v>-</v>
      </c>
      <c r="AL120" s="51">
        <f>M_Sims!M320</f>
        <v>0</v>
      </c>
      <c r="AM120" s="6" t="str">
        <f t="shared" si="43"/>
        <v>-</v>
      </c>
    </row>
    <row r="121" spans="1:39" ht="15" customHeight="1" x14ac:dyDescent="0.3">
      <c r="A121" s="6" t="s">
        <v>286</v>
      </c>
      <c r="B121" s="7" t="str">
        <f>Odds_Input!C246</f>
        <v>Detroit Pistons</v>
      </c>
      <c r="C121" s="6" t="s">
        <v>205</v>
      </c>
      <c r="D121" s="7" t="str">
        <f>Odds_Input!D246</f>
        <v>YES</v>
      </c>
      <c r="E121" s="31" t="str">
        <f>Odds_Input!E246</f>
        <v>-</v>
      </c>
      <c r="F121" s="32">
        <f>Odds_Input!F246</f>
        <v>1300</v>
      </c>
      <c r="G121" s="36">
        <f>M_DeVig!H246</f>
        <v>14</v>
      </c>
      <c r="H121" s="7" t="str">
        <f>Odds_Input!G246</f>
        <v>-</v>
      </c>
      <c r="I121" s="42">
        <f>M_DeVig!Q246</f>
        <v>5.7007816373538682E-2</v>
      </c>
      <c r="J121" s="42">
        <f>INDEX(M_Sims!$K$15:$K$44,MATCH($C121,M_Sims!$A$15:$A$44,0))</f>
        <v>4.648E-2</v>
      </c>
      <c r="K121" s="43">
        <f t="shared" si="33"/>
        <v>2051.4629948364891</v>
      </c>
      <c r="L121" s="34">
        <f t="shared" si="34"/>
        <v>-0.34928000000000003</v>
      </c>
      <c r="M121" s="38">
        <f t="shared" si="35"/>
        <v>-1.0527816373538681</v>
      </c>
      <c r="N121" s="42">
        <f>M_Sims!B321</f>
        <v>-0.37018666666666661</v>
      </c>
      <c r="O121" s="42">
        <f>M_Sims!C321</f>
        <v>-0.27843999999999991</v>
      </c>
      <c r="P121" s="42">
        <f>M_Sims!D321</f>
        <v>0</v>
      </c>
      <c r="Q121" s="34">
        <f t="shared" si="36"/>
        <v>5.1743908186769341E-2</v>
      </c>
      <c r="R121" s="18" t="str">
        <f t="shared" si="37"/>
        <v>-</v>
      </c>
      <c r="S121" s="46" t="str">
        <f t="shared" si="38"/>
        <v>-</v>
      </c>
      <c r="T121" s="51" t="str">
        <f>IF(A_tier2_on=1,M_Sims!M321,"-")</f>
        <v>-</v>
      </c>
      <c r="U121" s="46" t="str">
        <f>IF(OR(A_bankroll="",A_tier2_on&lt;&gt;1),"-",MIN(A_maxbet,M_Sims!M321*A_bankroll))</f>
        <v>-</v>
      </c>
      <c r="V121" s="30">
        <f>M_Sims!H321</f>
        <v>1</v>
      </c>
      <c r="W121" s="6" t="b">
        <f>AND(H121&lt;&gt;"IMPUTED_20C_LADDER",L121&gt;=A_minev,N121&gt;0,V121=1,IF(A121="PLAYOFFS",A_poconf=1,TRUE),IF(AND(A121="WINS",A_zs_on=1),AND(AE121&gt;=A_minev,M_Sims!O321&gt;0),TRUE),AF121&gt;=A_minev,AG121&gt;0,IF(I121&lt;A_longthr,(1-A_shrink)*M_Sims!K321+A_shrink*(I121*G121-1)&gt;=A_minev,TRUE),IF(AND(OR(A121="WINS",A121="PLAYOFFS",LEFT(A121,4)="DIV_"),INDEX(Raw_Teams!$F$8:$F$37,MATCH($C121,Raw_Teams!$A$8:$A$37,0))&lt;A_contthr),AND(((1-A_contshrink)*J121+A_contshrink*I121)*G121-1&gt;=A_minev,(1-A_contshrink)*N121+A_contshrink*(I121*G121-1)&gt;0),TRUE),M_Sims!P321=0)</f>
        <v>0</v>
      </c>
      <c r="X121" s="6" t="s">
        <v>1301</v>
      </c>
      <c r="Y121" s="6" t="s">
        <v>1307</v>
      </c>
      <c r="Z121" s="6">
        <v>238</v>
      </c>
      <c r="AA121" s="7" t="str">
        <f t="shared" si="39"/>
        <v>OK - sims match current assumptions</v>
      </c>
      <c r="AB121" s="13" t="s">
        <v>33</v>
      </c>
      <c r="AC121" s="13" t="s">
        <v>33</v>
      </c>
      <c r="AD121" s="13" t="s">
        <v>33</v>
      </c>
      <c r="AE121" s="13" t="s">
        <v>33</v>
      </c>
      <c r="AF121" s="34">
        <f t="shared" si="40"/>
        <v>-0.2755852853852292</v>
      </c>
      <c r="AG121" s="34">
        <f t="shared" si="41"/>
        <v>-0.28603861871856251</v>
      </c>
      <c r="AH121" s="6" t="b">
        <f>AND(W121,I121&gt;=A_t1_fair,((1-A_t1_shrink)*J121+A_t1_shrink*I121)*G121-1&gt;=A_minev,(1-A_t1_shrink)*N121+A_t1_shrink*(I121*G121-1)&gt;0,M_Sims!Q321=1)</f>
        <v>0</v>
      </c>
      <c r="AI121" s="18">
        <f>IF(AH121,M_Sims!R321*A_t1_cap/A_t1_engcap,0)</f>
        <v>0</v>
      </c>
      <c r="AJ121" s="46" t="str">
        <f t="shared" si="42"/>
        <v>-</v>
      </c>
      <c r="AK121" s="7" t="str">
        <f>IF(AH121,M_Sims!S321,"-")</f>
        <v>-</v>
      </c>
      <c r="AL121" s="51">
        <f>M_Sims!M321</f>
        <v>0</v>
      </c>
      <c r="AM121" s="6" t="str">
        <f t="shared" si="43"/>
        <v>-</v>
      </c>
    </row>
    <row r="122" spans="1:39" ht="15" customHeight="1" x14ac:dyDescent="0.3">
      <c r="A122" s="6" t="s">
        <v>286</v>
      </c>
      <c r="B122" s="7" t="str">
        <f>Odds_Input!C247</f>
        <v>New York Knicks</v>
      </c>
      <c r="C122" s="6" t="s">
        <v>216</v>
      </c>
      <c r="D122" s="7" t="str">
        <f>Odds_Input!D247</f>
        <v>YES</v>
      </c>
      <c r="E122" s="31" t="str">
        <f>Odds_Input!E247</f>
        <v>-</v>
      </c>
      <c r="F122" s="32">
        <f>Odds_Input!F247</f>
        <v>1200</v>
      </c>
      <c r="G122" s="36">
        <f>M_DeVig!H247</f>
        <v>13</v>
      </c>
      <c r="H122" s="7" t="str">
        <f>Odds_Input!G247</f>
        <v>-</v>
      </c>
      <c r="I122" s="42">
        <f>M_DeVig!Q247</f>
        <v>6.1835774401408604E-2</v>
      </c>
      <c r="J122" s="42">
        <f>INDEX(M_Sims!$K$15:$K$44,MATCH($C122,M_Sims!$A$15:$A$44,0))</f>
        <v>2.964E-2</v>
      </c>
      <c r="K122" s="43">
        <f t="shared" si="33"/>
        <v>3273.8191632928474</v>
      </c>
      <c r="L122" s="34">
        <f t="shared" si="34"/>
        <v>-0.61468</v>
      </c>
      <c r="M122" s="38">
        <f t="shared" si="35"/>
        <v>-3.2195774401408603</v>
      </c>
      <c r="N122" s="42">
        <f>M_Sims!B322</f>
        <v>-0.72362000000000004</v>
      </c>
      <c r="O122" s="42">
        <f>M_Sims!C322</f>
        <v>-0.4925666666666666</v>
      </c>
      <c r="P122" s="42">
        <f>M_Sims!D322</f>
        <v>0</v>
      </c>
      <c r="Q122" s="34">
        <f t="shared" si="36"/>
        <v>4.5737887200704305E-2</v>
      </c>
      <c r="R122" s="18" t="str">
        <f t="shared" si="37"/>
        <v>-</v>
      </c>
      <c r="S122" s="46" t="str">
        <f t="shared" si="38"/>
        <v>-</v>
      </c>
      <c r="T122" s="51" t="str">
        <f>IF(A_tier2_on=1,M_Sims!M322,"-")</f>
        <v>-</v>
      </c>
      <c r="U122" s="46" t="str">
        <f>IF(OR(A_bankroll="",A_tier2_on&lt;&gt;1),"-",MIN(A_maxbet,M_Sims!M322*A_bankroll))</f>
        <v>-</v>
      </c>
      <c r="V122" s="30">
        <f>M_Sims!H322</f>
        <v>1</v>
      </c>
      <c r="W122" s="6" t="b">
        <f>AND(H122&lt;&gt;"IMPUTED_20C_LADDER",L122&gt;=A_minev,N122&gt;0,V122=1,IF(A122="PLAYOFFS",A_poconf=1,TRUE),IF(AND(A122="WINS",A_zs_on=1),AND(AE122&gt;=A_minev,M_Sims!O322&gt;0),TRUE),AF122&gt;=A_minev,AG122&gt;0,IF(I122&lt;A_longthr,(1-A_shrink)*M_Sims!K322+A_shrink*(I122*G122-1)&gt;=A_minev,TRUE),IF(AND(OR(A122="WINS",A122="PLAYOFFS",LEFT(A122,4)="DIV_"),INDEX(Raw_Teams!$F$8:$F$37,MATCH($C122,Raw_Teams!$A$8:$A$37,0))&lt;A_contthr),AND(((1-A_contshrink)*J122+A_contshrink*I122)*G122-1&gt;=A_minev,(1-A_contshrink)*N122+A_contshrink*(I122*G122-1)&gt;0),TRUE),M_Sims!P322=0)</f>
        <v>0</v>
      </c>
      <c r="X122" s="6" t="s">
        <v>1301</v>
      </c>
      <c r="Y122" s="6" t="s">
        <v>1307</v>
      </c>
      <c r="Z122" s="6">
        <v>239</v>
      </c>
      <c r="AA122" s="7" t="str">
        <f t="shared" si="39"/>
        <v>OK - sims match current assumptions</v>
      </c>
      <c r="AB122" s="13" t="s">
        <v>33</v>
      </c>
      <c r="AC122" s="13" t="s">
        <v>33</v>
      </c>
      <c r="AD122" s="13" t="s">
        <v>33</v>
      </c>
      <c r="AE122" s="13" t="s">
        <v>33</v>
      </c>
      <c r="AF122" s="34">
        <f t="shared" si="40"/>
        <v>-0.40540746639084402</v>
      </c>
      <c r="AG122" s="34">
        <f t="shared" si="41"/>
        <v>-0.45987746639084409</v>
      </c>
      <c r="AH122" s="6" t="b">
        <f>AND(W122,I122&gt;=A_t1_fair,((1-A_t1_shrink)*J122+A_t1_shrink*I122)*G122-1&gt;=A_minev,(1-A_t1_shrink)*N122+A_t1_shrink*(I122*G122-1)&gt;0,M_Sims!Q322=1)</f>
        <v>0</v>
      </c>
      <c r="AI122" s="18">
        <f>IF(AH122,M_Sims!R322*A_t1_cap/A_t1_engcap,0)</f>
        <v>0</v>
      </c>
      <c r="AJ122" s="46" t="str">
        <f t="shared" si="42"/>
        <v>-</v>
      </c>
      <c r="AK122" s="7" t="str">
        <f>IF(AH122,M_Sims!S322,"-")</f>
        <v>-</v>
      </c>
      <c r="AL122" s="51">
        <f>M_Sims!M322</f>
        <v>0</v>
      </c>
      <c r="AM122" s="6" t="str">
        <f t="shared" si="43"/>
        <v>-</v>
      </c>
    </row>
    <row r="123" spans="1:39" ht="15" customHeight="1" x14ac:dyDescent="0.3">
      <c r="A123" s="6" t="s">
        <v>286</v>
      </c>
      <c r="B123" s="7" t="str">
        <f>Odds_Input!C248</f>
        <v>Denver Nuggets</v>
      </c>
      <c r="C123" s="6" t="s">
        <v>204</v>
      </c>
      <c r="D123" s="7" t="str">
        <f>Odds_Input!D248</f>
        <v>YES</v>
      </c>
      <c r="E123" s="31" t="str">
        <f>Odds_Input!E248</f>
        <v>-</v>
      </c>
      <c r="F123" s="32">
        <f>Odds_Input!F248</f>
        <v>1600</v>
      </c>
      <c r="G123" s="36">
        <f>M_DeVig!H248</f>
        <v>17</v>
      </c>
      <c r="H123" s="7" t="str">
        <f>Odds_Input!G248</f>
        <v>-</v>
      </c>
      <c r="I123" s="42">
        <f>M_DeVig!Q248</f>
        <v>4.594788426081204E-2</v>
      </c>
      <c r="J123" s="42">
        <f>INDEX(M_Sims!$K$15:$K$44,MATCH($C123,M_Sims!$A$15:$A$44,0))</f>
        <v>4.589E-2</v>
      </c>
      <c r="K123" s="43">
        <f t="shared" si="33"/>
        <v>2079.1239921551537</v>
      </c>
      <c r="L123" s="34">
        <f t="shared" si="34"/>
        <v>-0.21987000000000001</v>
      </c>
      <c r="M123" s="38">
        <f t="shared" si="35"/>
        <v>-5.7884260812039734E-3</v>
      </c>
      <c r="N123" s="42">
        <f>M_Sims!B323</f>
        <v>-0.3605733333333333</v>
      </c>
      <c r="O123" s="42">
        <f>M_Sims!C323</f>
        <v>-8.84599999999999E-2</v>
      </c>
      <c r="P123" s="42">
        <f>M_Sims!D323</f>
        <v>1.6666666666666601E-2</v>
      </c>
      <c r="Q123" s="34">
        <f t="shared" si="36"/>
        <v>4.5918942130406024E-2</v>
      </c>
      <c r="R123" s="18" t="str">
        <f t="shared" si="37"/>
        <v>-</v>
      </c>
      <c r="S123" s="46" t="str">
        <f t="shared" si="38"/>
        <v>-</v>
      </c>
      <c r="T123" s="51" t="str">
        <f>IF(A_tier2_on=1,M_Sims!M323,"-")</f>
        <v>-</v>
      </c>
      <c r="U123" s="46" t="str">
        <f>IF(OR(A_bankroll="",A_tier2_on&lt;&gt;1),"-",MIN(A_maxbet,M_Sims!M323*A_bankroll))</f>
        <v>-</v>
      </c>
      <c r="V123" s="30">
        <f>M_Sims!H323</f>
        <v>1</v>
      </c>
      <c r="W123" s="6" t="b">
        <f>AND(H123&lt;&gt;"IMPUTED_20C_LADDER",L123&gt;=A_minev,N123&gt;0,V123=1,IF(A123="PLAYOFFS",A_poconf=1,TRUE),IF(AND(A123="WINS",A_zs_on=1),AND(AE123&gt;=A_minev,M_Sims!O323&gt;0),TRUE),AF123&gt;=A_minev,AG123&gt;0,IF(I123&lt;A_longthr,(1-A_shrink)*M_Sims!K323+A_shrink*(I123*G123-1)&gt;=A_minev,TRUE),IF(AND(OR(A123="WINS",A123="PLAYOFFS",LEFT(A123,4)="DIV_"),INDEX(Raw_Teams!$F$8:$F$37,MATCH($C123,Raw_Teams!$A$8:$A$37,0))&lt;A_contthr),AND(((1-A_contshrink)*J123+A_contshrink*I123)*G123-1&gt;=A_minev,(1-A_contshrink)*N123+A_contshrink*(I123*G123-1)&gt;0),TRUE),M_Sims!P323=0)</f>
        <v>0</v>
      </c>
      <c r="X123" s="6" t="s">
        <v>1301</v>
      </c>
      <c r="Y123" s="6" t="s">
        <v>1307</v>
      </c>
      <c r="Z123" s="6">
        <v>240</v>
      </c>
      <c r="AA123" s="7" t="str">
        <f t="shared" si="39"/>
        <v>OK - sims match current assumptions</v>
      </c>
      <c r="AB123" s="13" t="s">
        <v>33</v>
      </c>
      <c r="AC123" s="13" t="s">
        <v>33</v>
      </c>
      <c r="AD123" s="13" t="s">
        <v>33</v>
      </c>
      <c r="AE123" s="13" t="s">
        <v>33</v>
      </c>
      <c r="AF123" s="34">
        <f t="shared" si="40"/>
        <v>-0.21937798378309759</v>
      </c>
      <c r="AG123" s="34">
        <f t="shared" si="41"/>
        <v>-0.28972965044976429</v>
      </c>
      <c r="AH123" s="6" t="b">
        <f>AND(W123,I123&gt;=A_t1_fair,((1-A_t1_shrink)*J123+A_t1_shrink*I123)*G123-1&gt;=A_minev,(1-A_t1_shrink)*N123+A_t1_shrink*(I123*G123-1)&gt;0,M_Sims!Q323=1)</f>
        <v>0</v>
      </c>
      <c r="AI123" s="18">
        <f>IF(AH123,M_Sims!R323*A_t1_cap/A_t1_engcap,0)</f>
        <v>0</v>
      </c>
      <c r="AJ123" s="46" t="str">
        <f t="shared" si="42"/>
        <v>-</v>
      </c>
      <c r="AK123" s="7" t="str">
        <f>IF(AH123,M_Sims!S323,"-")</f>
        <v>-</v>
      </c>
      <c r="AL123" s="51">
        <f>M_Sims!M323</f>
        <v>0</v>
      </c>
      <c r="AM123" s="6" t="str">
        <f t="shared" si="43"/>
        <v>-</v>
      </c>
    </row>
    <row r="124" spans="1:39" ht="15" customHeight="1" x14ac:dyDescent="0.3">
      <c r="A124" s="6" t="s">
        <v>286</v>
      </c>
      <c r="B124" s="7" t="str">
        <f>Odds_Input!C249</f>
        <v>Toronto Raptors</v>
      </c>
      <c r="C124" s="6" t="s">
        <v>224</v>
      </c>
      <c r="D124" s="7" t="str">
        <f>Odds_Input!D249</f>
        <v>YES</v>
      </c>
      <c r="E124" s="31" t="str">
        <f>Odds_Input!E249</f>
        <v>-</v>
      </c>
      <c r="F124" s="32">
        <f>Odds_Input!F249</f>
        <v>1800</v>
      </c>
      <c r="G124" s="36">
        <f>M_DeVig!H249</f>
        <v>19</v>
      </c>
      <c r="H124" s="7" t="str">
        <f>Odds_Input!G249</f>
        <v>-</v>
      </c>
      <c r="I124" s="42">
        <f>M_DeVig!Q249</f>
        <v>4.0526786058336317E-2</v>
      </c>
      <c r="J124" s="42">
        <f>INDEX(M_Sims!$K$15:$K$44,MATCH($C124,M_Sims!$A$15:$A$44,0))</f>
        <v>7.3999999999999996E-2</v>
      </c>
      <c r="K124" s="43">
        <f t="shared" si="33"/>
        <v>1251.3513513513515</v>
      </c>
      <c r="L124" s="34">
        <f t="shared" si="34"/>
        <v>0.40599999999999992</v>
      </c>
      <c r="M124" s="38">
        <f t="shared" si="35"/>
        <v>3.347321394166368</v>
      </c>
      <c r="N124" s="42">
        <f>M_Sims!B324</f>
        <v>0.2434866666666668</v>
      </c>
      <c r="O124" s="42">
        <f>M_Sims!C324</f>
        <v>0.5834600000000002</v>
      </c>
      <c r="P124" s="42">
        <f>M_Sims!D324</f>
        <v>1</v>
      </c>
      <c r="Q124" s="34">
        <f t="shared" si="36"/>
        <v>5.7263393029168157E-2</v>
      </c>
      <c r="R124" s="18" t="str">
        <f t="shared" si="37"/>
        <v>-</v>
      </c>
      <c r="S124" s="46" t="str">
        <f t="shared" si="38"/>
        <v>-</v>
      </c>
      <c r="T124" s="51" t="str">
        <f>IF(A_tier2_on=1,M_Sims!M324,"-")</f>
        <v>-</v>
      </c>
      <c r="U124" s="46" t="str">
        <f>IF(OR(A_bankroll="",A_tier2_on&lt;&gt;1),"-",MIN(A_maxbet,M_Sims!M324*A_bankroll))</f>
        <v>-</v>
      </c>
      <c r="V124" s="30">
        <f>M_Sims!H324</f>
        <v>1</v>
      </c>
      <c r="W124" s="6" t="b">
        <f>AND(H124&lt;&gt;"IMPUTED_20C_LADDER",L124&gt;=A_minev,N124&gt;0,V124=1,IF(A124="PLAYOFFS",A_poconf=1,TRUE),IF(AND(A124="WINS",A_zs_on=1),AND(AE124&gt;=A_minev,M_Sims!O324&gt;0),TRUE),AF124&gt;=A_minev,AG124&gt;0,IF(I124&lt;A_longthr,(1-A_shrink)*M_Sims!K324+A_shrink*(I124*G124-1)&gt;=A_minev,TRUE),IF(AND(OR(A124="WINS",A124="PLAYOFFS",LEFT(A124,4)="DIV_"),INDEX(Raw_Teams!$F$8:$F$37,MATCH($C124,Raw_Teams!$A$8:$A$37,0))&lt;A_contthr),AND(((1-A_contshrink)*J124+A_contshrink*I124)*G124-1&gt;=A_minev,(1-A_contshrink)*N124+A_contshrink*(I124*G124-1)&gt;0),TRUE),M_Sims!P324=0)</f>
        <v>1</v>
      </c>
      <c r="X124" s="6" t="s">
        <v>1301</v>
      </c>
      <c r="Y124" s="6" t="s">
        <v>1307</v>
      </c>
      <c r="Z124" s="6">
        <v>241</v>
      </c>
      <c r="AA124" s="7" t="str">
        <f t="shared" si="39"/>
        <v>OK - sims match current assumptions</v>
      </c>
      <c r="AB124" s="13" t="s">
        <v>33</v>
      </c>
      <c r="AC124" s="13" t="s">
        <v>33</v>
      </c>
      <c r="AD124" s="13" t="s">
        <v>33</v>
      </c>
      <c r="AE124" s="13" t="s">
        <v>33</v>
      </c>
      <c r="AF124" s="34">
        <f t="shared" si="40"/>
        <v>8.8004467554194887E-2</v>
      </c>
      <c r="AG124" s="34">
        <f t="shared" si="41"/>
        <v>6.7478008875284379E-3</v>
      </c>
      <c r="AH124" s="6" t="b">
        <f>AND(W124,I124&gt;=A_t1_fair,((1-A_t1_shrink)*J124+A_t1_shrink*I124)*G124-1&gt;=A_minev,(1-A_t1_shrink)*N124+A_t1_shrink*(I124*G124-1)&gt;0,M_Sims!Q324=1)</f>
        <v>0</v>
      </c>
      <c r="AI124" s="18">
        <f>IF(AH124,M_Sims!R324*A_t1_cap/A_t1_engcap,0)</f>
        <v>0</v>
      </c>
      <c r="AJ124" s="46" t="str">
        <f t="shared" si="42"/>
        <v>-</v>
      </c>
      <c r="AK124" s="7" t="str">
        <f>IF(AH124,M_Sims!S324,"-")</f>
        <v>-</v>
      </c>
      <c r="AL124" s="51">
        <f>M_Sims!M324</f>
        <v>0</v>
      </c>
      <c r="AM124" s="6" t="str">
        <f t="shared" si="43"/>
        <v>Tier 2</v>
      </c>
    </row>
    <row r="125" spans="1:39" ht="15" customHeight="1" x14ac:dyDescent="0.3">
      <c r="A125" s="6" t="s">
        <v>286</v>
      </c>
      <c r="B125" s="7" t="str">
        <f>Odds_Input!C250</f>
        <v>Minnesota Timberwolves</v>
      </c>
      <c r="C125" s="6" t="s">
        <v>214</v>
      </c>
      <c r="D125" s="7" t="str">
        <f>Odds_Input!D250</f>
        <v>YES</v>
      </c>
      <c r="E125" s="31" t="str">
        <f>Odds_Input!E250</f>
        <v>-</v>
      </c>
      <c r="F125" s="32">
        <f>Odds_Input!F250</f>
        <v>2000</v>
      </c>
      <c r="G125" s="36">
        <f>M_DeVig!H250</f>
        <v>21</v>
      </c>
      <c r="H125" s="7" t="str">
        <f>Odds_Input!G250</f>
        <v>-</v>
      </c>
      <c r="I125" s="42">
        <f>M_DeVig!Q250</f>
        <v>3.6146801310450422E-2</v>
      </c>
      <c r="J125" s="42">
        <f>INDEX(M_Sims!$K$15:$K$44,MATCH($C125,M_Sims!$A$15:$A$44,0))</f>
        <v>3.0769999999999999E-2</v>
      </c>
      <c r="K125" s="43">
        <f t="shared" si="33"/>
        <v>3149.9187520311993</v>
      </c>
      <c r="L125" s="34">
        <f t="shared" si="34"/>
        <v>-0.35382999999999998</v>
      </c>
      <c r="M125" s="38">
        <f t="shared" si="35"/>
        <v>-0.53768013104504231</v>
      </c>
      <c r="N125" s="42">
        <f>M_Sims!B325</f>
        <v>-0.42152000000000001</v>
      </c>
      <c r="O125" s="42">
        <f>M_Sims!C325</f>
        <v>-0.25296000000000002</v>
      </c>
      <c r="P125" s="42">
        <f>M_Sims!D325</f>
        <v>0</v>
      </c>
      <c r="Q125" s="34">
        <f t="shared" si="36"/>
        <v>3.3458400655225207E-2</v>
      </c>
      <c r="R125" s="18" t="str">
        <f t="shared" si="37"/>
        <v>-</v>
      </c>
      <c r="S125" s="46" t="str">
        <f t="shared" si="38"/>
        <v>-</v>
      </c>
      <c r="T125" s="51" t="str">
        <f>IF(A_tier2_on=1,M_Sims!M325,"-")</f>
        <v>-</v>
      </c>
      <c r="U125" s="46" t="str">
        <f>IF(OR(A_bankroll="",A_tier2_on&lt;&gt;1),"-",MIN(A_maxbet,M_Sims!M325*A_bankroll))</f>
        <v>-</v>
      </c>
      <c r="V125" s="30">
        <f>M_Sims!H325</f>
        <v>1</v>
      </c>
      <c r="W125" s="6" t="b">
        <f>AND(H125&lt;&gt;"IMPUTED_20C_LADDER",L125&gt;=A_minev,N125&gt;0,V125=1,IF(A125="PLAYOFFS",A_poconf=1,TRUE),IF(AND(A125="WINS",A_zs_on=1),AND(AE125&gt;=A_minev,M_Sims!O325&gt;0),TRUE),AF125&gt;=A_minev,AG125&gt;0,IF(I125&lt;A_longthr,(1-A_shrink)*M_Sims!K325+A_shrink*(I125*G125-1)&gt;=A_minev,TRUE),IF(AND(OR(A125="WINS",A125="PLAYOFFS",LEFT(A125,4)="DIV_"),INDEX(Raw_Teams!$F$8:$F$37,MATCH($C125,Raw_Teams!$A$8:$A$37,0))&lt;A_contthr),AND(((1-A_contshrink)*J125+A_contshrink*I125)*G125-1&gt;=A_minev,(1-A_contshrink)*N125+A_contshrink*(I125*G125-1)&gt;0),TRUE),M_Sims!P325=0)</f>
        <v>0</v>
      </c>
      <c r="X125" s="6" t="s">
        <v>1301</v>
      </c>
      <c r="Y125" s="6" t="s">
        <v>1307</v>
      </c>
      <c r="Z125" s="6">
        <v>242</v>
      </c>
      <c r="AA125" s="7" t="str">
        <f t="shared" si="39"/>
        <v>OK - sims match current assumptions</v>
      </c>
      <c r="AB125" s="13" t="s">
        <v>33</v>
      </c>
      <c r="AC125" s="13" t="s">
        <v>33</v>
      </c>
      <c r="AD125" s="13" t="s">
        <v>33</v>
      </c>
      <c r="AE125" s="13" t="s">
        <v>33</v>
      </c>
      <c r="AF125" s="34">
        <f t="shared" si="40"/>
        <v>-0.29737358624027066</v>
      </c>
      <c r="AG125" s="34">
        <f t="shared" si="41"/>
        <v>-0.33121858624027056</v>
      </c>
      <c r="AH125" s="6" t="b">
        <f>AND(W125,I125&gt;=A_t1_fair,((1-A_t1_shrink)*J125+A_t1_shrink*I125)*G125-1&gt;=A_minev,(1-A_t1_shrink)*N125+A_t1_shrink*(I125*G125-1)&gt;0,M_Sims!Q325=1)</f>
        <v>0</v>
      </c>
      <c r="AI125" s="18">
        <f>IF(AH125,M_Sims!R325*A_t1_cap/A_t1_engcap,0)</f>
        <v>0</v>
      </c>
      <c r="AJ125" s="46" t="str">
        <f t="shared" si="42"/>
        <v>-</v>
      </c>
      <c r="AK125" s="7" t="str">
        <f>IF(AH125,M_Sims!S325,"-")</f>
        <v>-</v>
      </c>
      <c r="AL125" s="51">
        <f>M_Sims!M325</f>
        <v>0</v>
      </c>
      <c r="AM125" s="6" t="str">
        <f t="shared" si="43"/>
        <v>-</v>
      </c>
    </row>
    <row r="126" spans="1:39" ht="15" customHeight="1" x14ac:dyDescent="0.3">
      <c r="A126" s="6" t="s">
        <v>286</v>
      </c>
      <c r="B126" s="7" t="str">
        <f>Odds_Input!C251</f>
        <v>Orlando Magic</v>
      </c>
      <c r="C126" s="6" t="s">
        <v>218</v>
      </c>
      <c r="D126" s="7" t="str">
        <f>Odds_Input!D251</f>
        <v>YES</v>
      </c>
      <c r="E126" s="31" t="str">
        <f>Odds_Input!E251</f>
        <v>-</v>
      </c>
      <c r="F126" s="32">
        <f>Odds_Input!F251</f>
        <v>2500</v>
      </c>
      <c r="G126" s="36">
        <f>M_DeVig!H251</f>
        <v>26</v>
      </c>
      <c r="H126" s="7" t="str">
        <f>Odds_Input!G251</f>
        <v>-</v>
      </c>
      <c r="I126" s="42">
        <f>M_DeVig!Q251</f>
        <v>2.8174739558189811E-2</v>
      </c>
      <c r="J126" s="42">
        <f>INDEX(M_Sims!$K$15:$K$44,MATCH($C126,M_Sims!$A$15:$A$44,0))</f>
        <v>3.1350000000000003E-2</v>
      </c>
      <c r="K126" s="43">
        <f t="shared" si="33"/>
        <v>3089.7926634768737</v>
      </c>
      <c r="L126" s="34">
        <f t="shared" si="34"/>
        <v>-0.18489999999999995</v>
      </c>
      <c r="M126" s="38">
        <f t="shared" si="35"/>
        <v>0.31752604418101915</v>
      </c>
      <c r="N126" s="42">
        <f>M_Sims!B326</f>
        <v>-0.3111733333333333</v>
      </c>
      <c r="O126" s="42">
        <f>M_Sims!C326</f>
        <v>-5.3426666666666602E-2</v>
      </c>
      <c r="P126" s="42">
        <f>M_Sims!D326</f>
        <v>1.6666666666666601E-2</v>
      </c>
      <c r="Q126" s="34">
        <f t="shared" si="36"/>
        <v>2.9762369779094907E-2</v>
      </c>
      <c r="R126" s="18" t="str">
        <f t="shared" si="37"/>
        <v>-</v>
      </c>
      <c r="S126" s="46" t="str">
        <f t="shared" si="38"/>
        <v>-</v>
      </c>
      <c r="T126" s="51" t="str">
        <f>IF(A_tier2_on=1,M_Sims!M326,"-")</f>
        <v>-</v>
      </c>
      <c r="U126" s="46" t="str">
        <f>IF(OR(A_bankroll="",A_tier2_on&lt;&gt;1),"-",MIN(A_maxbet,M_Sims!M326*A_bankroll))</f>
        <v>-</v>
      </c>
      <c r="V126" s="30">
        <f>M_Sims!H326</f>
        <v>1</v>
      </c>
      <c r="W126" s="6" t="b">
        <f>AND(H126&lt;&gt;"IMPUTED_20C_LADDER",L126&gt;=A_minev,N126&gt;0,V126=1,IF(A126="PLAYOFFS",A_poconf=1,TRUE),IF(AND(A126="WINS",A_zs_on=1),AND(AE126&gt;=A_minev,M_Sims!O326&gt;0),TRUE),AF126&gt;=A_minev,AG126&gt;0,IF(I126&lt;A_longthr,(1-A_shrink)*M_Sims!K326+A_shrink*(I126*G126-1)&gt;=A_minev,TRUE),IF(AND(OR(A126="WINS",A126="PLAYOFFS",LEFT(A126,4)="DIV_"),INDEX(Raw_Teams!$F$8:$F$37,MATCH($C126,Raw_Teams!$A$8:$A$37,0))&lt;A_contthr),AND(((1-A_contshrink)*J126+A_contshrink*I126)*G126-1&gt;=A_minev,(1-A_contshrink)*N126+A_contshrink*(I126*G126-1)&gt;0),TRUE),M_Sims!P326=0)</f>
        <v>0</v>
      </c>
      <c r="X126" s="6" t="s">
        <v>1301</v>
      </c>
      <c r="Y126" s="6" t="s">
        <v>1307</v>
      </c>
      <c r="Z126" s="6">
        <v>243</v>
      </c>
      <c r="AA126" s="7" t="str">
        <f t="shared" si="39"/>
        <v>OK - sims match current assumptions</v>
      </c>
      <c r="AB126" s="13" t="s">
        <v>33</v>
      </c>
      <c r="AC126" s="13" t="s">
        <v>33</v>
      </c>
      <c r="AD126" s="13" t="s">
        <v>33</v>
      </c>
      <c r="AE126" s="13" t="s">
        <v>33</v>
      </c>
      <c r="AF126" s="34">
        <f t="shared" si="40"/>
        <v>-0.22617838574353244</v>
      </c>
      <c r="AG126" s="34">
        <f t="shared" si="41"/>
        <v>-0.28931505241019911</v>
      </c>
      <c r="AH126" s="6" t="b">
        <f>AND(W126,I126&gt;=A_t1_fair,((1-A_t1_shrink)*J126+A_t1_shrink*I126)*G126-1&gt;=A_minev,(1-A_t1_shrink)*N126+A_t1_shrink*(I126*G126-1)&gt;0,M_Sims!Q326=1)</f>
        <v>0</v>
      </c>
      <c r="AI126" s="18">
        <f>IF(AH126,M_Sims!R326*A_t1_cap/A_t1_engcap,0)</f>
        <v>0</v>
      </c>
      <c r="AJ126" s="46" t="str">
        <f t="shared" si="42"/>
        <v>-</v>
      </c>
      <c r="AK126" s="7" t="str">
        <f>IF(AH126,M_Sims!S326,"-")</f>
        <v>-</v>
      </c>
      <c r="AL126" s="51">
        <f>M_Sims!M326</f>
        <v>0</v>
      </c>
      <c r="AM126" s="6" t="str">
        <f t="shared" si="43"/>
        <v>-</v>
      </c>
    </row>
    <row r="127" spans="1:39" ht="15" customHeight="1" x14ac:dyDescent="0.3">
      <c r="A127" s="6" t="s">
        <v>286</v>
      </c>
      <c r="B127" s="7" t="str">
        <f>Odds_Input!C252</f>
        <v>Los Angeles Lakers</v>
      </c>
      <c r="C127" s="6" t="s">
        <v>210</v>
      </c>
      <c r="D127" s="7" t="str">
        <f>Odds_Input!D252</f>
        <v>YES</v>
      </c>
      <c r="E127" s="31" t="str">
        <f>Odds_Input!E252</f>
        <v>-</v>
      </c>
      <c r="F127" s="32">
        <f>Odds_Input!F252</f>
        <v>2800</v>
      </c>
      <c r="G127" s="36">
        <f>M_DeVig!H252</f>
        <v>29</v>
      </c>
      <c r="H127" s="7" t="str">
        <f>Odds_Input!G252</f>
        <v>-</v>
      </c>
      <c r="I127" s="42">
        <f>M_DeVig!Q252</f>
        <v>2.4729138122140983E-2</v>
      </c>
      <c r="J127" s="42">
        <f>INDEX(M_Sims!$K$15:$K$44,MATCH($C127,M_Sims!$A$15:$A$44,0))</f>
        <v>3.2820000000000002E-2</v>
      </c>
      <c r="K127" s="43">
        <f t="shared" si="33"/>
        <v>2946.9226081657525</v>
      </c>
      <c r="L127" s="34">
        <f t="shared" si="34"/>
        <v>-4.821999999999993E-2</v>
      </c>
      <c r="M127" s="38">
        <f t="shared" si="35"/>
        <v>0.80908618778590191</v>
      </c>
      <c r="N127" s="42">
        <f>M_Sims!B327</f>
        <v>-0.16170666666666669</v>
      </c>
      <c r="O127" s="42">
        <f>M_Sims!C327</f>
        <v>5.7533333333333402E-2</v>
      </c>
      <c r="P127" s="42">
        <f>M_Sims!D327</f>
        <v>0.25</v>
      </c>
      <c r="Q127" s="34">
        <f t="shared" si="36"/>
        <v>2.8774569061070492E-2</v>
      </c>
      <c r="R127" s="18" t="str">
        <f t="shared" si="37"/>
        <v>-</v>
      </c>
      <c r="S127" s="46" t="str">
        <f t="shared" si="38"/>
        <v>-</v>
      </c>
      <c r="T127" s="51" t="str">
        <f>IF(A_tier2_on=1,M_Sims!M327,"-")</f>
        <v>-</v>
      </c>
      <c r="U127" s="46" t="str">
        <f>IF(OR(A_bankroll="",A_tier2_on&lt;&gt;1),"-",MIN(A_maxbet,M_Sims!M327*A_bankroll))</f>
        <v>-</v>
      </c>
      <c r="V127" s="30">
        <f>M_Sims!H327</f>
        <v>1</v>
      </c>
      <c r="W127" s="6" t="b">
        <f>AND(H127&lt;&gt;"IMPUTED_20C_LADDER",L127&gt;=A_minev,N127&gt;0,V127=1,IF(A127="PLAYOFFS",A_poconf=1,TRUE),IF(AND(A127="WINS",A_zs_on=1),AND(AE127&gt;=A_minev,M_Sims!O327&gt;0),TRUE),AF127&gt;=A_minev,AG127&gt;0,IF(I127&lt;A_longthr,(1-A_shrink)*M_Sims!K327+A_shrink*(I127*G127-1)&gt;=A_minev,TRUE),IF(AND(OR(A127="WINS",A127="PLAYOFFS",LEFT(A127,4)="DIV_"),INDEX(Raw_Teams!$F$8:$F$37,MATCH($C127,Raw_Teams!$A$8:$A$37,0))&lt;A_contthr),AND(((1-A_contshrink)*J127+A_contshrink*I127)*G127-1&gt;=A_minev,(1-A_contshrink)*N127+A_contshrink*(I127*G127-1)&gt;0),TRUE),M_Sims!P327=0)</f>
        <v>0</v>
      </c>
      <c r="X127" s="6" t="s">
        <v>1301</v>
      </c>
      <c r="Y127" s="6" t="s">
        <v>1307</v>
      </c>
      <c r="Z127" s="6">
        <v>244</v>
      </c>
      <c r="AA127" s="7" t="str">
        <f t="shared" si="39"/>
        <v>OK - sims match current assumptions</v>
      </c>
      <c r="AB127" s="13" t="s">
        <v>33</v>
      </c>
      <c r="AC127" s="13" t="s">
        <v>33</v>
      </c>
      <c r="AD127" s="13" t="s">
        <v>33</v>
      </c>
      <c r="AE127" s="13" t="s">
        <v>33</v>
      </c>
      <c r="AF127" s="34">
        <f t="shared" si="40"/>
        <v>-0.16553749722895572</v>
      </c>
      <c r="AG127" s="34">
        <f t="shared" si="41"/>
        <v>-0.22228083056228909</v>
      </c>
      <c r="AH127" s="6" t="b">
        <f>AND(W127,I127&gt;=A_t1_fair,((1-A_t1_shrink)*J127+A_t1_shrink*I127)*G127-1&gt;=A_minev,(1-A_t1_shrink)*N127+A_t1_shrink*(I127*G127-1)&gt;0,M_Sims!Q327=1)</f>
        <v>0</v>
      </c>
      <c r="AI127" s="18">
        <f>IF(AH127,M_Sims!R327*A_t1_cap/A_t1_engcap,0)</f>
        <v>0</v>
      </c>
      <c r="AJ127" s="46" t="str">
        <f t="shared" si="42"/>
        <v>-</v>
      </c>
      <c r="AK127" s="7" t="str">
        <f>IF(AH127,M_Sims!S327,"-")</f>
        <v>-</v>
      </c>
      <c r="AL127" s="51">
        <f>M_Sims!M327</f>
        <v>0</v>
      </c>
      <c r="AM127" s="6" t="str">
        <f t="shared" si="43"/>
        <v>-</v>
      </c>
    </row>
    <row r="128" spans="1:39" ht="15" customHeight="1" x14ac:dyDescent="0.3">
      <c r="A128" s="6" t="s">
        <v>286</v>
      </c>
      <c r="B128" s="7" t="str">
        <f>Odds_Input!C253</f>
        <v>Houston Rockets</v>
      </c>
      <c r="C128" s="6" t="s">
        <v>207</v>
      </c>
      <c r="D128" s="7" t="str">
        <f>Odds_Input!D253</f>
        <v>YES</v>
      </c>
      <c r="E128" s="31" t="str">
        <f>Odds_Input!E253</f>
        <v>-</v>
      </c>
      <c r="F128" s="32">
        <f>Odds_Input!F253</f>
        <v>2800</v>
      </c>
      <c r="G128" s="36">
        <f>M_DeVig!H253</f>
        <v>29</v>
      </c>
      <c r="H128" s="7" t="str">
        <f>Odds_Input!G253</f>
        <v>-</v>
      </c>
      <c r="I128" s="42">
        <f>M_DeVig!Q253</f>
        <v>2.4729138122140983E-2</v>
      </c>
      <c r="J128" s="42">
        <f>INDEX(M_Sims!$K$15:$K$44,MATCH($C128,M_Sims!$A$15:$A$44,0))</f>
        <v>9.375E-2</v>
      </c>
      <c r="K128" s="43">
        <f t="shared" si="33"/>
        <v>966.66666666666663</v>
      </c>
      <c r="L128" s="34">
        <f t="shared" si="34"/>
        <v>1.71875</v>
      </c>
      <c r="M128" s="38">
        <f t="shared" si="35"/>
        <v>6.9020861877859021</v>
      </c>
      <c r="N128" s="42">
        <f>M_Sims!B328</f>
        <v>1.2830733333333331</v>
      </c>
      <c r="O128" s="42">
        <f>M_Sims!C328</f>
        <v>2.2744866666666672</v>
      </c>
      <c r="P128" s="42">
        <f>M_Sims!D328</f>
        <v>1</v>
      </c>
      <c r="Q128" s="34">
        <f t="shared" si="36"/>
        <v>5.9239569061070488E-2</v>
      </c>
      <c r="R128" s="18" t="str">
        <f t="shared" si="37"/>
        <v>-</v>
      </c>
      <c r="S128" s="46" t="str">
        <f t="shared" si="38"/>
        <v>-</v>
      </c>
      <c r="T128" s="51" t="str">
        <f>IF(A_tier2_on=1,M_Sims!M328,"-")</f>
        <v>-</v>
      </c>
      <c r="U128" s="46" t="str">
        <f>IF(OR(A_bankroll="",A_tier2_on&lt;&gt;1),"-",MIN(A_maxbet,M_Sims!M328*A_bankroll))</f>
        <v>-</v>
      </c>
      <c r="V128" s="30">
        <f>M_Sims!H328</f>
        <v>1</v>
      </c>
      <c r="W128" s="6" t="b">
        <f>AND(H128&lt;&gt;"IMPUTED_20C_LADDER",L128&gt;=A_minev,N128&gt;0,V128=1,IF(A128="PLAYOFFS",A_poconf=1,TRUE),IF(AND(A128="WINS",A_zs_on=1),AND(AE128&gt;=A_minev,M_Sims!O328&gt;0),TRUE),AF128&gt;=A_minev,AG128&gt;0,IF(I128&lt;A_longthr,(1-A_shrink)*M_Sims!K328+A_shrink*(I128*G128-1)&gt;=A_minev,TRUE),IF(AND(OR(A128="WINS",A128="PLAYOFFS",LEFT(A128,4)="DIV_"),INDEX(Raw_Teams!$F$8:$F$37,MATCH($C128,Raw_Teams!$A$8:$A$37,0))&lt;A_contthr),AND(((1-A_contshrink)*J128+A_contshrink*I128)*G128-1&gt;=A_minev,(1-A_contshrink)*N128+A_contshrink*(I128*G128-1)&gt;0),TRUE),M_Sims!P328=0)</f>
        <v>1</v>
      </c>
      <c r="X128" s="6" t="s">
        <v>1301</v>
      </c>
      <c r="Y128" s="6" t="s">
        <v>1307</v>
      </c>
      <c r="Z128" s="6">
        <v>245</v>
      </c>
      <c r="AA128" s="7" t="str">
        <f t="shared" si="39"/>
        <v>OK - sims match current assumptions</v>
      </c>
      <c r="AB128" s="13" t="s">
        <v>33</v>
      </c>
      <c r="AC128" s="13" t="s">
        <v>33</v>
      </c>
      <c r="AD128" s="13" t="s">
        <v>33</v>
      </c>
      <c r="AE128" s="13" t="s">
        <v>33</v>
      </c>
      <c r="AF128" s="34">
        <f t="shared" si="40"/>
        <v>0.71794750277104424</v>
      </c>
      <c r="AG128" s="34">
        <f t="shared" si="41"/>
        <v>0.50010916943771078</v>
      </c>
      <c r="AH128" s="6" t="b">
        <f>AND(W128,I128&gt;=A_t1_fair,((1-A_t1_shrink)*J128+A_t1_shrink*I128)*G128-1&gt;=A_minev,(1-A_t1_shrink)*N128+A_t1_shrink*(I128*G128-1)&gt;0,M_Sims!Q328=1)</f>
        <v>0</v>
      </c>
      <c r="AI128" s="18">
        <f>IF(AH128,M_Sims!R328*A_t1_cap/A_t1_engcap,0)</f>
        <v>0</v>
      </c>
      <c r="AJ128" s="46" t="str">
        <f t="shared" si="42"/>
        <v>-</v>
      </c>
      <c r="AK128" s="7" t="str">
        <f>IF(AH128,M_Sims!S328,"-")</f>
        <v>-</v>
      </c>
      <c r="AL128" s="51">
        <f>M_Sims!M328</f>
        <v>2.0877299337426999E-3</v>
      </c>
      <c r="AM128" s="6" t="str">
        <f t="shared" si="43"/>
        <v>Tier 2</v>
      </c>
    </row>
    <row r="129" spans="1:39" ht="15" customHeight="1" x14ac:dyDescent="0.3">
      <c r="A129" s="6" t="s">
        <v>286</v>
      </c>
      <c r="B129" s="7" t="str">
        <f>Odds_Input!C254</f>
        <v>Atlanta Hawks</v>
      </c>
      <c r="C129" s="6" t="s">
        <v>197</v>
      </c>
      <c r="D129" s="7" t="str">
        <f>Odds_Input!D254</f>
        <v>YES</v>
      </c>
      <c r="E129" s="31" t="str">
        <f>Odds_Input!E254</f>
        <v>-</v>
      </c>
      <c r="F129" s="32">
        <f>Odds_Input!F254</f>
        <v>2800</v>
      </c>
      <c r="G129" s="36">
        <f>M_DeVig!H254</f>
        <v>29</v>
      </c>
      <c r="H129" s="7" t="str">
        <f>Odds_Input!G254</f>
        <v>-</v>
      </c>
      <c r="I129" s="42">
        <f>M_DeVig!Q254</f>
        <v>2.4729138122140983E-2</v>
      </c>
      <c r="J129" s="42">
        <f>INDEX(M_Sims!$K$15:$K$44,MATCH($C129,M_Sims!$A$15:$A$44,0))</f>
        <v>2.1760000000000002E-2</v>
      </c>
      <c r="K129" s="43">
        <f t="shared" si="33"/>
        <v>4495.5882352941171</v>
      </c>
      <c r="L129" s="34">
        <f t="shared" si="34"/>
        <v>-0.36895999999999995</v>
      </c>
      <c r="M129" s="38">
        <f t="shared" si="35"/>
        <v>-0.29691381221409807</v>
      </c>
      <c r="N129" s="42">
        <f>M_Sims!B329</f>
        <v>-0.52323999999999993</v>
      </c>
      <c r="O129" s="42">
        <f>M_Sims!C329</f>
        <v>-0.1657666666666667</v>
      </c>
      <c r="P129" s="42">
        <f>M_Sims!D329</f>
        <v>0</v>
      </c>
      <c r="Q129" s="34">
        <f t="shared" si="36"/>
        <v>2.3244569061070492E-2</v>
      </c>
      <c r="R129" s="18" t="str">
        <f t="shared" si="37"/>
        <v>-</v>
      </c>
      <c r="S129" s="46" t="str">
        <f t="shared" si="38"/>
        <v>-</v>
      </c>
      <c r="T129" s="51" t="str">
        <f>IF(A_tier2_on=1,M_Sims!M329,"-")</f>
        <v>-</v>
      </c>
      <c r="U129" s="46" t="str">
        <f>IF(OR(A_bankroll="",A_tier2_on&lt;&gt;1),"-",MIN(A_maxbet,M_Sims!M329*A_bankroll))</f>
        <v>-</v>
      </c>
      <c r="V129" s="30">
        <f>M_Sims!H329</f>
        <v>1</v>
      </c>
      <c r="W129" s="6" t="b">
        <f>AND(H129&lt;&gt;"IMPUTED_20C_LADDER",L129&gt;=A_minev,N129&gt;0,V129=1,IF(A129="PLAYOFFS",A_poconf=1,TRUE),IF(AND(A129="WINS",A_zs_on=1),AND(AE129&gt;=A_minev,M_Sims!O329&gt;0),TRUE),AF129&gt;=A_minev,AG129&gt;0,IF(I129&lt;A_longthr,(1-A_shrink)*M_Sims!K329+A_shrink*(I129*G129-1)&gt;=A_minev,TRUE),IF(AND(OR(A129="WINS",A129="PLAYOFFS",LEFT(A129,4)="DIV_"),INDEX(Raw_Teams!$F$8:$F$37,MATCH($C129,Raw_Teams!$A$8:$A$37,0))&lt;A_contthr),AND(((1-A_contshrink)*J129+A_contshrink*I129)*G129-1&gt;=A_minev,(1-A_contshrink)*N129+A_contshrink*(I129*G129-1)&gt;0),TRUE),M_Sims!P329=0)</f>
        <v>0</v>
      </c>
      <c r="X129" s="6" t="s">
        <v>1301</v>
      </c>
      <c r="Y129" s="6" t="s">
        <v>1307</v>
      </c>
      <c r="Z129" s="6">
        <v>246</v>
      </c>
      <c r="AA129" s="7" t="str">
        <f t="shared" si="39"/>
        <v>OK - sims match current assumptions</v>
      </c>
      <c r="AB129" s="13" t="s">
        <v>33</v>
      </c>
      <c r="AC129" s="13" t="s">
        <v>33</v>
      </c>
      <c r="AD129" s="13" t="s">
        <v>33</v>
      </c>
      <c r="AE129" s="13" t="s">
        <v>33</v>
      </c>
      <c r="AF129" s="34">
        <f t="shared" si="40"/>
        <v>-0.32590749722895573</v>
      </c>
      <c r="AG129" s="34">
        <f t="shared" si="41"/>
        <v>-0.40304749722895572</v>
      </c>
      <c r="AH129" s="6" t="b">
        <f>AND(W129,I129&gt;=A_t1_fair,((1-A_t1_shrink)*J129+A_t1_shrink*I129)*G129-1&gt;=A_minev,(1-A_t1_shrink)*N129+A_t1_shrink*(I129*G129-1)&gt;0,M_Sims!Q329=1)</f>
        <v>0</v>
      </c>
      <c r="AI129" s="18">
        <f>IF(AH129,M_Sims!R329*A_t1_cap/A_t1_engcap,0)</f>
        <v>0</v>
      </c>
      <c r="AJ129" s="46" t="str">
        <f t="shared" si="42"/>
        <v>-</v>
      </c>
      <c r="AK129" s="7" t="str">
        <f>IF(AH129,M_Sims!S329,"-")</f>
        <v>-</v>
      </c>
      <c r="AL129" s="51">
        <f>M_Sims!M329</f>
        <v>0</v>
      </c>
      <c r="AM129" s="6" t="str">
        <f t="shared" si="43"/>
        <v>-</v>
      </c>
    </row>
    <row r="130" spans="1:39" ht="15" customHeight="1" x14ac:dyDescent="0.3">
      <c r="A130" s="6" t="s">
        <v>286</v>
      </c>
      <c r="B130" s="7" t="str">
        <f>Odds_Input!C255</f>
        <v>Cleveland Cavaliers</v>
      </c>
      <c r="C130" s="6" t="s">
        <v>202</v>
      </c>
      <c r="D130" s="7" t="str">
        <f>Odds_Input!D255</f>
        <v>YES</v>
      </c>
      <c r="E130" s="31" t="str">
        <f>Odds_Input!E255</f>
        <v>-</v>
      </c>
      <c r="F130" s="32">
        <f>Odds_Input!F255</f>
        <v>3000</v>
      </c>
      <c r="G130" s="36">
        <f>M_DeVig!H255</f>
        <v>31</v>
      </c>
      <c r="H130" s="7" t="str">
        <f>Odds_Input!G255</f>
        <v>-</v>
      </c>
      <c r="I130" s="42">
        <f>M_DeVig!Q255</f>
        <v>2.280953459067752E-2</v>
      </c>
      <c r="J130" s="42">
        <f>INDEX(M_Sims!$K$15:$K$44,MATCH($C130,M_Sims!$A$15:$A$44,0))</f>
        <v>4.2169999999999999E-2</v>
      </c>
      <c r="K130" s="43">
        <f t="shared" si="33"/>
        <v>2271.3540431586434</v>
      </c>
      <c r="L130" s="34">
        <f t="shared" si="34"/>
        <v>0.30726999999999993</v>
      </c>
      <c r="M130" s="38">
        <f t="shared" si="35"/>
        <v>1.9360465409322478</v>
      </c>
      <c r="N130" s="42">
        <f>M_Sims!B330</f>
        <v>0.1263333333333333</v>
      </c>
      <c r="O130" s="42">
        <f>M_Sims!C330</f>
        <v>0.41029333333333329</v>
      </c>
      <c r="P130" s="42">
        <f>M_Sims!D330</f>
        <v>1</v>
      </c>
      <c r="Q130" s="34">
        <f t="shared" si="36"/>
        <v>3.2489767295338756E-2</v>
      </c>
      <c r="R130" s="18" t="str">
        <f t="shared" si="37"/>
        <v>-</v>
      </c>
      <c r="S130" s="46" t="str">
        <f t="shared" si="38"/>
        <v>-</v>
      </c>
      <c r="T130" s="51" t="str">
        <f>IF(A_tier2_on=1,M_Sims!M330,"-")</f>
        <v>-</v>
      </c>
      <c r="U130" s="46" t="str">
        <f>IF(OR(A_bankroll="",A_tier2_on&lt;&gt;1),"-",MIN(A_maxbet,M_Sims!M330*A_bankroll))</f>
        <v>-</v>
      </c>
      <c r="V130" s="30">
        <f>M_Sims!H330</f>
        <v>1</v>
      </c>
      <c r="W130" s="6" t="b">
        <f>AND(H130&lt;&gt;"IMPUTED_20C_LADDER",L130&gt;=A_minev,N130&gt;0,V130=1,IF(A130="PLAYOFFS",A_poconf=1,TRUE),IF(AND(A130="WINS",A_zs_on=1),AND(AE130&gt;=A_minev,M_Sims!O330&gt;0),TRUE),AF130&gt;=A_minev,AG130&gt;0,IF(I130&lt;A_longthr,(1-A_shrink)*M_Sims!K330+A_shrink*(I130*G130-1)&gt;=A_minev,TRUE),IF(AND(OR(A130="WINS",A130="PLAYOFFS",LEFT(A130,4)="DIV_"),INDEX(Raw_Teams!$F$8:$F$37,MATCH($C130,Raw_Teams!$A$8:$A$37,0))&lt;A_contthr),AND(((1-A_contshrink)*J130+A_contshrink*I130)*G130-1&gt;=A_minev,(1-A_contshrink)*N130+A_contshrink*(I130*G130-1)&gt;0),TRUE),M_Sims!P330=0)</f>
        <v>0</v>
      </c>
      <c r="X130" s="6" t="s">
        <v>1301</v>
      </c>
      <c r="Y130" s="6" t="s">
        <v>1307</v>
      </c>
      <c r="Z130" s="6">
        <v>247</v>
      </c>
      <c r="AA130" s="7" t="str">
        <f t="shared" si="39"/>
        <v>OK - sims match current assumptions</v>
      </c>
      <c r="AB130" s="13" t="s">
        <v>33</v>
      </c>
      <c r="AC130" s="13" t="s">
        <v>33</v>
      </c>
      <c r="AD130" s="13" t="s">
        <v>33</v>
      </c>
      <c r="AE130" s="13" t="s">
        <v>33</v>
      </c>
      <c r="AF130" s="34">
        <f t="shared" si="40"/>
        <v>7.1827861555013861E-3</v>
      </c>
      <c r="AG130" s="34">
        <f t="shared" si="41"/>
        <v>-8.3285547177831765E-2</v>
      </c>
      <c r="AH130" s="6" t="b">
        <f>AND(W130,I130&gt;=A_t1_fair,((1-A_t1_shrink)*J130+A_t1_shrink*I130)*G130-1&gt;=A_minev,(1-A_t1_shrink)*N130+A_t1_shrink*(I130*G130-1)&gt;0,M_Sims!Q330=1)</f>
        <v>0</v>
      </c>
      <c r="AI130" s="18">
        <f>IF(AH130,M_Sims!R330*A_t1_cap/A_t1_engcap,0)</f>
        <v>0</v>
      </c>
      <c r="AJ130" s="46" t="str">
        <f t="shared" si="42"/>
        <v>-</v>
      </c>
      <c r="AK130" s="7" t="str">
        <f>IF(AH130,M_Sims!S330,"-")</f>
        <v>-</v>
      </c>
      <c r="AL130" s="51">
        <f>M_Sims!M330</f>
        <v>0</v>
      </c>
      <c r="AM130" s="6" t="str">
        <f t="shared" si="43"/>
        <v>-</v>
      </c>
    </row>
    <row r="131" spans="1:39" ht="15" customHeight="1" x14ac:dyDescent="0.3">
      <c r="A131" s="6" t="s">
        <v>286</v>
      </c>
      <c r="B131" s="7" t="str">
        <f>Odds_Input!C256</f>
        <v>Miami Heat</v>
      </c>
      <c r="C131" s="6" t="s">
        <v>212</v>
      </c>
      <c r="D131" s="7" t="str">
        <f>Odds_Input!D256</f>
        <v>YES</v>
      </c>
      <c r="E131" s="31" t="str">
        <f>Odds_Input!E256</f>
        <v>-</v>
      </c>
      <c r="F131" s="32">
        <f>Odds_Input!F256</f>
        <v>3500</v>
      </c>
      <c r="G131" s="36">
        <f>M_DeVig!H256</f>
        <v>36</v>
      </c>
      <c r="H131" s="7" t="str">
        <f>Odds_Input!G256</f>
        <v>-</v>
      </c>
      <c r="I131" s="42">
        <f>M_DeVig!Q256</f>
        <v>1.8964355445362673E-2</v>
      </c>
      <c r="J131" s="42">
        <f>INDEX(M_Sims!$K$15:$K$44,MATCH($C131,M_Sims!$A$15:$A$44,0))</f>
        <v>1.0460000000000001E-2</v>
      </c>
      <c r="K131" s="43">
        <f t="shared" si="33"/>
        <v>9460.2294455066913</v>
      </c>
      <c r="L131" s="34">
        <f t="shared" si="34"/>
        <v>-0.62343999999999999</v>
      </c>
      <c r="M131" s="38">
        <f t="shared" si="35"/>
        <v>-0.85043554453626724</v>
      </c>
      <c r="N131" s="42">
        <f>M_Sims!B331</f>
        <v>-0.71704000000000012</v>
      </c>
      <c r="O131" s="42">
        <f>M_Sims!C331</f>
        <v>-0.55911999999999995</v>
      </c>
      <c r="P131" s="42">
        <f>M_Sims!D331</f>
        <v>0</v>
      </c>
      <c r="Q131" s="34">
        <f t="shared" si="36"/>
        <v>1.4712177722681337E-2</v>
      </c>
      <c r="R131" s="18" t="str">
        <f t="shared" si="37"/>
        <v>-</v>
      </c>
      <c r="S131" s="46" t="str">
        <f t="shared" si="38"/>
        <v>-</v>
      </c>
      <c r="T131" s="51" t="str">
        <f>IF(A_tier2_on=1,M_Sims!M331,"-")</f>
        <v>-</v>
      </c>
      <c r="U131" s="46" t="str">
        <f>IF(OR(A_bankroll="",A_tier2_on&lt;&gt;1),"-",MIN(A_maxbet,M_Sims!M331*A_bankroll))</f>
        <v>-</v>
      </c>
      <c r="V131" s="30">
        <f>M_Sims!H331</f>
        <v>1</v>
      </c>
      <c r="W131" s="6" t="b">
        <f>AND(H131&lt;&gt;"IMPUTED_20C_LADDER",L131&gt;=A_minev,N131&gt;0,V131=1,IF(A131="PLAYOFFS",A_poconf=1,TRUE),IF(AND(A131="WINS",A_zs_on=1),AND(AE131&gt;=A_minev,M_Sims!O331&gt;0),TRUE),AF131&gt;=A_minev,AG131&gt;0,IF(I131&lt;A_longthr,(1-A_shrink)*M_Sims!K331+A_shrink*(I131*G131-1)&gt;=A_minev,TRUE),IF(AND(OR(A131="WINS",A131="PLAYOFFS",LEFT(A131,4)="DIV_"),INDEX(Raw_Teams!$F$8:$F$37,MATCH($C131,Raw_Teams!$A$8:$A$37,0))&lt;A_contthr),AND(((1-A_contshrink)*J131+A_contshrink*I131)*G131-1&gt;=A_minev,(1-A_contshrink)*N131+A_contshrink*(I131*G131-1)&gt;0),TRUE),M_Sims!P331=0)</f>
        <v>0</v>
      </c>
      <c r="X131" s="6" t="s">
        <v>1301</v>
      </c>
      <c r="Y131" s="6" t="s">
        <v>1307</v>
      </c>
      <c r="Z131" s="6">
        <v>248</v>
      </c>
      <c r="AA131" s="7" t="str">
        <f t="shared" si="39"/>
        <v>OK - sims match current assumptions</v>
      </c>
      <c r="AB131" s="13" t="s">
        <v>33</v>
      </c>
      <c r="AC131" s="13" t="s">
        <v>33</v>
      </c>
      <c r="AD131" s="13" t="s">
        <v>33</v>
      </c>
      <c r="AE131" s="13" t="s">
        <v>33</v>
      </c>
      <c r="AF131" s="34">
        <f t="shared" si="40"/>
        <v>-0.47036160198347188</v>
      </c>
      <c r="AG131" s="34">
        <f t="shared" si="41"/>
        <v>-0.51716160198347194</v>
      </c>
      <c r="AH131" s="6" t="b">
        <f>AND(W131,I131&gt;=A_t1_fair,((1-A_t1_shrink)*J131+A_t1_shrink*I131)*G131-1&gt;=A_minev,(1-A_t1_shrink)*N131+A_t1_shrink*(I131*G131-1)&gt;0,M_Sims!Q331=1)</f>
        <v>0</v>
      </c>
      <c r="AI131" s="18">
        <f>IF(AH131,M_Sims!R331*A_t1_cap/A_t1_engcap,0)</f>
        <v>0</v>
      </c>
      <c r="AJ131" s="46" t="str">
        <f t="shared" si="42"/>
        <v>-</v>
      </c>
      <c r="AK131" s="7" t="str">
        <f>IF(AH131,M_Sims!S331,"-")</f>
        <v>-</v>
      </c>
      <c r="AL131" s="51">
        <f>M_Sims!M331</f>
        <v>0</v>
      </c>
      <c r="AM131" s="6" t="str">
        <f t="shared" si="43"/>
        <v>-</v>
      </c>
    </row>
    <row r="132" spans="1:39" ht="15" customHeight="1" x14ac:dyDescent="0.3">
      <c r="A132" s="6" t="s">
        <v>286</v>
      </c>
      <c r="B132" s="7" t="str">
        <f>Odds_Input!C257</f>
        <v>Indiana Pacers</v>
      </c>
      <c r="C132" s="6" t="s">
        <v>208</v>
      </c>
      <c r="D132" s="7" t="str">
        <f>Odds_Input!D257</f>
        <v>YES</v>
      </c>
      <c r="E132" s="31" t="str">
        <f>Odds_Input!E257</f>
        <v>-</v>
      </c>
      <c r="F132" s="32">
        <f>Odds_Input!F257</f>
        <v>4000</v>
      </c>
      <c r="G132" s="36">
        <f>M_DeVig!H257</f>
        <v>41</v>
      </c>
      <c r="H132" s="7" t="str">
        <f>Odds_Input!G257</f>
        <v>-</v>
      </c>
      <c r="I132" s="42">
        <f>M_DeVig!Q257</f>
        <v>1.6082458794396223E-2</v>
      </c>
      <c r="J132" s="42">
        <f>INDEX(M_Sims!$K$15:$K$44,MATCH($C132,M_Sims!$A$15:$A$44,0))</f>
        <v>2.1309999999999999E-2</v>
      </c>
      <c r="K132" s="43">
        <f t="shared" si="33"/>
        <v>4592.6325668700147</v>
      </c>
      <c r="L132" s="34">
        <f t="shared" si="34"/>
        <v>-0.12629000000000001</v>
      </c>
      <c r="M132" s="38">
        <f t="shared" si="35"/>
        <v>0.52275412056037762</v>
      </c>
      <c r="N132" s="42">
        <f>M_Sims!B332</f>
        <v>-0.19968</v>
      </c>
      <c r="O132" s="42">
        <f>M_Sims!C332</f>
        <v>-2.1193333333333099E-2</v>
      </c>
      <c r="P132" s="42">
        <f>M_Sims!D332</f>
        <v>0.1</v>
      </c>
      <c r="Q132" s="34">
        <f t="shared" si="36"/>
        <v>1.8696229397198109E-2</v>
      </c>
      <c r="R132" s="18" t="str">
        <f t="shared" si="37"/>
        <v>-</v>
      </c>
      <c r="S132" s="46" t="str">
        <f t="shared" si="38"/>
        <v>-</v>
      </c>
      <c r="T132" s="51" t="str">
        <f>IF(A_tier2_on=1,M_Sims!M332,"-")</f>
        <v>-</v>
      </c>
      <c r="U132" s="46" t="str">
        <f>IF(OR(A_bankroll="",A_tier2_on&lt;&gt;1),"-",MIN(A_maxbet,M_Sims!M332*A_bankroll))</f>
        <v>-</v>
      </c>
      <c r="V132" s="30">
        <f>M_Sims!H332</f>
        <v>1</v>
      </c>
      <c r="W132" s="6" t="b">
        <f>AND(H132&lt;&gt;"IMPUTED_20C_LADDER",L132&gt;=A_minev,N132&gt;0,V132=1,IF(A132="PLAYOFFS",A_poconf=1,TRUE),IF(AND(A132="WINS",A_zs_on=1),AND(AE132&gt;=A_minev,M_Sims!O332&gt;0),TRUE),AF132&gt;=A_minev,AG132&gt;0,IF(I132&lt;A_longthr,(1-A_shrink)*M_Sims!K332+A_shrink*(I132*G132-1)&gt;=A_minev,TRUE),IF(AND(OR(A132="WINS",A132="PLAYOFFS",LEFT(A132,4)="DIV_"),INDEX(Raw_Teams!$F$8:$F$37,MATCH($C132,Raw_Teams!$A$8:$A$37,0))&lt;A_contthr),AND(((1-A_contshrink)*J132+A_contshrink*I132)*G132-1&gt;=A_minev,(1-A_contshrink)*N132+A_contshrink*(I132*G132-1)&gt;0),TRUE),M_Sims!P332=0)</f>
        <v>0</v>
      </c>
      <c r="X132" s="6" t="s">
        <v>1301</v>
      </c>
      <c r="Y132" s="6" t="s">
        <v>1307</v>
      </c>
      <c r="Z132" s="6">
        <v>249</v>
      </c>
      <c r="AA132" s="7" t="str">
        <f t="shared" si="39"/>
        <v>OK - sims match current assumptions</v>
      </c>
      <c r="AB132" s="13" t="s">
        <v>33</v>
      </c>
      <c r="AC132" s="13" t="s">
        <v>33</v>
      </c>
      <c r="AD132" s="13" t="s">
        <v>33</v>
      </c>
      <c r="AE132" s="13" t="s">
        <v>33</v>
      </c>
      <c r="AF132" s="34">
        <f t="shared" si="40"/>
        <v>-0.23345459471487751</v>
      </c>
      <c r="AG132" s="34">
        <f t="shared" si="41"/>
        <v>-0.27014959471487743</v>
      </c>
      <c r="AH132" s="6" t="b">
        <f>AND(W132,I132&gt;=A_t1_fair,((1-A_t1_shrink)*J132+A_t1_shrink*I132)*G132-1&gt;=A_minev,(1-A_t1_shrink)*N132+A_t1_shrink*(I132*G132-1)&gt;0,M_Sims!Q332=1)</f>
        <v>0</v>
      </c>
      <c r="AI132" s="18">
        <f>IF(AH132,M_Sims!R332*A_t1_cap/A_t1_engcap,0)</f>
        <v>0</v>
      </c>
      <c r="AJ132" s="46" t="str">
        <f t="shared" si="42"/>
        <v>-</v>
      </c>
      <c r="AK132" s="7" t="str">
        <f>IF(AH132,M_Sims!S332,"-")</f>
        <v>-</v>
      </c>
      <c r="AL132" s="51">
        <f>M_Sims!M332</f>
        <v>0</v>
      </c>
      <c r="AM132" s="6" t="str">
        <f t="shared" si="43"/>
        <v>-</v>
      </c>
    </row>
    <row r="133" spans="1:39" ht="15" customHeight="1" x14ac:dyDescent="0.3">
      <c r="A133" s="6" t="s">
        <v>286</v>
      </c>
      <c r="B133" s="7" t="str">
        <f>Odds_Input!C258</f>
        <v>Portland Trail Blazers</v>
      </c>
      <c r="C133" s="6" t="s">
        <v>221</v>
      </c>
      <c r="D133" s="7" t="str">
        <f>Odds_Input!D258</f>
        <v>YES</v>
      </c>
      <c r="E133" s="31" t="str">
        <f>Odds_Input!E258</f>
        <v>-</v>
      </c>
      <c r="F133" s="32">
        <f>Odds_Input!F258</f>
        <v>5000</v>
      </c>
      <c r="G133" s="36">
        <f>M_DeVig!H258</f>
        <v>51</v>
      </c>
      <c r="H133" s="7" t="str">
        <f>Odds_Input!G258</f>
        <v>-</v>
      </c>
      <c r="I133" s="42">
        <f>M_DeVig!Q258</f>
        <v>1.2072945956665516E-2</v>
      </c>
      <c r="J133" s="42">
        <f>INDEX(M_Sims!$K$15:$K$44,MATCH($C133,M_Sims!$A$15:$A$44,0))</f>
        <v>3.2300000000000002E-2</v>
      </c>
      <c r="K133" s="43">
        <f t="shared" si="33"/>
        <v>2995.9752321981423</v>
      </c>
      <c r="L133" s="34">
        <f t="shared" si="34"/>
        <v>0.64730000000000021</v>
      </c>
      <c r="M133" s="38">
        <f t="shared" si="35"/>
        <v>2.0227054043334487</v>
      </c>
      <c r="N133" s="42">
        <f>M_Sims!B333</f>
        <v>0.41677999999999987</v>
      </c>
      <c r="O133" s="42">
        <f>M_Sims!C333</f>
        <v>0.83939999999999992</v>
      </c>
      <c r="P133" s="42">
        <f>M_Sims!D333</f>
        <v>1</v>
      </c>
      <c r="Q133" s="34">
        <f t="shared" si="36"/>
        <v>2.2186472978332761E-2</v>
      </c>
      <c r="R133" s="18" t="str">
        <f t="shared" si="37"/>
        <v>-</v>
      </c>
      <c r="S133" s="46" t="str">
        <f t="shared" si="38"/>
        <v>-</v>
      </c>
      <c r="T133" s="51" t="str">
        <f>IF(A_tier2_on=1,M_Sims!M333,"-")</f>
        <v>-</v>
      </c>
      <c r="U133" s="46" t="str">
        <f>IF(OR(A_bankroll="",A_tier2_on&lt;&gt;1),"-",MIN(A_maxbet,M_Sims!M333*A_bankroll))</f>
        <v>-</v>
      </c>
      <c r="V133" s="30">
        <f>M_Sims!H333</f>
        <v>1</v>
      </c>
      <c r="W133" s="6" t="b">
        <f>AND(H133&lt;&gt;"IMPUTED_20C_LADDER",L133&gt;=A_minev,N133&gt;0,V133=1,IF(A133="PLAYOFFS",A_poconf=1,TRUE),IF(AND(A133="WINS",A_zs_on=1),AND(AE133&gt;=A_minev,M_Sims!O333&gt;0),TRUE),AF133&gt;=A_minev,AG133&gt;0,IF(I133&lt;A_longthr,(1-A_shrink)*M_Sims!K333+A_shrink*(I133*G133-1)&gt;=A_minev,TRUE),IF(AND(OR(A133="WINS",A133="PLAYOFFS",LEFT(A133,4)="DIV_"),INDEX(Raw_Teams!$F$8:$F$37,MATCH($C133,Raw_Teams!$A$8:$A$37,0))&lt;A_contthr),AND(((1-A_contshrink)*J133+A_contshrink*I133)*G133-1&gt;=A_minev,(1-A_contshrink)*N133+A_contshrink*(I133*G133-1)&gt;0),TRUE),M_Sims!P333=0)</f>
        <v>1</v>
      </c>
      <c r="X133" s="6" t="s">
        <v>1301</v>
      </c>
      <c r="Y133" s="6" t="s">
        <v>1307</v>
      </c>
      <c r="Z133" s="6">
        <v>250</v>
      </c>
      <c r="AA133" s="7" t="str">
        <f t="shared" si="39"/>
        <v>OK - sims match current assumptions</v>
      </c>
      <c r="AB133" s="13" t="s">
        <v>33</v>
      </c>
      <c r="AC133" s="13" t="s">
        <v>33</v>
      </c>
      <c r="AD133" s="13" t="s">
        <v>33</v>
      </c>
      <c r="AE133" s="13" t="s">
        <v>33</v>
      </c>
      <c r="AF133" s="34">
        <f t="shared" si="40"/>
        <v>0.1315101218949708</v>
      </c>
      <c r="AG133" s="34">
        <f t="shared" si="41"/>
        <v>1.6250121894970576E-2</v>
      </c>
      <c r="AH133" s="6" t="b">
        <f>AND(W133,I133&gt;=A_t1_fair,((1-A_t1_shrink)*J133+A_t1_shrink*I133)*G133-1&gt;=A_minev,(1-A_t1_shrink)*N133+A_t1_shrink*(I133*G133-1)&gt;0,M_Sims!Q333=1)</f>
        <v>0</v>
      </c>
      <c r="AI133" s="18">
        <f>IF(AH133,M_Sims!R333*A_t1_cap/A_t1_engcap,0)</f>
        <v>0</v>
      </c>
      <c r="AJ133" s="46" t="str">
        <f t="shared" si="42"/>
        <v>-</v>
      </c>
      <c r="AK133" s="7" t="str">
        <f>IF(AH133,M_Sims!S333,"-")</f>
        <v>-</v>
      </c>
      <c r="AL133" s="51">
        <f>M_Sims!M333</f>
        <v>9.7583847574180004E-4</v>
      </c>
      <c r="AM133" s="6" t="str">
        <f t="shared" si="43"/>
        <v>Tier 2</v>
      </c>
    </row>
    <row r="134" spans="1:39" ht="15" customHeight="1" x14ac:dyDescent="0.3">
      <c r="A134" s="6" t="s">
        <v>286</v>
      </c>
      <c r="B134" s="7" t="str">
        <f>Odds_Input!C259</f>
        <v>Phoenix Suns</v>
      </c>
      <c r="C134" s="6" t="s">
        <v>220</v>
      </c>
      <c r="D134" s="7" t="str">
        <f>Odds_Input!D259</f>
        <v>YES</v>
      </c>
      <c r="E134" s="31" t="str">
        <f>Odds_Input!E259</f>
        <v>-</v>
      </c>
      <c r="F134" s="32">
        <f>Odds_Input!F259</f>
        <v>5000</v>
      </c>
      <c r="G134" s="36">
        <f>M_DeVig!H259</f>
        <v>51</v>
      </c>
      <c r="H134" s="7" t="str">
        <f>Odds_Input!G259</f>
        <v>-</v>
      </c>
      <c r="I134" s="42">
        <f>M_DeVig!Q259</f>
        <v>1.2072945956665516E-2</v>
      </c>
      <c r="J134" s="42">
        <f>INDEX(M_Sims!$K$15:$K$44,MATCH($C134,M_Sims!$A$15:$A$44,0))</f>
        <v>1.3050000000000001E-2</v>
      </c>
      <c r="K134" s="43">
        <f t="shared" si="33"/>
        <v>7562.8352490421448</v>
      </c>
      <c r="L134" s="34">
        <f t="shared" si="34"/>
        <v>-0.33444999999999991</v>
      </c>
      <c r="M134" s="38">
        <f t="shared" si="35"/>
        <v>9.7705404333448514E-2</v>
      </c>
      <c r="N134" s="42">
        <f>M_Sims!B334</f>
        <v>-0.50428000000000006</v>
      </c>
      <c r="O134" s="42">
        <f>M_Sims!C334</f>
        <v>-0.1591799999999999</v>
      </c>
      <c r="P134" s="42">
        <f>M_Sims!D334</f>
        <v>1.6666666666666601E-2</v>
      </c>
      <c r="Q134" s="34">
        <f t="shared" si="36"/>
        <v>1.2561472978332759E-2</v>
      </c>
      <c r="R134" s="18" t="str">
        <f t="shared" si="37"/>
        <v>-</v>
      </c>
      <c r="S134" s="46" t="str">
        <f t="shared" si="38"/>
        <v>-</v>
      </c>
      <c r="T134" s="51" t="str">
        <f>IF(A_tier2_on=1,M_Sims!M334,"-")</f>
        <v>-</v>
      </c>
      <c r="U134" s="46" t="str">
        <f>IF(OR(A_bankroll="",A_tier2_on&lt;&gt;1),"-",MIN(A_maxbet,M_Sims!M334*A_bankroll))</f>
        <v>-</v>
      </c>
      <c r="V134" s="30">
        <f>M_Sims!H334</f>
        <v>1</v>
      </c>
      <c r="W134" s="6" t="b">
        <f>AND(H134&lt;&gt;"IMPUTED_20C_LADDER",L134&gt;=A_minev,N134&gt;0,V134=1,IF(A134="PLAYOFFS",A_poconf=1,TRUE),IF(AND(A134="WINS",A_zs_on=1),AND(AE134&gt;=A_minev,M_Sims!O334&gt;0),TRUE),AF134&gt;=A_minev,AG134&gt;0,IF(I134&lt;A_longthr,(1-A_shrink)*M_Sims!K334+A_shrink*(I134*G134-1)&gt;=A_minev,TRUE),IF(AND(OR(A134="WINS",A134="PLAYOFFS",LEFT(A134,4)="DIV_"),INDEX(Raw_Teams!$F$8:$F$37,MATCH($C134,Raw_Teams!$A$8:$A$37,0))&lt;A_contthr),AND(((1-A_contshrink)*J134+A_contshrink*I134)*G134-1&gt;=A_minev,(1-A_contshrink)*N134+A_contshrink*(I134*G134-1)&gt;0),TRUE),M_Sims!P334=0)</f>
        <v>0</v>
      </c>
      <c r="X134" s="6" t="s">
        <v>1301</v>
      </c>
      <c r="Y134" s="6" t="s">
        <v>1307</v>
      </c>
      <c r="Z134" s="6">
        <v>251</v>
      </c>
      <c r="AA134" s="7" t="str">
        <f t="shared" si="39"/>
        <v>OK - sims match current assumptions</v>
      </c>
      <c r="AB134" s="13" t="s">
        <v>33</v>
      </c>
      <c r="AC134" s="13" t="s">
        <v>33</v>
      </c>
      <c r="AD134" s="13" t="s">
        <v>33</v>
      </c>
      <c r="AE134" s="13" t="s">
        <v>33</v>
      </c>
      <c r="AF134" s="34">
        <f t="shared" si="40"/>
        <v>-0.35936487810502926</v>
      </c>
      <c r="AG134" s="34">
        <f t="shared" si="41"/>
        <v>-0.44427987810502939</v>
      </c>
      <c r="AH134" s="6" t="b">
        <f>AND(W134,I134&gt;=A_t1_fair,((1-A_t1_shrink)*J134+A_t1_shrink*I134)*G134-1&gt;=A_minev,(1-A_t1_shrink)*N134+A_t1_shrink*(I134*G134-1)&gt;0,M_Sims!Q334=1)</f>
        <v>0</v>
      </c>
      <c r="AI134" s="18">
        <f>IF(AH134,M_Sims!R334*A_t1_cap/A_t1_engcap,0)</f>
        <v>0</v>
      </c>
      <c r="AJ134" s="46" t="str">
        <f t="shared" si="42"/>
        <v>-</v>
      </c>
      <c r="AK134" s="7" t="str">
        <f>IF(AH134,M_Sims!S334,"-")</f>
        <v>-</v>
      </c>
      <c r="AL134" s="51">
        <f>M_Sims!M334</f>
        <v>0</v>
      </c>
      <c r="AM134" s="6" t="str">
        <f t="shared" si="43"/>
        <v>-</v>
      </c>
    </row>
    <row r="135" spans="1:39" ht="15" customHeight="1" x14ac:dyDescent="0.3">
      <c r="A135" s="6" t="s">
        <v>286</v>
      </c>
      <c r="B135" s="7" t="str">
        <f>Odds_Input!C260</f>
        <v>Charlotte Hornets</v>
      </c>
      <c r="C135" s="6" t="s">
        <v>200</v>
      </c>
      <c r="D135" s="7" t="str">
        <f>Odds_Input!D260</f>
        <v>YES</v>
      </c>
      <c r="E135" s="31" t="str">
        <f>Odds_Input!E260</f>
        <v>-</v>
      </c>
      <c r="F135" s="32">
        <f>Odds_Input!F260</f>
        <v>5000</v>
      </c>
      <c r="G135" s="36">
        <f>M_DeVig!H260</f>
        <v>51</v>
      </c>
      <c r="H135" s="7" t="str">
        <f>Odds_Input!G260</f>
        <v>-</v>
      </c>
      <c r="I135" s="42">
        <f>M_DeVig!Q260</f>
        <v>1.2072945956665516E-2</v>
      </c>
      <c r="J135" s="42">
        <f>INDEX(M_Sims!$K$15:$K$44,MATCH($C135,M_Sims!$A$15:$A$44,0))</f>
        <v>1.426E-2</v>
      </c>
      <c r="K135" s="43">
        <f t="shared" si="33"/>
        <v>6912.6227208976152</v>
      </c>
      <c r="L135" s="34">
        <f t="shared" si="34"/>
        <v>-0.27273999999999998</v>
      </c>
      <c r="M135" s="38">
        <f t="shared" si="35"/>
        <v>0.21870540433344843</v>
      </c>
      <c r="N135" s="42">
        <f>M_Sims!B335</f>
        <v>-0.45157999999999998</v>
      </c>
      <c r="O135" s="42">
        <f>M_Sims!C335</f>
        <v>-0.1778799999999999</v>
      </c>
      <c r="P135" s="42">
        <f>M_Sims!D335</f>
        <v>0</v>
      </c>
      <c r="Q135" s="34">
        <f t="shared" si="36"/>
        <v>1.3166472978332757E-2</v>
      </c>
      <c r="R135" s="18" t="str">
        <f t="shared" si="37"/>
        <v>-</v>
      </c>
      <c r="S135" s="46" t="str">
        <f t="shared" si="38"/>
        <v>-</v>
      </c>
      <c r="T135" s="51" t="str">
        <f>IF(A_tier2_on=1,M_Sims!M335,"-")</f>
        <v>-</v>
      </c>
      <c r="U135" s="46" t="str">
        <f>IF(OR(A_bankroll="",A_tier2_on&lt;&gt;1),"-",MIN(A_maxbet,M_Sims!M335*A_bankroll))</f>
        <v>-</v>
      </c>
      <c r="V135" s="30">
        <f>M_Sims!H335</f>
        <v>1</v>
      </c>
      <c r="W135" s="6" t="b">
        <f>AND(H135&lt;&gt;"IMPUTED_20C_LADDER",L135&gt;=A_minev,N135&gt;0,V135=1,IF(A135="PLAYOFFS",A_poconf=1,TRUE),IF(AND(A135="WINS",A_zs_on=1),AND(AE135&gt;=A_minev,M_Sims!O335&gt;0),TRUE),AF135&gt;=A_minev,AG135&gt;0,IF(I135&lt;A_longthr,(1-A_shrink)*M_Sims!K335+A_shrink*(I135*G135-1)&gt;=A_minev,TRUE),IF(AND(OR(A135="WINS",A135="PLAYOFFS",LEFT(A135,4)="DIV_"),INDEX(Raw_Teams!$F$8:$F$37,MATCH($C135,Raw_Teams!$A$8:$A$37,0))&lt;A_contthr),AND(((1-A_contshrink)*J135+A_contshrink*I135)*G135-1&gt;=A_minev,(1-A_contshrink)*N135+A_contshrink*(I135*G135-1)&gt;0),TRUE),M_Sims!P335=0)</f>
        <v>0</v>
      </c>
      <c r="X135" s="6" t="s">
        <v>1301</v>
      </c>
      <c r="Y135" s="6" t="s">
        <v>1307</v>
      </c>
      <c r="Z135" s="6">
        <v>252</v>
      </c>
      <c r="AA135" s="7" t="str">
        <f t="shared" si="39"/>
        <v>OK - sims match current assumptions</v>
      </c>
      <c r="AB135" s="13" t="s">
        <v>33</v>
      </c>
      <c r="AC135" s="13" t="s">
        <v>33</v>
      </c>
      <c r="AD135" s="13" t="s">
        <v>33</v>
      </c>
      <c r="AE135" s="13" t="s">
        <v>33</v>
      </c>
      <c r="AF135" s="34">
        <f t="shared" si="40"/>
        <v>-0.32850987810502941</v>
      </c>
      <c r="AG135" s="34">
        <f t="shared" si="41"/>
        <v>-0.41792987810502935</v>
      </c>
      <c r="AH135" s="6" t="b">
        <f>AND(W135,I135&gt;=A_t1_fair,((1-A_t1_shrink)*J135+A_t1_shrink*I135)*G135-1&gt;=A_minev,(1-A_t1_shrink)*N135+A_t1_shrink*(I135*G135-1)&gt;0,M_Sims!Q335=1)</f>
        <v>0</v>
      </c>
      <c r="AI135" s="18">
        <f>IF(AH135,M_Sims!R335*A_t1_cap/A_t1_engcap,0)</f>
        <v>0</v>
      </c>
      <c r="AJ135" s="46" t="str">
        <f t="shared" si="42"/>
        <v>-</v>
      </c>
      <c r="AK135" s="7" t="str">
        <f>IF(AH135,M_Sims!S335,"-")</f>
        <v>-</v>
      </c>
      <c r="AL135" s="51">
        <f>M_Sims!M335</f>
        <v>0</v>
      </c>
      <c r="AM135" s="6" t="str">
        <f t="shared" si="43"/>
        <v>-</v>
      </c>
    </row>
    <row r="136" spans="1:39" ht="15" customHeight="1" x14ac:dyDescent="0.3">
      <c r="A136" s="6" t="s">
        <v>286</v>
      </c>
      <c r="B136" s="7" t="str">
        <f>Odds_Input!C261</f>
        <v>Washington Wizards</v>
      </c>
      <c r="C136" s="6" t="s">
        <v>226</v>
      </c>
      <c r="D136" s="7" t="str">
        <f>Odds_Input!D261</f>
        <v>YES</v>
      </c>
      <c r="E136" s="31" t="str">
        <f>Odds_Input!E261</f>
        <v>-</v>
      </c>
      <c r="F136" s="32">
        <f>Odds_Input!F261</f>
        <v>6500</v>
      </c>
      <c r="G136" s="36">
        <f>M_DeVig!H261</f>
        <v>66</v>
      </c>
      <c r="H136" s="7" t="str">
        <f>Odds_Input!G261</f>
        <v>-</v>
      </c>
      <c r="I136" s="42">
        <f>M_DeVig!Q261</f>
        <v>8.443501883368237E-3</v>
      </c>
      <c r="J136" s="42">
        <f>INDEX(M_Sims!$K$15:$K$44,MATCH($C136,M_Sims!$A$15:$A$44,0))</f>
        <v>2.3800000000000002E-3</v>
      </c>
      <c r="K136" s="43">
        <f t="shared" si="33"/>
        <v>41916.806722689071</v>
      </c>
      <c r="L136" s="34">
        <f t="shared" si="34"/>
        <v>-0.84292</v>
      </c>
      <c r="M136" s="38">
        <f t="shared" si="35"/>
        <v>-0.60635018833682364</v>
      </c>
      <c r="N136" s="42">
        <f>M_Sims!B336</f>
        <v>-0.89044000000000001</v>
      </c>
      <c r="O136" s="42">
        <f>M_Sims!C336</f>
        <v>-0.78</v>
      </c>
      <c r="P136" s="42">
        <f>M_Sims!D336</f>
        <v>0</v>
      </c>
      <c r="Q136" s="34">
        <f t="shared" si="36"/>
        <v>5.4117509416841186E-3</v>
      </c>
      <c r="R136" s="18" t="str">
        <f t="shared" si="37"/>
        <v>-</v>
      </c>
      <c r="S136" s="46" t="str">
        <f t="shared" si="38"/>
        <v>-</v>
      </c>
      <c r="T136" s="51" t="str">
        <f>IF(A_tier2_on=1,M_Sims!M336,"-")</f>
        <v>-</v>
      </c>
      <c r="U136" s="46" t="str">
        <f>IF(OR(A_bankroll="",A_tier2_on&lt;&gt;1),"-",MIN(A_maxbet,M_Sims!M336*A_bankroll))</f>
        <v>-</v>
      </c>
      <c r="V136" s="30">
        <f>M_Sims!H336</f>
        <v>0</v>
      </c>
      <c r="W136" s="6" t="b">
        <f>AND(H136&lt;&gt;"IMPUTED_20C_LADDER",L136&gt;=A_minev,N136&gt;0,V136=1,IF(A136="PLAYOFFS",A_poconf=1,TRUE),IF(AND(A136="WINS",A_zs_on=1),AND(AE136&gt;=A_minev,M_Sims!O336&gt;0),TRUE),AF136&gt;=A_minev,AG136&gt;0,IF(I136&lt;A_longthr,(1-A_shrink)*M_Sims!K336+A_shrink*(I136*G136-1)&gt;=A_minev,TRUE),IF(AND(OR(A136="WINS",A136="PLAYOFFS",LEFT(A136,4)="DIV_"),INDEX(Raw_Teams!$F$8:$F$37,MATCH($C136,Raw_Teams!$A$8:$A$37,0))&lt;A_contthr),AND(((1-A_contshrink)*J136+A_contshrink*I136)*G136-1&gt;=A_minev,(1-A_contshrink)*N136+A_contshrink*(I136*G136-1)&gt;0),TRUE),M_Sims!P336=0)</f>
        <v>0</v>
      </c>
      <c r="X136" s="6" t="s">
        <v>1301</v>
      </c>
      <c r="Y136" s="6" t="s">
        <v>1307</v>
      </c>
      <c r="Z136" s="6">
        <v>253</v>
      </c>
      <c r="AA136" s="7" t="str">
        <f t="shared" si="39"/>
        <v>OK - sims match current assumptions</v>
      </c>
      <c r="AB136" s="13" t="s">
        <v>33</v>
      </c>
      <c r="AC136" s="13" t="s">
        <v>33</v>
      </c>
      <c r="AD136" s="13" t="s">
        <v>33</v>
      </c>
      <c r="AE136" s="13" t="s">
        <v>33</v>
      </c>
      <c r="AF136" s="34">
        <f t="shared" si="40"/>
        <v>-0.64282443784884813</v>
      </c>
      <c r="AG136" s="34">
        <f t="shared" si="41"/>
        <v>-0.66658443784884813</v>
      </c>
      <c r="AH136" s="6" t="b">
        <f>AND(W136,I136&gt;=A_t1_fair,((1-A_t1_shrink)*J136+A_t1_shrink*I136)*G136-1&gt;=A_minev,(1-A_t1_shrink)*N136+A_t1_shrink*(I136*G136-1)&gt;0,M_Sims!Q336=1)</f>
        <v>0</v>
      </c>
      <c r="AI136" s="18">
        <f>IF(AH136,M_Sims!R336*A_t1_cap/A_t1_engcap,0)</f>
        <v>0</v>
      </c>
      <c r="AJ136" s="46" t="str">
        <f t="shared" si="42"/>
        <v>-</v>
      </c>
      <c r="AK136" s="7" t="str">
        <f>IF(AH136,M_Sims!S336,"-")</f>
        <v>-</v>
      </c>
      <c r="AL136" s="51">
        <f>M_Sims!M336</f>
        <v>0</v>
      </c>
      <c r="AM136" s="6" t="str">
        <f t="shared" si="43"/>
        <v>-</v>
      </c>
    </row>
    <row r="137" spans="1:39" ht="15" customHeight="1" x14ac:dyDescent="0.3">
      <c r="A137" s="6" t="s">
        <v>286</v>
      </c>
      <c r="B137" s="7" t="str">
        <f>Odds_Input!C262</f>
        <v>Golden State Warriors</v>
      </c>
      <c r="C137" s="6" t="s">
        <v>206</v>
      </c>
      <c r="D137" s="7" t="str">
        <f>Odds_Input!D262</f>
        <v>YES</v>
      </c>
      <c r="E137" s="31" t="str">
        <f>Odds_Input!E262</f>
        <v>-</v>
      </c>
      <c r="F137" s="32">
        <f>Odds_Input!F262</f>
        <v>5000</v>
      </c>
      <c r="G137" s="36">
        <f>M_DeVig!H262</f>
        <v>51</v>
      </c>
      <c r="H137" s="7" t="str">
        <f>Odds_Input!G262</f>
        <v>-</v>
      </c>
      <c r="I137" s="42">
        <f>M_DeVig!Q262</f>
        <v>1.2072945956665516E-2</v>
      </c>
      <c r="J137" s="42">
        <f>INDEX(M_Sims!$K$15:$K$44,MATCH($C137,M_Sims!$A$15:$A$44,0))</f>
        <v>2.171E-2</v>
      </c>
      <c r="K137" s="43">
        <f t="shared" si="33"/>
        <v>4506.1722708429288</v>
      </c>
      <c r="L137" s="34">
        <f t="shared" si="34"/>
        <v>0.10721000000000003</v>
      </c>
      <c r="M137" s="38">
        <f t="shared" si="35"/>
        <v>0.96370540433344842</v>
      </c>
      <c r="N137" s="42">
        <f>M_Sims!B337</f>
        <v>2.3060000000000001E-2</v>
      </c>
      <c r="O137" s="42">
        <f>M_Sims!C337</f>
        <v>0.2542600000000001</v>
      </c>
      <c r="P137" s="42">
        <f>M_Sims!D337</f>
        <v>0.93333333333333324</v>
      </c>
      <c r="Q137" s="34">
        <f t="shared" si="36"/>
        <v>1.689147297833276E-2</v>
      </c>
      <c r="R137" s="18" t="str">
        <f t="shared" si="37"/>
        <v>-</v>
      </c>
      <c r="S137" s="46" t="str">
        <f t="shared" si="38"/>
        <v>-</v>
      </c>
      <c r="T137" s="51" t="str">
        <f>IF(A_tier2_on=1,M_Sims!M337,"-")</f>
        <v>-</v>
      </c>
      <c r="U137" s="46" t="str">
        <f>IF(OR(A_bankroll="",A_tier2_on&lt;&gt;1),"-",MIN(A_maxbet,M_Sims!M337*A_bankroll))</f>
        <v>-</v>
      </c>
      <c r="V137" s="30">
        <f>M_Sims!H337</f>
        <v>1</v>
      </c>
      <c r="W137" s="6" t="b">
        <f>AND(H137&lt;&gt;"IMPUTED_20C_LADDER",L137&gt;=A_minev,N137&gt;0,V137=1,IF(A137="PLAYOFFS",A_poconf=1,TRUE),IF(AND(A137="WINS",A_zs_on=1),AND(AE137&gt;=A_minev,M_Sims!O337&gt;0),TRUE),AF137&gt;=A_minev,AG137&gt;0,IF(I137&lt;A_longthr,(1-A_shrink)*M_Sims!K337+A_shrink*(I137*G137-1)&gt;=A_minev,TRUE),IF(AND(OR(A137="WINS",A137="PLAYOFFS",LEFT(A137,4)="DIV_"),INDEX(Raw_Teams!$F$8:$F$37,MATCH($C137,Raw_Teams!$A$8:$A$37,0))&lt;A_contthr),AND(((1-A_contshrink)*J137+A_contshrink*I137)*G137-1&gt;=A_minev,(1-A_contshrink)*N137+A_contshrink*(I137*G137-1)&gt;0),TRUE),M_Sims!P337=0)</f>
        <v>0</v>
      </c>
      <c r="X137" s="6" t="s">
        <v>1301</v>
      </c>
      <c r="Y137" s="6" t="s">
        <v>1307</v>
      </c>
      <c r="Z137" s="6">
        <v>254</v>
      </c>
      <c r="AA137" s="7" t="str">
        <f t="shared" si="39"/>
        <v>OK - sims match current assumptions</v>
      </c>
      <c r="AB137" s="13" t="s">
        <v>33</v>
      </c>
      <c r="AC137" s="13" t="s">
        <v>33</v>
      </c>
      <c r="AD137" s="13" t="s">
        <v>33</v>
      </c>
      <c r="AE137" s="13" t="s">
        <v>33</v>
      </c>
      <c r="AF137" s="34">
        <f t="shared" si="40"/>
        <v>-0.13853487810502929</v>
      </c>
      <c r="AG137" s="34">
        <f t="shared" si="41"/>
        <v>-0.18060987810502935</v>
      </c>
      <c r="AH137" s="6" t="b">
        <f>AND(W137,I137&gt;=A_t1_fair,((1-A_t1_shrink)*J137+A_t1_shrink*I137)*G137-1&gt;=A_minev,(1-A_t1_shrink)*N137+A_t1_shrink*(I137*G137-1)&gt;0,M_Sims!Q337=1)</f>
        <v>0</v>
      </c>
      <c r="AI137" s="18">
        <f>IF(AH137,M_Sims!R337*A_t1_cap/A_t1_engcap,0)</f>
        <v>0</v>
      </c>
      <c r="AJ137" s="46" t="str">
        <f t="shared" si="42"/>
        <v>-</v>
      </c>
      <c r="AK137" s="7" t="str">
        <f>IF(AH137,M_Sims!S337,"-")</f>
        <v>-</v>
      </c>
      <c r="AL137" s="51">
        <f>M_Sims!M337</f>
        <v>0</v>
      </c>
      <c r="AM137" s="6" t="str">
        <f t="shared" si="43"/>
        <v>-</v>
      </c>
    </row>
    <row r="138" spans="1:39" ht="15" customHeight="1" x14ac:dyDescent="0.3">
      <c r="A138" s="6" t="s">
        <v>286</v>
      </c>
      <c r="B138" s="7" t="str">
        <f>Odds_Input!C263</f>
        <v>Utah Jazz</v>
      </c>
      <c r="C138" s="6" t="s">
        <v>225</v>
      </c>
      <c r="D138" s="7" t="str">
        <f>Odds_Input!D263</f>
        <v>YES</v>
      </c>
      <c r="E138" s="31" t="str">
        <f>Odds_Input!E263</f>
        <v>-</v>
      </c>
      <c r="F138" s="32">
        <f>Odds_Input!F263</f>
        <v>10000</v>
      </c>
      <c r="G138" s="36">
        <f>M_DeVig!H263</f>
        <v>101</v>
      </c>
      <c r="H138" s="7" t="str">
        <f>Odds_Input!G263</f>
        <v>-</v>
      </c>
      <c r="I138" s="42">
        <f>M_DeVig!Q263</f>
        <v>4.444239460878522E-3</v>
      </c>
      <c r="J138" s="42">
        <f>INDEX(M_Sims!$K$15:$K$44,MATCH($C138,M_Sims!$A$15:$A$44,0))</f>
        <v>4.2599999999999999E-3</v>
      </c>
      <c r="K138" s="43">
        <f t="shared" si="33"/>
        <v>23374.178403755868</v>
      </c>
      <c r="L138" s="34">
        <f t="shared" si="34"/>
        <v>-0.56974000000000002</v>
      </c>
      <c r="M138" s="38">
        <f t="shared" si="35"/>
        <v>-1.8423946087852208E-2</v>
      </c>
      <c r="N138" s="42">
        <f>M_Sims!B338</f>
        <v>-0.69093999999999989</v>
      </c>
      <c r="O138" s="42">
        <f>M_Sims!C338</f>
        <v>-0.3724533333333333</v>
      </c>
      <c r="P138" s="42">
        <f>M_Sims!D338</f>
        <v>0</v>
      </c>
      <c r="Q138" s="34">
        <f t="shared" si="36"/>
        <v>4.3521197304392609E-3</v>
      </c>
      <c r="R138" s="18" t="str">
        <f t="shared" si="37"/>
        <v>-</v>
      </c>
      <c r="S138" s="46" t="str">
        <f t="shared" si="38"/>
        <v>-</v>
      </c>
      <c r="T138" s="51" t="str">
        <f>IF(A_tier2_on=1,M_Sims!M338,"-")</f>
        <v>-</v>
      </c>
      <c r="U138" s="46" t="str">
        <f>IF(OR(A_bankroll="",A_tier2_on&lt;&gt;1),"-",MIN(A_maxbet,M_Sims!M338*A_bankroll))</f>
        <v>-</v>
      </c>
      <c r="V138" s="30">
        <f>M_Sims!H338</f>
        <v>0</v>
      </c>
      <c r="W138" s="6" t="b">
        <f>AND(H138&lt;&gt;"IMPUTED_20C_LADDER",L138&gt;=A_minev,N138&gt;0,V138=1,IF(A138="PLAYOFFS",A_poconf=1,TRUE),IF(AND(A138="WINS",A_zs_on=1),AND(AE138&gt;=A_minev,M_Sims!O338&gt;0),TRUE),AF138&gt;=A_minev,AG138&gt;0,IF(I138&lt;A_longthr,(1-A_shrink)*M_Sims!K338+A_shrink*(I138*G138-1)&gt;=A_minev,TRUE),IF(AND(OR(A138="WINS",A138="PLAYOFFS",LEFT(A138,4)="DIV_"),INDEX(Raw_Teams!$F$8:$F$37,MATCH($C138,Raw_Teams!$A$8:$A$37,0))&lt;A_contthr),AND(((1-A_contshrink)*J138+A_contshrink*I138)*G138-1&gt;=A_minev,(1-A_contshrink)*N138+A_contshrink*(I138*G138-1)&gt;0),TRUE),M_Sims!P338=0)</f>
        <v>0</v>
      </c>
      <c r="X138" s="6" t="s">
        <v>1301</v>
      </c>
      <c r="Y138" s="6" t="s">
        <v>1307</v>
      </c>
      <c r="Z138" s="6">
        <v>255</v>
      </c>
      <c r="AA138" s="7" t="str">
        <f t="shared" si="39"/>
        <v>OK - sims match current assumptions</v>
      </c>
      <c r="AB138" s="13" t="s">
        <v>33</v>
      </c>
      <c r="AC138" s="13" t="s">
        <v>33</v>
      </c>
      <c r="AD138" s="13" t="s">
        <v>33</v>
      </c>
      <c r="AE138" s="13" t="s">
        <v>33</v>
      </c>
      <c r="AF138" s="34">
        <f t="shared" si="40"/>
        <v>-0.56043590722563463</v>
      </c>
      <c r="AG138" s="34">
        <f t="shared" si="41"/>
        <v>-0.62103590722563462</v>
      </c>
      <c r="AH138" s="6" t="b">
        <f>AND(W138,I138&gt;=A_t1_fair,((1-A_t1_shrink)*J138+A_t1_shrink*I138)*G138-1&gt;=A_minev,(1-A_t1_shrink)*N138+A_t1_shrink*(I138*G138-1)&gt;0,M_Sims!Q338=1)</f>
        <v>0</v>
      </c>
      <c r="AI138" s="18">
        <f>IF(AH138,M_Sims!R338*A_t1_cap/A_t1_engcap,0)</f>
        <v>0</v>
      </c>
      <c r="AJ138" s="46" t="str">
        <f t="shared" si="42"/>
        <v>-</v>
      </c>
      <c r="AK138" s="7" t="str">
        <f>IF(AH138,M_Sims!S338,"-")</f>
        <v>-</v>
      </c>
      <c r="AL138" s="51">
        <f>M_Sims!M338</f>
        <v>0</v>
      </c>
      <c r="AM138" s="6" t="str">
        <f t="shared" si="43"/>
        <v>-</v>
      </c>
    </row>
    <row r="139" spans="1:39" ht="15" customHeight="1" x14ac:dyDescent="0.3">
      <c r="A139" s="6" t="s">
        <v>286</v>
      </c>
      <c r="B139" s="7" t="str">
        <f>Odds_Input!C264</f>
        <v>Dallas Mavericks</v>
      </c>
      <c r="C139" s="6" t="s">
        <v>203</v>
      </c>
      <c r="D139" s="7" t="str">
        <f>Odds_Input!D264</f>
        <v>YES</v>
      </c>
      <c r="E139" s="31" t="str">
        <f>Odds_Input!E264</f>
        <v>-</v>
      </c>
      <c r="F139" s="32">
        <f>Odds_Input!F264</f>
        <v>12000</v>
      </c>
      <c r="G139" s="36">
        <f>M_DeVig!H264</f>
        <v>121</v>
      </c>
      <c r="H139" s="7" t="str">
        <f>Odds_Input!G264</f>
        <v>-</v>
      </c>
      <c r="I139" s="42">
        <f>M_DeVig!Q264</f>
        <v>3.3143159600958201E-3</v>
      </c>
      <c r="J139" s="42">
        <f>INDEX(M_Sims!$K$15:$K$44,MATCH($C139,M_Sims!$A$15:$A$44,0))</f>
        <v>5.2900000000000004E-3</v>
      </c>
      <c r="K139" s="43">
        <f t="shared" si="33"/>
        <v>18803.591682419657</v>
      </c>
      <c r="L139" s="34">
        <f t="shared" si="34"/>
        <v>-0.35990999999999995</v>
      </c>
      <c r="M139" s="38">
        <f t="shared" si="35"/>
        <v>0.19756840399041803</v>
      </c>
      <c r="N139" s="42">
        <f>M_Sims!B339</f>
        <v>-0.58295333333333343</v>
      </c>
      <c r="O139" s="42">
        <f>M_Sims!C339</f>
        <v>-6.4266666666666694E-2</v>
      </c>
      <c r="P139" s="42">
        <f>M_Sims!D339</f>
        <v>0.05</v>
      </c>
      <c r="Q139" s="34">
        <f t="shared" si="36"/>
        <v>4.30215798004791E-3</v>
      </c>
      <c r="R139" s="18" t="str">
        <f t="shared" si="37"/>
        <v>-</v>
      </c>
      <c r="S139" s="46" t="str">
        <f t="shared" si="38"/>
        <v>-</v>
      </c>
      <c r="T139" s="51" t="str">
        <f>IF(A_tier2_on=1,M_Sims!M339,"-")</f>
        <v>-</v>
      </c>
      <c r="U139" s="46" t="str">
        <f>IF(OR(A_bankroll="",A_tier2_on&lt;&gt;1),"-",MIN(A_maxbet,M_Sims!M339*A_bankroll))</f>
        <v>-</v>
      </c>
      <c r="V139" s="30">
        <f>M_Sims!H339</f>
        <v>0</v>
      </c>
      <c r="W139" s="6" t="b">
        <f>AND(H139&lt;&gt;"IMPUTED_20C_LADDER",L139&gt;=A_minev,N139&gt;0,V139=1,IF(A139="PLAYOFFS",A_poconf=1,TRUE),IF(AND(A139="WINS",A_zs_on=1),AND(AE139&gt;=A_minev,M_Sims!O339&gt;0),TRUE),AF139&gt;=A_minev,AG139&gt;0,IF(I139&lt;A_longthr,(1-A_shrink)*M_Sims!K339+A_shrink*(I139*G139-1)&gt;=A_minev,TRUE),IF(AND(OR(A139="WINS",A139="PLAYOFFS",LEFT(A139,4)="DIV_"),INDEX(Raw_Teams!$F$8:$F$37,MATCH($C139,Raw_Teams!$A$8:$A$37,0))&lt;A_contthr),AND(((1-A_contshrink)*J139+A_contshrink*I139)*G139-1&gt;=A_minev,(1-A_contshrink)*N139+A_contshrink*(I139*G139-1)&gt;0),TRUE),M_Sims!P339=0)</f>
        <v>0</v>
      </c>
      <c r="X139" s="6" t="s">
        <v>1301</v>
      </c>
      <c r="Y139" s="6" t="s">
        <v>1307</v>
      </c>
      <c r="Z139" s="6">
        <v>256</v>
      </c>
      <c r="AA139" s="7" t="str">
        <f t="shared" si="39"/>
        <v>OK - sims match current assumptions</v>
      </c>
      <c r="AB139" s="13" t="s">
        <v>33</v>
      </c>
      <c r="AC139" s="13" t="s">
        <v>33</v>
      </c>
      <c r="AD139" s="13" t="s">
        <v>33</v>
      </c>
      <c r="AE139" s="13" t="s">
        <v>33</v>
      </c>
      <c r="AF139" s="34">
        <f t="shared" si="40"/>
        <v>-0.4794388844142029</v>
      </c>
      <c r="AG139" s="34">
        <f t="shared" si="41"/>
        <v>-0.59096055108086953</v>
      </c>
      <c r="AH139" s="6" t="b">
        <f>AND(W139,I139&gt;=A_t1_fair,((1-A_t1_shrink)*J139+A_t1_shrink*I139)*G139-1&gt;=A_minev,(1-A_t1_shrink)*N139+A_t1_shrink*(I139*G139-1)&gt;0,M_Sims!Q339=1)</f>
        <v>0</v>
      </c>
      <c r="AI139" s="18">
        <f>IF(AH139,M_Sims!R339*A_t1_cap/A_t1_engcap,0)</f>
        <v>0</v>
      </c>
      <c r="AJ139" s="46" t="str">
        <f t="shared" si="42"/>
        <v>-</v>
      </c>
      <c r="AK139" s="7" t="str">
        <f>IF(AH139,M_Sims!S339,"-")</f>
        <v>-</v>
      </c>
      <c r="AL139" s="51">
        <f>M_Sims!M339</f>
        <v>0</v>
      </c>
      <c r="AM139" s="6" t="str">
        <f t="shared" si="43"/>
        <v>-</v>
      </c>
    </row>
    <row r="140" spans="1:39" ht="15" customHeight="1" x14ac:dyDescent="0.3">
      <c r="A140" s="6" t="s">
        <v>286</v>
      </c>
      <c r="B140" s="7" t="str">
        <f>Odds_Input!C265</f>
        <v>Los Angeles Clippers</v>
      </c>
      <c r="C140" s="6" t="s">
        <v>209</v>
      </c>
      <c r="D140" s="7" t="str">
        <f>Odds_Input!D265</f>
        <v>YES</v>
      </c>
      <c r="E140" s="31" t="str">
        <f>Odds_Input!E265</f>
        <v>-</v>
      </c>
      <c r="F140" s="32">
        <f>Odds_Input!F265</f>
        <v>20000</v>
      </c>
      <c r="G140" s="36">
        <f>M_DeVig!H265</f>
        <v>201</v>
      </c>
      <c r="H140" s="7" t="str">
        <f>Odds_Input!G265</f>
        <v>-</v>
      </c>
      <c r="I140" s="42">
        <f>M_DeVig!Q265</f>
        <v>1.3668038508961252E-3</v>
      </c>
      <c r="J140" s="42">
        <f>INDEX(M_Sims!$K$15:$K$44,MATCH($C140,M_Sims!$A$15:$A$44,0))</f>
        <v>2.8E-3</v>
      </c>
      <c r="K140" s="43">
        <f t="shared" si="33"/>
        <v>35614.285714285717</v>
      </c>
      <c r="L140" s="34">
        <f t="shared" si="34"/>
        <v>-0.43720000000000003</v>
      </c>
      <c r="M140" s="38">
        <f t="shared" si="35"/>
        <v>0.14331961491038747</v>
      </c>
      <c r="N140" s="42">
        <f>M_Sims!B340</f>
        <v>-0.69313999999999998</v>
      </c>
      <c r="O140" s="42">
        <f>M_Sims!C340</f>
        <v>-1.77799999999999E-2</v>
      </c>
      <c r="P140" s="42">
        <f>M_Sims!D340</f>
        <v>0.1</v>
      </c>
      <c r="Q140" s="34">
        <f t="shared" si="36"/>
        <v>2.0834019254480627E-3</v>
      </c>
      <c r="R140" s="18" t="str">
        <f t="shared" si="37"/>
        <v>-</v>
      </c>
      <c r="S140" s="46" t="str">
        <f t="shared" si="38"/>
        <v>-</v>
      </c>
      <c r="T140" s="51" t="str">
        <f>IF(A_tier2_on=1,M_Sims!M340,"-")</f>
        <v>-</v>
      </c>
      <c r="U140" s="46" t="str">
        <f>IF(OR(A_bankroll="",A_tier2_on&lt;&gt;1),"-",MIN(A_maxbet,M_Sims!M340*A_bankroll))</f>
        <v>-</v>
      </c>
      <c r="V140" s="30">
        <f>M_Sims!H340</f>
        <v>0</v>
      </c>
      <c r="W140" s="6" t="b">
        <f>AND(H140&lt;&gt;"IMPUTED_20C_LADDER",L140&gt;=A_minev,N140&gt;0,V140=1,IF(A140="PLAYOFFS",A_poconf=1,TRUE),IF(AND(A140="WINS",A_zs_on=1),AND(AE140&gt;=A_minev,M_Sims!O340&gt;0),TRUE),AF140&gt;=A_minev,AG140&gt;0,IF(I140&lt;A_longthr,(1-A_shrink)*M_Sims!K340+A_shrink*(I140*G140-1)&gt;=A_minev,TRUE),IF(AND(OR(A140="WINS",A140="PLAYOFFS",LEFT(A140,4)="DIV_"),INDEX(Raw_Teams!$F$8:$F$37,MATCH($C140,Raw_Teams!$A$8:$A$37,0))&lt;A_contthr),AND(((1-A_contshrink)*J140+A_contshrink*I140)*G140-1&gt;=A_minev,(1-A_contshrink)*N140+A_contshrink*(I140*G140-1)&gt;0),TRUE),M_Sims!P340=0)</f>
        <v>0</v>
      </c>
      <c r="X140" s="6" t="s">
        <v>1301</v>
      </c>
      <c r="Y140" s="6" t="s">
        <v>1307</v>
      </c>
      <c r="Z140" s="6">
        <v>257</v>
      </c>
      <c r="AA140" s="7" t="str">
        <f t="shared" si="39"/>
        <v>OK - sims match current assumptions</v>
      </c>
      <c r="AB140" s="13" t="s">
        <v>33</v>
      </c>
      <c r="AC140" s="13" t="s">
        <v>33</v>
      </c>
      <c r="AD140" s="13" t="s">
        <v>33</v>
      </c>
      <c r="AE140" s="13" t="s">
        <v>33</v>
      </c>
      <c r="AF140" s="34">
        <f t="shared" si="40"/>
        <v>-0.58123621298493933</v>
      </c>
      <c r="AG140" s="34">
        <f t="shared" si="41"/>
        <v>-0.70920621298493947</v>
      </c>
      <c r="AH140" s="6" t="b">
        <f>AND(W140,I140&gt;=A_t1_fair,((1-A_t1_shrink)*J140+A_t1_shrink*I140)*G140-1&gt;=A_minev,(1-A_t1_shrink)*N140+A_t1_shrink*(I140*G140-1)&gt;0,M_Sims!Q340=1)</f>
        <v>0</v>
      </c>
      <c r="AI140" s="18">
        <f>IF(AH140,M_Sims!R340*A_t1_cap/A_t1_engcap,0)</f>
        <v>0</v>
      </c>
      <c r="AJ140" s="46" t="str">
        <f t="shared" si="42"/>
        <v>-</v>
      </c>
      <c r="AK140" s="7" t="str">
        <f>IF(AH140,M_Sims!S340,"-")</f>
        <v>-</v>
      </c>
      <c r="AL140" s="51">
        <f>M_Sims!M340</f>
        <v>0</v>
      </c>
      <c r="AM140" s="6" t="str">
        <f t="shared" si="43"/>
        <v>-</v>
      </c>
    </row>
    <row r="141" spans="1:39" ht="15" customHeight="1" x14ac:dyDescent="0.3">
      <c r="A141" s="6" t="s">
        <v>286</v>
      </c>
      <c r="B141" s="7" t="str">
        <f>Odds_Input!C266</f>
        <v>Chicago Bulls</v>
      </c>
      <c r="C141" s="6" t="s">
        <v>201</v>
      </c>
      <c r="D141" s="7" t="str">
        <f>Odds_Input!D266</f>
        <v>YES</v>
      </c>
      <c r="E141" s="31" t="str">
        <f>Odds_Input!E266</f>
        <v>-</v>
      </c>
      <c r="F141" s="32">
        <f>Odds_Input!F266</f>
        <v>25000</v>
      </c>
      <c r="G141" s="36">
        <f>M_DeVig!H266</f>
        <v>251</v>
      </c>
      <c r="H141" s="7" t="str">
        <f>Odds_Input!G266</f>
        <v>-</v>
      </c>
      <c r="I141" s="42">
        <f>M_DeVig!Q266</f>
        <v>9.0607377994892161E-4</v>
      </c>
      <c r="J141" s="42">
        <f>INDEX(M_Sims!$K$15:$K$44,MATCH($C141,M_Sims!$A$15:$A$44,0))</f>
        <v>5.5700000000000003E-3</v>
      </c>
      <c r="K141" s="43">
        <f t="shared" si="33"/>
        <v>17853.321364452422</v>
      </c>
      <c r="L141" s="34">
        <f t="shared" si="34"/>
        <v>0.39807000000000015</v>
      </c>
      <c r="M141" s="38">
        <f t="shared" si="35"/>
        <v>0.46639262200510784</v>
      </c>
      <c r="N141" s="42">
        <f>M_Sims!B341</f>
        <v>-0.17002666666666669</v>
      </c>
      <c r="O141" s="42">
        <f>M_Sims!C341</f>
        <v>1.09334</v>
      </c>
      <c r="P141" s="42">
        <f>M_Sims!D341</f>
        <v>0.78333333333333333</v>
      </c>
      <c r="Q141" s="34">
        <f t="shared" si="36"/>
        <v>3.238036889974461E-3</v>
      </c>
      <c r="R141" s="18" t="str">
        <f t="shared" si="37"/>
        <v>-</v>
      </c>
      <c r="S141" s="46" t="str">
        <f t="shared" si="38"/>
        <v>-</v>
      </c>
      <c r="T141" s="51" t="str">
        <f>IF(A_tier2_on=1,M_Sims!M341,"-")</f>
        <v>-</v>
      </c>
      <c r="U141" s="46" t="str">
        <f>IF(OR(A_bankroll="",A_tier2_on&lt;&gt;1),"-",MIN(A_maxbet,M_Sims!M341*A_bankroll))</f>
        <v>-</v>
      </c>
      <c r="V141" s="30">
        <f>M_Sims!H341</f>
        <v>1</v>
      </c>
      <c r="W141" s="6" t="b">
        <f>AND(H141&lt;&gt;"IMPUTED_20C_LADDER",L141&gt;=A_minev,N141&gt;0,V141=1,IF(A141="PLAYOFFS",A_poconf=1,TRUE),IF(AND(A141="WINS",A_zs_on=1),AND(AE141&gt;=A_minev,M_Sims!O341&gt;0),TRUE),AF141&gt;=A_minev,AG141&gt;0,IF(I141&lt;A_longthr,(1-A_shrink)*M_Sims!K341+A_shrink*(I141*G141-1)&gt;=A_minev,TRUE),IF(AND(OR(A141="WINS",A141="PLAYOFFS",LEFT(A141,4)="DIV_"),INDEX(Raw_Teams!$F$8:$F$37,MATCH($C141,Raw_Teams!$A$8:$A$37,0))&lt;A_contthr),AND(((1-A_contshrink)*J141+A_contshrink*I141)*G141-1&gt;=A_minev,(1-A_contshrink)*N141+A_contshrink*(I141*G141-1)&gt;0),TRUE),M_Sims!P341=0)</f>
        <v>0</v>
      </c>
      <c r="X141" s="6" t="s">
        <v>1301</v>
      </c>
      <c r="Y141" s="6" t="s">
        <v>1307</v>
      </c>
      <c r="Z141" s="6">
        <v>258</v>
      </c>
      <c r="AA141" s="7" t="str">
        <f t="shared" si="39"/>
        <v>OK - sims match current assumptions</v>
      </c>
      <c r="AB141" s="13" t="s">
        <v>33</v>
      </c>
      <c r="AC141" s="13" t="s">
        <v>33</v>
      </c>
      <c r="AD141" s="13" t="s">
        <v>33</v>
      </c>
      <c r="AE141" s="13" t="s">
        <v>33</v>
      </c>
      <c r="AF141" s="34">
        <f t="shared" si="40"/>
        <v>-0.18725274061641028</v>
      </c>
      <c r="AG141" s="34">
        <f t="shared" si="41"/>
        <v>-0.47130107394974369</v>
      </c>
      <c r="AH141" s="6" t="b">
        <f>AND(W141,I141&gt;=A_t1_fair,((1-A_t1_shrink)*J141+A_t1_shrink*I141)*G141-1&gt;=A_minev,(1-A_t1_shrink)*N141+A_t1_shrink*(I141*G141-1)&gt;0,M_Sims!Q341=1)</f>
        <v>0</v>
      </c>
      <c r="AI141" s="18">
        <f>IF(AH141,M_Sims!R341*A_t1_cap/A_t1_engcap,0)</f>
        <v>0</v>
      </c>
      <c r="AJ141" s="46" t="str">
        <f t="shared" si="42"/>
        <v>-</v>
      </c>
      <c r="AK141" s="7" t="str">
        <f>IF(AH141,M_Sims!S341,"-")</f>
        <v>-</v>
      </c>
      <c r="AL141" s="51">
        <f>M_Sims!M341</f>
        <v>0</v>
      </c>
      <c r="AM141" s="6" t="str">
        <f t="shared" si="43"/>
        <v>-</v>
      </c>
    </row>
    <row r="142" spans="1:39" ht="15" customHeight="1" x14ac:dyDescent="0.3">
      <c r="A142" s="6" t="s">
        <v>286</v>
      </c>
      <c r="B142" s="7" t="str">
        <f>Odds_Input!C267</f>
        <v>New Orleans Pelicans</v>
      </c>
      <c r="C142" s="6" t="s">
        <v>215</v>
      </c>
      <c r="D142" s="7" t="str">
        <f>Odds_Input!D267</f>
        <v>YES</v>
      </c>
      <c r="E142" s="31" t="str">
        <f>Odds_Input!E267</f>
        <v>-</v>
      </c>
      <c r="F142" s="32">
        <f>Odds_Input!F267</f>
        <v>25000</v>
      </c>
      <c r="G142" s="36">
        <f>M_DeVig!H267</f>
        <v>251</v>
      </c>
      <c r="H142" s="7" t="str">
        <f>Odds_Input!G267</f>
        <v>-</v>
      </c>
      <c r="I142" s="42">
        <f>M_DeVig!Q267</f>
        <v>9.0607377994892161E-4</v>
      </c>
      <c r="J142" s="42">
        <f>INDEX(M_Sims!$K$15:$K$44,MATCH($C142,M_Sims!$A$15:$A$44,0))</f>
        <v>4.0400000000000002E-3</v>
      </c>
      <c r="K142" s="43">
        <f t="shared" si="33"/>
        <v>24652.475247524748</v>
      </c>
      <c r="L142" s="34">
        <f t="shared" si="34"/>
        <v>1.4040000000000052E-2</v>
      </c>
      <c r="M142" s="38">
        <f t="shared" si="35"/>
        <v>0.31339262200510787</v>
      </c>
      <c r="N142" s="42">
        <f>M_Sims!B342</f>
        <v>-0.31728000000000012</v>
      </c>
      <c r="O142" s="42">
        <f>M_Sims!C342</f>
        <v>0.30854666666666658</v>
      </c>
      <c r="P142" s="42">
        <f>M_Sims!D342</f>
        <v>0.45</v>
      </c>
      <c r="Q142" s="34">
        <f t="shared" si="36"/>
        <v>2.473036889974461E-3</v>
      </c>
      <c r="R142" s="18" t="str">
        <f t="shared" si="37"/>
        <v>-</v>
      </c>
      <c r="S142" s="46" t="str">
        <f t="shared" si="38"/>
        <v>-</v>
      </c>
      <c r="T142" s="51" t="str">
        <f>IF(A_tier2_on=1,M_Sims!M342,"-")</f>
        <v>-</v>
      </c>
      <c r="U142" s="46" t="str">
        <f>IF(OR(A_bankroll="",A_tier2_on&lt;&gt;1),"-",MIN(A_maxbet,M_Sims!M342*A_bankroll))</f>
        <v>-</v>
      </c>
      <c r="V142" s="30">
        <f>M_Sims!H342</f>
        <v>0</v>
      </c>
      <c r="W142" s="6" t="b">
        <f>AND(H142&lt;&gt;"IMPUTED_20C_LADDER",L142&gt;=A_minev,N142&gt;0,V142=1,IF(A142="PLAYOFFS",A_poconf=1,TRUE),IF(AND(A142="WINS",A_zs_on=1),AND(AE142&gt;=A_minev,M_Sims!O342&gt;0),TRUE),AF142&gt;=A_minev,AG142&gt;0,IF(I142&lt;A_longthr,(1-A_shrink)*M_Sims!K342+A_shrink*(I142*G142-1)&gt;=A_minev,TRUE),IF(AND(OR(A142="WINS",A142="PLAYOFFS",LEFT(A142,4)="DIV_"),INDEX(Raw_Teams!$F$8:$F$37,MATCH($C142,Raw_Teams!$A$8:$A$37,0))&lt;A_contthr),AND(((1-A_contshrink)*J142+A_contshrink*I142)*G142-1&gt;=A_minev,(1-A_contshrink)*N142+A_contshrink*(I142*G142-1)&gt;0),TRUE),M_Sims!P342=0)</f>
        <v>0</v>
      </c>
      <c r="X142" s="6" t="s">
        <v>1301</v>
      </c>
      <c r="Y142" s="6" t="s">
        <v>1307</v>
      </c>
      <c r="Z142" s="6">
        <v>259</v>
      </c>
      <c r="AA142" s="7" t="str">
        <f t="shared" si="39"/>
        <v>OK - sims match current assumptions</v>
      </c>
      <c r="AB142" s="13" t="s">
        <v>33</v>
      </c>
      <c r="AC142" s="13" t="s">
        <v>33</v>
      </c>
      <c r="AD142" s="13" t="s">
        <v>33</v>
      </c>
      <c r="AE142" s="13" t="s">
        <v>33</v>
      </c>
      <c r="AF142" s="34">
        <f t="shared" si="40"/>
        <v>-0.37926774061641033</v>
      </c>
      <c r="AG142" s="34">
        <f t="shared" si="41"/>
        <v>-0.54492774061641036</v>
      </c>
      <c r="AH142" s="6" t="b">
        <f>AND(W142,I142&gt;=A_t1_fair,((1-A_t1_shrink)*J142+A_t1_shrink*I142)*G142-1&gt;=A_minev,(1-A_t1_shrink)*N142+A_t1_shrink*(I142*G142-1)&gt;0,M_Sims!Q342=1)</f>
        <v>0</v>
      </c>
      <c r="AI142" s="18">
        <f>IF(AH142,M_Sims!R342*A_t1_cap/A_t1_engcap,0)</f>
        <v>0</v>
      </c>
      <c r="AJ142" s="46" t="str">
        <f t="shared" si="42"/>
        <v>-</v>
      </c>
      <c r="AK142" s="7" t="str">
        <f>IF(AH142,M_Sims!S342,"-")</f>
        <v>-</v>
      </c>
      <c r="AL142" s="51">
        <f>M_Sims!M342</f>
        <v>0</v>
      </c>
      <c r="AM142" s="6" t="str">
        <f t="shared" si="43"/>
        <v>-</v>
      </c>
    </row>
    <row r="143" spans="1:39" ht="15" customHeight="1" x14ac:dyDescent="0.3">
      <c r="A143" s="6" t="s">
        <v>286</v>
      </c>
      <c r="B143" s="7" t="str">
        <f>Odds_Input!C268</f>
        <v>Memphis Grizzlies</v>
      </c>
      <c r="C143" s="6" t="s">
        <v>211</v>
      </c>
      <c r="D143" s="7" t="str">
        <f>Odds_Input!D268</f>
        <v>YES</v>
      </c>
      <c r="E143" s="31" t="str">
        <f>Odds_Input!E268</f>
        <v>-</v>
      </c>
      <c r="F143" s="32">
        <f>Odds_Input!F268</f>
        <v>25000</v>
      </c>
      <c r="G143" s="36">
        <f>M_DeVig!H268</f>
        <v>251</v>
      </c>
      <c r="H143" s="7" t="str">
        <f>Odds_Input!G268</f>
        <v>-</v>
      </c>
      <c r="I143" s="42">
        <f>M_DeVig!Q268</f>
        <v>9.0607377994892161E-4</v>
      </c>
      <c r="J143" s="42">
        <f>INDEX(M_Sims!$K$15:$K$44,MATCH($C143,M_Sims!$A$15:$A$44,0))</f>
        <v>8.0499999999999999E-3</v>
      </c>
      <c r="K143" s="43">
        <f t="shared" si="33"/>
        <v>12322.360248447205</v>
      </c>
      <c r="L143" s="34">
        <f t="shared" si="34"/>
        <v>1.0205500000000001</v>
      </c>
      <c r="M143" s="38">
        <f t="shared" si="35"/>
        <v>0.71439262200510778</v>
      </c>
      <c r="N143" s="42">
        <f>M_Sims!B343</f>
        <v>0.58966666666666656</v>
      </c>
      <c r="O143" s="42">
        <f>M_Sims!C343</f>
        <v>1.551833333333333</v>
      </c>
      <c r="P143" s="42">
        <f>M_Sims!D343</f>
        <v>1</v>
      </c>
      <c r="Q143" s="34">
        <f t="shared" si="36"/>
        <v>4.4780368899744608E-3</v>
      </c>
      <c r="R143" s="18" t="str">
        <f t="shared" si="37"/>
        <v>-</v>
      </c>
      <c r="S143" s="46" t="str">
        <f t="shared" si="38"/>
        <v>-</v>
      </c>
      <c r="T143" s="51" t="str">
        <f>IF(A_tier2_on=1,M_Sims!M343,"-")</f>
        <v>-</v>
      </c>
      <c r="U143" s="46" t="str">
        <f>IF(OR(A_bankroll="",A_tier2_on&lt;&gt;1),"-",MIN(A_maxbet,M_Sims!M343*A_bankroll))</f>
        <v>-</v>
      </c>
      <c r="V143" s="30">
        <f>M_Sims!H343</f>
        <v>1</v>
      </c>
      <c r="W143" s="6" t="b">
        <f>AND(H143&lt;&gt;"IMPUTED_20C_LADDER",L143&gt;=A_minev,N143&gt;0,V143=1,IF(A143="PLAYOFFS",A_poconf=1,TRUE),IF(AND(A143="WINS",A_zs_on=1),AND(AE143&gt;=A_minev,M_Sims!O343&gt;0),TRUE),AF143&gt;=A_minev,AG143&gt;0,IF(I143&lt;A_longthr,(1-A_shrink)*M_Sims!K343+A_shrink*(I143*G143-1)&gt;=A_minev,TRUE),IF(AND(OR(A143="WINS",A143="PLAYOFFS",LEFT(A143,4)="DIV_"),INDEX(Raw_Teams!$F$8:$F$37,MATCH($C143,Raw_Teams!$A$8:$A$37,0))&lt;A_contthr),AND(((1-A_contshrink)*J143+A_contshrink*I143)*G143-1&gt;=A_minev,(1-A_contshrink)*N143+A_contshrink*(I143*G143-1)&gt;0),TRUE),M_Sims!P343=0)</f>
        <v>0</v>
      </c>
      <c r="X143" s="6" t="s">
        <v>1301</v>
      </c>
      <c r="Y143" s="6" t="s">
        <v>1307</v>
      </c>
      <c r="Z143" s="6">
        <v>260</v>
      </c>
      <c r="AA143" s="7" t="str">
        <f t="shared" si="39"/>
        <v>OK - sims match current assumptions</v>
      </c>
      <c r="AB143" s="13" t="s">
        <v>33</v>
      </c>
      <c r="AC143" s="13" t="s">
        <v>33</v>
      </c>
      <c r="AD143" s="13" t="s">
        <v>33</v>
      </c>
      <c r="AE143" s="13" t="s">
        <v>33</v>
      </c>
      <c r="AF143" s="34">
        <f t="shared" si="40"/>
        <v>0.12398725938358957</v>
      </c>
      <c r="AG143" s="34">
        <f t="shared" si="41"/>
        <v>-9.1454407283077077E-2</v>
      </c>
      <c r="AH143" s="6" t="b">
        <f>AND(W143,I143&gt;=A_t1_fair,((1-A_t1_shrink)*J143+A_t1_shrink*I143)*G143-1&gt;=A_minev,(1-A_t1_shrink)*N143+A_t1_shrink*(I143*G143-1)&gt;0,M_Sims!Q343=1)</f>
        <v>0</v>
      </c>
      <c r="AI143" s="18">
        <f>IF(AH143,M_Sims!R343*A_t1_cap/A_t1_engcap,0)</f>
        <v>0</v>
      </c>
      <c r="AJ143" s="46" t="str">
        <f t="shared" si="42"/>
        <v>-</v>
      </c>
      <c r="AK143" s="7" t="str">
        <f>IF(AH143,M_Sims!S343,"-")</f>
        <v>-</v>
      </c>
      <c r="AL143" s="51">
        <f>M_Sims!M343</f>
        <v>0</v>
      </c>
      <c r="AM143" s="6" t="str">
        <f t="shared" si="43"/>
        <v>-</v>
      </c>
    </row>
    <row r="144" spans="1:39" ht="15" customHeight="1" x14ac:dyDescent="0.3">
      <c r="A144" s="6" t="s">
        <v>286</v>
      </c>
      <c r="B144" s="7" t="str">
        <f>Odds_Input!C269</f>
        <v>Sacramento Kings</v>
      </c>
      <c r="C144" s="6" t="s">
        <v>222</v>
      </c>
      <c r="D144" s="7" t="str">
        <f>Odds_Input!D269</f>
        <v>YES</v>
      </c>
      <c r="E144" s="31" t="str">
        <f>Odds_Input!E269</f>
        <v>-</v>
      </c>
      <c r="F144" s="32">
        <f>Odds_Input!F269</f>
        <v>25000</v>
      </c>
      <c r="G144" s="36">
        <f>M_DeVig!H269</f>
        <v>251</v>
      </c>
      <c r="H144" s="7" t="str">
        <f>Odds_Input!G269</f>
        <v>-</v>
      </c>
      <c r="I144" s="42">
        <f>M_DeVig!Q269</f>
        <v>9.0607377994892161E-4</v>
      </c>
      <c r="J144" s="42">
        <f>INDEX(M_Sims!$K$15:$K$44,MATCH($C144,M_Sims!$A$15:$A$44,0))</f>
        <v>5.5999999999999995E-4</v>
      </c>
      <c r="K144" s="43">
        <f t="shared" si="33"/>
        <v>178471.42857142858</v>
      </c>
      <c r="L144" s="34">
        <f t="shared" si="34"/>
        <v>-0.85943999999999998</v>
      </c>
      <c r="M144" s="38">
        <f t="shared" si="35"/>
        <v>-3.4607377994892163E-2</v>
      </c>
      <c r="N144" s="42">
        <f>M_Sims!B344</f>
        <v>-0.94979999999999998</v>
      </c>
      <c r="O144" s="42">
        <f>M_Sims!C344</f>
        <v>-0.71553333333333335</v>
      </c>
      <c r="P144" s="42">
        <f>M_Sims!D344</f>
        <v>0</v>
      </c>
      <c r="Q144" s="34">
        <f t="shared" si="36"/>
        <v>7.3303688997446072E-4</v>
      </c>
      <c r="R144" s="18" t="str">
        <f t="shared" si="37"/>
        <v>-</v>
      </c>
      <c r="S144" s="46" t="str">
        <f t="shared" si="38"/>
        <v>-</v>
      </c>
      <c r="T144" s="51" t="str">
        <f>IF(A_tier2_on=1,M_Sims!M344,"-")</f>
        <v>-</v>
      </c>
      <c r="U144" s="46" t="str">
        <f>IF(OR(A_bankroll="",A_tier2_on&lt;&gt;1),"-",MIN(A_maxbet,M_Sims!M344*A_bankroll))</f>
        <v>-</v>
      </c>
      <c r="V144" s="30">
        <f>M_Sims!H344</f>
        <v>0</v>
      </c>
      <c r="W144" s="6" t="b">
        <f>AND(H144&lt;&gt;"IMPUTED_20C_LADDER",L144&gt;=A_minev,N144&gt;0,V144=1,IF(A144="PLAYOFFS",A_poconf=1,TRUE),IF(AND(A144="WINS",A_zs_on=1),AND(AE144&gt;=A_minev,M_Sims!O344&gt;0),TRUE),AF144&gt;=A_minev,AG144&gt;0,IF(I144&lt;A_longthr,(1-A_shrink)*M_Sims!K344+A_shrink*(I144*G144-1)&gt;=A_minev,TRUE),IF(AND(OR(A144="WINS",A144="PLAYOFFS",LEFT(A144,4)="DIV_"),INDEX(Raw_Teams!$F$8:$F$37,MATCH($C144,Raw_Teams!$A$8:$A$37,0))&lt;A_contthr),AND(((1-A_contshrink)*J144+A_contshrink*I144)*G144-1&gt;=A_minev,(1-A_contshrink)*N144+A_contshrink*(I144*G144-1)&gt;0),TRUE),M_Sims!P344=0)</f>
        <v>0</v>
      </c>
      <c r="X144" s="6" t="s">
        <v>1301</v>
      </c>
      <c r="Y144" s="6" t="s">
        <v>1307</v>
      </c>
      <c r="Z144" s="6">
        <v>261</v>
      </c>
      <c r="AA144" s="7" t="str">
        <f t="shared" si="39"/>
        <v>OK - sims match current assumptions</v>
      </c>
      <c r="AB144" s="13" t="s">
        <v>33</v>
      </c>
      <c r="AC144" s="13" t="s">
        <v>33</v>
      </c>
      <c r="AD144" s="13" t="s">
        <v>33</v>
      </c>
      <c r="AE144" s="13" t="s">
        <v>33</v>
      </c>
      <c r="AF144" s="34">
        <f t="shared" si="40"/>
        <v>-0.81600774061641035</v>
      </c>
      <c r="AG144" s="34">
        <f t="shared" si="41"/>
        <v>-0.86118774061641035</v>
      </c>
      <c r="AH144" s="6" t="b">
        <f>AND(W144,I144&gt;=A_t1_fair,((1-A_t1_shrink)*J144+A_t1_shrink*I144)*G144-1&gt;=A_minev,(1-A_t1_shrink)*N144+A_t1_shrink*(I144*G144-1)&gt;0,M_Sims!Q344=1)</f>
        <v>0</v>
      </c>
      <c r="AI144" s="18">
        <f>IF(AH144,M_Sims!R344*A_t1_cap/A_t1_engcap,0)</f>
        <v>0</v>
      </c>
      <c r="AJ144" s="46" t="str">
        <f t="shared" si="42"/>
        <v>-</v>
      </c>
      <c r="AK144" s="7" t="str">
        <f>IF(AH144,M_Sims!S344,"-")</f>
        <v>-</v>
      </c>
      <c r="AL144" s="51">
        <f>M_Sims!M344</f>
        <v>0</v>
      </c>
      <c r="AM144" s="6" t="str">
        <f t="shared" si="43"/>
        <v>-</v>
      </c>
    </row>
    <row r="145" spans="1:39" ht="15" customHeight="1" x14ac:dyDescent="0.3">
      <c r="A145" s="6" t="s">
        <v>286</v>
      </c>
      <c r="B145" s="7" t="str">
        <f>Odds_Input!C270</f>
        <v>Milwaukee Bucks</v>
      </c>
      <c r="C145" s="6" t="s">
        <v>213</v>
      </c>
      <c r="D145" s="7" t="str">
        <f>Odds_Input!D270</f>
        <v>YES</v>
      </c>
      <c r="E145" s="31" t="str">
        <f>Odds_Input!E270</f>
        <v>-</v>
      </c>
      <c r="F145" s="32">
        <f>Odds_Input!F270</f>
        <v>25000</v>
      </c>
      <c r="G145" s="36">
        <f>M_DeVig!H270</f>
        <v>251</v>
      </c>
      <c r="H145" s="7" t="str">
        <f>Odds_Input!G270</f>
        <v>-</v>
      </c>
      <c r="I145" s="42">
        <f>M_DeVig!Q270</f>
        <v>9.0607377994892161E-4</v>
      </c>
      <c r="J145" s="42">
        <f>INDEX(M_Sims!$K$15:$K$44,MATCH($C145,M_Sims!$A$15:$A$44,0))</f>
        <v>2.9399999999999999E-3</v>
      </c>
      <c r="K145" s="43">
        <f t="shared" si="33"/>
        <v>33913.605442176871</v>
      </c>
      <c r="L145" s="34">
        <f t="shared" si="34"/>
        <v>-0.26206000000000007</v>
      </c>
      <c r="M145" s="38">
        <f t="shared" si="35"/>
        <v>0.20339262200510783</v>
      </c>
      <c r="N145" s="42">
        <f>M_Sims!B345</f>
        <v>-0.53146666666666675</v>
      </c>
      <c r="O145" s="42">
        <f>M_Sims!C345</f>
        <v>-7.9666666666666594E-2</v>
      </c>
      <c r="P145" s="42">
        <f>M_Sims!D345</f>
        <v>3.3333333333333298E-2</v>
      </c>
      <c r="Q145" s="34">
        <f t="shared" si="36"/>
        <v>1.9230368899744608E-3</v>
      </c>
      <c r="R145" s="18" t="str">
        <f t="shared" si="37"/>
        <v>-</v>
      </c>
      <c r="S145" s="46" t="str">
        <f t="shared" si="38"/>
        <v>-</v>
      </c>
      <c r="T145" s="51" t="str">
        <f>IF(A_tier2_on=1,M_Sims!M345,"-")</f>
        <v>-</v>
      </c>
      <c r="U145" s="46" t="str">
        <f>IF(OR(A_bankroll="",A_tier2_on&lt;&gt;1),"-",MIN(A_maxbet,M_Sims!M345*A_bankroll))</f>
        <v>-</v>
      </c>
      <c r="V145" s="30">
        <f>M_Sims!H345</f>
        <v>0</v>
      </c>
      <c r="W145" s="6" t="b">
        <f>AND(H145&lt;&gt;"IMPUTED_20C_LADDER",L145&gt;=A_minev,N145&gt;0,V145=1,IF(A145="PLAYOFFS",A_poconf=1,TRUE),IF(AND(A145="WINS",A_zs_on=1),AND(AE145&gt;=A_minev,M_Sims!O345&gt;0),TRUE),AF145&gt;=A_minev,AG145&gt;0,IF(I145&lt;A_longthr,(1-A_shrink)*M_Sims!K345+A_shrink*(I145*G145-1)&gt;=A_minev,TRUE),IF(AND(OR(A145="WINS",A145="PLAYOFFS",LEFT(A145,4)="DIV_"),INDEX(Raw_Teams!$F$8:$F$37,MATCH($C145,Raw_Teams!$A$8:$A$37,0))&lt;A_contthr),AND(((1-A_contshrink)*J145+A_contshrink*I145)*G145-1&gt;=A_minev,(1-A_contshrink)*N145+A_contshrink*(I145*G145-1)&gt;0),TRUE),M_Sims!P345=0)</f>
        <v>0</v>
      </c>
      <c r="X145" s="6" t="s">
        <v>1301</v>
      </c>
      <c r="Y145" s="6" t="s">
        <v>1307</v>
      </c>
      <c r="Z145" s="6">
        <v>262</v>
      </c>
      <c r="AA145" s="7" t="str">
        <f t="shared" si="39"/>
        <v>OK - sims match current assumptions</v>
      </c>
      <c r="AB145" s="13" t="s">
        <v>33</v>
      </c>
      <c r="AC145" s="13" t="s">
        <v>33</v>
      </c>
      <c r="AD145" s="13" t="s">
        <v>33</v>
      </c>
      <c r="AE145" s="13" t="s">
        <v>33</v>
      </c>
      <c r="AF145" s="34">
        <f t="shared" si="40"/>
        <v>-0.51731774061641034</v>
      </c>
      <c r="AG145" s="34">
        <f t="shared" si="41"/>
        <v>-0.65202107394974373</v>
      </c>
      <c r="AH145" s="6" t="b">
        <f>AND(W145,I145&gt;=A_t1_fair,((1-A_t1_shrink)*J145+A_t1_shrink*I145)*G145-1&gt;=A_minev,(1-A_t1_shrink)*N145+A_t1_shrink*(I145*G145-1)&gt;0,M_Sims!Q345=1)</f>
        <v>0</v>
      </c>
      <c r="AI145" s="18">
        <f>IF(AH145,M_Sims!R345*A_t1_cap/A_t1_engcap,0)</f>
        <v>0</v>
      </c>
      <c r="AJ145" s="46" t="str">
        <f t="shared" si="42"/>
        <v>-</v>
      </c>
      <c r="AK145" s="7" t="str">
        <f>IF(AH145,M_Sims!S345,"-")</f>
        <v>-</v>
      </c>
      <c r="AL145" s="51">
        <f>M_Sims!M345</f>
        <v>0</v>
      </c>
      <c r="AM145" s="6" t="str">
        <f t="shared" si="43"/>
        <v>-</v>
      </c>
    </row>
    <row r="146" spans="1:39" ht="15" customHeight="1" x14ac:dyDescent="0.3">
      <c r="A146" s="6" t="s">
        <v>286</v>
      </c>
      <c r="B146" s="7" t="str">
        <f>Odds_Input!C271</f>
        <v>Brooklyn Nets</v>
      </c>
      <c r="C146" s="6" t="s">
        <v>198</v>
      </c>
      <c r="D146" s="7" t="str">
        <f>Odds_Input!D271</f>
        <v>YES</v>
      </c>
      <c r="E146" s="31" t="str">
        <f>Odds_Input!E271</f>
        <v>-</v>
      </c>
      <c r="F146" s="32">
        <f>Odds_Input!F271</f>
        <v>25000</v>
      </c>
      <c r="G146" s="36">
        <f>M_DeVig!H271</f>
        <v>251</v>
      </c>
      <c r="H146" s="7" t="str">
        <f>Odds_Input!G271</f>
        <v>-</v>
      </c>
      <c r="I146" s="42">
        <f>M_DeVig!Q271</f>
        <v>9.0607377994892161E-4</v>
      </c>
      <c r="J146" s="42">
        <f>INDEX(M_Sims!$K$15:$K$44,MATCH($C146,M_Sims!$A$15:$A$44,0))</f>
        <v>4.1599999999999996E-3</v>
      </c>
      <c r="K146" s="43">
        <f t="shared" si="33"/>
        <v>23938.461538461539</v>
      </c>
      <c r="L146" s="34">
        <f t="shared" si="34"/>
        <v>4.4159999999999977E-2</v>
      </c>
      <c r="M146" s="38">
        <f t="shared" si="35"/>
        <v>0.32539262200510777</v>
      </c>
      <c r="N146" s="42">
        <f>M_Sims!B346</f>
        <v>-0.2185533333333334</v>
      </c>
      <c r="O146" s="42">
        <f>M_Sims!C346</f>
        <v>0.35707333333333341</v>
      </c>
      <c r="P146" s="42">
        <f>M_Sims!D346</f>
        <v>0.56666666666666665</v>
      </c>
      <c r="Q146" s="34">
        <f t="shared" si="36"/>
        <v>2.5330368899744607E-3</v>
      </c>
      <c r="R146" s="18" t="str">
        <f t="shared" si="37"/>
        <v>-</v>
      </c>
      <c r="S146" s="46" t="str">
        <f t="shared" si="38"/>
        <v>-</v>
      </c>
      <c r="T146" s="51" t="str">
        <f>IF(A_tier2_on=1,M_Sims!M346,"-")</f>
        <v>-</v>
      </c>
      <c r="U146" s="46" t="str">
        <f>IF(OR(A_bankroll="",A_tier2_on&lt;&gt;1),"-",MIN(A_maxbet,M_Sims!M346*A_bankroll))</f>
        <v>-</v>
      </c>
      <c r="V146" s="30">
        <f>M_Sims!H346</f>
        <v>0</v>
      </c>
      <c r="W146" s="6" t="b">
        <f>AND(H146&lt;&gt;"IMPUTED_20C_LADDER",L146&gt;=A_minev,N146&gt;0,V146=1,IF(A146="PLAYOFFS",A_poconf=1,TRUE),IF(AND(A146="WINS",A_zs_on=1),AND(AE146&gt;=A_minev,M_Sims!O346&gt;0),TRUE),AF146&gt;=A_minev,AG146&gt;0,IF(I146&lt;A_longthr,(1-A_shrink)*M_Sims!K346+A_shrink*(I146*G146-1)&gt;=A_minev,TRUE),IF(AND(OR(A146="WINS",A146="PLAYOFFS",LEFT(A146,4)="DIV_"),INDEX(Raw_Teams!$F$8:$F$37,MATCH($C146,Raw_Teams!$A$8:$A$37,0))&lt;A_contthr),AND(((1-A_contshrink)*J146+A_contshrink*I146)*G146-1&gt;=A_minev,(1-A_contshrink)*N146+A_contshrink*(I146*G146-1)&gt;0),TRUE),M_Sims!P346=0)</f>
        <v>0</v>
      </c>
      <c r="X146" s="6" t="s">
        <v>1301</v>
      </c>
      <c r="Y146" s="6" t="s">
        <v>1307</v>
      </c>
      <c r="Z146" s="6">
        <v>263</v>
      </c>
      <c r="AA146" s="7" t="str">
        <f t="shared" si="39"/>
        <v>OK - sims match current assumptions</v>
      </c>
      <c r="AB146" s="13" t="s">
        <v>33</v>
      </c>
      <c r="AC146" s="13" t="s">
        <v>33</v>
      </c>
      <c r="AD146" s="13" t="s">
        <v>33</v>
      </c>
      <c r="AE146" s="13" t="s">
        <v>33</v>
      </c>
      <c r="AF146" s="34">
        <f t="shared" si="40"/>
        <v>-0.36420774061641037</v>
      </c>
      <c r="AG146" s="34">
        <f t="shared" si="41"/>
        <v>-0.49556440728307705</v>
      </c>
      <c r="AH146" s="6" t="b">
        <f>AND(W146,I146&gt;=A_t1_fair,((1-A_t1_shrink)*J146+A_t1_shrink*I146)*G146-1&gt;=A_minev,(1-A_t1_shrink)*N146+A_t1_shrink*(I146*G146-1)&gt;0,M_Sims!Q346=1)</f>
        <v>0</v>
      </c>
      <c r="AI146" s="18">
        <f>IF(AH146,M_Sims!R346*A_t1_cap/A_t1_engcap,0)</f>
        <v>0</v>
      </c>
      <c r="AJ146" s="46" t="str">
        <f t="shared" si="42"/>
        <v>-</v>
      </c>
      <c r="AK146" s="7" t="str">
        <f>IF(AH146,M_Sims!S346,"-")</f>
        <v>-</v>
      </c>
      <c r="AL146" s="51">
        <f>M_Sims!M346</f>
        <v>0</v>
      </c>
      <c r="AM146" s="6" t="str">
        <f t="shared" si="43"/>
        <v>-</v>
      </c>
    </row>
    <row r="147" spans="1:39" ht="15" customHeight="1" x14ac:dyDescent="0.3"/>
    <row r="148" spans="1:39" ht="15" customHeight="1" x14ac:dyDescent="0.3">
      <c r="A148" s="48" t="s">
        <v>287</v>
      </c>
      <c r="B148" s="49" t="s">
        <v>1308</v>
      </c>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row>
    <row r="149" spans="1:39" ht="15" customHeight="1" x14ac:dyDescent="0.3">
      <c r="A149" s="6" t="s">
        <v>287</v>
      </c>
      <c r="B149" s="7" t="str">
        <f>Odds_Input!C272</f>
        <v>Detroit Pistons</v>
      </c>
      <c r="C149" s="6" t="s">
        <v>205</v>
      </c>
      <c r="D149" s="7" t="str">
        <f>Odds_Input!D272</f>
        <v>YES</v>
      </c>
      <c r="E149" s="31" t="str">
        <f>Odds_Input!E272</f>
        <v>-</v>
      </c>
      <c r="F149" s="32">
        <f>Odds_Input!F272</f>
        <v>145</v>
      </c>
      <c r="G149" s="36">
        <f>M_DeVig!H272</f>
        <v>2.4500000000000002</v>
      </c>
      <c r="H149" s="7" t="str">
        <f>Odds_Input!G272</f>
        <v>-</v>
      </c>
      <c r="I149" s="42">
        <f>M_DeVig!Q272</f>
        <v>0.36162667566263418</v>
      </c>
      <c r="J149" s="42">
        <f>INDEX(M_Sims!$J$15:$J$44,MATCH($C149,M_Sims!$A$15:$A$44,0))</f>
        <v>0.28122999999999998</v>
      </c>
      <c r="K149" s="43">
        <f>IF(J149&gt;=0.5,-100*J149/(1-J149),100*(1-J149)/J149)</f>
        <v>255.58084130427054</v>
      </c>
      <c r="L149" s="34">
        <f>J149*G149-1</f>
        <v>-0.31098650000000005</v>
      </c>
      <c r="M149" s="38">
        <f>(J149-I149)*100</f>
        <v>-8.0396675662634198</v>
      </c>
      <c r="N149" s="42">
        <f>M_Sims!B347</f>
        <v>-0.32932066666666659</v>
      </c>
      <c r="O149" s="42">
        <f>M_Sims!C347</f>
        <v>-0.2751756666666666</v>
      </c>
      <c r="P149" s="42">
        <f>M_Sims!D347</f>
        <v>0</v>
      </c>
      <c r="Q149" s="34">
        <f>(1-A_shrink)*J149+A_shrink*I149</f>
        <v>0.32142833783131708</v>
      </c>
      <c r="R149" s="18" t="str">
        <f>IF(A_tier2_on=1,MAX(0,(Q149*G149-1)/(G149-1))*A_kelly,"-")</f>
        <v>-</v>
      </c>
      <c r="S149" s="46" t="str">
        <f>IF(OR(A_bankroll="",A_tier2_on&lt;&gt;1),"-",MIN(A_maxbet,MAX(0,(Q149*G149-1)/(G149-1))*A_kelly*A_bankroll))</f>
        <v>-</v>
      </c>
      <c r="T149" s="51" t="str">
        <f>IF(A_tier2_on=1,M_Sims!M347,"-")</f>
        <v>-</v>
      </c>
      <c r="U149" s="46" t="str">
        <f>IF(OR(A_bankroll="",A_tier2_on&lt;&gt;1),"-",MIN(A_maxbet,M_Sims!M347*A_bankroll))</f>
        <v>-</v>
      </c>
      <c r="V149" s="30">
        <f>M_Sims!H347</f>
        <v>1</v>
      </c>
      <c r="W149" s="6" t="b">
        <f>AND(H149&lt;&gt;"IMPUTED_20C_LADDER",L149&gt;=A_minev,N149&gt;0,V149=1,IF(A149="PLAYOFFS",A_poconf=1,TRUE),IF(AND(A149="WINS",A_zs_on=1),AND(AE149&gt;=A_minev,M_Sims!O347&gt;0),TRUE),AF149&gt;=A_minev,AG149&gt;0,IF(I149&lt;A_longthr,(1-A_shrink)*M_Sims!K347+A_shrink*(I149*G149-1)&gt;=A_minev,TRUE),IF(AND(OR(A149="WINS",A149="PLAYOFFS",LEFT(A149,4)="DIV_"),INDEX(Raw_Teams!$F$8:$F$37,MATCH($C149,Raw_Teams!$A$8:$A$37,0))&lt;A_contthr),AND(((1-A_contshrink)*J149+A_contshrink*I149)*G149-1&gt;=A_minev,(1-A_contshrink)*N149+A_contshrink*(I149*G149-1)&gt;0),TRUE),M_Sims!P347=0)</f>
        <v>0</v>
      </c>
      <c r="X149" s="6" t="s">
        <v>1301</v>
      </c>
      <c r="Y149" s="6" t="s">
        <v>1307</v>
      </c>
      <c r="Z149" s="6">
        <v>264</v>
      </c>
      <c r="AA149" s="7" t="str">
        <f>Sim_Stale</f>
        <v>OK - sims match current assumptions</v>
      </c>
      <c r="AB149" s="13" t="s">
        <v>33</v>
      </c>
      <c r="AC149" s="13" t="s">
        <v>33</v>
      </c>
      <c r="AD149" s="13" t="s">
        <v>33</v>
      </c>
      <c r="AE149" s="13" t="s">
        <v>33</v>
      </c>
      <c r="AF149" s="34">
        <f>Q149*G149-1</f>
        <v>-0.21250057231327313</v>
      </c>
      <c r="AG149" s="34">
        <f>(1-A_shrink)*N149+A_shrink*(I149*G149-1)</f>
        <v>-0.2216676556466064</v>
      </c>
      <c r="AH149" s="6" t="b">
        <f>AND(W149,I149&gt;=A_t1_fair,((1-A_t1_shrink)*J149+A_t1_shrink*I149)*G149-1&gt;=A_minev,(1-A_t1_shrink)*N149+A_t1_shrink*(I149*G149-1)&gt;0,M_Sims!Q347=1)</f>
        <v>0</v>
      </c>
      <c r="AI149" s="18">
        <f>IF(AH149,M_Sims!R347*A_t1_cap/A_t1_engcap,0)</f>
        <v>0</v>
      </c>
      <c r="AJ149" s="46" t="str">
        <f>IF(OR(A_bankroll="",NOT(AH149)),"-",MIN(A_maxbet,AI149*A_bankroll))</f>
        <v>-</v>
      </c>
      <c r="AK149" s="7" t="str">
        <f>IF(AH149,M_Sims!S347,"-")</f>
        <v>-</v>
      </c>
      <c r="AL149" s="51">
        <f>M_Sims!M347</f>
        <v>0</v>
      </c>
      <c r="AM149" s="6" t="str">
        <f>IF(W149,IF(AH149,"Tier 1","Tier 2"),"-")</f>
        <v>-</v>
      </c>
    </row>
    <row r="150" spans="1:39" ht="15" customHeight="1" x14ac:dyDescent="0.3">
      <c r="A150" s="6" t="s">
        <v>287</v>
      </c>
      <c r="B150" s="7" t="str">
        <f>Odds_Input!C273</f>
        <v>Toronto Raptors</v>
      </c>
      <c r="C150" s="6" t="s">
        <v>224</v>
      </c>
      <c r="D150" s="7" t="str">
        <f>Odds_Input!D273</f>
        <v>YES</v>
      </c>
      <c r="E150" s="31" t="str">
        <f>Odds_Input!E273</f>
        <v>-</v>
      </c>
      <c r="F150" s="32">
        <f>Odds_Input!F273</f>
        <v>180</v>
      </c>
      <c r="G150" s="36">
        <f>M_DeVig!H273</f>
        <v>2.8</v>
      </c>
      <c r="H150" s="7" t="str">
        <f>Odds_Input!G273</f>
        <v>-</v>
      </c>
      <c r="I150" s="42">
        <f>M_DeVig!Q273</f>
        <v>0.31354191427647776</v>
      </c>
      <c r="J150" s="42">
        <f>INDEX(M_Sims!$J$15:$J$44,MATCH($C150,M_Sims!$A$15:$A$44,0))</f>
        <v>0.35363</v>
      </c>
      <c r="K150" s="43">
        <f>IF(J150&gt;=0.5,-100*J150/(1-J150),100*(1-J150)/J150)</f>
        <v>182.78143822639481</v>
      </c>
      <c r="L150" s="34">
        <f>J150*G150-1</f>
        <v>-9.8360000000000669E-3</v>
      </c>
      <c r="M150" s="38">
        <f>(J150-I150)*100</f>
        <v>4.0088085723522235</v>
      </c>
      <c r="N150" s="42">
        <f>M_Sims!B348</f>
        <v>-7.2658666666666705E-2</v>
      </c>
      <c r="O150" s="42">
        <f>M_Sims!C348</f>
        <v>4.5594666666666603E-2</v>
      </c>
      <c r="P150" s="42">
        <f>M_Sims!D348</f>
        <v>0.45</v>
      </c>
      <c r="Q150" s="34">
        <f>(1-A_shrink)*J150+A_shrink*I150</f>
        <v>0.33358595713823891</v>
      </c>
      <c r="R150" s="18" t="str">
        <f>IF(A_tier2_on=1,MAX(0,(Q150*G150-1)/(G150-1))*A_kelly,"-")</f>
        <v>-</v>
      </c>
      <c r="S150" s="46" t="str">
        <f>IF(OR(A_bankroll="",A_tier2_on&lt;&gt;1),"-",MIN(A_maxbet,MAX(0,(Q150*G150-1)/(G150-1))*A_kelly*A_bankroll))</f>
        <v>-</v>
      </c>
      <c r="T150" s="51" t="str">
        <f>IF(A_tier2_on=1,M_Sims!M348,"-")</f>
        <v>-</v>
      </c>
      <c r="U150" s="46" t="str">
        <f>IF(OR(A_bankroll="",A_tier2_on&lt;&gt;1),"-",MIN(A_maxbet,M_Sims!M348*A_bankroll))</f>
        <v>-</v>
      </c>
      <c r="V150" s="30">
        <f>M_Sims!H348</f>
        <v>1</v>
      </c>
      <c r="W150" s="6" t="b">
        <f>AND(H150&lt;&gt;"IMPUTED_20C_LADDER",L150&gt;=A_minev,N150&gt;0,V150=1,IF(A150="PLAYOFFS",A_poconf=1,TRUE),IF(AND(A150="WINS",A_zs_on=1),AND(AE150&gt;=A_minev,M_Sims!O348&gt;0),TRUE),AF150&gt;=A_minev,AG150&gt;0,IF(I150&lt;A_longthr,(1-A_shrink)*M_Sims!K348+A_shrink*(I150*G150-1)&gt;=A_minev,TRUE),IF(AND(OR(A150="WINS",A150="PLAYOFFS",LEFT(A150,4)="DIV_"),INDEX(Raw_Teams!$F$8:$F$37,MATCH($C150,Raw_Teams!$A$8:$A$37,0))&lt;A_contthr),AND(((1-A_contshrink)*J150+A_contshrink*I150)*G150-1&gt;=A_minev,(1-A_contshrink)*N150+A_contshrink*(I150*G150-1)&gt;0),TRUE),M_Sims!P348=0)</f>
        <v>0</v>
      </c>
      <c r="X150" s="6" t="s">
        <v>1301</v>
      </c>
      <c r="Y150" s="6" t="s">
        <v>1307</v>
      </c>
      <c r="Z150" s="6">
        <v>265</v>
      </c>
      <c r="AA150" s="7" t="str">
        <f>Sim_Stale</f>
        <v>OK - sims match current assumptions</v>
      </c>
      <c r="AB150" s="13" t="s">
        <v>33</v>
      </c>
      <c r="AC150" s="13" t="s">
        <v>33</v>
      </c>
      <c r="AD150" s="13" t="s">
        <v>33</v>
      </c>
      <c r="AE150" s="13" t="s">
        <v>33</v>
      </c>
      <c r="AF150" s="34">
        <f>Q150*G150-1</f>
        <v>-6.5959320012931144E-2</v>
      </c>
      <c r="AG150" s="34">
        <f>(1-A_shrink)*N150+A_shrink*(I150*G150-1)</f>
        <v>-9.7370653346264519E-2</v>
      </c>
      <c r="AH150" s="6" t="b">
        <f>AND(W150,I150&gt;=A_t1_fair,((1-A_t1_shrink)*J150+A_t1_shrink*I150)*G150-1&gt;=A_minev,(1-A_t1_shrink)*N150+A_t1_shrink*(I150*G150-1)&gt;0,M_Sims!Q348=1)</f>
        <v>0</v>
      </c>
      <c r="AI150" s="18">
        <f>IF(AH150,M_Sims!R348*A_t1_cap/A_t1_engcap,0)</f>
        <v>0</v>
      </c>
      <c r="AJ150" s="46" t="str">
        <f>IF(OR(A_bankroll="",NOT(AH150)),"-",MIN(A_maxbet,AI150*A_bankroll))</f>
        <v>-</v>
      </c>
      <c r="AK150" s="7" t="str">
        <f>IF(AH150,M_Sims!S348,"-")</f>
        <v>-</v>
      </c>
      <c r="AL150" s="51">
        <f>M_Sims!M348</f>
        <v>0</v>
      </c>
      <c r="AM150" s="6" t="str">
        <f>IF(W150,IF(AH150,"Tier 1","Tier 2"),"-")</f>
        <v>-</v>
      </c>
    </row>
    <row r="151" spans="1:39" ht="15" customHeight="1" x14ac:dyDescent="0.3">
      <c r="A151" s="6" t="s">
        <v>287</v>
      </c>
      <c r="B151" s="7" t="str">
        <f>Odds_Input!C274</f>
        <v>Orlando Magic</v>
      </c>
      <c r="C151" s="6" t="s">
        <v>218</v>
      </c>
      <c r="D151" s="7" t="str">
        <f>Odds_Input!D274</f>
        <v>YES</v>
      </c>
      <c r="E151" s="31" t="str">
        <f>Odds_Input!E274</f>
        <v>-</v>
      </c>
      <c r="F151" s="32">
        <f>Odds_Input!F274</f>
        <v>250</v>
      </c>
      <c r="G151" s="36">
        <f>M_DeVig!H274</f>
        <v>3.5</v>
      </c>
      <c r="H151" s="7" t="str">
        <f>Odds_Input!G274</f>
        <v>-</v>
      </c>
      <c r="I151" s="42">
        <f>M_DeVig!Q274</f>
        <v>0.24629073590416034</v>
      </c>
      <c r="J151" s="42">
        <f>INDEX(M_Sims!$J$15:$J$44,MATCH($C151,M_Sims!$A$15:$A$44,0))</f>
        <v>0.22398999999999999</v>
      </c>
      <c r="K151" s="43">
        <f>IF(J151&gt;=0.5,-100*J151/(1-J151),100*(1-J151)/J151)</f>
        <v>346.44850216527522</v>
      </c>
      <c r="L151" s="34">
        <f>J151*G151-1</f>
        <v>-0.21603499999999998</v>
      </c>
      <c r="M151" s="38">
        <f>(J151-I151)*100</f>
        <v>-2.2300735904160347</v>
      </c>
      <c r="N151" s="42">
        <f>M_Sims!B349</f>
        <v>-0.30832999999999999</v>
      </c>
      <c r="O151" s="42">
        <f>M_Sims!C349</f>
        <v>-0.13715666666666659</v>
      </c>
      <c r="P151" s="42">
        <f>M_Sims!D349</f>
        <v>0</v>
      </c>
      <c r="Q151" s="34">
        <f>(1-A_shrink)*J151+A_shrink*I151</f>
        <v>0.23514036795208015</v>
      </c>
      <c r="R151" s="18" t="str">
        <f>IF(A_tier2_on=1,MAX(0,(Q151*G151-1)/(G151-1))*A_kelly,"-")</f>
        <v>-</v>
      </c>
      <c r="S151" s="46" t="str">
        <f>IF(OR(A_bankroll="",A_tier2_on&lt;&gt;1),"-",MIN(A_maxbet,MAX(0,(Q151*G151-1)/(G151-1))*A_kelly*A_bankroll))</f>
        <v>-</v>
      </c>
      <c r="T151" s="51" t="str">
        <f>IF(A_tier2_on=1,M_Sims!M349,"-")</f>
        <v>-</v>
      </c>
      <c r="U151" s="46" t="str">
        <f>IF(OR(A_bankroll="",A_tier2_on&lt;&gt;1),"-",MIN(A_maxbet,M_Sims!M349*A_bankroll))</f>
        <v>-</v>
      </c>
      <c r="V151" s="30">
        <f>M_Sims!H349</f>
        <v>1</v>
      </c>
      <c r="W151" s="6" t="b">
        <f>AND(H151&lt;&gt;"IMPUTED_20C_LADDER",L151&gt;=A_minev,N151&gt;0,V151=1,IF(A151="PLAYOFFS",A_poconf=1,TRUE),IF(AND(A151="WINS",A_zs_on=1),AND(AE151&gt;=A_minev,M_Sims!O349&gt;0),TRUE),AF151&gt;=A_minev,AG151&gt;0,IF(I151&lt;A_longthr,(1-A_shrink)*M_Sims!K349+A_shrink*(I151*G151-1)&gt;=A_minev,TRUE),IF(AND(OR(A151="WINS",A151="PLAYOFFS",LEFT(A151,4)="DIV_"),INDEX(Raw_Teams!$F$8:$F$37,MATCH($C151,Raw_Teams!$A$8:$A$37,0))&lt;A_contthr),AND(((1-A_contshrink)*J151+A_contshrink*I151)*G151-1&gt;=A_minev,(1-A_contshrink)*N151+A_contshrink*(I151*G151-1)&gt;0),TRUE),M_Sims!P349=0)</f>
        <v>0</v>
      </c>
      <c r="X151" s="6" t="s">
        <v>1301</v>
      </c>
      <c r="Y151" s="6" t="s">
        <v>1307</v>
      </c>
      <c r="Z151" s="6">
        <v>266</v>
      </c>
      <c r="AA151" s="7" t="str">
        <f>Sim_Stale</f>
        <v>OK - sims match current assumptions</v>
      </c>
      <c r="AB151" s="13" t="s">
        <v>33</v>
      </c>
      <c r="AC151" s="13" t="s">
        <v>33</v>
      </c>
      <c r="AD151" s="13" t="s">
        <v>33</v>
      </c>
      <c r="AE151" s="13" t="s">
        <v>33</v>
      </c>
      <c r="AF151" s="34">
        <f>Q151*G151-1</f>
        <v>-0.17700871216771952</v>
      </c>
      <c r="AG151" s="34">
        <f>(1-A_shrink)*N151+A_shrink*(I151*G151-1)</f>
        <v>-0.22315621216771941</v>
      </c>
      <c r="AH151" s="6" t="b">
        <f>AND(W151,I151&gt;=A_t1_fair,((1-A_t1_shrink)*J151+A_t1_shrink*I151)*G151-1&gt;=A_minev,(1-A_t1_shrink)*N151+A_t1_shrink*(I151*G151-1)&gt;0,M_Sims!Q349=1)</f>
        <v>0</v>
      </c>
      <c r="AI151" s="18">
        <f>IF(AH151,M_Sims!R349*A_t1_cap/A_t1_engcap,0)</f>
        <v>0</v>
      </c>
      <c r="AJ151" s="46" t="str">
        <f>IF(OR(A_bankroll="",NOT(AH151)),"-",MIN(A_maxbet,AI151*A_bankroll))</f>
        <v>-</v>
      </c>
      <c r="AK151" s="7" t="str">
        <f>IF(AH151,M_Sims!S349,"-")</f>
        <v>-</v>
      </c>
      <c r="AL151" s="51">
        <f>M_Sims!M349</f>
        <v>0</v>
      </c>
      <c r="AM151" s="6" t="str">
        <f>IF(W151,IF(AH151,"Tier 1","Tier 2"),"-")</f>
        <v>-</v>
      </c>
    </row>
    <row r="152" spans="1:39" ht="15" customHeight="1" x14ac:dyDescent="0.3">
      <c r="A152" s="6" t="s">
        <v>287</v>
      </c>
      <c r="B152" s="7" t="str">
        <f>Odds_Input!C275</f>
        <v>Milwaukee Bucks</v>
      </c>
      <c r="C152" s="6" t="s">
        <v>213</v>
      </c>
      <c r="D152" s="7" t="str">
        <f>Odds_Input!D275</f>
        <v>YES</v>
      </c>
      <c r="E152" s="31" t="str">
        <f>Odds_Input!E275</f>
        <v>-</v>
      </c>
      <c r="F152" s="32">
        <f>Odds_Input!F275</f>
        <v>1500</v>
      </c>
      <c r="G152" s="36">
        <f>M_DeVig!H275</f>
        <v>16</v>
      </c>
      <c r="H152" s="7" t="str">
        <f>Odds_Input!G275</f>
        <v>-</v>
      </c>
      <c r="I152" s="42">
        <f>M_DeVig!Q275</f>
        <v>3.9270337007840973E-2</v>
      </c>
      <c r="J152" s="42">
        <f>INDEX(M_Sims!$J$15:$J$44,MATCH($C152,M_Sims!$A$15:$A$44,0))</f>
        <v>6.2539999999999998E-2</v>
      </c>
      <c r="K152" s="43">
        <f>IF(J152&gt;=0.5,-100*J152/(1-J152),100*(1-J152)/J152)</f>
        <v>1498.9766549408378</v>
      </c>
      <c r="L152" s="34">
        <f>J152*G152-1</f>
        <v>6.3999999999997392E-4</v>
      </c>
      <c r="M152" s="38">
        <f>(J152-I152)*100</f>
        <v>2.3269662992159024</v>
      </c>
      <c r="N152" s="42">
        <f>M_Sims!B350</f>
        <v>-0.1367466666666666</v>
      </c>
      <c r="O152" s="42">
        <f>M_Sims!C350</f>
        <v>0.13834666666666659</v>
      </c>
      <c r="P152" s="42">
        <f>M_Sims!D350</f>
        <v>0.51666666666666672</v>
      </c>
      <c r="Q152" s="34">
        <f>(1-A_shrink)*J152+A_shrink*I152</f>
        <v>5.0905168503920489E-2</v>
      </c>
      <c r="R152" s="18" t="str">
        <f>IF(A_tier2_on=1,MAX(0,(Q152*G152-1)/(G152-1))*A_kelly,"-")</f>
        <v>-</v>
      </c>
      <c r="S152" s="46" t="str">
        <f>IF(OR(A_bankroll="",A_tier2_on&lt;&gt;1),"-",MIN(A_maxbet,MAX(0,(Q152*G152-1)/(G152-1))*A_kelly*A_bankroll))</f>
        <v>-</v>
      </c>
      <c r="T152" s="51" t="str">
        <f>IF(A_tier2_on=1,M_Sims!M350,"-")</f>
        <v>-</v>
      </c>
      <c r="U152" s="46" t="str">
        <f>IF(OR(A_bankroll="",A_tier2_on&lt;&gt;1),"-",MIN(A_maxbet,M_Sims!M350*A_bankroll))</f>
        <v>-</v>
      </c>
      <c r="V152" s="30">
        <f>M_Sims!H350</f>
        <v>0</v>
      </c>
      <c r="W152" s="6" t="b">
        <f>AND(H152&lt;&gt;"IMPUTED_20C_LADDER",L152&gt;=A_minev,N152&gt;0,V152=1,IF(A152="PLAYOFFS",A_poconf=1,TRUE),IF(AND(A152="WINS",A_zs_on=1),AND(AE152&gt;=A_minev,M_Sims!O350&gt;0),TRUE),AF152&gt;=A_minev,AG152&gt;0,IF(I152&lt;A_longthr,(1-A_shrink)*M_Sims!K350+A_shrink*(I152*G152-1)&gt;=A_minev,TRUE),IF(AND(OR(A152="WINS",A152="PLAYOFFS",LEFT(A152,4)="DIV_"),INDEX(Raw_Teams!$F$8:$F$37,MATCH($C152,Raw_Teams!$A$8:$A$37,0))&lt;A_contthr),AND(((1-A_contshrink)*J152+A_contshrink*I152)*G152-1&gt;=A_minev,(1-A_contshrink)*N152+A_contshrink*(I152*G152-1)&gt;0),TRUE),M_Sims!P350=0)</f>
        <v>0</v>
      </c>
      <c r="X152" s="6" t="s">
        <v>1301</v>
      </c>
      <c r="Y152" s="6" t="s">
        <v>1307</v>
      </c>
      <c r="Z152" s="6">
        <v>267</v>
      </c>
      <c r="AA152" s="7" t="str">
        <f>Sim_Stale</f>
        <v>OK - sims match current assumptions</v>
      </c>
      <c r="AB152" s="13" t="s">
        <v>33</v>
      </c>
      <c r="AC152" s="13" t="s">
        <v>33</v>
      </c>
      <c r="AD152" s="13" t="s">
        <v>33</v>
      </c>
      <c r="AE152" s="13" t="s">
        <v>33</v>
      </c>
      <c r="AF152" s="34">
        <f>Q152*G152-1</f>
        <v>-0.18551730393727217</v>
      </c>
      <c r="AG152" s="34">
        <f>(1-A_shrink)*N152+A_shrink*(I152*G152-1)</f>
        <v>-0.2542106372706055</v>
      </c>
      <c r="AH152" s="6" t="b">
        <f>AND(W152,I152&gt;=A_t1_fair,((1-A_t1_shrink)*J152+A_t1_shrink*I152)*G152-1&gt;=A_minev,(1-A_t1_shrink)*N152+A_t1_shrink*(I152*G152-1)&gt;0,M_Sims!Q350=1)</f>
        <v>0</v>
      </c>
      <c r="AI152" s="18">
        <f>IF(AH152,M_Sims!R350*A_t1_cap/A_t1_engcap,0)</f>
        <v>0</v>
      </c>
      <c r="AJ152" s="46" t="str">
        <f>IF(OR(A_bankroll="",NOT(AH152)),"-",MIN(A_maxbet,AI152*A_bankroll))</f>
        <v>-</v>
      </c>
      <c r="AK152" s="7" t="str">
        <f>IF(AH152,M_Sims!S350,"-")</f>
        <v>-</v>
      </c>
      <c r="AL152" s="51">
        <f>M_Sims!M350</f>
        <v>0</v>
      </c>
      <c r="AM152" s="6" t="str">
        <f>IF(W152,IF(AH152,"Tier 1","Tier 2"),"-")</f>
        <v>-</v>
      </c>
    </row>
    <row r="153" spans="1:39" ht="15" customHeight="1" x14ac:dyDescent="0.3">
      <c r="A153" s="6" t="s">
        <v>287</v>
      </c>
      <c r="B153" s="7" t="str">
        <f>Odds_Input!C276</f>
        <v>Brooklyn Nets</v>
      </c>
      <c r="C153" s="6" t="s">
        <v>198</v>
      </c>
      <c r="D153" s="7" t="str">
        <f>Odds_Input!D276</f>
        <v>YES</v>
      </c>
      <c r="E153" s="31" t="str">
        <f>Odds_Input!E276</f>
        <v>-</v>
      </c>
      <c r="F153" s="32">
        <f>Odds_Input!F276</f>
        <v>1500</v>
      </c>
      <c r="G153" s="36">
        <f>M_DeVig!H276</f>
        <v>16</v>
      </c>
      <c r="H153" s="7" t="str">
        <f>Odds_Input!G276</f>
        <v>-</v>
      </c>
      <c r="I153" s="42">
        <f>M_DeVig!Q276</f>
        <v>3.9270337007840973E-2</v>
      </c>
      <c r="J153" s="42">
        <f>INDEX(M_Sims!$J$15:$J$44,MATCH($C153,M_Sims!$A$15:$A$44,0))</f>
        <v>7.8609999999999999E-2</v>
      </c>
      <c r="K153" s="43">
        <f>IF(J153&gt;=0.5,-100*J153/(1-J153),100*(1-J153)/J153)</f>
        <v>1172.1027859051012</v>
      </c>
      <c r="L153" s="34">
        <f>J153*G153-1</f>
        <v>0.25775999999999999</v>
      </c>
      <c r="M153" s="38">
        <f>(J153-I153)*100</f>
        <v>3.9339662992159026</v>
      </c>
      <c r="N153" s="42">
        <f>M_Sims!B351</f>
        <v>0.12416000000000001</v>
      </c>
      <c r="O153" s="42">
        <f>M_Sims!C351</f>
        <v>0.38997333333333328</v>
      </c>
      <c r="P153" s="42">
        <f>M_Sims!D351</f>
        <v>1</v>
      </c>
      <c r="Q153" s="34">
        <f>(1-A_shrink)*J153+A_shrink*I153</f>
        <v>5.894016850392049E-2</v>
      </c>
      <c r="R153" s="18" t="str">
        <f>IF(A_tier2_on=1,MAX(0,(Q153*G153-1)/(G153-1))*A_kelly,"-")</f>
        <v>-</v>
      </c>
      <c r="S153" s="46" t="str">
        <f>IF(OR(A_bankroll="",A_tier2_on&lt;&gt;1),"-",MIN(A_maxbet,MAX(0,(Q153*G153-1)/(G153-1))*A_kelly*A_bankroll))</f>
        <v>-</v>
      </c>
      <c r="T153" s="51" t="str">
        <f>IF(A_tier2_on=1,M_Sims!M351,"-")</f>
        <v>-</v>
      </c>
      <c r="U153" s="46" t="str">
        <f>IF(OR(A_bankroll="",A_tier2_on&lt;&gt;1),"-",MIN(A_maxbet,M_Sims!M351*A_bankroll))</f>
        <v>-</v>
      </c>
      <c r="V153" s="30">
        <f>M_Sims!H351</f>
        <v>1</v>
      </c>
      <c r="W153" s="6" t="b">
        <f>AND(H153&lt;&gt;"IMPUTED_20C_LADDER",L153&gt;=A_minev,N153&gt;0,V153=1,IF(A153="PLAYOFFS",A_poconf=1,TRUE),IF(AND(A153="WINS",A_zs_on=1),AND(AE153&gt;=A_minev,M_Sims!O351&gt;0),TRUE),AF153&gt;=A_minev,AG153&gt;0,IF(I153&lt;A_longthr,(1-A_shrink)*M_Sims!K351+A_shrink*(I153*G153-1)&gt;=A_minev,TRUE),IF(AND(OR(A153="WINS",A153="PLAYOFFS",LEFT(A153,4)="DIV_"),INDEX(Raw_Teams!$F$8:$F$37,MATCH($C153,Raw_Teams!$A$8:$A$37,0))&lt;A_contthr),AND(((1-A_contshrink)*J153+A_contshrink*I153)*G153-1&gt;=A_minev,(1-A_contshrink)*N153+A_contshrink*(I153*G153-1)&gt;0),TRUE),M_Sims!P351=0)</f>
        <v>0</v>
      </c>
      <c r="X153" s="6" t="s">
        <v>1301</v>
      </c>
      <c r="Y153" s="6" t="s">
        <v>1307</v>
      </c>
      <c r="Z153" s="6">
        <v>268</v>
      </c>
      <c r="AA153" s="7" t="str">
        <f>Sim_Stale</f>
        <v>OK - sims match current assumptions</v>
      </c>
      <c r="AB153" s="13" t="s">
        <v>33</v>
      </c>
      <c r="AC153" s="13" t="s">
        <v>33</v>
      </c>
      <c r="AD153" s="13" t="s">
        <v>33</v>
      </c>
      <c r="AE153" s="13" t="s">
        <v>33</v>
      </c>
      <c r="AF153" s="34">
        <f>Q153*G153-1</f>
        <v>-5.6957303937272163E-2</v>
      </c>
      <c r="AG153" s="34">
        <f>(1-A_shrink)*N153+A_shrink*(I153*G153-1)</f>
        <v>-0.12375730393727222</v>
      </c>
      <c r="AH153" s="6" t="b">
        <f>AND(W153,I153&gt;=A_t1_fair,((1-A_t1_shrink)*J153+A_t1_shrink*I153)*G153-1&gt;=A_minev,(1-A_t1_shrink)*N153+A_t1_shrink*(I153*G153-1)&gt;0,M_Sims!Q351=1)</f>
        <v>0</v>
      </c>
      <c r="AI153" s="18">
        <f>IF(AH153,M_Sims!R351*A_t1_cap/A_t1_engcap,0)</f>
        <v>0</v>
      </c>
      <c r="AJ153" s="46" t="str">
        <f>IF(OR(A_bankroll="",NOT(AH153)),"-",MIN(A_maxbet,AI153*A_bankroll))</f>
        <v>-</v>
      </c>
      <c r="AK153" s="7" t="str">
        <f>IF(AH153,M_Sims!S351,"-")</f>
        <v>-</v>
      </c>
      <c r="AL153" s="51">
        <f>M_Sims!M351</f>
        <v>0</v>
      </c>
      <c r="AM153" s="6" t="str">
        <f>IF(W153,IF(AH153,"Tier 1","Tier 2"),"-")</f>
        <v>-</v>
      </c>
    </row>
    <row r="154" spans="1:39" ht="15" customHeight="1" x14ac:dyDescent="0.3"/>
    <row r="155" spans="1:39" ht="15" customHeight="1" x14ac:dyDescent="0.3">
      <c r="A155" s="48" t="s">
        <v>288</v>
      </c>
      <c r="B155" s="49" t="s">
        <v>1308</v>
      </c>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row>
    <row r="156" spans="1:39" ht="15" customHeight="1" x14ac:dyDescent="0.3">
      <c r="A156" s="6" t="s">
        <v>288</v>
      </c>
      <c r="B156" s="7" t="str">
        <f>Odds_Input!C277</f>
        <v>New York Knicks</v>
      </c>
      <c r="C156" s="6" t="s">
        <v>216</v>
      </c>
      <c r="D156" s="7" t="str">
        <f>Odds_Input!D277</f>
        <v>YES</v>
      </c>
      <c r="E156" s="31" t="str">
        <f>Odds_Input!E277</f>
        <v>-</v>
      </c>
      <c r="F156" s="32">
        <f>Odds_Input!F277</f>
        <v>225</v>
      </c>
      <c r="G156" s="36">
        <f>M_DeVig!H277</f>
        <v>3.25</v>
      </c>
      <c r="H156" s="7" t="str">
        <f>Odds_Input!G277</f>
        <v>-</v>
      </c>
      <c r="I156" s="42">
        <f>M_DeVig!Q277</f>
        <v>0.27449806303144797</v>
      </c>
      <c r="J156" s="42">
        <f>INDEX(M_Sims!$J$15:$J$44,MATCH($C156,M_Sims!$A$15:$A$44,0))</f>
        <v>0.21540000000000001</v>
      </c>
      <c r="K156" s="43">
        <f>IF(J156&gt;=0.5,-100*J156/(1-J156),100*(1-J156)/J156)</f>
        <v>364.25255338904361</v>
      </c>
      <c r="L156" s="34">
        <f>J156*G156-1</f>
        <v>-0.29994999999999994</v>
      </c>
      <c r="M156" s="38">
        <f>(J156-I156)*100</f>
        <v>-5.909806303144796</v>
      </c>
      <c r="N156" s="42">
        <f>M_Sims!B352</f>
        <v>-0.3951533333333333</v>
      </c>
      <c r="O156" s="42">
        <f>M_Sims!C352</f>
        <v>-0.1872833333333333</v>
      </c>
      <c r="P156" s="42">
        <f>M_Sims!D352</f>
        <v>0</v>
      </c>
      <c r="Q156" s="34">
        <f>(1-A_shrink)*J156+A_shrink*I156</f>
        <v>0.244949031515724</v>
      </c>
      <c r="R156" s="18" t="str">
        <f>IF(A_tier2_on=1,MAX(0,(Q156*G156-1)/(G156-1))*A_kelly,"-")</f>
        <v>-</v>
      </c>
      <c r="S156" s="46" t="str">
        <f>IF(OR(A_bankroll="",A_tier2_on&lt;&gt;1),"-",MIN(A_maxbet,MAX(0,(Q156*G156-1)/(G156-1))*A_kelly*A_bankroll))</f>
        <v>-</v>
      </c>
      <c r="T156" s="51" t="str">
        <f>IF(A_tier2_on=1,M_Sims!M352,"-")</f>
        <v>-</v>
      </c>
      <c r="U156" s="46" t="str">
        <f>IF(OR(A_bankroll="",A_tier2_on&lt;&gt;1),"-",MIN(A_maxbet,M_Sims!M352*A_bankroll))</f>
        <v>-</v>
      </c>
      <c r="V156" s="30">
        <f>M_Sims!H352</f>
        <v>1</v>
      </c>
      <c r="W156" s="6" t="b">
        <f>AND(H156&lt;&gt;"IMPUTED_20C_LADDER",L156&gt;=A_minev,N156&gt;0,V156=1,IF(A156="PLAYOFFS",A_poconf=1,TRUE),IF(AND(A156="WINS",A_zs_on=1),AND(AE156&gt;=A_minev,M_Sims!O352&gt;0),TRUE),AF156&gt;=A_minev,AG156&gt;0,IF(I156&lt;A_longthr,(1-A_shrink)*M_Sims!K352+A_shrink*(I156*G156-1)&gt;=A_minev,TRUE),IF(AND(OR(A156="WINS",A156="PLAYOFFS",LEFT(A156,4)="DIV_"),INDEX(Raw_Teams!$F$8:$F$37,MATCH($C156,Raw_Teams!$A$8:$A$37,0))&lt;A_contthr),AND(((1-A_contshrink)*J156+A_contshrink*I156)*G156-1&gt;=A_minev,(1-A_contshrink)*N156+A_contshrink*(I156*G156-1)&gt;0),TRUE),M_Sims!P352=0)</f>
        <v>0</v>
      </c>
      <c r="X156" s="6" t="s">
        <v>1301</v>
      </c>
      <c r="Y156" s="6" t="s">
        <v>1307</v>
      </c>
      <c r="Z156" s="6">
        <v>269</v>
      </c>
      <c r="AA156" s="7" t="str">
        <f>Sim_Stale</f>
        <v>OK - sims match current assumptions</v>
      </c>
      <c r="AB156" s="13" t="s">
        <v>33</v>
      </c>
      <c r="AC156" s="13" t="s">
        <v>33</v>
      </c>
      <c r="AD156" s="13" t="s">
        <v>33</v>
      </c>
      <c r="AE156" s="13" t="s">
        <v>33</v>
      </c>
      <c r="AF156" s="34">
        <f>Q156*G156-1</f>
        <v>-0.20391564757389702</v>
      </c>
      <c r="AG156" s="34">
        <f>(1-A_shrink)*N156+A_shrink*(I156*G156-1)</f>
        <v>-0.25151731424056367</v>
      </c>
      <c r="AH156" s="6" t="b">
        <f>AND(W156,I156&gt;=A_t1_fair,((1-A_t1_shrink)*J156+A_t1_shrink*I156)*G156-1&gt;=A_minev,(1-A_t1_shrink)*N156+A_t1_shrink*(I156*G156-1)&gt;0,M_Sims!Q352=1)</f>
        <v>0</v>
      </c>
      <c r="AI156" s="18">
        <f>IF(AH156,M_Sims!R352*A_t1_cap/A_t1_engcap,0)</f>
        <v>0</v>
      </c>
      <c r="AJ156" s="46" t="str">
        <f>IF(OR(A_bankroll="",NOT(AH156)),"-",MIN(A_maxbet,AI156*A_bankroll))</f>
        <v>-</v>
      </c>
      <c r="AK156" s="7" t="str">
        <f>IF(AH156,M_Sims!S352,"-")</f>
        <v>-</v>
      </c>
      <c r="AL156" s="51">
        <f>M_Sims!M352</f>
        <v>0</v>
      </c>
      <c r="AM156" s="6" t="str">
        <f>IF(W156,IF(AH156,"Tier 1","Tier 2"),"-")</f>
        <v>-</v>
      </c>
    </row>
    <row r="157" spans="1:39" ht="15" customHeight="1" x14ac:dyDescent="0.3">
      <c r="A157" s="6" t="s">
        <v>288</v>
      </c>
      <c r="B157" s="7" t="str">
        <f>Odds_Input!C278</f>
        <v>Philadelphia 76ers</v>
      </c>
      <c r="C157" s="6" t="s">
        <v>219</v>
      </c>
      <c r="D157" s="7" t="str">
        <f>Odds_Input!D278</f>
        <v>YES</v>
      </c>
      <c r="E157" s="31" t="str">
        <f>Odds_Input!E278</f>
        <v>-</v>
      </c>
      <c r="F157" s="32">
        <f>Odds_Input!F278</f>
        <v>225</v>
      </c>
      <c r="G157" s="36">
        <f>M_DeVig!H278</f>
        <v>3.25</v>
      </c>
      <c r="H157" s="7" t="str">
        <f>Odds_Input!G278</f>
        <v>-</v>
      </c>
      <c r="I157" s="42">
        <f>M_DeVig!Q278</f>
        <v>0.27449806303144797</v>
      </c>
      <c r="J157" s="42">
        <f>INDEX(M_Sims!$J$15:$J$44,MATCH($C157,M_Sims!$A$15:$A$44,0))</f>
        <v>0.21672</v>
      </c>
      <c r="K157" s="43">
        <f>IF(J157&gt;=0.5,-100*J157/(1-J157),100*(1-J157)/J157)</f>
        <v>361.42488002953121</v>
      </c>
      <c r="L157" s="34">
        <f>J157*G157-1</f>
        <v>-0.29566000000000003</v>
      </c>
      <c r="M157" s="38">
        <f>(J157-I157)*100</f>
        <v>-5.7778063031447973</v>
      </c>
      <c r="N157" s="42">
        <f>M_Sims!B353</f>
        <v>-0.35669499999999998</v>
      </c>
      <c r="O157" s="42">
        <f>M_Sims!C353</f>
        <v>-0.23026999999999989</v>
      </c>
      <c r="P157" s="42">
        <f>M_Sims!D353</f>
        <v>0</v>
      </c>
      <c r="Q157" s="34">
        <f>(1-A_shrink)*J157+A_shrink*I157</f>
        <v>0.245609031515724</v>
      </c>
      <c r="R157" s="18" t="str">
        <f>IF(A_tier2_on=1,MAX(0,(Q157*G157-1)/(G157-1))*A_kelly,"-")</f>
        <v>-</v>
      </c>
      <c r="S157" s="46" t="str">
        <f>IF(OR(A_bankroll="",A_tier2_on&lt;&gt;1),"-",MIN(A_maxbet,MAX(0,(Q157*G157-1)/(G157-1))*A_kelly*A_bankroll))</f>
        <v>-</v>
      </c>
      <c r="T157" s="51" t="str">
        <f>IF(A_tier2_on=1,M_Sims!M353,"-")</f>
        <v>-</v>
      </c>
      <c r="U157" s="46" t="str">
        <f>IF(OR(A_bankroll="",A_tier2_on&lt;&gt;1),"-",MIN(A_maxbet,M_Sims!M353*A_bankroll))</f>
        <v>-</v>
      </c>
      <c r="V157" s="30">
        <f>M_Sims!H353</f>
        <v>1</v>
      </c>
      <c r="W157" s="6" t="b">
        <f>AND(H157&lt;&gt;"IMPUTED_20C_LADDER",L157&gt;=A_minev,N157&gt;0,V157=1,IF(A157="PLAYOFFS",A_poconf=1,TRUE),IF(AND(A157="WINS",A_zs_on=1),AND(AE157&gt;=A_minev,M_Sims!O353&gt;0),TRUE),AF157&gt;=A_minev,AG157&gt;0,IF(I157&lt;A_longthr,(1-A_shrink)*M_Sims!K353+A_shrink*(I157*G157-1)&gt;=A_minev,TRUE),IF(AND(OR(A157="WINS",A157="PLAYOFFS",LEFT(A157,4)="DIV_"),INDEX(Raw_Teams!$F$8:$F$37,MATCH($C157,Raw_Teams!$A$8:$A$37,0))&lt;A_contthr),AND(((1-A_contshrink)*J157+A_contshrink*I157)*G157-1&gt;=A_minev,(1-A_contshrink)*N157+A_contshrink*(I157*G157-1)&gt;0),TRUE),M_Sims!P353=0)</f>
        <v>0</v>
      </c>
      <c r="X157" s="6" t="s">
        <v>1301</v>
      </c>
      <c r="Y157" s="6" t="s">
        <v>1307</v>
      </c>
      <c r="Z157" s="6">
        <v>270</v>
      </c>
      <c r="AA157" s="7" t="str">
        <f>Sim_Stale</f>
        <v>OK - sims match current assumptions</v>
      </c>
      <c r="AB157" s="13" t="s">
        <v>33</v>
      </c>
      <c r="AC157" s="13" t="s">
        <v>33</v>
      </c>
      <c r="AD157" s="13" t="s">
        <v>33</v>
      </c>
      <c r="AE157" s="13" t="s">
        <v>33</v>
      </c>
      <c r="AF157" s="34">
        <f>Q157*G157-1</f>
        <v>-0.20177064757389696</v>
      </c>
      <c r="AG157" s="34">
        <f>(1-A_shrink)*N157+A_shrink*(I157*G157-1)</f>
        <v>-0.23228814757389704</v>
      </c>
      <c r="AH157" s="6" t="b">
        <f>AND(W157,I157&gt;=A_t1_fair,((1-A_t1_shrink)*J157+A_t1_shrink*I157)*G157-1&gt;=A_minev,(1-A_t1_shrink)*N157+A_t1_shrink*(I157*G157-1)&gt;0,M_Sims!Q353=1)</f>
        <v>0</v>
      </c>
      <c r="AI157" s="18">
        <f>IF(AH157,M_Sims!R353*A_t1_cap/A_t1_engcap,0)</f>
        <v>0</v>
      </c>
      <c r="AJ157" s="46" t="str">
        <f>IF(OR(A_bankroll="",NOT(AH157)),"-",MIN(A_maxbet,AI157*A_bankroll))</f>
        <v>-</v>
      </c>
      <c r="AK157" s="7" t="str">
        <f>IF(AH157,M_Sims!S353,"-")</f>
        <v>-</v>
      </c>
      <c r="AL157" s="51">
        <f>M_Sims!M353</f>
        <v>0</v>
      </c>
      <c r="AM157" s="6" t="str">
        <f>IF(W157,IF(AH157,"Tier 1","Tier 2"),"-")</f>
        <v>-</v>
      </c>
    </row>
    <row r="158" spans="1:39" ht="15" customHeight="1" x14ac:dyDescent="0.3">
      <c r="A158" s="6" t="s">
        <v>288</v>
      </c>
      <c r="B158" s="7" t="str">
        <f>Odds_Input!C279</f>
        <v>Miami Heat</v>
      </c>
      <c r="C158" s="6" t="s">
        <v>212</v>
      </c>
      <c r="D158" s="7" t="str">
        <f>Odds_Input!D279</f>
        <v>YES</v>
      </c>
      <c r="E158" s="31" t="str">
        <f>Odds_Input!E279</f>
        <v>-</v>
      </c>
      <c r="F158" s="32">
        <f>Odds_Input!F279</f>
        <v>450</v>
      </c>
      <c r="G158" s="36">
        <f>M_DeVig!H279</f>
        <v>5.5</v>
      </c>
      <c r="H158" s="7" t="str">
        <f>Odds_Input!G279</f>
        <v>-</v>
      </c>
      <c r="I158" s="42">
        <f>M_DeVig!Q279</f>
        <v>0.15511060286486858</v>
      </c>
      <c r="J158" s="42">
        <f>INDEX(M_Sims!$J$15:$J$44,MATCH($C158,M_Sims!$A$15:$A$44,0))</f>
        <v>0.12114999999999999</v>
      </c>
      <c r="K158" s="43">
        <f>IF(J158&gt;=0.5,-100*J158/(1-J158),100*(1-J158)/J158)</f>
        <v>725.42302930251765</v>
      </c>
      <c r="L158" s="34">
        <f>J158*G158-1</f>
        <v>-0.33367500000000005</v>
      </c>
      <c r="M158" s="38">
        <f>(J158-I158)*100</f>
        <v>-3.3960602864868585</v>
      </c>
      <c r="N158" s="42">
        <f>M_Sims!B354</f>
        <v>-0.38440333333333337</v>
      </c>
      <c r="O158" s="42">
        <f>M_Sims!C354</f>
        <v>-0.28646666666666659</v>
      </c>
      <c r="P158" s="42">
        <f>M_Sims!D354</f>
        <v>0</v>
      </c>
      <c r="Q158" s="34">
        <f>(1-A_shrink)*J158+A_shrink*I158</f>
        <v>0.13813030143243429</v>
      </c>
      <c r="R158" s="18" t="str">
        <f>IF(A_tier2_on=1,MAX(0,(Q158*G158-1)/(G158-1))*A_kelly,"-")</f>
        <v>-</v>
      </c>
      <c r="S158" s="46" t="str">
        <f>IF(OR(A_bankroll="",A_tier2_on&lt;&gt;1),"-",MIN(A_maxbet,MAX(0,(Q158*G158-1)/(G158-1))*A_kelly*A_bankroll))</f>
        <v>-</v>
      </c>
      <c r="T158" s="51" t="str">
        <f>IF(A_tier2_on=1,M_Sims!M354,"-")</f>
        <v>-</v>
      </c>
      <c r="U158" s="46" t="str">
        <f>IF(OR(A_bankroll="",A_tier2_on&lt;&gt;1),"-",MIN(A_maxbet,M_Sims!M354*A_bankroll))</f>
        <v>-</v>
      </c>
      <c r="V158" s="30">
        <f>M_Sims!H354</f>
        <v>1</v>
      </c>
      <c r="W158" s="6" t="b">
        <f>AND(H158&lt;&gt;"IMPUTED_20C_LADDER",L158&gt;=A_minev,N158&gt;0,V158=1,IF(A158="PLAYOFFS",A_poconf=1,TRUE),IF(AND(A158="WINS",A_zs_on=1),AND(AE158&gt;=A_minev,M_Sims!O354&gt;0),TRUE),AF158&gt;=A_minev,AG158&gt;0,IF(I158&lt;A_longthr,(1-A_shrink)*M_Sims!K354+A_shrink*(I158*G158-1)&gt;=A_minev,TRUE),IF(AND(OR(A158="WINS",A158="PLAYOFFS",LEFT(A158,4)="DIV_"),INDEX(Raw_Teams!$F$8:$F$37,MATCH($C158,Raw_Teams!$A$8:$A$37,0))&lt;A_contthr),AND(((1-A_contshrink)*J158+A_contshrink*I158)*G158-1&gt;=A_minev,(1-A_contshrink)*N158+A_contshrink*(I158*G158-1)&gt;0),TRUE),M_Sims!P354=0)</f>
        <v>0</v>
      </c>
      <c r="X158" s="6" t="s">
        <v>1301</v>
      </c>
      <c r="Y158" s="6" t="s">
        <v>1307</v>
      </c>
      <c r="Z158" s="6">
        <v>271</v>
      </c>
      <c r="AA158" s="7" t="str">
        <f>Sim_Stale</f>
        <v>OK - sims match current assumptions</v>
      </c>
      <c r="AB158" s="13" t="s">
        <v>33</v>
      </c>
      <c r="AC158" s="13" t="s">
        <v>33</v>
      </c>
      <c r="AD158" s="13" t="s">
        <v>33</v>
      </c>
      <c r="AE158" s="13" t="s">
        <v>33</v>
      </c>
      <c r="AF158" s="34">
        <f>Q158*G158-1</f>
        <v>-0.2402833421216114</v>
      </c>
      <c r="AG158" s="34">
        <f>(1-A_shrink)*N158+A_shrink*(I158*G158-1)</f>
        <v>-0.26564750878827814</v>
      </c>
      <c r="AH158" s="6" t="b">
        <f>AND(W158,I158&gt;=A_t1_fair,((1-A_t1_shrink)*J158+A_t1_shrink*I158)*G158-1&gt;=A_minev,(1-A_t1_shrink)*N158+A_t1_shrink*(I158*G158-1)&gt;0,M_Sims!Q354=1)</f>
        <v>0</v>
      </c>
      <c r="AI158" s="18">
        <f>IF(AH158,M_Sims!R354*A_t1_cap/A_t1_engcap,0)</f>
        <v>0</v>
      </c>
      <c r="AJ158" s="46" t="str">
        <f>IF(OR(A_bankroll="",NOT(AH158)),"-",MIN(A_maxbet,AI158*A_bankroll))</f>
        <v>-</v>
      </c>
      <c r="AK158" s="7" t="str">
        <f>IF(AH158,M_Sims!S354,"-")</f>
        <v>-</v>
      </c>
      <c r="AL158" s="51">
        <f>M_Sims!M354</f>
        <v>0</v>
      </c>
      <c r="AM158" s="6" t="str">
        <f>IF(W158,IF(AH158,"Tier 1","Tier 2"),"-")</f>
        <v>-</v>
      </c>
    </row>
    <row r="159" spans="1:39" ht="15" customHeight="1" x14ac:dyDescent="0.3">
      <c r="A159" s="6" t="s">
        <v>288</v>
      </c>
      <c r="B159" s="7" t="str">
        <f>Odds_Input!C280</f>
        <v>Cleveland Cavaliers</v>
      </c>
      <c r="C159" s="6" t="s">
        <v>202</v>
      </c>
      <c r="D159" s="7" t="str">
        <f>Odds_Input!D280</f>
        <v>YES</v>
      </c>
      <c r="E159" s="31" t="str">
        <f>Odds_Input!E280</f>
        <v>-</v>
      </c>
      <c r="F159" s="32">
        <f>Odds_Input!F280</f>
        <v>450</v>
      </c>
      <c r="G159" s="36">
        <f>M_DeVig!H280</f>
        <v>5.5</v>
      </c>
      <c r="H159" s="7" t="str">
        <f>Odds_Input!G280</f>
        <v>-</v>
      </c>
      <c r="I159" s="42">
        <f>M_DeVig!Q280</f>
        <v>0.15511060286486858</v>
      </c>
      <c r="J159" s="42">
        <f>INDEX(M_Sims!$J$15:$J$44,MATCH($C159,M_Sims!$A$15:$A$44,0))</f>
        <v>0.26196000000000003</v>
      </c>
      <c r="K159" s="43">
        <f>IF(J159&gt;=0.5,-100*J159/(1-J159),100*(1-J159)/J159)</f>
        <v>281.73766987326309</v>
      </c>
      <c r="L159" s="34">
        <f>J159*G159-1</f>
        <v>0.44078000000000017</v>
      </c>
      <c r="M159" s="38">
        <f>(J159-I159)*100</f>
        <v>10.684939713513145</v>
      </c>
      <c r="N159" s="42">
        <f>M_Sims!B355</f>
        <v>0.31758000000000008</v>
      </c>
      <c r="O159" s="42">
        <f>M_Sims!C355</f>
        <v>0.55514333333333321</v>
      </c>
      <c r="P159" s="42">
        <f>M_Sims!D355</f>
        <v>1</v>
      </c>
      <c r="Q159" s="34">
        <f>(1-A_shrink)*J159+A_shrink*I159</f>
        <v>0.20853530143243432</v>
      </c>
      <c r="R159" s="18" t="str">
        <f>IF(A_tier2_on=1,MAX(0,(Q159*G159-1)/(G159-1))*A_kelly,"-")</f>
        <v>-</v>
      </c>
      <c r="S159" s="46" t="str">
        <f>IF(OR(A_bankroll="",A_tier2_on&lt;&gt;1),"-",MIN(A_maxbet,MAX(0,(Q159*G159-1)/(G159-1))*A_kelly*A_bankroll))</f>
        <v>-</v>
      </c>
      <c r="T159" s="51" t="str">
        <f>IF(A_tier2_on=1,M_Sims!M355,"-")</f>
        <v>-</v>
      </c>
      <c r="U159" s="46" t="str">
        <f>IF(OR(A_bankroll="",A_tier2_on&lt;&gt;1),"-",MIN(A_maxbet,M_Sims!M355*A_bankroll))</f>
        <v>-</v>
      </c>
      <c r="V159" s="30">
        <f>M_Sims!H355</f>
        <v>1</v>
      </c>
      <c r="W159" s="6" t="b">
        <f>AND(H159&lt;&gt;"IMPUTED_20C_LADDER",L159&gt;=A_minev,N159&gt;0,V159=1,IF(A159="PLAYOFFS",A_poconf=1,TRUE),IF(AND(A159="WINS",A_zs_on=1),AND(AE159&gt;=A_minev,M_Sims!O355&gt;0),TRUE),AF159&gt;=A_minev,AG159&gt;0,IF(I159&lt;A_longthr,(1-A_shrink)*M_Sims!K355+A_shrink*(I159*G159-1)&gt;=A_minev,TRUE),IF(AND(OR(A159="WINS",A159="PLAYOFFS",LEFT(A159,4)="DIV_"),INDEX(Raw_Teams!$F$8:$F$37,MATCH($C159,Raw_Teams!$A$8:$A$37,0))&lt;A_contthr),AND(((1-A_contshrink)*J159+A_contshrink*I159)*G159-1&gt;=A_minev,(1-A_contshrink)*N159+A_contshrink*(I159*G159-1)&gt;0),TRUE),M_Sims!P355=0)</f>
        <v>1</v>
      </c>
      <c r="X159" s="6" t="s">
        <v>1301</v>
      </c>
      <c r="Y159" s="6" t="s">
        <v>1307</v>
      </c>
      <c r="Z159" s="6">
        <v>272</v>
      </c>
      <c r="AA159" s="7" t="str">
        <f>Sim_Stale</f>
        <v>OK - sims match current assumptions</v>
      </c>
      <c r="AB159" s="13" t="s">
        <v>33</v>
      </c>
      <c r="AC159" s="13" t="s">
        <v>33</v>
      </c>
      <c r="AD159" s="13" t="s">
        <v>33</v>
      </c>
      <c r="AE159" s="13" t="s">
        <v>33</v>
      </c>
      <c r="AF159" s="34">
        <f>Q159*G159-1</f>
        <v>0.14694415787838877</v>
      </c>
      <c r="AG159" s="34">
        <f>(1-A_shrink)*N159+A_shrink*(I159*G159-1)</f>
        <v>8.5344157878388616E-2</v>
      </c>
      <c r="AH159" s="6" t="b">
        <f>AND(W159,I159&gt;=A_t1_fair,((1-A_t1_shrink)*J159+A_t1_shrink*I159)*G159-1&gt;=A_minev,(1-A_t1_shrink)*N159+A_t1_shrink*(I159*G159-1)&gt;0,M_Sims!Q355=1)</f>
        <v>0</v>
      </c>
      <c r="AI159" s="18">
        <f>IF(AH159,M_Sims!R355*A_t1_cap/A_t1_engcap,0)</f>
        <v>0</v>
      </c>
      <c r="AJ159" s="46" t="str">
        <f>IF(OR(A_bankroll="",NOT(AH159)),"-",MIN(A_maxbet,AI159*A_bankroll))</f>
        <v>-</v>
      </c>
      <c r="AK159" s="7" t="str">
        <f>IF(AH159,M_Sims!S355,"-")</f>
        <v>-</v>
      </c>
      <c r="AL159" s="51">
        <f>M_Sims!M355</f>
        <v>3.7714559967360001E-4</v>
      </c>
      <c r="AM159" s="6" t="str">
        <f>IF(W159,IF(AH159,"Tier 1","Tier 2"),"-")</f>
        <v>Tier 2</v>
      </c>
    </row>
    <row r="160" spans="1:39" ht="15" customHeight="1" x14ac:dyDescent="0.3">
      <c r="A160" s="6" t="s">
        <v>288</v>
      </c>
      <c r="B160" s="7" t="str">
        <f>Odds_Input!C281</f>
        <v>Indiana Pacers</v>
      </c>
      <c r="C160" s="6" t="s">
        <v>208</v>
      </c>
      <c r="D160" s="7" t="str">
        <f>Odds_Input!D281</f>
        <v>YES</v>
      </c>
      <c r="E160" s="31" t="str">
        <f>Odds_Input!E281</f>
        <v>-</v>
      </c>
      <c r="F160" s="32">
        <f>Odds_Input!F281</f>
        <v>500</v>
      </c>
      <c r="G160" s="36">
        <f>M_DeVig!H281</f>
        <v>6</v>
      </c>
      <c r="H160" s="7" t="str">
        <f>Odds_Input!G281</f>
        <v>-</v>
      </c>
      <c r="I160" s="42">
        <f>M_DeVig!Q281</f>
        <v>0.14078266802187006</v>
      </c>
      <c r="J160" s="42">
        <f>INDEX(M_Sims!$J$15:$J$44,MATCH($C160,M_Sims!$A$15:$A$44,0))</f>
        <v>0.18476999999999999</v>
      </c>
      <c r="K160" s="43">
        <f>IF(J160&gt;=0.5,-100*J160/(1-J160),100*(1-J160)/J160)</f>
        <v>441.21340044379497</v>
      </c>
      <c r="L160" s="34">
        <f>J160*G160-1</f>
        <v>0.10861999999999994</v>
      </c>
      <c r="M160" s="38">
        <f>(J160-I160)*100</f>
        <v>4.3987331978129927</v>
      </c>
      <c r="N160" s="42">
        <f>M_Sims!B356</f>
        <v>8.1319999999999906E-2</v>
      </c>
      <c r="O160" s="42">
        <f>M_Sims!C356</f>
        <v>0.1336399999999999</v>
      </c>
      <c r="P160" s="42">
        <f>M_Sims!D356</f>
        <v>1</v>
      </c>
      <c r="Q160" s="34">
        <f>(1-A_shrink)*J160+A_shrink*I160</f>
        <v>0.16277633401093503</v>
      </c>
      <c r="R160" s="18" t="str">
        <f>IF(A_tier2_on=1,MAX(0,(Q160*G160-1)/(G160-1))*A_kelly,"-")</f>
        <v>-</v>
      </c>
      <c r="S160" s="46" t="str">
        <f>IF(OR(A_bankroll="",A_tier2_on&lt;&gt;1),"-",MIN(A_maxbet,MAX(0,(Q160*G160-1)/(G160-1))*A_kelly*A_bankroll))</f>
        <v>-</v>
      </c>
      <c r="T160" s="51" t="str">
        <f>IF(A_tier2_on=1,M_Sims!M356,"-")</f>
        <v>-</v>
      </c>
      <c r="U160" s="46" t="str">
        <f>IF(OR(A_bankroll="",A_tier2_on&lt;&gt;1),"-",MIN(A_maxbet,M_Sims!M356*A_bankroll))</f>
        <v>-</v>
      </c>
      <c r="V160" s="30">
        <f>M_Sims!H356</f>
        <v>1</v>
      </c>
      <c r="W160" s="6" t="b">
        <f>AND(H160&lt;&gt;"IMPUTED_20C_LADDER",L160&gt;=A_minev,N160&gt;0,V160=1,IF(A160="PLAYOFFS",A_poconf=1,TRUE),IF(AND(A160="WINS",A_zs_on=1),AND(AE160&gt;=A_minev,M_Sims!O356&gt;0),TRUE),AF160&gt;=A_minev,AG160&gt;0,IF(I160&lt;A_longthr,(1-A_shrink)*M_Sims!K356+A_shrink*(I160*G160-1)&gt;=A_minev,TRUE),IF(AND(OR(A160="WINS",A160="PLAYOFFS",LEFT(A160,4)="DIV_"),INDEX(Raw_Teams!$F$8:$F$37,MATCH($C160,Raw_Teams!$A$8:$A$37,0))&lt;A_contthr),AND(((1-A_contshrink)*J160+A_contshrink*I160)*G160-1&gt;=A_minev,(1-A_contshrink)*N160+A_contshrink*(I160*G160-1)&gt;0),TRUE),M_Sims!P356=0)</f>
        <v>0</v>
      </c>
      <c r="X160" s="6" t="s">
        <v>1301</v>
      </c>
      <c r="Y160" s="6" t="s">
        <v>1307</v>
      </c>
      <c r="Z160" s="6">
        <v>273</v>
      </c>
      <c r="AA160" s="7" t="str">
        <f>Sim_Stale</f>
        <v>OK - sims match current assumptions</v>
      </c>
      <c r="AB160" s="13" t="s">
        <v>33</v>
      </c>
      <c r="AC160" s="13" t="s">
        <v>33</v>
      </c>
      <c r="AD160" s="13" t="s">
        <v>33</v>
      </c>
      <c r="AE160" s="13" t="s">
        <v>33</v>
      </c>
      <c r="AF160" s="34">
        <f>Q160*G160-1</f>
        <v>-2.3341995934389903E-2</v>
      </c>
      <c r="AG160" s="34">
        <f>(1-A_shrink)*N160+A_shrink*(I160*G160-1)</f>
        <v>-3.6991995934389864E-2</v>
      </c>
      <c r="AH160" s="6" t="b">
        <f>AND(W160,I160&gt;=A_t1_fair,((1-A_t1_shrink)*J160+A_t1_shrink*I160)*G160-1&gt;=A_minev,(1-A_t1_shrink)*N160+A_t1_shrink*(I160*G160-1)&gt;0,M_Sims!Q356=1)</f>
        <v>0</v>
      </c>
      <c r="AI160" s="18">
        <f>IF(AH160,M_Sims!R356*A_t1_cap/A_t1_engcap,0)</f>
        <v>0</v>
      </c>
      <c r="AJ160" s="46" t="str">
        <f>IF(OR(A_bankroll="",NOT(AH160)),"-",MIN(A_maxbet,AI160*A_bankroll))</f>
        <v>-</v>
      </c>
      <c r="AK160" s="7" t="str">
        <f>IF(AH160,M_Sims!S356,"-")</f>
        <v>-</v>
      </c>
      <c r="AL160" s="51">
        <f>M_Sims!M356</f>
        <v>0</v>
      </c>
      <c r="AM160" s="6" t="str">
        <f>IF(W160,IF(AH160,"Tier 1","Tier 2"),"-")</f>
        <v>-</v>
      </c>
    </row>
    <row r="161" spans="1:39" ht="15" customHeight="1" x14ac:dyDescent="0.3"/>
    <row r="162" spans="1:39" ht="15" customHeight="1" x14ac:dyDescent="0.3">
      <c r="A162" s="48" t="s">
        <v>289</v>
      </c>
      <c r="B162" s="49" t="s">
        <v>1308</v>
      </c>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row>
    <row r="163" spans="1:39" ht="15" customHeight="1" x14ac:dyDescent="0.3">
      <c r="A163" s="6" t="s">
        <v>289</v>
      </c>
      <c r="B163" s="7" t="str">
        <f>Odds_Input!C282</f>
        <v>Boston Celtics</v>
      </c>
      <c r="C163" s="6" t="s">
        <v>199</v>
      </c>
      <c r="D163" s="7" t="str">
        <f>Odds_Input!D282</f>
        <v>YES</v>
      </c>
      <c r="E163" s="31" t="str">
        <f>Odds_Input!E282</f>
        <v>-</v>
      </c>
      <c r="F163" s="32">
        <f>Odds_Input!F282</f>
        <v>115</v>
      </c>
      <c r="G163" s="36">
        <f>M_DeVig!H282</f>
        <v>2.15</v>
      </c>
      <c r="H163" s="7" t="str">
        <f>Odds_Input!G282</f>
        <v>-</v>
      </c>
      <c r="I163" s="42">
        <f>M_DeVig!Q282</f>
        <v>0.4189798101687891</v>
      </c>
      <c r="J163" s="42">
        <f>INDEX(M_Sims!$J$15:$J$44,MATCH($C163,M_Sims!$A$15:$A$44,0))</f>
        <v>0.45158999999999999</v>
      </c>
      <c r="K163" s="43">
        <f>IF(J163&gt;=0.5,-100*J163/(1-J163),100*(1-J163)/J163)</f>
        <v>121.4398015899378</v>
      </c>
      <c r="L163" s="34">
        <f>J163*G163-1</f>
        <v>-2.9081500000000093E-2</v>
      </c>
      <c r="M163" s="38">
        <f>(J163-I163)*100</f>
        <v>3.261018983121089</v>
      </c>
      <c r="N163" s="42">
        <f>M_Sims!B357</f>
        <v>-7.1816333333333301E-2</v>
      </c>
      <c r="O163" s="42">
        <f>M_Sims!C357</f>
        <v>1.07579999999999E-2</v>
      </c>
      <c r="P163" s="42">
        <f>M_Sims!D357</f>
        <v>0.25</v>
      </c>
      <c r="Q163" s="34">
        <f>(1-A_shrink)*J163+A_shrink*I163</f>
        <v>0.43528490508439455</v>
      </c>
      <c r="R163" s="18" t="str">
        <f>IF(A_tier2_on=1,MAX(0,(Q163*G163-1)/(G163-1))*A_kelly,"-")</f>
        <v>-</v>
      </c>
      <c r="S163" s="46" t="str">
        <f>IF(OR(A_bankroll="",A_tier2_on&lt;&gt;1),"-",MIN(A_maxbet,MAX(0,(Q163*G163-1)/(G163-1))*A_kelly*A_bankroll))</f>
        <v>-</v>
      </c>
      <c r="T163" s="51" t="str">
        <f>IF(A_tier2_on=1,M_Sims!M357,"-")</f>
        <v>-</v>
      </c>
      <c r="U163" s="46" t="str">
        <f>IF(OR(A_bankroll="",A_tier2_on&lt;&gt;1),"-",MIN(A_maxbet,M_Sims!M357*A_bankroll))</f>
        <v>-</v>
      </c>
      <c r="V163" s="30">
        <f>M_Sims!H357</f>
        <v>1</v>
      </c>
      <c r="W163" s="6" t="b">
        <f>AND(H163&lt;&gt;"IMPUTED_20C_LADDER",L163&gt;=A_minev,N163&gt;0,V163=1,IF(A163="PLAYOFFS",A_poconf=1,TRUE),IF(AND(A163="WINS",A_zs_on=1),AND(AE163&gt;=A_minev,M_Sims!O357&gt;0),TRUE),AF163&gt;=A_minev,AG163&gt;0,IF(I163&lt;A_longthr,(1-A_shrink)*M_Sims!K357+A_shrink*(I163*G163-1)&gt;=A_minev,TRUE),IF(AND(OR(A163="WINS",A163="PLAYOFFS",LEFT(A163,4)="DIV_"),INDEX(Raw_Teams!$F$8:$F$37,MATCH($C163,Raw_Teams!$A$8:$A$37,0))&lt;A_contthr),AND(((1-A_contshrink)*J163+A_contshrink*I163)*G163-1&gt;=A_minev,(1-A_contshrink)*N163+A_contshrink*(I163*G163-1)&gt;0),TRUE),M_Sims!P357=0)</f>
        <v>0</v>
      </c>
      <c r="X163" s="6" t="s">
        <v>1301</v>
      </c>
      <c r="Y163" s="6" t="s">
        <v>1307</v>
      </c>
      <c r="Z163" s="6">
        <v>274</v>
      </c>
      <c r="AA163" s="7" t="str">
        <f>Sim_Stale</f>
        <v>OK - sims match current assumptions</v>
      </c>
      <c r="AB163" s="13" t="s">
        <v>33</v>
      </c>
      <c r="AC163" s="13" t="s">
        <v>33</v>
      </c>
      <c r="AD163" s="13" t="s">
        <v>33</v>
      </c>
      <c r="AE163" s="13" t="s">
        <v>33</v>
      </c>
      <c r="AF163" s="34">
        <f>Q163*G163-1</f>
        <v>-6.4137454068551758E-2</v>
      </c>
      <c r="AG163" s="34">
        <f>(1-A_shrink)*N163+A_shrink*(I163*G163-1)</f>
        <v>-8.5504870735218369E-2</v>
      </c>
      <c r="AH163" s="6" t="b">
        <f>AND(W163,I163&gt;=A_t1_fair,((1-A_t1_shrink)*J163+A_t1_shrink*I163)*G163-1&gt;=A_minev,(1-A_t1_shrink)*N163+A_t1_shrink*(I163*G163-1)&gt;0,M_Sims!Q357=1)</f>
        <v>0</v>
      </c>
      <c r="AI163" s="18">
        <f>IF(AH163,M_Sims!R357*A_t1_cap/A_t1_engcap,0)</f>
        <v>0</v>
      </c>
      <c r="AJ163" s="46" t="str">
        <f>IF(OR(A_bankroll="",NOT(AH163)),"-",MIN(A_maxbet,AI163*A_bankroll))</f>
        <v>-</v>
      </c>
      <c r="AK163" s="7" t="str">
        <f>IF(AH163,M_Sims!S357,"-")</f>
        <v>-</v>
      </c>
      <c r="AL163" s="51">
        <f>M_Sims!M357</f>
        <v>0</v>
      </c>
      <c r="AM163" s="6" t="str">
        <f>IF(W163,IF(AH163,"Tier 1","Tier 2"),"-")</f>
        <v>-</v>
      </c>
    </row>
    <row r="164" spans="1:39" ht="15" customHeight="1" x14ac:dyDescent="0.3">
      <c r="A164" s="6" t="s">
        <v>289</v>
      </c>
      <c r="B164" s="7" t="str">
        <f>Odds_Input!C283</f>
        <v>Atlanta Hawks</v>
      </c>
      <c r="C164" s="6" t="s">
        <v>197</v>
      </c>
      <c r="D164" s="7" t="str">
        <f>Odds_Input!D283</f>
        <v>YES</v>
      </c>
      <c r="E164" s="31" t="str">
        <f>Odds_Input!E283</f>
        <v>-</v>
      </c>
      <c r="F164" s="32">
        <f>Odds_Input!F283</f>
        <v>280</v>
      </c>
      <c r="G164" s="36">
        <f>M_DeVig!H283</f>
        <v>3.8</v>
      </c>
      <c r="H164" s="7" t="str">
        <f>Odds_Input!G283</f>
        <v>-</v>
      </c>
      <c r="I164" s="42">
        <f>M_DeVig!Q283</f>
        <v>0.22812884379591267</v>
      </c>
      <c r="J164" s="42">
        <f>INDEX(M_Sims!$J$15:$J$44,MATCH($C164,M_Sims!$A$15:$A$44,0))</f>
        <v>0.20379</v>
      </c>
      <c r="K164" s="43">
        <f>IF(J164&gt;=0.5,-100*J164/(1-J164),100*(1-J164)/J164)</f>
        <v>390.70121203199369</v>
      </c>
      <c r="L164" s="34">
        <f>J164*G164-1</f>
        <v>-0.22559800000000008</v>
      </c>
      <c r="M164" s="38">
        <f>(J164-I164)*100</f>
        <v>-2.4338843795912668</v>
      </c>
      <c r="N164" s="42">
        <f>M_Sims!B358</f>
        <v>-0.34865466666666661</v>
      </c>
      <c r="O164" s="42">
        <f>M_Sims!C358</f>
        <v>-9.5802666666666605E-2</v>
      </c>
      <c r="P164" s="42">
        <f>M_Sims!D358</f>
        <v>0</v>
      </c>
      <c r="Q164" s="34">
        <f>(1-A_shrink)*J164+A_shrink*I164</f>
        <v>0.21595942189795633</v>
      </c>
      <c r="R164" s="18" t="str">
        <f>IF(A_tier2_on=1,MAX(0,(Q164*G164-1)/(G164-1))*A_kelly,"-")</f>
        <v>-</v>
      </c>
      <c r="S164" s="46" t="str">
        <f>IF(OR(A_bankroll="",A_tier2_on&lt;&gt;1),"-",MIN(A_maxbet,MAX(0,(Q164*G164-1)/(G164-1))*A_kelly*A_bankroll))</f>
        <v>-</v>
      </c>
      <c r="T164" s="51" t="str">
        <f>IF(A_tier2_on=1,M_Sims!M358,"-")</f>
        <v>-</v>
      </c>
      <c r="U164" s="46" t="str">
        <f>IF(OR(A_bankroll="",A_tier2_on&lt;&gt;1),"-",MIN(A_maxbet,M_Sims!M358*A_bankroll))</f>
        <v>-</v>
      </c>
      <c r="V164" s="30">
        <f>M_Sims!H358</f>
        <v>1</v>
      </c>
      <c r="W164" s="6" t="b">
        <f>AND(H164&lt;&gt;"IMPUTED_20C_LADDER",L164&gt;=A_minev,N164&gt;0,V164=1,IF(A164="PLAYOFFS",A_poconf=1,TRUE),IF(AND(A164="WINS",A_zs_on=1),AND(AE164&gt;=A_minev,M_Sims!O358&gt;0),TRUE),AF164&gt;=A_minev,AG164&gt;0,IF(I164&lt;A_longthr,(1-A_shrink)*M_Sims!K358+A_shrink*(I164*G164-1)&gt;=A_minev,TRUE),IF(AND(OR(A164="WINS",A164="PLAYOFFS",LEFT(A164,4)="DIV_"),INDEX(Raw_Teams!$F$8:$F$37,MATCH($C164,Raw_Teams!$A$8:$A$37,0))&lt;A_contthr),AND(((1-A_contshrink)*J164+A_contshrink*I164)*G164-1&gt;=A_minev,(1-A_contshrink)*N164+A_contshrink*(I164*G164-1)&gt;0),TRUE),M_Sims!P358=0)</f>
        <v>0</v>
      </c>
      <c r="X164" s="6" t="s">
        <v>1301</v>
      </c>
      <c r="Y164" s="6" t="s">
        <v>1307</v>
      </c>
      <c r="Z164" s="6">
        <v>275</v>
      </c>
      <c r="AA164" s="7" t="str">
        <f>Sim_Stale</f>
        <v>OK - sims match current assumptions</v>
      </c>
      <c r="AB164" s="13" t="s">
        <v>33</v>
      </c>
      <c r="AC164" s="13" t="s">
        <v>33</v>
      </c>
      <c r="AD164" s="13" t="s">
        <v>33</v>
      </c>
      <c r="AE164" s="13" t="s">
        <v>33</v>
      </c>
      <c r="AF164" s="34">
        <f>Q164*G164-1</f>
        <v>-0.17935419678776598</v>
      </c>
      <c r="AG164" s="34">
        <f>(1-A_shrink)*N164+A_shrink*(I164*G164-1)</f>
        <v>-0.24088253012109925</v>
      </c>
      <c r="AH164" s="6" t="b">
        <f>AND(W164,I164&gt;=A_t1_fair,((1-A_t1_shrink)*J164+A_t1_shrink*I164)*G164-1&gt;=A_minev,(1-A_t1_shrink)*N164+A_t1_shrink*(I164*G164-1)&gt;0,M_Sims!Q358=1)</f>
        <v>0</v>
      </c>
      <c r="AI164" s="18">
        <f>IF(AH164,M_Sims!R358*A_t1_cap/A_t1_engcap,0)</f>
        <v>0</v>
      </c>
      <c r="AJ164" s="46" t="str">
        <f>IF(OR(A_bankroll="",NOT(AH164)),"-",MIN(A_maxbet,AI164*A_bankroll))</f>
        <v>-</v>
      </c>
      <c r="AK164" s="7" t="str">
        <f>IF(AH164,M_Sims!S358,"-")</f>
        <v>-</v>
      </c>
      <c r="AL164" s="51">
        <f>M_Sims!M358</f>
        <v>0</v>
      </c>
      <c r="AM164" s="6" t="str">
        <f>IF(W164,IF(AH164,"Tier 1","Tier 2"),"-")</f>
        <v>-</v>
      </c>
    </row>
    <row r="165" spans="1:39" ht="15" customHeight="1" x14ac:dyDescent="0.3">
      <c r="A165" s="6" t="s">
        <v>289</v>
      </c>
      <c r="B165" s="7" t="str">
        <f>Odds_Input!C284</f>
        <v>Charlotte Hornets</v>
      </c>
      <c r="C165" s="6" t="s">
        <v>200</v>
      </c>
      <c r="D165" s="7" t="str">
        <f>Odds_Input!D284</f>
        <v>YES</v>
      </c>
      <c r="E165" s="31" t="str">
        <f>Odds_Input!E284</f>
        <v>-</v>
      </c>
      <c r="F165" s="32">
        <f>Odds_Input!F284</f>
        <v>375</v>
      </c>
      <c r="G165" s="36">
        <f>M_DeVig!H284</f>
        <v>4.75</v>
      </c>
      <c r="H165" s="7" t="str">
        <f>Odds_Input!G284</f>
        <v>-</v>
      </c>
      <c r="I165" s="42">
        <f>M_DeVig!Q284</f>
        <v>0.17852440061526362</v>
      </c>
      <c r="J165" s="42">
        <f>INDEX(M_Sims!$J$15:$J$44,MATCH($C165,M_Sims!$A$15:$A$44,0))</f>
        <v>0.17155000000000001</v>
      </c>
      <c r="K165" s="43">
        <f>IF(J165&gt;=0.5,-100*J165/(1-J165),100*(1-J165)/J165)</f>
        <v>482.9204313611192</v>
      </c>
      <c r="L165" s="34">
        <f>J165*G165-1</f>
        <v>-0.18513749999999995</v>
      </c>
      <c r="M165" s="38">
        <f>(J165-I165)*100</f>
        <v>-0.69744006152636095</v>
      </c>
      <c r="N165" s="42">
        <f>M_Sims!B359</f>
        <v>-0.24839166666666659</v>
      </c>
      <c r="O165" s="42">
        <f>M_Sims!C359</f>
        <v>-0.1142199999999999</v>
      </c>
      <c r="P165" s="42">
        <f>M_Sims!D359</f>
        <v>0</v>
      </c>
      <c r="Q165" s="34">
        <f>(1-A_shrink)*J165+A_shrink*I165</f>
        <v>0.17503720030763181</v>
      </c>
      <c r="R165" s="18" t="str">
        <f>IF(A_tier2_on=1,MAX(0,(Q165*G165-1)/(G165-1))*A_kelly,"-")</f>
        <v>-</v>
      </c>
      <c r="S165" s="46" t="str">
        <f>IF(OR(A_bankroll="",A_tier2_on&lt;&gt;1),"-",MIN(A_maxbet,MAX(0,(Q165*G165-1)/(G165-1))*A_kelly*A_bankroll))</f>
        <v>-</v>
      </c>
      <c r="T165" s="51" t="str">
        <f>IF(A_tier2_on=1,M_Sims!M359,"-")</f>
        <v>-</v>
      </c>
      <c r="U165" s="46" t="str">
        <f>IF(OR(A_bankroll="",A_tier2_on&lt;&gt;1),"-",MIN(A_maxbet,M_Sims!M359*A_bankroll))</f>
        <v>-</v>
      </c>
      <c r="V165" s="30">
        <f>M_Sims!H359</f>
        <v>1</v>
      </c>
      <c r="W165" s="6" t="b">
        <f>AND(H165&lt;&gt;"IMPUTED_20C_LADDER",L165&gt;=A_minev,N165&gt;0,V165=1,IF(A165="PLAYOFFS",A_poconf=1,TRUE),IF(AND(A165="WINS",A_zs_on=1),AND(AE165&gt;=A_minev,M_Sims!O359&gt;0),TRUE),AF165&gt;=A_minev,AG165&gt;0,IF(I165&lt;A_longthr,(1-A_shrink)*M_Sims!K359+A_shrink*(I165*G165-1)&gt;=A_minev,TRUE),IF(AND(OR(A165="WINS",A165="PLAYOFFS",LEFT(A165,4)="DIV_"),INDEX(Raw_Teams!$F$8:$F$37,MATCH($C165,Raw_Teams!$A$8:$A$37,0))&lt;A_contthr),AND(((1-A_contshrink)*J165+A_contshrink*I165)*G165-1&gt;=A_minev,(1-A_contshrink)*N165+A_contshrink*(I165*G165-1)&gt;0),TRUE),M_Sims!P359=0)</f>
        <v>0</v>
      </c>
      <c r="X165" s="6" t="s">
        <v>1301</v>
      </c>
      <c r="Y165" s="6" t="s">
        <v>1307</v>
      </c>
      <c r="Z165" s="6">
        <v>276</v>
      </c>
      <c r="AA165" s="7" t="str">
        <f>Sim_Stale</f>
        <v>OK - sims match current assumptions</v>
      </c>
      <c r="AB165" s="13" t="s">
        <v>33</v>
      </c>
      <c r="AC165" s="13" t="s">
        <v>33</v>
      </c>
      <c r="AD165" s="13" t="s">
        <v>33</v>
      </c>
      <c r="AE165" s="13" t="s">
        <v>33</v>
      </c>
      <c r="AF165" s="34">
        <f>Q165*G165-1</f>
        <v>-0.16857329853874892</v>
      </c>
      <c r="AG165" s="34">
        <f>(1-A_shrink)*N165+A_shrink*(I165*G165-1)</f>
        <v>-0.20020038187208217</v>
      </c>
      <c r="AH165" s="6" t="b">
        <f>AND(W165,I165&gt;=A_t1_fair,((1-A_t1_shrink)*J165+A_t1_shrink*I165)*G165-1&gt;=A_minev,(1-A_t1_shrink)*N165+A_t1_shrink*(I165*G165-1)&gt;0,M_Sims!Q359=1)</f>
        <v>0</v>
      </c>
      <c r="AI165" s="18">
        <f>IF(AH165,M_Sims!R359*A_t1_cap/A_t1_engcap,0)</f>
        <v>0</v>
      </c>
      <c r="AJ165" s="46" t="str">
        <f>IF(OR(A_bankroll="",NOT(AH165)),"-",MIN(A_maxbet,AI165*A_bankroll))</f>
        <v>-</v>
      </c>
      <c r="AK165" s="7" t="str">
        <f>IF(AH165,M_Sims!S359,"-")</f>
        <v>-</v>
      </c>
      <c r="AL165" s="51">
        <f>M_Sims!M359</f>
        <v>0</v>
      </c>
      <c r="AM165" s="6" t="str">
        <f>IF(W165,IF(AH165,"Tier 1","Tier 2"),"-")</f>
        <v>-</v>
      </c>
    </row>
    <row r="166" spans="1:39" ht="15" customHeight="1" x14ac:dyDescent="0.3">
      <c r="A166" s="6" t="s">
        <v>289</v>
      </c>
      <c r="B166" s="7" t="str">
        <f>Odds_Input!C285</f>
        <v>Washington Wizards</v>
      </c>
      <c r="C166" s="6" t="s">
        <v>226</v>
      </c>
      <c r="D166" s="7" t="str">
        <f>Odds_Input!D285</f>
        <v>YES</v>
      </c>
      <c r="E166" s="31" t="str">
        <f>Odds_Input!E285</f>
        <v>-</v>
      </c>
      <c r="F166" s="32">
        <f>Odds_Input!F285</f>
        <v>550</v>
      </c>
      <c r="G166" s="36">
        <f>M_DeVig!H285</f>
        <v>6.5</v>
      </c>
      <c r="H166" s="7" t="str">
        <f>Odds_Input!G285</f>
        <v>-</v>
      </c>
      <c r="I166" s="42">
        <f>M_DeVig!Q285</f>
        <v>0.12528756941126049</v>
      </c>
      <c r="J166" s="42">
        <f>INDEX(M_Sims!$J$15:$J$44,MATCH($C166,M_Sims!$A$15:$A$44,0))</f>
        <v>7.0040000000000005E-2</v>
      </c>
      <c r="K166" s="43">
        <f>IF(J166&gt;=0.5,-100*J166/(1-J166),100*(1-J166)/J166)</f>
        <v>1327.7555682467159</v>
      </c>
      <c r="L166" s="34">
        <f>J166*G166-1</f>
        <v>-0.54474</v>
      </c>
      <c r="M166" s="38">
        <f>(J166-I166)*100</f>
        <v>-5.5247569411260482</v>
      </c>
      <c r="N166" s="42">
        <f>M_Sims!B360</f>
        <v>-0.60523333333333329</v>
      </c>
      <c r="O166" s="42">
        <f>M_Sims!C360</f>
        <v>-0.49763666666666662</v>
      </c>
      <c r="P166" s="42">
        <f>M_Sims!D360</f>
        <v>0</v>
      </c>
      <c r="Q166" s="34">
        <f>(1-A_shrink)*J166+A_shrink*I166</f>
        <v>9.7663784705630252E-2</v>
      </c>
      <c r="R166" s="18" t="str">
        <f>IF(A_tier2_on=1,MAX(0,(Q166*G166-1)/(G166-1))*A_kelly,"-")</f>
        <v>-</v>
      </c>
      <c r="S166" s="46" t="str">
        <f>IF(OR(A_bankroll="",A_tier2_on&lt;&gt;1),"-",MIN(A_maxbet,MAX(0,(Q166*G166-1)/(G166-1))*A_kelly*A_bankroll))</f>
        <v>-</v>
      </c>
      <c r="T166" s="51" t="str">
        <f>IF(A_tier2_on=1,M_Sims!M360,"-")</f>
        <v>-</v>
      </c>
      <c r="U166" s="46" t="str">
        <f>IF(OR(A_bankroll="",A_tier2_on&lt;&gt;1),"-",MIN(A_maxbet,M_Sims!M360*A_bankroll))</f>
        <v>-</v>
      </c>
      <c r="V166" s="30">
        <f>M_Sims!H360</f>
        <v>0</v>
      </c>
      <c r="W166" s="6" t="b">
        <f>AND(H166&lt;&gt;"IMPUTED_20C_LADDER",L166&gt;=A_minev,N166&gt;0,V166=1,IF(A166="PLAYOFFS",A_poconf=1,TRUE),IF(AND(A166="WINS",A_zs_on=1),AND(AE166&gt;=A_minev,M_Sims!O360&gt;0),TRUE),AF166&gt;=A_minev,AG166&gt;0,IF(I166&lt;A_longthr,(1-A_shrink)*M_Sims!K360+A_shrink*(I166*G166-1)&gt;=A_minev,TRUE),IF(AND(OR(A166="WINS",A166="PLAYOFFS",LEFT(A166,4)="DIV_"),INDEX(Raw_Teams!$F$8:$F$37,MATCH($C166,Raw_Teams!$A$8:$A$37,0))&lt;A_contthr),AND(((1-A_contshrink)*J166+A_contshrink*I166)*G166-1&gt;=A_minev,(1-A_contshrink)*N166+A_contshrink*(I166*G166-1)&gt;0),TRUE),M_Sims!P360=0)</f>
        <v>0</v>
      </c>
      <c r="X166" s="6" t="s">
        <v>1301</v>
      </c>
      <c r="Y166" s="6" t="s">
        <v>1307</v>
      </c>
      <c r="Z166" s="6">
        <v>277</v>
      </c>
      <c r="AA166" s="7" t="str">
        <f>Sim_Stale</f>
        <v>OK - sims match current assumptions</v>
      </c>
      <c r="AB166" s="13" t="s">
        <v>33</v>
      </c>
      <c r="AC166" s="13" t="s">
        <v>33</v>
      </c>
      <c r="AD166" s="13" t="s">
        <v>33</v>
      </c>
      <c r="AE166" s="13" t="s">
        <v>33</v>
      </c>
      <c r="AF166" s="34">
        <f>Q166*G166-1</f>
        <v>-0.36518539941340333</v>
      </c>
      <c r="AG166" s="34">
        <f>(1-A_shrink)*N166+A_shrink*(I166*G166-1)</f>
        <v>-0.39543206608007009</v>
      </c>
      <c r="AH166" s="6" t="b">
        <f>AND(W166,I166&gt;=A_t1_fair,((1-A_t1_shrink)*J166+A_t1_shrink*I166)*G166-1&gt;=A_minev,(1-A_t1_shrink)*N166+A_t1_shrink*(I166*G166-1)&gt;0,M_Sims!Q360=1)</f>
        <v>0</v>
      </c>
      <c r="AI166" s="18">
        <f>IF(AH166,M_Sims!R360*A_t1_cap/A_t1_engcap,0)</f>
        <v>0</v>
      </c>
      <c r="AJ166" s="46" t="str">
        <f>IF(OR(A_bankroll="",NOT(AH166)),"-",MIN(A_maxbet,AI166*A_bankroll))</f>
        <v>-</v>
      </c>
      <c r="AK166" s="7" t="str">
        <f>IF(AH166,M_Sims!S360,"-")</f>
        <v>-</v>
      </c>
      <c r="AL166" s="51">
        <f>M_Sims!M360</f>
        <v>0</v>
      </c>
      <c r="AM166" s="6" t="str">
        <f>IF(W166,IF(AH166,"Tier 1","Tier 2"),"-")</f>
        <v>-</v>
      </c>
    </row>
    <row r="167" spans="1:39" ht="15" customHeight="1" x14ac:dyDescent="0.3">
      <c r="A167" s="6" t="s">
        <v>289</v>
      </c>
      <c r="B167" s="7" t="str">
        <f>Odds_Input!C286</f>
        <v>Chicago Bulls</v>
      </c>
      <c r="C167" s="6" t="s">
        <v>201</v>
      </c>
      <c r="D167" s="7" t="str">
        <f>Odds_Input!D286</f>
        <v>YES</v>
      </c>
      <c r="E167" s="31" t="str">
        <f>Odds_Input!E286</f>
        <v>-</v>
      </c>
      <c r="F167" s="32">
        <f>Odds_Input!F286</f>
        <v>1300</v>
      </c>
      <c r="G167" s="36">
        <f>M_DeVig!H286</f>
        <v>14</v>
      </c>
      <c r="H167" s="7" t="str">
        <f>Odds_Input!G286</f>
        <v>-</v>
      </c>
      <c r="I167" s="42">
        <f>M_DeVig!Q286</f>
        <v>4.9079375926140908E-2</v>
      </c>
      <c r="J167" s="42">
        <f>INDEX(M_Sims!$J$15:$J$44,MATCH($C167,M_Sims!$A$15:$A$44,0))</f>
        <v>0.10303</v>
      </c>
      <c r="K167" s="43">
        <f>IF(J167&gt;=0.5,-100*J167/(1-J167),100*(1-J167)/J167)</f>
        <v>870.59108997379406</v>
      </c>
      <c r="L167" s="34">
        <f>J167*G167-1</f>
        <v>0.44242000000000004</v>
      </c>
      <c r="M167" s="38">
        <f>(J167-I167)*100</f>
        <v>5.3950624073859093</v>
      </c>
      <c r="N167" s="42">
        <f>M_Sims!B361</f>
        <v>0.17245333333333329</v>
      </c>
      <c r="O167" s="42">
        <f>M_Sims!C361</f>
        <v>0.67103999999999997</v>
      </c>
      <c r="P167" s="42">
        <f>M_Sims!D361</f>
        <v>0.98333333333333317</v>
      </c>
      <c r="Q167" s="34">
        <f>(1-A_shrink)*J167+A_shrink*I167</f>
        <v>7.6054687963070453E-2</v>
      </c>
      <c r="R167" s="18" t="str">
        <f>IF(A_tier2_on=1,MAX(0,(Q167*G167-1)/(G167-1))*A_kelly,"-")</f>
        <v>-</v>
      </c>
      <c r="S167" s="46" t="str">
        <f>IF(OR(A_bankroll="",A_tier2_on&lt;&gt;1),"-",MIN(A_maxbet,MAX(0,(Q167*G167-1)/(G167-1))*A_kelly*A_bankroll))</f>
        <v>-</v>
      </c>
      <c r="T167" s="51" t="str">
        <f>IF(A_tier2_on=1,M_Sims!M361,"-")</f>
        <v>-</v>
      </c>
      <c r="U167" s="46" t="str">
        <f>IF(OR(A_bankroll="",A_tier2_on&lt;&gt;1),"-",MIN(A_maxbet,M_Sims!M361*A_bankroll))</f>
        <v>-</v>
      </c>
      <c r="V167" s="30">
        <f>M_Sims!H361</f>
        <v>1</v>
      </c>
      <c r="W167" s="6" t="b">
        <f>AND(H167&lt;&gt;"IMPUTED_20C_LADDER",L167&gt;=A_minev,N167&gt;0,V167=1,IF(A167="PLAYOFFS",A_poconf=1,TRUE),IF(AND(A167="WINS",A_zs_on=1),AND(AE167&gt;=A_minev,M_Sims!O361&gt;0),TRUE),AF167&gt;=A_minev,AG167&gt;0,IF(I167&lt;A_longthr,(1-A_shrink)*M_Sims!K361+A_shrink*(I167*G167-1)&gt;=A_minev,TRUE),IF(AND(OR(A167="WINS",A167="PLAYOFFS",LEFT(A167,4)="DIV_"),INDEX(Raw_Teams!$F$8:$F$37,MATCH($C167,Raw_Teams!$A$8:$A$37,0))&lt;A_contthr),AND(((1-A_contshrink)*J167+A_contshrink*I167)*G167-1&gt;=A_minev,(1-A_contshrink)*N167+A_contshrink*(I167*G167-1)&gt;0),TRUE),M_Sims!P361=0)</f>
        <v>0</v>
      </c>
      <c r="X167" s="6" t="s">
        <v>1301</v>
      </c>
      <c r="Y167" s="6" t="s">
        <v>1307</v>
      </c>
      <c r="Z167" s="6">
        <v>278</v>
      </c>
      <c r="AA167" s="7" t="str">
        <f>Sim_Stale</f>
        <v>OK - sims match current assumptions</v>
      </c>
      <c r="AB167" s="13" t="s">
        <v>33</v>
      </c>
      <c r="AC167" s="13" t="s">
        <v>33</v>
      </c>
      <c r="AD167" s="13" t="s">
        <v>33</v>
      </c>
      <c r="AE167" s="13" t="s">
        <v>33</v>
      </c>
      <c r="AF167" s="34">
        <f>Q167*G167-1</f>
        <v>6.4765631482986308E-2</v>
      </c>
      <c r="AG167" s="34">
        <f>(1-A_shrink)*N167+A_shrink*(I167*G167-1)</f>
        <v>-7.0217701850347009E-2</v>
      </c>
      <c r="AH167" s="6" t="b">
        <f>AND(W167,I167&gt;=A_t1_fair,((1-A_t1_shrink)*J167+A_t1_shrink*I167)*G167-1&gt;=A_minev,(1-A_t1_shrink)*N167+A_t1_shrink*(I167*G167-1)&gt;0,M_Sims!Q361=1)</f>
        <v>0</v>
      </c>
      <c r="AI167" s="18">
        <f>IF(AH167,M_Sims!R361*A_t1_cap/A_t1_engcap,0)</f>
        <v>0</v>
      </c>
      <c r="AJ167" s="46" t="str">
        <f>IF(OR(A_bankroll="",NOT(AH167)),"-",MIN(A_maxbet,AI167*A_bankroll))</f>
        <v>-</v>
      </c>
      <c r="AK167" s="7" t="str">
        <f>IF(AH167,M_Sims!S361,"-")</f>
        <v>-</v>
      </c>
      <c r="AL167" s="51">
        <f>M_Sims!M361</f>
        <v>0</v>
      </c>
      <c r="AM167" s="6" t="str">
        <f>IF(W167,IF(AH167,"Tier 1","Tier 2"),"-")</f>
        <v>-</v>
      </c>
    </row>
    <row r="168" spans="1:39" ht="15" customHeight="1" x14ac:dyDescent="0.3"/>
    <row r="169" spans="1:39" ht="15" customHeight="1" x14ac:dyDescent="0.3">
      <c r="A169" s="48" t="s">
        <v>290</v>
      </c>
      <c r="B169" s="49" t="s">
        <v>1308</v>
      </c>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row>
    <row r="170" spans="1:39" ht="15" customHeight="1" x14ac:dyDescent="0.3">
      <c r="A170" s="6" t="s">
        <v>290</v>
      </c>
      <c r="B170" s="7" t="str">
        <f>Odds_Input!C287</f>
        <v>Denver Nuggets</v>
      </c>
      <c r="C170" s="6" t="s">
        <v>204</v>
      </c>
      <c r="D170" s="7" t="str">
        <f>Odds_Input!D287</f>
        <v>YES</v>
      </c>
      <c r="E170" s="31" t="str">
        <f>Odds_Input!E287</f>
        <v>-</v>
      </c>
      <c r="F170" s="32">
        <f>Odds_Input!F287</f>
        <v>170</v>
      </c>
      <c r="G170" s="36">
        <f>M_DeVig!H287</f>
        <v>2.7</v>
      </c>
      <c r="H170" s="7" t="str">
        <f>Odds_Input!G287</f>
        <v>-</v>
      </c>
      <c r="I170" s="42">
        <f>M_DeVig!Q287</f>
        <v>0.3310995324529567</v>
      </c>
      <c r="J170" s="42">
        <f>INDEX(M_Sims!$J$15:$J$44,MATCH($C170,M_Sims!$A$15:$A$44,0))</f>
        <v>0.28150999999999998</v>
      </c>
      <c r="K170" s="43">
        <f>IF(J170&gt;=0.5,-100*J170/(1-J170),100*(1-J170)/J170)</f>
        <v>255.22716777379136</v>
      </c>
      <c r="L170" s="34">
        <f>J170*G170-1</f>
        <v>-0.239923</v>
      </c>
      <c r="M170" s="38">
        <f>(J170-I170)*100</f>
        <v>-4.9589532452956719</v>
      </c>
      <c r="N170" s="42">
        <f>M_Sims!B362</f>
        <v>-0.33259599999999989</v>
      </c>
      <c r="O170" s="42">
        <f>M_Sims!C362</f>
        <v>-0.15189399999999989</v>
      </c>
      <c r="P170" s="42">
        <f>M_Sims!D362</f>
        <v>0</v>
      </c>
      <c r="Q170" s="34">
        <f>(1-A_shrink)*J170+A_shrink*I170</f>
        <v>0.30630476622647834</v>
      </c>
      <c r="R170" s="18" t="str">
        <f>IF(A_tier2_on=1,MAX(0,(Q170*G170-1)/(G170-1))*A_kelly,"-")</f>
        <v>-</v>
      </c>
      <c r="S170" s="46" t="str">
        <f>IF(OR(A_bankroll="",A_tier2_on&lt;&gt;1),"-",MIN(A_maxbet,MAX(0,(Q170*G170-1)/(G170-1))*A_kelly*A_bankroll))</f>
        <v>-</v>
      </c>
      <c r="T170" s="51" t="str">
        <f>IF(A_tier2_on=1,M_Sims!M362,"-")</f>
        <v>-</v>
      </c>
      <c r="U170" s="46" t="str">
        <f>IF(OR(A_bankroll="",A_tier2_on&lt;&gt;1),"-",MIN(A_maxbet,M_Sims!M362*A_bankroll))</f>
        <v>-</v>
      </c>
      <c r="V170" s="30">
        <f>M_Sims!H362</f>
        <v>1</v>
      </c>
      <c r="W170" s="6" t="b">
        <f>AND(H170&lt;&gt;"IMPUTED_20C_LADDER",L170&gt;=A_minev,N170&gt;0,V170=1,IF(A170="PLAYOFFS",A_poconf=1,TRUE),IF(AND(A170="WINS",A_zs_on=1),AND(AE170&gt;=A_minev,M_Sims!O362&gt;0),TRUE),AF170&gt;=A_minev,AG170&gt;0,IF(I170&lt;A_longthr,(1-A_shrink)*M_Sims!K362+A_shrink*(I170*G170-1)&gt;=A_minev,TRUE),IF(AND(OR(A170="WINS",A170="PLAYOFFS",LEFT(A170,4)="DIV_"),INDEX(Raw_Teams!$F$8:$F$37,MATCH($C170,Raw_Teams!$A$8:$A$37,0))&lt;A_contthr),AND(((1-A_contshrink)*J170+A_contshrink*I170)*G170-1&gt;=A_minev,(1-A_contshrink)*N170+A_contshrink*(I170*G170-1)&gt;0),TRUE),M_Sims!P362=0)</f>
        <v>0</v>
      </c>
      <c r="X170" s="6" t="s">
        <v>1301</v>
      </c>
      <c r="Y170" s="6" t="s">
        <v>1307</v>
      </c>
      <c r="Z170" s="6">
        <v>279</v>
      </c>
      <c r="AA170" s="7" t="str">
        <f>Sim_Stale</f>
        <v>OK - sims match current assumptions</v>
      </c>
      <c r="AB170" s="13" t="s">
        <v>33</v>
      </c>
      <c r="AC170" s="13" t="s">
        <v>33</v>
      </c>
      <c r="AD170" s="13" t="s">
        <v>33</v>
      </c>
      <c r="AE170" s="13" t="s">
        <v>33</v>
      </c>
      <c r="AF170" s="34">
        <f>Q170*G170-1</f>
        <v>-0.17297713118850844</v>
      </c>
      <c r="AG170" s="34">
        <f>(1-A_shrink)*N170+A_shrink*(I170*G170-1)</f>
        <v>-0.21931363118850838</v>
      </c>
      <c r="AH170" s="6" t="b">
        <f>AND(W170,I170&gt;=A_t1_fair,((1-A_t1_shrink)*J170+A_t1_shrink*I170)*G170-1&gt;=A_minev,(1-A_t1_shrink)*N170+A_t1_shrink*(I170*G170-1)&gt;0,M_Sims!Q362=1)</f>
        <v>0</v>
      </c>
      <c r="AI170" s="18">
        <f>IF(AH170,M_Sims!R362*A_t1_cap/A_t1_engcap,0)</f>
        <v>0</v>
      </c>
      <c r="AJ170" s="46" t="str">
        <f>IF(OR(A_bankroll="",NOT(AH170)),"-",MIN(A_maxbet,AI170*A_bankroll))</f>
        <v>-</v>
      </c>
      <c r="AK170" s="7" t="str">
        <f>IF(AH170,M_Sims!S362,"-")</f>
        <v>-</v>
      </c>
      <c r="AL170" s="51">
        <f>M_Sims!M362</f>
        <v>0</v>
      </c>
      <c r="AM170" s="6" t="str">
        <f>IF(W170,IF(AH170,"Tier 1","Tier 2"),"-")</f>
        <v>-</v>
      </c>
    </row>
    <row r="171" spans="1:39" ht="15" customHeight="1" x14ac:dyDescent="0.3">
      <c r="A171" s="6" t="s">
        <v>290</v>
      </c>
      <c r="B171" s="7" t="str">
        <f>Odds_Input!C288</f>
        <v>Houston Rockets</v>
      </c>
      <c r="C171" s="6" t="s">
        <v>207</v>
      </c>
      <c r="D171" s="7" t="str">
        <f>Odds_Input!D288</f>
        <v>YES</v>
      </c>
      <c r="E171" s="31" t="str">
        <f>Odds_Input!E288</f>
        <v>-</v>
      </c>
      <c r="F171" s="32">
        <f>Odds_Input!F288</f>
        <v>200</v>
      </c>
      <c r="G171" s="36">
        <f>M_DeVig!H288</f>
        <v>3</v>
      </c>
      <c r="H171" s="7" t="str">
        <f>Odds_Input!G288</f>
        <v>-</v>
      </c>
      <c r="I171" s="42">
        <f>M_DeVig!Q288</f>
        <v>0.29603518573103083</v>
      </c>
      <c r="J171" s="42">
        <f>INDEX(M_Sims!$J$15:$J$44,MATCH($C171,M_Sims!$A$15:$A$44,0))</f>
        <v>0.40648000000000001</v>
      </c>
      <c r="K171" s="43">
        <f>IF(J171&gt;=0.5,-100*J171/(1-J171),100*(1-J171)/J171)</f>
        <v>146.01456406219248</v>
      </c>
      <c r="L171" s="34">
        <f>J171*G171-1</f>
        <v>0.21944000000000008</v>
      </c>
      <c r="M171" s="38">
        <f>(J171-I171)*100</f>
        <v>11.044481426896919</v>
      </c>
      <c r="N171" s="42">
        <f>M_Sims!B363</f>
        <v>0.11231999999999991</v>
      </c>
      <c r="O171" s="42">
        <f>M_Sims!C363</f>
        <v>0.34677999999999998</v>
      </c>
      <c r="P171" s="42">
        <f>M_Sims!D363</f>
        <v>1</v>
      </c>
      <c r="Q171" s="34">
        <f>(1-A_shrink)*J171+A_shrink*I171</f>
        <v>0.35125759286551539</v>
      </c>
      <c r="R171" s="18" t="str">
        <f>IF(A_tier2_on=1,MAX(0,(Q171*G171-1)/(G171-1))*A_kelly,"-")</f>
        <v>-</v>
      </c>
      <c r="S171" s="46" t="str">
        <f>IF(OR(A_bankroll="",A_tier2_on&lt;&gt;1),"-",MIN(A_maxbet,MAX(0,(Q171*G171-1)/(G171-1))*A_kelly*A_bankroll))</f>
        <v>-</v>
      </c>
      <c r="T171" s="51" t="str">
        <f>IF(A_tier2_on=1,M_Sims!M363,"-")</f>
        <v>-</v>
      </c>
      <c r="U171" s="46" t="str">
        <f>IF(OR(A_bankroll="",A_tier2_on&lt;&gt;1),"-",MIN(A_maxbet,M_Sims!M363*A_bankroll))</f>
        <v>-</v>
      </c>
      <c r="V171" s="30">
        <f>M_Sims!H363</f>
        <v>1</v>
      </c>
      <c r="W171" s="6" t="b">
        <f>AND(H171&lt;&gt;"IMPUTED_20C_LADDER",L171&gt;=A_minev,N171&gt;0,V171=1,IF(A171="PLAYOFFS",A_poconf=1,TRUE),IF(AND(A171="WINS",A_zs_on=1),AND(AE171&gt;=A_minev,M_Sims!O363&gt;0),TRUE),AF171&gt;=A_minev,AG171&gt;0,IF(I171&lt;A_longthr,(1-A_shrink)*M_Sims!K363+A_shrink*(I171*G171-1)&gt;=A_minev,TRUE),IF(AND(OR(A171="WINS",A171="PLAYOFFS",LEFT(A171,4)="DIV_"),INDEX(Raw_Teams!$F$8:$F$37,MATCH($C171,Raw_Teams!$A$8:$A$37,0))&lt;A_contthr),AND(((1-A_contshrink)*J171+A_contshrink*I171)*G171-1&gt;=A_minev,(1-A_contshrink)*N171+A_contshrink*(I171*G171-1)&gt;0),TRUE),M_Sims!P363=0)</f>
        <v>1</v>
      </c>
      <c r="X171" s="6" t="s">
        <v>1301</v>
      </c>
      <c r="Y171" s="6" t="s">
        <v>1307</v>
      </c>
      <c r="Z171" s="6">
        <v>280</v>
      </c>
      <c r="AA171" s="7" t="str">
        <f>Sim_Stale</f>
        <v>OK - sims match current assumptions</v>
      </c>
      <c r="AB171" s="13" t="s">
        <v>33</v>
      </c>
      <c r="AC171" s="13" t="s">
        <v>33</v>
      </c>
      <c r="AD171" s="13" t="s">
        <v>33</v>
      </c>
      <c r="AE171" s="13" t="s">
        <v>33</v>
      </c>
      <c r="AF171" s="34">
        <f>Q171*G171-1</f>
        <v>5.3772778596546278E-2</v>
      </c>
      <c r="AG171" s="34">
        <f>(1-A_shrink)*N171+A_shrink*(I171*G171-1)</f>
        <v>2.1277859654619119E-4</v>
      </c>
      <c r="AH171" s="6" t="b">
        <f>AND(W171,I171&gt;=A_t1_fair,((1-A_t1_shrink)*J171+A_t1_shrink*I171)*G171-1&gt;=A_minev,(1-A_t1_shrink)*N171+A_t1_shrink*(I171*G171-1)&gt;0,M_Sims!Q363=1)</f>
        <v>0</v>
      </c>
      <c r="AI171" s="18">
        <f>IF(AH171,M_Sims!R363*A_t1_cap/A_t1_engcap,0)</f>
        <v>0</v>
      </c>
      <c r="AJ171" s="46" t="str">
        <f>IF(OR(A_bankroll="",NOT(AH171)),"-",MIN(A_maxbet,AI171*A_bankroll))</f>
        <v>-</v>
      </c>
      <c r="AK171" s="7" t="str">
        <f>IF(AH171,M_Sims!S363,"-")</f>
        <v>-</v>
      </c>
      <c r="AL171" s="51">
        <f>M_Sims!M363</f>
        <v>0</v>
      </c>
      <c r="AM171" s="6" t="str">
        <f>IF(W171,IF(AH171,"Tier 1","Tier 2"),"-")</f>
        <v>Tier 2</v>
      </c>
    </row>
    <row r="172" spans="1:39" ht="15" customHeight="1" x14ac:dyDescent="0.3">
      <c r="A172" s="6" t="s">
        <v>290</v>
      </c>
      <c r="B172" s="7" t="str">
        <f>Odds_Input!C289</f>
        <v>Phoenix Suns</v>
      </c>
      <c r="C172" s="6" t="s">
        <v>220</v>
      </c>
      <c r="D172" s="7" t="str">
        <f>Odds_Input!D289</f>
        <v>YES</v>
      </c>
      <c r="E172" s="31" t="str">
        <f>Odds_Input!E289</f>
        <v>-</v>
      </c>
      <c r="F172" s="32">
        <f>Odds_Input!F289</f>
        <v>400</v>
      </c>
      <c r="G172" s="36">
        <f>M_DeVig!H289</f>
        <v>5</v>
      </c>
      <c r="H172" s="7" t="str">
        <f>Odds_Input!G289</f>
        <v>-</v>
      </c>
      <c r="I172" s="42">
        <f>M_DeVig!Q289</f>
        <v>0.17001232460947416</v>
      </c>
      <c r="J172" s="42">
        <f>INDEX(M_Sims!$J$15:$J$44,MATCH($C172,M_Sims!$A$15:$A$44,0))</f>
        <v>0.1381</v>
      </c>
      <c r="K172" s="43">
        <f>IF(J172&gt;=0.5,-100*J172/(1-J172),100*(1-J172)/J172)</f>
        <v>624.11296162201302</v>
      </c>
      <c r="L172" s="34">
        <f>J172*G172-1</f>
        <v>-0.3095</v>
      </c>
      <c r="M172" s="38">
        <f>(J172-I172)*100</f>
        <v>-3.1912324609474156</v>
      </c>
      <c r="N172" s="42">
        <f>M_Sims!B364</f>
        <v>-0.37116666666666659</v>
      </c>
      <c r="O172" s="42">
        <f>M_Sims!C364</f>
        <v>-0.2417</v>
      </c>
      <c r="P172" s="42">
        <f>M_Sims!D364</f>
        <v>0</v>
      </c>
      <c r="Q172" s="34">
        <f>(1-A_shrink)*J172+A_shrink*I172</f>
        <v>0.15405616230473707</v>
      </c>
      <c r="R172" s="18" t="str">
        <f>IF(A_tier2_on=1,MAX(0,(Q172*G172-1)/(G172-1))*A_kelly,"-")</f>
        <v>-</v>
      </c>
      <c r="S172" s="46" t="str">
        <f>IF(OR(A_bankroll="",A_tier2_on&lt;&gt;1),"-",MIN(A_maxbet,MAX(0,(Q172*G172-1)/(G172-1))*A_kelly*A_bankroll))</f>
        <v>-</v>
      </c>
      <c r="T172" s="51" t="str">
        <f>IF(A_tier2_on=1,M_Sims!M364,"-")</f>
        <v>-</v>
      </c>
      <c r="U172" s="46" t="str">
        <f>IF(OR(A_bankroll="",A_tier2_on&lt;&gt;1),"-",MIN(A_maxbet,M_Sims!M364*A_bankroll))</f>
        <v>-</v>
      </c>
      <c r="V172" s="30">
        <f>M_Sims!H364</f>
        <v>1</v>
      </c>
      <c r="W172" s="6" t="b">
        <f>AND(H172&lt;&gt;"IMPUTED_20C_LADDER",L172&gt;=A_minev,N172&gt;0,V172=1,IF(A172="PLAYOFFS",A_poconf=1,TRUE),IF(AND(A172="WINS",A_zs_on=1),AND(AE172&gt;=A_minev,M_Sims!O364&gt;0),TRUE),AF172&gt;=A_minev,AG172&gt;0,IF(I172&lt;A_longthr,(1-A_shrink)*M_Sims!K364+A_shrink*(I172*G172-1)&gt;=A_minev,TRUE),IF(AND(OR(A172="WINS",A172="PLAYOFFS",LEFT(A172,4)="DIV_"),INDEX(Raw_Teams!$F$8:$F$37,MATCH($C172,Raw_Teams!$A$8:$A$37,0))&lt;A_contthr),AND(((1-A_contshrink)*J172+A_contshrink*I172)*G172-1&gt;=A_minev,(1-A_contshrink)*N172+A_contshrink*(I172*G172-1)&gt;0),TRUE),M_Sims!P364=0)</f>
        <v>0</v>
      </c>
      <c r="X172" s="6" t="s">
        <v>1301</v>
      </c>
      <c r="Y172" s="6" t="s">
        <v>1307</v>
      </c>
      <c r="Z172" s="6">
        <v>281</v>
      </c>
      <c r="AA172" s="7" t="str">
        <f>Sim_Stale</f>
        <v>OK - sims match current assumptions</v>
      </c>
      <c r="AB172" s="13" t="s">
        <v>33</v>
      </c>
      <c r="AC172" s="13" t="s">
        <v>33</v>
      </c>
      <c r="AD172" s="13" t="s">
        <v>33</v>
      </c>
      <c r="AE172" s="13" t="s">
        <v>33</v>
      </c>
      <c r="AF172" s="34">
        <f>Q172*G172-1</f>
        <v>-0.22971918847631467</v>
      </c>
      <c r="AG172" s="34">
        <f>(1-A_shrink)*N172+A_shrink*(I172*G172-1)</f>
        <v>-0.26055252180964794</v>
      </c>
      <c r="AH172" s="6" t="b">
        <f>AND(W172,I172&gt;=A_t1_fair,((1-A_t1_shrink)*J172+A_t1_shrink*I172)*G172-1&gt;=A_minev,(1-A_t1_shrink)*N172+A_t1_shrink*(I172*G172-1)&gt;0,M_Sims!Q364=1)</f>
        <v>0</v>
      </c>
      <c r="AI172" s="18">
        <f>IF(AH172,M_Sims!R364*A_t1_cap/A_t1_engcap,0)</f>
        <v>0</v>
      </c>
      <c r="AJ172" s="46" t="str">
        <f>IF(OR(A_bankroll="",NOT(AH172)),"-",MIN(A_maxbet,AI172*A_bankroll))</f>
        <v>-</v>
      </c>
      <c r="AK172" s="7" t="str">
        <f>IF(AH172,M_Sims!S364,"-")</f>
        <v>-</v>
      </c>
      <c r="AL172" s="51">
        <f>M_Sims!M364</f>
        <v>0</v>
      </c>
      <c r="AM172" s="6" t="str">
        <f>IF(W172,IF(AH172,"Tier 1","Tier 2"),"-")</f>
        <v>-</v>
      </c>
    </row>
    <row r="173" spans="1:39" ht="15" customHeight="1" x14ac:dyDescent="0.3">
      <c r="A173" s="6" t="s">
        <v>290</v>
      </c>
      <c r="B173" s="7" t="str">
        <f>Odds_Input!C290</f>
        <v>Utah Jazz</v>
      </c>
      <c r="C173" s="6" t="s">
        <v>225</v>
      </c>
      <c r="D173" s="7" t="str">
        <f>Odds_Input!D290</f>
        <v>YES</v>
      </c>
      <c r="E173" s="31" t="str">
        <f>Odds_Input!E290</f>
        <v>-</v>
      </c>
      <c r="F173" s="32">
        <f>Odds_Input!F290</f>
        <v>600</v>
      </c>
      <c r="G173" s="36">
        <f>M_DeVig!H290</f>
        <v>7</v>
      </c>
      <c r="H173" s="7" t="str">
        <f>Odds_Input!G290</f>
        <v>-</v>
      </c>
      <c r="I173" s="42">
        <f>M_DeVig!Q290</f>
        <v>0.11625954478004837</v>
      </c>
      <c r="J173" s="42">
        <f>INDEX(M_Sims!$J$15:$J$44,MATCH($C173,M_Sims!$A$15:$A$44,0))</f>
        <v>8.2019999999999996E-2</v>
      </c>
      <c r="K173" s="43">
        <f>IF(J173&gt;=0.5,-100*J173/(1-J173),100*(1-J173)/J173)</f>
        <v>1119.2148256522801</v>
      </c>
      <c r="L173" s="34">
        <f>J173*G173-1</f>
        <v>-0.42586000000000002</v>
      </c>
      <c r="M173" s="38">
        <f>(J173-I173)*100</f>
        <v>-3.4239544780048368</v>
      </c>
      <c r="N173" s="42">
        <f>M_Sims!B365</f>
        <v>-0.49161333333333329</v>
      </c>
      <c r="O173" s="42">
        <f>M_Sims!C365</f>
        <v>-0.34871999999999997</v>
      </c>
      <c r="P173" s="42">
        <f>M_Sims!D365</f>
        <v>0</v>
      </c>
      <c r="Q173" s="34">
        <f>(1-A_shrink)*J173+A_shrink*I173</f>
        <v>9.9139772390024181E-2</v>
      </c>
      <c r="R173" s="18" t="str">
        <f>IF(A_tier2_on=1,MAX(0,(Q173*G173-1)/(G173-1))*A_kelly,"-")</f>
        <v>-</v>
      </c>
      <c r="S173" s="46" t="str">
        <f>IF(OR(A_bankroll="",A_tier2_on&lt;&gt;1),"-",MIN(A_maxbet,MAX(0,(Q173*G173-1)/(G173-1))*A_kelly*A_bankroll))</f>
        <v>-</v>
      </c>
      <c r="T173" s="51" t="str">
        <f>IF(A_tier2_on=1,M_Sims!M365,"-")</f>
        <v>-</v>
      </c>
      <c r="U173" s="46" t="str">
        <f>IF(OR(A_bankroll="",A_tier2_on&lt;&gt;1),"-",MIN(A_maxbet,M_Sims!M365*A_bankroll))</f>
        <v>-</v>
      </c>
      <c r="V173" s="30">
        <f>M_Sims!H365</f>
        <v>0</v>
      </c>
      <c r="W173" s="6" t="b">
        <f>AND(H173&lt;&gt;"IMPUTED_20C_LADDER",L173&gt;=A_minev,N173&gt;0,V173=1,IF(A173="PLAYOFFS",A_poconf=1,TRUE),IF(AND(A173="WINS",A_zs_on=1),AND(AE173&gt;=A_minev,M_Sims!O365&gt;0),TRUE),AF173&gt;=A_minev,AG173&gt;0,IF(I173&lt;A_longthr,(1-A_shrink)*M_Sims!K365+A_shrink*(I173*G173-1)&gt;=A_minev,TRUE),IF(AND(OR(A173="WINS",A173="PLAYOFFS",LEFT(A173,4)="DIV_"),INDEX(Raw_Teams!$F$8:$F$37,MATCH($C173,Raw_Teams!$A$8:$A$37,0))&lt;A_contthr),AND(((1-A_contshrink)*J173+A_contshrink*I173)*G173-1&gt;=A_minev,(1-A_contshrink)*N173+A_contshrink*(I173*G173-1)&gt;0),TRUE),M_Sims!P365=0)</f>
        <v>0</v>
      </c>
      <c r="X173" s="6" t="s">
        <v>1301</v>
      </c>
      <c r="Y173" s="6" t="s">
        <v>1307</v>
      </c>
      <c r="Z173" s="6">
        <v>282</v>
      </c>
      <c r="AA173" s="7" t="str">
        <f>Sim_Stale</f>
        <v>OK - sims match current assumptions</v>
      </c>
      <c r="AB173" s="13" t="s">
        <v>33</v>
      </c>
      <c r="AC173" s="13" t="s">
        <v>33</v>
      </c>
      <c r="AD173" s="13" t="s">
        <v>33</v>
      </c>
      <c r="AE173" s="13" t="s">
        <v>33</v>
      </c>
      <c r="AF173" s="34">
        <f>Q173*G173-1</f>
        <v>-0.30602159326983069</v>
      </c>
      <c r="AG173" s="34">
        <f>(1-A_shrink)*N173+A_shrink*(I173*G173-1)</f>
        <v>-0.33889825993649736</v>
      </c>
      <c r="AH173" s="6" t="b">
        <f>AND(W173,I173&gt;=A_t1_fair,((1-A_t1_shrink)*J173+A_t1_shrink*I173)*G173-1&gt;=A_minev,(1-A_t1_shrink)*N173+A_t1_shrink*(I173*G173-1)&gt;0,M_Sims!Q365=1)</f>
        <v>0</v>
      </c>
      <c r="AI173" s="18">
        <f>IF(AH173,M_Sims!R365*A_t1_cap/A_t1_engcap,0)</f>
        <v>0</v>
      </c>
      <c r="AJ173" s="46" t="str">
        <f>IF(OR(A_bankroll="",NOT(AH173)),"-",MIN(A_maxbet,AI173*A_bankroll))</f>
        <v>-</v>
      </c>
      <c r="AK173" s="7" t="str">
        <f>IF(AH173,M_Sims!S365,"-")</f>
        <v>-</v>
      </c>
      <c r="AL173" s="51">
        <f>M_Sims!M365</f>
        <v>0</v>
      </c>
      <c r="AM173" s="6" t="str">
        <f>IF(W173,IF(AH173,"Tier 1","Tier 2"),"-")</f>
        <v>-</v>
      </c>
    </row>
    <row r="174" spans="1:39" ht="15" customHeight="1" x14ac:dyDescent="0.3">
      <c r="A174" s="6" t="s">
        <v>290</v>
      </c>
      <c r="B174" s="7" t="str">
        <f>Odds_Input!C291</f>
        <v>Dallas Mavericks</v>
      </c>
      <c r="C174" s="6" t="s">
        <v>203</v>
      </c>
      <c r="D174" s="7" t="str">
        <f>Odds_Input!D291</f>
        <v>YES</v>
      </c>
      <c r="E174" s="31" t="str">
        <f>Odds_Input!E291</f>
        <v>-</v>
      </c>
      <c r="F174" s="32">
        <f>Odds_Input!F291</f>
        <v>800</v>
      </c>
      <c r="G174" s="36">
        <f>M_DeVig!H291</f>
        <v>9</v>
      </c>
      <c r="H174" s="7" t="str">
        <f>Odds_Input!G291</f>
        <v>-</v>
      </c>
      <c r="I174" s="42">
        <f>M_DeVig!Q291</f>
        <v>8.6593412379692952E-2</v>
      </c>
      <c r="J174" s="42">
        <f>INDEX(M_Sims!$J$15:$J$44,MATCH($C174,M_Sims!$A$15:$A$44,0))</f>
        <v>9.1889999999999999E-2</v>
      </c>
      <c r="K174" s="43">
        <f>IF(J174&gt;=0.5,-100*J174/(1-J174),100*(1-J174)/J174)</f>
        <v>988.25769942322336</v>
      </c>
      <c r="L174" s="34">
        <f>J174*G174-1</f>
        <v>-0.17298999999999998</v>
      </c>
      <c r="M174" s="38">
        <f>(J174-I174)*100</f>
        <v>0.52965876203070472</v>
      </c>
      <c r="N174" s="42">
        <f>M_Sims!B366</f>
        <v>-0.35865999999999998</v>
      </c>
      <c r="O174" s="42">
        <f>M_Sims!C366</f>
        <v>1.406E-2</v>
      </c>
      <c r="P174" s="42">
        <f>M_Sims!D366</f>
        <v>0.15</v>
      </c>
      <c r="Q174" s="34">
        <f>(1-A_shrink)*J174+A_shrink*I174</f>
        <v>8.9241706189846476E-2</v>
      </c>
      <c r="R174" s="18" t="str">
        <f>IF(A_tier2_on=1,MAX(0,(Q174*G174-1)/(G174-1))*A_kelly,"-")</f>
        <v>-</v>
      </c>
      <c r="S174" s="46" t="str">
        <f>IF(OR(A_bankroll="",A_tier2_on&lt;&gt;1),"-",MIN(A_maxbet,MAX(0,(Q174*G174-1)/(G174-1))*A_kelly*A_bankroll))</f>
        <v>-</v>
      </c>
      <c r="T174" s="51" t="str">
        <f>IF(A_tier2_on=1,M_Sims!M366,"-")</f>
        <v>-</v>
      </c>
      <c r="U174" s="46" t="str">
        <f>IF(OR(A_bankroll="",A_tier2_on&lt;&gt;1),"-",MIN(A_maxbet,M_Sims!M366*A_bankroll))</f>
        <v>-</v>
      </c>
      <c r="V174" s="30">
        <f>M_Sims!H366</f>
        <v>0</v>
      </c>
      <c r="W174" s="6" t="b">
        <f>AND(H174&lt;&gt;"IMPUTED_20C_LADDER",L174&gt;=A_minev,N174&gt;0,V174=1,IF(A174="PLAYOFFS",A_poconf=1,TRUE),IF(AND(A174="WINS",A_zs_on=1),AND(AE174&gt;=A_minev,M_Sims!O366&gt;0),TRUE),AF174&gt;=A_minev,AG174&gt;0,IF(I174&lt;A_longthr,(1-A_shrink)*M_Sims!K366+A_shrink*(I174*G174-1)&gt;=A_minev,TRUE),IF(AND(OR(A174="WINS",A174="PLAYOFFS",LEFT(A174,4)="DIV_"),INDEX(Raw_Teams!$F$8:$F$37,MATCH($C174,Raw_Teams!$A$8:$A$37,0))&lt;A_contthr),AND(((1-A_contshrink)*J174+A_contshrink*I174)*G174-1&gt;=A_minev,(1-A_contshrink)*N174+A_contshrink*(I174*G174-1)&gt;0),TRUE),M_Sims!P366=0)</f>
        <v>0</v>
      </c>
      <c r="X174" s="6" t="s">
        <v>1301</v>
      </c>
      <c r="Y174" s="6" t="s">
        <v>1307</v>
      </c>
      <c r="Z174" s="6">
        <v>283</v>
      </c>
      <c r="AA174" s="7" t="str">
        <f>Sim_Stale</f>
        <v>OK - sims match current assumptions</v>
      </c>
      <c r="AB174" s="13" t="s">
        <v>33</v>
      </c>
      <c r="AC174" s="13" t="s">
        <v>33</v>
      </c>
      <c r="AD174" s="13" t="s">
        <v>33</v>
      </c>
      <c r="AE174" s="13" t="s">
        <v>33</v>
      </c>
      <c r="AF174" s="34">
        <f>Q174*G174-1</f>
        <v>-0.19682464429138169</v>
      </c>
      <c r="AG174" s="34">
        <f>(1-A_shrink)*N174+A_shrink*(I174*G174-1)</f>
        <v>-0.28965964429138169</v>
      </c>
      <c r="AH174" s="6" t="b">
        <f>AND(W174,I174&gt;=A_t1_fair,((1-A_t1_shrink)*J174+A_t1_shrink*I174)*G174-1&gt;=A_minev,(1-A_t1_shrink)*N174+A_t1_shrink*(I174*G174-1)&gt;0,M_Sims!Q366=1)</f>
        <v>0</v>
      </c>
      <c r="AI174" s="18">
        <f>IF(AH174,M_Sims!R366*A_t1_cap/A_t1_engcap,0)</f>
        <v>0</v>
      </c>
      <c r="AJ174" s="46" t="str">
        <f>IF(OR(A_bankroll="",NOT(AH174)),"-",MIN(A_maxbet,AI174*A_bankroll))</f>
        <v>-</v>
      </c>
      <c r="AK174" s="7" t="str">
        <f>IF(AH174,M_Sims!S366,"-")</f>
        <v>-</v>
      </c>
      <c r="AL174" s="51">
        <f>M_Sims!M366</f>
        <v>0</v>
      </c>
      <c r="AM174" s="6" t="str">
        <f>IF(W174,IF(AH174,"Tier 1","Tier 2"),"-")</f>
        <v>-</v>
      </c>
    </row>
    <row r="175" spans="1:39" ht="15" customHeight="1" x14ac:dyDescent="0.3"/>
    <row r="176" spans="1:39" ht="15" customHeight="1" x14ac:dyDescent="0.3">
      <c r="A176" s="48" t="s">
        <v>291</v>
      </c>
      <c r="B176" s="49" t="s">
        <v>1308</v>
      </c>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row>
    <row r="177" spans="1:39" ht="15" customHeight="1" x14ac:dyDescent="0.3">
      <c r="A177" s="6" t="s">
        <v>291</v>
      </c>
      <c r="B177" s="7" t="str">
        <f>Odds_Input!C292</f>
        <v>Oklahoma City Thunder</v>
      </c>
      <c r="C177" s="6" t="s">
        <v>217</v>
      </c>
      <c r="D177" s="7" t="str">
        <f>Odds_Input!D292</f>
        <v>YES</v>
      </c>
      <c r="E177" s="31" t="str">
        <f>Odds_Input!E292</f>
        <v>-</v>
      </c>
      <c r="F177" s="32">
        <f>Odds_Input!F292</f>
        <v>-200</v>
      </c>
      <c r="G177" s="36">
        <f>M_DeVig!H292</f>
        <v>1.5</v>
      </c>
      <c r="H177" s="7" t="str">
        <f>Odds_Input!G292</f>
        <v>-</v>
      </c>
      <c r="I177" s="42">
        <f>M_DeVig!Q292</f>
        <v>0.61947747975840939</v>
      </c>
      <c r="J177" s="42">
        <f>INDEX(M_Sims!$J$15:$J$44,MATCH($C177,M_Sims!$A$15:$A$44,0))</f>
        <v>0.55245999999999995</v>
      </c>
      <c r="K177" s="43">
        <f>IF(J177&gt;=0.5,-100*J177/(1-J177),100*(1-J177)/J177)</f>
        <v>-123.4437145283103</v>
      </c>
      <c r="L177" s="34">
        <f>J177*G177-1</f>
        <v>-0.17131000000000007</v>
      </c>
      <c r="M177" s="38">
        <f>(J177-I177)*100</f>
        <v>-6.7017479758409433</v>
      </c>
      <c r="N177" s="42">
        <f>M_Sims!B367</f>
        <v>-0.27187</v>
      </c>
      <c r="O177" s="42">
        <f>M_Sims!C367</f>
        <v>-9.1259999999999897E-2</v>
      </c>
      <c r="P177" s="42">
        <f>M_Sims!D367</f>
        <v>0</v>
      </c>
      <c r="Q177" s="34">
        <f>(1-A_shrink)*J177+A_shrink*I177</f>
        <v>0.58596873987920461</v>
      </c>
      <c r="R177" s="18" t="str">
        <f>IF(A_tier2_on=1,MAX(0,(Q177*G177-1)/(G177-1))*A_kelly,"-")</f>
        <v>-</v>
      </c>
      <c r="S177" s="46" t="str">
        <f>IF(OR(A_bankroll="",A_tier2_on&lt;&gt;1),"-",MIN(A_maxbet,MAX(0,(Q177*G177-1)/(G177-1))*A_kelly*A_bankroll))</f>
        <v>-</v>
      </c>
      <c r="T177" s="51" t="str">
        <f>IF(A_tier2_on=1,M_Sims!M367,"-")</f>
        <v>-</v>
      </c>
      <c r="U177" s="46" t="str">
        <f>IF(OR(A_bankroll="",A_tier2_on&lt;&gt;1),"-",MIN(A_maxbet,M_Sims!M367*A_bankroll))</f>
        <v>-</v>
      </c>
      <c r="V177" s="30">
        <f>M_Sims!H367</f>
        <v>1</v>
      </c>
      <c r="W177" s="6" t="b">
        <f>AND(H177&lt;&gt;"IMPUTED_20C_LADDER",L177&gt;=A_minev,N177&gt;0,V177=1,IF(A177="PLAYOFFS",A_poconf=1,TRUE),IF(AND(A177="WINS",A_zs_on=1),AND(AE177&gt;=A_minev,M_Sims!O367&gt;0),TRUE),AF177&gt;=A_minev,AG177&gt;0,IF(I177&lt;A_longthr,(1-A_shrink)*M_Sims!K367+A_shrink*(I177*G177-1)&gt;=A_minev,TRUE),IF(AND(OR(A177="WINS",A177="PLAYOFFS",LEFT(A177,4)="DIV_"),INDEX(Raw_Teams!$F$8:$F$37,MATCH($C177,Raw_Teams!$A$8:$A$37,0))&lt;A_contthr),AND(((1-A_contshrink)*J177+A_contshrink*I177)*G177-1&gt;=A_minev,(1-A_contshrink)*N177+A_contshrink*(I177*G177-1)&gt;0),TRUE),M_Sims!P367=0)</f>
        <v>0</v>
      </c>
      <c r="X177" s="6" t="s">
        <v>1301</v>
      </c>
      <c r="Y177" s="6" t="s">
        <v>1307</v>
      </c>
      <c r="Z177" s="6">
        <v>284</v>
      </c>
      <c r="AA177" s="7" t="str">
        <f>Sim_Stale</f>
        <v>OK - sims match current assumptions</v>
      </c>
      <c r="AB177" s="13" t="s">
        <v>33</v>
      </c>
      <c r="AC177" s="13" t="s">
        <v>33</v>
      </c>
      <c r="AD177" s="13" t="s">
        <v>33</v>
      </c>
      <c r="AE177" s="13" t="s">
        <v>33</v>
      </c>
      <c r="AF177" s="34">
        <f>Q177*G177-1</f>
        <v>-0.12104689018119308</v>
      </c>
      <c r="AG177" s="34">
        <f>(1-A_shrink)*N177+A_shrink*(I177*G177-1)</f>
        <v>-0.17132689018119293</v>
      </c>
      <c r="AH177" s="6" t="b">
        <f>AND(W177,I177&gt;=A_t1_fair,((1-A_t1_shrink)*J177+A_t1_shrink*I177)*G177-1&gt;=A_minev,(1-A_t1_shrink)*N177+A_t1_shrink*(I177*G177-1)&gt;0,M_Sims!Q367=1)</f>
        <v>0</v>
      </c>
      <c r="AI177" s="18">
        <f>IF(AH177,M_Sims!R367*A_t1_cap/A_t1_engcap,0)</f>
        <v>0</v>
      </c>
      <c r="AJ177" s="46" t="str">
        <f>IF(OR(A_bankroll="",NOT(AH177)),"-",MIN(A_maxbet,AI177*A_bankroll))</f>
        <v>-</v>
      </c>
      <c r="AK177" s="7" t="str">
        <f>IF(AH177,M_Sims!S367,"-")</f>
        <v>-</v>
      </c>
      <c r="AL177" s="51">
        <f>M_Sims!M367</f>
        <v>0</v>
      </c>
      <c r="AM177" s="6" t="str">
        <f>IF(W177,IF(AH177,"Tier 1","Tier 2"),"-")</f>
        <v>-</v>
      </c>
    </row>
    <row r="178" spans="1:39" ht="15" customHeight="1" x14ac:dyDescent="0.3">
      <c r="A178" s="6" t="s">
        <v>291</v>
      </c>
      <c r="B178" s="7" t="str">
        <f>Odds_Input!C293</f>
        <v>Minnesota Timberwolves</v>
      </c>
      <c r="C178" s="6" t="s">
        <v>214</v>
      </c>
      <c r="D178" s="7" t="str">
        <f>Odds_Input!D293</f>
        <v>YES</v>
      </c>
      <c r="E178" s="31" t="str">
        <f>Odds_Input!E293</f>
        <v>-</v>
      </c>
      <c r="F178" s="32">
        <f>Odds_Input!F293</f>
        <v>300</v>
      </c>
      <c r="G178" s="36">
        <f>M_DeVig!H293</f>
        <v>4</v>
      </c>
      <c r="H178" s="7" t="str">
        <f>Odds_Input!G293</f>
        <v>-</v>
      </c>
      <c r="I178" s="42">
        <f>M_DeVig!Q293</f>
        <v>0.22136327699193384</v>
      </c>
      <c r="J178" s="42">
        <f>INDEX(M_Sims!$J$15:$J$44,MATCH($C178,M_Sims!$A$15:$A$44,0))</f>
        <v>0.20311999999999999</v>
      </c>
      <c r="K178" s="43">
        <f>IF(J178&gt;=0.5,-100*J178/(1-J178),100*(1-J178)/J178)</f>
        <v>392.31981094919263</v>
      </c>
      <c r="L178" s="34">
        <f>J178*G178-1</f>
        <v>-0.18752000000000002</v>
      </c>
      <c r="M178" s="38">
        <f>(J178-I178)*100</f>
        <v>-1.8243276991933843</v>
      </c>
      <c r="N178" s="42">
        <f>M_Sims!B368</f>
        <v>-0.27125333333333329</v>
      </c>
      <c r="O178" s="42">
        <f>M_Sims!C368</f>
        <v>-8.9253333333333296E-2</v>
      </c>
      <c r="P178" s="42">
        <f>M_Sims!D368</f>
        <v>0</v>
      </c>
      <c r="Q178" s="34">
        <f>(1-A_shrink)*J178+A_shrink*I178</f>
        <v>0.21224163849596692</v>
      </c>
      <c r="R178" s="18" t="str">
        <f>IF(A_tier2_on=1,MAX(0,(Q178*G178-1)/(G178-1))*A_kelly,"-")</f>
        <v>-</v>
      </c>
      <c r="S178" s="46" t="str">
        <f>IF(OR(A_bankroll="",A_tier2_on&lt;&gt;1),"-",MIN(A_maxbet,MAX(0,(Q178*G178-1)/(G178-1))*A_kelly*A_bankroll))</f>
        <v>-</v>
      </c>
      <c r="T178" s="51" t="str">
        <f>IF(A_tier2_on=1,M_Sims!M368,"-")</f>
        <v>-</v>
      </c>
      <c r="U178" s="46" t="str">
        <f>IF(OR(A_bankroll="",A_tier2_on&lt;&gt;1),"-",MIN(A_maxbet,M_Sims!M368*A_bankroll))</f>
        <v>-</v>
      </c>
      <c r="V178" s="30">
        <f>M_Sims!H368</f>
        <v>1</v>
      </c>
      <c r="W178" s="6" t="b">
        <f>AND(H178&lt;&gt;"IMPUTED_20C_LADDER",L178&gt;=A_minev,N178&gt;0,V178=1,IF(A178="PLAYOFFS",A_poconf=1,TRUE),IF(AND(A178="WINS",A_zs_on=1),AND(AE178&gt;=A_minev,M_Sims!O368&gt;0),TRUE),AF178&gt;=A_minev,AG178&gt;0,IF(I178&lt;A_longthr,(1-A_shrink)*M_Sims!K368+A_shrink*(I178*G178-1)&gt;=A_minev,TRUE),IF(AND(OR(A178="WINS",A178="PLAYOFFS",LEFT(A178,4)="DIV_"),INDEX(Raw_Teams!$F$8:$F$37,MATCH($C178,Raw_Teams!$A$8:$A$37,0))&lt;A_contthr),AND(((1-A_contshrink)*J178+A_contshrink*I178)*G178-1&gt;=A_minev,(1-A_contshrink)*N178+A_contshrink*(I178*G178-1)&gt;0),TRUE),M_Sims!P368=0)</f>
        <v>0</v>
      </c>
      <c r="X178" s="6" t="s">
        <v>1301</v>
      </c>
      <c r="Y178" s="6" t="s">
        <v>1307</v>
      </c>
      <c r="Z178" s="6">
        <v>285</v>
      </c>
      <c r="AA178" s="7" t="str">
        <f>Sim_Stale</f>
        <v>OK - sims match current assumptions</v>
      </c>
      <c r="AB178" s="13" t="s">
        <v>33</v>
      </c>
      <c r="AC178" s="13" t="s">
        <v>33</v>
      </c>
      <c r="AD178" s="13" t="s">
        <v>33</v>
      </c>
      <c r="AE178" s="13" t="s">
        <v>33</v>
      </c>
      <c r="AF178" s="34">
        <f>Q178*G178-1</f>
        <v>-0.15103344601613233</v>
      </c>
      <c r="AG178" s="34">
        <f>(1-A_shrink)*N178+A_shrink*(I178*G178-1)</f>
        <v>-0.19290011268279897</v>
      </c>
      <c r="AH178" s="6" t="b">
        <f>AND(W178,I178&gt;=A_t1_fair,((1-A_t1_shrink)*J178+A_t1_shrink*I178)*G178-1&gt;=A_minev,(1-A_t1_shrink)*N178+A_t1_shrink*(I178*G178-1)&gt;0,M_Sims!Q368=1)</f>
        <v>0</v>
      </c>
      <c r="AI178" s="18">
        <f>IF(AH178,M_Sims!R368*A_t1_cap/A_t1_engcap,0)</f>
        <v>0</v>
      </c>
      <c r="AJ178" s="46" t="str">
        <f>IF(OR(A_bankroll="",NOT(AH178)),"-",MIN(A_maxbet,AI178*A_bankroll))</f>
        <v>-</v>
      </c>
      <c r="AK178" s="7" t="str">
        <f>IF(AH178,M_Sims!S368,"-")</f>
        <v>-</v>
      </c>
      <c r="AL178" s="51">
        <f>M_Sims!M368</f>
        <v>0</v>
      </c>
      <c r="AM178" s="6" t="str">
        <f>IF(W178,IF(AH178,"Tier 1","Tier 2"),"-")</f>
        <v>-</v>
      </c>
    </row>
    <row r="179" spans="1:39" ht="15" customHeight="1" x14ac:dyDescent="0.3">
      <c r="A179" s="6" t="s">
        <v>291</v>
      </c>
      <c r="B179" s="7" t="str">
        <f>Odds_Input!C294</f>
        <v>Los Angeles Clippers</v>
      </c>
      <c r="C179" s="6" t="s">
        <v>209</v>
      </c>
      <c r="D179" s="7" t="str">
        <f>Odds_Input!D294</f>
        <v>YES</v>
      </c>
      <c r="E179" s="31" t="str">
        <f>Odds_Input!E294</f>
        <v>-</v>
      </c>
      <c r="F179" s="32">
        <f>Odds_Input!F294</f>
        <v>1100</v>
      </c>
      <c r="G179" s="36">
        <f>M_DeVig!H294</f>
        <v>12</v>
      </c>
      <c r="H179" s="7" t="str">
        <f>Odds_Input!G294</f>
        <v>-</v>
      </c>
      <c r="I179" s="42">
        <f>M_DeVig!Q294</f>
        <v>6.3341397759758555E-2</v>
      </c>
      <c r="J179" s="42">
        <f>INDEX(M_Sims!$J$15:$J$44,MATCH($C179,M_Sims!$A$15:$A$44,0))</f>
        <v>6.2899999999999998E-2</v>
      </c>
      <c r="K179" s="43">
        <f>IF(J179&gt;=0.5,-100*J179/(1-J179),100*(1-J179)/J179)</f>
        <v>1489.8251192368841</v>
      </c>
      <c r="L179" s="34">
        <f>J179*G179-1</f>
        <v>-0.24520000000000008</v>
      </c>
      <c r="M179" s="38">
        <f>(J179-I179)*100</f>
        <v>-4.4139775975855777E-2</v>
      </c>
      <c r="N179" s="42">
        <f>M_Sims!B369</f>
        <v>-0.43687999999999999</v>
      </c>
      <c r="O179" s="42">
        <f>M_Sims!C369</f>
        <v>7.3600000000001E-3</v>
      </c>
      <c r="P179" s="42">
        <f>M_Sims!D369</f>
        <v>0.1166666666666666</v>
      </c>
      <c r="Q179" s="34">
        <f>(1-A_shrink)*J179+A_shrink*I179</f>
        <v>6.3120698879879283E-2</v>
      </c>
      <c r="R179" s="18" t="str">
        <f>IF(A_tier2_on=1,MAX(0,(Q179*G179-1)/(G179-1))*A_kelly,"-")</f>
        <v>-</v>
      </c>
      <c r="S179" s="46" t="str">
        <f>IF(OR(A_bankroll="",A_tier2_on&lt;&gt;1),"-",MIN(A_maxbet,MAX(0,(Q179*G179-1)/(G179-1))*A_kelly*A_bankroll))</f>
        <v>-</v>
      </c>
      <c r="T179" s="51" t="str">
        <f>IF(A_tier2_on=1,M_Sims!M369,"-")</f>
        <v>-</v>
      </c>
      <c r="U179" s="46" t="str">
        <f>IF(OR(A_bankroll="",A_tier2_on&lt;&gt;1),"-",MIN(A_maxbet,M_Sims!M369*A_bankroll))</f>
        <v>-</v>
      </c>
      <c r="V179" s="30">
        <f>M_Sims!H369</f>
        <v>0</v>
      </c>
      <c r="W179" s="6" t="b">
        <f>AND(H179&lt;&gt;"IMPUTED_20C_LADDER",L179&gt;=A_minev,N179&gt;0,V179=1,IF(A179="PLAYOFFS",A_poconf=1,TRUE),IF(AND(A179="WINS",A_zs_on=1),AND(AE179&gt;=A_minev,M_Sims!O369&gt;0),TRUE),AF179&gt;=A_minev,AG179&gt;0,IF(I179&lt;A_longthr,(1-A_shrink)*M_Sims!K369+A_shrink*(I179*G179-1)&gt;=A_minev,TRUE),IF(AND(OR(A179="WINS",A179="PLAYOFFS",LEFT(A179,4)="DIV_"),INDEX(Raw_Teams!$F$8:$F$37,MATCH($C179,Raw_Teams!$A$8:$A$37,0))&lt;A_contthr),AND(((1-A_contshrink)*J179+A_contshrink*I179)*G179-1&gt;=A_minev,(1-A_contshrink)*N179+A_contshrink*(I179*G179-1)&gt;0),TRUE),M_Sims!P369=0)</f>
        <v>0</v>
      </c>
      <c r="X179" s="6" t="s">
        <v>1301</v>
      </c>
      <c r="Y179" s="6" t="s">
        <v>1307</v>
      </c>
      <c r="Z179" s="6">
        <v>286</v>
      </c>
      <c r="AA179" s="7" t="str">
        <f>Sim_Stale</f>
        <v>OK - sims match current assumptions</v>
      </c>
      <c r="AB179" s="13" t="s">
        <v>33</v>
      </c>
      <c r="AC179" s="13" t="s">
        <v>33</v>
      </c>
      <c r="AD179" s="13" t="s">
        <v>33</v>
      </c>
      <c r="AE179" s="13" t="s">
        <v>33</v>
      </c>
      <c r="AF179" s="34">
        <f>Q179*G179-1</f>
        <v>-0.2425516134414486</v>
      </c>
      <c r="AG179" s="34">
        <f>(1-A_shrink)*N179+A_shrink*(I179*G179-1)</f>
        <v>-0.33839161344144864</v>
      </c>
      <c r="AH179" s="6" t="b">
        <f>AND(W179,I179&gt;=A_t1_fair,((1-A_t1_shrink)*J179+A_t1_shrink*I179)*G179-1&gt;=A_minev,(1-A_t1_shrink)*N179+A_t1_shrink*(I179*G179-1)&gt;0,M_Sims!Q369=1)</f>
        <v>0</v>
      </c>
      <c r="AI179" s="18">
        <f>IF(AH179,M_Sims!R369*A_t1_cap/A_t1_engcap,0)</f>
        <v>0</v>
      </c>
      <c r="AJ179" s="46" t="str">
        <f>IF(OR(A_bankroll="",NOT(AH179)),"-",MIN(A_maxbet,AI179*A_bankroll))</f>
        <v>-</v>
      </c>
      <c r="AK179" s="7" t="str">
        <f>IF(AH179,M_Sims!S369,"-")</f>
        <v>-</v>
      </c>
      <c r="AL179" s="51">
        <f>M_Sims!M369</f>
        <v>0</v>
      </c>
      <c r="AM179" s="6" t="str">
        <f>IF(W179,IF(AH179,"Tier 1","Tier 2"),"-")</f>
        <v>-</v>
      </c>
    </row>
    <row r="180" spans="1:39" ht="15" customHeight="1" x14ac:dyDescent="0.3">
      <c r="A180" s="6" t="s">
        <v>291</v>
      </c>
      <c r="B180" s="7" t="str">
        <f>Odds_Input!C295</f>
        <v>Memphis Grizzlies</v>
      </c>
      <c r="C180" s="6" t="s">
        <v>211</v>
      </c>
      <c r="D180" s="7" t="str">
        <f>Odds_Input!D295</f>
        <v>YES</v>
      </c>
      <c r="E180" s="31" t="str">
        <f>Odds_Input!E295</f>
        <v>-</v>
      </c>
      <c r="F180" s="32">
        <f>Odds_Input!F295</f>
        <v>1400</v>
      </c>
      <c r="G180" s="36">
        <f>M_DeVig!H295</f>
        <v>15</v>
      </c>
      <c r="H180" s="7" t="str">
        <f>Odds_Input!G295</f>
        <v>-</v>
      </c>
      <c r="I180" s="42">
        <f>M_DeVig!Q295</f>
        <v>4.7908922817538127E-2</v>
      </c>
      <c r="J180" s="42">
        <f>INDEX(M_Sims!$J$15:$J$44,MATCH($C180,M_Sims!$A$15:$A$44,0))</f>
        <v>0.11053</v>
      </c>
      <c r="K180" s="43">
        <f>IF(J180&gt;=0.5,-100*J180/(1-J180),100*(1-J180)/J180)</f>
        <v>804.73174703700352</v>
      </c>
      <c r="L180" s="34">
        <f>J180*G180-1</f>
        <v>0.65795000000000003</v>
      </c>
      <c r="M180" s="38">
        <f>(J180-I180)*100</f>
        <v>6.2621077182461873</v>
      </c>
      <c r="N180" s="42">
        <f>M_Sims!B370</f>
        <v>0.49020000000000008</v>
      </c>
      <c r="O180" s="42">
        <f>M_Sims!C370</f>
        <v>0.87669999999999992</v>
      </c>
      <c r="P180" s="42">
        <f>M_Sims!D370</f>
        <v>1</v>
      </c>
      <c r="Q180" s="34">
        <f>(1-A_shrink)*J180+A_shrink*I180</f>
        <v>7.9219461408769065E-2</v>
      </c>
      <c r="R180" s="18" t="str">
        <f>IF(A_tier2_on=1,MAX(0,(Q180*G180-1)/(G180-1))*A_kelly,"-")</f>
        <v>-</v>
      </c>
      <c r="S180" s="46" t="str">
        <f>IF(OR(A_bankroll="",A_tier2_on&lt;&gt;1),"-",MIN(A_maxbet,MAX(0,(Q180*G180-1)/(G180-1))*A_kelly*A_bankroll))</f>
        <v>-</v>
      </c>
      <c r="T180" s="51" t="str">
        <f>IF(A_tier2_on=1,M_Sims!M370,"-")</f>
        <v>-</v>
      </c>
      <c r="U180" s="46" t="str">
        <f>IF(OR(A_bankroll="",A_tier2_on&lt;&gt;1),"-",MIN(A_maxbet,M_Sims!M370*A_bankroll))</f>
        <v>-</v>
      </c>
      <c r="V180" s="30">
        <f>M_Sims!H370</f>
        <v>1</v>
      </c>
      <c r="W180" s="6" t="b">
        <f>AND(H180&lt;&gt;"IMPUTED_20C_LADDER",L180&gt;=A_minev,N180&gt;0,V180=1,IF(A180="PLAYOFFS",A_poconf=1,TRUE),IF(AND(A180="WINS",A_zs_on=1),AND(AE180&gt;=A_minev,M_Sims!O370&gt;0),TRUE),AF180&gt;=A_minev,AG180&gt;0,IF(I180&lt;A_longthr,(1-A_shrink)*M_Sims!K370+A_shrink*(I180*G180-1)&gt;=A_minev,TRUE),IF(AND(OR(A180="WINS",A180="PLAYOFFS",LEFT(A180,4)="DIV_"),INDEX(Raw_Teams!$F$8:$F$37,MATCH($C180,Raw_Teams!$A$8:$A$37,0))&lt;A_contthr),AND(((1-A_contshrink)*J180+A_contshrink*I180)*G180-1&gt;=A_minev,(1-A_contshrink)*N180+A_contshrink*(I180*G180-1)&gt;0),TRUE),M_Sims!P370=0)</f>
        <v>1</v>
      </c>
      <c r="X180" s="6" t="s">
        <v>1301</v>
      </c>
      <c r="Y180" s="6" t="s">
        <v>1307</v>
      </c>
      <c r="Z180" s="6">
        <v>287</v>
      </c>
      <c r="AA180" s="7" t="str">
        <f>Sim_Stale</f>
        <v>OK - sims match current assumptions</v>
      </c>
      <c r="AB180" s="13" t="s">
        <v>33</v>
      </c>
      <c r="AC180" s="13" t="s">
        <v>33</v>
      </c>
      <c r="AD180" s="13" t="s">
        <v>33</v>
      </c>
      <c r="AE180" s="13" t="s">
        <v>33</v>
      </c>
      <c r="AF180" s="34">
        <f>Q180*G180-1</f>
        <v>0.18829192113153592</v>
      </c>
      <c r="AG180" s="34">
        <f>(1-A_shrink)*N180+A_shrink*(I180*G180-1)</f>
        <v>0.104416921131536</v>
      </c>
      <c r="AH180" s="6" t="b">
        <f>AND(W180,I180&gt;=A_t1_fair,((1-A_t1_shrink)*J180+A_t1_shrink*I180)*G180-1&gt;=A_minev,(1-A_t1_shrink)*N180+A_t1_shrink*(I180*G180-1)&gt;0,M_Sims!Q370=1)</f>
        <v>0</v>
      </c>
      <c r="AI180" s="18">
        <f>IF(AH180,M_Sims!R370*A_t1_cap/A_t1_engcap,0)</f>
        <v>0</v>
      </c>
      <c r="AJ180" s="46" t="str">
        <f>IF(OR(A_bankroll="",NOT(AH180)),"-",MIN(A_maxbet,AI180*A_bankroll))</f>
        <v>-</v>
      </c>
      <c r="AK180" s="7" t="str">
        <f>IF(AH180,M_Sims!S370,"-")</f>
        <v>-</v>
      </c>
      <c r="AL180" s="51">
        <f>M_Sims!M370</f>
        <v>0</v>
      </c>
      <c r="AM180" s="6" t="str">
        <f>IF(W180,IF(AH180,"Tier 1","Tier 2"),"-")</f>
        <v>Tier 2</v>
      </c>
    </row>
    <row r="181" spans="1:39" ht="15" customHeight="1" x14ac:dyDescent="0.3">
      <c r="A181" s="6" t="s">
        <v>291</v>
      </c>
      <c r="B181" s="7" t="str">
        <f>Odds_Input!C296</f>
        <v>New Orleans Pelicans</v>
      </c>
      <c r="C181" s="6" t="s">
        <v>215</v>
      </c>
      <c r="D181" s="7" t="str">
        <f>Odds_Input!D296</f>
        <v>YES</v>
      </c>
      <c r="E181" s="31" t="str">
        <f>Odds_Input!E296</f>
        <v>-</v>
      </c>
      <c r="F181" s="32">
        <f>Odds_Input!F296</f>
        <v>1400</v>
      </c>
      <c r="G181" s="36">
        <f>M_DeVig!H296</f>
        <v>15</v>
      </c>
      <c r="H181" s="7" t="str">
        <f>Odds_Input!G296</f>
        <v>-</v>
      </c>
      <c r="I181" s="42">
        <f>M_DeVig!Q296</f>
        <v>4.7908922817538127E-2</v>
      </c>
      <c r="J181" s="42">
        <f>INDEX(M_Sims!$J$15:$J$44,MATCH($C181,M_Sims!$A$15:$A$44,0))</f>
        <v>7.0989999999999998E-2</v>
      </c>
      <c r="K181" s="43">
        <f>IF(J181&gt;=0.5,-100*J181/(1-J181),100*(1-J181)/J181)</f>
        <v>1308.6491055078179</v>
      </c>
      <c r="L181" s="34">
        <f>J181*G181-1</f>
        <v>6.4849999999999852E-2</v>
      </c>
      <c r="M181" s="38">
        <f>(J181-I181)*100</f>
        <v>2.3081077182461871</v>
      </c>
      <c r="N181" s="42">
        <f>M_Sims!B371</f>
        <v>-7.2599999999999901E-2</v>
      </c>
      <c r="O181" s="42">
        <f>M_Sims!C371</f>
        <v>0.20269999999999999</v>
      </c>
      <c r="P181" s="42">
        <f>M_Sims!D371</f>
        <v>0.75</v>
      </c>
      <c r="Q181" s="34">
        <f>(1-A_shrink)*J181+A_shrink*I181</f>
        <v>5.9449461408769062E-2</v>
      </c>
      <c r="R181" s="18" t="str">
        <f>IF(A_tier2_on=1,MAX(0,(Q181*G181-1)/(G181-1))*A_kelly,"-")</f>
        <v>-</v>
      </c>
      <c r="S181" s="46" t="str">
        <f>IF(OR(A_bankroll="",A_tier2_on&lt;&gt;1),"-",MIN(A_maxbet,MAX(0,(Q181*G181-1)/(G181-1))*A_kelly*A_bankroll))</f>
        <v>-</v>
      </c>
      <c r="T181" s="51" t="str">
        <f>IF(A_tier2_on=1,M_Sims!M371,"-")</f>
        <v>-</v>
      </c>
      <c r="U181" s="46" t="str">
        <f>IF(OR(A_bankroll="",A_tier2_on&lt;&gt;1),"-",MIN(A_maxbet,M_Sims!M371*A_bankroll))</f>
        <v>-</v>
      </c>
      <c r="V181" s="30">
        <f>M_Sims!H371</f>
        <v>1</v>
      </c>
      <c r="W181" s="6" t="b">
        <f>AND(H181&lt;&gt;"IMPUTED_20C_LADDER",L181&gt;=A_minev,N181&gt;0,V181=1,IF(A181="PLAYOFFS",A_poconf=1,TRUE),IF(AND(A181="WINS",A_zs_on=1),AND(AE181&gt;=A_minev,M_Sims!O371&gt;0),TRUE),AF181&gt;=A_minev,AG181&gt;0,IF(I181&lt;A_longthr,(1-A_shrink)*M_Sims!K371+A_shrink*(I181*G181-1)&gt;=A_minev,TRUE),IF(AND(OR(A181="WINS",A181="PLAYOFFS",LEFT(A181,4)="DIV_"),INDEX(Raw_Teams!$F$8:$F$37,MATCH($C181,Raw_Teams!$A$8:$A$37,0))&lt;A_contthr),AND(((1-A_contshrink)*J181+A_contshrink*I181)*G181-1&gt;=A_minev,(1-A_contshrink)*N181+A_contshrink*(I181*G181-1)&gt;0),TRUE),M_Sims!P371=0)</f>
        <v>0</v>
      </c>
      <c r="X181" s="6" t="s">
        <v>1301</v>
      </c>
      <c r="Y181" s="6" t="s">
        <v>1307</v>
      </c>
      <c r="Z181" s="6">
        <v>288</v>
      </c>
      <c r="AA181" s="7" t="str">
        <f>Sim_Stale</f>
        <v>OK - sims match current assumptions</v>
      </c>
      <c r="AB181" s="13" t="s">
        <v>33</v>
      </c>
      <c r="AC181" s="13" t="s">
        <v>33</v>
      </c>
      <c r="AD181" s="13" t="s">
        <v>33</v>
      </c>
      <c r="AE181" s="13" t="s">
        <v>33</v>
      </c>
      <c r="AF181" s="34">
        <f>Q181*G181-1</f>
        <v>-0.10825807886846406</v>
      </c>
      <c r="AG181" s="34">
        <f>(1-A_shrink)*N181+A_shrink*(I181*G181-1)</f>
        <v>-0.17698307886846398</v>
      </c>
      <c r="AH181" s="6" t="b">
        <f>AND(W181,I181&gt;=A_t1_fair,((1-A_t1_shrink)*J181+A_t1_shrink*I181)*G181-1&gt;=A_minev,(1-A_t1_shrink)*N181+A_t1_shrink*(I181*G181-1)&gt;0,M_Sims!Q371=1)</f>
        <v>0</v>
      </c>
      <c r="AI181" s="18">
        <f>IF(AH181,M_Sims!R371*A_t1_cap/A_t1_engcap,0)</f>
        <v>0</v>
      </c>
      <c r="AJ181" s="46" t="str">
        <f>IF(OR(A_bankroll="",NOT(AH181)),"-",MIN(A_maxbet,AI181*A_bankroll))</f>
        <v>-</v>
      </c>
      <c r="AK181" s="7" t="str">
        <f>IF(AH181,M_Sims!S371,"-")</f>
        <v>-</v>
      </c>
      <c r="AL181" s="51">
        <f>M_Sims!M371</f>
        <v>0</v>
      </c>
      <c r="AM181" s="6" t="str">
        <f>IF(W181,IF(AH181,"Tier 1","Tier 2"),"-")</f>
        <v>-</v>
      </c>
    </row>
    <row r="182" spans="1:39" ht="15" customHeight="1" x14ac:dyDescent="0.3"/>
    <row r="183" spans="1:39" ht="15" customHeight="1" x14ac:dyDescent="0.3">
      <c r="A183" s="48" t="s">
        <v>292</v>
      </c>
      <c r="B183" s="49" t="s">
        <v>1308</v>
      </c>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row>
    <row r="184" spans="1:39" ht="15" customHeight="1" x14ac:dyDescent="0.3">
      <c r="A184" s="6" t="s">
        <v>292</v>
      </c>
      <c r="B184" s="7" t="str">
        <f>Odds_Input!C297</f>
        <v>San Antonio Spurs</v>
      </c>
      <c r="C184" s="6" t="s">
        <v>223</v>
      </c>
      <c r="D184" s="7" t="str">
        <f>Odds_Input!D297</f>
        <v>YES</v>
      </c>
      <c r="E184" s="31" t="str">
        <f>Odds_Input!E297</f>
        <v>-</v>
      </c>
      <c r="F184" s="32">
        <f>Odds_Input!F297</f>
        <v>-150</v>
      </c>
      <c r="G184" s="36">
        <f>M_DeVig!H297</f>
        <v>1.6666666666666665</v>
      </c>
      <c r="H184" s="7" t="str">
        <f>Odds_Input!G297</f>
        <v>-</v>
      </c>
      <c r="I184" s="42">
        <f>M_DeVig!Q297</f>
        <v>0.5455691863093235</v>
      </c>
      <c r="J184" s="42">
        <f>INDEX(M_Sims!$J$15:$J$44,MATCH($C184,M_Sims!$A$15:$A$44,0))</f>
        <v>0.37691999999999998</v>
      </c>
      <c r="K184" s="43">
        <f>IF(J184&gt;=0.5,-100*J184/(1-J184),100*(1-J184)/J184)</f>
        <v>165.30828823092438</v>
      </c>
      <c r="L184" s="34">
        <f>J184*G184-1</f>
        <v>-0.37180000000000013</v>
      </c>
      <c r="M184" s="38">
        <f>(J184-I184)*100</f>
        <v>-16.864918630932351</v>
      </c>
      <c r="N184" s="42">
        <f>M_Sims!B372</f>
        <v>-0.4053666666666666</v>
      </c>
      <c r="O184" s="42">
        <f>M_Sims!C372</f>
        <v>-0.33092222222222228</v>
      </c>
      <c r="P184" s="42">
        <f>M_Sims!D372</f>
        <v>0</v>
      </c>
      <c r="Q184" s="34">
        <f>(1-A_shrink)*J184+A_shrink*I184</f>
        <v>0.46124459315466171</v>
      </c>
      <c r="R184" s="18" t="str">
        <f>IF(A_tier2_on=1,MAX(0,(Q184*G184-1)/(G184-1))*A_kelly,"-")</f>
        <v>-</v>
      </c>
      <c r="S184" s="46" t="str">
        <f>IF(OR(A_bankroll="",A_tier2_on&lt;&gt;1),"-",MIN(A_maxbet,MAX(0,(Q184*G184-1)/(G184-1))*A_kelly*A_bankroll))</f>
        <v>-</v>
      </c>
      <c r="T184" s="51" t="str">
        <f>IF(A_tier2_on=1,M_Sims!M372,"-")</f>
        <v>-</v>
      </c>
      <c r="U184" s="46" t="str">
        <f>IF(OR(A_bankroll="",A_tier2_on&lt;&gt;1),"-",MIN(A_maxbet,M_Sims!M372*A_bankroll))</f>
        <v>-</v>
      </c>
      <c r="V184" s="30">
        <f>M_Sims!H372</f>
        <v>1</v>
      </c>
      <c r="W184" s="6" t="b">
        <f>AND(H184&lt;&gt;"IMPUTED_20C_LADDER",L184&gt;=A_minev,N184&gt;0,V184=1,IF(A184="PLAYOFFS",A_poconf=1,TRUE),IF(AND(A184="WINS",A_zs_on=1),AND(AE184&gt;=A_minev,M_Sims!O372&gt;0),TRUE),AF184&gt;=A_minev,AG184&gt;0,IF(I184&lt;A_longthr,(1-A_shrink)*M_Sims!K372+A_shrink*(I184*G184-1)&gt;=A_minev,TRUE),IF(AND(OR(A184="WINS",A184="PLAYOFFS",LEFT(A184,4)="DIV_"),INDEX(Raw_Teams!$F$8:$F$37,MATCH($C184,Raw_Teams!$A$8:$A$37,0))&lt;A_contthr),AND(((1-A_contshrink)*J184+A_contshrink*I184)*G184-1&gt;=A_minev,(1-A_contshrink)*N184+A_contshrink*(I184*G184-1)&gt;0),TRUE),M_Sims!P372=0)</f>
        <v>0</v>
      </c>
      <c r="X184" s="6" t="s">
        <v>1301</v>
      </c>
      <c r="Y184" s="6" t="s">
        <v>1307</v>
      </c>
      <c r="Z184" s="6">
        <v>289</v>
      </c>
      <c r="AA184" s="7" t="str">
        <f>Sim_Stale</f>
        <v>OK - sims match current assumptions</v>
      </c>
      <c r="AB184" s="13" t="s">
        <v>33</v>
      </c>
      <c r="AC184" s="13" t="s">
        <v>33</v>
      </c>
      <c r="AD184" s="13" t="s">
        <v>33</v>
      </c>
      <c r="AE184" s="13" t="s">
        <v>33</v>
      </c>
      <c r="AF184" s="34">
        <f>Q184*G184-1</f>
        <v>-0.23125901140889726</v>
      </c>
      <c r="AG184" s="34">
        <f>(1-A_shrink)*N184+A_shrink*(I184*G184-1)</f>
        <v>-0.24804234474223044</v>
      </c>
      <c r="AH184" s="6" t="b">
        <f>AND(W184,I184&gt;=A_t1_fair,((1-A_t1_shrink)*J184+A_t1_shrink*I184)*G184-1&gt;=A_minev,(1-A_t1_shrink)*N184+A_t1_shrink*(I184*G184-1)&gt;0,M_Sims!Q372=1)</f>
        <v>0</v>
      </c>
      <c r="AI184" s="18">
        <f>IF(AH184,M_Sims!R372*A_t1_cap/A_t1_engcap,0)</f>
        <v>0</v>
      </c>
      <c r="AJ184" s="46" t="str">
        <f>IF(OR(A_bankroll="",NOT(AH184)),"-",MIN(A_maxbet,AI184*A_bankroll))</f>
        <v>-</v>
      </c>
      <c r="AK184" s="7" t="str">
        <f>IF(AH184,M_Sims!S372,"-")</f>
        <v>-</v>
      </c>
      <c r="AL184" s="51">
        <f>M_Sims!M372</f>
        <v>0</v>
      </c>
      <c r="AM184" s="6" t="str">
        <f>IF(W184,IF(AH184,"Tier 1","Tier 2"),"-")</f>
        <v>-</v>
      </c>
    </row>
    <row r="185" spans="1:39" ht="15" customHeight="1" x14ac:dyDescent="0.3">
      <c r="A185" s="6" t="s">
        <v>292</v>
      </c>
      <c r="B185" s="7" t="str">
        <f>Odds_Input!C298</f>
        <v>Los Angeles Lakers</v>
      </c>
      <c r="C185" s="6" t="s">
        <v>210</v>
      </c>
      <c r="D185" s="7" t="str">
        <f>Odds_Input!D298</f>
        <v>YES</v>
      </c>
      <c r="E185" s="31" t="str">
        <f>Odds_Input!E298</f>
        <v>-</v>
      </c>
      <c r="F185" s="32">
        <f>Odds_Input!F298</f>
        <v>400</v>
      </c>
      <c r="G185" s="36">
        <f>M_DeVig!H298</f>
        <v>5</v>
      </c>
      <c r="H185" s="7" t="str">
        <f>Odds_Input!G298</f>
        <v>-</v>
      </c>
      <c r="I185" s="42">
        <f>M_DeVig!Q298</f>
        <v>0.1668351325933585</v>
      </c>
      <c r="J185" s="42">
        <f>INDEX(M_Sims!$J$15:$J$44,MATCH($C185,M_Sims!$A$15:$A$44,0))</f>
        <v>0.20934</v>
      </c>
      <c r="K185" s="43">
        <f>IF(J185&gt;=0.5,-100*J185/(1-J185),100*(1-J185)/J185)</f>
        <v>377.69179325499192</v>
      </c>
      <c r="L185" s="34">
        <f>J185*G185-1</f>
        <v>4.6699999999999964E-2</v>
      </c>
      <c r="M185" s="38">
        <f>(J185-I185)*100</f>
        <v>4.25048674066415</v>
      </c>
      <c r="N185" s="42">
        <f>M_Sims!B373</f>
        <v>-4.0399999999999998E-2</v>
      </c>
      <c r="O185" s="42">
        <f>M_Sims!C373</f>
        <v>0.12633333333333341</v>
      </c>
      <c r="P185" s="42">
        <f>M_Sims!D373</f>
        <v>0.65</v>
      </c>
      <c r="Q185" s="34">
        <f>(1-A_shrink)*J185+A_shrink*I185</f>
        <v>0.18808756629667925</v>
      </c>
      <c r="R185" s="18" t="str">
        <f>IF(A_tier2_on=1,MAX(0,(Q185*G185-1)/(G185-1))*A_kelly,"-")</f>
        <v>-</v>
      </c>
      <c r="S185" s="46" t="str">
        <f>IF(OR(A_bankroll="",A_tier2_on&lt;&gt;1),"-",MIN(A_maxbet,MAX(0,(Q185*G185-1)/(G185-1))*A_kelly*A_bankroll))</f>
        <v>-</v>
      </c>
      <c r="T185" s="51" t="str">
        <f>IF(A_tier2_on=1,M_Sims!M373,"-")</f>
        <v>-</v>
      </c>
      <c r="U185" s="46" t="str">
        <f>IF(OR(A_bankroll="",A_tier2_on&lt;&gt;1),"-",MIN(A_maxbet,M_Sims!M373*A_bankroll))</f>
        <v>-</v>
      </c>
      <c r="V185" s="30">
        <f>M_Sims!H373</f>
        <v>1</v>
      </c>
      <c r="W185" s="6" t="b">
        <f>AND(H185&lt;&gt;"IMPUTED_20C_LADDER",L185&gt;=A_minev,N185&gt;0,V185=1,IF(A185="PLAYOFFS",A_poconf=1,TRUE),IF(AND(A185="WINS",A_zs_on=1),AND(AE185&gt;=A_minev,M_Sims!O373&gt;0),TRUE),AF185&gt;=A_minev,AG185&gt;0,IF(I185&lt;A_longthr,(1-A_shrink)*M_Sims!K373+A_shrink*(I185*G185-1)&gt;=A_minev,TRUE),IF(AND(OR(A185="WINS",A185="PLAYOFFS",LEFT(A185,4)="DIV_"),INDEX(Raw_Teams!$F$8:$F$37,MATCH($C185,Raw_Teams!$A$8:$A$37,0))&lt;A_contthr),AND(((1-A_contshrink)*J185+A_contshrink*I185)*G185-1&gt;=A_minev,(1-A_contshrink)*N185+A_contshrink*(I185*G185-1)&gt;0),TRUE),M_Sims!P373=0)</f>
        <v>0</v>
      </c>
      <c r="X185" s="6" t="s">
        <v>1301</v>
      </c>
      <c r="Y185" s="6" t="s">
        <v>1307</v>
      </c>
      <c r="Z185" s="6">
        <v>290</v>
      </c>
      <c r="AA185" s="7" t="str">
        <f>Sim_Stale</f>
        <v>OK - sims match current assumptions</v>
      </c>
      <c r="AB185" s="13" t="s">
        <v>33</v>
      </c>
      <c r="AC185" s="13" t="s">
        <v>33</v>
      </c>
      <c r="AD185" s="13" t="s">
        <v>33</v>
      </c>
      <c r="AE185" s="13" t="s">
        <v>33</v>
      </c>
      <c r="AF185" s="34">
        <f>Q185*G185-1</f>
        <v>-5.9562168516603786E-2</v>
      </c>
      <c r="AG185" s="34">
        <f>(1-A_shrink)*N185+A_shrink*(I185*G185-1)</f>
        <v>-0.10311216851660376</v>
      </c>
      <c r="AH185" s="6" t="b">
        <f>AND(W185,I185&gt;=A_t1_fair,((1-A_t1_shrink)*J185+A_t1_shrink*I185)*G185-1&gt;=A_minev,(1-A_t1_shrink)*N185+A_t1_shrink*(I185*G185-1)&gt;0,M_Sims!Q373=1)</f>
        <v>0</v>
      </c>
      <c r="AI185" s="18">
        <f>IF(AH185,M_Sims!R373*A_t1_cap/A_t1_engcap,0)</f>
        <v>0</v>
      </c>
      <c r="AJ185" s="46" t="str">
        <f>IF(OR(A_bankroll="",NOT(AH185)),"-",MIN(A_maxbet,AI185*A_bankroll))</f>
        <v>-</v>
      </c>
      <c r="AK185" s="7" t="str">
        <f>IF(AH185,M_Sims!S373,"-")</f>
        <v>-</v>
      </c>
      <c r="AL185" s="51">
        <f>M_Sims!M373</f>
        <v>0</v>
      </c>
      <c r="AM185" s="6" t="str">
        <f>IF(W185,IF(AH185,"Tier 1","Tier 2"),"-")</f>
        <v>-</v>
      </c>
    </row>
    <row r="186" spans="1:39" ht="15" customHeight="1" x14ac:dyDescent="0.3">
      <c r="A186" s="6" t="s">
        <v>292</v>
      </c>
      <c r="B186" s="7" t="str">
        <f>Odds_Input!C299</f>
        <v>Portland Trail Blazers</v>
      </c>
      <c r="C186" s="6" t="s">
        <v>221</v>
      </c>
      <c r="D186" s="7" t="str">
        <f>Odds_Input!D299</f>
        <v>YES</v>
      </c>
      <c r="E186" s="31" t="str">
        <f>Odds_Input!E299</f>
        <v>-</v>
      </c>
      <c r="F186" s="32">
        <f>Odds_Input!F299</f>
        <v>425</v>
      </c>
      <c r="G186" s="36">
        <f>M_DeVig!H299</f>
        <v>5.25</v>
      </c>
      <c r="H186" s="7" t="str">
        <f>Odds_Input!G299</f>
        <v>-</v>
      </c>
      <c r="I186" s="42">
        <f>M_DeVig!Q299</f>
        <v>0.15787138689805008</v>
      </c>
      <c r="J186" s="42">
        <f>INDEX(M_Sims!$J$15:$J$44,MATCH($C186,M_Sims!$A$15:$A$44,0))</f>
        <v>0.22073999999999999</v>
      </c>
      <c r="K186" s="43">
        <f>IF(J186&gt;=0.5,-100*J186/(1-J186),100*(1-J186)/J186)</f>
        <v>353.02165443508204</v>
      </c>
      <c r="L186" s="34">
        <f>J186*G186-1</f>
        <v>0.15888499999999994</v>
      </c>
      <c r="M186" s="38">
        <f>(J186-I186)*100</f>
        <v>6.2868613101949915</v>
      </c>
      <c r="N186" s="42">
        <f>M_Sims!B374</f>
        <v>0.11769</v>
      </c>
      <c r="O186" s="42">
        <f>M_Sims!C374</f>
        <v>0.1991</v>
      </c>
      <c r="P186" s="42">
        <f>M_Sims!D374</f>
        <v>1</v>
      </c>
      <c r="Q186" s="34">
        <f>(1-A_shrink)*J186+A_shrink*I186</f>
        <v>0.18930569344902504</v>
      </c>
      <c r="R186" s="18" t="str">
        <f>IF(A_tier2_on=1,MAX(0,(Q186*G186-1)/(G186-1))*A_kelly,"-")</f>
        <v>-</v>
      </c>
      <c r="S186" s="46" t="str">
        <f>IF(OR(A_bankroll="",A_tier2_on&lt;&gt;1),"-",MIN(A_maxbet,MAX(0,(Q186*G186-1)/(G186-1))*A_kelly*A_bankroll))</f>
        <v>-</v>
      </c>
      <c r="T186" s="51" t="str">
        <f>IF(A_tier2_on=1,M_Sims!M374,"-")</f>
        <v>-</v>
      </c>
      <c r="U186" s="46" t="str">
        <f>IF(OR(A_bankroll="",A_tier2_on&lt;&gt;1),"-",MIN(A_maxbet,M_Sims!M374*A_bankroll))</f>
        <v>-</v>
      </c>
      <c r="V186" s="30">
        <f>M_Sims!H374</f>
        <v>1</v>
      </c>
      <c r="W186" s="6" t="b">
        <f>AND(H186&lt;&gt;"IMPUTED_20C_LADDER",L186&gt;=A_minev,N186&gt;0,V186=1,IF(A186="PLAYOFFS",A_poconf=1,TRUE),IF(AND(A186="WINS",A_zs_on=1),AND(AE186&gt;=A_minev,M_Sims!O374&gt;0),TRUE),AF186&gt;=A_minev,AG186&gt;0,IF(I186&lt;A_longthr,(1-A_shrink)*M_Sims!K374+A_shrink*(I186*G186-1)&gt;=A_minev,TRUE),IF(AND(OR(A186="WINS",A186="PLAYOFFS",LEFT(A186,4)="DIV_"),INDEX(Raw_Teams!$F$8:$F$37,MATCH($C186,Raw_Teams!$A$8:$A$37,0))&lt;A_contthr),AND(((1-A_contshrink)*J186+A_contshrink*I186)*G186-1&gt;=A_minev,(1-A_contshrink)*N186+A_contshrink*(I186*G186-1)&gt;0),TRUE),M_Sims!P374=0)</f>
        <v>0</v>
      </c>
      <c r="X186" s="6" t="s">
        <v>1301</v>
      </c>
      <c r="Y186" s="6" t="s">
        <v>1307</v>
      </c>
      <c r="Z186" s="6">
        <v>291</v>
      </c>
      <c r="AA186" s="7" t="str">
        <f>Sim_Stale</f>
        <v>OK - sims match current assumptions</v>
      </c>
      <c r="AB186" s="13" t="s">
        <v>33</v>
      </c>
      <c r="AC186" s="13" t="s">
        <v>33</v>
      </c>
      <c r="AD186" s="13" t="s">
        <v>33</v>
      </c>
      <c r="AE186" s="13" t="s">
        <v>33</v>
      </c>
      <c r="AF186" s="34">
        <f>Q186*G186-1</f>
        <v>-6.1451093926185862E-3</v>
      </c>
      <c r="AG186" s="34">
        <f>(1-A_shrink)*N186+A_shrink*(I186*G186-1)</f>
        <v>-2.6742609392618556E-2</v>
      </c>
      <c r="AH186" s="6" t="b">
        <f>AND(W186,I186&gt;=A_t1_fair,((1-A_t1_shrink)*J186+A_t1_shrink*I186)*G186-1&gt;=A_minev,(1-A_t1_shrink)*N186+A_t1_shrink*(I186*G186-1)&gt;0,M_Sims!Q374=1)</f>
        <v>0</v>
      </c>
      <c r="AI186" s="18">
        <f>IF(AH186,M_Sims!R374*A_t1_cap/A_t1_engcap,0)</f>
        <v>0</v>
      </c>
      <c r="AJ186" s="46" t="str">
        <f>IF(OR(A_bankroll="",NOT(AH186)),"-",MIN(A_maxbet,AI186*A_bankroll))</f>
        <v>-</v>
      </c>
      <c r="AK186" s="7" t="str">
        <f>IF(AH186,M_Sims!S374,"-")</f>
        <v>-</v>
      </c>
      <c r="AL186" s="51">
        <f>M_Sims!M374</f>
        <v>0</v>
      </c>
      <c r="AM186" s="6" t="str">
        <f>IF(W186,IF(AH186,"Tier 1","Tier 2"),"-")</f>
        <v>-</v>
      </c>
    </row>
    <row r="187" spans="1:39" ht="15" customHeight="1" x14ac:dyDescent="0.3">
      <c r="A187" s="6" t="s">
        <v>292</v>
      </c>
      <c r="B187" s="7" t="str">
        <f>Odds_Input!C300</f>
        <v>Golden State Warriors</v>
      </c>
      <c r="C187" s="6" t="s">
        <v>206</v>
      </c>
      <c r="D187" s="7" t="str">
        <f>Odds_Input!D300</f>
        <v>YES</v>
      </c>
      <c r="E187" s="31" t="str">
        <f>Odds_Input!E300</f>
        <v>-</v>
      </c>
      <c r="F187" s="32">
        <f>Odds_Input!F300</f>
        <v>550</v>
      </c>
      <c r="G187" s="36">
        <f>M_DeVig!H300</f>
        <v>6.5</v>
      </c>
      <c r="H187" s="7" t="str">
        <f>Odds_Input!G300</f>
        <v>-</v>
      </c>
      <c r="I187" s="42">
        <f>M_DeVig!Q300</f>
        <v>0.1234849430127659</v>
      </c>
      <c r="J187" s="42">
        <f>INDEX(M_Sims!$J$15:$J$44,MATCH($C187,M_Sims!$A$15:$A$44,0))</f>
        <v>0.16844999999999999</v>
      </c>
      <c r="K187" s="43">
        <f>IF(J187&gt;=0.5,-100*J187/(1-J187),100*(1-J187)/J187)</f>
        <v>493.64796675571392</v>
      </c>
      <c r="L187" s="34">
        <f>J187*G187-1</f>
        <v>9.4924999999999926E-2</v>
      </c>
      <c r="M187" s="38">
        <f>(J187-I187)*100</f>
        <v>4.4965056987234089</v>
      </c>
      <c r="N187" s="42">
        <f>M_Sims!B375</f>
        <v>4.9056666666666499E-2</v>
      </c>
      <c r="O187" s="42">
        <f>M_Sims!C375</f>
        <v>0.1446933333333334</v>
      </c>
      <c r="P187" s="42">
        <f>M_Sims!D375</f>
        <v>1</v>
      </c>
      <c r="Q187" s="34">
        <f>(1-A_shrink)*J187+A_shrink*I187</f>
        <v>0.14596747150638295</v>
      </c>
      <c r="R187" s="18" t="str">
        <f>IF(A_tier2_on=1,MAX(0,(Q187*G187-1)/(G187-1))*A_kelly,"-")</f>
        <v>-</v>
      </c>
      <c r="S187" s="46" t="str">
        <f>IF(OR(A_bankroll="",A_tier2_on&lt;&gt;1),"-",MIN(A_maxbet,MAX(0,(Q187*G187-1)/(G187-1))*A_kelly*A_bankroll))</f>
        <v>-</v>
      </c>
      <c r="T187" s="51" t="str">
        <f>IF(A_tier2_on=1,M_Sims!M375,"-")</f>
        <v>-</v>
      </c>
      <c r="U187" s="46" t="str">
        <f>IF(OR(A_bankroll="",A_tier2_on&lt;&gt;1),"-",MIN(A_maxbet,M_Sims!M375*A_bankroll))</f>
        <v>-</v>
      </c>
      <c r="V187" s="30">
        <f>M_Sims!H375</f>
        <v>1</v>
      </c>
      <c r="W187" s="6" t="b">
        <f>AND(H187&lt;&gt;"IMPUTED_20C_LADDER",L187&gt;=A_minev,N187&gt;0,V187=1,IF(A187="PLAYOFFS",A_poconf=1,TRUE),IF(AND(A187="WINS",A_zs_on=1),AND(AE187&gt;=A_minev,M_Sims!O375&gt;0),TRUE),AF187&gt;=A_minev,AG187&gt;0,IF(I187&lt;A_longthr,(1-A_shrink)*M_Sims!K375+A_shrink*(I187*G187-1)&gt;=A_minev,TRUE),IF(AND(OR(A187="WINS",A187="PLAYOFFS",LEFT(A187,4)="DIV_"),INDEX(Raw_Teams!$F$8:$F$37,MATCH($C187,Raw_Teams!$A$8:$A$37,0))&lt;A_contthr),AND(((1-A_contshrink)*J187+A_contshrink*I187)*G187-1&gt;=A_minev,(1-A_contshrink)*N187+A_contshrink*(I187*G187-1)&gt;0),TRUE),M_Sims!P375=0)</f>
        <v>0</v>
      </c>
      <c r="X187" s="6" t="s">
        <v>1301</v>
      </c>
      <c r="Y187" s="6" t="s">
        <v>1307</v>
      </c>
      <c r="Z187" s="6">
        <v>292</v>
      </c>
      <c r="AA187" s="7" t="str">
        <f>Sim_Stale</f>
        <v>OK - sims match current assumptions</v>
      </c>
      <c r="AB187" s="13" t="s">
        <v>33</v>
      </c>
      <c r="AC187" s="13" t="s">
        <v>33</v>
      </c>
      <c r="AD187" s="13" t="s">
        <v>33</v>
      </c>
      <c r="AE187" s="13" t="s">
        <v>33</v>
      </c>
      <c r="AF187" s="34">
        <f>Q187*G187-1</f>
        <v>-5.1211435208510792E-2</v>
      </c>
      <c r="AG187" s="34">
        <f>(1-A_shrink)*N187+A_shrink*(I187*G187-1)</f>
        <v>-7.4145601875177561E-2</v>
      </c>
      <c r="AH187" s="6" t="b">
        <f>AND(W187,I187&gt;=A_t1_fair,((1-A_t1_shrink)*J187+A_t1_shrink*I187)*G187-1&gt;=A_minev,(1-A_t1_shrink)*N187+A_t1_shrink*(I187*G187-1)&gt;0,M_Sims!Q375=1)</f>
        <v>0</v>
      </c>
      <c r="AI187" s="18">
        <f>IF(AH187,M_Sims!R375*A_t1_cap/A_t1_engcap,0)</f>
        <v>0</v>
      </c>
      <c r="AJ187" s="46" t="str">
        <f>IF(OR(A_bankroll="",NOT(AH187)),"-",MIN(A_maxbet,AI187*A_bankroll))</f>
        <v>-</v>
      </c>
      <c r="AK187" s="7" t="str">
        <f>IF(AH187,M_Sims!S375,"-")</f>
        <v>-</v>
      </c>
      <c r="AL187" s="51">
        <f>M_Sims!M375</f>
        <v>0</v>
      </c>
      <c r="AM187" s="6" t="str">
        <f>IF(W187,IF(AH187,"Tier 1","Tier 2"),"-")</f>
        <v>-</v>
      </c>
    </row>
    <row r="188" spans="1:39" ht="15" customHeight="1" x14ac:dyDescent="0.3">
      <c r="A188" s="6" t="s">
        <v>292</v>
      </c>
      <c r="B188" s="7" t="str">
        <f>Odds_Input!C301</f>
        <v>Sacramento Kings</v>
      </c>
      <c r="C188" s="6" t="s">
        <v>222</v>
      </c>
      <c r="D188" s="7" t="str">
        <f>Odds_Input!D301</f>
        <v>YES</v>
      </c>
      <c r="E188" s="31" t="str">
        <f>Odds_Input!E301</f>
        <v>-</v>
      </c>
      <c r="F188" s="32">
        <f>Odds_Input!F301</f>
        <v>5000</v>
      </c>
      <c r="G188" s="36">
        <f>M_DeVig!H301</f>
        <v>51</v>
      </c>
      <c r="H188" s="7" t="str">
        <f>Odds_Input!G301</f>
        <v>-</v>
      </c>
      <c r="I188" s="42">
        <f>M_DeVig!Q301</f>
        <v>6.2393512577214117E-3</v>
      </c>
      <c r="J188" s="42">
        <f>INDEX(M_Sims!$J$15:$J$44,MATCH($C188,M_Sims!$A$15:$A$44,0))</f>
        <v>2.4549999999999999E-2</v>
      </c>
      <c r="K188" s="43">
        <f>IF(J188&gt;=0.5,-100*J188/(1-J188),100*(1-J188)/J188)</f>
        <v>3973.3197556008149</v>
      </c>
      <c r="L188" s="34">
        <f>J188*G188-1</f>
        <v>0.25204999999999989</v>
      </c>
      <c r="M188" s="38">
        <f>(J188-I188)*100</f>
        <v>1.8310648742278588</v>
      </c>
      <c r="N188" s="42">
        <f>M_Sims!B376</f>
        <v>-6.7720000000000002E-2</v>
      </c>
      <c r="O188" s="42">
        <f>M_Sims!C376</f>
        <v>0.62656000000000001</v>
      </c>
      <c r="P188" s="42">
        <f>M_Sims!D376</f>
        <v>0.85</v>
      </c>
      <c r="Q188" s="34">
        <f>(1-A_shrink)*J188+A_shrink*I188</f>
        <v>1.5394675628860705E-2</v>
      </c>
      <c r="R188" s="18" t="str">
        <f>IF(A_tier2_on=1,MAX(0,(Q188*G188-1)/(G188-1))*A_kelly,"-")</f>
        <v>-</v>
      </c>
      <c r="S188" s="46" t="str">
        <f>IF(OR(A_bankroll="",A_tier2_on&lt;&gt;1),"-",MIN(A_maxbet,MAX(0,(Q188*G188-1)/(G188-1))*A_kelly*A_bankroll))</f>
        <v>-</v>
      </c>
      <c r="T188" s="51" t="str">
        <f>IF(A_tier2_on=1,M_Sims!M376,"-")</f>
        <v>-</v>
      </c>
      <c r="U188" s="46" t="str">
        <f>IF(OR(A_bankroll="",A_tier2_on&lt;&gt;1),"-",MIN(A_maxbet,M_Sims!M376*A_bankroll))</f>
        <v>-</v>
      </c>
      <c r="V188" s="30">
        <f>M_Sims!H376</f>
        <v>1</v>
      </c>
      <c r="W188" s="6" t="b">
        <f>AND(H188&lt;&gt;"IMPUTED_20C_LADDER",L188&gt;=A_minev,N188&gt;0,V188=1,IF(A188="PLAYOFFS",A_poconf=1,TRUE),IF(AND(A188="WINS",A_zs_on=1),AND(AE188&gt;=A_minev,M_Sims!O376&gt;0),TRUE),AF188&gt;=A_minev,AG188&gt;0,IF(I188&lt;A_longthr,(1-A_shrink)*M_Sims!K376+A_shrink*(I188*G188-1)&gt;=A_minev,TRUE),IF(AND(OR(A188="WINS",A188="PLAYOFFS",LEFT(A188,4)="DIV_"),INDEX(Raw_Teams!$F$8:$F$37,MATCH($C188,Raw_Teams!$A$8:$A$37,0))&lt;A_contthr),AND(((1-A_contshrink)*J188+A_contshrink*I188)*G188-1&gt;=A_minev,(1-A_contshrink)*N188+A_contshrink*(I188*G188-1)&gt;0),TRUE),M_Sims!P376=0)</f>
        <v>0</v>
      </c>
      <c r="X188" s="6" t="s">
        <v>1301</v>
      </c>
      <c r="Y188" s="6" t="s">
        <v>1307</v>
      </c>
      <c r="Z188" s="6">
        <v>293</v>
      </c>
      <c r="AA188" s="7" t="str">
        <f>Sim_Stale</f>
        <v>OK - sims match current assumptions</v>
      </c>
      <c r="AB188" s="13" t="s">
        <v>33</v>
      </c>
      <c r="AC188" s="13" t="s">
        <v>33</v>
      </c>
      <c r="AD188" s="13" t="s">
        <v>33</v>
      </c>
      <c r="AE188" s="13" t="s">
        <v>33</v>
      </c>
      <c r="AF188" s="34">
        <f>Q188*G188-1</f>
        <v>-0.21487154292810406</v>
      </c>
      <c r="AG188" s="34">
        <f>(1-A_shrink)*N188+A_shrink*(I188*G188-1)</f>
        <v>-0.37475654292810401</v>
      </c>
      <c r="AH188" s="6" t="b">
        <f>AND(W188,I188&gt;=A_t1_fair,((1-A_t1_shrink)*J188+A_t1_shrink*I188)*G188-1&gt;=A_minev,(1-A_t1_shrink)*N188+A_t1_shrink*(I188*G188-1)&gt;0,M_Sims!Q376=1)</f>
        <v>0</v>
      </c>
      <c r="AI188" s="18">
        <f>IF(AH188,M_Sims!R376*A_t1_cap/A_t1_engcap,0)</f>
        <v>0</v>
      </c>
      <c r="AJ188" s="46" t="str">
        <f>IF(OR(A_bankroll="",NOT(AH188)),"-",MIN(A_maxbet,AI188*A_bankroll))</f>
        <v>-</v>
      </c>
      <c r="AK188" s="7" t="str">
        <f>IF(AH188,M_Sims!S376,"-")</f>
        <v>-</v>
      </c>
      <c r="AL188" s="51">
        <f>M_Sims!M376</f>
        <v>0</v>
      </c>
      <c r="AM188" s="6" t="str">
        <f>IF(W188,IF(AH188,"Tier 1","Tier 2"),"-")</f>
        <v>-</v>
      </c>
    </row>
    <row r="189" spans="1:39" ht="15" customHeight="1" x14ac:dyDescent="0.3"/>
    <row r="190" spans="1:39" ht="15" customHeight="1" x14ac:dyDescent="0.3">
      <c r="A190" s="48" t="s">
        <v>277</v>
      </c>
      <c r="B190" s="49" t="s">
        <v>1309</v>
      </c>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row>
    <row r="191" spans="1:39" ht="15" customHeight="1" x14ac:dyDescent="0.3">
      <c r="A191" s="6" t="s">
        <v>277</v>
      </c>
      <c r="B191" s="7" t="str">
        <f>Odds_Input!C98</f>
        <v>Atlanta Hawks</v>
      </c>
      <c r="C191" s="6" t="s">
        <v>197</v>
      </c>
      <c r="D191" s="7" t="str">
        <f>Odds_Input!D98</f>
        <v>YES</v>
      </c>
      <c r="E191" s="31" t="str">
        <f>Odds_Input!E98</f>
        <v>-</v>
      </c>
      <c r="F191" s="32">
        <f>Odds_Input!F98</f>
        <v>105</v>
      </c>
      <c r="G191" s="36">
        <f>M_DeVig!H98</f>
        <v>2.0499999999999998</v>
      </c>
      <c r="H191" s="7" t="str">
        <f>Odds_Input!G98</f>
        <v>-</v>
      </c>
      <c r="I191" s="42">
        <f>M_DeVig!Q98</f>
        <v>0.46047732472792824</v>
      </c>
      <c r="J191" s="42">
        <f>SUM(INDEX(M_Sims!$AA$15:$AD$44,MATCH($C191,M_Sims!$A$15:$A$44,0),0))</f>
        <v>0.35591</v>
      </c>
      <c r="K191" s="43">
        <f t="shared" ref="K191:K205" si="44">IF(J191&gt;=0.5,-100*J191/(1-J191),100*(1-J191)/J191)</f>
        <v>180.96990812284005</v>
      </c>
      <c r="L191" s="34">
        <f t="shared" ref="L191:L205" si="45">J191*G191-1</f>
        <v>-0.27038450000000003</v>
      </c>
      <c r="M191" s="38">
        <f t="shared" ref="M191:M205" si="46">(J191-I191)*100</f>
        <v>-10.456732472792824</v>
      </c>
      <c r="N191" s="42">
        <f>M_Sims!B173</f>
        <v>-0.31803333333333339</v>
      </c>
      <c r="O191" s="42">
        <f>M_Sims!C173</f>
        <v>-0.2282023333333332</v>
      </c>
      <c r="P191" s="42">
        <f>M_Sims!D173</f>
        <v>0</v>
      </c>
      <c r="Q191" s="34">
        <f t="shared" ref="Q191:Q205" si="47">(1-A_shrink)*J191+A_shrink*I191</f>
        <v>0.40819366236396415</v>
      </c>
      <c r="R191" s="18" t="str">
        <f t="shared" ref="R191:R205" si="48">IF(A_tier2_on=1,MAX(0,(Q191*G191-1)/(G191-1))*A_kelly,"-")</f>
        <v>-</v>
      </c>
      <c r="S191" s="46" t="str">
        <f t="shared" ref="S191:S205" si="49">IF(OR(A_bankroll="",A_tier2_on&lt;&gt;1),"-",MIN(A_maxbet,MAX(0,(Q191*G191-1)/(G191-1))*A_kelly*A_bankroll))</f>
        <v>-</v>
      </c>
      <c r="T191" s="51" t="str">
        <f>IF(A_tier2_on=1,M_Sims!M173,"-")</f>
        <v>-</v>
      </c>
      <c r="U191" s="46" t="str">
        <f>IF(OR(A_bankroll="",A_tier2_on&lt;&gt;1),"-",MIN(A_maxbet,M_Sims!M173*A_bankroll))</f>
        <v>-</v>
      </c>
      <c r="V191" s="30">
        <f>M_Sims!H173</f>
        <v>1</v>
      </c>
      <c r="W191" s="6" t="b">
        <f>AND(H191&lt;&gt;"IMPUTED_20C_LADDER",L191&gt;=A_minev,N191&gt;0,V191=1,IF(A191="PLAYOFFS",A_poconf=1,TRUE),IF(AND(A191="WINS",A_zs_on=1),AND(AE191&gt;=A_minev,M_Sims!O173&gt;0),TRUE),AF191&gt;=A_minev,AG191&gt;0,IF(I191&lt;A_longthr,(1-A_shrink)*M_Sims!K173+A_shrink*(I191*G191-1)&gt;=A_minev,TRUE),IF(AND(OR(A191="WINS",A191="PLAYOFFS",LEFT(A191,4)="DIV_"),INDEX(Raw_Teams!$F$8:$F$37,MATCH($C191,Raw_Teams!$A$8:$A$37,0))&lt;A_contthr),AND(((1-A_contshrink)*J191+A_contshrink*I191)*G191-1&gt;=A_minev,(1-A_contshrink)*N191+A_contshrink*(I191*G191-1)&gt;0),TRUE),M_Sims!P173=0)</f>
        <v>0</v>
      </c>
      <c r="X191" s="6" t="s">
        <v>1301</v>
      </c>
      <c r="Y191" s="6" t="s">
        <v>1310</v>
      </c>
      <c r="Z191" s="6">
        <v>90</v>
      </c>
      <c r="AA191" s="7" t="str">
        <f t="shared" ref="AA191:AA205" si="50">Sim_Stale</f>
        <v>OK - sims match current assumptions</v>
      </c>
      <c r="AB191" s="13" t="s">
        <v>33</v>
      </c>
      <c r="AC191" s="13" t="s">
        <v>33</v>
      </c>
      <c r="AD191" s="13" t="s">
        <v>33</v>
      </c>
      <c r="AE191" s="13" t="s">
        <v>33</v>
      </c>
      <c r="AF191" s="34">
        <f t="shared" ref="AF191:AF205" si="51">Q191*G191-1</f>
        <v>-0.16320299215387357</v>
      </c>
      <c r="AG191" s="34">
        <f t="shared" ref="AG191:AG205" si="52">(1-A_shrink)*N191+A_shrink*(I191*G191-1)</f>
        <v>-0.18702740882054031</v>
      </c>
      <c r="AH191" s="6" t="b">
        <f>AND(W191,I191&gt;=A_t1_fair,((1-A_t1_shrink)*J191+A_t1_shrink*I191)*G191-1&gt;=A_minev,(1-A_t1_shrink)*N191+A_t1_shrink*(I191*G191-1)&gt;0,M_Sims!Q173=1)</f>
        <v>0</v>
      </c>
      <c r="AI191" s="18">
        <f>IF(AH191,M_Sims!R173*A_t1_cap/A_t1_engcap,0)</f>
        <v>0</v>
      </c>
      <c r="AJ191" s="46" t="str">
        <f t="shared" ref="AJ191:AJ205" si="53">IF(OR(A_bankroll="",NOT(AH191)),"-",MIN(A_maxbet,AI191*A_bankroll))</f>
        <v>-</v>
      </c>
      <c r="AK191" s="7" t="str">
        <f>IF(AH191,M_Sims!S173,"-")</f>
        <v>-</v>
      </c>
      <c r="AL191" s="51">
        <f>M_Sims!M173</f>
        <v>0</v>
      </c>
      <c r="AM191" s="6" t="str">
        <f t="shared" ref="AM191:AM205" si="54">IF(W191,IF(AH191,"Tier 1","Tier 2"),"-")</f>
        <v>-</v>
      </c>
    </row>
    <row r="192" spans="1:39" ht="15" customHeight="1" x14ac:dyDescent="0.3">
      <c r="A192" s="6" t="s">
        <v>277</v>
      </c>
      <c r="B192" s="7" t="str">
        <f>Odds_Input!C99</f>
        <v>Boston Celtics</v>
      </c>
      <c r="C192" s="6" t="s">
        <v>199</v>
      </c>
      <c r="D192" s="7" t="str">
        <f>Odds_Input!D99</f>
        <v>YES</v>
      </c>
      <c r="E192" s="31" t="str">
        <f>Odds_Input!E99</f>
        <v>-</v>
      </c>
      <c r="F192" s="32">
        <f>Odds_Input!F99</f>
        <v>275</v>
      </c>
      <c r="G192" s="36">
        <f>M_DeVig!H99</f>
        <v>3.75</v>
      </c>
      <c r="H192" s="7" t="str">
        <f>Odds_Input!G99</f>
        <v>-</v>
      </c>
      <c r="I192" s="42">
        <f>M_DeVig!Q99</f>
        <v>0.23980959487299572</v>
      </c>
      <c r="J192" s="42">
        <f>SUM(INDEX(M_Sims!$AA$15:$AD$44,MATCH($C192,M_Sims!$A$15:$A$44,0),0))</f>
        <v>0.15623999999999999</v>
      </c>
      <c r="K192" s="43">
        <f t="shared" si="44"/>
        <v>540.04096262160783</v>
      </c>
      <c r="L192" s="34">
        <f t="shared" si="45"/>
        <v>-0.41410000000000002</v>
      </c>
      <c r="M192" s="38">
        <f t="shared" si="46"/>
        <v>-8.3569594872995729</v>
      </c>
      <c r="N192" s="42">
        <f>M_Sims!B174</f>
        <v>-0.48412499999999992</v>
      </c>
      <c r="O192" s="42">
        <f>M_Sims!C174</f>
        <v>-0.34284999999999988</v>
      </c>
      <c r="P192" s="42">
        <f>M_Sims!D174</f>
        <v>0</v>
      </c>
      <c r="Q192" s="34">
        <f t="shared" si="47"/>
        <v>0.19802479743649787</v>
      </c>
      <c r="R192" s="18" t="str">
        <f t="shared" si="48"/>
        <v>-</v>
      </c>
      <c r="S192" s="46" t="str">
        <f t="shared" si="49"/>
        <v>-</v>
      </c>
      <c r="T192" s="51" t="str">
        <f>IF(A_tier2_on=1,M_Sims!M174,"-")</f>
        <v>-</v>
      </c>
      <c r="U192" s="46" t="str">
        <f>IF(OR(A_bankroll="",A_tier2_on&lt;&gt;1),"-",MIN(A_maxbet,M_Sims!M174*A_bankroll))</f>
        <v>-</v>
      </c>
      <c r="V192" s="30">
        <f>M_Sims!H174</f>
        <v>1</v>
      </c>
      <c r="W192" s="6" t="b">
        <f>AND(H192&lt;&gt;"IMPUTED_20C_LADDER",L192&gt;=A_minev,N192&gt;0,V192=1,IF(A192="PLAYOFFS",A_poconf=1,TRUE),IF(AND(A192="WINS",A_zs_on=1),AND(AE192&gt;=A_minev,M_Sims!O174&gt;0),TRUE),AF192&gt;=A_minev,AG192&gt;0,IF(I192&lt;A_longthr,(1-A_shrink)*M_Sims!K174+A_shrink*(I192*G192-1)&gt;=A_minev,TRUE),IF(AND(OR(A192="WINS",A192="PLAYOFFS",LEFT(A192,4)="DIV_"),INDEX(Raw_Teams!$F$8:$F$37,MATCH($C192,Raw_Teams!$A$8:$A$37,0))&lt;A_contthr),AND(((1-A_contshrink)*J192+A_contshrink*I192)*G192-1&gt;=A_minev,(1-A_contshrink)*N192+A_contshrink*(I192*G192-1)&gt;0),TRUE),M_Sims!P174=0)</f>
        <v>0</v>
      </c>
      <c r="X192" s="6" t="s">
        <v>1301</v>
      </c>
      <c r="Y192" s="6" t="s">
        <v>1310</v>
      </c>
      <c r="Z192" s="6">
        <v>91</v>
      </c>
      <c r="AA192" s="7" t="str">
        <f t="shared" si="50"/>
        <v>OK - sims match current assumptions</v>
      </c>
      <c r="AB192" s="13" t="s">
        <v>33</v>
      </c>
      <c r="AC192" s="13" t="s">
        <v>33</v>
      </c>
      <c r="AD192" s="13" t="s">
        <v>33</v>
      </c>
      <c r="AE192" s="13" t="s">
        <v>33</v>
      </c>
      <c r="AF192" s="34">
        <f t="shared" si="51"/>
        <v>-0.25740700961313301</v>
      </c>
      <c r="AG192" s="34">
        <f t="shared" si="52"/>
        <v>-0.29241950961313301</v>
      </c>
      <c r="AH192" s="6" t="b">
        <f>AND(W192,I192&gt;=A_t1_fair,((1-A_t1_shrink)*J192+A_t1_shrink*I192)*G192-1&gt;=A_minev,(1-A_t1_shrink)*N192+A_t1_shrink*(I192*G192-1)&gt;0,M_Sims!Q174=1)</f>
        <v>0</v>
      </c>
      <c r="AI192" s="18">
        <f>IF(AH192,M_Sims!R174*A_t1_cap/A_t1_engcap,0)</f>
        <v>0</v>
      </c>
      <c r="AJ192" s="46" t="str">
        <f t="shared" si="53"/>
        <v>-</v>
      </c>
      <c r="AK192" s="7" t="str">
        <f>IF(AH192,M_Sims!S174,"-")</f>
        <v>-</v>
      </c>
      <c r="AL192" s="51">
        <f>M_Sims!M174</f>
        <v>0</v>
      </c>
      <c r="AM192" s="6" t="str">
        <f t="shared" si="54"/>
        <v>-</v>
      </c>
    </row>
    <row r="193" spans="1:39" ht="15" customHeight="1" x14ac:dyDescent="0.3">
      <c r="A193" s="6" t="s">
        <v>277</v>
      </c>
      <c r="B193" s="7" t="str">
        <f>Odds_Input!C100</f>
        <v>Brooklyn Nets</v>
      </c>
      <c r="C193" s="6" t="s">
        <v>198</v>
      </c>
      <c r="D193" s="7" t="str">
        <f>Odds_Input!D100</f>
        <v>YES</v>
      </c>
      <c r="E193" s="31" t="str">
        <f>Odds_Input!E100</f>
        <v>-</v>
      </c>
      <c r="F193" s="32">
        <f>Odds_Input!F100</f>
        <v>1400</v>
      </c>
      <c r="G193" s="36">
        <f>M_DeVig!H100</f>
        <v>15</v>
      </c>
      <c r="H193" s="7" t="str">
        <f>Odds_Input!G100</f>
        <v>-</v>
      </c>
      <c r="I193" s="42">
        <f>M_DeVig!Q100</f>
        <v>5.3635621349933681E-2</v>
      </c>
      <c r="J193" s="42">
        <f>SUM(INDEX(M_Sims!$AA$15:$AD$44,MATCH($C193,M_Sims!$A$15:$A$44,0),0))</f>
        <v>0.23788000000000001</v>
      </c>
      <c r="K193" s="43">
        <f t="shared" si="44"/>
        <v>320.38002354128133</v>
      </c>
      <c r="L193" s="34">
        <f t="shared" si="45"/>
        <v>2.5682</v>
      </c>
      <c r="M193" s="38">
        <f t="shared" si="46"/>
        <v>18.424437865006631</v>
      </c>
      <c r="N193" s="42">
        <f>M_Sims!B175</f>
        <v>2.3037000000000001</v>
      </c>
      <c r="O193" s="42">
        <f>M_Sims!C175</f>
        <v>2.7080000000000002</v>
      </c>
      <c r="P193" s="42">
        <f>M_Sims!D175</f>
        <v>1</v>
      </c>
      <c r="Q193" s="34">
        <f t="shared" si="47"/>
        <v>0.14575781067496685</v>
      </c>
      <c r="R193" s="18" t="str">
        <f t="shared" si="48"/>
        <v>-</v>
      </c>
      <c r="S193" s="46" t="str">
        <f t="shared" si="49"/>
        <v>-</v>
      </c>
      <c r="T193" s="51" t="str">
        <f>IF(A_tier2_on=1,M_Sims!M175,"-")</f>
        <v>-</v>
      </c>
      <c r="U193" s="46" t="str">
        <f>IF(OR(A_bankroll="",A_tier2_on&lt;&gt;1),"-",MIN(A_maxbet,M_Sims!M175*A_bankroll))</f>
        <v>-</v>
      </c>
      <c r="V193" s="30">
        <f>M_Sims!H175</f>
        <v>1</v>
      </c>
      <c r="W193" s="6" t="b">
        <f>AND(H193&lt;&gt;"IMPUTED_20C_LADDER",L193&gt;=A_minev,N193&gt;0,V193=1,IF(A193="PLAYOFFS",A_poconf=1,TRUE),IF(AND(A193="WINS",A_zs_on=1),AND(AE193&gt;=A_minev,M_Sims!O175&gt;0),TRUE),AF193&gt;=A_minev,AG193&gt;0,IF(I193&lt;A_longthr,(1-A_shrink)*M_Sims!K175+A_shrink*(I193*G193-1)&gt;=A_minev,TRUE),IF(AND(OR(A193="WINS",A193="PLAYOFFS",LEFT(A193,4)="DIV_"),INDEX(Raw_Teams!$F$8:$F$37,MATCH($C193,Raw_Teams!$A$8:$A$37,0))&lt;A_contthr),AND(((1-A_contshrink)*J193+A_contshrink*I193)*G193-1&gt;=A_minev,(1-A_contshrink)*N193+A_contshrink*(I193*G193-1)&gt;0),TRUE),M_Sims!P175=0)</f>
        <v>1</v>
      </c>
      <c r="X193" s="6" t="s">
        <v>1301</v>
      </c>
      <c r="Y193" s="6" t="s">
        <v>1310</v>
      </c>
      <c r="Z193" s="6">
        <v>92</v>
      </c>
      <c r="AA193" s="7" t="str">
        <f t="shared" si="50"/>
        <v>OK - sims match current assumptions</v>
      </c>
      <c r="AB193" s="13" t="s">
        <v>33</v>
      </c>
      <c r="AC193" s="13" t="s">
        <v>33</v>
      </c>
      <c r="AD193" s="13" t="s">
        <v>33</v>
      </c>
      <c r="AE193" s="13" t="s">
        <v>33</v>
      </c>
      <c r="AF193" s="34">
        <f t="shared" si="51"/>
        <v>1.1863671601245027</v>
      </c>
      <c r="AG193" s="34">
        <f t="shared" si="52"/>
        <v>1.0541171601245027</v>
      </c>
      <c r="AH193" s="6" t="b">
        <f>AND(W193,I193&gt;=A_t1_fair,((1-A_t1_shrink)*J193+A_t1_shrink*I193)*G193-1&gt;=A_minev,(1-A_t1_shrink)*N193+A_t1_shrink*(I193*G193-1)&gt;0,M_Sims!Q175=1)</f>
        <v>0</v>
      </c>
      <c r="AI193" s="18">
        <f>IF(AH193,M_Sims!R175*A_t1_cap/A_t1_engcap,0)</f>
        <v>0</v>
      </c>
      <c r="AJ193" s="46" t="str">
        <f t="shared" si="53"/>
        <v>-</v>
      </c>
      <c r="AK193" s="7" t="str">
        <f>IF(AH193,M_Sims!S175,"-")</f>
        <v>-</v>
      </c>
      <c r="AL193" s="51">
        <f>M_Sims!M175</f>
        <v>1.06352447784758E-2</v>
      </c>
      <c r="AM193" s="6" t="str">
        <f t="shared" si="54"/>
        <v>Tier 2</v>
      </c>
    </row>
    <row r="194" spans="1:39" ht="15" customHeight="1" x14ac:dyDescent="0.3">
      <c r="A194" s="6" t="s">
        <v>277</v>
      </c>
      <c r="B194" s="7" t="str">
        <f>Odds_Input!C101</f>
        <v>Charlotte Hornets</v>
      </c>
      <c r="C194" s="6" t="s">
        <v>200</v>
      </c>
      <c r="D194" s="7" t="str">
        <f>Odds_Input!D101</f>
        <v>YES</v>
      </c>
      <c r="E194" s="31" t="str">
        <f>Odds_Input!E101</f>
        <v>-</v>
      </c>
      <c r="F194" s="32">
        <f>Odds_Input!F101</f>
        <v>135</v>
      </c>
      <c r="G194" s="36">
        <f>M_DeVig!H101</f>
        <v>2.35</v>
      </c>
      <c r="H194" s="7" t="str">
        <f>Odds_Input!G101</f>
        <v>-</v>
      </c>
      <c r="I194" s="42">
        <f>M_DeVig!Q101</f>
        <v>0.39731097528332521</v>
      </c>
      <c r="J194" s="42">
        <f>SUM(INDEX(M_Sims!$AA$15:$AD$44,MATCH($C194,M_Sims!$A$15:$A$44,0),0))</f>
        <v>0.35100999999999999</v>
      </c>
      <c r="K194" s="43">
        <f t="shared" si="44"/>
        <v>184.89216831429306</v>
      </c>
      <c r="L194" s="34">
        <f t="shared" si="45"/>
        <v>-0.17512649999999996</v>
      </c>
      <c r="M194" s="38">
        <f t="shared" si="46"/>
        <v>-4.6300975283325219</v>
      </c>
      <c r="N194" s="42">
        <f>M_Sims!B176</f>
        <v>-0.21560133333333331</v>
      </c>
      <c r="O194" s="42">
        <f>M_Sims!C176</f>
        <v>-0.140511</v>
      </c>
      <c r="P194" s="42">
        <f>M_Sims!D176</f>
        <v>0</v>
      </c>
      <c r="Q194" s="34">
        <f t="shared" si="47"/>
        <v>0.3741604876416626</v>
      </c>
      <c r="R194" s="18" t="str">
        <f t="shared" si="48"/>
        <v>-</v>
      </c>
      <c r="S194" s="46" t="str">
        <f t="shared" si="49"/>
        <v>-</v>
      </c>
      <c r="T194" s="51" t="str">
        <f>IF(A_tier2_on=1,M_Sims!M176,"-")</f>
        <v>-</v>
      </c>
      <c r="U194" s="46" t="str">
        <f>IF(OR(A_bankroll="",A_tier2_on&lt;&gt;1),"-",MIN(A_maxbet,M_Sims!M176*A_bankroll))</f>
        <v>-</v>
      </c>
      <c r="V194" s="30">
        <f>M_Sims!H176</f>
        <v>1</v>
      </c>
      <c r="W194" s="6" t="b">
        <f>AND(H194&lt;&gt;"IMPUTED_20C_LADDER",L194&gt;=A_minev,N194&gt;0,V194=1,IF(A194="PLAYOFFS",A_poconf=1,TRUE),IF(AND(A194="WINS",A_zs_on=1),AND(AE194&gt;=A_minev,M_Sims!O176&gt;0),TRUE),AF194&gt;=A_minev,AG194&gt;0,IF(I194&lt;A_longthr,(1-A_shrink)*M_Sims!K176+A_shrink*(I194*G194-1)&gt;=A_minev,TRUE),IF(AND(OR(A194="WINS",A194="PLAYOFFS",LEFT(A194,4)="DIV_"),INDEX(Raw_Teams!$F$8:$F$37,MATCH($C194,Raw_Teams!$A$8:$A$37,0))&lt;A_contthr),AND(((1-A_contshrink)*J194+A_contshrink*I194)*G194-1&gt;=A_minev,(1-A_contshrink)*N194+A_contshrink*(I194*G194-1)&gt;0),TRUE),M_Sims!P176=0)</f>
        <v>0</v>
      </c>
      <c r="X194" s="6" t="s">
        <v>1301</v>
      </c>
      <c r="Y194" s="6" t="s">
        <v>1310</v>
      </c>
      <c r="Z194" s="6">
        <v>93</v>
      </c>
      <c r="AA194" s="7" t="str">
        <f t="shared" si="50"/>
        <v>OK - sims match current assumptions</v>
      </c>
      <c r="AB194" s="13" t="s">
        <v>33</v>
      </c>
      <c r="AC194" s="13" t="s">
        <v>33</v>
      </c>
      <c r="AD194" s="13" t="s">
        <v>33</v>
      </c>
      <c r="AE194" s="13" t="s">
        <v>33</v>
      </c>
      <c r="AF194" s="34">
        <f t="shared" si="51"/>
        <v>-0.12072285404209282</v>
      </c>
      <c r="AG194" s="34">
        <f t="shared" si="52"/>
        <v>-0.14096027070875949</v>
      </c>
      <c r="AH194" s="6" t="b">
        <f>AND(W194,I194&gt;=A_t1_fair,((1-A_t1_shrink)*J194+A_t1_shrink*I194)*G194-1&gt;=A_minev,(1-A_t1_shrink)*N194+A_t1_shrink*(I194*G194-1)&gt;0,M_Sims!Q176=1)</f>
        <v>0</v>
      </c>
      <c r="AI194" s="18">
        <f>IF(AH194,M_Sims!R176*A_t1_cap/A_t1_engcap,0)</f>
        <v>0</v>
      </c>
      <c r="AJ194" s="46" t="str">
        <f t="shared" si="53"/>
        <v>-</v>
      </c>
      <c r="AK194" s="7" t="str">
        <f>IF(AH194,M_Sims!S176,"-")</f>
        <v>-</v>
      </c>
      <c r="AL194" s="51">
        <f>M_Sims!M176</f>
        <v>0</v>
      </c>
      <c r="AM194" s="6" t="str">
        <f t="shared" si="54"/>
        <v>-</v>
      </c>
    </row>
    <row r="195" spans="1:39" ht="15" customHeight="1" x14ac:dyDescent="0.3">
      <c r="A195" s="6" t="s">
        <v>277</v>
      </c>
      <c r="B195" s="7" t="str">
        <f>Odds_Input!C102</f>
        <v>Chicago Bulls</v>
      </c>
      <c r="C195" s="6" t="s">
        <v>201</v>
      </c>
      <c r="D195" s="7" t="str">
        <f>Odds_Input!D102</f>
        <v>YES</v>
      </c>
      <c r="E195" s="31" t="str">
        <f>Odds_Input!E102</f>
        <v>-</v>
      </c>
      <c r="F195" s="32">
        <f>Odds_Input!F102</f>
        <v>800</v>
      </c>
      <c r="G195" s="36">
        <f>M_DeVig!H102</f>
        <v>9</v>
      </c>
      <c r="H195" s="7" t="str">
        <f>Odds_Input!G102</f>
        <v>-</v>
      </c>
      <c r="I195" s="42">
        <f>M_DeVig!Q102</f>
        <v>9.3136391133908231E-2</v>
      </c>
      <c r="J195" s="42">
        <f>SUM(INDEX(M_Sims!$AA$15:$AD$44,MATCH($C195,M_Sims!$A$15:$A$44,0),0))</f>
        <v>0.25402999999999998</v>
      </c>
      <c r="K195" s="43">
        <f t="shared" si="44"/>
        <v>293.65429280006305</v>
      </c>
      <c r="L195" s="34">
        <f t="shared" si="45"/>
        <v>1.28627</v>
      </c>
      <c r="M195" s="38">
        <f t="shared" si="46"/>
        <v>16.089360886609175</v>
      </c>
      <c r="N195" s="42">
        <f>M_Sims!B177</f>
        <v>0.87140000000000017</v>
      </c>
      <c r="O195" s="42">
        <f>M_Sims!C177</f>
        <v>1.6649</v>
      </c>
      <c r="P195" s="42">
        <f>M_Sims!D177</f>
        <v>1</v>
      </c>
      <c r="Q195" s="34">
        <f t="shared" si="47"/>
        <v>0.17358319556695412</v>
      </c>
      <c r="R195" s="18" t="str">
        <f t="shared" si="48"/>
        <v>-</v>
      </c>
      <c r="S195" s="46" t="str">
        <f t="shared" si="49"/>
        <v>-</v>
      </c>
      <c r="T195" s="51" t="str">
        <f>IF(A_tier2_on=1,M_Sims!M177,"-")</f>
        <v>-</v>
      </c>
      <c r="U195" s="46" t="str">
        <f>IF(OR(A_bankroll="",A_tier2_on&lt;&gt;1),"-",MIN(A_maxbet,M_Sims!M177*A_bankroll))</f>
        <v>-</v>
      </c>
      <c r="V195" s="30">
        <f>M_Sims!H177</f>
        <v>1</v>
      </c>
      <c r="W195" s="6" t="b">
        <f>AND(H195&lt;&gt;"IMPUTED_20C_LADDER",L195&gt;=A_minev,N195&gt;0,V195=1,IF(A195="PLAYOFFS",A_poconf=1,TRUE),IF(AND(A195="WINS",A_zs_on=1),AND(AE195&gt;=A_minev,M_Sims!O177&gt;0),TRUE),AF195&gt;=A_minev,AG195&gt;0,IF(I195&lt;A_longthr,(1-A_shrink)*M_Sims!K177+A_shrink*(I195*G195-1)&gt;=A_minev,TRUE),IF(AND(OR(A195="WINS",A195="PLAYOFFS",LEFT(A195,4)="DIV_"),INDEX(Raw_Teams!$F$8:$F$37,MATCH($C195,Raw_Teams!$A$8:$A$37,0))&lt;A_contthr),AND(((1-A_contshrink)*J195+A_contshrink*I195)*G195-1&gt;=A_minev,(1-A_contshrink)*N195+A_contshrink*(I195*G195-1)&gt;0),TRUE),M_Sims!P177=0)</f>
        <v>1</v>
      </c>
      <c r="X195" s="6" t="s">
        <v>1301</v>
      </c>
      <c r="Y195" s="6" t="s">
        <v>1310</v>
      </c>
      <c r="Z195" s="6">
        <v>94</v>
      </c>
      <c r="AA195" s="7" t="str">
        <f t="shared" si="50"/>
        <v>OK - sims match current assumptions</v>
      </c>
      <c r="AB195" s="13" t="s">
        <v>33</v>
      </c>
      <c r="AC195" s="13" t="s">
        <v>33</v>
      </c>
      <c r="AD195" s="13" t="s">
        <v>33</v>
      </c>
      <c r="AE195" s="13" t="s">
        <v>33</v>
      </c>
      <c r="AF195" s="34">
        <f t="shared" si="51"/>
        <v>0.56224876010258695</v>
      </c>
      <c r="AG195" s="34">
        <f t="shared" si="52"/>
        <v>0.35481376010258714</v>
      </c>
      <c r="AH195" s="6" t="b">
        <f>AND(W195,I195&gt;=A_t1_fair,((1-A_t1_shrink)*J195+A_t1_shrink*I195)*G195-1&gt;=A_minev,(1-A_t1_shrink)*N195+A_t1_shrink*(I195*G195-1)&gt;0,M_Sims!Q177=1)</f>
        <v>1</v>
      </c>
      <c r="AI195" s="18">
        <f>IF(AH195,M_Sims!R177*A_t1_cap/A_t1_engcap,0)</f>
        <v>6.1219400545634997E-3</v>
      </c>
      <c r="AJ195" s="46" t="str">
        <f t="shared" si="53"/>
        <v>-</v>
      </c>
      <c r="AK195" s="7" t="str">
        <f>IF(AH195,M_Sims!S177,"-")</f>
        <v>Rob Dillingham gone (644 min at -7.3 BPM last year; +1.3 SRS)</v>
      </c>
      <c r="AL195" s="51">
        <f>M_Sims!M177</f>
        <v>7.7874567743248004E-3</v>
      </c>
      <c r="AM195" s="6" t="str">
        <f t="shared" si="54"/>
        <v>Tier 1</v>
      </c>
    </row>
    <row r="196" spans="1:39" ht="15" customHeight="1" x14ac:dyDescent="0.3">
      <c r="A196" s="6" t="s">
        <v>277</v>
      </c>
      <c r="B196" s="7" t="str">
        <f>Odds_Input!C103</f>
        <v>Cleveland Cavaliers</v>
      </c>
      <c r="C196" s="6" t="s">
        <v>202</v>
      </c>
      <c r="D196" s="7" t="str">
        <f>Odds_Input!D103</f>
        <v>YES</v>
      </c>
      <c r="E196" s="31" t="str">
        <f>Odds_Input!E103</f>
        <v>-</v>
      </c>
      <c r="F196" s="32">
        <f>Odds_Input!F103</f>
        <v>225</v>
      </c>
      <c r="G196" s="36">
        <f>M_DeVig!H103</f>
        <v>3.25</v>
      </c>
      <c r="H196" s="7" t="str">
        <f>Odds_Input!G103</f>
        <v>-</v>
      </c>
      <c r="I196" s="42">
        <f>M_DeVig!Q103</f>
        <v>0.27990183611171304</v>
      </c>
      <c r="J196" s="42">
        <f>SUM(INDEX(M_Sims!$AA$15:$AD$44,MATCH($C196,M_Sims!$A$15:$A$44,0),0))</f>
        <v>0.25768000000000002</v>
      </c>
      <c r="K196" s="43">
        <f t="shared" si="44"/>
        <v>288.07823657249298</v>
      </c>
      <c r="L196" s="34">
        <f t="shared" si="45"/>
        <v>-0.16253999999999991</v>
      </c>
      <c r="M196" s="38">
        <f t="shared" si="46"/>
        <v>-2.2221836111713023</v>
      </c>
      <c r="N196" s="42">
        <f>M_Sims!B178</f>
        <v>-0.21737833333333331</v>
      </c>
      <c r="O196" s="42">
        <f>M_Sims!C178</f>
        <v>-7.1171666666666702E-2</v>
      </c>
      <c r="P196" s="42">
        <f>M_Sims!D178</f>
        <v>0</v>
      </c>
      <c r="Q196" s="34">
        <f t="shared" si="47"/>
        <v>0.26879091805585653</v>
      </c>
      <c r="R196" s="18" t="str">
        <f t="shared" si="48"/>
        <v>-</v>
      </c>
      <c r="S196" s="46" t="str">
        <f t="shared" si="49"/>
        <v>-</v>
      </c>
      <c r="T196" s="51" t="str">
        <f>IF(A_tier2_on=1,M_Sims!M178,"-")</f>
        <v>-</v>
      </c>
      <c r="U196" s="46" t="str">
        <f>IF(OR(A_bankroll="",A_tier2_on&lt;&gt;1),"-",MIN(A_maxbet,M_Sims!M178*A_bankroll))</f>
        <v>-</v>
      </c>
      <c r="V196" s="30">
        <f>M_Sims!H178</f>
        <v>1</v>
      </c>
      <c r="W196" s="6" t="b">
        <f>AND(H196&lt;&gt;"IMPUTED_20C_LADDER",L196&gt;=A_minev,N196&gt;0,V196=1,IF(A196="PLAYOFFS",A_poconf=1,TRUE),IF(AND(A196="WINS",A_zs_on=1),AND(AE196&gt;=A_minev,M_Sims!O178&gt;0),TRUE),AF196&gt;=A_minev,AG196&gt;0,IF(I196&lt;A_longthr,(1-A_shrink)*M_Sims!K178+A_shrink*(I196*G196-1)&gt;=A_minev,TRUE),IF(AND(OR(A196="WINS",A196="PLAYOFFS",LEFT(A196,4)="DIV_"),INDEX(Raw_Teams!$F$8:$F$37,MATCH($C196,Raw_Teams!$A$8:$A$37,0))&lt;A_contthr),AND(((1-A_contshrink)*J196+A_contshrink*I196)*G196-1&gt;=A_minev,(1-A_contshrink)*N196+A_contshrink*(I196*G196-1)&gt;0),TRUE),M_Sims!P178=0)</f>
        <v>0</v>
      </c>
      <c r="X196" s="6" t="s">
        <v>1301</v>
      </c>
      <c r="Y196" s="6" t="s">
        <v>1310</v>
      </c>
      <c r="Z196" s="6">
        <v>95</v>
      </c>
      <c r="AA196" s="7" t="str">
        <f t="shared" si="50"/>
        <v>OK - sims match current assumptions</v>
      </c>
      <c r="AB196" s="13" t="s">
        <v>33</v>
      </c>
      <c r="AC196" s="13" t="s">
        <v>33</v>
      </c>
      <c r="AD196" s="13" t="s">
        <v>33</v>
      </c>
      <c r="AE196" s="13" t="s">
        <v>33</v>
      </c>
      <c r="AF196" s="34">
        <f t="shared" si="51"/>
        <v>-0.12642951631846633</v>
      </c>
      <c r="AG196" s="34">
        <f t="shared" si="52"/>
        <v>-0.15384868298513299</v>
      </c>
      <c r="AH196" s="6" t="b">
        <f>AND(W196,I196&gt;=A_t1_fair,((1-A_t1_shrink)*J196+A_t1_shrink*I196)*G196-1&gt;=A_minev,(1-A_t1_shrink)*N196+A_t1_shrink*(I196*G196-1)&gt;0,M_Sims!Q178=1)</f>
        <v>0</v>
      </c>
      <c r="AI196" s="18">
        <f>IF(AH196,M_Sims!R178*A_t1_cap/A_t1_engcap,0)</f>
        <v>0</v>
      </c>
      <c r="AJ196" s="46" t="str">
        <f t="shared" si="53"/>
        <v>-</v>
      </c>
      <c r="AK196" s="7" t="str">
        <f>IF(AH196,M_Sims!S178,"-")</f>
        <v>-</v>
      </c>
      <c r="AL196" s="51">
        <f>M_Sims!M178</f>
        <v>0</v>
      </c>
      <c r="AM196" s="6" t="str">
        <f t="shared" si="54"/>
        <v>-</v>
      </c>
    </row>
    <row r="197" spans="1:39" ht="15" customHeight="1" x14ac:dyDescent="0.3">
      <c r="A197" s="6" t="s">
        <v>277</v>
      </c>
      <c r="B197" s="7" t="str">
        <f>Odds_Input!C104</f>
        <v>Detroit Pistons</v>
      </c>
      <c r="C197" s="6" t="s">
        <v>205</v>
      </c>
      <c r="D197" s="7" t="str">
        <f>Odds_Input!D104</f>
        <v>YES</v>
      </c>
      <c r="E197" s="31" t="str">
        <f>Odds_Input!E104</f>
        <v>-</v>
      </c>
      <c r="F197" s="32">
        <f>Odds_Input!F104</f>
        <v>300</v>
      </c>
      <c r="G197" s="36">
        <f>M_DeVig!H104</f>
        <v>4</v>
      </c>
      <c r="H197" s="7" t="str">
        <f>Odds_Input!G104</f>
        <v>-</v>
      </c>
      <c r="I197" s="42">
        <f>M_DeVig!Q104</f>
        <v>0.22365919669869488</v>
      </c>
      <c r="J197" s="42">
        <f>SUM(INDEX(M_Sims!$AA$15:$AD$44,MATCH($C197,M_Sims!$A$15:$A$44,0),0))</f>
        <v>0.24772999999999998</v>
      </c>
      <c r="K197" s="43">
        <f t="shared" si="44"/>
        <v>303.66528074920279</v>
      </c>
      <c r="L197" s="34">
        <f t="shared" si="45"/>
        <v>-9.080000000000088E-3</v>
      </c>
      <c r="M197" s="38">
        <f t="shared" si="46"/>
        <v>2.4070803301305093</v>
      </c>
      <c r="N197" s="42">
        <f>M_Sims!B179</f>
        <v>-5.9253333333333297E-2</v>
      </c>
      <c r="O197" s="42">
        <f>M_Sims!C179</f>
        <v>3.0933333333332002E-3</v>
      </c>
      <c r="P197" s="42">
        <f>M_Sims!D179</f>
        <v>0.1166666666666666</v>
      </c>
      <c r="Q197" s="34">
        <f t="shared" si="47"/>
        <v>0.23569459834934742</v>
      </c>
      <c r="R197" s="18" t="str">
        <f t="shared" si="48"/>
        <v>-</v>
      </c>
      <c r="S197" s="46" t="str">
        <f t="shared" si="49"/>
        <v>-</v>
      </c>
      <c r="T197" s="51" t="str">
        <f>IF(A_tier2_on=1,M_Sims!M179,"-")</f>
        <v>-</v>
      </c>
      <c r="U197" s="46" t="str">
        <f>IF(OR(A_bankroll="",A_tier2_on&lt;&gt;1),"-",MIN(A_maxbet,M_Sims!M179*A_bankroll))</f>
        <v>-</v>
      </c>
      <c r="V197" s="30">
        <f>M_Sims!H179</f>
        <v>1</v>
      </c>
      <c r="W197" s="6" t="b">
        <f>AND(H197&lt;&gt;"IMPUTED_20C_LADDER",L197&gt;=A_minev,N197&gt;0,V197=1,IF(A197="PLAYOFFS",A_poconf=1,TRUE),IF(AND(A197="WINS",A_zs_on=1),AND(AE197&gt;=A_minev,M_Sims!O179&gt;0),TRUE),AF197&gt;=A_minev,AG197&gt;0,IF(I197&lt;A_longthr,(1-A_shrink)*M_Sims!K179+A_shrink*(I197*G197-1)&gt;=A_minev,TRUE),IF(AND(OR(A197="WINS",A197="PLAYOFFS",LEFT(A197,4)="DIV_"),INDEX(Raw_Teams!$F$8:$F$37,MATCH($C197,Raw_Teams!$A$8:$A$37,0))&lt;A_contthr),AND(((1-A_contshrink)*J197+A_contshrink*I197)*G197-1&gt;=A_minev,(1-A_contshrink)*N197+A_contshrink*(I197*G197-1)&gt;0),TRUE),M_Sims!P179=0)</f>
        <v>0</v>
      </c>
      <c r="X197" s="6" t="s">
        <v>1301</v>
      </c>
      <c r="Y197" s="6" t="s">
        <v>1310</v>
      </c>
      <c r="Z197" s="6">
        <v>96</v>
      </c>
      <c r="AA197" s="7" t="str">
        <f t="shared" si="50"/>
        <v>OK - sims match current assumptions</v>
      </c>
      <c r="AB197" s="13" t="s">
        <v>33</v>
      </c>
      <c r="AC197" s="13" t="s">
        <v>33</v>
      </c>
      <c r="AD197" s="13" t="s">
        <v>33</v>
      </c>
      <c r="AE197" s="13" t="s">
        <v>33</v>
      </c>
      <c r="AF197" s="34">
        <f t="shared" si="51"/>
        <v>-5.7221606602610331E-2</v>
      </c>
      <c r="AG197" s="34">
        <f t="shared" si="52"/>
        <v>-8.230827326927688E-2</v>
      </c>
      <c r="AH197" s="6" t="b">
        <f>AND(W197,I197&gt;=A_t1_fair,((1-A_t1_shrink)*J197+A_t1_shrink*I197)*G197-1&gt;=A_minev,(1-A_t1_shrink)*N197+A_t1_shrink*(I197*G197-1)&gt;0,M_Sims!Q179=1)</f>
        <v>0</v>
      </c>
      <c r="AI197" s="18">
        <f>IF(AH197,M_Sims!R179*A_t1_cap/A_t1_engcap,0)</f>
        <v>0</v>
      </c>
      <c r="AJ197" s="46" t="str">
        <f t="shared" si="53"/>
        <v>-</v>
      </c>
      <c r="AK197" s="7" t="str">
        <f>IF(AH197,M_Sims!S179,"-")</f>
        <v>-</v>
      </c>
      <c r="AL197" s="51">
        <f>M_Sims!M179</f>
        <v>0</v>
      </c>
      <c r="AM197" s="6" t="str">
        <f t="shared" si="54"/>
        <v>-</v>
      </c>
    </row>
    <row r="198" spans="1:39" ht="15" customHeight="1" x14ac:dyDescent="0.3">
      <c r="A198" s="6" t="s">
        <v>277</v>
      </c>
      <c r="B198" s="7" t="str">
        <f>Odds_Input!C105</f>
        <v>Indiana Pacers</v>
      </c>
      <c r="C198" s="6" t="s">
        <v>208</v>
      </c>
      <c r="D198" s="7" t="str">
        <f>Odds_Input!D105</f>
        <v>YES</v>
      </c>
      <c r="E198" s="31" t="str">
        <f>Odds_Input!E105</f>
        <v>-</v>
      </c>
      <c r="F198" s="32">
        <f>Odds_Input!F105</f>
        <v>135</v>
      </c>
      <c r="G198" s="36">
        <f>M_DeVig!H105</f>
        <v>2.35</v>
      </c>
      <c r="H198" s="7" t="str">
        <f>Odds_Input!G105</f>
        <v>-</v>
      </c>
      <c r="I198" s="42">
        <f>M_DeVig!Q105</f>
        <v>0.39731097528332521</v>
      </c>
      <c r="J198" s="42">
        <f>SUM(INDEX(M_Sims!$AA$15:$AD$44,MATCH($C198,M_Sims!$A$15:$A$44,0),0))</f>
        <v>0.33904000000000001</v>
      </c>
      <c r="K198" s="43">
        <f t="shared" si="44"/>
        <v>194.95044832468145</v>
      </c>
      <c r="L198" s="34">
        <f t="shared" si="45"/>
        <v>-0.20325599999999999</v>
      </c>
      <c r="M198" s="38">
        <f t="shared" si="46"/>
        <v>-5.8270975283325201</v>
      </c>
      <c r="N198" s="42">
        <f>M_Sims!B180</f>
        <v>-0.22905900000000001</v>
      </c>
      <c r="O198" s="42">
        <f>M_Sims!C180</f>
        <v>-0.1535769999999998</v>
      </c>
      <c r="P198" s="42">
        <f>M_Sims!D180</f>
        <v>0</v>
      </c>
      <c r="Q198" s="34">
        <f t="shared" si="47"/>
        <v>0.36817548764166264</v>
      </c>
      <c r="R198" s="18" t="str">
        <f t="shared" si="48"/>
        <v>-</v>
      </c>
      <c r="S198" s="46" t="str">
        <f t="shared" si="49"/>
        <v>-</v>
      </c>
      <c r="T198" s="51" t="str">
        <f>IF(A_tier2_on=1,M_Sims!M180,"-")</f>
        <v>-</v>
      </c>
      <c r="U198" s="46" t="str">
        <f>IF(OR(A_bankroll="",A_tier2_on&lt;&gt;1),"-",MIN(A_maxbet,M_Sims!M180*A_bankroll))</f>
        <v>-</v>
      </c>
      <c r="V198" s="30">
        <f>M_Sims!H180</f>
        <v>1</v>
      </c>
      <c r="W198" s="6" t="b">
        <f>AND(H198&lt;&gt;"IMPUTED_20C_LADDER",L198&gt;=A_minev,N198&gt;0,V198=1,IF(A198="PLAYOFFS",A_poconf=1,TRUE),IF(AND(A198="WINS",A_zs_on=1),AND(AE198&gt;=A_minev,M_Sims!O180&gt;0),TRUE),AF198&gt;=A_minev,AG198&gt;0,IF(I198&lt;A_longthr,(1-A_shrink)*M_Sims!K180+A_shrink*(I198*G198-1)&gt;=A_minev,TRUE),IF(AND(OR(A198="WINS",A198="PLAYOFFS",LEFT(A198,4)="DIV_"),INDEX(Raw_Teams!$F$8:$F$37,MATCH($C198,Raw_Teams!$A$8:$A$37,0))&lt;A_contthr),AND(((1-A_contshrink)*J198+A_contshrink*I198)*G198-1&gt;=A_minev,(1-A_contshrink)*N198+A_contshrink*(I198*G198-1)&gt;0),TRUE),M_Sims!P180=0)</f>
        <v>0</v>
      </c>
      <c r="X198" s="6" t="s">
        <v>1301</v>
      </c>
      <c r="Y198" s="6" t="s">
        <v>1310</v>
      </c>
      <c r="Z198" s="6">
        <v>97</v>
      </c>
      <c r="AA198" s="7" t="str">
        <f t="shared" si="50"/>
        <v>OK - sims match current assumptions</v>
      </c>
      <c r="AB198" s="13" t="s">
        <v>33</v>
      </c>
      <c r="AC198" s="13" t="s">
        <v>33</v>
      </c>
      <c r="AD198" s="13" t="s">
        <v>33</v>
      </c>
      <c r="AE198" s="13" t="s">
        <v>33</v>
      </c>
      <c r="AF198" s="34">
        <f t="shared" si="51"/>
        <v>-0.13478760404209278</v>
      </c>
      <c r="AG198" s="34">
        <f t="shared" si="52"/>
        <v>-0.14768910404209284</v>
      </c>
      <c r="AH198" s="6" t="b">
        <f>AND(W198,I198&gt;=A_t1_fair,((1-A_t1_shrink)*J198+A_t1_shrink*I198)*G198-1&gt;=A_minev,(1-A_t1_shrink)*N198+A_t1_shrink*(I198*G198-1)&gt;0,M_Sims!Q180=1)</f>
        <v>0</v>
      </c>
      <c r="AI198" s="18">
        <f>IF(AH198,M_Sims!R180*A_t1_cap/A_t1_engcap,0)</f>
        <v>0</v>
      </c>
      <c r="AJ198" s="46" t="str">
        <f t="shared" si="53"/>
        <v>-</v>
      </c>
      <c r="AK198" s="7" t="str">
        <f>IF(AH198,M_Sims!S180,"-")</f>
        <v>-</v>
      </c>
      <c r="AL198" s="51">
        <f>M_Sims!M180</f>
        <v>0</v>
      </c>
      <c r="AM198" s="6" t="str">
        <f t="shared" si="54"/>
        <v>-</v>
      </c>
    </row>
    <row r="199" spans="1:39" ht="15" customHeight="1" x14ac:dyDescent="0.3">
      <c r="A199" s="6" t="s">
        <v>277</v>
      </c>
      <c r="B199" s="7" t="str">
        <f>Odds_Input!C106</f>
        <v>Miami Heat</v>
      </c>
      <c r="C199" s="6" t="s">
        <v>212</v>
      </c>
      <c r="D199" s="7" t="str">
        <f>Odds_Input!D106</f>
        <v>YES</v>
      </c>
      <c r="E199" s="31" t="str">
        <f>Odds_Input!E106</f>
        <v>-</v>
      </c>
      <c r="F199" s="32">
        <f>Odds_Input!F106</f>
        <v>175</v>
      </c>
      <c r="G199" s="36">
        <f>M_DeVig!H106</f>
        <v>2.75</v>
      </c>
      <c r="H199" s="7" t="str">
        <f>Odds_Input!G106</f>
        <v>-</v>
      </c>
      <c r="I199" s="42">
        <f>M_DeVig!Q106</f>
        <v>0.33526110857725949</v>
      </c>
      <c r="J199" s="42">
        <f>SUM(INDEX(M_Sims!$AA$15:$AD$44,MATCH($C199,M_Sims!$A$15:$A$44,0),0))</f>
        <v>0.34280999999999995</v>
      </c>
      <c r="K199" s="43">
        <f t="shared" si="44"/>
        <v>191.70677634841462</v>
      </c>
      <c r="L199" s="34">
        <f t="shared" si="45"/>
        <v>-5.727250000000017E-2</v>
      </c>
      <c r="M199" s="38">
        <f t="shared" si="46"/>
        <v>0.75488914227404558</v>
      </c>
      <c r="N199" s="42">
        <f>M_Sims!B181</f>
        <v>-0.10659833333333329</v>
      </c>
      <c r="O199" s="42">
        <f>M_Sims!C181</f>
        <v>2.3201666666666499E-2</v>
      </c>
      <c r="P199" s="42">
        <f>M_Sims!D181</f>
        <v>0.15</v>
      </c>
      <c r="Q199" s="34">
        <f t="shared" si="47"/>
        <v>0.33903555428862975</v>
      </c>
      <c r="R199" s="18" t="str">
        <f t="shared" si="48"/>
        <v>-</v>
      </c>
      <c r="S199" s="46" t="str">
        <f t="shared" si="49"/>
        <v>-</v>
      </c>
      <c r="T199" s="51" t="str">
        <f>IF(A_tier2_on=1,M_Sims!M181,"-")</f>
        <v>-</v>
      </c>
      <c r="U199" s="46" t="str">
        <f>IF(OR(A_bankroll="",A_tier2_on&lt;&gt;1),"-",MIN(A_maxbet,M_Sims!M181*A_bankroll))</f>
        <v>-</v>
      </c>
      <c r="V199" s="30">
        <f>M_Sims!H181</f>
        <v>1</v>
      </c>
      <c r="W199" s="6" t="b">
        <f>AND(H199&lt;&gt;"IMPUTED_20C_LADDER",L199&gt;=A_minev,N199&gt;0,V199=1,IF(A199="PLAYOFFS",A_poconf=1,TRUE),IF(AND(A199="WINS",A_zs_on=1),AND(AE199&gt;=A_minev,M_Sims!O181&gt;0),TRUE),AF199&gt;=A_minev,AG199&gt;0,IF(I199&lt;A_longthr,(1-A_shrink)*M_Sims!K181+A_shrink*(I199*G199-1)&gt;=A_minev,TRUE),IF(AND(OR(A199="WINS",A199="PLAYOFFS",LEFT(A199,4)="DIV_"),INDEX(Raw_Teams!$F$8:$F$37,MATCH($C199,Raw_Teams!$A$8:$A$37,0))&lt;A_contthr),AND(((1-A_contshrink)*J199+A_contshrink*I199)*G199-1&gt;=A_minev,(1-A_contshrink)*N199+A_contshrink*(I199*G199-1)&gt;0),TRUE),M_Sims!P181=0)</f>
        <v>0</v>
      </c>
      <c r="X199" s="6" t="s">
        <v>1301</v>
      </c>
      <c r="Y199" s="6" t="s">
        <v>1310</v>
      </c>
      <c r="Z199" s="6">
        <v>98</v>
      </c>
      <c r="AA199" s="7" t="str">
        <f t="shared" si="50"/>
        <v>OK - sims match current assumptions</v>
      </c>
      <c r="AB199" s="13" t="s">
        <v>33</v>
      </c>
      <c r="AC199" s="13" t="s">
        <v>33</v>
      </c>
      <c r="AD199" s="13" t="s">
        <v>33</v>
      </c>
      <c r="AE199" s="13" t="s">
        <v>33</v>
      </c>
      <c r="AF199" s="34">
        <f t="shared" si="51"/>
        <v>-6.7652225706268165E-2</v>
      </c>
      <c r="AG199" s="34">
        <f t="shared" si="52"/>
        <v>-9.2315142372934839E-2</v>
      </c>
      <c r="AH199" s="6" t="b">
        <f>AND(W199,I199&gt;=A_t1_fair,((1-A_t1_shrink)*J199+A_t1_shrink*I199)*G199-1&gt;=A_minev,(1-A_t1_shrink)*N199+A_t1_shrink*(I199*G199-1)&gt;0,M_Sims!Q181=1)</f>
        <v>0</v>
      </c>
      <c r="AI199" s="18">
        <f>IF(AH199,M_Sims!R181*A_t1_cap/A_t1_engcap,0)</f>
        <v>0</v>
      </c>
      <c r="AJ199" s="46" t="str">
        <f t="shared" si="53"/>
        <v>-</v>
      </c>
      <c r="AK199" s="7" t="str">
        <f>IF(AH199,M_Sims!S181,"-")</f>
        <v>-</v>
      </c>
      <c r="AL199" s="51">
        <f>M_Sims!M181</f>
        <v>0</v>
      </c>
      <c r="AM199" s="6" t="str">
        <f t="shared" si="54"/>
        <v>-</v>
      </c>
    </row>
    <row r="200" spans="1:39" ht="15" customHeight="1" x14ac:dyDescent="0.3">
      <c r="A200" s="6" t="s">
        <v>277</v>
      </c>
      <c r="B200" s="7" t="str">
        <f>Odds_Input!C107</f>
        <v>Milwaukee Bucks</v>
      </c>
      <c r="C200" s="6" t="s">
        <v>213</v>
      </c>
      <c r="D200" s="7" t="str">
        <f>Odds_Input!D107</f>
        <v>YES</v>
      </c>
      <c r="E200" s="31" t="str">
        <f>Odds_Input!E107</f>
        <v>-</v>
      </c>
      <c r="F200" s="32">
        <f>Odds_Input!F107</f>
        <v>1200</v>
      </c>
      <c r="G200" s="36">
        <f>M_DeVig!H107</f>
        <v>13</v>
      </c>
      <c r="H200" s="7" t="str">
        <f>Odds_Input!G107</f>
        <v>-</v>
      </c>
      <c r="I200" s="42">
        <f>M_DeVig!Q107</f>
        <v>6.2602619819235469E-2</v>
      </c>
      <c r="J200" s="42">
        <f>SUM(INDEX(M_Sims!$AA$15:$AD$44,MATCH($C200,M_Sims!$A$15:$A$44,0),0))</f>
        <v>0.19995000000000002</v>
      </c>
      <c r="K200" s="43">
        <f t="shared" si="44"/>
        <v>400.12503125781438</v>
      </c>
      <c r="L200" s="34">
        <f t="shared" si="45"/>
        <v>1.5993500000000003</v>
      </c>
      <c r="M200" s="38">
        <f t="shared" si="46"/>
        <v>13.734738018076452</v>
      </c>
      <c r="N200" s="42">
        <f>M_Sims!B182</f>
        <v>1.3803000000000001</v>
      </c>
      <c r="O200" s="42">
        <f>M_Sims!C182</f>
        <v>1.8437066666666659</v>
      </c>
      <c r="P200" s="42">
        <f>M_Sims!D182</f>
        <v>1</v>
      </c>
      <c r="Q200" s="34">
        <f t="shared" si="47"/>
        <v>0.13127630990961775</v>
      </c>
      <c r="R200" s="18" t="str">
        <f t="shared" si="48"/>
        <v>-</v>
      </c>
      <c r="S200" s="46" t="str">
        <f t="shared" si="49"/>
        <v>-</v>
      </c>
      <c r="T200" s="51" t="str">
        <f>IF(A_tier2_on=1,M_Sims!M182,"-")</f>
        <v>-</v>
      </c>
      <c r="U200" s="46" t="str">
        <f>IF(OR(A_bankroll="",A_tier2_on&lt;&gt;1),"-",MIN(A_maxbet,M_Sims!M182*A_bankroll))</f>
        <v>-</v>
      </c>
      <c r="V200" s="30">
        <f>M_Sims!H182</f>
        <v>1</v>
      </c>
      <c r="W200" s="6" t="b">
        <f>AND(H200&lt;&gt;"IMPUTED_20C_LADDER",L200&gt;=A_minev,N200&gt;0,V200=1,IF(A200="PLAYOFFS",A_poconf=1,TRUE),IF(AND(A200="WINS",A_zs_on=1),AND(AE200&gt;=A_minev,M_Sims!O182&gt;0),TRUE),AF200&gt;=A_minev,AG200&gt;0,IF(I200&lt;A_longthr,(1-A_shrink)*M_Sims!K182+A_shrink*(I200*G200-1)&gt;=A_minev,TRUE),IF(AND(OR(A200="WINS",A200="PLAYOFFS",LEFT(A200,4)="DIV_"),INDEX(Raw_Teams!$F$8:$F$37,MATCH($C200,Raw_Teams!$A$8:$A$37,0))&lt;A_contthr),AND(((1-A_contshrink)*J200+A_contshrink*I200)*G200-1&gt;=A_minev,(1-A_contshrink)*N200+A_contshrink*(I200*G200-1)&gt;0),TRUE),M_Sims!P182=0)</f>
        <v>1</v>
      </c>
      <c r="X200" s="6" t="s">
        <v>1301</v>
      </c>
      <c r="Y200" s="6" t="s">
        <v>1310</v>
      </c>
      <c r="Z200" s="6">
        <v>99</v>
      </c>
      <c r="AA200" s="7" t="str">
        <f t="shared" si="50"/>
        <v>OK - sims match current assumptions</v>
      </c>
      <c r="AB200" s="13" t="s">
        <v>33</v>
      </c>
      <c r="AC200" s="13" t="s">
        <v>33</v>
      </c>
      <c r="AD200" s="13" t="s">
        <v>33</v>
      </c>
      <c r="AE200" s="13" t="s">
        <v>33</v>
      </c>
      <c r="AF200" s="34">
        <f t="shared" si="51"/>
        <v>0.70659202882503069</v>
      </c>
      <c r="AG200" s="34">
        <f t="shared" si="52"/>
        <v>0.5970670288250306</v>
      </c>
      <c r="AH200" s="6" t="b">
        <f>AND(W200,I200&gt;=A_t1_fair,((1-A_t1_shrink)*J200+A_t1_shrink*I200)*G200-1&gt;=A_minev,(1-A_t1_shrink)*N200+A_t1_shrink*(I200*G200-1)&gt;0,M_Sims!Q182=1)</f>
        <v>0</v>
      </c>
      <c r="AI200" s="18">
        <f>IF(AH200,M_Sims!R182*A_t1_cap/A_t1_engcap,0)</f>
        <v>0</v>
      </c>
      <c r="AJ200" s="46" t="str">
        <f t="shared" si="53"/>
        <v>-</v>
      </c>
      <c r="AK200" s="7" t="str">
        <f>IF(AH200,M_Sims!S182,"-")</f>
        <v>-</v>
      </c>
      <c r="AL200" s="51">
        <f>M_Sims!M182</f>
        <v>6.8865437022796998E-3</v>
      </c>
      <c r="AM200" s="6" t="str">
        <f t="shared" si="54"/>
        <v>Tier 2</v>
      </c>
    </row>
    <row r="201" spans="1:39" ht="15" customHeight="1" x14ac:dyDescent="0.3">
      <c r="A201" s="6" t="s">
        <v>277</v>
      </c>
      <c r="B201" s="7" t="str">
        <f>Odds_Input!C108</f>
        <v>New York Knicks</v>
      </c>
      <c r="C201" s="6" t="s">
        <v>216</v>
      </c>
      <c r="D201" s="7" t="str">
        <f>Odds_Input!D108</f>
        <v>YES</v>
      </c>
      <c r="E201" s="31" t="str">
        <f>Odds_Input!E108</f>
        <v>-</v>
      </c>
      <c r="F201" s="32">
        <f>Odds_Input!F108</f>
        <v>500</v>
      </c>
      <c r="G201" s="36">
        <f>M_DeVig!H108</f>
        <v>6</v>
      </c>
      <c r="H201" s="7" t="str">
        <f>Odds_Input!G108</f>
        <v>-</v>
      </c>
      <c r="I201" s="42">
        <f>M_DeVig!Q108</f>
        <v>0.14432882741997652</v>
      </c>
      <c r="J201" s="42">
        <f>SUM(INDEX(M_Sims!$AA$15:$AD$44,MATCH($C201,M_Sims!$A$15:$A$44,0),0))</f>
        <v>0.31392999999999999</v>
      </c>
      <c r="K201" s="43">
        <f t="shared" si="44"/>
        <v>218.54235020545983</v>
      </c>
      <c r="L201" s="34">
        <f t="shared" si="45"/>
        <v>0.88357999999999981</v>
      </c>
      <c r="M201" s="38">
        <f t="shared" si="46"/>
        <v>16.960117258002345</v>
      </c>
      <c r="N201" s="42">
        <f>M_Sims!B183</f>
        <v>0.66279999999999994</v>
      </c>
      <c r="O201" s="42">
        <f>M_Sims!C183</f>
        <v>1.0312399999999999</v>
      </c>
      <c r="P201" s="42">
        <f>M_Sims!D183</f>
        <v>1</v>
      </c>
      <c r="Q201" s="34">
        <f t="shared" si="47"/>
        <v>0.22912941370998824</v>
      </c>
      <c r="R201" s="18" t="str">
        <f t="shared" si="48"/>
        <v>-</v>
      </c>
      <c r="S201" s="46" t="str">
        <f t="shared" si="49"/>
        <v>-</v>
      </c>
      <c r="T201" s="51" t="str">
        <f>IF(A_tier2_on=1,M_Sims!M183,"-")</f>
        <v>-</v>
      </c>
      <c r="U201" s="46" t="str">
        <f>IF(OR(A_bankroll="",A_tier2_on&lt;&gt;1),"-",MIN(A_maxbet,M_Sims!M183*A_bankroll))</f>
        <v>-</v>
      </c>
      <c r="V201" s="30">
        <f>M_Sims!H183</f>
        <v>1</v>
      </c>
      <c r="W201" s="6" t="b">
        <f>AND(H201&lt;&gt;"IMPUTED_20C_LADDER",L201&gt;=A_minev,N201&gt;0,V201=1,IF(A201="PLAYOFFS",A_poconf=1,TRUE),IF(AND(A201="WINS",A_zs_on=1),AND(AE201&gt;=A_minev,M_Sims!O183&gt;0),TRUE),AF201&gt;=A_minev,AG201&gt;0,IF(I201&lt;A_longthr,(1-A_shrink)*M_Sims!K183+A_shrink*(I201*G201-1)&gt;=A_minev,TRUE),IF(AND(OR(A201="WINS",A201="PLAYOFFS",LEFT(A201,4)="DIV_"),INDEX(Raw_Teams!$F$8:$F$37,MATCH($C201,Raw_Teams!$A$8:$A$37,0))&lt;A_contthr),AND(((1-A_contshrink)*J201+A_contshrink*I201)*G201-1&gt;=A_minev,(1-A_contshrink)*N201+A_contshrink*(I201*G201-1)&gt;0),TRUE),M_Sims!P183=0)</f>
        <v>1</v>
      </c>
      <c r="X201" s="6" t="s">
        <v>1301</v>
      </c>
      <c r="Y201" s="6" t="s">
        <v>1310</v>
      </c>
      <c r="Z201" s="6">
        <v>100</v>
      </c>
      <c r="AA201" s="7" t="str">
        <f t="shared" si="50"/>
        <v>OK - sims match current assumptions</v>
      </c>
      <c r="AB201" s="13" t="s">
        <v>33</v>
      </c>
      <c r="AC201" s="13" t="s">
        <v>33</v>
      </c>
      <c r="AD201" s="13" t="s">
        <v>33</v>
      </c>
      <c r="AE201" s="13" t="s">
        <v>33</v>
      </c>
      <c r="AF201" s="34">
        <f t="shared" si="51"/>
        <v>0.37477648225992954</v>
      </c>
      <c r="AG201" s="34">
        <f t="shared" si="52"/>
        <v>0.2643864822599295</v>
      </c>
      <c r="AH201" s="6" t="b">
        <f>AND(W201,I201&gt;=A_t1_fair,((1-A_t1_shrink)*J201+A_t1_shrink*I201)*G201-1&gt;=A_minev,(1-A_t1_shrink)*N201+A_t1_shrink*(I201*G201-1)&gt;0,M_Sims!Q183=1)</f>
        <v>0</v>
      </c>
      <c r="AI201" s="18">
        <f>IF(AH201,M_Sims!R183*A_t1_cap/A_t1_engcap,0)</f>
        <v>0</v>
      </c>
      <c r="AJ201" s="46" t="str">
        <f t="shared" si="53"/>
        <v>-</v>
      </c>
      <c r="AK201" s="7" t="str">
        <f>IF(AH201,M_Sims!S183,"-")</f>
        <v>-</v>
      </c>
      <c r="AL201" s="51">
        <f>M_Sims!M183</f>
        <v>5.9347224916840996E-3</v>
      </c>
      <c r="AM201" s="6" t="str">
        <f t="shared" si="54"/>
        <v>Tier 2</v>
      </c>
    </row>
    <row r="202" spans="1:39" ht="15" customHeight="1" x14ac:dyDescent="0.3">
      <c r="A202" s="6" t="s">
        <v>277</v>
      </c>
      <c r="B202" s="7" t="str">
        <f>Odds_Input!C109</f>
        <v>Orlando Magic</v>
      </c>
      <c r="C202" s="6" t="s">
        <v>218</v>
      </c>
      <c r="D202" s="7" t="str">
        <f>Odds_Input!D109</f>
        <v>YES</v>
      </c>
      <c r="E202" s="31" t="str">
        <f>Odds_Input!E109</f>
        <v>-</v>
      </c>
      <c r="F202" s="32">
        <f>Odds_Input!F109</f>
        <v>115</v>
      </c>
      <c r="G202" s="36">
        <f>M_DeVig!H109</f>
        <v>2.15</v>
      </c>
      <c r="H202" s="7" t="str">
        <f>Odds_Input!G109</f>
        <v>-</v>
      </c>
      <c r="I202" s="42">
        <f>M_DeVig!Q109</f>
        <v>0.43738351247434021</v>
      </c>
      <c r="J202" s="42">
        <f>SUM(INDEX(M_Sims!$AA$15:$AD$44,MATCH($C202,M_Sims!$A$15:$A$44,0),0))</f>
        <v>0.31322</v>
      </c>
      <c r="K202" s="43">
        <f t="shared" si="44"/>
        <v>219.26441478832768</v>
      </c>
      <c r="L202" s="34">
        <f t="shared" si="45"/>
        <v>-0.32657700000000001</v>
      </c>
      <c r="M202" s="38">
        <f t="shared" si="46"/>
        <v>-12.416351247434021</v>
      </c>
      <c r="N202" s="42">
        <f>M_Sims!B184</f>
        <v>-0.39543433333333328</v>
      </c>
      <c r="O202" s="42">
        <f>M_Sims!C184</f>
        <v>-0.26001299999999999</v>
      </c>
      <c r="P202" s="42">
        <f>M_Sims!D184</f>
        <v>0</v>
      </c>
      <c r="Q202" s="34">
        <f t="shared" si="47"/>
        <v>0.3753017562371701</v>
      </c>
      <c r="R202" s="18" t="str">
        <f t="shared" si="48"/>
        <v>-</v>
      </c>
      <c r="S202" s="46" t="str">
        <f t="shared" si="49"/>
        <v>-</v>
      </c>
      <c r="T202" s="51" t="str">
        <f>IF(A_tier2_on=1,M_Sims!M184,"-")</f>
        <v>-</v>
      </c>
      <c r="U202" s="46" t="str">
        <f>IF(OR(A_bankroll="",A_tier2_on&lt;&gt;1),"-",MIN(A_maxbet,M_Sims!M184*A_bankroll))</f>
        <v>-</v>
      </c>
      <c r="V202" s="30">
        <f>M_Sims!H184</f>
        <v>1</v>
      </c>
      <c r="W202" s="6" t="b">
        <f>AND(H202&lt;&gt;"IMPUTED_20C_LADDER",L202&gt;=A_minev,N202&gt;0,V202=1,IF(A202="PLAYOFFS",A_poconf=1,TRUE),IF(AND(A202="WINS",A_zs_on=1),AND(AE202&gt;=A_minev,M_Sims!O184&gt;0),TRUE),AF202&gt;=A_minev,AG202&gt;0,IF(I202&lt;A_longthr,(1-A_shrink)*M_Sims!K184+A_shrink*(I202*G202-1)&gt;=A_minev,TRUE),IF(AND(OR(A202="WINS",A202="PLAYOFFS",LEFT(A202,4)="DIV_"),INDEX(Raw_Teams!$F$8:$F$37,MATCH($C202,Raw_Teams!$A$8:$A$37,0))&lt;A_contthr),AND(((1-A_contshrink)*J202+A_contshrink*I202)*G202-1&gt;=A_minev,(1-A_contshrink)*N202+A_contshrink*(I202*G202-1)&gt;0),TRUE),M_Sims!P184=0)</f>
        <v>0</v>
      </c>
      <c r="X202" s="6" t="s">
        <v>1301</v>
      </c>
      <c r="Y202" s="6" t="s">
        <v>1310</v>
      </c>
      <c r="Z202" s="6">
        <v>101</v>
      </c>
      <c r="AA202" s="7" t="str">
        <f t="shared" si="50"/>
        <v>OK - sims match current assumptions</v>
      </c>
      <c r="AB202" s="13" t="s">
        <v>33</v>
      </c>
      <c r="AC202" s="13" t="s">
        <v>33</v>
      </c>
      <c r="AD202" s="13" t="s">
        <v>33</v>
      </c>
      <c r="AE202" s="13" t="s">
        <v>33</v>
      </c>
      <c r="AF202" s="34">
        <f t="shared" si="51"/>
        <v>-0.19310122409008434</v>
      </c>
      <c r="AG202" s="34">
        <f t="shared" si="52"/>
        <v>-0.22752989075675092</v>
      </c>
      <c r="AH202" s="6" t="b">
        <f>AND(W202,I202&gt;=A_t1_fair,((1-A_t1_shrink)*J202+A_t1_shrink*I202)*G202-1&gt;=A_minev,(1-A_t1_shrink)*N202+A_t1_shrink*(I202*G202-1)&gt;0,M_Sims!Q184=1)</f>
        <v>0</v>
      </c>
      <c r="AI202" s="18">
        <f>IF(AH202,M_Sims!R184*A_t1_cap/A_t1_engcap,0)</f>
        <v>0</v>
      </c>
      <c r="AJ202" s="46" t="str">
        <f t="shared" si="53"/>
        <v>-</v>
      </c>
      <c r="AK202" s="7" t="str">
        <f>IF(AH202,M_Sims!S184,"-")</f>
        <v>-</v>
      </c>
      <c r="AL202" s="51">
        <f>M_Sims!M184</f>
        <v>0</v>
      </c>
      <c r="AM202" s="6" t="str">
        <f t="shared" si="54"/>
        <v>-</v>
      </c>
    </row>
    <row r="203" spans="1:39" ht="15" customHeight="1" x14ac:dyDescent="0.3">
      <c r="A203" s="6" t="s">
        <v>277</v>
      </c>
      <c r="B203" s="7" t="str">
        <f>Odds_Input!C110</f>
        <v>Philadelphia 76ers</v>
      </c>
      <c r="C203" s="6" t="s">
        <v>219</v>
      </c>
      <c r="D203" s="7" t="str">
        <f>Odds_Input!D110</f>
        <v>YES</v>
      </c>
      <c r="E203" s="31" t="str">
        <f>Odds_Input!E110</f>
        <v>-</v>
      </c>
      <c r="F203" s="32">
        <f>Odds_Input!F110</f>
        <v>300</v>
      </c>
      <c r="G203" s="36">
        <f>M_DeVig!H110</f>
        <v>4</v>
      </c>
      <c r="H203" s="7" t="str">
        <f>Odds_Input!G110</f>
        <v>-</v>
      </c>
      <c r="I203" s="42">
        <f>M_DeVig!Q110</f>
        <v>0.22365919669869488</v>
      </c>
      <c r="J203" s="42">
        <f>SUM(INDEX(M_Sims!$AA$15:$AD$44,MATCH($C203,M_Sims!$A$15:$A$44,0),0))</f>
        <v>0.29932000000000003</v>
      </c>
      <c r="K203" s="43">
        <f t="shared" si="44"/>
        <v>234.0906053721769</v>
      </c>
      <c r="L203" s="34">
        <f t="shared" si="45"/>
        <v>0.19728000000000012</v>
      </c>
      <c r="M203" s="38">
        <f t="shared" si="46"/>
        <v>7.5660803301305144</v>
      </c>
      <c r="N203" s="42">
        <f>M_Sims!B185</f>
        <v>0.1171466666666667</v>
      </c>
      <c r="O203" s="42">
        <f>M_Sims!C185</f>
        <v>0.3173333333333333</v>
      </c>
      <c r="P203" s="42">
        <f>M_Sims!D185</f>
        <v>1</v>
      </c>
      <c r="Q203" s="34">
        <f t="shared" si="47"/>
        <v>0.26148959834934749</v>
      </c>
      <c r="R203" s="18" t="str">
        <f t="shared" si="48"/>
        <v>-</v>
      </c>
      <c r="S203" s="46" t="str">
        <f t="shared" si="49"/>
        <v>-</v>
      </c>
      <c r="T203" s="51" t="str">
        <f>IF(A_tier2_on=1,M_Sims!M185,"-")</f>
        <v>-</v>
      </c>
      <c r="U203" s="46" t="str">
        <f>IF(OR(A_bankroll="",A_tier2_on&lt;&gt;1),"-",MIN(A_maxbet,M_Sims!M185*A_bankroll))</f>
        <v>-</v>
      </c>
      <c r="V203" s="30">
        <f>M_Sims!H185</f>
        <v>1</v>
      </c>
      <c r="W203" s="6" t="b">
        <f>AND(H203&lt;&gt;"IMPUTED_20C_LADDER",L203&gt;=A_minev,N203&gt;0,V203=1,IF(A203="PLAYOFFS",A_poconf=1,TRUE),IF(AND(A203="WINS",A_zs_on=1),AND(AE203&gt;=A_minev,M_Sims!O185&gt;0),TRUE),AF203&gt;=A_minev,AG203&gt;0,IF(I203&lt;A_longthr,(1-A_shrink)*M_Sims!K185+A_shrink*(I203*G203-1)&gt;=A_minev,TRUE),IF(AND(OR(A203="WINS",A203="PLAYOFFS",LEFT(A203,4)="DIV_"),INDEX(Raw_Teams!$F$8:$F$37,MATCH($C203,Raw_Teams!$A$8:$A$37,0))&lt;A_contthr),AND(((1-A_contshrink)*J203+A_contshrink*I203)*G203-1&gt;=A_minev,(1-A_contshrink)*N203+A_contshrink*(I203*G203-1)&gt;0),TRUE),M_Sims!P185=0)</f>
        <v>1</v>
      </c>
      <c r="X203" s="6" t="s">
        <v>1301</v>
      </c>
      <c r="Y203" s="6" t="s">
        <v>1310</v>
      </c>
      <c r="Z203" s="6">
        <v>102</v>
      </c>
      <c r="AA203" s="7" t="str">
        <f t="shared" si="50"/>
        <v>OK - sims match current assumptions</v>
      </c>
      <c r="AB203" s="13" t="s">
        <v>33</v>
      </c>
      <c r="AC203" s="13" t="s">
        <v>33</v>
      </c>
      <c r="AD203" s="13" t="s">
        <v>33</v>
      </c>
      <c r="AE203" s="13" t="s">
        <v>33</v>
      </c>
      <c r="AF203" s="34">
        <f t="shared" si="51"/>
        <v>4.5958393397389941E-2</v>
      </c>
      <c r="AG203" s="34">
        <f t="shared" si="52"/>
        <v>5.8917267307231208E-3</v>
      </c>
      <c r="AH203" s="6" t="b">
        <f>AND(W203,I203&gt;=A_t1_fair,((1-A_t1_shrink)*J203+A_t1_shrink*I203)*G203-1&gt;=A_minev,(1-A_t1_shrink)*N203+A_t1_shrink*(I203*G203-1)&gt;0,M_Sims!Q185=1)</f>
        <v>0</v>
      </c>
      <c r="AI203" s="18">
        <f>IF(AH203,M_Sims!R185*A_t1_cap/A_t1_engcap,0)</f>
        <v>0</v>
      </c>
      <c r="AJ203" s="46" t="str">
        <f t="shared" si="53"/>
        <v>-</v>
      </c>
      <c r="AK203" s="7" t="str">
        <f>IF(AH203,M_Sims!S185,"-")</f>
        <v>-</v>
      </c>
      <c r="AL203" s="51">
        <f>M_Sims!M185</f>
        <v>2.4152625722746999E-3</v>
      </c>
      <c r="AM203" s="6" t="str">
        <f t="shared" si="54"/>
        <v>Tier 2</v>
      </c>
    </row>
    <row r="204" spans="1:39" ht="15" customHeight="1" x14ac:dyDescent="0.3">
      <c r="A204" s="6" t="s">
        <v>277</v>
      </c>
      <c r="B204" s="7" t="str">
        <f>Odds_Input!C111</f>
        <v>Toronto Raptors</v>
      </c>
      <c r="C204" s="6" t="s">
        <v>224</v>
      </c>
      <c r="D204" s="7" t="str">
        <f>Odds_Input!D111</f>
        <v>YES</v>
      </c>
      <c r="E204" s="31" t="str">
        <f>Odds_Input!E111</f>
        <v>-</v>
      </c>
      <c r="F204" s="32">
        <f>Odds_Input!F111</f>
        <v>150</v>
      </c>
      <c r="G204" s="36">
        <f>M_DeVig!H111</f>
        <v>2.5</v>
      </c>
      <c r="H204" s="7" t="str">
        <f>Odds_Input!G111</f>
        <v>-</v>
      </c>
      <c r="I204" s="42">
        <f>M_DeVig!Q111</f>
        <v>0.37162098735730453</v>
      </c>
      <c r="J204" s="42">
        <f>SUM(INDEX(M_Sims!$AA$15:$AD$44,MATCH($C204,M_Sims!$A$15:$A$44,0),0))</f>
        <v>0.18049000000000001</v>
      </c>
      <c r="K204" s="43">
        <f t="shared" si="44"/>
        <v>454.04731564075564</v>
      </c>
      <c r="L204" s="34">
        <f t="shared" si="45"/>
        <v>-0.54877500000000001</v>
      </c>
      <c r="M204" s="38">
        <f t="shared" si="46"/>
        <v>-19.113098735730453</v>
      </c>
      <c r="N204" s="42">
        <f>M_Sims!B186</f>
        <v>-0.60321666666666662</v>
      </c>
      <c r="O204" s="42">
        <f>M_Sims!C186</f>
        <v>-0.50545000000000007</v>
      </c>
      <c r="P204" s="42">
        <f>M_Sims!D186</f>
        <v>0</v>
      </c>
      <c r="Q204" s="34">
        <f t="shared" si="47"/>
        <v>0.27605549367865229</v>
      </c>
      <c r="R204" s="18" t="str">
        <f t="shared" si="48"/>
        <v>-</v>
      </c>
      <c r="S204" s="46" t="str">
        <f t="shared" si="49"/>
        <v>-</v>
      </c>
      <c r="T204" s="51" t="str">
        <f>IF(A_tier2_on=1,M_Sims!M186,"-")</f>
        <v>-</v>
      </c>
      <c r="U204" s="46" t="str">
        <f>IF(OR(A_bankroll="",A_tier2_on&lt;&gt;1),"-",MIN(A_maxbet,M_Sims!M186*A_bankroll))</f>
        <v>-</v>
      </c>
      <c r="V204" s="30">
        <f>M_Sims!H186</f>
        <v>1</v>
      </c>
      <c r="W204" s="6" t="b">
        <f>AND(H204&lt;&gt;"IMPUTED_20C_LADDER",L204&gt;=A_minev,N204&gt;0,V204=1,IF(A204="PLAYOFFS",A_poconf=1,TRUE),IF(AND(A204="WINS",A_zs_on=1),AND(AE204&gt;=A_minev,M_Sims!O186&gt;0),TRUE),AF204&gt;=A_minev,AG204&gt;0,IF(I204&lt;A_longthr,(1-A_shrink)*M_Sims!K186+A_shrink*(I204*G204-1)&gt;=A_minev,TRUE),IF(AND(OR(A204="WINS",A204="PLAYOFFS",LEFT(A204,4)="DIV_"),INDEX(Raw_Teams!$F$8:$F$37,MATCH($C204,Raw_Teams!$A$8:$A$37,0))&lt;A_contthr),AND(((1-A_contshrink)*J204+A_contshrink*I204)*G204-1&gt;=A_minev,(1-A_contshrink)*N204+A_contshrink*(I204*G204-1)&gt;0),TRUE),M_Sims!P186=0)</f>
        <v>0</v>
      </c>
      <c r="X204" s="6" t="s">
        <v>1301</v>
      </c>
      <c r="Y204" s="6" t="s">
        <v>1310</v>
      </c>
      <c r="Z204" s="6">
        <v>103</v>
      </c>
      <c r="AA204" s="7" t="str">
        <f t="shared" si="50"/>
        <v>OK - sims match current assumptions</v>
      </c>
      <c r="AB204" s="13" t="s">
        <v>33</v>
      </c>
      <c r="AC204" s="13" t="s">
        <v>33</v>
      </c>
      <c r="AD204" s="13" t="s">
        <v>33</v>
      </c>
      <c r="AE204" s="13" t="s">
        <v>33</v>
      </c>
      <c r="AF204" s="34">
        <f t="shared" si="51"/>
        <v>-0.30986126580336926</v>
      </c>
      <c r="AG204" s="34">
        <f t="shared" si="52"/>
        <v>-0.33708209913670267</v>
      </c>
      <c r="AH204" s="6" t="b">
        <f>AND(W204,I204&gt;=A_t1_fair,((1-A_t1_shrink)*J204+A_t1_shrink*I204)*G204-1&gt;=A_minev,(1-A_t1_shrink)*N204+A_t1_shrink*(I204*G204-1)&gt;0,M_Sims!Q186=1)</f>
        <v>0</v>
      </c>
      <c r="AI204" s="18">
        <f>IF(AH204,M_Sims!R186*A_t1_cap/A_t1_engcap,0)</f>
        <v>0</v>
      </c>
      <c r="AJ204" s="46" t="str">
        <f t="shared" si="53"/>
        <v>-</v>
      </c>
      <c r="AK204" s="7" t="str">
        <f>IF(AH204,M_Sims!S186,"-")</f>
        <v>-</v>
      </c>
      <c r="AL204" s="51">
        <f>M_Sims!M186</f>
        <v>0</v>
      </c>
      <c r="AM204" s="6" t="str">
        <f t="shared" si="54"/>
        <v>-</v>
      </c>
    </row>
    <row r="205" spans="1:39" ht="15" customHeight="1" x14ac:dyDescent="0.3">
      <c r="A205" s="6" t="s">
        <v>277</v>
      </c>
      <c r="B205" s="7" t="str">
        <f>Odds_Input!C112</f>
        <v>Washington Wizards</v>
      </c>
      <c r="C205" s="6" t="s">
        <v>226</v>
      </c>
      <c r="D205" s="7" t="str">
        <f>Odds_Input!D112</f>
        <v>YES</v>
      </c>
      <c r="E205" s="31" t="str">
        <f>Odds_Input!E112</f>
        <v>-</v>
      </c>
      <c r="F205" s="32">
        <f>Odds_Input!F112</f>
        <v>225</v>
      </c>
      <c r="G205" s="36">
        <f>M_DeVig!H112</f>
        <v>3.25</v>
      </c>
      <c r="H205" s="7" t="str">
        <f>Odds_Input!G112</f>
        <v>-</v>
      </c>
      <c r="I205" s="42">
        <f>M_DeVig!Q112</f>
        <v>0.27990183611171304</v>
      </c>
      <c r="J205" s="42">
        <f>SUM(INDEX(M_Sims!$AA$15:$AD$44,MATCH($C205,M_Sims!$A$15:$A$44,0),0))</f>
        <v>0.15076000000000001</v>
      </c>
      <c r="K205" s="43">
        <f t="shared" si="44"/>
        <v>563.30591668877685</v>
      </c>
      <c r="L205" s="34">
        <f t="shared" si="45"/>
        <v>-0.51002999999999998</v>
      </c>
      <c r="M205" s="38">
        <f t="shared" si="46"/>
        <v>-12.914183611171303</v>
      </c>
      <c r="N205" s="42">
        <f>M_Sims!B187</f>
        <v>-0.60005500000000001</v>
      </c>
      <c r="O205" s="42">
        <f>M_Sims!C187</f>
        <v>-0.44427166666666668</v>
      </c>
      <c r="P205" s="42">
        <f>M_Sims!D187</f>
        <v>0</v>
      </c>
      <c r="Q205" s="34">
        <f t="shared" si="47"/>
        <v>0.21533091805585652</v>
      </c>
      <c r="R205" s="18" t="str">
        <f t="shared" si="48"/>
        <v>-</v>
      </c>
      <c r="S205" s="46" t="str">
        <f t="shared" si="49"/>
        <v>-</v>
      </c>
      <c r="T205" s="51" t="str">
        <f>IF(A_tier2_on=1,M_Sims!M187,"-")</f>
        <v>-</v>
      </c>
      <c r="U205" s="46" t="str">
        <f>IF(OR(A_bankroll="",A_tier2_on&lt;&gt;1),"-",MIN(A_maxbet,M_Sims!M187*A_bankroll))</f>
        <v>-</v>
      </c>
      <c r="V205" s="30">
        <f>M_Sims!H187</f>
        <v>0</v>
      </c>
      <c r="W205" s="6" t="b">
        <f>AND(H205&lt;&gt;"IMPUTED_20C_LADDER",L205&gt;=A_minev,N205&gt;0,V205=1,IF(A205="PLAYOFFS",A_poconf=1,TRUE),IF(AND(A205="WINS",A_zs_on=1),AND(AE205&gt;=A_minev,M_Sims!O187&gt;0),TRUE),AF205&gt;=A_minev,AG205&gt;0,IF(I205&lt;A_longthr,(1-A_shrink)*M_Sims!K187+A_shrink*(I205*G205-1)&gt;=A_minev,TRUE),IF(AND(OR(A205="WINS",A205="PLAYOFFS",LEFT(A205,4)="DIV_"),INDEX(Raw_Teams!$F$8:$F$37,MATCH($C205,Raw_Teams!$A$8:$A$37,0))&lt;A_contthr),AND(((1-A_contshrink)*J205+A_contshrink*I205)*G205-1&gt;=A_minev,(1-A_contshrink)*N205+A_contshrink*(I205*G205-1)&gt;0),TRUE),M_Sims!P187=0)</f>
        <v>0</v>
      </c>
      <c r="X205" s="6" t="s">
        <v>1301</v>
      </c>
      <c r="Y205" s="6" t="s">
        <v>1310</v>
      </c>
      <c r="Z205" s="6">
        <v>104</v>
      </c>
      <c r="AA205" s="7" t="str">
        <f t="shared" si="50"/>
        <v>OK - sims match current assumptions</v>
      </c>
      <c r="AB205" s="13" t="s">
        <v>33</v>
      </c>
      <c r="AC205" s="13" t="s">
        <v>33</v>
      </c>
      <c r="AD205" s="13" t="s">
        <v>33</v>
      </c>
      <c r="AE205" s="13" t="s">
        <v>33</v>
      </c>
      <c r="AF205" s="34">
        <f t="shared" si="51"/>
        <v>-0.30017451631846626</v>
      </c>
      <c r="AG205" s="34">
        <f t="shared" si="52"/>
        <v>-0.34518701631846632</v>
      </c>
      <c r="AH205" s="6" t="b">
        <f>AND(W205,I205&gt;=A_t1_fair,((1-A_t1_shrink)*J205+A_t1_shrink*I205)*G205-1&gt;=A_minev,(1-A_t1_shrink)*N205+A_t1_shrink*(I205*G205-1)&gt;0,M_Sims!Q187=1)</f>
        <v>0</v>
      </c>
      <c r="AI205" s="18">
        <f>IF(AH205,M_Sims!R187*A_t1_cap/A_t1_engcap,0)</f>
        <v>0</v>
      </c>
      <c r="AJ205" s="46" t="str">
        <f t="shared" si="53"/>
        <v>-</v>
      </c>
      <c r="AK205" s="7" t="str">
        <f>IF(AH205,M_Sims!S187,"-")</f>
        <v>-</v>
      </c>
      <c r="AL205" s="51">
        <f>M_Sims!M187</f>
        <v>0</v>
      </c>
      <c r="AM205" s="6" t="str">
        <f t="shared" si="54"/>
        <v>-</v>
      </c>
    </row>
    <row r="206" spans="1:39" ht="15" customHeight="1" x14ac:dyDescent="0.3"/>
    <row r="207" spans="1:39" ht="15" customHeight="1" x14ac:dyDescent="0.3">
      <c r="A207" s="48" t="s">
        <v>278</v>
      </c>
      <c r="B207" s="49" t="s">
        <v>1309</v>
      </c>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row>
    <row r="208" spans="1:39" ht="15" customHeight="1" x14ac:dyDescent="0.3">
      <c r="A208" s="6" t="s">
        <v>278</v>
      </c>
      <c r="B208" s="7" t="str">
        <f>Odds_Input!C113</f>
        <v>Dallas Mavericks</v>
      </c>
      <c r="C208" s="6" t="s">
        <v>203</v>
      </c>
      <c r="D208" s="7" t="str">
        <f>Odds_Input!D113</f>
        <v>YES</v>
      </c>
      <c r="E208" s="31" t="str">
        <f>Odds_Input!E113</f>
        <v>-</v>
      </c>
      <c r="F208" s="32">
        <f>Odds_Input!F113</f>
        <v>135</v>
      </c>
      <c r="G208" s="36">
        <f>M_DeVig!H113</f>
        <v>2.35</v>
      </c>
      <c r="H208" s="7" t="str">
        <f>Odds_Input!G113</f>
        <v>-</v>
      </c>
      <c r="I208" s="42">
        <f>M_DeVig!Q113</f>
        <v>0.39300405037309083</v>
      </c>
      <c r="J208" s="42">
        <f>SUM(INDEX(M_Sims!$AA$15:$AD$44,MATCH($C208,M_Sims!$A$15:$A$44,0),0))</f>
        <v>0.32034999999999997</v>
      </c>
      <c r="K208" s="43">
        <f t="shared" ref="K208:K222" si="55">IF(J208&gt;=0.5,-100*J208/(1-J208),100*(1-J208)/J208)</f>
        <v>212.15857655689092</v>
      </c>
      <c r="L208" s="34">
        <f t="shared" ref="L208:L222" si="56">J208*G208-1</f>
        <v>-0.24717750000000005</v>
      </c>
      <c r="M208" s="38">
        <f t="shared" ref="M208:M222" si="57">(J208-I208)*100</f>
        <v>-7.2654050373090859</v>
      </c>
      <c r="N208" s="42">
        <f>M_Sims!B188</f>
        <v>-0.42821366666666671</v>
      </c>
      <c r="O208" s="42">
        <f>M_Sims!C188</f>
        <v>-0.1162276666666667</v>
      </c>
      <c r="P208" s="42">
        <f>M_Sims!D188</f>
        <v>0</v>
      </c>
      <c r="Q208" s="34">
        <f t="shared" ref="Q208:Q222" si="58">(1-A_shrink)*J208+A_shrink*I208</f>
        <v>0.35667702518654543</v>
      </c>
      <c r="R208" s="18" t="str">
        <f t="shared" ref="R208:R222" si="59">IF(A_tier2_on=1,MAX(0,(Q208*G208-1)/(G208-1))*A_kelly,"-")</f>
        <v>-</v>
      </c>
      <c r="S208" s="46" t="str">
        <f t="shared" ref="S208:S222" si="60">IF(OR(A_bankroll="",A_tier2_on&lt;&gt;1),"-",MIN(A_maxbet,MAX(0,(Q208*G208-1)/(G208-1))*A_kelly*A_bankroll))</f>
        <v>-</v>
      </c>
      <c r="T208" s="51" t="str">
        <f>IF(A_tier2_on=1,M_Sims!M188,"-")</f>
        <v>-</v>
      </c>
      <c r="U208" s="46" t="str">
        <f>IF(OR(A_bankroll="",A_tier2_on&lt;&gt;1),"-",MIN(A_maxbet,M_Sims!M188*A_bankroll))</f>
        <v>-</v>
      </c>
      <c r="V208" s="30">
        <f>M_Sims!H188</f>
        <v>0</v>
      </c>
      <c r="W208" s="6" t="b">
        <f>AND(H208&lt;&gt;"IMPUTED_20C_LADDER",L208&gt;=A_minev,N208&gt;0,V208=1,IF(A208="PLAYOFFS",A_poconf=1,TRUE),IF(AND(A208="WINS",A_zs_on=1),AND(AE208&gt;=A_minev,M_Sims!O188&gt;0),TRUE),AF208&gt;=A_minev,AG208&gt;0,IF(I208&lt;A_longthr,(1-A_shrink)*M_Sims!K188+A_shrink*(I208*G208-1)&gt;=A_minev,TRUE),IF(AND(OR(A208="WINS",A208="PLAYOFFS",LEFT(A208,4)="DIV_"),INDEX(Raw_Teams!$F$8:$F$37,MATCH($C208,Raw_Teams!$A$8:$A$37,0))&lt;A_contthr),AND(((1-A_contshrink)*J208+A_contshrink*I208)*G208-1&gt;=A_minev,(1-A_contshrink)*N208+A_contshrink*(I208*G208-1)&gt;0),TRUE),M_Sims!P188=0)</f>
        <v>0</v>
      </c>
      <c r="X208" s="6" t="s">
        <v>1301</v>
      </c>
      <c r="Y208" s="6" t="s">
        <v>1310</v>
      </c>
      <c r="Z208" s="6">
        <v>105</v>
      </c>
      <c r="AA208" s="7" t="str">
        <f t="shared" ref="AA208:AA222" si="61">Sim_Stale</f>
        <v>OK - sims match current assumptions</v>
      </c>
      <c r="AB208" s="13" t="s">
        <v>33</v>
      </c>
      <c r="AC208" s="13" t="s">
        <v>33</v>
      </c>
      <c r="AD208" s="13" t="s">
        <v>33</v>
      </c>
      <c r="AE208" s="13" t="s">
        <v>33</v>
      </c>
      <c r="AF208" s="34">
        <f t="shared" ref="AF208:AF222" si="62">Q208*G208-1</f>
        <v>-0.16180899081161826</v>
      </c>
      <c r="AG208" s="34">
        <f t="shared" ref="AG208:AG222" si="63">(1-A_shrink)*N208+A_shrink*(I208*G208-1)</f>
        <v>-0.25232707414495159</v>
      </c>
      <c r="AH208" s="6" t="b">
        <f>AND(W208,I208&gt;=A_t1_fair,((1-A_t1_shrink)*J208+A_t1_shrink*I208)*G208-1&gt;=A_minev,(1-A_t1_shrink)*N208+A_t1_shrink*(I208*G208-1)&gt;0,M_Sims!Q188=1)</f>
        <v>0</v>
      </c>
      <c r="AI208" s="18">
        <f>IF(AH208,M_Sims!R188*A_t1_cap/A_t1_engcap,0)</f>
        <v>0</v>
      </c>
      <c r="AJ208" s="46" t="str">
        <f t="shared" ref="AJ208:AJ222" si="64">IF(OR(A_bankroll="",NOT(AH208)),"-",MIN(A_maxbet,AI208*A_bankroll))</f>
        <v>-</v>
      </c>
      <c r="AK208" s="7" t="str">
        <f>IF(AH208,M_Sims!S188,"-")</f>
        <v>-</v>
      </c>
      <c r="AL208" s="51">
        <f>M_Sims!M188</f>
        <v>0</v>
      </c>
      <c r="AM208" s="6" t="str">
        <f t="shared" ref="AM208:AM222" si="65">IF(W208,IF(AH208,"Tier 1","Tier 2"),"-")</f>
        <v>-</v>
      </c>
    </row>
    <row r="209" spans="1:39" ht="15" customHeight="1" x14ac:dyDescent="0.3">
      <c r="A209" s="6" t="s">
        <v>278</v>
      </c>
      <c r="B209" s="7" t="str">
        <f>Odds_Input!C114</f>
        <v>Denver Nuggets</v>
      </c>
      <c r="C209" s="6" t="s">
        <v>204</v>
      </c>
      <c r="D209" s="7" t="str">
        <f>Odds_Input!D114</f>
        <v>YES</v>
      </c>
      <c r="E209" s="31" t="str">
        <f>Odds_Input!E114</f>
        <v>-</v>
      </c>
      <c r="F209" s="32">
        <f>Odds_Input!F114</f>
        <v>295</v>
      </c>
      <c r="G209" s="36">
        <f>M_DeVig!H114</f>
        <v>3.95</v>
      </c>
      <c r="H209" s="7" t="str">
        <f>Odds_Input!G114</f>
        <v>-</v>
      </c>
      <c r="I209" s="42">
        <f>M_DeVig!Q114</f>
        <v>0.22278086881028214</v>
      </c>
      <c r="J209" s="42">
        <f>SUM(INDEX(M_Sims!$AA$15:$AD$44,MATCH($C209,M_Sims!$A$15:$A$44,0),0))</f>
        <v>0.28694999999999998</v>
      </c>
      <c r="K209" s="43">
        <f t="shared" si="55"/>
        <v>248.49276877504792</v>
      </c>
      <c r="L209" s="34">
        <f t="shared" si="56"/>
        <v>0.13345249999999997</v>
      </c>
      <c r="M209" s="38">
        <f t="shared" si="57"/>
        <v>6.4169131189717845</v>
      </c>
      <c r="N209" s="42">
        <f>M_Sims!B189</f>
        <v>-1.3553333333333299E-2</v>
      </c>
      <c r="O209" s="42">
        <f>M_Sims!C189</f>
        <v>0.27764066666666659</v>
      </c>
      <c r="P209" s="42">
        <f>M_Sims!D189</f>
        <v>0.8666666666666667</v>
      </c>
      <c r="Q209" s="34">
        <f t="shared" si="58"/>
        <v>0.25486543440514109</v>
      </c>
      <c r="R209" s="18" t="str">
        <f t="shared" si="59"/>
        <v>-</v>
      </c>
      <c r="S209" s="46" t="str">
        <f t="shared" si="60"/>
        <v>-</v>
      </c>
      <c r="T209" s="51" t="str">
        <f>IF(A_tier2_on=1,M_Sims!M189,"-")</f>
        <v>-</v>
      </c>
      <c r="U209" s="46" t="str">
        <f>IF(OR(A_bankroll="",A_tier2_on&lt;&gt;1),"-",MIN(A_maxbet,M_Sims!M189*A_bankroll))</f>
        <v>-</v>
      </c>
      <c r="V209" s="30">
        <f>M_Sims!H189</f>
        <v>1</v>
      </c>
      <c r="W209" s="6" t="b">
        <f>AND(H209&lt;&gt;"IMPUTED_20C_LADDER",L209&gt;=A_minev,N209&gt;0,V209=1,IF(A209="PLAYOFFS",A_poconf=1,TRUE),IF(AND(A209="WINS",A_zs_on=1),AND(AE209&gt;=A_minev,M_Sims!O189&gt;0),TRUE),AF209&gt;=A_minev,AG209&gt;0,IF(I209&lt;A_longthr,(1-A_shrink)*M_Sims!K189+A_shrink*(I209*G209-1)&gt;=A_minev,TRUE),IF(AND(OR(A209="WINS",A209="PLAYOFFS",LEFT(A209,4)="DIV_"),INDEX(Raw_Teams!$F$8:$F$37,MATCH($C209,Raw_Teams!$A$8:$A$37,0))&lt;A_contthr),AND(((1-A_contshrink)*J209+A_contshrink*I209)*G209-1&gt;=A_minev,(1-A_contshrink)*N209+A_contshrink*(I209*G209-1)&gt;0),TRUE),M_Sims!P189=0)</f>
        <v>0</v>
      </c>
      <c r="X209" s="6" t="s">
        <v>1301</v>
      </c>
      <c r="Y209" s="6" t="s">
        <v>1310</v>
      </c>
      <c r="Z209" s="6">
        <v>106</v>
      </c>
      <c r="AA209" s="7" t="str">
        <f t="shared" si="61"/>
        <v>OK - sims match current assumptions</v>
      </c>
      <c r="AB209" s="13" t="s">
        <v>33</v>
      </c>
      <c r="AC209" s="13" t="s">
        <v>33</v>
      </c>
      <c r="AD209" s="13" t="s">
        <v>33</v>
      </c>
      <c r="AE209" s="13" t="s">
        <v>33</v>
      </c>
      <c r="AF209" s="34">
        <f t="shared" si="62"/>
        <v>6.7184659003074465E-3</v>
      </c>
      <c r="AG209" s="34">
        <f t="shared" si="63"/>
        <v>-6.6784450766359416E-2</v>
      </c>
      <c r="AH209" s="6" t="b">
        <f>AND(W209,I209&gt;=A_t1_fair,((1-A_t1_shrink)*J209+A_t1_shrink*I209)*G209-1&gt;=A_minev,(1-A_t1_shrink)*N209+A_t1_shrink*(I209*G209-1)&gt;0,M_Sims!Q189=1)</f>
        <v>0</v>
      </c>
      <c r="AI209" s="18">
        <f>IF(AH209,M_Sims!R189*A_t1_cap/A_t1_engcap,0)</f>
        <v>0</v>
      </c>
      <c r="AJ209" s="46" t="str">
        <f t="shared" si="64"/>
        <v>-</v>
      </c>
      <c r="AK209" s="7" t="str">
        <f>IF(AH209,M_Sims!S189,"-")</f>
        <v>-</v>
      </c>
      <c r="AL209" s="51">
        <f>M_Sims!M189</f>
        <v>0</v>
      </c>
      <c r="AM209" s="6" t="str">
        <f t="shared" si="65"/>
        <v>-</v>
      </c>
    </row>
    <row r="210" spans="1:39" ht="15" customHeight="1" x14ac:dyDescent="0.3">
      <c r="A210" s="6" t="s">
        <v>278</v>
      </c>
      <c r="B210" s="7" t="str">
        <f>Odds_Input!C115</f>
        <v>Golden State Warriors</v>
      </c>
      <c r="C210" s="6" t="s">
        <v>206</v>
      </c>
      <c r="D210" s="7" t="str">
        <f>Odds_Input!D115</f>
        <v>YES</v>
      </c>
      <c r="E210" s="31" t="str">
        <f>Odds_Input!E115</f>
        <v>-</v>
      </c>
      <c r="F210" s="32">
        <f>Odds_Input!F115</f>
        <v>115</v>
      </c>
      <c r="G210" s="36">
        <f>M_DeVig!H115</f>
        <v>2.15</v>
      </c>
      <c r="H210" s="7" t="str">
        <f>Odds_Input!G115</f>
        <v>-</v>
      </c>
      <c r="I210" s="42">
        <f>M_DeVig!Q115</f>
        <v>0.43313337449584394</v>
      </c>
      <c r="J210" s="42">
        <f>SUM(INDEX(M_Sims!$AA$15:$AD$44,MATCH($C210,M_Sims!$A$15:$A$44,0),0))</f>
        <v>0.37407999999999997</v>
      </c>
      <c r="K210" s="43">
        <f t="shared" si="55"/>
        <v>167.32249786142006</v>
      </c>
      <c r="L210" s="34">
        <f t="shared" si="56"/>
        <v>-0.19572800000000012</v>
      </c>
      <c r="M210" s="38">
        <f t="shared" si="57"/>
        <v>-5.9053374495843967</v>
      </c>
      <c r="N210" s="42">
        <f>M_Sims!B190</f>
        <v>-0.24989366666666671</v>
      </c>
      <c r="O210" s="42">
        <f>M_Sims!C190</f>
        <v>-0.1624603333333334</v>
      </c>
      <c r="P210" s="42">
        <f>M_Sims!D190</f>
        <v>0</v>
      </c>
      <c r="Q210" s="34">
        <f t="shared" si="58"/>
        <v>0.40360668724792192</v>
      </c>
      <c r="R210" s="18" t="str">
        <f t="shared" si="59"/>
        <v>-</v>
      </c>
      <c r="S210" s="46" t="str">
        <f t="shared" si="60"/>
        <v>-</v>
      </c>
      <c r="T210" s="51" t="str">
        <f>IF(A_tier2_on=1,M_Sims!M190,"-")</f>
        <v>-</v>
      </c>
      <c r="U210" s="46" t="str">
        <f>IF(OR(A_bankroll="",A_tier2_on&lt;&gt;1),"-",MIN(A_maxbet,M_Sims!M190*A_bankroll))</f>
        <v>-</v>
      </c>
      <c r="V210" s="30">
        <f>M_Sims!H190</f>
        <v>1</v>
      </c>
      <c r="W210" s="6" t="b">
        <f>AND(H210&lt;&gt;"IMPUTED_20C_LADDER",L210&gt;=A_minev,N210&gt;0,V210=1,IF(A210="PLAYOFFS",A_poconf=1,TRUE),IF(AND(A210="WINS",A_zs_on=1),AND(AE210&gt;=A_minev,M_Sims!O190&gt;0),TRUE),AF210&gt;=A_minev,AG210&gt;0,IF(I210&lt;A_longthr,(1-A_shrink)*M_Sims!K190+A_shrink*(I210*G210-1)&gt;=A_minev,TRUE),IF(AND(OR(A210="WINS",A210="PLAYOFFS",LEFT(A210,4)="DIV_"),INDEX(Raw_Teams!$F$8:$F$37,MATCH($C210,Raw_Teams!$A$8:$A$37,0))&lt;A_contthr),AND(((1-A_contshrink)*J210+A_contshrink*I210)*G210-1&gt;=A_minev,(1-A_contshrink)*N210+A_contshrink*(I210*G210-1)&gt;0),TRUE),M_Sims!P190=0)</f>
        <v>0</v>
      </c>
      <c r="X210" s="6" t="s">
        <v>1301</v>
      </c>
      <c r="Y210" s="6" t="s">
        <v>1310</v>
      </c>
      <c r="Z210" s="6">
        <v>107</v>
      </c>
      <c r="AA210" s="7" t="str">
        <f t="shared" si="61"/>
        <v>OK - sims match current assumptions</v>
      </c>
      <c r="AB210" s="13" t="s">
        <v>33</v>
      </c>
      <c r="AC210" s="13" t="s">
        <v>33</v>
      </c>
      <c r="AD210" s="13" t="s">
        <v>33</v>
      </c>
      <c r="AE210" s="13" t="s">
        <v>33</v>
      </c>
      <c r="AF210" s="34">
        <f t="shared" si="62"/>
        <v>-0.13224562241696791</v>
      </c>
      <c r="AG210" s="34">
        <f t="shared" si="63"/>
        <v>-0.15932845575030113</v>
      </c>
      <c r="AH210" s="6" t="b">
        <f>AND(W210,I210&gt;=A_t1_fair,((1-A_t1_shrink)*J210+A_t1_shrink*I210)*G210-1&gt;=A_minev,(1-A_t1_shrink)*N210+A_t1_shrink*(I210*G210-1)&gt;0,M_Sims!Q190=1)</f>
        <v>0</v>
      </c>
      <c r="AI210" s="18">
        <f>IF(AH210,M_Sims!R190*A_t1_cap/A_t1_engcap,0)</f>
        <v>0</v>
      </c>
      <c r="AJ210" s="46" t="str">
        <f t="shared" si="64"/>
        <v>-</v>
      </c>
      <c r="AK210" s="7" t="str">
        <f>IF(AH210,M_Sims!S190,"-")</f>
        <v>-</v>
      </c>
      <c r="AL210" s="51">
        <f>M_Sims!M190</f>
        <v>0</v>
      </c>
      <c r="AM210" s="6" t="str">
        <f t="shared" si="65"/>
        <v>-</v>
      </c>
    </row>
    <row r="211" spans="1:39" ht="15" customHeight="1" x14ac:dyDescent="0.3">
      <c r="A211" s="6" t="s">
        <v>278</v>
      </c>
      <c r="B211" s="7" t="str">
        <f>Odds_Input!C116</f>
        <v>Houston Rockets</v>
      </c>
      <c r="C211" s="6" t="s">
        <v>207</v>
      </c>
      <c r="D211" s="7" t="str">
        <f>Odds_Input!D116</f>
        <v>YES</v>
      </c>
      <c r="E211" s="31" t="str">
        <f>Odds_Input!E116</f>
        <v>-</v>
      </c>
      <c r="F211" s="32">
        <f>Odds_Input!F116</f>
        <v>225</v>
      </c>
      <c r="G211" s="36">
        <f>M_DeVig!H116</f>
        <v>3.25</v>
      </c>
      <c r="H211" s="7" t="str">
        <f>Odds_Input!G116</f>
        <v>-</v>
      </c>
      <c r="I211" s="42">
        <f>M_DeVig!Q116</f>
        <v>0.27572484127050539</v>
      </c>
      <c r="J211" s="42">
        <f>SUM(INDEX(M_Sims!$AA$15:$AD$44,MATCH($C211,M_Sims!$A$15:$A$44,0),0))</f>
        <v>0.14002000000000001</v>
      </c>
      <c r="K211" s="43">
        <f t="shared" si="55"/>
        <v>614.18368804456497</v>
      </c>
      <c r="L211" s="34">
        <f t="shared" si="56"/>
        <v>-0.54493499999999995</v>
      </c>
      <c r="M211" s="38">
        <f t="shared" si="57"/>
        <v>-13.570484127050539</v>
      </c>
      <c r="N211" s="42">
        <f>M_Sims!B191</f>
        <v>-0.65844666666666674</v>
      </c>
      <c r="O211" s="42">
        <f>M_Sims!C191</f>
        <v>-0.45194166666666669</v>
      </c>
      <c r="P211" s="42">
        <f>M_Sims!D191</f>
        <v>0</v>
      </c>
      <c r="Q211" s="34">
        <f t="shared" si="58"/>
        <v>0.20787242063525269</v>
      </c>
      <c r="R211" s="18" t="str">
        <f t="shared" si="59"/>
        <v>-</v>
      </c>
      <c r="S211" s="46" t="str">
        <f t="shared" si="60"/>
        <v>-</v>
      </c>
      <c r="T211" s="51" t="str">
        <f>IF(A_tier2_on=1,M_Sims!M191,"-")</f>
        <v>-</v>
      </c>
      <c r="U211" s="46" t="str">
        <f>IF(OR(A_bankroll="",A_tier2_on&lt;&gt;1),"-",MIN(A_maxbet,M_Sims!M191*A_bankroll))</f>
        <v>-</v>
      </c>
      <c r="V211" s="30">
        <f>M_Sims!H191</f>
        <v>1</v>
      </c>
      <c r="W211" s="6" t="b">
        <f>AND(H211&lt;&gt;"IMPUTED_20C_LADDER",L211&gt;=A_minev,N211&gt;0,V211=1,IF(A211="PLAYOFFS",A_poconf=1,TRUE),IF(AND(A211="WINS",A_zs_on=1),AND(AE211&gt;=A_minev,M_Sims!O191&gt;0),TRUE),AF211&gt;=A_minev,AG211&gt;0,IF(I211&lt;A_longthr,(1-A_shrink)*M_Sims!K191+A_shrink*(I211*G211-1)&gt;=A_minev,TRUE),IF(AND(OR(A211="WINS",A211="PLAYOFFS",LEFT(A211,4)="DIV_"),INDEX(Raw_Teams!$F$8:$F$37,MATCH($C211,Raw_Teams!$A$8:$A$37,0))&lt;A_contthr),AND(((1-A_contshrink)*J211+A_contshrink*I211)*G211-1&gt;=A_minev,(1-A_contshrink)*N211+A_contshrink*(I211*G211-1)&gt;0),TRUE),M_Sims!P191=0)</f>
        <v>0</v>
      </c>
      <c r="X211" s="6" t="s">
        <v>1301</v>
      </c>
      <c r="Y211" s="6" t="s">
        <v>1310</v>
      </c>
      <c r="Z211" s="6">
        <v>108</v>
      </c>
      <c r="AA211" s="7" t="str">
        <f t="shared" si="61"/>
        <v>OK - sims match current assumptions</v>
      </c>
      <c r="AB211" s="13" t="s">
        <v>33</v>
      </c>
      <c r="AC211" s="13" t="s">
        <v>33</v>
      </c>
      <c r="AD211" s="13" t="s">
        <v>33</v>
      </c>
      <c r="AE211" s="13" t="s">
        <v>33</v>
      </c>
      <c r="AF211" s="34">
        <f t="shared" si="62"/>
        <v>-0.32441463293542872</v>
      </c>
      <c r="AG211" s="34">
        <f t="shared" si="63"/>
        <v>-0.38117046626876211</v>
      </c>
      <c r="AH211" s="6" t="b">
        <f>AND(W211,I211&gt;=A_t1_fair,((1-A_t1_shrink)*J211+A_t1_shrink*I211)*G211-1&gt;=A_minev,(1-A_t1_shrink)*N211+A_t1_shrink*(I211*G211-1)&gt;0,M_Sims!Q191=1)</f>
        <v>0</v>
      </c>
      <c r="AI211" s="18">
        <f>IF(AH211,M_Sims!R191*A_t1_cap/A_t1_engcap,0)</f>
        <v>0</v>
      </c>
      <c r="AJ211" s="46" t="str">
        <f t="shared" si="64"/>
        <v>-</v>
      </c>
      <c r="AK211" s="7" t="str">
        <f>IF(AH211,M_Sims!S191,"-")</f>
        <v>-</v>
      </c>
      <c r="AL211" s="51">
        <f>M_Sims!M191</f>
        <v>0</v>
      </c>
      <c r="AM211" s="6" t="str">
        <f t="shared" si="65"/>
        <v>-</v>
      </c>
    </row>
    <row r="212" spans="1:39" ht="15" customHeight="1" x14ac:dyDescent="0.3">
      <c r="A212" s="6" t="s">
        <v>278</v>
      </c>
      <c r="B212" s="7" t="str">
        <f>Odds_Input!C117</f>
        <v>Los Angeles Clippers</v>
      </c>
      <c r="C212" s="6" t="s">
        <v>209</v>
      </c>
      <c r="D212" s="7" t="str">
        <f>Odds_Input!D117</f>
        <v>YES</v>
      </c>
      <c r="E212" s="31" t="str">
        <f>Odds_Input!E117</f>
        <v>-</v>
      </c>
      <c r="F212" s="32">
        <f>Odds_Input!F117</f>
        <v>350</v>
      </c>
      <c r="G212" s="36">
        <f>M_DeVig!H117</f>
        <v>4.5</v>
      </c>
      <c r="H212" s="7" t="str">
        <f>Odds_Input!G117</f>
        <v>-</v>
      </c>
      <c r="I212" s="42">
        <f>M_DeVig!Q117</f>
        <v>0.19319385335333814</v>
      </c>
      <c r="J212" s="42">
        <f>SUM(INDEX(M_Sims!$AA$15:$AD$44,MATCH($C212,M_Sims!$A$15:$A$44,0),0))</f>
        <v>0.23741000000000001</v>
      </c>
      <c r="K212" s="43">
        <f t="shared" si="55"/>
        <v>321.21224885219664</v>
      </c>
      <c r="L212" s="34">
        <f t="shared" si="56"/>
        <v>6.83450000000001E-2</v>
      </c>
      <c r="M212" s="38">
        <f t="shared" si="57"/>
        <v>4.4216146646661878</v>
      </c>
      <c r="N212" s="42">
        <f>M_Sims!B192</f>
        <v>-0.15298</v>
      </c>
      <c r="O212" s="42">
        <f>M_Sims!C192</f>
        <v>0.32578999999999991</v>
      </c>
      <c r="P212" s="42">
        <f>M_Sims!D192</f>
        <v>0.68333333333333335</v>
      </c>
      <c r="Q212" s="34">
        <f t="shared" si="58"/>
        <v>0.21530192667666909</v>
      </c>
      <c r="R212" s="18" t="str">
        <f t="shared" si="59"/>
        <v>-</v>
      </c>
      <c r="S212" s="46" t="str">
        <f t="shared" si="60"/>
        <v>-</v>
      </c>
      <c r="T212" s="51" t="str">
        <f>IF(A_tier2_on=1,M_Sims!M192,"-")</f>
        <v>-</v>
      </c>
      <c r="U212" s="46" t="str">
        <f>IF(OR(A_bankroll="",A_tier2_on&lt;&gt;1),"-",MIN(A_maxbet,M_Sims!M192*A_bankroll))</f>
        <v>-</v>
      </c>
      <c r="V212" s="30">
        <f>M_Sims!H192</f>
        <v>1</v>
      </c>
      <c r="W212" s="6" t="b">
        <f>AND(H212&lt;&gt;"IMPUTED_20C_LADDER",L212&gt;=A_minev,N212&gt;0,V212=1,IF(A212="PLAYOFFS",A_poconf=1,TRUE),IF(AND(A212="WINS",A_zs_on=1),AND(AE212&gt;=A_minev,M_Sims!O192&gt;0),TRUE),AF212&gt;=A_minev,AG212&gt;0,IF(I212&lt;A_longthr,(1-A_shrink)*M_Sims!K192+A_shrink*(I212*G212-1)&gt;=A_minev,TRUE),IF(AND(OR(A212="WINS",A212="PLAYOFFS",LEFT(A212,4)="DIV_"),INDEX(Raw_Teams!$F$8:$F$37,MATCH($C212,Raw_Teams!$A$8:$A$37,0))&lt;A_contthr),AND(((1-A_contshrink)*J212+A_contshrink*I212)*G212-1&gt;=A_minev,(1-A_contshrink)*N212+A_contshrink*(I212*G212-1)&gt;0),TRUE),M_Sims!P192=0)</f>
        <v>0</v>
      </c>
      <c r="X212" s="6" t="s">
        <v>1301</v>
      </c>
      <c r="Y212" s="6" t="s">
        <v>1310</v>
      </c>
      <c r="Z212" s="6">
        <v>109</v>
      </c>
      <c r="AA212" s="7" t="str">
        <f t="shared" si="61"/>
        <v>OK - sims match current assumptions</v>
      </c>
      <c r="AB212" s="13" t="s">
        <v>33</v>
      </c>
      <c r="AC212" s="13" t="s">
        <v>33</v>
      </c>
      <c r="AD212" s="13" t="s">
        <v>33</v>
      </c>
      <c r="AE212" s="13" t="s">
        <v>33</v>
      </c>
      <c r="AF212" s="34">
        <f t="shared" si="62"/>
        <v>-3.1141329954989083E-2</v>
      </c>
      <c r="AG212" s="34">
        <f t="shared" si="63"/>
        <v>-0.14180382995498919</v>
      </c>
      <c r="AH212" s="6" t="b">
        <f>AND(W212,I212&gt;=A_t1_fair,((1-A_t1_shrink)*J212+A_t1_shrink*I212)*G212-1&gt;=A_minev,(1-A_t1_shrink)*N212+A_t1_shrink*(I212*G212-1)&gt;0,M_Sims!Q192=1)</f>
        <v>0</v>
      </c>
      <c r="AI212" s="18">
        <f>IF(AH212,M_Sims!R192*A_t1_cap/A_t1_engcap,0)</f>
        <v>0</v>
      </c>
      <c r="AJ212" s="46" t="str">
        <f t="shared" si="64"/>
        <v>-</v>
      </c>
      <c r="AK212" s="7" t="str">
        <f>IF(AH212,M_Sims!S192,"-")</f>
        <v>-</v>
      </c>
      <c r="AL212" s="51">
        <f>M_Sims!M192</f>
        <v>0</v>
      </c>
      <c r="AM212" s="6" t="str">
        <f t="shared" si="65"/>
        <v>-</v>
      </c>
    </row>
    <row r="213" spans="1:39" ht="15" customHeight="1" x14ac:dyDescent="0.3">
      <c r="A213" s="6" t="s">
        <v>278</v>
      </c>
      <c r="B213" s="7" t="str">
        <f>Odds_Input!C118</f>
        <v>Los Angeles Lakers</v>
      </c>
      <c r="C213" s="6" t="s">
        <v>210</v>
      </c>
      <c r="D213" s="7" t="str">
        <f>Odds_Input!D118</f>
        <v>YES</v>
      </c>
      <c r="E213" s="31" t="str">
        <f>Odds_Input!E118</f>
        <v>-</v>
      </c>
      <c r="F213" s="32">
        <f>Odds_Input!F118</f>
        <v>165</v>
      </c>
      <c r="G213" s="36">
        <f>M_DeVig!H118</f>
        <v>2.65</v>
      </c>
      <c r="H213" s="7" t="str">
        <f>Odds_Input!G118</f>
        <v>-</v>
      </c>
      <c r="I213" s="42">
        <f>M_DeVig!Q118</f>
        <v>0.34463773837830525</v>
      </c>
      <c r="J213" s="42">
        <f>SUM(INDEX(M_Sims!$AA$15:$AD$44,MATCH($C213,M_Sims!$A$15:$A$44,0),0))</f>
        <v>0.32040000000000002</v>
      </c>
      <c r="K213" s="43">
        <f t="shared" si="55"/>
        <v>212.10986267166038</v>
      </c>
      <c r="L213" s="34">
        <f t="shared" si="56"/>
        <v>-0.15093999999999996</v>
      </c>
      <c r="M213" s="38">
        <f t="shared" si="57"/>
        <v>-2.4237738378305229</v>
      </c>
      <c r="N213" s="42">
        <f>M_Sims!B193</f>
        <v>-0.2075616666666667</v>
      </c>
      <c r="O213" s="42">
        <f>M_Sims!C193</f>
        <v>-8.2941000000000001E-2</v>
      </c>
      <c r="P213" s="42">
        <f>M_Sims!D193</f>
        <v>0</v>
      </c>
      <c r="Q213" s="34">
        <f t="shared" si="58"/>
        <v>0.33251886918915263</v>
      </c>
      <c r="R213" s="18" t="str">
        <f t="shared" si="59"/>
        <v>-</v>
      </c>
      <c r="S213" s="46" t="str">
        <f t="shared" si="60"/>
        <v>-</v>
      </c>
      <c r="T213" s="51" t="str">
        <f>IF(A_tier2_on=1,M_Sims!M193,"-")</f>
        <v>-</v>
      </c>
      <c r="U213" s="46" t="str">
        <f>IF(OR(A_bankroll="",A_tier2_on&lt;&gt;1),"-",MIN(A_maxbet,M_Sims!M193*A_bankroll))</f>
        <v>-</v>
      </c>
      <c r="V213" s="30">
        <f>M_Sims!H193</f>
        <v>1</v>
      </c>
      <c r="W213" s="6" t="b">
        <f>AND(H213&lt;&gt;"IMPUTED_20C_LADDER",L213&gt;=A_minev,N213&gt;0,V213=1,IF(A213="PLAYOFFS",A_poconf=1,TRUE),IF(AND(A213="WINS",A_zs_on=1),AND(AE213&gt;=A_minev,M_Sims!O193&gt;0),TRUE),AF213&gt;=A_minev,AG213&gt;0,IF(I213&lt;A_longthr,(1-A_shrink)*M_Sims!K193+A_shrink*(I213*G213-1)&gt;=A_minev,TRUE),IF(AND(OR(A213="WINS",A213="PLAYOFFS",LEFT(A213,4)="DIV_"),INDEX(Raw_Teams!$F$8:$F$37,MATCH($C213,Raw_Teams!$A$8:$A$37,0))&lt;A_contthr),AND(((1-A_contshrink)*J213+A_contshrink*I213)*G213-1&gt;=A_minev,(1-A_contshrink)*N213+A_contshrink*(I213*G213-1)&gt;0),TRUE),M_Sims!P193=0)</f>
        <v>0</v>
      </c>
      <c r="X213" s="6" t="s">
        <v>1301</v>
      </c>
      <c r="Y213" s="6" t="s">
        <v>1310</v>
      </c>
      <c r="Z213" s="6">
        <v>110</v>
      </c>
      <c r="AA213" s="7" t="str">
        <f t="shared" si="61"/>
        <v>OK - sims match current assumptions</v>
      </c>
      <c r="AB213" s="13" t="s">
        <v>33</v>
      </c>
      <c r="AC213" s="13" t="s">
        <v>33</v>
      </c>
      <c r="AD213" s="13" t="s">
        <v>33</v>
      </c>
      <c r="AE213" s="13" t="s">
        <v>33</v>
      </c>
      <c r="AF213" s="34">
        <f t="shared" si="62"/>
        <v>-0.11882499664874557</v>
      </c>
      <c r="AG213" s="34">
        <f t="shared" si="63"/>
        <v>-0.14713582998207889</v>
      </c>
      <c r="AH213" s="6" t="b">
        <f>AND(W213,I213&gt;=A_t1_fair,((1-A_t1_shrink)*J213+A_t1_shrink*I213)*G213-1&gt;=A_minev,(1-A_t1_shrink)*N213+A_t1_shrink*(I213*G213-1)&gt;0,M_Sims!Q193=1)</f>
        <v>0</v>
      </c>
      <c r="AI213" s="18">
        <f>IF(AH213,M_Sims!R193*A_t1_cap/A_t1_engcap,0)</f>
        <v>0</v>
      </c>
      <c r="AJ213" s="46" t="str">
        <f t="shared" si="64"/>
        <v>-</v>
      </c>
      <c r="AK213" s="7" t="str">
        <f>IF(AH213,M_Sims!S193,"-")</f>
        <v>-</v>
      </c>
      <c r="AL213" s="51">
        <f>M_Sims!M193</f>
        <v>0</v>
      </c>
      <c r="AM213" s="6" t="str">
        <f t="shared" si="65"/>
        <v>-</v>
      </c>
    </row>
    <row r="214" spans="1:39" ht="15" customHeight="1" x14ac:dyDescent="0.3">
      <c r="A214" s="52" t="s">
        <v>278</v>
      </c>
      <c r="B214" s="53" t="str">
        <f>Odds_Input!C119</f>
        <v>Memphis Grizzlies</v>
      </c>
      <c r="C214" s="52" t="s">
        <v>211</v>
      </c>
      <c r="D214" s="53" t="str">
        <f>Odds_Input!D119</f>
        <v>YES</v>
      </c>
      <c r="E214" s="54" t="str">
        <f>Odds_Input!E119</f>
        <v>-</v>
      </c>
      <c r="F214" s="55">
        <f>Odds_Input!F119</f>
        <v>325</v>
      </c>
      <c r="G214" s="56">
        <f>M_DeVig!H119</f>
        <v>4.25</v>
      </c>
      <c r="H214" s="53" t="str">
        <f>Odds_Input!G119</f>
        <v>BACKFILL_PDF1</v>
      </c>
      <c r="I214" s="42">
        <f>M_DeVig!Q119</f>
        <v>0.20564928684531336</v>
      </c>
      <c r="J214" s="42">
        <f>SUM(INDEX(M_Sims!$AA$15:$AD$44,MATCH($C214,M_Sims!$A$15:$A$44,0),0))</f>
        <v>0.37451999999999996</v>
      </c>
      <c r="K214" s="43">
        <f t="shared" si="55"/>
        <v>167.00843746662397</v>
      </c>
      <c r="L214" s="34">
        <f t="shared" si="56"/>
        <v>0.59170999999999996</v>
      </c>
      <c r="M214" s="38">
        <f t="shared" si="57"/>
        <v>16.88707131546866</v>
      </c>
      <c r="N214" s="42">
        <f>M_Sims!B194</f>
        <v>0.52413500000000002</v>
      </c>
      <c r="O214" s="42">
        <f>M_Sims!C194</f>
        <v>0.68826999999999994</v>
      </c>
      <c r="P214" s="42">
        <f>M_Sims!D194</f>
        <v>1</v>
      </c>
      <c r="Q214" s="34">
        <f t="shared" si="58"/>
        <v>0.29008464342265666</v>
      </c>
      <c r="R214" s="18" t="str">
        <f t="shared" si="59"/>
        <v>-</v>
      </c>
      <c r="S214" s="46" t="str">
        <f t="shared" si="60"/>
        <v>-</v>
      </c>
      <c r="T214" s="51" t="str">
        <f>IF(A_tier2_on=1,M_Sims!M194,"-")</f>
        <v>-</v>
      </c>
      <c r="U214" s="46" t="str">
        <f>IF(OR(A_bankroll="",A_tier2_on&lt;&gt;1),"-",MIN(A_maxbet,M_Sims!M194*A_bankroll))</f>
        <v>-</v>
      </c>
      <c r="V214" s="30">
        <f>M_Sims!H194</f>
        <v>1</v>
      </c>
      <c r="W214" s="6" t="b">
        <f>AND(H214&lt;&gt;"IMPUTED_20C_LADDER",L214&gt;=A_minev,N214&gt;0,V214=1,IF(A214="PLAYOFFS",A_poconf=1,TRUE),IF(AND(A214="WINS",A_zs_on=1),AND(AE214&gt;=A_minev,M_Sims!O194&gt;0),TRUE),AF214&gt;=A_minev,AG214&gt;0,IF(I214&lt;A_longthr,(1-A_shrink)*M_Sims!K194+A_shrink*(I214*G214-1)&gt;=A_minev,TRUE),IF(AND(OR(A214="WINS",A214="PLAYOFFS",LEFT(A214,4)="DIV_"),INDEX(Raw_Teams!$F$8:$F$37,MATCH($C214,Raw_Teams!$A$8:$A$37,0))&lt;A_contthr),AND(((1-A_contshrink)*J214+A_contshrink*I214)*G214-1&gt;=A_minev,(1-A_contshrink)*N214+A_contshrink*(I214*G214-1)&gt;0),TRUE),M_Sims!P194=0)</f>
        <v>1</v>
      </c>
      <c r="X214" s="6" t="s">
        <v>1301</v>
      </c>
      <c r="Y214" s="6" t="s">
        <v>1310</v>
      </c>
      <c r="Z214" s="6">
        <v>111</v>
      </c>
      <c r="AA214" s="7" t="str">
        <f t="shared" si="61"/>
        <v>OK - sims match current assumptions</v>
      </c>
      <c r="AB214" s="13" t="s">
        <v>33</v>
      </c>
      <c r="AC214" s="13" t="s">
        <v>33</v>
      </c>
      <c r="AD214" s="13" t="s">
        <v>33</v>
      </c>
      <c r="AE214" s="13" t="s">
        <v>33</v>
      </c>
      <c r="AF214" s="34">
        <f t="shared" si="62"/>
        <v>0.23285973454629083</v>
      </c>
      <c r="AG214" s="34">
        <f t="shared" si="63"/>
        <v>0.19907223454629092</v>
      </c>
      <c r="AH214" s="6" t="b">
        <f>AND(W214,I214&gt;=A_t1_fair,((1-A_t1_shrink)*J214+A_t1_shrink*I214)*G214-1&gt;=A_minev,(1-A_t1_shrink)*N214+A_t1_shrink*(I214*G214-1)&gt;0,M_Sims!Q194=1)</f>
        <v>0</v>
      </c>
      <c r="AI214" s="18">
        <f>IF(AH214,M_Sims!R194*A_t1_cap/A_t1_engcap,0)</f>
        <v>0</v>
      </c>
      <c r="AJ214" s="46" t="str">
        <f t="shared" si="64"/>
        <v>-</v>
      </c>
      <c r="AK214" s="7" t="str">
        <f>IF(AH214,M_Sims!S194,"-")</f>
        <v>-</v>
      </c>
      <c r="AL214" s="51">
        <f>M_Sims!M194</f>
        <v>2.1103783879526002E-3</v>
      </c>
      <c r="AM214" s="6" t="str">
        <f t="shared" si="65"/>
        <v>Tier 2</v>
      </c>
    </row>
    <row r="215" spans="1:39" ht="15" customHeight="1" x14ac:dyDescent="0.3">
      <c r="A215" s="6" t="s">
        <v>278</v>
      </c>
      <c r="B215" s="7" t="str">
        <f>Odds_Input!C120</f>
        <v>Minnesota Timberwolves</v>
      </c>
      <c r="C215" s="6" t="s">
        <v>214</v>
      </c>
      <c r="D215" s="7" t="str">
        <f>Odds_Input!D120</f>
        <v>YES</v>
      </c>
      <c r="E215" s="31" t="str">
        <f>Odds_Input!E120</f>
        <v>-</v>
      </c>
      <c r="F215" s="32">
        <f>Odds_Input!F120</f>
        <v>250</v>
      </c>
      <c r="G215" s="36">
        <f>M_DeVig!H120</f>
        <v>3.5</v>
      </c>
      <c r="H215" s="7" t="str">
        <f>Odds_Input!G120</f>
        <v>-</v>
      </c>
      <c r="I215" s="42">
        <f>M_DeVig!Q120</f>
        <v>0.25427039556249365</v>
      </c>
      <c r="J215" s="42">
        <f>SUM(INDEX(M_Sims!$AA$15:$AD$44,MATCH($C215,M_Sims!$A$15:$A$44,0),0))</f>
        <v>0.36267000000000005</v>
      </c>
      <c r="K215" s="43">
        <f t="shared" si="55"/>
        <v>175.73275980919288</v>
      </c>
      <c r="L215" s="34">
        <f t="shared" si="56"/>
        <v>0.26934500000000017</v>
      </c>
      <c r="M215" s="38">
        <f t="shared" si="57"/>
        <v>10.839960443750641</v>
      </c>
      <c r="N215" s="42">
        <f>M_Sims!B195</f>
        <v>0.20157333333333349</v>
      </c>
      <c r="O215" s="42">
        <f>M_Sims!C195</f>
        <v>0.33599666666666661</v>
      </c>
      <c r="P215" s="42">
        <f>M_Sims!D195</f>
        <v>1</v>
      </c>
      <c r="Q215" s="34">
        <f t="shared" si="58"/>
        <v>0.30847019778124685</v>
      </c>
      <c r="R215" s="18" t="str">
        <f t="shared" si="59"/>
        <v>-</v>
      </c>
      <c r="S215" s="46" t="str">
        <f t="shared" si="60"/>
        <v>-</v>
      </c>
      <c r="T215" s="51" t="str">
        <f>IF(A_tier2_on=1,M_Sims!M195,"-")</f>
        <v>-</v>
      </c>
      <c r="U215" s="46" t="str">
        <f>IF(OR(A_bankroll="",A_tier2_on&lt;&gt;1),"-",MIN(A_maxbet,M_Sims!M195*A_bankroll))</f>
        <v>-</v>
      </c>
      <c r="V215" s="30">
        <f>M_Sims!H195</f>
        <v>1</v>
      </c>
      <c r="W215" s="6" t="b">
        <f>AND(H215&lt;&gt;"IMPUTED_20C_LADDER",L215&gt;=A_minev,N215&gt;0,V215=1,IF(A215="PLAYOFFS",A_poconf=1,TRUE),IF(AND(A215="WINS",A_zs_on=1),AND(AE215&gt;=A_minev,M_Sims!O195&gt;0),TRUE),AF215&gt;=A_minev,AG215&gt;0,IF(I215&lt;A_longthr,(1-A_shrink)*M_Sims!K195+A_shrink*(I215*G215-1)&gt;=A_minev,TRUE),IF(AND(OR(A215="WINS",A215="PLAYOFFS",LEFT(A215,4)="DIV_"),INDEX(Raw_Teams!$F$8:$F$37,MATCH($C215,Raw_Teams!$A$8:$A$37,0))&lt;A_contthr),AND(((1-A_contshrink)*J215+A_contshrink*I215)*G215-1&gt;=A_minev,(1-A_contshrink)*N215+A_contshrink*(I215*G215-1)&gt;0),TRUE),M_Sims!P195=0)</f>
        <v>1</v>
      </c>
      <c r="X215" s="6" t="s">
        <v>1301</v>
      </c>
      <c r="Y215" s="6" t="s">
        <v>1310</v>
      </c>
      <c r="Z215" s="6">
        <v>112</v>
      </c>
      <c r="AA215" s="7" t="str">
        <f t="shared" si="61"/>
        <v>OK - sims match current assumptions</v>
      </c>
      <c r="AB215" s="13" t="s">
        <v>33</v>
      </c>
      <c r="AC215" s="13" t="s">
        <v>33</v>
      </c>
      <c r="AD215" s="13" t="s">
        <v>33</v>
      </c>
      <c r="AE215" s="13" t="s">
        <v>33</v>
      </c>
      <c r="AF215" s="34">
        <f t="shared" si="62"/>
        <v>7.9645692234364018E-2</v>
      </c>
      <c r="AG215" s="34">
        <f t="shared" si="63"/>
        <v>4.5759858901030626E-2</v>
      </c>
      <c r="AH215" s="6" t="b">
        <f>AND(W215,I215&gt;=A_t1_fair,((1-A_t1_shrink)*J215+A_t1_shrink*I215)*G215-1&gt;=A_minev,(1-A_t1_shrink)*N215+A_t1_shrink*(I215*G215-1)&gt;0,M_Sims!Q195=1)</f>
        <v>0</v>
      </c>
      <c r="AI215" s="18">
        <f>IF(AH215,M_Sims!R195*A_t1_cap/A_t1_engcap,0)</f>
        <v>0</v>
      </c>
      <c r="AJ215" s="46" t="str">
        <f t="shared" si="64"/>
        <v>-</v>
      </c>
      <c r="AK215" s="7" t="str">
        <f>IF(AH215,M_Sims!S195,"-")</f>
        <v>-</v>
      </c>
      <c r="AL215" s="51">
        <f>M_Sims!M195</f>
        <v>0</v>
      </c>
      <c r="AM215" s="6" t="str">
        <f t="shared" si="65"/>
        <v>Tier 2</v>
      </c>
    </row>
    <row r="216" spans="1:39" ht="15" customHeight="1" x14ac:dyDescent="0.3">
      <c r="A216" s="6" t="s">
        <v>278</v>
      </c>
      <c r="B216" s="7" t="str">
        <f>Odds_Input!C121</f>
        <v>New Orleans Pelicans</v>
      </c>
      <c r="C216" s="6" t="s">
        <v>215</v>
      </c>
      <c r="D216" s="7" t="str">
        <f>Odds_Input!D121</f>
        <v>YES</v>
      </c>
      <c r="E216" s="31" t="str">
        <f>Odds_Input!E121</f>
        <v>-</v>
      </c>
      <c r="F216" s="32">
        <f>Odds_Input!F121</f>
        <v>375</v>
      </c>
      <c r="G216" s="36">
        <f>M_DeVig!H121</f>
        <v>4.75</v>
      </c>
      <c r="H216" s="7" t="str">
        <f>Odds_Input!G121</f>
        <v>-</v>
      </c>
      <c r="I216" s="42">
        <f>M_DeVig!Q121</f>
        <v>0.18210708154671776</v>
      </c>
      <c r="J216" s="42">
        <f>SUM(INDEX(M_Sims!$AA$15:$AD$44,MATCH($C216,M_Sims!$A$15:$A$44,0),0))</f>
        <v>0.26428000000000001</v>
      </c>
      <c r="K216" s="43">
        <f t="shared" si="55"/>
        <v>278.38655970939908</v>
      </c>
      <c r="L216" s="34">
        <f t="shared" si="56"/>
        <v>0.25533000000000006</v>
      </c>
      <c r="M216" s="38">
        <f t="shared" si="57"/>
        <v>8.2172918453282264</v>
      </c>
      <c r="N216" s="42">
        <f>M_Sims!B196</f>
        <v>0.15219166666666659</v>
      </c>
      <c r="O216" s="42">
        <f>M_Sims!C196</f>
        <v>0.35786666666666672</v>
      </c>
      <c r="P216" s="42">
        <f>M_Sims!D196</f>
        <v>1</v>
      </c>
      <c r="Q216" s="34">
        <f t="shared" si="58"/>
        <v>0.2231935407733589</v>
      </c>
      <c r="R216" s="18" t="str">
        <f t="shared" si="59"/>
        <v>-</v>
      </c>
      <c r="S216" s="46" t="str">
        <f t="shared" si="60"/>
        <v>-</v>
      </c>
      <c r="T216" s="51" t="str">
        <f>IF(A_tier2_on=1,M_Sims!M196,"-")</f>
        <v>-</v>
      </c>
      <c r="U216" s="46" t="str">
        <f>IF(OR(A_bankroll="",A_tier2_on&lt;&gt;1),"-",MIN(A_maxbet,M_Sims!M196*A_bankroll))</f>
        <v>-</v>
      </c>
      <c r="V216" s="30">
        <f>M_Sims!H196</f>
        <v>1</v>
      </c>
      <c r="W216" s="6" t="b">
        <f>AND(H216&lt;&gt;"IMPUTED_20C_LADDER",L216&gt;=A_minev,N216&gt;0,V216=1,IF(A216="PLAYOFFS",A_poconf=1,TRUE),IF(AND(A216="WINS",A_zs_on=1),AND(AE216&gt;=A_minev,M_Sims!O196&gt;0),TRUE),AF216&gt;=A_minev,AG216&gt;0,IF(I216&lt;A_longthr,(1-A_shrink)*M_Sims!K196+A_shrink*(I216*G216-1)&gt;=A_minev,TRUE),IF(AND(OR(A216="WINS",A216="PLAYOFFS",LEFT(A216,4)="DIV_"),INDEX(Raw_Teams!$F$8:$F$37,MATCH($C216,Raw_Teams!$A$8:$A$37,0))&lt;A_contthr),AND(((1-A_contshrink)*J216+A_contshrink*I216)*G216-1&gt;=A_minev,(1-A_contshrink)*N216+A_contshrink*(I216*G216-1)&gt;0),TRUE),M_Sims!P196=0)</f>
        <v>1</v>
      </c>
      <c r="X216" s="6" t="s">
        <v>1301</v>
      </c>
      <c r="Y216" s="6" t="s">
        <v>1310</v>
      </c>
      <c r="Z216" s="6">
        <v>113</v>
      </c>
      <c r="AA216" s="7" t="str">
        <f t="shared" si="61"/>
        <v>OK - sims match current assumptions</v>
      </c>
      <c r="AB216" s="13" t="s">
        <v>33</v>
      </c>
      <c r="AC216" s="13" t="s">
        <v>33</v>
      </c>
      <c r="AD216" s="13" t="s">
        <v>33</v>
      </c>
      <c r="AE216" s="13" t="s">
        <v>33</v>
      </c>
      <c r="AF216" s="34">
        <f t="shared" si="62"/>
        <v>6.0169318673454875E-2</v>
      </c>
      <c r="AG216" s="34">
        <f t="shared" si="63"/>
        <v>8.6001520067879728E-3</v>
      </c>
      <c r="AH216" s="6" t="b">
        <f>AND(W216,I216&gt;=A_t1_fair,((1-A_t1_shrink)*J216+A_t1_shrink*I216)*G216-1&gt;=A_minev,(1-A_t1_shrink)*N216+A_t1_shrink*(I216*G216-1)&gt;0,M_Sims!Q196=1)</f>
        <v>0</v>
      </c>
      <c r="AI216" s="18">
        <f>IF(AH216,M_Sims!R196*A_t1_cap/A_t1_engcap,0)</f>
        <v>0</v>
      </c>
      <c r="AJ216" s="46" t="str">
        <f t="shared" si="64"/>
        <v>-</v>
      </c>
      <c r="AK216" s="7" t="str">
        <f>IF(AH216,M_Sims!S196,"-")</f>
        <v>-</v>
      </c>
      <c r="AL216" s="51">
        <f>M_Sims!M196</f>
        <v>1.1990015591821E-3</v>
      </c>
      <c r="AM216" s="6" t="str">
        <f t="shared" si="65"/>
        <v>Tier 2</v>
      </c>
    </row>
    <row r="217" spans="1:39" ht="15" customHeight="1" x14ac:dyDescent="0.3">
      <c r="A217" s="6" t="s">
        <v>278</v>
      </c>
      <c r="B217" s="7" t="str">
        <f>Odds_Input!C122</f>
        <v>Oklahoma City Thunder</v>
      </c>
      <c r="C217" s="6" t="s">
        <v>217</v>
      </c>
      <c r="D217" s="7" t="str">
        <f>Odds_Input!D122</f>
        <v>YES</v>
      </c>
      <c r="E217" s="31" t="str">
        <f>Odds_Input!E122</f>
        <v>-</v>
      </c>
      <c r="F217" s="32">
        <f>Odds_Input!F122</f>
        <v>4000</v>
      </c>
      <c r="G217" s="36">
        <f>M_DeVig!H122</f>
        <v>41</v>
      </c>
      <c r="H217" s="7" t="str">
        <f>Odds_Input!G122</f>
        <v>-</v>
      </c>
      <c r="I217" s="42">
        <f>M_DeVig!Q122</f>
        <v>1.7262953802109161E-2</v>
      </c>
      <c r="J217" s="42">
        <f>SUM(INDEX(M_Sims!$AA$15:$AD$44,MATCH($C217,M_Sims!$A$15:$A$44,0),0))</f>
        <v>5.8860000000000003E-2</v>
      </c>
      <c r="K217" s="43">
        <f t="shared" si="55"/>
        <v>1598.9466530750935</v>
      </c>
      <c r="L217" s="34">
        <f t="shared" si="56"/>
        <v>1.4132600000000002</v>
      </c>
      <c r="M217" s="38">
        <f t="shared" si="57"/>
        <v>4.1597046197890837</v>
      </c>
      <c r="N217" s="42">
        <f>M_Sims!B197</f>
        <v>0.45276666666666648</v>
      </c>
      <c r="O217" s="42">
        <f>M_Sims!C197</f>
        <v>3.1904733333333342</v>
      </c>
      <c r="P217" s="42">
        <f>M_Sims!D197</f>
        <v>0.98333333333333317</v>
      </c>
      <c r="Q217" s="34">
        <f t="shared" si="58"/>
        <v>3.8061476901054582E-2</v>
      </c>
      <c r="R217" s="18" t="str">
        <f t="shared" si="59"/>
        <v>-</v>
      </c>
      <c r="S217" s="46" t="str">
        <f t="shared" si="60"/>
        <v>-</v>
      </c>
      <c r="T217" s="51" t="str">
        <f>IF(A_tier2_on=1,M_Sims!M197,"-")</f>
        <v>-</v>
      </c>
      <c r="U217" s="46" t="str">
        <f>IF(OR(A_bankroll="",A_tier2_on&lt;&gt;1),"-",MIN(A_maxbet,M_Sims!M197*A_bankroll))</f>
        <v>-</v>
      </c>
      <c r="V217" s="30">
        <f>M_Sims!H197</f>
        <v>1</v>
      </c>
      <c r="W217" s="6" t="b">
        <f>AND(H217&lt;&gt;"IMPUTED_20C_LADDER",L217&gt;=A_minev,N217&gt;0,V217=1,IF(A217="PLAYOFFS",A_poconf=1,TRUE),IF(AND(A217="WINS",A_zs_on=1),AND(AE217&gt;=A_minev,M_Sims!O197&gt;0),TRUE),AF217&gt;=A_minev,AG217&gt;0,IF(I217&lt;A_longthr,(1-A_shrink)*M_Sims!K197+A_shrink*(I217*G217-1)&gt;=A_minev,TRUE),IF(AND(OR(A217="WINS",A217="PLAYOFFS",LEFT(A217,4)="DIV_"),INDEX(Raw_Teams!$F$8:$F$37,MATCH($C217,Raw_Teams!$A$8:$A$37,0))&lt;A_contthr),AND(((1-A_contshrink)*J217+A_contshrink*I217)*G217-1&gt;=A_minev,(1-A_contshrink)*N217+A_contshrink*(I217*G217-1)&gt;0),TRUE),M_Sims!P197=0)</f>
        <v>1</v>
      </c>
      <c r="X217" s="6" t="s">
        <v>1301</v>
      </c>
      <c r="Y217" s="6" t="s">
        <v>1310</v>
      </c>
      <c r="Z217" s="6">
        <v>114</v>
      </c>
      <c r="AA217" s="7" t="str">
        <f t="shared" si="61"/>
        <v>OK - sims match current assumptions</v>
      </c>
      <c r="AB217" s="13" t="s">
        <v>33</v>
      </c>
      <c r="AC217" s="13" t="s">
        <v>33</v>
      </c>
      <c r="AD217" s="13" t="s">
        <v>33</v>
      </c>
      <c r="AE217" s="13" t="s">
        <v>33</v>
      </c>
      <c r="AF217" s="34">
        <f t="shared" si="62"/>
        <v>0.56052055294323777</v>
      </c>
      <c r="AG217" s="34">
        <f t="shared" si="63"/>
        <v>8.0273886276571033E-2</v>
      </c>
      <c r="AH217" s="6" t="b">
        <f>AND(W217,I217&gt;=A_t1_fair,((1-A_t1_shrink)*J217+A_t1_shrink*I217)*G217-1&gt;=A_minev,(1-A_t1_shrink)*N217+A_t1_shrink*(I217*G217-1)&gt;0,M_Sims!Q197=1)</f>
        <v>0</v>
      </c>
      <c r="AI217" s="18">
        <f>IF(AH217,M_Sims!R197*A_t1_cap/A_t1_engcap,0)</f>
        <v>0</v>
      </c>
      <c r="AJ217" s="46" t="str">
        <f t="shared" si="64"/>
        <v>-</v>
      </c>
      <c r="AK217" s="7" t="str">
        <f>IF(AH217,M_Sims!S197,"-")</f>
        <v>-</v>
      </c>
      <c r="AL217" s="51">
        <f>M_Sims!M197</f>
        <v>1.1968157120296999E-3</v>
      </c>
      <c r="AM217" s="6" t="str">
        <f t="shared" si="65"/>
        <v>Tier 2</v>
      </c>
    </row>
    <row r="218" spans="1:39" ht="15" customHeight="1" x14ac:dyDescent="0.3">
      <c r="A218" s="6" t="s">
        <v>278</v>
      </c>
      <c r="B218" s="7" t="str">
        <f>Odds_Input!C123</f>
        <v>Phoenix Suns</v>
      </c>
      <c r="C218" s="6" t="s">
        <v>220</v>
      </c>
      <c r="D218" s="7" t="str">
        <f>Odds_Input!D123</f>
        <v>YES</v>
      </c>
      <c r="E218" s="31" t="str">
        <f>Odds_Input!E123</f>
        <v>-</v>
      </c>
      <c r="F218" s="32">
        <f>Odds_Input!F123</f>
        <v>-115</v>
      </c>
      <c r="G218" s="36">
        <f>M_DeVig!H123</f>
        <v>1.8695652173913042</v>
      </c>
      <c r="H218" s="7" t="str">
        <f>Odds_Input!G123</f>
        <v>-</v>
      </c>
      <c r="I218" s="42">
        <f>M_DeVig!Q123</f>
        <v>0.50462482149117838</v>
      </c>
      <c r="J218" s="42">
        <f>SUM(INDEX(M_Sims!$AA$15:$AD$44,MATCH($C218,M_Sims!$A$15:$A$44,0),0))</f>
        <v>0.40459999999999996</v>
      </c>
      <c r="K218" s="43">
        <f t="shared" si="55"/>
        <v>147.15768660405342</v>
      </c>
      <c r="L218" s="34">
        <f t="shared" si="56"/>
        <v>-0.24357391304347842</v>
      </c>
      <c r="M218" s="38">
        <f t="shared" si="57"/>
        <v>-10.002482149117842</v>
      </c>
      <c r="N218" s="42">
        <f>M_Sims!B198</f>
        <v>-0.28459217391304348</v>
      </c>
      <c r="O218" s="42">
        <f>M_Sims!C198</f>
        <v>-0.18991739130434779</v>
      </c>
      <c r="P218" s="42">
        <f>M_Sims!D198</f>
        <v>0</v>
      </c>
      <c r="Q218" s="34">
        <f t="shared" si="58"/>
        <v>0.45461241074558917</v>
      </c>
      <c r="R218" s="18" t="str">
        <f t="shared" si="59"/>
        <v>-</v>
      </c>
      <c r="S218" s="46" t="str">
        <f t="shared" si="60"/>
        <v>-</v>
      </c>
      <c r="T218" s="51" t="str">
        <f>IF(A_tier2_on=1,M_Sims!M198,"-")</f>
        <v>-</v>
      </c>
      <c r="U218" s="46" t="str">
        <f>IF(OR(A_bankroll="",A_tier2_on&lt;&gt;1),"-",MIN(A_maxbet,M_Sims!M198*A_bankroll))</f>
        <v>-</v>
      </c>
      <c r="V218" s="30">
        <f>M_Sims!H198</f>
        <v>1</v>
      </c>
      <c r="W218" s="6" t="b">
        <f>AND(H218&lt;&gt;"IMPUTED_20C_LADDER",L218&gt;=A_minev,N218&gt;0,V218=1,IF(A218="PLAYOFFS",A_poconf=1,TRUE),IF(AND(A218="WINS",A_zs_on=1),AND(AE218&gt;=A_minev,M_Sims!O198&gt;0),TRUE),AF218&gt;=A_minev,AG218&gt;0,IF(I218&lt;A_longthr,(1-A_shrink)*M_Sims!K198+A_shrink*(I218*G218-1)&gt;=A_minev,TRUE),IF(AND(OR(A218="WINS",A218="PLAYOFFS",LEFT(A218,4)="DIV_"),INDEX(Raw_Teams!$F$8:$F$37,MATCH($C218,Raw_Teams!$A$8:$A$37,0))&lt;A_contthr),AND(((1-A_contshrink)*J218+A_contshrink*I218)*G218-1&gt;=A_minev,(1-A_contshrink)*N218+A_contshrink*(I218*G218-1)&gt;0),TRUE),M_Sims!P198=0)</f>
        <v>0</v>
      </c>
      <c r="X218" s="6" t="s">
        <v>1301</v>
      </c>
      <c r="Y218" s="6" t="s">
        <v>1310</v>
      </c>
      <c r="Z218" s="6">
        <v>115</v>
      </c>
      <c r="AA218" s="7" t="str">
        <f t="shared" si="61"/>
        <v>OK - sims match current assumptions</v>
      </c>
      <c r="AB218" s="13" t="s">
        <v>33</v>
      </c>
      <c r="AC218" s="13" t="s">
        <v>33</v>
      </c>
      <c r="AD218" s="13" t="s">
        <v>33</v>
      </c>
      <c r="AE218" s="13" t="s">
        <v>33</v>
      </c>
      <c r="AF218" s="34">
        <f t="shared" si="62"/>
        <v>-0.15007244947563769</v>
      </c>
      <c r="AG218" s="34">
        <f t="shared" si="63"/>
        <v>-0.17058157991042022</v>
      </c>
      <c r="AH218" s="6" t="b">
        <f>AND(W218,I218&gt;=A_t1_fair,((1-A_t1_shrink)*J218+A_t1_shrink*I218)*G218-1&gt;=A_minev,(1-A_t1_shrink)*N218+A_t1_shrink*(I218*G218-1)&gt;0,M_Sims!Q198=1)</f>
        <v>0</v>
      </c>
      <c r="AI218" s="18">
        <f>IF(AH218,M_Sims!R198*A_t1_cap/A_t1_engcap,0)</f>
        <v>0</v>
      </c>
      <c r="AJ218" s="46" t="str">
        <f t="shared" si="64"/>
        <v>-</v>
      </c>
      <c r="AK218" s="7" t="str">
        <f>IF(AH218,M_Sims!S198,"-")</f>
        <v>-</v>
      </c>
      <c r="AL218" s="51">
        <f>M_Sims!M198</f>
        <v>0</v>
      </c>
      <c r="AM218" s="6" t="str">
        <f t="shared" si="65"/>
        <v>-</v>
      </c>
    </row>
    <row r="219" spans="1:39" ht="15" customHeight="1" x14ac:dyDescent="0.3">
      <c r="A219" s="6" t="s">
        <v>278</v>
      </c>
      <c r="B219" s="7" t="str">
        <f>Odds_Input!C124</f>
        <v>Portland Trail Blazers</v>
      </c>
      <c r="C219" s="6" t="s">
        <v>221</v>
      </c>
      <c r="D219" s="7" t="str">
        <f>Odds_Input!D124</f>
        <v>YES</v>
      </c>
      <c r="E219" s="31" t="str">
        <f>Odds_Input!E124</f>
        <v>-</v>
      </c>
      <c r="F219" s="32">
        <f>Odds_Input!F124</f>
        <v>100</v>
      </c>
      <c r="G219" s="36">
        <f>M_DeVig!H124</f>
        <v>2</v>
      </c>
      <c r="H219" s="7" t="str">
        <f>Odds_Input!G124</f>
        <v>-</v>
      </c>
      <c r="I219" s="42">
        <f>M_DeVig!Q124</f>
        <v>0.46876295599065643</v>
      </c>
      <c r="J219" s="42">
        <f>SUM(INDEX(M_Sims!$AA$15:$AD$44,MATCH($C219,M_Sims!$A$15:$A$44,0),0))</f>
        <v>0.34477000000000002</v>
      </c>
      <c r="K219" s="43">
        <f t="shared" si="55"/>
        <v>190.04843808916087</v>
      </c>
      <c r="L219" s="34">
        <f t="shared" si="56"/>
        <v>-0.31045999999999996</v>
      </c>
      <c r="M219" s="38">
        <f t="shared" si="57"/>
        <v>-12.39929559906564</v>
      </c>
      <c r="N219" s="42">
        <f>M_Sims!B199</f>
        <v>-0.3554666666666666</v>
      </c>
      <c r="O219" s="42">
        <f>M_Sims!C199</f>
        <v>-0.27987999999999991</v>
      </c>
      <c r="P219" s="42">
        <f>M_Sims!D199</f>
        <v>0</v>
      </c>
      <c r="Q219" s="34">
        <f t="shared" si="58"/>
        <v>0.40676647799532822</v>
      </c>
      <c r="R219" s="18" t="str">
        <f t="shared" si="59"/>
        <v>-</v>
      </c>
      <c r="S219" s="46" t="str">
        <f t="shared" si="60"/>
        <v>-</v>
      </c>
      <c r="T219" s="51" t="str">
        <f>IF(A_tier2_on=1,M_Sims!M199,"-")</f>
        <v>-</v>
      </c>
      <c r="U219" s="46" t="str">
        <f>IF(OR(A_bankroll="",A_tier2_on&lt;&gt;1),"-",MIN(A_maxbet,M_Sims!M199*A_bankroll))</f>
        <v>-</v>
      </c>
      <c r="V219" s="30">
        <f>M_Sims!H199</f>
        <v>1</v>
      </c>
      <c r="W219" s="6" t="b">
        <f>AND(H219&lt;&gt;"IMPUTED_20C_LADDER",L219&gt;=A_minev,N219&gt;0,V219=1,IF(A219="PLAYOFFS",A_poconf=1,TRUE),IF(AND(A219="WINS",A_zs_on=1),AND(AE219&gt;=A_minev,M_Sims!O199&gt;0),TRUE),AF219&gt;=A_minev,AG219&gt;0,IF(I219&lt;A_longthr,(1-A_shrink)*M_Sims!K199+A_shrink*(I219*G219-1)&gt;=A_minev,TRUE),IF(AND(OR(A219="WINS",A219="PLAYOFFS",LEFT(A219,4)="DIV_"),INDEX(Raw_Teams!$F$8:$F$37,MATCH($C219,Raw_Teams!$A$8:$A$37,0))&lt;A_contthr),AND(((1-A_contshrink)*J219+A_contshrink*I219)*G219-1&gt;=A_minev,(1-A_contshrink)*N219+A_contshrink*(I219*G219-1)&gt;0),TRUE),M_Sims!P199=0)</f>
        <v>0</v>
      </c>
      <c r="X219" s="6" t="s">
        <v>1301</v>
      </c>
      <c r="Y219" s="6" t="s">
        <v>1310</v>
      </c>
      <c r="Z219" s="6">
        <v>116</v>
      </c>
      <c r="AA219" s="7" t="str">
        <f t="shared" si="61"/>
        <v>OK - sims match current assumptions</v>
      </c>
      <c r="AB219" s="13" t="s">
        <v>33</v>
      </c>
      <c r="AC219" s="13" t="s">
        <v>33</v>
      </c>
      <c r="AD219" s="13" t="s">
        <v>33</v>
      </c>
      <c r="AE219" s="13" t="s">
        <v>33</v>
      </c>
      <c r="AF219" s="34">
        <f t="shared" si="62"/>
        <v>-0.18646704400934355</v>
      </c>
      <c r="AG219" s="34">
        <f t="shared" si="63"/>
        <v>-0.20897037734267687</v>
      </c>
      <c r="AH219" s="6" t="b">
        <f>AND(W219,I219&gt;=A_t1_fair,((1-A_t1_shrink)*J219+A_t1_shrink*I219)*G219-1&gt;=A_minev,(1-A_t1_shrink)*N219+A_t1_shrink*(I219*G219-1)&gt;0,M_Sims!Q199=1)</f>
        <v>0</v>
      </c>
      <c r="AI219" s="18">
        <f>IF(AH219,M_Sims!R199*A_t1_cap/A_t1_engcap,0)</f>
        <v>0</v>
      </c>
      <c r="AJ219" s="46" t="str">
        <f t="shared" si="64"/>
        <v>-</v>
      </c>
      <c r="AK219" s="7" t="str">
        <f>IF(AH219,M_Sims!S199,"-")</f>
        <v>-</v>
      </c>
      <c r="AL219" s="51">
        <f>M_Sims!M199</f>
        <v>0</v>
      </c>
      <c r="AM219" s="6" t="str">
        <f t="shared" si="65"/>
        <v>-</v>
      </c>
    </row>
    <row r="220" spans="1:39" ht="15" customHeight="1" x14ac:dyDescent="0.3">
      <c r="A220" s="6" t="s">
        <v>278</v>
      </c>
      <c r="B220" s="7" t="str">
        <f>Odds_Input!C125</f>
        <v>Sacramento Kings</v>
      </c>
      <c r="C220" s="6" t="s">
        <v>222</v>
      </c>
      <c r="D220" s="7" t="str">
        <f>Odds_Input!D125</f>
        <v>YES</v>
      </c>
      <c r="E220" s="31" t="str">
        <f>Odds_Input!E125</f>
        <v>-</v>
      </c>
      <c r="F220" s="32">
        <f>Odds_Input!F125</f>
        <v>1400</v>
      </c>
      <c r="G220" s="36">
        <f>M_DeVig!H125</f>
        <v>15</v>
      </c>
      <c r="H220" s="7" t="str">
        <f>Odds_Input!G125</f>
        <v>-</v>
      </c>
      <c r="I220" s="42">
        <f>M_DeVig!Q125</f>
        <v>5.1814400854137542E-2</v>
      </c>
      <c r="J220" s="42">
        <f>SUM(INDEX(M_Sims!$AA$15:$AD$44,MATCH($C220,M_Sims!$A$15:$A$44,0),0))</f>
        <v>7.6009999999999994E-2</v>
      </c>
      <c r="K220" s="43">
        <f t="shared" si="55"/>
        <v>1215.6163662675965</v>
      </c>
      <c r="L220" s="34">
        <f t="shared" si="56"/>
        <v>0.14015</v>
      </c>
      <c r="M220" s="38">
        <f t="shared" si="57"/>
        <v>2.4195599145862454</v>
      </c>
      <c r="N220" s="42">
        <f>M_Sims!B200</f>
        <v>-0.2576</v>
      </c>
      <c r="O220" s="42">
        <f>M_Sims!C200</f>
        <v>0.51429999999999998</v>
      </c>
      <c r="P220" s="42">
        <f>M_Sims!D200</f>
        <v>0.7</v>
      </c>
      <c r="Q220" s="34">
        <f t="shared" si="58"/>
        <v>6.3912200427068772E-2</v>
      </c>
      <c r="R220" s="18" t="str">
        <f t="shared" si="59"/>
        <v>-</v>
      </c>
      <c r="S220" s="46" t="str">
        <f t="shared" si="60"/>
        <v>-</v>
      </c>
      <c r="T220" s="51" t="str">
        <f>IF(A_tier2_on=1,M_Sims!M200,"-")</f>
        <v>-</v>
      </c>
      <c r="U220" s="46" t="str">
        <f>IF(OR(A_bankroll="",A_tier2_on&lt;&gt;1),"-",MIN(A_maxbet,M_Sims!M200*A_bankroll))</f>
        <v>-</v>
      </c>
      <c r="V220" s="30">
        <f>M_Sims!H200</f>
        <v>0</v>
      </c>
      <c r="W220" s="6" t="b">
        <f>AND(H220&lt;&gt;"IMPUTED_20C_LADDER",L220&gt;=A_minev,N220&gt;0,V220=1,IF(A220="PLAYOFFS",A_poconf=1,TRUE),IF(AND(A220="WINS",A_zs_on=1),AND(AE220&gt;=A_minev,M_Sims!O200&gt;0),TRUE),AF220&gt;=A_minev,AG220&gt;0,IF(I220&lt;A_longthr,(1-A_shrink)*M_Sims!K200+A_shrink*(I220*G220-1)&gt;=A_minev,TRUE),IF(AND(OR(A220="WINS",A220="PLAYOFFS",LEFT(A220,4)="DIV_"),INDEX(Raw_Teams!$F$8:$F$37,MATCH($C220,Raw_Teams!$A$8:$A$37,0))&lt;A_contthr),AND(((1-A_contshrink)*J220+A_contshrink*I220)*G220-1&gt;=A_minev,(1-A_contshrink)*N220+A_contshrink*(I220*G220-1)&gt;0),TRUE),M_Sims!P200=0)</f>
        <v>0</v>
      </c>
      <c r="X220" s="6" t="s">
        <v>1301</v>
      </c>
      <c r="Y220" s="6" t="s">
        <v>1310</v>
      </c>
      <c r="Z220" s="6">
        <v>117</v>
      </c>
      <c r="AA220" s="7" t="str">
        <f t="shared" si="61"/>
        <v>OK - sims match current assumptions</v>
      </c>
      <c r="AB220" s="13" t="s">
        <v>33</v>
      </c>
      <c r="AC220" s="13" t="s">
        <v>33</v>
      </c>
      <c r="AD220" s="13" t="s">
        <v>33</v>
      </c>
      <c r="AE220" s="13" t="s">
        <v>33</v>
      </c>
      <c r="AF220" s="34">
        <f t="shared" si="62"/>
        <v>-4.1316993593968454E-2</v>
      </c>
      <c r="AG220" s="34">
        <f t="shared" si="63"/>
        <v>-0.24019199359396845</v>
      </c>
      <c r="AH220" s="6" t="b">
        <f>AND(W220,I220&gt;=A_t1_fair,((1-A_t1_shrink)*J220+A_t1_shrink*I220)*G220-1&gt;=A_minev,(1-A_t1_shrink)*N220+A_t1_shrink*(I220*G220-1)&gt;0,M_Sims!Q200=1)</f>
        <v>0</v>
      </c>
      <c r="AI220" s="18">
        <f>IF(AH220,M_Sims!R200*A_t1_cap/A_t1_engcap,0)</f>
        <v>0</v>
      </c>
      <c r="AJ220" s="46" t="str">
        <f t="shared" si="64"/>
        <v>-</v>
      </c>
      <c r="AK220" s="7" t="str">
        <f>IF(AH220,M_Sims!S200,"-")</f>
        <v>-</v>
      </c>
      <c r="AL220" s="51">
        <f>M_Sims!M200</f>
        <v>0</v>
      </c>
      <c r="AM220" s="6" t="str">
        <f t="shared" si="65"/>
        <v>-</v>
      </c>
    </row>
    <row r="221" spans="1:39" ht="15" customHeight="1" x14ac:dyDescent="0.3">
      <c r="A221" s="6" t="s">
        <v>278</v>
      </c>
      <c r="B221" s="7" t="str">
        <f>Odds_Input!C126</f>
        <v>San Antonio Spurs</v>
      </c>
      <c r="C221" s="6" t="s">
        <v>223</v>
      </c>
      <c r="D221" s="7" t="str">
        <f>Odds_Input!D126</f>
        <v>YES</v>
      </c>
      <c r="E221" s="31" t="str">
        <f>Odds_Input!E126</f>
        <v>-</v>
      </c>
      <c r="F221" s="32">
        <f>Odds_Input!F126</f>
        <v>3500</v>
      </c>
      <c r="G221" s="36">
        <f>M_DeVig!H126</f>
        <v>36</v>
      </c>
      <c r="H221" s="7" t="str">
        <f>Odds_Input!G126</f>
        <v>-</v>
      </c>
      <c r="I221" s="42">
        <f>M_DeVig!Q126</f>
        <v>1.9900003715376421E-2</v>
      </c>
      <c r="J221" s="42">
        <f>SUM(INDEX(M_Sims!$AA$15:$AD$44,MATCH($C221,M_Sims!$A$15:$A$44,0),0))</f>
        <v>0.13275999999999999</v>
      </c>
      <c r="K221" s="43">
        <f t="shared" si="55"/>
        <v>653.23892738776749</v>
      </c>
      <c r="L221" s="34">
        <f t="shared" si="56"/>
        <v>3.7793599999999996</v>
      </c>
      <c r="M221" s="38">
        <f t="shared" si="57"/>
        <v>11.285999628462356</v>
      </c>
      <c r="N221" s="42">
        <f>M_Sims!B201</f>
        <v>2.7235999999999998</v>
      </c>
      <c r="O221" s="42">
        <f>M_Sims!C201</f>
        <v>4.5924800000000001</v>
      </c>
      <c r="P221" s="42">
        <f>M_Sims!D201</f>
        <v>1</v>
      </c>
      <c r="Q221" s="34">
        <f t="shared" si="58"/>
        <v>7.6330001857688207E-2</v>
      </c>
      <c r="R221" s="18" t="str">
        <f t="shared" si="59"/>
        <v>-</v>
      </c>
      <c r="S221" s="46" t="str">
        <f t="shared" si="60"/>
        <v>-</v>
      </c>
      <c r="T221" s="51" t="str">
        <f>IF(A_tier2_on=1,M_Sims!M201,"-")</f>
        <v>-</v>
      </c>
      <c r="U221" s="46" t="str">
        <f>IF(OR(A_bankroll="",A_tier2_on&lt;&gt;1),"-",MIN(A_maxbet,M_Sims!M201*A_bankroll))</f>
        <v>-</v>
      </c>
      <c r="V221" s="30">
        <f>M_Sims!H201</f>
        <v>1</v>
      </c>
      <c r="W221" s="6" t="b">
        <f>AND(H221&lt;&gt;"IMPUTED_20C_LADDER",L221&gt;=A_minev,N221&gt;0,V221=1,IF(A221="PLAYOFFS",A_poconf=1,TRUE),IF(AND(A221="WINS",A_zs_on=1),AND(AE221&gt;=A_minev,M_Sims!O201&gt;0),TRUE),AF221&gt;=A_minev,AG221&gt;0,IF(I221&lt;A_longthr,(1-A_shrink)*M_Sims!K201+A_shrink*(I221*G221-1)&gt;=A_minev,TRUE),IF(AND(OR(A221="WINS",A221="PLAYOFFS",LEFT(A221,4)="DIV_"),INDEX(Raw_Teams!$F$8:$F$37,MATCH($C221,Raw_Teams!$A$8:$A$37,0))&lt;A_contthr),AND(((1-A_contshrink)*J221+A_contshrink*I221)*G221-1&gt;=A_minev,(1-A_contshrink)*N221+A_contshrink*(I221*G221-1)&gt;0),TRUE),M_Sims!P201=0)</f>
        <v>1</v>
      </c>
      <c r="X221" s="6" t="s">
        <v>1301</v>
      </c>
      <c r="Y221" s="6" t="s">
        <v>1310</v>
      </c>
      <c r="Z221" s="6">
        <v>118</v>
      </c>
      <c r="AA221" s="7" t="str">
        <f t="shared" si="61"/>
        <v>OK - sims match current assumptions</v>
      </c>
      <c r="AB221" s="13" t="s">
        <v>33</v>
      </c>
      <c r="AC221" s="13" t="s">
        <v>33</v>
      </c>
      <c r="AD221" s="13" t="s">
        <v>33</v>
      </c>
      <c r="AE221" s="13" t="s">
        <v>33</v>
      </c>
      <c r="AF221" s="34">
        <f t="shared" si="62"/>
        <v>1.7478800668767756</v>
      </c>
      <c r="AG221" s="34">
        <f t="shared" si="63"/>
        <v>1.2200000668767754</v>
      </c>
      <c r="AH221" s="6" t="b">
        <f>AND(W221,I221&gt;=A_t1_fair,((1-A_t1_shrink)*J221+A_t1_shrink*I221)*G221-1&gt;=A_minev,(1-A_t1_shrink)*N221+A_t1_shrink*(I221*G221-1)&gt;0,M_Sims!Q201=1)</f>
        <v>0</v>
      </c>
      <c r="AI221" s="18">
        <f>IF(AH221,M_Sims!R201*A_t1_cap/A_t1_engcap,0)</f>
        <v>0</v>
      </c>
      <c r="AJ221" s="46" t="str">
        <f t="shared" si="64"/>
        <v>-</v>
      </c>
      <c r="AK221" s="7" t="str">
        <f>IF(AH221,M_Sims!S201,"-")</f>
        <v>-</v>
      </c>
      <c r="AL221" s="51">
        <f>M_Sims!M201</f>
        <v>6.0619804602142996E-3</v>
      </c>
      <c r="AM221" s="6" t="str">
        <f t="shared" si="65"/>
        <v>Tier 2</v>
      </c>
    </row>
    <row r="222" spans="1:39" ht="15" customHeight="1" x14ac:dyDescent="0.3">
      <c r="A222" s="6" t="s">
        <v>278</v>
      </c>
      <c r="B222" s="7" t="str">
        <f>Odds_Input!C127</f>
        <v>Utah Jazz</v>
      </c>
      <c r="C222" s="6" t="s">
        <v>225</v>
      </c>
      <c r="D222" s="7" t="str">
        <f>Odds_Input!D127</f>
        <v>YES</v>
      </c>
      <c r="E222" s="31" t="str">
        <f>Odds_Input!E127</f>
        <v>-</v>
      </c>
      <c r="F222" s="32">
        <f>Odds_Input!F127</f>
        <v>115</v>
      </c>
      <c r="G222" s="36">
        <f>M_DeVig!H127</f>
        <v>2.15</v>
      </c>
      <c r="H222" s="7" t="str">
        <f>Odds_Input!G127</f>
        <v>-</v>
      </c>
      <c r="I222" s="42">
        <f>M_DeVig!Q127</f>
        <v>0.43313337449584394</v>
      </c>
      <c r="J222" s="42">
        <f>SUM(INDEX(M_Sims!$AA$15:$AD$44,MATCH($C222,M_Sims!$A$15:$A$44,0),0))</f>
        <v>0.30231999999999998</v>
      </c>
      <c r="K222" s="43">
        <f t="shared" si="55"/>
        <v>230.77533739084416</v>
      </c>
      <c r="L222" s="34">
        <f t="shared" si="56"/>
        <v>-0.3500120000000001</v>
      </c>
      <c r="M222" s="38">
        <f t="shared" si="57"/>
        <v>-13.081337449584396</v>
      </c>
      <c r="N222" s="42">
        <f>M_Sims!B202</f>
        <v>-0.38944299999999998</v>
      </c>
      <c r="O222" s="42">
        <f>M_Sims!C202</f>
        <v>-0.31297466666666668</v>
      </c>
      <c r="P222" s="42">
        <f>M_Sims!D202</f>
        <v>0</v>
      </c>
      <c r="Q222" s="34">
        <f t="shared" si="58"/>
        <v>0.36772668724792196</v>
      </c>
      <c r="R222" s="18" t="str">
        <f t="shared" si="59"/>
        <v>-</v>
      </c>
      <c r="S222" s="46" t="str">
        <f t="shared" si="60"/>
        <v>-</v>
      </c>
      <c r="T222" s="51" t="str">
        <f>IF(A_tier2_on=1,M_Sims!M202,"-")</f>
        <v>-</v>
      </c>
      <c r="U222" s="46" t="str">
        <f>IF(OR(A_bankroll="",A_tier2_on&lt;&gt;1),"-",MIN(A_maxbet,M_Sims!M202*A_bankroll))</f>
        <v>-</v>
      </c>
      <c r="V222" s="30">
        <f>M_Sims!H202</f>
        <v>0</v>
      </c>
      <c r="W222" s="6" t="b">
        <f>AND(H222&lt;&gt;"IMPUTED_20C_LADDER",L222&gt;=A_minev,N222&gt;0,V222=1,IF(A222="PLAYOFFS",A_poconf=1,TRUE),IF(AND(A222="WINS",A_zs_on=1),AND(AE222&gt;=A_minev,M_Sims!O202&gt;0),TRUE),AF222&gt;=A_minev,AG222&gt;0,IF(I222&lt;A_longthr,(1-A_shrink)*M_Sims!K202+A_shrink*(I222*G222-1)&gt;=A_minev,TRUE),IF(AND(OR(A222="WINS",A222="PLAYOFFS",LEFT(A222,4)="DIV_"),INDEX(Raw_Teams!$F$8:$F$37,MATCH($C222,Raw_Teams!$A$8:$A$37,0))&lt;A_contthr),AND(((1-A_contshrink)*J222+A_contshrink*I222)*G222-1&gt;=A_minev,(1-A_contshrink)*N222+A_contshrink*(I222*G222-1)&gt;0),TRUE),M_Sims!P202=0)</f>
        <v>0</v>
      </c>
      <c r="X222" s="6" t="s">
        <v>1301</v>
      </c>
      <c r="Y222" s="6" t="s">
        <v>1310</v>
      </c>
      <c r="Z222" s="6">
        <v>119</v>
      </c>
      <c r="AA222" s="7" t="str">
        <f t="shared" si="61"/>
        <v>OK - sims match current assumptions</v>
      </c>
      <c r="AB222" s="13" t="s">
        <v>33</v>
      </c>
      <c r="AC222" s="13" t="s">
        <v>33</v>
      </c>
      <c r="AD222" s="13" t="s">
        <v>33</v>
      </c>
      <c r="AE222" s="13" t="s">
        <v>33</v>
      </c>
      <c r="AF222" s="34">
        <f t="shared" si="62"/>
        <v>-0.20938762241696784</v>
      </c>
      <c r="AG222" s="34">
        <f t="shared" si="63"/>
        <v>-0.22910312241696779</v>
      </c>
      <c r="AH222" s="6" t="b">
        <f>AND(W222,I222&gt;=A_t1_fair,((1-A_t1_shrink)*J222+A_t1_shrink*I222)*G222-1&gt;=A_minev,(1-A_t1_shrink)*N222+A_t1_shrink*(I222*G222-1)&gt;0,M_Sims!Q202=1)</f>
        <v>0</v>
      </c>
      <c r="AI222" s="18">
        <f>IF(AH222,M_Sims!R202*A_t1_cap/A_t1_engcap,0)</f>
        <v>0</v>
      </c>
      <c r="AJ222" s="46" t="str">
        <f t="shared" si="64"/>
        <v>-</v>
      </c>
      <c r="AK222" s="7" t="str">
        <f>IF(AH222,M_Sims!S202,"-")</f>
        <v>-</v>
      </c>
      <c r="AL222" s="51">
        <f>M_Sims!M202</f>
        <v>0</v>
      </c>
      <c r="AM222" s="6" t="str">
        <f t="shared" si="65"/>
        <v>-</v>
      </c>
    </row>
    <row r="223" spans="1:39" ht="15" customHeight="1" x14ac:dyDescent="0.3"/>
    <row r="224" spans="1:39" ht="15" customHeight="1" x14ac:dyDescent="0.3">
      <c r="A224" s="48" t="s">
        <v>284</v>
      </c>
      <c r="B224" s="49" t="s">
        <v>1311</v>
      </c>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row>
    <row r="225" spans="1:39" ht="15" customHeight="1" x14ac:dyDescent="0.3">
      <c r="A225" s="6" t="s">
        <v>284</v>
      </c>
      <c r="B225" s="7" t="str">
        <f>Odds_Input!C188</f>
        <v>Boston Celtics</v>
      </c>
      <c r="C225" s="6" t="s">
        <v>199</v>
      </c>
      <c r="D225" s="7" t="str">
        <f>Odds_Input!D188</f>
        <v>YES</v>
      </c>
      <c r="E225" s="31" t="str">
        <f>Odds_Input!E188</f>
        <v>-</v>
      </c>
      <c r="F225" s="32">
        <f>Odds_Input!F188</f>
        <v>-875</v>
      </c>
      <c r="G225" s="36">
        <f>M_DeVig!H188</f>
        <v>1.1142857142857143</v>
      </c>
      <c r="H225" s="7" t="str">
        <f>Odds_Input!G188</f>
        <v>-</v>
      </c>
      <c r="I225" s="42">
        <f>M_DeVig!Q188</f>
        <v>0.86176142698555536</v>
      </c>
      <c r="J225" s="42">
        <f>IF(A_podef="Bracket",INDEX(M_Sims!$E$15:$E$44,MATCH($C225,M_Sims!$A$15:$A$44,0)),INDEX(M_Sims!$D$15:$D$44,MATCH($C225,M_Sims!$A$15:$A$44,0)))</f>
        <v>0.89695000000000003</v>
      </c>
      <c r="K225" s="43">
        <f t="shared" ref="K225:K256" si="66">IF(J225&gt;=0.5,-100*J225/(1-J225),100*(1-J225)/J225)</f>
        <v>-870.40271712760818</v>
      </c>
      <c r="L225" s="34">
        <f t="shared" ref="L225:L256" si="67">J225*G225-1</f>
        <v>-5.4142857142847056E-4</v>
      </c>
      <c r="M225" s="38">
        <f t="shared" ref="M225:M256" si="68">(J225-I225)*100</f>
        <v>3.5188573014444668</v>
      </c>
      <c r="N225" s="42">
        <f>IF(A_podef="Bracket",M_Sims!B263,M_Sims!F263)</f>
        <v>-3.2175999999999899E-2</v>
      </c>
      <c r="O225" s="42">
        <f>IF(A_podef="Bracket",M_Sims!C263,M_Sims!G263)</f>
        <v>2.5848571428571401E-2</v>
      </c>
      <c r="P225" s="42">
        <f>M_Sims!D263</f>
        <v>0.56666666666666665</v>
      </c>
      <c r="Q225" s="34">
        <f t="shared" ref="Q225:Q256" si="69">(1-A_shrink)*J225+A_shrink*I225</f>
        <v>0.87935571349277764</v>
      </c>
      <c r="R225" s="18" t="str">
        <f t="shared" ref="R225:R256" si="70">IF(A_tier2_on=1,MAX(0,(Q225*G225-1)/(G225-1))*A_kelly,"-")</f>
        <v>-</v>
      </c>
      <c r="S225" s="46" t="str">
        <f t="shared" ref="S225:S256" si="71">IF(OR(A_bankroll="",A_tier2_on&lt;&gt;1),"-",MIN(A_maxbet,MAX(0,(Q225*G225-1)/(G225-1))*A_kelly*A_bankroll))</f>
        <v>-</v>
      </c>
      <c r="T225" s="51" t="str">
        <f>IF(A_tier2_on=1,M_Sims!M263,"-")</f>
        <v>-</v>
      </c>
      <c r="U225" s="46" t="str">
        <f>IF(OR(A_bankroll="",A_tier2_on&lt;&gt;1),"-",MIN(A_maxbet,M_Sims!M263*A_bankroll))</f>
        <v>-</v>
      </c>
      <c r="V225" s="30">
        <f>M_Sims!H263</f>
        <v>1</v>
      </c>
      <c r="W225" s="6" t="b">
        <f>AND(H225&lt;&gt;"IMPUTED_20C_LADDER",L225&gt;=A_minev,N225&gt;0,V225=1,IF(A225="PLAYOFFS",A_poconf=1,TRUE),IF(AND(A225="WINS",A_zs_on=1),AND(AE225&gt;=A_minev,M_Sims!O263&gt;0),TRUE),AF225&gt;=A_minev,AG225&gt;0,IF(I225&lt;A_longthr,(1-A_shrink)*M_Sims!K263+A_shrink*(I225*G225-1)&gt;=A_minev,TRUE),IF(AND(OR(A225="WINS",A225="PLAYOFFS",LEFT(A225,4)="DIV_"),INDEX(Raw_Teams!$F$8:$F$37,MATCH($C225,Raw_Teams!$A$8:$A$37,0))&lt;A_contthr),AND(((1-A_contshrink)*J225+A_contshrink*I225)*G225-1&gt;=A_minev,(1-A_contshrink)*N225+A_contshrink*(I225*G225-1)&gt;0),TRUE),M_Sims!P263=0)</f>
        <v>0</v>
      </c>
      <c r="X225" s="6" t="s">
        <v>1301</v>
      </c>
      <c r="Y225" s="6" t="s">
        <v>1312</v>
      </c>
      <c r="Z225" s="6">
        <v>180</v>
      </c>
      <c r="AA225" s="7" t="str">
        <f t="shared" ref="AA225:AA256" si="72">Sim_Stale</f>
        <v>OK - sims match current assumptions</v>
      </c>
      <c r="AB225" s="13" t="s">
        <v>33</v>
      </c>
      <c r="AC225" s="13" t="s">
        <v>33</v>
      </c>
      <c r="AD225" s="13" t="s">
        <v>33</v>
      </c>
      <c r="AE225" s="13" t="s">
        <v>33</v>
      </c>
      <c r="AF225" s="34">
        <f t="shared" ref="AF225:AF256" si="73">Q225*G225-1</f>
        <v>-2.014649067947627E-2</v>
      </c>
      <c r="AG225" s="34">
        <f t="shared" ref="AG225:AG256" si="74">(1-A_shrink)*N225+A_shrink*(I225*G225-1)</f>
        <v>-3.5963776393761929E-2</v>
      </c>
      <c r="AH225" s="6" t="b">
        <f>AND(W225,I225&gt;=A_t1_fair,((1-A_t1_shrink)*J225+A_t1_shrink*I225)*G225-1&gt;=A_minev,(1-A_t1_shrink)*N225+A_t1_shrink*(I225*G225-1)&gt;0,M_Sims!Q263=1)</f>
        <v>0</v>
      </c>
      <c r="AI225" s="18">
        <f>IF(AH225,M_Sims!R263*A_t1_cap/A_t1_engcap,0)</f>
        <v>0</v>
      </c>
      <c r="AJ225" s="46" t="str">
        <f t="shared" ref="AJ225:AJ256" si="75">IF(OR(A_bankroll="",NOT(AH225)),"-",MIN(A_maxbet,AI225*A_bankroll))</f>
        <v>-</v>
      </c>
      <c r="AK225" s="7" t="str">
        <f>IF(AH225,M_Sims!S263,"-")</f>
        <v>-</v>
      </c>
      <c r="AL225" s="51">
        <f>M_Sims!M263</f>
        <v>0</v>
      </c>
      <c r="AM225" s="6" t="str">
        <f t="shared" ref="AM225:AM256" si="76">IF(W225,IF(AH225,"Tier 1","Tier 2"),"-")</f>
        <v>-</v>
      </c>
    </row>
    <row r="226" spans="1:39" ht="15" customHeight="1" x14ac:dyDescent="0.3">
      <c r="A226" s="6" t="s">
        <v>284</v>
      </c>
      <c r="B226" s="7" t="str">
        <f>Odds_Input!C189</f>
        <v>Boston Celtics</v>
      </c>
      <c r="C226" s="6" t="s">
        <v>199</v>
      </c>
      <c r="D226" s="7" t="str">
        <f>Odds_Input!D189</f>
        <v>NO</v>
      </c>
      <c r="E226" s="31" t="str">
        <f>Odds_Input!E189</f>
        <v>-</v>
      </c>
      <c r="F226" s="32">
        <f>Odds_Input!F189</f>
        <v>475</v>
      </c>
      <c r="G226" s="36">
        <f>M_DeVig!H189</f>
        <v>5.75</v>
      </c>
      <c r="H226" s="7" t="str">
        <f>Odds_Input!G189</f>
        <v>-</v>
      </c>
      <c r="I226" s="42">
        <f>M_DeVig!Q189</f>
        <v>0.13823857305504472</v>
      </c>
      <c r="J226" s="42">
        <f>1-(IF(A_podef="Bracket",INDEX(M_Sims!$E$15:$E$44,MATCH($C226,M_Sims!$A$15:$A$44,0)),INDEX(M_Sims!$D$15:$D$44,MATCH($C226,M_Sims!$A$15:$A$44,0))))</f>
        <v>0.10304999999999997</v>
      </c>
      <c r="K226" s="43">
        <f t="shared" si="66"/>
        <v>870.40271712760818</v>
      </c>
      <c r="L226" s="34">
        <f t="shared" si="67"/>
        <v>-0.40746250000000017</v>
      </c>
      <c r="M226" s="38">
        <f t="shared" si="68"/>
        <v>-3.5188573055044747</v>
      </c>
      <c r="N226" s="42">
        <f>IF(A_podef="Bracket",M_Sims!B264,M_Sims!F264)</f>
        <v>-0.54364166666666658</v>
      </c>
      <c r="O226" s="42">
        <f>IF(A_podef="Bracket",M_Sims!C264,M_Sims!G264)</f>
        <v>-0.2442200000000001</v>
      </c>
      <c r="P226" s="42">
        <f>M_Sims!D264</f>
        <v>0</v>
      </c>
      <c r="Q226" s="34">
        <f t="shared" si="69"/>
        <v>0.12064428652752235</v>
      </c>
      <c r="R226" s="18" t="str">
        <f t="shared" si="70"/>
        <v>-</v>
      </c>
      <c r="S226" s="46" t="str">
        <f t="shared" si="71"/>
        <v>-</v>
      </c>
      <c r="T226" s="51" t="str">
        <f>IF(A_tier2_on=1,M_Sims!M264,"-")</f>
        <v>-</v>
      </c>
      <c r="U226" s="46" t="str">
        <f>IF(OR(A_bankroll="",A_tier2_on&lt;&gt;1),"-",MIN(A_maxbet,M_Sims!M264*A_bankroll))</f>
        <v>-</v>
      </c>
      <c r="V226" s="30">
        <f>M_Sims!H264</f>
        <v>1</v>
      </c>
      <c r="W226" s="6" t="b">
        <f>AND(H226&lt;&gt;"IMPUTED_20C_LADDER",L226&gt;=A_minev,N226&gt;0,V226=1,IF(A226="PLAYOFFS",A_poconf=1,TRUE),IF(AND(A226="WINS",A_zs_on=1),AND(AE226&gt;=A_minev,M_Sims!O264&gt;0),TRUE),AF226&gt;=A_minev,AG226&gt;0,IF(I226&lt;A_longthr,(1-A_shrink)*M_Sims!K264+A_shrink*(I226*G226-1)&gt;=A_minev,TRUE),IF(AND(OR(A226="WINS",A226="PLAYOFFS",LEFT(A226,4)="DIV_"),INDEX(Raw_Teams!$F$8:$F$37,MATCH($C226,Raw_Teams!$A$8:$A$37,0))&lt;A_contthr),AND(((1-A_contshrink)*J226+A_contshrink*I226)*G226-1&gt;=A_minev,(1-A_contshrink)*N226+A_contshrink*(I226*G226-1)&gt;0),TRUE),M_Sims!P264=0)</f>
        <v>0</v>
      </c>
      <c r="X226" s="6" t="s">
        <v>1301</v>
      </c>
      <c r="Y226" s="6" t="s">
        <v>1312</v>
      </c>
      <c r="Z226" s="6">
        <v>181</v>
      </c>
      <c r="AA226" s="7" t="str">
        <f t="shared" si="72"/>
        <v>OK - sims match current assumptions</v>
      </c>
      <c r="AB226" s="13" t="s">
        <v>33</v>
      </c>
      <c r="AC226" s="13" t="s">
        <v>33</v>
      </c>
      <c r="AD226" s="13" t="s">
        <v>33</v>
      </c>
      <c r="AE226" s="13" t="s">
        <v>33</v>
      </c>
      <c r="AF226" s="34">
        <f t="shared" si="73"/>
        <v>-0.30629535246674644</v>
      </c>
      <c r="AG226" s="34">
        <f t="shared" si="74"/>
        <v>-0.3743849358000797</v>
      </c>
      <c r="AH226" s="6" t="b">
        <f>AND(W226,I226&gt;=A_t1_fair,((1-A_t1_shrink)*J226+A_t1_shrink*I226)*G226-1&gt;=A_minev,(1-A_t1_shrink)*N226+A_t1_shrink*(I226*G226-1)&gt;0,M_Sims!Q264=1)</f>
        <v>0</v>
      </c>
      <c r="AI226" s="18">
        <f>IF(AH226,M_Sims!R264*A_t1_cap/A_t1_engcap,0)</f>
        <v>0</v>
      </c>
      <c r="AJ226" s="46" t="str">
        <f t="shared" si="75"/>
        <v>-</v>
      </c>
      <c r="AK226" s="7" t="str">
        <f>IF(AH226,M_Sims!S264,"-")</f>
        <v>-</v>
      </c>
      <c r="AL226" s="51">
        <f>M_Sims!M264</f>
        <v>0</v>
      </c>
      <c r="AM226" s="6" t="str">
        <f t="shared" si="76"/>
        <v>-</v>
      </c>
    </row>
    <row r="227" spans="1:39" ht="15" customHeight="1" x14ac:dyDescent="0.3">
      <c r="A227" s="6" t="s">
        <v>284</v>
      </c>
      <c r="B227" s="7" t="str">
        <f>Odds_Input!C190</f>
        <v>Detroit Pistons</v>
      </c>
      <c r="C227" s="6" t="s">
        <v>205</v>
      </c>
      <c r="D227" s="7" t="str">
        <f>Odds_Input!D190</f>
        <v>YES</v>
      </c>
      <c r="E227" s="31" t="str">
        <f>Odds_Input!E190</f>
        <v>-</v>
      </c>
      <c r="F227" s="32">
        <f>Odds_Input!F190</f>
        <v>-550</v>
      </c>
      <c r="G227" s="36">
        <f>M_DeVig!H190</f>
        <v>1.1818181818181819</v>
      </c>
      <c r="H227" s="7" t="str">
        <f>Odds_Input!G190</f>
        <v>-</v>
      </c>
      <c r="I227" s="42">
        <f>M_DeVig!Q190</f>
        <v>0.81781376517646998</v>
      </c>
      <c r="J227" s="42">
        <f>IF(A_podef="Bracket",INDEX(M_Sims!$E$15:$E$44,MATCH($C227,M_Sims!$A$15:$A$44,0)),INDEX(M_Sims!$D$15:$D$44,MATCH($C227,M_Sims!$A$15:$A$44,0)))</f>
        <v>0.79817000000000005</v>
      </c>
      <c r="K227" s="43">
        <f t="shared" si="66"/>
        <v>-395.46648169251364</v>
      </c>
      <c r="L227" s="34">
        <f t="shared" si="67"/>
        <v>-5.6708181818181713E-2</v>
      </c>
      <c r="M227" s="38">
        <f t="shared" si="68"/>
        <v>-1.9643765176469929</v>
      </c>
      <c r="N227" s="42">
        <f>IF(A_podef="Bracket",M_Sims!B265,M_Sims!F265)</f>
        <v>-7.9111515151515002E-2</v>
      </c>
      <c r="O227" s="42">
        <f>IF(A_podef="Bracket",M_Sims!C265,M_Sims!G265)</f>
        <v>-1.9532121212121101E-2</v>
      </c>
      <c r="P227" s="42">
        <f>M_Sims!D265</f>
        <v>1.6666666666666601E-2</v>
      </c>
      <c r="Q227" s="34">
        <f t="shared" si="69"/>
        <v>0.80799188258823507</v>
      </c>
      <c r="R227" s="18" t="str">
        <f t="shared" si="70"/>
        <v>-</v>
      </c>
      <c r="S227" s="46" t="str">
        <f t="shared" si="71"/>
        <v>-</v>
      </c>
      <c r="T227" s="51" t="str">
        <f>IF(A_tier2_on=1,M_Sims!M265,"-")</f>
        <v>-</v>
      </c>
      <c r="U227" s="46" t="str">
        <f>IF(OR(A_bankroll="",A_tier2_on&lt;&gt;1),"-",MIN(A_maxbet,M_Sims!M265*A_bankroll))</f>
        <v>-</v>
      </c>
      <c r="V227" s="30">
        <f>M_Sims!H265</f>
        <v>1</v>
      </c>
      <c r="W227" s="6" t="b">
        <f>AND(H227&lt;&gt;"IMPUTED_20C_LADDER",L227&gt;=A_minev,N227&gt;0,V227=1,IF(A227="PLAYOFFS",A_poconf=1,TRUE),IF(AND(A227="WINS",A_zs_on=1),AND(AE227&gt;=A_minev,M_Sims!O265&gt;0),TRUE),AF227&gt;=A_minev,AG227&gt;0,IF(I227&lt;A_longthr,(1-A_shrink)*M_Sims!K265+A_shrink*(I227*G227-1)&gt;=A_minev,TRUE),IF(AND(OR(A227="WINS",A227="PLAYOFFS",LEFT(A227,4)="DIV_"),INDEX(Raw_Teams!$F$8:$F$37,MATCH($C227,Raw_Teams!$A$8:$A$37,0))&lt;A_contthr),AND(((1-A_contshrink)*J227+A_contshrink*I227)*G227-1&gt;=A_minev,(1-A_contshrink)*N227+A_contshrink*(I227*G227-1)&gt;0),TRUE),M_Sims!P265=0)</f>
        <v>0</v>
      </c>
      <c r="X227" s="6" t="s">
        <v>1301</v>
      </c>
      <c r="Y227" s="6" t="s">
        <v>1312</v>
      </c>
      <c r="Z227" s="6">
        <v>182</v>
      </c>
      <c r="AA227" s="7" t="str">
        <f t="shared" si="72"/>
        <v>OK - sims match current assumptions</v>
      </c>
      <c r="AB227" s="13" t="s">
        <v>33</v>
      </c>
      <c r="AC227" s="13" t="s">
        <v>33</v>
      </c>
      <c r="AD227" s="13" t="s">
        <v>33</v>
      </c>
      <c r="AE227" s="13" t="s">
        <v>33</v>
      </c>
      <c r="AF227" s="34">
        <f t="shared" si="73"/>
        <v>-4.5100502395722164E-2</v>
      </c>
      <c r="AG227" s="34">
        <f t="shared" si="74"/>
        <v>-5.6302169062388864E-2</v>
      </c>
      <c r="AH227" s="6" t="b">
        <f>AND(W227,I227&gt;=A_t1_fair,((1-A_t1_shrink)*J227+A_t1_shrink*I227)*G227-1&gt;=A_minev,(1-A_t1_shrink)*N227+A_t1_shrink*(I227*G227-1)&gt;0,M_Sims!Q265=1)</f>
        <v>0</v>
      </c>
      <c r="AI227" s="18">
        <f>IF(AH227,M_Sims!R265*A_t1_cap/A_t1_engcap,0)</f>
        <v>0</v>
      </c>
      <c r="AJ227" s="46" t="str">
        <f t="shared" si="75"/>
        <v>-</v>
      </c>
      <c r="AK227" s="7" t="str">
        <f>IF(AH227,M_Sims!S265,"-")</f>
        <v>-</v>
      </c>
      <c r="AL227" s="51">
        <f>M_Sims!M265</f>
        <v>0</v>
      </c>
      <c r="AM227" s="6" t="str">
        <f t="shared" si="76"/>
        <v>-</v>
      </c>
    </row>
    <row r="228" spans="1:39" ht="15" customHeight="1" x14ac:dyDescent="0.3">
      <c r="A228" s="6" t="s">
        <v>284</v>
      </c>
      <c r="B228" s="7" t="str">
        <f>Odds_Input!C191</f>
        <v>Detroit Pistons</v>
      </c>
      <c r="C228" s="6" t="s">
        <v>205</v>
      </c>
      <c r="D228" s="7" t="str">
        <f>Odds_Input!D191</f>
        <v>NO</v>
      </c>
      <c r="E228" s="31" t="str">
        <f>Odds_Input!E191</f>
        <v>-</v>
      </c>
      <c r="F228" s="32">
        <f>Odds_Input!F191</f>
        <v>375</v>
      </c>
      <c r="G228" s="36">
        <f>M_DeVig!H191</f>
        <v>4.75</v>
      </c>
      <c r="H228" s="7" t="str">
        <f>Odds_Input!G191</f>
        <v>-</v>
      </c>
      <c r="I228" s="42">
        <f>M_DeVig!Q191</f>
        <v>0.18218623479507012</v>
      </c>
      <c r="J228" s="42">
        <f>1-(IF(A_podef="Bracket",INDEX(M_Sims!$E$15:$E$44,MATCH($C228,M_Sims!$A$15:$A$44,0)),INDEX(M_Sims!$D$15:$D$44,MATCH($C228,M_Sims!$A$15:$A$44,0))))</f>
        <v>0.20182999999999995</v>
      </c>
      <c r="K228" s="43">
        <f t="shared" si="66"/>
        <v>395.46648169251364</v>
      </c>
      <c r="L228" s="34">
        <f t="shared" si="67"/>
        <v>-4.1307500000000275E-2</v>
      </c>
      <c r="M228" s="38">
        <f t="shared" si="68"/>
        <v>1.9643765204929831</v>
      </c>
      <c r="N228" s="42">
        <f>IF(A_podef="Bracket",M_Sims!B266,M_Sims!F266)</f>
        <v>-0.19072666666666679</v>
      </c>
      <c r="O228" s="42">
        <f>IF(A_podef="Bracket",M_Sims!C266,M_Sims!G266)</f>
        <v>4.8736666666666602E-2</v>
      </c>
      <c r="P228" s="42">
        <f>M_Sims!D266</f>
        <v>0.2</v>
      </c>
      <c r="Q228" s="34">
        <f t="shared" si="69"/>
        <v>0.19200811739753504</v>
      </c>
      <c r="R228" s="18" t="str">
        <f t="shared" si="70"/>
        <v>-</v>
      </c>
      <c r="S228" s="46" t="str">
        <f t="shared" si="71"/>
        <v>-</v>
      </c>
      <c r="T228" s="51" t="str">
        <f>IF(A_tier2_on=1,M_Sims!M266,"-")</f>
        <v>-</v>
      </c>
      <c r="U228" s="46" t="str">
        <f>IF(OR(A_bankroll="",A_tier2_on&lt;&gt;1),"-",MIN(A_maxbet,M_Sims!M266*A_bankroll))</f>
        <v>-</v>
      </c>
      <c r="V228" s="30">
        <f>M_Sims!H266</f>
        <v>1</v>
      </c>
      <c r="W228" s="6" t="b">
        <f>AND(H228&lt;&gt;"IMPUTED_20C_LADDER",L228&gt;=A_minev,N228&gt;0,V228=1,IF(A228="PLAYOFFS",A_poconf=1,TRUE),IF(AND(A228="WINS",A_zs_on=1),AND(AE228&gt;=A_minev,M_Sims!O266&gt;0),TRUE),AF228&gt;=A_minev,AG228&gt;0,IF(I228&lt;A_longthr,(1-A_shrink)*M_Sims!K266+A_shrink*(I228*G228-1)&gt;=A_minev,TRUE),IF(AND(OR(A228="WINS",A228="PLAYOFFS",LEFT(A228,4)="DIV_"),INDEX(Raw_Teams!$F$8:$F$37,MATCH($C228,Raw_Teams!$A$8:$A$37,0))&lt;A_contthr),AND(((1-A_contshrink)*J228+A_contshrink*I228)*G228-1&gt;=A_minev,(1-A_contshrink)*N228+A_contshrink*(I228*G228-1)&gt;0),TRUE),M_Sims!P266=0)</f>
        <v>0</v>
      </c>
      <c r="X228" s="6" t="s">
        <v>1301</v>
      </c>
      <c r="Y228" s="6" t="s">
        <v>1312</v>
      </c>
      <c r="Z228" s="6">
        <v>183</v>
      </c>
      <c r="AA228" s="7" t="str">
        <f t="shared" si="72"/>
        <v>OK - sims match current assumptions</v>
      </c>
      <c r="AB228" s="13" t="s">
        <v>33</v>
      </c>
      <c r="AC228" s="13" t="s">
        <v>33</v>
      </c>
      <c r="AD228" s="13" t="s">
        <v>33</v>
      </c>
      <c r="AE228" s="13" t="s">
        <v>33</v>
      </c>
      <c r="AF228" s="34">
        <f t="shared" si="73"/>
        <v>-8.7961442361708553E-2</v>
      </c>
      <c r="AG228" s="34">
        <f t="shared" si="74"/>
        <v>-0.16267102569504188</v>
      </c>
      <c r="AH228" s="6" t="b">
        <f>AND(W228,I228&gt;=A_t1_fair,((1-A_t1_shrink)*J228+A_t1_shrink*I228)*G228-1&gt;=A_minev,(1-A_t1_shrink)*N228+A_t1_shrink*(I228*G228-1)&gt;0,M_Sims!Q266=1)</f>
        <v>0</v>
      </c>
      <c r="AI228" s="18">
        <f>IF(AH228,M_Sims!R266*A_t1_cap/A_t1_engcap,0)</f>
        <v>0</v>
      </c>
      <c r="AJ228" s="46" t="str">
        <f t="shared" si="75"/>
        <v>-</v>
      </c>
      <c r="AK228" s="7" t="str">
        <f>IF(AH228,M_Sims!S266,"-")</f>
        <v>-</v>
      </c>
      <c r="AL228" s="51">
        <f>M_Sims!M266</f>
        <v>0</v>
      </c>
      <c r="AM228" s="6" t="str">
        <f t="shared" si="76"/>
        <v>-</v>
      </c>
    </row>
    <row r="229" spans="1:39" ht="15" customHeight="1" x14ac:dyDescent="0.3">
      <c r="A229" s="6" t="s">
        <v>284</v>
      </c>
      <c r="B229" s="7" t="str">
        <f>Odds_Input!C192</f>
        <v>New York Knicks</v>
      </c>
      <c r="C229" s="6" t="s">
        <v>216</v>
      </c>
      <c r="D229" s="7" t="str">
        <f>Odds_Input!D192</f>
        <v>YES</v>
      </c>
      <c r="E229" s="31" t="str">
        <f>Odds_Input!E192</f>
        <v>-</v>
      </c>
      <c r="F229" s="32">
        <f>Odds_Input!F192</f>
        <v>-1100</v>
      </c>
      <c r="G229" s="36">
        <f>M_DeVig!H192</f>
        <v>1.0909090909090908</v>
      </c>
      <c r="H229" s="7" t="str">
        <f>Odds_Input!G192</f>
        <v>-</v>
      </c>
      <c r="I229" s="42">
        <f>M_DeVig!Q192</f>
        <v>0.89166666666961003</v>
      </c>
      <c r="J229" s="42">
        <f>IF(A_podef="Bracket",INDEX(M_Sims!$E$15:$E$44,MATCH($C229,M_Sims!$A$15:$A$44,0)),INDEX(M_Sims!$D$15:$D$44,MATCH($C229,M_Sims!$A$15:$A$44,0)))</f>
        <v>0.68301999999999996</v>
      </c>
      <c r="K229" s="43">
        <f t="shared" si="66"/>
        <v>-215.47731718089463</v>
      </c>
      <c r="L229" s="34">
        <f t="shared" si="67"/>
        <v>-0.25488727272727285</v>
      </c>
      <c r="M229" s="38">
        <f t="shared" si="68"/>
        <v>-20.864666666961007</v>
      </c>
      <c r="N229" s="42">
        <f>IF(A_podef="Bracket",M_Sims!B267,M_Sims!F267)</f>
        <v>-0.35774545454545459</v>
      </c>
      <c r="O229" s="42">
        <f>IF(A_podef="Bracket",M_Sims!C267,M_Sims!G267)</f>
        <v>-0.1661163636363637</v>
      </c>
      <c r="P229" s="42">
        <f>M_Sims!D267</f>
        <v>0</v>
      </c>
      <c r="Q229" s="34">
        <f t="shared" si="69"/>
        <v>0.787343333334805</v>
      </c>
      <c r="R229" s="18" t="str">
        <f t="shared" si="70"/>
        <v>-</v>
      </c>
      <c r="S229" s="46" t="str">
        <f t="shared" si="71"/>
        <v>-</v>
      </c>
      <c r="T229" s="51" t="str">
        <f>IF(A_tier2_on=1,M_Sims!M267,"-")</f>
        <v>-</v>
      </c>
      <c r="U229" s="46" t="str">
        <f>IF(OR(A_bankroll="",A_tier2_on&lt;&gt;1),"-",MIN(A_maxbet,M_Sims!M267*A_bankroll))</f>
        <v>-</v>
      </c>
      <c r="V229" s="30">
        <f>M_Sims!H267</f>
        <v>1</v>
      </c>
      <c r="W229" s="6" t="b">
        <f>AND(H229&lt;&gt;"IMPUTED_20C_LADDER",L229&gt;=A_minev,N229&gt;0,V229=1,IF(A229="PLAYOFFS",A_poconf=1,TRUE),IF(AND(A229="WINS",A_zs_on=1),AND(AE229&gt;=A_minev,M_Sims!O267&gt;0),TRUE),AF229&gt;=A_minev,AG229&gt;0,IF(I229&lt;A_longthr,(1-A_shrink)*M_Sims!K267+A_shrink*(I229*G229-1)&gt;=A_minev,TRUE),IF(AND(OR(A229="WINS",A229="PLAYOFFS",LEFT(A229,4)="DIV_"),INDEX(Raw_Teams!$F$8:$F$37,MATCH($C229,Raw_Teams!$A$8:$A$37,0))&lt;A_contthr),AND(((1-A_contshrink)*J229+A_contshrink*I229)*G229-1&gt;=A_minev,(1-A_contshrink)*N229+A_contshrink*(I229*G229-1)&gt;0),TRUE),M_Sims!P267=0)</f>
        <v>0</v>
      </c>
      <c r="X229" s="6" t="s">
        <v>1313</v>
      </c>
      <c r="Y229" s="6" t="s">
        <v>1312</v>
      </c>
      <c r="Z229" s="6">
        <v>184</v>
      </c>
      <c r="AA229" s="7" t="str">
        <f t="shared" si="72"/>
        <v>OK - sims match current assumptions</v>
      </c>
      <c r="AB229" s="13" t="s">
        <v>33</v>
      </c>
      <c r="AC229" s="13" t="s">
        <v>33</v>
      </c>
      <c r="AD229" s="13" t="s">
        <v>33</v>
      </c>
      <c r="AE229" s="13" t="s">
        <v>33</v>
      </c>
      <c r="AF229" s="34">
        <f t="shared" si="73"/>
        <v>-0.1410799999983946</v>
      </c>
      <c r="AG229" s="34">
        <f t="shared" si="74"/>
        <v>-0.19250909090748547</v>
      </c>
      <c r="AH229" s="6" t="b">
        <f>AND(W229,I229&gt;=A_t1_fair,((1-A_t1_shrink)*J229+A_t1_shrink*I229)*G229-1&gt;=A_minev,(1-A_t1_shrink)*N229+A_t1_shrink*(I229*G229-1)&gt;0,M_Sims!Q267=1)</f>
        <v>0</v>
      </c>
      <c r="AI229" s="18">
        <f>IF(AH229,M_Sims!R267*A_t1_cap/A_t1_engcap,0)</f>
        <v>0</v>
      </c>
      <c r="AJ229" s="46" t="str">
        <f t="shared" si="75"/>
        <v>-</v>
      </c>
      <c r="AK229" s="7" t="str">
        <f>IF(AH229,M_Sims!S267,"-")</f>
        <v>-</v>
      </c>
      <c r="AL229" s="51">
        <f>M_Sims!M267</f>
        <v>0</v>
      </c>
      <c r="AM229" s="6" t="str">
        <f t="shared" si="76"/>
        <v>-</v>
      </c>
    </row>
    <row r="230" spans="1:39" ht="15" customHeight="1" x14ac:dyDescent="0.3">
      <c r="A230" s="6" t="s">
        <v>284</v>
      </c>
      <c r="B230" s="7" t="str">
        <f>Odds_Input!C193</f>
        <v>New York Knicks</v>
      </c>
      <c r="C230" s="6" t="s">
        <v>216</v>
      </c>
      <c r="D230" s="7" t="str">
        <f>Odds_Input!D193</f>
        <v>NO</v>
      </c>
      <c r="E230" s="31" t="str">
        <f>Odds_Input!E193</f>
        <v>-</v>
      </c>
      <c r="F230" s="32">
        <f>Odds_Input!F193</f>
        <v>650</v>
      </c>
      <c r="G230" s="36">
        <f>M_DeVig!H193</f>
        <v>7.5</v>
      </c>
      <c r="H230" s="7" t="str">
        <f>Odds_Input!G193</f>
        <v>-</v>
      </c>
      <c r="I230" s="42">
        <f>M_DeVig!Q193</f>
        <v>0.10833333335313654</v>
      </c>
      <c r="J230" s="42">
        <f>1-(IF(A_podef="Bracket",INDEX(M_Sims!$E$15:$E$44,MATCH($C230,M_Sims!$A$15:$A$44,0)),INDEX(M_Sims!$D$15:$D$44,MATCH($C230,M_Sims!$A$15:$A$44,0))))</f>
        <v>0.31698000000000004</v>
      </c>
      <c r="K230" s="43">
        <f t="shared" si="66"/>
        <v>215.47731718089463</v>
      </c>
      <c r="L230" s="34">
        <f t="shared" si="67"/>
        <v>1.3773500000000003</v>
      </c>
      <c r="M230" s="38">
        <f t="shared" si="68"/>
        <v>20.86466666468635</v>
      </c>
      <c r="N230" s="42">
        <f>IF(A_podef="Bracket",M_Sims!B268,M_Sims!F268)</f>
        <v>0.76705000000000001</v>
      </c>
      <c r="O230" s="42">
        <f>IF(A_podef="Bracket",M_Sims!C268,M_Sims!G268)</f>
        <v>2.0844999999999998</v>
      </c>
      <c r="P230" s="42">
        <f>M_Sims!D268</f>
        <v>1</v>
      </c>
      <c r="Q230" s="34">
        <f t="shared" si="69"/>
        <v>0.2126566666765683</v>
      </c>
      <c r="R230" s="18" t="str">
        <f t="shared" si="70"/>
        <v>-</v>
      </c>
      <c r="S230" s="46" t="str">
        <f t="shared" si="71"/>
        <v>-</v>
      </c>
      <c r="T230" s="51" t="str">
        <f>IF(A_tier2_on=1,M_Sims!M268,"-")</f>
        <v>-</v>
      </c>
      <c r="U230" s="46" t="str">
        <f>IF(OR(A_bankroll="",A_tier2_on&lt;&gt;1),"-",MIN(A_maxbet,M_Sims!M268*A_bankroll))</f>
        <v>-</v>
      </c>
      <c r="V230" s="30">
        <f>M_Sims!H268</f>
        <v>1</v>
      </c>
      <c r="W230" s="6" t="b">
        <f>AND(H230&lt;&gt;"IMPUTED_20C_LADDER",L230&gt;=A_minev,N230&gt;0,V230=1,IF(A230="PLAYOFFS",A_poconf=1,TRUE),IF(AND(A230="WINS",A_zs_on=1),AND(AE230&gt;=A_minev,M_Sims!O268&gt;0),TRUE),AF230&gt;=A_minev,AG230&gt;0,IF(I230&lt;A_longthr,(1-A_shrink)*M_Sims!K268+A_shrink*(I230*G230-1)&gt;=A_minev,TRUE),IF(AND(OR(A230="WINS",A230="PLAYOFFS",LEFT(A230,4)="DIV_"),INDEX(Raw_Teams!$F$8:$F$37,MATCH($C230,Raw_Teams!$A$8:$A$37,0))&lt;A_contthr),AND(((1-A_contshrink)*J230+A_contshrink*I230)*G230-1&gt;=A_minev,(1-A_contshrink)*N230+A_contshrink*(I230*G230-1)&gt;0),TRUE),M_Sims!P268=0)</f>
        <v>1</v>
      </c>
      <c r="X230" s="6" t="s">
        <v>1313</v>
      </c>
      <c r="Y230" s="6" t="s">
        <v>1312</v>
      </c>
      <c r="Z230" s="6">
        <v>185</v>
      </c>
      <c r="AA230" s="7" t="str">
        <f t="shared" si="72"/>
        <v>OK - sims match current assumptions</v>
      </c>
      <c r="AB230" s="13" t="s">
        <v>33</v>
      </c>
      <c r="AC230" s="13" t="s">
        <v>33</v>
      </c>
      <c r="AD230" s="13" t="s">
        <v>33</v>
      </c>
      <c r="AE230" s="13" t="s">
        <v>33</v>
      </c>
      <c r="AF230" s="34">
        <f t="shared" si="73"/>
        <v>0.5949250000742623</v>
      </c>
      <c r="AG230" s="34">
        <f t="shared" si="74"/>
        <v>0.28977500007426205</v>
      </c>
      <c r="AH230" s="6" t="b">
        <f>AND(W230,I230&gt;=A_t1_fair,((1-A_t1_shrink)*J230+A_t1_shrink*I230)*G230-1&gt;=A_minev,(1-A_t1_shrink)*N230+A_t1_shrink*(I230*G230-1)&gt;0,M_Sims!Q268=1)</f>
        <v>0</v>
      </c>
      <c r="AI230" s="18">
        <f>IF(AH230,M_Sims!R268*A_t1_cap/A_t1_engcap,0)</f>
        <v>0</v>
      </c>
      <c r="AJ230" s="46" t="str">
        <f t="shared" si="75"/>
        <v>-</v>
      </c>
      <c r="AK230" s="7" t="str">
        <f>IF(AH230,M_Sims!S268,"-")</f>
        <v>-</v>
      </c>
      <c r="AL230" s="51">
        <f>M_Sims!M268</f>
        <v>8.8610428930349008E-3</v>
      </c>
      <c r="AM230" s="6" t="str">
        <f t="shared" si="76"/>
        <v>Tier 2</v>
      </c>
    </row>
    <row r="231" spans="1:39" ht="15" customHeight="1" x14ac:dyDescent="0.3">
      <c r="A231" s="6" t="s">
        <v>284</v>
      </c>
      <c r="B231" s="7" t="str">
        <f>Odds_Input!C194</f>
        <v>Philadelphia 76ers</v>
      </c>
      <c r="C231" s="6" t="s">
        <v>219</v>
      </c>
      <c r="D231" s="7" t="str">
        <f>Odds_Input!D194</f>
        <v>YES</v>
      </c>
      <c r="E231" s="31" t="str">
        <f>Odds_Input!E194</f>
        <v>-</v>
      </c>
      <c r="F231" s="32">
        <f>Odds_Input!F194</f>
        <v>-900</v>
      </c>
      <c r="G231" s="36">
        <f>M_DeVig!H194</f>
        <v>1.1111111111111112</v>
      </c>
      <c r="H231" s="7" t="str">
        <f>Odds_Input!G194</f>
        <v>-</v>
      </c>
      <c r="I231" s="42">
        <f>M_DeVig!Q194</f>
        <v>0.86666666666511538</v>
      </c>
      <c r="J231" s="42">
        <f>IF(A_podef="Bracket",INDEX(M_Sims!$E$15:$E$44,MATCH($C231,M_Sims!$A$15:$A$44,0)),INDEX(M_Sims!$D$15:$D$44,MATCH($C231,M_Sims!$A$15:$A$44,0)))</f>
        <v>0.70028000000000001</v>
      </c>
      <c r="K231" s="43">
        <f t="shared" si="66"/>
        <v>-233.64473508608037</v>
      </c>
      <c r="L231" s="34">
        <f t="shared" si="67"/>
        <v>-0.22191111111111106</v>
      </c>
      <c r="M231" s="38">
        <f t="shared" si="68"/>
        <v>-16.638666666511536</v>
      </c>
      <c r="N231" s="42">
        <f>IF(A_podef="Bracket",M_Sims!B269,M_Sims!F269)</f>
        <v>-0.27372592592592582</v>
      </c>
      <c r="O231" s="42">
        <f>IF(A_podef="Bracket",M_Sims!C269,M_Sims!G269)</f>
        <v>-0.1836074074074073</v>
      </c>
      <c r="P231" s="42">
        <f>M_Sims!D269</f>
        <v>0</v>
      </c>
      <c r="Q231" s="34">
        <f t="shared" si="69"/>
        <v>0.78347333333255764</v>
      </c>
      <c r="R231" s="18" t="str">
        <f t="shared" si="70"/>
        <v>-</v>
      </c>
      <c r="S231" s="46" t="str">
        <f t="shared" si="71"/>
        <v>-</v>
      </c>
      <c r="T231" s="51" t="str">
        <f>IF(A_tier2_on=1,M_Sims!M269,"-")</f>
        <v>-</v>
      </c>
      <c r="U231" s="46" t="str">
        <f>IF(OR(A_bankroll="",A_tier2_on&lt;&gt;1),"-",MIN(A_maxbet,M_Sims!M269*A_bankroll))</f>
        <v>-</v>
      </c>
      <c r="V231" s="30">
        <f>M_Sims!H269</f>
        <v>1</v>
      </c>
      <c r="W231" s="6" t="b">
        <f>AND(H231&lt;&gt;"IMPUTED_20C_LADDER",L231&gt;=A_minev,N231&gt;0,V231=1,IF(A231="PLAYOFFS",A_poconf=1,TRUE),IF(AND(A231="WINS",A_zs_on=1),AND(AE231&gt;=A_minev,M_Sims!O269&gt;0),TRUE),AF231&gt;=A_minev,AG231&gt;0,IF(I231&lt;A_longthr,(1-A_shrink)*M_Sims!K269+A_shrink*(I231*G231-1)&gt;=A_minev,TRUE),IF(AND(OR(A231="WINS",A231="PLAYOFFS",LEFT(A231,4)="DIV_"),INDEX(Raw_Teams!$F$8:$F$37,MATCH($C231,Raw_Teams!$A$8:$A$37,0))&lt;A_contthr),AND(((1-A_contshrink)*J231+A_contshrink*I231)*G231-1&gt;=A_minev,(1-A_contshrink)*N231+A_contshrink*(I231*G231-1)&gt;0),TRUE),M_Sims!P269=0)</f>
        <v>0</v>
      </c>
      <c r="X231" s="6" t="s">
        <v>1313</v>
      </c>
      <c r="Y231" s="6" t="s">
        <v>1312</v>
      </c>
      <c r="Z231" s="6">
        <v>186</v>
      </c>
      <c r="AA231" s="7" t="str">
        <f t="shared" si="72"/>
        <v>OK - sims match current assumptions</v>
      </c>
      <c r="AB231" s="13" t="s">
        <v>33</v>
      </c>
      <c r="AC231" s="13" t="s">
        <v>33</v>
      </c>
      <c r="AD231" s="13" t="s">
        <v>33</v>
      </c>
      <c r="AE231" s="13" t="s">
        <v>33</v>
      </c>
      <c r="AF231" s="34">
        <f t="shared" si="73"/>
        <v>-0.12947407407493594</v>
      </c>
      <c r="AG231" s="34">
        <f t="shared" si="74"/>
        <v>-0.15538148148234321</v>
      </c>
      <c r="AH231" s="6" t="b">
        <f>AND(W231,I231&gt;=A_t1_fair,((1-A_t1_shrink)*J231+A_t1_shrink*I231)*G231-1&gt;=A_minev,(1-A_t1_shrink)*N231+A_t1_shrink*(I231*G231-1)&gt;0,M_Sims!Q269=1)</f>
        <v>0</v>
      </c>
      <c r="AI231" s="18">
        <f>IF(AH231,M_Sims!R269*A_t1_cap/A_t1_engcap,0)</f>
        <v>0</v>
      </c>
      <c r="AJ231" s="46" t="str">
        <f t="shared" si="75"/>
        <v>-</v>
      </c>
      <c r="AK231" s="7" t="str">
        <f>IF(AH231,M_Sims!S269,"-")</f>
        <v>-</v>
      </c>
      <c r="AL231" s="51">
        <f>M_Sims!M269</f>
        <v>0</v>
      </c>
      <c r="AM231" s="6" t="str">
        <f t="shared" si="76"/>
        <v>-</v>
      </c>
    </row>
    <row r="232" spans="1:39" ht="15" customHeight="1" x14ac:dyDescent="0.3">
      <c r="A232" s="6" t="s">
        <v>284</v>
      </c>
      <c r="B232" s="7" t="str">
        <f>Odds_Input!C195</f>
        <v>Philadelphia 76ers</v>
      </c>
      <c r="C232" s="6" t="s">
        <v>219</v>
      </c>
      <c r="D232" s="7" t="str">
        <f>Odds_Input!D195</f>
        <v>NO</v>
      </c>
      <c r="E232" s="31" t="str">
        <f>Odds_Input!E195</f>
        <v>-</v>
      </c>
      <c r="F232" s="32">
        <f>Odds_Input!F195</f>
        <v>500</v>
      </c>
      <c r="G232" s="36">
        <f>M_DeVig!H195</f>
        <v>6</v>
      </c>
      <c r="H232" s="7" t="str">
        <f>Odds_Input!G195</f>
        <v>-</v>
      </c>
      <c r="I232" s="42">
        <f>M_DeVig!Q195</f>
        <v>0.1333333333251622</v>
      </c>
      <c r="J232" s="42">
        <f>1-(IF(A_podef="Bracket",INDEX(M_Sims!$E$15:$E$44,MATCH($C232,M_Sims!$A$15:$A$44,0)),INDEX(M_Sims!$D$15:$D$44,MATCH($C232,M_Sims!$A$15:$A$44,0))))</f>
        <v>0.29971999999999999</v>
      </c>
      <c r="K232" s="43">
        <f t="shared" si="66"/>
        <v>233.64473508608037</v>
      </c>
      <c r="L232" s="34">
        <f t="shared" si="67"/>
        <v>0.79831999999999992</v>
      </c>
      <c r="M232" s="38">
        <f t="shared" si="68"/>
        <v>16.638666667483779</v>
      </c>
      <c r="N232" s="42">
        <f>IF(A_podef="Bracket",M_Sims!B270,M_Sims!F270)</f>
        <v>0.59147999999999978</v>
      </c>
      <c r="O232" s="42">
        <f>IF(A_podef="Bracket",M_Sims!C270,M_Sims!G270)</f>
        <v>1.07812</v>
      </c>
      <c r="P232" s="42">
        <f>M_Sims!D270</f>
        <v>1</v>
      </c>
      <c r="Q232" s="34">
        <f t="shared" si="69"/>
        <v>0.21652666666258108</v>
      </c>
      <c r="R232" s="18" t="str">
        <f t="shared" si="70"/>
        <v>-</v>
      </c>
      <c r="S232" s="46" t="str">
        <f t="shared" si="71"/>
        <v>-</v>
      </c>
      <c r="T232" s="51" t="str">
        <f>IF(A_tier2_on=1,M_Sims!M270,"-")</f>
        <v>-</v>
      </c>
      <c r="U232" s="46" t="str">
        <f>IF(OR(A_bankroll="",A_tier2_on&lt;&gt;1),"-",MIN(A_maxbet,M_Sims!M270*A_bankroll))</f>
        <v>-</v>
      </c>
      <c r="V232" s="30">
        <f>M_Sims!H270</f>
        <v>1</v>
      </c>
      <c r="W232" s="6" t="b">
        <f>AND(H232&lt;&gt;"IMPUTED_20C_LADDER",L232&gt;=A_minev,N232&gt;0,V232=1,IF(A232="PLAYOFFS",A_poconf=1,TRUE),IF(AND(A232="WINS",A_zs_on=1),AND(AE232&gt;=A_minev,M_Sims!O270&gt;0),TRUE),AF232&gt;=A_minev,AG232&gt;0,IF(I232&lt;A_longthr,(1-A_shrink)*M_Sims!K270+A_shrink*(I232*G232-1)&gt;=A_minev,TRUE),IF(AND(OR(A232="WINS",A232="PLAYOFFS",LEFT(A232,4)="DIV_"),INDEX(Raw_Teams!$F$8:$F$37,MATCH($C232,Raw_Teams!$A$8:$A$37,0))&lt;A_contthr),AND(((1-A_contshrink)*J232+A_contshrink*I232)*G232-1&gt;=A_minev,(1-A_contshrink)*N232+A_contshrink*(I232*G232-1)&gt;0),TRUE),M_Sims!P270=0)</f>
        <v>0</v>
      </c>
      <c r="X232" s="6" t="s">
        <v>1313</v>
      </c>
      <c r="Y232" s="6" t="s">
        <v>1312</v>
      </c>
      <c r="Z232" s="6">
        <v>187</v>
      </c>
      <c r="AA232" s="7" t="str">
        <f t="shared" si="72"/>
        <v>OK - sims match current assumptions</v>
      </c>
      <c r="AB232" s="13" t="s">
        <v>33</v>
      </c>
      <c r="AC232" s="13" t="s">
        <v>33</v>
      </c>
      <c r="AD232" s="13" t="s">
        <v>33</v>
      </c>
      <c r="AE232" s="13" t="s">
        <v>33</v>
      </c>
      <c r="AF232" s="34">
        <f t="shared" si="73"/>
        <v>0.29915999997548637</v>
      </c>
      <c r="AG232" s="34">
        <f t="shared" si="74"/>
        <v>0.19573999997548652</v>
      </c>
      <c r="AH232" s="6" t="b">
        <f>AND(W232,I232&gt;=A_t1_fair,((1-A_t1_shrink)*J232+A_t1_shrink*I232)*G232-1&gt;=A_minev,(1-A_t1_shrink)*N232+A_t1_shrink*(I232*G232-1)&gt;0,M_Sims!Q270=1)</f>
        <v>0</v>
      </c>
      <c r="AI232" s="18">
        <f>IF(AH232,M_Sims!R270*A_t1_cap/A_t1_engcap,0)</f>
        <v>0</v>
      </c>
      <c r="AJ232" s="46" t="str">
        <f t="shared" si="75"/>
        <v>-</v>
      </c>
      <c r="AK232" s="7" t="str">
        <f>IF(AH232,M_Sims!S270,"-")</f>
        <v>-</v>
      </c>
      <c r="AL232" s="51">
        <f>M_Sims!M270</f>
        <v>0</v>
      </c>
      <c r="AM232" s="6" t="str">
        <f t="shared" si="76"/>
        <v>-</v>
      </c>
    </row>
    <row r="233" spans="1:39" ht="15" customHeight="1" x14ac:dyDescent="0.3">
      <c r="A233" s="6" t="s">
        <v>284</v>
      </c>
      <c r="B233" s="7" t="str">
        <f>Odds_Input!C196</f>
        <v>Oklahoma City Thunder</v>
      </c>
      <c r="C233" s="6" t="s">
        <v>217</v>
      </c>
      <c r="D233" s="7" t="str">
        <f>Odds_Input!D196</f>
        <v>YES</v>
      </c>
      <c r="E233" s="31" t="str">
        <f>Odds_Input!E196</f>
        <v>-</v>
      </c>
      <c r="F233" s="32">
        <f>Odds_Input!F196</f>
        <v>-10000</v>
      </c>
      <c r="G233" s="36">
        <f>M_DeVig!H196</f>
        <v>1.01</v>
      </c>
      <c r="H233" s="7" t="str">
        <f>Odds_Input!G196</f>
        <v>-</v>
      </c>
      <c r="I233" s="42">
        <f>M_DeVig!Q196</f>
        <v>0.97464134168653338</v>
      </c>
      <c r="J233" s="42">
        <f>IF(A_podef="Bracket",INDEX(M_Sims!$E$15:$E$44,MATCH($C233,M_Sims!$A$15:$A$44,0)),INDEX(M_Sims!$D$15:$D$44,MATCH($C233,M_Sims!$A$15:$A$44,0)))</f>
        <v>0.97557000000000005</v>
      </c>
      <c r="K233" s="43">
        <f t="shared" si="66"/>
        <v>-3993.3278755628407</v>
      </c>
      <c r="L233" s="34">
        <f t="shared" si="67"/>
        <v>-1.4674299999999918E-2</v>
      </c>
      <c r="M233" s="38">
        <f t="shared" si="68"/>
        <v>9.2865831346666816E-2</v>
      </c>
      <c r="N233" s="42">
        <f>IF(A_podef="Bracket",M_Sims!B271,M_Sims!F271)</f>
        <v>-4.4061933333333303E-2</v>
      </c>
      <c r="O233" s="42">
        <f>IF(A_podef="Bracket",M_Sims!C271,M_Sims!G271)</f>
        <v>-1.6957999999999999E-3</v>
      </c>
      <c r="P233" s="42">
        <f>M_Sims!D271</f>
        <v>3.3333333333333298E-2</v>
      </c>
      <c r="Q233" s="34">
        <f t="shared" si="69"/>
        <v>0.97510567084326671</v>
      </c>
      <c r="R233" s="18" t="str">
        <f t="shared" si="70"/>
        <v>-</v>
      </c>
      <c r="S233" s="46" t="str">
        <f t="shared" si="71"/>
        <v>-</v>
      </c>
      <c r="T233" s="51" t="str">
        <f>IF(A_tier2_on=1,M_Sims!M271,"-")</f>
        <v>-</v>
      </c>
      <c r="U233" s="46" t="str">
        <f>IF(OR(A_bankroll="",A_tier2_on&lt;&gt;1),"-",MIN(A_maxbet,M_Sims!M271*A_bankroll))</f>
        <v>-</v>
      </c>
      <c r="V233" s="30">
        <f>M_Sims!H271</f>
        <v>1</v>
      </c>
      <c r="W233" s="6" t="b">
        <f>AND(H233&lt;&gt;"IMPUTED_20C_LADDER",L233&gt;=A_minev,N233&gt;0,V233=1,IF(A233="PLAYOFFS",A_poconf=1,TRUE),IF(AND(A233="WINS",A_zs_on=1),AND(AE233&gt;=A_minev,M_Sims!O271&gt;0),TRUE),AF233&gt;=A_minev,AG233&gt;0,IF(I233&lt;A_longthr,(1-A_shrink)*M_Sims!K271+A_shrink*(I233*G233-1)&gt;=A_minev,TRUE),IF(AND(OR(A233="WINS",A233="PLAYOFFS",LEFT(A233,4)="DIV_"),INDEX(Raw_Teams!$F$8:$F$37,MATCH($C233,Raw_Teams!$A$8:$A$37,0))&lt;A_contthr),AND(((1-A_contshrink)*J233+A_contshrink*I233)*G233-1&gt;=A_minev,(1-A_contshrink)*N233+A_contshrink*(I233*G233-1)&gt;0),TRUE),M_Sims!P271=0)</f>
        <v>0</v>
      </c>
      <c r="X233" s="6" t="s">
        <v>1314</v>
      </c>
      <c r="Y233" s="6" t="s">
        <v>1312</v>
      </c>
      <c r="Z233" s="6">
        <v>188</v>
      </c>
      <c r="AA233" s="7" t="str">
        <f t="shared" si="72"/>
        <v>OK - sims match current assumptions</v>
      </c>
      <c r="AB233" s="13" t="s">
        <v>33</v>
      </c>
      <c r="AC233" s="13" t="s">
        <v>33</v>
      </c>
      <c r="AD233" s="13" t="s">
        <v>33</v>
      </c>
      <c r="AE233" s="13" t="s">
        <v>33</v>
      </c>
      <c r="AF233" s="34">
        <f t="shared" si="73"/>
        <v>-1.5143272448300604E-2</v>
      </c>
      <c r="AG233" s="34">
        <f t="shared" si="74"/>
        <v>-2.9837089114967297E-2</v>
      </c>
      <c r="AH233" s="6" t="b">
        <f>AND(W233,I233&gt;=A_t1_fair,((1-A_t1_shrink)*J233+A_t1_shrink*I233)*G233-1&gt;=A_minev,(1-A_t1_shrink)*N233+A_t1_shrink*(I233*G233-1)&gt;0,M_Sims!Q271=1)</f>
        <v>0</v>
      </c>
      <c r="AI233" s="18">
        <f>IF(AH233,M_Sims!R271*A_t1_cap/A_t1_engcap,0)</f>
        <v>0</v>
      </c>
      <c r="AJ233" s="46" t="str">
        <f t="shared" si="75"/>
        <v>-</v>
      </c>
      <c r="AK233" s="7" t="str">
        <f>IF(AH233,M_Sims!S271,"-")</f>
        <v>-</v>
      </c>
      <c r="AL233" s="51">
        <f>M_Sims!M271</f>
        <v>0</v>
      </c>
      <c r="AM233" s="6" t="str">
        <f t="shared" si="76"/>
        <v>-</v>
      </c>
    </row>
    <row r="234" spans="1:39" ht="15" customHeight="1" x14ac:dyDescent="0.3">
      <c r="A234" s="6" t="s">
        <v>284</v>
      </c>
      <c r="B234" s="7" t="str">
        <f>Odds_Input!C197</f>
        <v>Oklahoma City Thunder</v>
      </c>
      <c r="C234" s="6" t="s">
        <v>217</v>
      </c>
      <c r="D234" s="7" t="str">
        <f>Odds_Input!D197</f>
        <v>NO</v>
      </c>
      <c r="E234" s="31" t="str">
        <f>Odds_Input!E197</f>
        <v>-</v>
      </c>
      <c r="F234" s="32">
        <f>Odds_Input!F197</f>
        <v>2350</v>
      </c>
      <c r="G234" s="36">
        <f>M_DeVig!H197</f>
        <v>24.5</v>
      </c>
      <c r="H234" s="7" t="str">
        <f>Odds_Input!G197</f>
        <v>-</v>
      </c>
      <c r="I234" s="42">
        <f>M_DeVig!Q197</f>
        <v>2.5358658343993833E-2</v>
      </c>
      <c r="J234" s="42">
        <f>1-(IF(A_podef="Bracket",INDEX(M_Sims!$E$15:$E$44,MATCH($C234,M_Sims!$A$15:$A$44,0)),INDEX(M_Sims!$D$15:$D$44,MATCH($C234,M_Sims!$A$15:$A$44,0))))</f>
        <v>2.4429999999999952E-2</v>
      </c>
      <c r="K234" s="43">
        <f t="shared" si="66"/>
        <v>3993.3278755628407</v>
      </c>
      <c r="L234" s="34">
        <f t="shared" si="67"/>
        <v>-0.40146500000000118</v>
      </c>
      <c r="M234" s="38">
        <f t="shared" si="68"/>
        <v>-9.2865834399388086E-2</v>
      </c>
      <c r="N234" s="42">
        <f>IF(A_podef="Bracket",M_Sims!B272,M_Sims!F272)</f>
        <v>-0.71628999999999887</v>
      </c>
      <c r="O234" s="42">
        <f>IF(A_podef="Bracket",M_Sims!C272,M_Sims!G272)</f>
        <v>0.31140333333333331</v>
      </c>
      <c r="P234" s="42">
        <f>M_Sims!D272</f>
        <v>0.25</v>
      </c>
      <c r="Q234" s="34">
        <f t="shared" si="69"/>
        <v>2.4894329171996892E-2</v>
      </c>
      <c r="R234" s="18" t="str">
        <f t="shared" si="70"/>
        <v>-</v>
      </c>
      <c r="S234" s="46" t="str">
        <f t="shared" si="71"/>
        <v>-</v>
      </c>
      <c r="T234" s="51" t="str">
        <f>IF(A_tier2_on=1,M_Sims!M272,"-")</f>
        <v>-</v>
      </c>
      <c r="U234" s="46" t="str">
        <f>IF(OR(A_bankroll="",A_tier2_on&lt;&gt;1),"-",MIN(A_maxbet,M_Sims!M272*A_bankroll))</f>
        <v>-</v>
      </c>
      <c r="V234" s="30">
        <f>M_Sims!H272</f>
        <v>1</v>
      </c>
      <c r="W234" s="6" t="b">
        <f>AND(H234&lt;&gt;"IMPUTED_20C_LADDER",L234&gt;=A_minev,N234&gt;0,V234=1,IF(A234="PLAYOFFS",A_poconf=1,TRUE),IF(AND(A234="WINS",A_zs_on=1),AND(AE234&gt;=A_minev,M_Sims!O272&gt;0),TRUE),AF234&gt;=A_minev,AG234&gt;0,IF(I234&lt;A_longthr,(1-A_shrink)*M_Sims!K272+A_shrink*(I234*G234-1)&gt;=A_minev,TRUE),IF(AND(OR(A234="WINS",A234="PLAYOFFS",LEFT(A234,4)="DIV_"),INDEX(Raw_Teams!$F$8:$F$37,MATCH($C234,Raw_Teams!$A$8:$A$37,0))&lt;A_contthr),AND(((1-A_contshrink)*J234+A_contshrink*I234)*G234-1&gt;=A_minev,(1-A_contshrink)*N234+A_contshrink*(I234*G234-1)&gt;0),TRUE),M_Sims!P272=0)</f>
        <v>0</v>
      </c>
      <c r="X234" s="6" t="s">
        <v>1314</v>
      </c>
      <c r="Y234" s="6" t="s">
        <v>1312</v>
      </c>
      <c r="Z234" s="6">
        <v>189</v>
      </c>
      <c r="AA234" s="7" t="str">
        <f t="shared" si="72"/>
        <v>OK - sims match current assumptions</v>
      </c>
      <c r="AB234" s="13" t="s">
        <v>33</v>
      </c>
      <c r="AC234" s="13" t="s">
        <v>33</v>
      </c>
      <c r="AD234" s="13" t="s">
        <v>33</v>
      </c>
      <c r="AE234" s="13" t="s">
        <v>33</v>
      </c>
      <c r="AF234" s="34">
        <f t="shared" si="73"/>
        <v>-0.39008893528607613</v>
      </c>
      <c r="AG234" s="34">
        <f t="shared" si="74"/>
        <v>-0.54750143528607498</v>
      </c>
      <c r="AH234" s="6" t="b">
        <f>AND(W234,I234&gt;=A_t1_fair,((1-A_t1_shrink)*J234+A_t1_shrink*I234)*G234-1&gt;=A_minev,(1-A_t1_shrink)*N234+A_t1_shrink*(I234*G234-1)&gt;0,M_Sims!Q272=1)</f>
        <v>0</v>
      </c>
      <c r="AI234" s="18">
        <f>IF(AH234,M_Sims!R272*A_t1_cap/A_t1_engcap,0)</f>
        <v>0</v>
      </c>
      <c r="AJ234" s="46" t="str">
        <f t="shared" si="75"/>
        <v>-</v>
      </c>
      <c r="AK234" s="7" t="str">
        <f>IF(AH234,M_Sims!S272,"-")</f>
        <v>-</v>
      </c>
      <c r="AL234" s="51">
        <f>M_Sims!M272</f>
        <v>0</v>
      </c>
      <c r="AM234" s="6" t="str">
        <f t="shared" si="76"/>
        <v>-</v>
      </c>
    </row>
    <row r="235" spans="1:39" ht="15" customHeight="1" x14ac:dyDescent="0.3">
      <c r="A235" s="6" t="s">
        <v>284</v>
      </c>
      <c r="B235" s="7" t="str">
        <f>Odds_Input!C198</f>
        <v>San Antonio Spurs</v>
      </c>
      <c r="C235" s="6" t="s">
        <v>223</v>
      </c>
      <c r="D235" s="7" t="str">
        <f>Odds_Input!D198</f>
        <v>YES</v>
      </c>
      <c r="E235" s="31" t="str">
        <f>Odds_Input!E198</f>
        <v>-</v>
      </c>
      <c r="F235" s="32">
        <f>Odds_Input!F198</f>
        <v>-10000</v>
      </c>
      <c r="G235" s="36">
        <f>M_DeVig!H198</f>
        <v>1.01</v>
      </c>
      <c r="H235" s="7" t="str">
        <f>Odds_Input!G198</f>
        <v>-</v>
      </c>
      <c r="I235" s="42">
        <f>M_DeVig!Q198</f>
        <v>0.97464134168653338</v>
      </c>
      <c r="J235" s="42">
        <f>IF(A_podef="Bracket",INDEX(M_Sims!$E$15:$E$44,MATCH($C235,M_Sims!$A$15:$A$44,0)),INDEX(M_Sims!$D$15:$D$44,MATCH($C235,M_Sims!$A$15:$A$44,0)))</f>
        <v>0.93133999999999995</v>
      </c>
      <c r="K235" s="43">
        <f t="shared" si="66"/>
        <v>-1356.4520827264773</v>
      </c>
      <c r="L235" s="34">
        <f t="shared" si="67"/>
        <v>-5.9346600000000027E-2</v>
      </c>
      <c r="M235" s="38">
        <f t="shared" si="68"/>
        <v>-4.330134168653343</v>
      </c>
      <c r="N235" s="42">
        <f>IF(A_podef="Bracket",M_Sims!B273,M_Sims!F273)</f>
        <v>-8.1748399999999999E-2</v>
      </c>
      <c r="O235" s="42">
        <f>IF(A_podef="Bracket",M_Sims!C273,M_Sims!G273)</f>
        <v>-3.5652000000000003E-2</v>
      </c>
      <c r="P235" s="42">
        <f>M_Sims!D273</f>
        <v>0</v>
      </c>
      <c r="Q235" s="34">
        <f t="shared" si="69"/>
        <v>0.95299067084326672</v>
      </c>
      <c r="R235" s="18" t="str">
        <f t="shared" si="70"/>
        <v>-</v>
      </c>
      <c r="S235" s="46" t="str">
        <f t="shared" si="71"/>
        <v>-</v>
      </c>
      <c r="T235" s="51" t="str">
        <f>IF(A_tier2_on=1,M_Sims!M273,"-")</f>
        <v>-</v>
      </c>
      <c r="U235" s="46" t="str">
        <f>IF(OR(A_bankroll="",A_tier2_on&lt;&gt;1),"-",MIN(A_maxbet,M_Sims!M273*A_bankroll))</f>
        <v>-</v>
      </c>
      <c r="V235" s="30">
        <f>M_Sims!H273</f>
        <v>1</v>
      </c>
      <c r="W235" s="6" t="b">
        <f>AND(H235&lt;&gt;"IMPUTED_20C_LADDER",L235&gt;=A_minev,N235&gt;0,V235=1,IF(A235="PLAYOFFS",A_poconf=1,TRUE),IF(AND(A235="WINS",A_zs_on=1),AND(AE235&gt;=A_minev,M_Sims!O273&gt;0),TRUE),AF235&gt;=A_minev,AG235&gt;0,IF(I235&lt;A_longthr,(1-A_shrink)*M_Sims!K273+A_shrink*(I235*G235-1)&gt;=A_minev,TRUE),IF(AND(OR(A235="WINS",A235="PLAYOFFS",LEFT(A235,4)="DIV_"),INDEX(Raw_Teams!$F$8:$F$37,MATCH($C235,Raw_Teams!$A$8:$A$37,0))&lt;A_contthr),AND(((1-A_contshrink)*J235+A_contshrink*I235)*G235-1&gt;=A_minev,(1-A_contshrink)*N235+A_contshrink*(I235*G235-1)&gt;0),TRUE),M_Sims!P273=0)</f>
        <v>0</v>
      </c>
      <c r="X235" s="6" t="s">
        <v>1314</v>
      </c>
      <c r="Y235" s="6" t="s">
        <v>1312</v>
      </c>
      <c r="Z235" s="6">
        <v>190</v>
      </c>
      <c r="AA235" s="7" t="str">
        <f t="shared" si="72"/>
        <v>OK - sims match current assumptions</v>
      </c>
      <c r="AB235" s="13" t="s">
        <v>33</v>
      </c>
      <c r="AC235" s="13" t="s">
        <v>33</v>
      </c>
      <c r="AD235" s="13" t="s">
        <v>33</v>
      </c>
      <c r="AE235" s="13" t="s">
        <v>33</v>
      </c>
      <c r="AF235" s="34">
        <f t="shared" si="73"/>
        <v>-3.7479422448300603E-2</v>
      </c>
      <c r="AG235" s="34">
        <f t="shared" si="74"/>
        <v>-4.8680322448300645E-2</v>
      </c>
      <c r="AH235" s="6" t="b">
        <f>AND(W235,I235&gt;=A_t1_fair,((1-A_t1_shrink)*J235+A_t1_shrink*I235)*G235-1&gt;=A_minev,(1-A_t1_shrink)*N235+A_t1_shrink*(I235*G235-1)&gt;0,M_Sims!Q273=1)</f>
        <v>0</v>
      </c>
      <c r="AI235" s="18">
        <f>IF(AH235,M_Sims!R273*A_t1_cap/A_t1_engcap,0)</f>
        <v>0</v>
      </c>
      <c r="AJ235" s="46" t="str">
        <f t="shared" si="75"/>
        <v>-</v>
      </c>
      <c r="AK235" s="7" t="str">
        <f>IF(AH235,M_Sims!S273,"-")</f>
        <v>-</v>
      </c>
      <c r="AL235" s="51">
        <f>M_Sims!M273</f>
        <v>0</v>
      </c>
      <c r="AM235" s="6" t="str">
        <f t="shared" si="76"/>
        <v>-</v>
      </c>
    </row>
    <row r="236" spans="1:39" ht="15" customHeight="1" x14ac:dyDescent="0.3">
      <c r="A236" s="6" t="s">
        <v>284</v>
      </c>
      <c r="B236" s="7" t="str">
        <f>Odds_Input!C199</f>
        <v>San Antonio Spurs</v>
      </c>
      <c r="C236" s="6" t="s">
        <v>223</v>
      </c>
      <c r="D236" s="7" t="str">
        <f>Odds_Input!D199</f>
        <v>NO</v>
      </c>
      <c r="E236" s="31" t="str">
        <f>Odds_Input!E199</f>
        <v>-</v>
      </c>
      <c r="F236" s="32">
        <f>Odds_Input!F199</f>
        <v>2350</v>
      </c>
      <c r="G236" s="36">
        <f>M_DeVig!H199</f>
        <v>24.5</v>
      </c>
      <c r="H236" s="7" t="str">
        <f>Odds_Input!G199</f>
        <v>-</v>
      </c>
      <c r="I236" s="42">
        <f>M_DeVig!Q199</f>
        <v>2.5358658343993833E-2</v>
      </c>
      <c r="J236" s="42">
        <f>1-(IF(A_podef="Bracket",INDEX(M_Sims!$E$15:$E$44,MATCH($C236,M_Sims!$A$15:$A$44,0)),INDEX(M_Sims!$D$15:$D$44,MATCH($C236,M_Sims!$A$15:$A$44,0))))</f>
        <v>6.8660000000000054E-2</v>
      </c>
      <c r="K236" s="43">
        <f t="shared" si="66"/>
        <v>1356.4520827264773</v>
      </c>
      <c r="L236" s="34">
        <f t="shared" si="67"/>
        <v>0.68217000000000128</v>
      </c>
      <c r="M236" s="38">
        <f t="shared" si="68"/>
        <v>4.3301341656006223</v>
      </c>
      <c r="N236" s="42">
        <f>IF(A_podef="Bracket",M_Sims!B274,M_Sims!F274)</f>
        <v>0.1073999999999994</v>
      </c>
      <c r="O236" s="42">
        <f>IF(A_podef="Bracket",M_Sims!C274,M_Sims!G274)</f>
        <v>1.2255799999999999</v>
      </c>
      <c r="P236" s="42">
        <f>M_Sims!D274</f>
        <v>0.91666666666666663</v>
      </c>
      <c r="Q236" s="34">
        <f t="shared" si="69"/>
        <v>4.7009329171996947E-2</v>
      </c>
      <c r="R236" s="18" t="str">
        <f t="shared" si="70"/>
        <v>-</v>
      </c>
      <c r="S236" s="46" t="str">
        <f t="shared" si="71"/>
        <v>-</v>
      </c>
      <c r="T236" s="51" t="str">
        <f>IF(A_tier2_on=1,M_Sims!M274,"-")</f>
        <v>-</v>
      </c>
      <c r="U236" s="46" t="str">
        <f>IF(OR(A_bankroll="",A_tier2_on&lt;&gt;1),"-",MIN(A_maxbet,M_Sims!M274*A_bankroll))</f>
        <v>-</v>
      </c>
      <c r="V236" s="30">
        <f>M_Sims!H274</f>
        <v>1</v>
      </c>
      <c r="W236" s="6" t="b">
        <f>AND(H236&lt;&gt;"IMPUTED_20C_LADDER",L236&gt;=A_minev,N236&gt;0,V236=1,IF(A236="PLAYOFFS",A_poconf=1,TRUE),IF(AND(A236="WINS",A_zs_on=1),AND(AE236&gt;=A_minev,M_Sims!O274&gt;0),TRUE),AF236&gt;=A_minev,AG236&gt;0,IF(I236&lt;A_longthr,(1-A_shrink)*M_Sims!K274+A_shrink*(I236*G236-1)&gt;=A_minev,TRUE),IF(AND(OR(A236="WINS",A236="PLAYOFFS",LEFT(A236,4)="DIV_"),INDEX(Raw_Teams!$F$8:$F$37,MATCH($C236,Raw_Teams!$A$8:$A$37,0))&lt;A_contthr),AND(((1-A_contshrink)*J236+A_contshrink*I236)*G236-1&gt;=A_minev,(1-A_contshrink)*N236+A_contshrink*(I236*G236-1)&gt;0),TRUE),M_Sims!P274=0)</f>
        <v>0</v>
      </c>
      <c r="X236" s="6" t="s">
        <v>1314</v>
      </c>
      <c r="Y236" s="6" t="s">
        <v>1312</v>
      </c>
      <c r="Z236" s="6">
        <v>191</v>
      </c>
      <c r="AA236" s="7" t="str">
        <f t="shared" si="72"/>
        <v>OK - sims match current assumptions</v>
      </c>
      <c r="AB236" s="13" t="s">
        <v>33</v>
      </c>
      <c r="AC236" s="13" t="s">
        <v>33</v>
      </c>
      <c r="AD236" s="13" t="s">
        <v>33</v>
      </c>
      <c r="AE236" s="13" t="s">
        <v>33</v>
      </c>
      <c r="AF236" s="34">
        <f t="shared" si="73"/>
        <v>0.15172856471392526</v>
      </c>
      <c r="AG236" s="34">
        <f t="shared" si="74"/>
        <v>-0.13565643528607585</v>
      </c>
      <c r="AH236" s="6" t="b">
        <f>AND(W236,I236&gt;=A_t1_fair,((1-A_t1_shrink)*J236+A_t1_shrink*I236)*G236-1&gt;=A_minev,(1-A_t1_shrink)*N236+A_t1_shrink*(I236*G236-1)&gt;0,M_Sims!Q274=1)</f>
        <v>0</v>
      </c>
      <c r="AI236" s="18">
        <f>IF(AH236,M_Sims!R274*A_t1_cap/A_t1_engcap,0)</f>
        <v>0</v>
      </c>
      <c r="AJ236" s="46" t="str">
        <f t="shared" si="75"/>
        <v>-</v>
      </c>
      <c r="AK236" s="7" t="str">
        <f>IF(AH236,M_Sims!S274,"-")</f>
        <v>-</v>
      </c>
      <c r="AL236" s="51">
        <f>M_Sims!M274</f>
        <v>0</v>
      </c>
      <c r="AM236" s="6" t="str">
        <f t="shared" si="76"/>
        <v>-</v>
      </c>
    </row>
    <row r="237" spans="1:39" ht="15" customHeight="1" x14ac:dyDescent="0.3">
      <c r="A237" s="6" t="s">
        <v>284</v>
      </c>
      <c r="B237" s="7" t="str">
        <f>Odds_Input!C200</f>
        <v>Atlanta Hawks</v>
      </c>
      <c r="C237" s="6" t="s">
        <v>197</v>
      </c>
      <c r="D237" s="7" t="str">
        <f>Odds_Input!D200</f>
        <v>YES</v>
      </c>
      <c r="E237" s="31" t="str">
        <f>Odds_Input!E200</f>
        <v>-</v>
      </c>
      <c r="F237" s="32">
        <f>Odds_Input!F200</f>
        <v>-145</v>
      </c>
      <c r="G237" s="36">
        <f>M_DeVig!H200</f>
        <v>1.6896551724137931</v>
      </c>
      <c r="H237" s="7" t="str">
        <f>Odds_Input!G200</f>
        <v>-</v>
      </c>
      <c r="I237" s="42">
        <f>M_DeVig!Q200</f>
        <v>0.56336022781608985</v>
      </c>
      <c r="J237" s="42">
        <f>IF(A_podef="Bracket",INDEX(M_Sims!$E$15:$E$44,MATCH($C237,M_Sims!$A$15:$A$44,0)),INDEX(M_Sims!$D$15:$D$44,MATCH($C237,M_Sims!$A$15:$A$44,0)))</f>
        <v>0.54562999999999995</v>
      </c>
      <c r="K237" s="43">
        <f t="shared" si="66"/>
        <v>-120.0849527917776</v>
      </c>
      <c r="L237" s="34">
        <f t="shared" si="67"/>
        <v>-7.8073448275862156E-2</v>
      </c>
      <c r="M237" s="38">
        <f t="shared" si="68"/>
        <v>-1.7730227816089905</v>
      </c>
      <c r="N237" s="42">
        <f>IF(A_podef="Bracket",M_Sims!B275,M_Sims!F275)</f>
        <v>-0.20951172413793101</v>
      </c>
      <c r="O237" s="42">
        <f>IF(A_podef="Bracket",M_Sims!C275,M_Sims!G275)</f>
        <v>5.0638850574712603E-2</v>
      </c>
      <c r="P237" s="42">
        <f>M_Sims!D275</f>
        <v>0.23333333333333331</v>
      </c>
      <c r="Q237" s="34">
        <f t="shared" si="69"/>
        <v>0.55449511390804496</v>
      </c>
      <c r="R237" s="18" t="str">
        <f t="shared" si="70"/>
        <v>-</v>
      </c>
      <c r="S237" s="46" t="str">
        <f t="shared" si="71"/>
        <v>-</v>
      </c>
      <c r="T237" s="51" t="str">
        <f>IF(A_tier2_on=1,M_Sims!M275,"-")</f>
        <v>-</v>
      </c>
      <c r="U237" s="46" t="str">
        <f>IF(OR(A_bankroll="",A_tier2_on&lt;&gt;1),"-",MIN(A_maxbet,M_Sims!M275*A_bankroll))</f>
        <v>-</v>
      </c>
      <c r="V237" s="30">
        <f>M_Sims!H275</f>
        <v>1</v>
      </c>
      <c r="W237" s="6" t="b">
        <f>AND(H237&lt;&gt;"IMPUTED_20C_LADDER",L237&gt;=A_minev,N237&gt;0,V237=1,IF(A237="PLAYOFFS",A_poconf=1,TRUE),IF(AND(A237="WINS",A_zs_on=1),AND(AE237&gt;=A_minev,M_Sims!O275&gt;0),TRUE),AF237&gt;=A_minev,AG237&gt;0,IF(I237&lt;A_longthr,(1-A_shrink)*M_Sims!K275+A_shrink*(I237*G237-1)&gt;=A_minev,TRUE),IF(AND(OR(A237="WINS",A237="PLAYOFFS",LEFT(A237,4)="DIV_"),INDEX(Raw_Teams!$F$8:$F$37,MATCH($C237,Raw_Teams!$A$8:$A$37,0))&lt;A_contthr),AND(((1-A_contshrink)*J237+A_contshrink*I237)*G237-1&gt;=A_minev,(1-A_contshrink)*N237+A_contshrink*(I237*G237-1)&gt;0),TRUE),M_Sims!P275=0)</f>
        <v>0</v>
      </c>
      <c r="X237" s="6" t="s">
        <v>1315</v>
      </c>
      <c r="Y237" s="6" t="s">
        <v>1312</v>
      </c>
      <c r="Z237" s="6">
        <v>192</v>
      </c>
      <c r="AA237" s="7" t="str">
        <f t="shared" si="72"/>
        <v>OK - sims match current assumptions</v>
      </c>
      <c r="AB237" s="13" t="s">
        <v>33</v>
      </c>
      <c r="AC237" s="13" t="s">
        <v>33</v>
      </c>
      <c r="AD237" s="13" t="s">
        <v>33</v>
      </c>
      <c r="AE237" s="13" t="s">
        <v>33</v>
      </c>
      <c r="AF237" s="34">
        <f t="shared" si="73"/>
        <v>-6.3094462707096399E-2</v>
      </c>
      <c r="AG237" s="34">
        <f t="shared" si="74"/>
        <v>-0.12881360063813094</v>
      </c>
      <c r="AH237" s="6" t="b">
        <f>AND(W237,I237&gt;=A_t1_fair,((1-A_t1_shrink)*J237+A_t1_shrink*I237)*G237-1&gt;=A_minev,(1-A_t1_shrink)*N237+A_t1_shrink*(I237*G237-1)&gt;0,M_Sims!Q275=1)</f>
        <v>0</v>
      </c>
      <c r="AI237" s="18">
        <f>IF(AH237,M_Sims!R275*A_t1_cap/A_t1_engcap,0)</f>
        <v>0</v>
      </c>
      <c r="AJ237" s="46" t="str">
        <f t="shared" si="75"/>
        <v>-</v>
      </c>
      <c r="AK237" s="7" t="str">
        <f>IF(AH237,M_Sims!S275,"-")</f>
        <v>-</v>
      </c>
      <c r="AL237" s="51">
        <f>M_Sims!M275</f>
        <v>0</v>
      </c>
      <c r="AM237" s="6" t="str">
        <f t="shared" si="76"/>
        <v>-</v>
      </c>
    </row>
    <row r="238" spans="1:39" ht="15" customHeight="1" x14ac:dyDescent="0.3">
      <c r="A238" s="6" t="s">
        <v>284</v>
      </c>
      <c r="B238" s="7" t="str">
        <f>Odds_Input!C201</f>
        <v>Atlanta Hawks</v>
      </c>
      <c r="C238" s="6" t="s">
        <v>197</v>
      </c>
      <c r="D238" s="7" t="str">
        <f>Odds_Input!D201</f>
        <v>NO</v>
      </c>
      <c r="E238" s="31" t="str">
        <f>Odds_Input!E201</f>
        <v>-</v>
      </c>
      <c r="F238" s="32">
        <f>Odds_Input!F201</f>
        <v>115</v>
      </c>
      <c r="G238" s="36">
        <f>M_DeVig!H201</f>
        <v>2.15</v>
      </c>
      <c r="H238" s="7" t="str">
        <f>Odds_Input!G201</f>
        <v>-</v>
      </c>
      <c r="I238" s="42">
        <f>M_DeVig!Q201</f>
        <v>0.43663977219307487</v>
      </c>
      <c r="J238" s="42">
        <f>1-(IF(A_podef="Bracket",INDEX(M_Sims!$E$15:$E$44,MATCH($C238,M_Sims!$A$15:$A$44,0)),INDEX(M_Sims!$D$15:$D$44,MATCH($C238,M_Sims!$A$15:$A$44,0))))</f>
        <v>0.45437000000000005</v>
      </c>
      <c r="K238" s="43">
        <f t="shared" si="66"/>
        <v>120.0849527917776</v>
      </c>
      <c r="L238" s="34">
        <f t="shared" si="67"/>
        <v>-2.3104499999999972E-2</v>
      </c>
      <c r="M238" s="38">
        <f t="shared" si="68"/>
        <v>1.7730227806925181</v>
      </c>
      <c r="N238" s="42">
        <f>IF(A_podef="Bracket",M_Sims!B276,M_Sims!F276)</f>
        <v>-0.18688433333333329</v>
      </c>
      <c r="O238" s="42">
        <f>IF(A_podef="Bracket",M_Sims!C276,M_Sims!G276)</f>
        <v>0.14414399999999991</v>
      </c>
      <c r="P238" s="42">
        <f>M_Sims!D276</f>
        <v>0.3833333333333333</v>
      </c>
      <c r="Q238" s="34">
        <f t="shared" si="69"/>
        <v>0.44550488609653749</v>
      </c>
      <c r="R238" s="18" t="str">
        <f t="shared" si="70"/>
        <v>-</v>
      </c>
      <c r="S238" s="46" t="str">
        <f t="shared" si="71"/>
        <v>-</v>
      </c>
      <c r="T238" s="51" t="str">
        <f>IF(A_tier2_on=1,M_Sims!M276,"-")</f>
        <v>-</v>
      </c>
      <c r="U238" s="46" t="str">
        <f>IF(OR(A_bankroll="",A_tier2_on&lt;&gt;1),"-",MIN(A_maxbet,M_Sims!M276*A_bankroll))</f>
        <v>-</v>
      </c>
      <c r="V238" s="30">
        <f>M_Sims!H276</f>
        <v>1</v>
      </c>
      <c r="W238" s="6" t="b">
        <f>AND(H238&lt;&gt;"IMPUTED_20C_LADDER",L238&gt;=A_minev,N238&gt;0,V238=1,IF(A238="PLAYOFFS",A_poconf=1,TRUE),IF(AND(A238="WINS",A_zs_on=1),AND(AE238&gt;=A_minev,M_Sims!O276&gt;0),TRUE),AF238&gt;=A_minev,AG238&gt;0,IF(I238&lt;A_longthr,(1-A_shrink)*M_Sims!K276+A_shrink*(I238*G238-1)&gt;=A_minev,TRUE),IF(AND(OR(A238="WINS",A238="PLAYOFFS",LEFT(A238,4)="DIV_"),INDEX(Raw_Teams!$F$8:$F$37,MATCH($C238,Raw_Teams!$A$8:$A$37,0))&lt;A_contthr),AND(((1-A_contshrink)*J238+A_contshrink*I238)*G238-1&gt;=A_minev,(1-A_contshrink)*N238+A_contshrink*(I238*G238-1)&gt;0),TRUE),M_Sims!P276=0)</f>
        <v>0</v>
      </c>
      <c r="X238" s="6" t="s">
        <v>1315</v>
      </c>
      <c r="Y238" s="6" t="s">
        <v>1312</v>
      </c>
      <c r="Z238" s="6">
        <v>193</v>
      </c>
      <c r="AA238" s="7" t="str">
        <f t="shared" si="72"/>
        <v>OK - sims match current assumptions</v>
      </c>
      <c r="AB238" s="13" t="s">
        <v>33</v>
      </c>
      <c r="AC238" s="13" t="s">
        <v>33</v>
      </c>
      <c r="AD238" s="13" t="s">
        <v>33</v>
      </c>
      <c r="AE238" s="13" t="s">
        <v>33</v>
      </c>
      <c r="AF238" s="34">
        <f t="shared" si="73"/>
        <v>-4.2164494892444448E-2</v>
      </c>
      <c r="AG238" s="34">
        <f t="shared" si="74"/>
        <v>-0.12405441155911116</v>
      </c>
      <c r="AH238" s="6" t="b">
        <f>AND(W238,I238&gt;=A_t1_fair,((1-A_t1_shrink)*J238+A_t1_shrink*I238)*G238-1&gt;=A_minev,(1-A_t1_shrink)*N238+A_t1_shrink*(I238*G238-1)&gt;0,M_Sims!Q276=1)</f>
        <v>0</v>
      </c>
      <c r="AI238" s="18">
        <f>IF(AH238,M_Sims!R276*A_t1_cap/A_t1_engcap,0)</f>
        <v>0</v>
      </c>
      <c r="AJ238" s="46" t="str">
        <f t="shared" si="75"/>
        <v>-</v>
      </c>
      <c r="AK238" s="7" t="str">
        <f>IF(AH238,M_Sims!S276,"-")</f>
        <v>-</v>
      </c>
      <c r="AL238" s="51">
        <f>M_Sims!M276</f>
        <v>0</v>
      </c>
      <c r="AM238" s="6" t="str">
        <f t="shared" si="76"/>
        <v>-</v>
      </c>
    </row>
    <row r="239" spans="1:39" ht="15" customHeight="1" x14ac:dyDescent="0.3">
      <c r="A239" s="6" t="s">
        <v>284</v>
      </c>
      <c r="B239" s="7" t="str">
        <f>Odds_Input!C202</f>
        <v>Milwaukee Bucks</v>
      </c>
      <c r="C239" s="6" t="s">
        <v>213</v>
      </c>
      <c r="D239" s="7" t="str">
        <f>Odds_Input!D202</f>
        <v>YES</v>
      </c>
      <c r="E239" s="31" t="str">
        <f>Odds_Input!E202</f>
        <v>-</v>
      </c>
      <c r="F239" s="32">
        <f>Odds_Input!F202</f>
        <v>1700</v>
      </c>
      <c r="G239" s="36">
        <f>M_DeVig!H202</f>
        <v>18</v>
      </c>
      <c r="H239" s="7" t="str">
        <f>Odds_Input!G202</f>
        <v>-</v>
      </c>
      <c r="I239" s="42">
        <f>M_DeVig!Q202</f>
        <v>3.6398467445592587E-2</v>
      </c>
      <c r="J239" s="42">
        <f>IF(A_podef="Bracket",INDEX(M_Sims!$E$15:$E$44,MATCH($C239,M_Sims!$A$15:$A$44,0)),INDEX(M_Sims!$D$15:$D$44,MATCH($C239,M_Sims!$A$15:$A$44,0)))</f>
        <v>0.13844999999999999</v>
      </c>
      <c r="K239" s="43">
        <f t="shared" si="66"/>
        <v>622.2824124232576</v>
      </c>
      <c r="L239" s="34">
        <f t="shared" si="67"/>
        <v>1.4920999999999998</v>
      </c>
      <c r="M239" s="38">
        <f t="shared" si="68"/>
        <v>10.205153255440742</v>
      </c>
      <c r="N239" s="42">
        <f>IF(A_podef="Bracket",M_Sims!B277,M_Sims!F277)</f>
        <v>0.91664000000000001</v>
      </c>
      <c r="O239" s="42">
        <f>IF(A_podef="Bracket",M_Sims!C277,M_Sims!G277)</f>
        <v>1.99916</v>
      </c>
      <c r="P239" s="42">
        <f>M_Sims!D277</f>
        <v>1</v>
      </c>
      <c r="Q239" s="34">
        <f t="shared" si="69"/>
        <v>8.7424233722796285E-2</v>
      </c>
      <c r="R239" s="18" t="str">
        <f t="shared" si="70"/>
        <v>-</v>
      </c>
      <c r="S239" s="46" t="str">
        <f t="shared" si="71"/>
        <v>-</v>
      </c>
      <c r="T239" s="51" t="str">
        <f>IF(A_tier2_on=1,M_Sims!M277,"-")</f>
        <v>-</v>
      </c>
      <c r="U239" s="46" t="str">
        <f>IF(OR(A_bankroll="",A_tier2_on&lt;&gt;1),"-",MIN(A_maxbet,M_Sims!M277*A_bankroll))</f>
        <v>-</v>
      </c>
      <c r="V239" s="30">
        <f>M_Sims!H277</f>
        <v>1</v>
      </c>
      <c r="W239" s="6" t="b">
        <f>AND(H239&lt;&gt;"IMPUTED_20C_LADDER",L239&gt;=A_minev,N239&gt;0,V239=1,IF(A239="PLAYOFFS",A_poconf=1,TRUE),IF(AND(A239="WINS",A_zs_on=1),AND(AE239&gt;=A_minev,M_Sims!O277&gt;0),TRUE),AF239&gt;=A_minev,AG239&gt;0,IF(I239&lt;A_longthr,(1-A_shrink)*M_Sims!K277+A_shrink*(I239*G239-1)&gt;=A_minev,TRUE),IF(AND(OR(A239="WINS",A239="PLAYOFFS",LEFT(A239,4)="DIV_"),INDEX(Raw_Teams!$F$8:$F$37,MATCH($C239,Raw_Teams!$A$8:$A$37,0))&lt;A_contthr),AND(((1-A_contshrink)*J239+A_contshrink*I239)*G239-1&gt;=A_minev,(1-A_contshrink)*N239+A_contshrink*(I239*G239-1)&gt;0),TRUE),M_Sims!P277=0)</f>
        <v>0</v>
      </c>
      <c r="X239" s="6" t="s">
        <v>1315</v>
      </c>
      <c r="Y239" s="6" t="s">
        <v>1312</v>
      </c>
      <c r="Z239" s="6">
        <v>194</v>
      </c>
      <c r="AA239" s="7" t="str">
        <f t="shared" si="72"/>
        <v>OK - sims match current assumptions</v>
      </c>
      <c r="AB239" s="13" t="s">
        <v>33</v>
      </c>
      <c r="AC239" s="13" t="s">
        <v>33</v>
      </c>
      <c r="AD239" s="13" t="s">
        <v>33</v>
      </c>
      <c r="AE239" s="13" t="s">
        <v>33</v>
      </c>
      <c r="AF239" s="34">
        <f t="shared" si="73"/>
        <v>0.57363620701033313</v>
      </c>
      <c r="AG239" s="34">
        <f t="shared" si="74"/>
        <v>0.28590620701033331</v>
      </c>
      <c r="AH239" s="6" t="b">
        <f>AND(W239,I239&gt;=A_t1_fair,((1-A_t1_shrink)*J239+A_t1_shrink*I239)*G239-1&gt;=A_minev,(1-A_t1_shrink)*N239+A_t1_shrink*(I239*G239-1)&gt;0,M_Sims!Q277=1)</f>
        <v>0</v>
      </c>
      <c r="AI239" s="18">
        <f>IF(AH239,M_Sims!R277*A_t1_cap/A_t1_engcap,0)</f>
        <v>0</v>
      </c>
      <c r="AJ239" s="46" t="str">
        <f t="shared" si="75"/>
        <v>-</v>
      </c>
      <c r="AK239" s="7" t="str">
        <f>IF(AH239,M_Sims!S277,"-")</f>
        <v>-</v>
      </c>
      <c r="AL239" s="51">
        <f>M_Sims!M277</f>
        <v>0</v>
      </c>
      <c r="AM239" s="6" t="str">
        <f t="shared" si="76"/>
        <v>-</v>
      </c>
    </row>
    <row r="240" spans="1:39" ht="15" customHeight="1" x14ac:dyDescent="0.3">
      <c r="A240" s="6" t="s">
        <v>284</v>
      </c>
      <c r="B240" s="7" t="str">
        <f>Odds_Input!C203</f>
        <v>Milwaukee Bucks</v>
      </c>
      <c r="C240" s="6" t="s">
        <v>213</v>
      </c>
      <c r="D240" s="7" t="str">
        <f>Odds_Input!D203</f>
        <v>NO</v>
      </c>
      <c r="E240" s="31" t="str">
        <f>Odds_Input!E203</f>
        <v>-</v>
      </c>
      <c r="F240" s="32">
        <f>Odds_Input!F203</f>
        <v>-5700</v>
      </c>
      <c r="G240" s="36">
        <f>M_DeVig!H203</f>
        <v>1.0175438596491229</v>
      </c>
      <c r="H240" s="7" t="str">
        <f>Odds_Input!G203</f>
        <v>-</v>
      </c>
      <c r="I240" s="42">
        <f>M_DeVig!Q203</f>
        <v>0.96360153256783077</v>
      </c>
      <c r="J240" s="42">
        <f>1-(IF(A_podef="Bracket",INDEX(M_Sims!$E$15:$E$44,MATCH($C240,M_Sims!$A$15:$A$44,0)),INDEX(M_Sims!$D$15:$D$44,MATCH($C240,M_Sims!$A$15:$A$44,0))))</f>
        <v>0.86155000000000004</v>
      </c>
      <c r="K240" s="43">
        <f t="shared" si="66"/>
        <v>-622.28241242325771</v>
      </c>
      <c r="L240" s="34">
        <f t="shared" si="67"/>
        <v>-0.12333508771929813</v>
      </c>
      <c r="M240" s="38">
        <f t="shared" si="68"/>
        <v>-10.205153256783072</v>
      </c>
      <c r="N240" s="42">
        <f>IF(A_podef="Bracket",M_Sims!B278,M_Sims!F278)</f>
        <v>-0.1519992982456139</v>
      </c>
      <c r="O240" s="42">
        <f>IF(A_podef="Bracket",M_Sims!C278,M_Sims!G278)</f>
        <v>-9.0804210526315696E-2</v>
      </c>
      <c r="P240" s="42">
        <f>M_Sims!D278</f>
        <v>0</v>
      </c>
      <c r="Q240" s="34">
        <f t="shared" si="69"/>
        <v>0.91257576628391535</v>
      </c>
      <c r="R240" s="18" t="str">
        <f t="shared" si="70"/>
        <v>-</v>
      </c>
      <c r="S240" s="46" t="str">
        <f t="shared" si="71"/>
        <v>-</v>
      </c>
      <c r="T240" s="51" t="str">
        <f>IF(A_tier2_on=1,M_Sims!M278,"-")</f>
        <v>-</v>
      </c>
      <c r="U240" s="46" t="str">
        <f>IF(OR(A_bankroll="",A_tier2_on&lt;&gt;1),"-",MIN(A_maxbet,M_Sims!M278*A_bankroll))</f>
        <v>-</v>
      </c>
      <c r="V240" s="30">
        <f>M_Sims!H278</f>
        <v>0</v>
      </c>
      <c r="W240" s="6" t="b">
        <f>AND(H240&lt;&gt;"IMPUTED_20C_LADDER",L240&gt;=A_minev,N240&gt;0,V240=1,IF(A240="PLAYOFFS",A_poconf=1,TRUE),IF(AND(A240="WINS",A_zs_on=1),AND(AE240&gt;=A_minev,M_Sims!O278&gt;0),TRUE),AF240&gt;=A_minev,AG240&gt;0,IF(I240&lt;A_longthr,(1-A_shrink)*M_Sims!K278+A_shrink*(I240*G240-1)&gt;=A_minev,TRUE),IF(AND(OR(A240="WINS",A240="PLAYOFFS",LEFT(A240,4)="DIV_"),INDEX(Raw_Teams!$F$8:$F$37,MATCH($C240,Raw_Teams!$A$8:$A$37,0))&lt;A_contthr),AND(((1-A_contshrink)*J240+A_contshrink*I240)*G240-1&gt;=A_minev,(1-A_contshrink)*N240+A_contshrink*(I240*G240-1)&gt;0),TRUE),M_Sims!P278=0)</f>
        <v>0</v>
      </c>
      <c r="X240" s="6" t="s">
        <v>1315</v>
      </c>
      <c r="Y240" s="6" t="s">
        <v>1312</v>
      </c>
      <c r="Z240" s="6">
        <v>195</v>
      </c>
      <c r="AA240" s="7" t="str">
        <f t="shared" si="72"/>
        <v>OK - sims match current assumptions</v>
      </c>
      <c r="AB240" s="13" t="s">
        <v>33</v>
      </c>
      <c r="AC240" s="13" t="s">
        <v>33</v>
      </c>
      <c r="AD240" s="13" t="s">
        <v>33</v>
      </c>
      <c r="AE240" s="13" t="s">
        <v>33</v>
      </c>
      <c r="AF240" s="34">
        <f t="shared" si="73"/>
        <v>-7.1414132553208942E-2</v>
      </c>
      <c r="AG240" s="34">
        <f t="shared" si="74"/>
        <v>-8.5746237816366713E-2</v>
      </c>
      <c r="AH240" s="6" t="b">
        <f>AND(W240,I240&gt;=A_t1_fair,((1-A_t1_shrink)*J240+A_t1_shrink*I240)*G240-1&gt;=A_minev,(1-A_t1_shrink)*N240+A_t1_shrink*(I240*G240-1)&gt;0,M_Sims!Q278=1)</f>
        <v>0</v>
      </c>
      <c r="AI240" s="18">
        <f>IF(AH240,M_Sims!R278*A_t1_cap/A_t1_engcap,0)</f>
        <v>0</v>
      </c>
      <c r="AJ240" s="46" t="str">
        <f t="shared" si="75"/>
        <v>-</v>
      </c>
      <c r="AK240" s="7" t="str">
        <f>IF(AH240,M_Sims!S278,"-")</f>
        <v>-</v>
      </c>
      <c r="AL240" s="51">
        <f>M_Sims!M278</f>
        <v>0</v>
      </c>
      <c r="AM240" s="6" t="str">
        <f t="shared" si="76"/>
        <v>-</v>
      </c>
    </row>
    <row r="241" spans="1:39" ht="15" customHeight="1" x14ac:dyDescent="0.3">
      <c r="A241" s="6" t="s">
        <v>284</v>
      </c>
      <c r="B241" s="7" t="str">
        <f>Odds_Input!C204</f>
        <v>Orlando Magic</v>
      </c>
      <c r="C241" s="6" t="s">
        <v>218</v>
      </c>
      <c r="D241" s="7" t="str">
        <f>Odds_Input!D204</f>
        <v>YES</v>
      </c>
      <c r="E241" s="31" t="str">
        <f>Odds_Input!E204</f>
        <v>-</v>
      </c>
      <c r="F241" s="32">
        <f>Odds_Input!F204</f>
        <v>-135</v>
      </c>
      <c r="G241" s="36">
        <f>M_DeVig!H204</f>
        <v>1.7407407407407407</v>
      </c>
      <c r="H241" s="7" t="str">
        <f>Odds_Input!G204</f>
        <v>-</v>
      </c>
      <c r="I241" s="42">
        <f>M_DeVig!Q204</f>
        <v>0.54333160353491683</v>
      </c>
      <c r="J241" s="42">
        <f>IF(A_podef="Bracket",INDEX(M_Sims!$E$15:$E$44,MATCH($C241,M_Sims!$A$15:$A$44,0)),INDEX(M_Sims!$D$15:$D$44,MATCH($C241,M_Sims!$A$15:$A$44,0)))</f>
        <v>0.68528999999999995</v>
      </c>
      <c r="K241" s="43">
        <f t="shared" si="66"/>
        <v>-217.75285183184513</v>
      </c>
      <c r="L241" s="34">
        <f t="shared" si="67"/>
        <v>0.19291222222222215</v>
      </c>
      <c r="M241" s="38">
        <f t="shared" si="68"/>
        <v>14.195839646508313</v>
      </c>
      <c r="N241" s="42">
        <f>IF(A_podef="Bracket",M_Sims!B279,M_Sims!F279)</f>
        <v>9.6968395061728302E-2</v>
      </c>
      <c r="O241" s="42">
        <f>IF(A_podef="Bracket",M_Sims!C279,M_Sims!G279)</f>
        <v>0.28090666666666669</v>
      </c>
      <c r="P241" s="42">
        <f>M_Sims!D279</f>
        <v>1</v>
      </c>
      <c r="Q241" s="34">
        <f t="shared" si="69"/>
        <v>0.61431080176745834</v>
      </c>
      <c r="R241" s="18" t="str">
        <f t="shared" si="70"/>
        <v>-</v>
      </c>
      <c r="S241" s="46" t="str">
        <f t="shared" si="71"/>
        <v>-</v>
      </c>
      <c r="T241" s="51" t="str">
        <f>IF(A_tier2_on=1,M_Sims!M279,"-")</f>
        <v>-</v>
      </c>
      <c r="U241" s="46" t="str">
        <f>IF(OR(A_bankroll="",A_tier2_on&lt;&gt;1),"-",MIN(A_maxbet,M_Sims!M279*A_bankroll))</f>
        <v>-</v>
      </c>
      <c r="V241" s="30">
        <f>M_Sims!H279</f>
        <v>1</v>
      </c>
      <c r="W241" s="6" t="b">
        <f>AND(H241&lt;&gt;"IMPUTED_20C_LADDER",L241&gt;=A_minev,N241&gt;0,V241=1,IF(A241="PLAYOFFS",A_poconf=1,TRUE),IF(AND(A241="WINS",A_zs_on=1),AND(AE241&gt;=A_minev,M_Sims!O279&gt;0),TRUE),AF241&gt;=A_minev,AG241&gt;0,IF(I241&lt;A_longthr,(1-A_shrink)*M_Sims!K279+A_shrink*(I241*G241-1)&gt;=A_minev,TRUE),IF(AND(OR(A241="WINS",A241="PLAYOFFS",LEFT(A241,4)="DIV_"),INDEX(Raw_Teams!$F$8:$F$37,MATCH($C241,Raw_Teams!$A$8:$A$37,0))&lt;A_contthr),AND(((1-A_contshrink)*J241+A_contshrink*I241)*G241-1&gt;=A_minev,(1-A_contshrink)*N241+A_contshrink*(I241*G241-1)&gt;0),TRUE),M_Sims!P279=0)</f>
        <v>1</v>
      </c>
      <c r="X241" s="6" t="s">
        <v>1315</v>
      </c>
      <c r="Y241" s="6" t="s">
        <v>1312</v>
      </c>
      <c r="Z241" s="6">
        <v>196</v>
      </c>
      <c r="AA241" s="7" t="str">
        <f t="shared" si="72"/>
        <v>OK - sims match current assumptions</v>
      </c>
      <c r="AB241" s="13" t="s">
        <v>33</v>
      </c>
      <c r="AC241" s="13" t="s">
        <v>33</v>
      </c>
      <c r="AD241" s="13" t="s">
        <v>33</v>
      </c>
      <c r="AE241" s="13" t="s">
        <v>33</v>
      </c>
      <c r="AF241" s="34">
        <f t="shared" si="73"/>
        <v>6.9355840113723755E-2</v>
      </c>
      <c r="AG241" s="34">
        <f t="shared" si="74"/>
        <v>2.1383926533476941E-2</v>
      </c>
      <c r="AH241" s="6" t="b">
        <f>AND(W241,I241&gt;=A_t1_fair,((1-A_t1_shrink)*J241+A_t1_shrink*I241)*G241-1&gt;=A_minev,(1-A_t1_shrink)*N241+A_t1_shrink*(I241*G241-1)&gt;0,M_Sims!Q279=1)</f>
        <v>0</v>
      </c>
      <c r="AI241" s="18">
        <f>IF(AH241,M_Sims!R279*A_t1_cap/A_t1_engcap,0)</f>
        <v>0</v>
      </c>
      <c r="AJ241" s="46" t="str">
        <f t="shared" si="75"/>
        <v>-</v>
      </c>
      <c r="AK241" s="7" t="str">
        <f>IF(AH241,M_Sims!S279,"-")</f>
        <v>-</v>
      </c>
      <c r="AL241" s="51">
        <f>M_Sims!M279</f>
        <v>6.3343176913385002E-3</v>
      </c>
      <c r="AM241" s="6" t="str">
        <f t="shared" si="76"/>
        <v>Tier 2</v>
      </c>
    </row>
    <row r="242" spans="1:39" ht="15" customHeight="1" x14ac:dyDescent="0.3">
      <c r="A242" s="6" t="s">
        <v>284</v>
      </c>
      <c r="B242" s="7" t="str">
        <f>Odds_Input!C205</f>
        <v>Orlando Magic</v>
      </c>
      <c r="C242" s="6" t="s">
        <v>218</v>
      </c>
      <c r="D242" s="7" t="str">
        <f>Odds_Input!D205</f>
        <v>NO</v>
      </c>
      <c r="E242" s="31" t="str">
        <f>Odds_Input!E205</f>
        <v>-</v>
      </c>
      <c r="F242" s="32">
        <f>Odds_Input!F205</f>
        <v>105</v>
      </c>
      <c r="G242" s="36">
        <f>M_DeVig!H205</f>
        <v>2.0499999999999998</v>
      </c>
      <c r="H242" s="7" t="str">
        <f>Odds_Input!G205</f>
        <v>-</v>
      </c>
      <c r="I242" s="42">
        <f>M_DeVig!Q205</f>
        <v>0.45666839647839613</v>
      </c>
      <c r="J242" s="42">
        <f>1-(IF(A_podef="Bracket",INDEX(M_Sims!$E$15:$E$44,MATCH($C242,M_Sims!$A$15:$A$44,0)),INDEX(M_Sims!$D$15:$D$44,MATCH($C242,M_Sims!$A$15:$A$44,0))))</f>
        <v>0.31471000000000005</v>
      </c>
      <c r="K242" s="43">
        <f t="shared" si="66"/>
        <v>217.75285183184513</v>
      </c>
      <c r="L242" s="34">
        <f t="shared" si="67"/>
        <v>-0.35484450000000001</v>
      </c>
      <c r="M242" s="38">
        <f t="shared" si="68"/>
        <v>-14.195839647839609</v>
      </c>
      <c r="N242" s="42">
        <f>IF(A_podef="Bracket",M_Sims!B280,M_Sims!F280)</f>
        <v>-0.45847199999999999</v>
      </c>
      <c r="O242" s="42">
        <f>IF(A_podef="Bracket",M_Sims!C280,M_Sims!G280)</f>
        <v>-0.24185533333333331</v>
      </c>
      <c r="P242" s="42">
        <f>M_Sims!D280</f>
        <v>0</v>
      </c>
      <c r="Q242" s="34">
        <f t="shared" si="69"/>
        <v>0.38568919823919812</v>
      </c>
      <c r="R242" s="18" t="str">
        <f t="shared" si="70"/>
        <v>-</v>
      </c>
      <c r="S242" s="46" t="str">
        <f t="shared" si="71"/>
        <v>-</v>
      </c>
      <c r="T242" s="51" t="str">
        <f>IF(A_tier2_on=1,M_Sims!M280,"-")</f>
        <v>-</v>
      </c>
      <c r="U242" s="46" t="str">
        <f>IF(OR(A_bankroll="",A_tier2_on&lt;&gt;1),"-",MIN(A_maxbet,M_Sims!M280*A_bankroll))</f>
        <v>-</v>
      </c>
      <c r="V242" s="30">
        <f>M_Sims!H280</f>
        <v>1</v>
      </c>
      <c r="W242" s="6" t="b">
        <f>AND(H242&lt;&gt;"IMPUTED_20C_LADDER",L242&gt;=A_minev,N242&gt;0,V242=1,IF(A242="PLAYOFFS",A_poconf=1,TRUE),IF(AND(A242="WINS",A_zs_on=1),AND(AE242&gt;=A_minev,M_Sims!O280&gt;0),TRUE),AF242&gt;=A_minev,AG242&gt;0,IF(I242&lt;A_longthr,(1-A_shrink)*M_Sims!K280+A_shrink*(I242*G242-1)&gt;=A_minev,TRUE),IF(AND(OR(A242="WINS",A242="PLAYOFFS",LEFT(A242,4)="DIV_"),INDEX(Raw_Teams!$F$8:$F$37,MATCH($C242,Raw_Teams!$A$8:$A$37,0))&lt;A_contthr),AND(((1-A_contshrink)*J242+A_contshrink*I242)*G242-1&gt;=A_minev,(1-A_contshrink)*N242+A_contshrink*(I242*G242-1)&gt;0),TRUE),M_Sims!P280=0)</f>
        <v>0</v>
      </c>
      <c r="X242" s="6" t="s">
        <v>1315</v>
      </c>
      <c r="Y242" s="6" t="s">
        <v>1312</v>
      </c>
      <c r="Z242" s="6">
        <v>197</v>
      </c>
      <c r="AA242" s="7" t="str">
        <f t="shared" si="72"/>
        <v>OK - sims match current assumptions</v>
      </c>
      <c r="AB242" s="13" t="s">
        <v>33</v>
      </c>
      <c r="AC242" s="13" t="s">
        <v>33</v>
      </c>
      <c r="AD242" s="13" t="s">
        <v>33</v>
      </c>
      <c r="AE242" s="13" t="s">
        <v>33</v>
      </c>
      <c r="AF242" s="34">
        <f t="shared" si="73"/>
        <v>-0.20933714360964395</v>
      </c>
      <c r="AG242" s="34">
        <f t="shared" si="74"/>
        <v>-0.261150893609644</v>
      </c>
      <c r="AH242" s="6" t="b">
        <f>AND(W242,I242&gt;=A_t1_fair,((1-A_t1_shrink)*J242+A_t1_shrink*I242)*G242-1&gt;=A_minev,(1-A_t1_shrink)*N242+A_t1_shrink*(I242*G242-1)&gt;0,M_Sims!Q280=1)</f>
        <v>0</v>
      </c>
      <c r="AI242" s="18">
        <f>IF(AH242,M_Sims!R280*A_t1_cap/A_t1_engcap,0)</f>
        <v>0</v>
      </c>
      <c r="AJ242" s="46" t="str">
        <f t="shared" si="75"/>
        <v>-</v>
      </c>
      <c r="AK242" s="7" t="str">
        <f>IF(AH242,M_Sims!S280,"-")</f>
        <v>-</v>
      </c>
      <c r="AL242" s="51">
        <f>M_Sims!M280</f>
        <v>0</v>
      </c>
      <c r="AM242" s="6" t="str">
        <f t="shared" si="76"/>
        <v>-</v>
      </c>
    </row>
    <row r="243" spans="1:39" ht="15" customHeight="1" x14ac:dyDescent="0.3">
      <c r="A243" s="6" t="s">
        <v>284</v>
      </c>
      <c r="B243" s="7" t="str">
        <f>Odds_Input!C206</f>
        <v>Washington Wizards</v>
      </c>
      <c r="C243" s="6" t="s">
        <v>226</v>
      </c>
      <c r="D243" s="7" t="str">
        <f>Odds_Input!D206</f>
        <v>YES</v>
      </c>
      <c r="E243" s="31" t="str">
        <f>Odds_Input!E206</f>
        <v>-</v>
      </c>
      <c r="F243" s="32">
        <f>Odds_Input!F206</f>
        <v>260</v>
      </c>
      <c r="G243" s="36">
        <f>M_DeVig!H206</f>
        <v>3.6</v>
      </c>
      <c r="H243" s="7" t="str">
        <f>Odds_Input!G206</f>
        <v>-</v>
      </c>
      <c r="I243" s="42">
        <f>M_DeVig!Q206</f>
        <v>0.25252525255748343</v>
      </c>
      <c r="J243" s="42">
        <f>IF(A_podef="Bracket",INDEX(M_Sims!$E$15:$E$44,MATCH($C243,M_Sims!$A$15:$A$44,0)),INDEX(M_Sims!$D$15:$D$44,MATCH($C243,M_Sims!$A$15:$A$44,0)))</f>
        <v>8.9450000000000002E-2</v>
      </c>
      <c r="K243" s="43">
        <f t="shared" si="66"/>
        <v>1017.9429849077696</v>
      </c>
      <c r="L243" s="34">
        <f t="shared" si="67"/>
        <v>-0.67798000000000003</v>
      </c>
      <c r="M243" s="38">
        <f t="shared" si="68"/>
        <v>-16.307525255748342</v>
      </c>
      <c r="N243" s="42">
        <f>IF(A_podef="Bracket",M_Sims!B281,M_Sims!F281)</f>
        <v>-0.77543200000000001</v>
      </c>
      <c r="O243" s="42">
        <f>IF(A_podef="Bracket",M_Sims!C281,M_Sims!G281)</f>
        <v>-0.5818239999999999</v>
      </c>
      <c r="P243" s="42">
        <f>M_Sims!D281</f>
        <v>0</v>
      </c>
      <c r="Q243" s="34">
        <f t="shared" si="69"/>
        <v>0.1709876262787417</v>
      </c>
      <c r="R243" s="18" t="str">
        <f t="shared" si="70"/>
        <v>-</v>
      </c>
      <c r="S243" s="46" t="str">
        <f t="shared" si="71"/>
        <v>-</v>
      </c>
      <c r="T243" s="51" t="str">
        <f>IF(A_tier2_on=1,M_Sims!M281,"-")</f>
        <v>-</v>
      </c>
      <c r="U243" s="46" t="str">
        <f>IF(OR(A_bankroll="",A_tier2_on&lt;&gt;1),"-",MIN(A_maxbet,M_Sims!M281*A_bankroll))</f>
        <v>-</v>
      </c>
      <c r="V243" s="30">
        <f>M_Sims!H281</f>
        <v>0</v>
      </c>
      <c r="W243" s="6" t="b">
        <f>AND(H243&lt;&gt;"IMPUTED_20C_LADDER",L243&gt;=A_minev,N243&gt;0,V243=1,IF(A243="PLAYOFFS",A_poconf=1,TRUE),IF(AND(A243="WINS",A_zs_on=1),AND(AE243&gt;=A_minev,M_Sims!O281&gt;0),TRUE),AF243&gt;=A_minev,AG243&gt;0,IF(I243&lt;A_longthr,(1-A_shrink)*M_Sims!K281+A_shrink*(I243*G243-1)&gt;=A_minev,TRUE),IF(AND(OR(A243="WINS",A243="PLAYOFFS",LEFT(A243,4)="DIV_"),INDEX(Raw_Teams!$F$8:$F$37,MATCH($C243,Raw_Teams!$A$8:$A$37,0))&lt;A_contthr),AND(((1-A_contshrink)*J243+A_contshrink*I243)*G243-1&gt;=A_minev,(1-A_contshrink)*N243+A_contshrink*(I243*G243-1)&gt;0),TRUE),M_Sims!P281=0)</f>
        <v>0</v>
      </c>
      <c r="X243" s="6" t="s">
        <v>1315</v>
      </c>
      <c r="Y243" s="6" t="s">
        <v>1312</v>
      </c>
      <c r="Z243" s="6">
        <v>198</v>
      </c>
      <c r="AA243" s="7" t="str">
        <f t="shared" si="72"/>
        <v>OK - sims match current assumptions</v>
      </c>
      <c r="AB243" s="13" t="s">
        <v>33</v>
      </c>
      <c r="AC243" s="13" t="s">
        <v>33</v>
      </c>
      <c r="AD243" s="13" t="s">
        <v>33</v>
      </c>
      <c r="AE243" s="13" t="s">
        <v>33</v>
      </c>
      <c r="AF243" s="34">
        <f t="shared" si="73"/>
        <v>-0.38444454539652984</v>
      </c>
      <c r="AG243" s="34">
        <f t="shared" si="74"/>
        <v>-0.43317054539652983</v>
      </c>
      <c r="AH243" s="6" t="b">
        <f>AND(W243,I243&gt;=A_t1_fair,((1-A_t1_shrink)*J243+A_t1_shrink*I243)*G243-1&gt;=A_minev,(1-A_t1_shrink)*N243+A_t1_shrink*(I243*G243-1)&gt;0,M_Sims!Q281=1)</f>
        <v>0</v>
      </c>
      <c r="AI243" s="18">
        <f>IF(AH243,M_Sims!R281*A_t1_cap/A_t1_engcap,0)</f>
        <v>0</v>
      </c>
      <c r="AJ243" s="46" t="str">
        <f t="shared" si="75"/>
        <v>-</v>
      </c>
      <c r="AK243" s="7" t="str">
        <f>IF(AH243,M_Sims!S281,"-")</f>
        <v>-</v>
      </c>
      <c r="AL243" s="51">
        <f>M_Sims!M281</f>
        <v>0</v>
      </c>
      <c r="AM243" s="6" t="str">
        <f t="shared" si="76"/>
        <v>-</v>
      </c>
    </row>
    <row r="244" spans="1:39" ht="15" customHeight="1" x14ac:dyDescent="0.3">
      <c r="A244" s="6" t="s">
        <v>284</v>
      </c>
      <c r="B244" s="7" t="str">
        <f>Odds_Input!C207</f>
        <v>Washington Wizards</v>
      </c>
      <c r="C244" s="6" t="s">
        <v>226</v>
      </c>
      <c r="D244" s="7" t="str">
        <f>Odds_Input!D207</f>
        <v>NO</v>
      </c>
      <c r="E244" s="31" t="str">
        <f>Odds_Input!E207</f>
        <v>-</v>
      </c>
      <c r="F244" s="32">
        <f>Odds_Input!F207</f>
        <v>-340</v>
      </c>
      <c r="G244" s="36">
        <f>M_DeVig!H207</f>
        <v>1.2941176470588236</v>
      </c>
      <c r="H244" s="7" t="str">
        <f>Odds_Input!G207</f>
        <v>-</v>
      </c>
      <c r="I244" s="42">
        <f>M_DeVig!Q207</f>
        <v>0.74747474748638099</v>
      </c>
      <c r="J244" s="42">
        <f>1-(IF(A_podef="Bracket",INDEX(M_Sims!$E$15:$E$44,MATCH($C244,M_Sims!$A$15:$A$44,0)),INDEX(M_Sims!$D$15:$D$44,MATCH($C244,M_Sims!$A$15:$A$44,0))))</f>
        <v>0.91054999999999997</v>
      </c>
      <c r="K244" s="43">
        <f t="shared" si="66"/>
        <v>-1017.9429849077693</v>
      </c>
      <c r="L244" s="34">
        <f t="shared" si="67"/>
        <v>0.17835882352941179</v>
      </c>
      <c r="M244" s="38">
        <f t="shared" si="68"/>
        <v>16.307525251361898</v>
      </c>
      <c r="N244" s="42">
        <f>IF(A_podef="Bracket",M_Sims!B282,M_Sims!F282)</f>
        <v>0.14379294117647071</v>
      </c>
      <c r="O244" s="42">
        <f>IF(A_podef="Bracket",M_Sims!C282,M_Sims!G282)</f>
        <v>0.21339058823529411</v>
      </c>
      <c r="P244" s="42">
        <f>M_Sims!D282</f>
        <v>1</v>
      </c>
      <c r="Q244" s="34">
        <f t="shared" si="69"/>
        <v>0.82901237374319048</v>
      </c>
      <c r="R244" s="18" t="str">
        <f t="shared" si="70"/>
        <v>-</v>
      </c>
      <c r="S244" s="46" t="str">
        <f t="shared" si="71"/>
        <v>-</v>
      </c>
      <c r="T244" s="51" t="str">
        <f>IF(A_tier2_on=1,M_Sims!M282,"-")</f>
        <v>-</v>
      </c>
      <c r="U244" s="46" t="str">
        <f>IF(OR(A_bankroll="",A_tier2_on&lt;&gt;1),"-",MIN(A_maxbet,M_Sims!M282*A_bankroll))</f>
        <v>-</v>
      </c>
      <c r="V244" s="30">
        <f>M_Sims!H282</f>
        <v>1</v>
      </c>
      <c r="W244" s="6" t="b">
        <f>AND(H244&lt;&gt;"IMPUTED_20C_LADDER",L244&gt;=A_minev,N244&gt;0,V244=1,IF(A244="PLAYOFFS",A_poconf=1,TRUE),IF(AND(A244="WINS",A_zs_on=1),AND(AE244&gt;=A_minev,M_Sims!O282&gt;0),TRUE),AF244&gt;=A_minev,AG244&gt;0,IF(I244&lt;A_longthr,(1-A_shrink)*M_Sims!K282+A_shrink*(I244*G244-1)&gt;=A_minev,TRUE),IF(AND(OR(A244="WINS",A244="PLAYOFFS",LEFT(A244,4)="DIV_"),INDEX(Raw_Teams!$F$8:$F$37,MATCH($C244,Raw_Teams!$A$8:$A$37,0))&lt;A_contthr),AND(((1-A_contshrink)*J244+A_contshrink*I244)*G244-1&gt;=A_minev,(1-A_contshrink)*N244+A_contshrink*(I244*G244-1)&gt;0),TRUE),M_Sims!P282=0)</f>
        <v>1</v>
      </c>
      <c r="X244" s="6" t="s">
        <v>1315</v>
      </c>
      <c r="Y244" s="6" t="s">
        <v>1312</v>
      </c>
      <c r="Z244" s="6">
        <v>199</v>
      </c>
      <c r="AA244" s="7" t="str">
        <f t="shared" si="72"/>
        <v>OK - sims match current assumptions</v>
      </c>
      <c r="AB244" s="13" t="s">
        <v>33</v>
      </c>
      <c r="AC244" s="13" t="s">
        <v>33</v>
      </c>
      <c r="AD244" s="13" t="s">
        <v>33</v>
      </c>
      <c r="AE244" s="13" t="s">
        <v>33</v>
      </c>
      <c r="AF244" s="34">
        <f t="shared" si="73"/>
        <v>7.2839542491187625E-2</v>
      </c>
      <c r="AG244" s="34">
        <f t="shared" si="74"/>
        <v>5.5556601314717194E-2</v>
      </c>
      <c r="AH244" s="6" t="b">
        <f>AND(W244,I244&gt;=A_t1_fair,((1-A_t1_shrink)*J244+A_t1_shrink*I244)*G244-1&gt;=A_minev,(1-A_t1_shrink)*N244+A_t1_shrink*(I244*G244-1)&gt;0,M_Sims!Q282=1)</f>
        <v>0</v>
      </c>
      <c r="AI244" s="18">
        <f>IF(AH244,M_Sims!R282*A_t1_cap/A_t1_engcap,0)</f>
        <v>0</v>
      </c>
      <c r="AJ244" s="46" t="str">
        <f t="shared" si="75"/>
        <v>-</v>
      </c>
      <c r="AK244" s="7" t="str">
        <f>IF(AH244,M_Sims!S282,"-")</f>
        <v>-</v>
      </c>
      <c r="AL244" s="51">
        <f>M_Sims!M282</f>
        <v>0</v>
      </c>
      <c r="AM244" s="6" t="str">
        <f t="shared" si="76"/>
        <v>Tier 2</v>
      </c>
    </row>
    <row r="245" spans="1:39" ht="15" customHeight="1" x14ac:dyDescent="0.3">
      <c r="A245" s="6" t="s">
        <v>284</v>
      </c>
      <c r="B245" s="7" t="str">
        <f>Odds_Input!C208</f>
        <v>Brooklyn Nets</v>
      </c>
      <c r="C245" s="6" t="s">
        <v>198</v>
      </c>
      <c r="D245" s="7" t="str">
        <f>Odds_Input!D208</f>
        <v>YES</v>
      </c>
      <c r="E245" s="31" t="str">
        <f>Odds_Input!E208</f>
        <v>-</v>
      </c>
      <c r="F245" s="32">
        <f>Odds_Input!F208</f>
        <v>1600</v>
      </c>
      <c r="G245" s="36">
        <f>M_DeVig!H208</f>
        <v>17</v>
      </c>
      <c r="H245" s="7" t="str">
        <f>Odds_Input!G208</f>
        <v>-</v>
      </c>
      <c r="I245" s="42">
        <f>M_DeVig!Q208</f>
        <v>3.8183694525261193E-2</v>
      </c>
      <c r="J245" s="42">
        <f>IF(A_podef="Bracket",INDEX(M_Sims!$E$15:$E$44,MATCH($C245,M_Sims!$A$15:$A$44,0)),INDEX(M_Sims!$D$15:$D$44,MATCH($C245,M_Sims!$A$15:$A$44,0)))</f>
        <v>0.17657999999999999</v>
      </c>
      <c r="K245" s="43">
        <f t="shared" si="66"/>
        <v>466.3155510250312</v>
      </c>
      <c r="L245" s="34">
        <f t="shared" si="67"/>
        <v>2.0018599999999998</v>
      </c>
      <c r="M245" s="38">
        <f t="shared" si="68"/>
        <v>13.839630547473881</v>
      </c>
      <c r="N245" s="42">
        <f>IF(A_podef="Bracket",M_Sims!B283,M_Sims!F283)</f>
        <v>1.4276</v>
      </c>
      <c r="O245" s="42">
        <f>IF(A_podef="Bracket",M_Sims!C283,M_Sims!G283)</f>
        <v>2.5148066666666669</v>
      </c>
      <c r="P245" s="42">
        <f>M_Sims!D283</f>
        <v>1</v>
      </c>
      <c r="Q245" s="34">
        <f t="shared" si="69"/>
        <v>0.10738184726263059</v>
      </c>
      <c r="R245" s="18" t="str">
        <f t="shared" si="70"/>
        <v>-</v>
      </c>
      <c r="S245" s="46" t="str">
        <f t="shared" si="71"/>
        <v>-</v>
      </c>
      <c r="T245" s="51" t="str">
        <f>IF(A_tier2_on=1,M_Sims!M283,"-")</f>
        <v>-</v>
      </c>
      <c r="U245" s="46" t="str">
        <f>IF(OR(A_bankroll="",A_tier2_on&lt;&gt;1),"-",MIN(A_maxbet,M_Sims!M283*A_bankroll))</f>
        <v>-</v>
      </c>
      <c r="V245" s="30">
        <f>M_Sims!H283</f>
        <v>1</v>
      </c>
      <c r="W245" s="6" t="b">
        <f>AND(H245&lt;&gt;"IMPUTED_20C_LADDER",L245&gt;=A_minev,N245&gt;0,V245=1,IF(A245="PLAYOFFS",A_poconf=1,TRUE),IF(AND(A245="WINS",A_zs_on=1),AND(AE245&gt;=A_minev,M_Sims!O283&gt;0),TRUE),AF245&gt;=A_minev,AG245&gt;0,IF(I245&lt;A_longthr,(1-A_shrink)*M_Sims!K283+A_shrink*(I245*G245-1)&gt;=A_minev,TRUE),IF(AND(OR(A245="WINS",A245="PLAYOFFS",LEFT(A245,4)="DIV_"),INDEX(Raw_Teams!$F$8:$F$37,MATCH($C245,Raw_Teams!$A$8:$A$37,0))&lt;A_contthr),AND(((1-A_contshrink)*J245+A_contshrink*I245)*G245-1&gt;=A_minev,(1-A_contshrink)*N245+A_contshrink*(I245*G245-1)&gt;0),TRUE),M_Sims!P283=0)</f>
        <v>1</v>
      </c>
      <c r="X245" s="6" t="s">
        <v>1316</v>
      </c>
      <c r="Y245" s="6" t="s">
        <v>1312</v>
      </c>
      <c r="Z245" s="6">
        <v>200</v>
      </c>
      <c r="AA245" s="7" t="str">
        <f t="shared" si="72"/>
        <v>OK - sims match current assumptions</v>
      </c>
      <c r="AB245" s="13" t="s">
        <v>33</v>
      </c>
      <c r="AC245" s="13" t="s">
        <v>33</v>
      </c>
      <c r="AD245" s="13" t="s">
        <v>33</v>
      </c>
      <c r="AE245" s="13" t="s">
        <v>33</v>
      </c>
      <c r="AF245" s="34">
        <f t="shared" si="73"/>
        <v>0.82549140346472005</v>
      </c>
      <c r="AG245" s="34">
        <f t="shared" si="74"/>
        <v>0.53836140346472017</v>
      </c>
      <c r="AH245" s="6" t="b">
        <f>AND(W245,I245&gt;=A_t1_fair,((1-A_t1_shrink)*J245+A_t1_shrink*I245)*G245-1&gt;=A_minev,(1-A_t1_shrink)*N245+A_t1_shrink*(I245*G245-1)&gt;0,M_Sims!Q283=1)</f>
        <v>0</v>
      </c>
      <c r="AI245" s="18">
        <f>IF(AH245,M_Sims!R283*A_t1_cap/A_t1_engcap,0)</f>
        <v>0</v>
      </c>
      <c r="AJ245" s="46" t="str">
        <f t="shared" si="75"/>
        <v>-</v>
      </c>
      <c r="AK245" s="7" t="str">
        <f>IF(AH245,M_Sims!S283,"-")</f>
        <v>-</v>
      </c>
      <c r="AL245" s="51">
        <f>M_Sims!M283</f>
        <v>3.3853243611215002E-3</v>
      </c>
      <c r="AM245" s="6" t="str">
        <f t="shared" si="76"/>
        <v>Tier 2</v>
      </c>
    </row>
    <row r="246" spans="1:39" ht="15" customHeight="1" x14ac:dyDescent="0.3">
      <c r="A246" s="6" t="s">
        <v>284</v>
      </c>
      <c r="B246" s="7" t="str">
        <f>Odds_Input!C209</f>
        <v>Brooklyn Nets</v>
      </c>
      <c r="C246" s="6" t="s">
        <v>198</v>
      </c>
      <c r="D246" s="7" t="str">
        <f>Odds_Input!D209</f>
        <v>NO</v>
      </c>
      <c r="E246" s="31" t="str">
        <f>Odds_Input!E209</f>
        <v>-</v>
      </c>
      <c r="F246" s="32">
        <f>Odds_Input!F209</f>
        <v>-5600</v>
      </c>
      <c r="G246" s="36">
        <f>M_DeVig!H209</f>
        <v>1.0178571428571428</v>
      </c>
      <c r="H246" s="7" t="str">
        <f>Odds_Input!G209</f>
        <v>-</v>
      </c>
      <c r="I246" s="42">
        <f>M_DeVig!Q209</f>
        <v>0.96181630546921582</v>
      </c>
      <c r="J246" s="42">
        <f>1-(IF(A_podef="Bracket",INDEX(M_Sims!$E$15:$E$44,MATCH($C246,M_Sims!$A$15:$A$44,0)),INDEX(M_Sims!$D$15:$D$44,MATCH($C246,M_Sims!$A$15:$A$44,0))))</f>
        <v>0.82342000000000004</v>
      </c>
      <c r="K246" s="43">
        <f t="shared" si="66"/>
        <v>-466.31555102503125</v>
      </c>
      <c r="L246" s="34">
        <f t="shared" si="67"/>
        <v>-0.16187607142857141</v>
      </c>
      <c r="M246" s="38">
        <f t="shared" si="68"/>
        <v>-13.839630546921578</v>
      </c>
      <c r="N246" s="42">
        <f>IF(A_podef="Bracket",M_Sims!B284,M_Sims!F284)</f>
        <v>-0.19258821428571429</v>
      </c>
      <c r="O246" s="42">
        <f>IF(A_podef="Bracket",M_Sims!C284,M_Sims!G284)</f>
        <v>-0.1274928571428571</v>
      </c>
      <c r="P246" s="42">
        <f>M_Sims!D284</f>
        <v>0</v>
      </c>
      <c r="Q246" s="34">
        <f t="shared" si="69"/>
        <v>0.89261815273460798</v>
      </c>
      <c r="R246" s="18" t="str">
        <f t="shared" si="70"/>
        <v>-</v>
      </c>
      <c r="S246" s="46" t="str">
        <f t="shared" si="71"/>
        <v>-</v>
      </c>
      <c r="T246" s="51" t="str">
        <f>IF(A_tier2_on=1,M_Sims!M284,"-")</f>
        <v>-</v>
      </c>
      <c r="U246" s="46" t="str">
        <f>IF(OR(A_bankroll="",A_tier2_on&lt;&gt;1),"-",MIN(A_maxbet,M_Sims!M284*A_bankroll))</f>
        <v>-</v>
      </c>
      <c r="V246" s="30">
        <f>M_Sims!H284</f>
        <v>0</v>
      </c>
      <c r="W246" s="6" t="b">
        <f>AND(H246&lt;&gt;"IMPUTED_20C_LADDER",L246&gt;=A_minev,N246&gt;0,V246=1,IF(A246="PLAYOFFS",A_poconf=1,TRUE),IF(AND(A246="WINS",A_zs_on=1),AND(AE246&gt;=A_minev,M_Sims!O284&gt;0),TRUE),AF246&gt;=A_minev,AG246&gt;0,IF(I246&lt;A_longthr,(1-A_shrink)*M_Sims!K284+A_shrink*(I246*G246-1)&gt;=A_minev,TRUE),IF(AND(OR(A246="WINS",A246="PLAYOFFS",LEFT(A246,4)="DIV_"),INDEX(Raw_Teams!$F$8:$F$37,MATCH($C246,Raw_Teams!$A$8:$A$37,0))&lt;A_contthr),AND(((1-A_contshrink)*J246+A_contshrink*I246)*G246-1&gt;=A_minev,(1-A_contshrink)*N246+A_contshrink*(I246*G246-1)&gt;0),TRUE),M_Sims!P284=0)</f>
        <v>0</v>
      </c>
      <c r="X246" s="6" t="s">
        <v>1316</v>
      </c>
      <c r="Y246" s="6" t="s">
        <v>1312</v>
      </c>
      <c r="Z246" s="6">
        <v>201</v>
      </c>
      <c r="AA246" s="7" t="str">
        <f t="shared" si="72"/>
        <v>OK - sims match current assumptions</v>
      </c>
      <c r="AB246" s="13" t="s">
        <v>33</v>
      </c>
      <c r="AC246" s="13" t="s">
        <v>33</v>
      </c>
      <c r="AD246" s="13" t="s">
        <v>33</v>
      </c>
      <c r="AE246" s="13" t="s">
        <v>33</v>
      </c>
      <c r="AF246" s="34">
        <f t="shared" si="73"/>
        <v>-9.1442237395131243E-2</v>
      </c>
      <c r="AG246" s="34">
        <f t="shared" si="74"/>
        <v>-0.10679830882370268</v>
      </c>
      <c r="AH246" s="6" t="b">
        <f>AND(W246,I246&gt;=A_t1_fair,((1-A_t1_shrink)*J246+A_t1_shrink*I246)*G246-1&gt;=A_minev,(1-A_t1_shrink)*N246+A_t1_shrink*(I246*G246-1)&gt;0,M_Sims!Q284=1)</f>
        <v>0</v>
      </c>
      <c r="AI246" s="18">
        <f>IF(AH246,M_Sims!R284*A_t1_cap/A_t1_engcap,0)</f>
        <v>0</v>
      </c>
      <c r="AJ246" s="46" t="str">
        <f t="shared" si="75"/>
        <v>-</v>
      </c>
      <c r="AK246" s="7" t="str">
        <f>IF(AH246,M_Sims!S284,"-")</f>
        <v>-</v>
      </c>
      <c r="AL246" s="51">
        <f>M_Sims!M284</f>
        <v>0</v>
      </c>
      <c r="AM246" s="6" t="str">
        <f t="shared" si="76"/>
        <v>-</v>
      </c>
    </row>
    <row r="247" spans="1:39" ht="15" customHeight="1" x14ac:dyDescent="0.3">
      <c r="A247" s="6" t="s">
        <v>284</v>
      </c>
      <c r="B247" s="7" t="str">
        <f>Odds_Input!C210</f>
        <v>Charlotte Hornets</v>
      </c>
      <c r="C247" s="6" t="s">
        <v>200</v>
      </c>
      <c r="D247" s="7" t="str">
        <f>Odds_Input!D210</f>
        <v>YES</v>
      </c>
      <c r="E247" s="31" t="str">
        <f>Odds_Input!E210</f>
        <v>-</v>
      </c>
      <c r="F247" s="32">
        <f>Odds_Input!F210</f>
        <v>160</v>
      </c>
      <c r="G247" s="36">
        <f>M_DeVig!H210</f>
        <v>2.6</v>
      </c>
      <c r="H247" s="7" t="str">
        <f>Odds_Input!G210</f>
        <v>-</v>
      </c>
      <c r="I247" s="42">
        <f>M_DeVig!Q210</f>
        <v>0.35897435898127938</v>
      </c>
      <c r="J247" s="42">
        <f>IF(A_podef="Bracket",INDEX(M_Sims!$E$15:$E$44,MATCH($C247,M_Sims!$A$15:$A$44,0)),INDEX(M_Sims!$D$15:$D$44,MATCH($C247,M_Sims!$A$15:$A$44,0)))</f>
        <v>0.41615000000000002</v>
      </c>
      <c r="K247" s="43">
        <f t="shared" si="66"/>
        <v>140.29796948215787</v>
      </c>
      <c r="L247" s="34">
        <f t="shared" si="67"/>
        <v>8.1990000000000007E-2</v>
      </c>
      <c r="M247" s="38">
        <f t="shared" si="68"/>
        <v>5.717564101872064</v>
      </c>
      <c r="N247" s="42">
        <f>IF(A_podef="Bracket",M_Sims!B285,M_Sims!F285)</f>
        <v>-5.4431999999999897E-2</v>
      </c>
      <c r="O247" s="42">
        <f>IF(A_podef="Bracket",M_Sims!C285,M_Sims!G285)</f>
        <v>0.2188973333333333</v>
      </c>
      <c r="P247" s="42">
        <f>M_Sims!D285</f>
        <v>0.76666666666666672</v>
      </c>
      <c r="Q247" s="34">
        <f t="shared" si="69"/>
        <v>0.3875621794906397</v>
      </c>
      <c r="R247" s="18" t="str">
        <f t="shared" si="70"/>
        <v>-</v>
      </c>
      <c r="S247" s="46" t="str">
        <f t="shared" si="71"/>
        <v>-</v>
      </c>
      <c r="T247" s="51" t="str">
        <f>IF(A_tier2_on=1,M_Sims!M285,"-")</f>
        <v>-</v>
      </c>
      <c r="U247" s="46" t="str">
        <f>IF(OR(A_bankroll="",A_tier2_on&lt;&gt;1),"-",MIN(A_maxbet,M_Sims!M285*A_bankroll))</f>
        <v>-</v>
      </c>
      <c r="V247" s="30">
        <f>M_Sims!H285</f>
        <v>1</v>
      </c>
      <c r="W247" s="6" t="b">
        <f>AND(H247&lt;&gt;"IMPUTED_20C_LADDER",L247&gt;=A_minev,N247&gt;0,V247=1,IF(A247="PLAYOFFS",A_poconf=1,TRUE),IF(AND(A247="WINS",A_zs_on=1),AND(AE247&gt;=A_minev,M_Sims!O285&gt;0),TRUE),AF247&gt;=A_minev,AG247&gt;0,IF(I247&lt;A_longthr,(1-A_shrink)*M_Sims!K285+A_shrink*(I247*G247-1)&gt;=A_minev,TRUE),IF(AND(OR(A247="WINS",A247="PLAYOFFS",LEFT(A247,4)="DIV_"),INDEX(Raw_Teams!$F$8:$F$37,MATCH($C247,Raw_Teams!$A$8:$A$37,0))&lt;A_contthr),AND(((1-A_contshrink)*J247+A_contshrink*I247)*G247-1&gt;=A_minev,(1-A_contshrink)*N247+A_contshrink*(I247*G247-1)&gt;0),TRUE),M_Sims!P285=0)</f>
        <v>0</v>
      </c>
      <c r="X247" s="6" t="s">
        <v>1316</v>
      </c>
      <c r="Y247" s="6" t="s">
        <v>1312</v>
      </c>
      <c r="Z247" s="6">
        <v>202</v>
      </c>
      <c r="AA247" s="7" t="str">
        <f t="shared" si="72"/>
        <v>OK - sims match current assumptions</v>
      </c>
      <c r="AB247" s="13" t="s">
        <v>33</v>
      </c>
      <c r="AC247" s="13" t="s">
        <v>33</v>
      </c>
      <c r="AD247" s="13" t="s">
        <v>33</v>
      </c>
      <c r="AE247" s="13" t="s">
        <v>33</v>
      </c>
      <c r="AF247" s="34">
        <f t="shared" si="73"/>
        <v>7.661666675663259E-3</v>
      </c>
      <c r="AG247" s="34">
        <f t="shared" si="74"/>
        <v>-6.0549333324336749E-2</v>
      </c>
      <c r="AH247" s="6" t="b">
        <f>AND(W247,I247&gt;=A_t1_fair,((1-A_t1_shrink)*J247+A_t1_shrink*I247)*G247-1&gt;=A_minev,(1-A_t1_shrink)*N247+A_t1_shrink*(I247*G247-1)&gt;0,M_Sims!Q285=1)</f>
        <v>0</v>
      </c>
      <c r="AI247" s="18">
        <f>IF(AH247,M_Sims!R285*A_t1_cap/A_t1_engcap,0)</f>
        <v>0</v>
      </c>
      <c r="AJ247" s="46" t="str">
        <f t="shared" si="75"/>
        <v>-</v>
      </c>
      <c r="AK247" s="7" t="str">
        <f>IF(AH247,M_Sims!S285,"-")</f>
        <v>-</v>
      </c>
      <c r="AL247" s="51">
        <f>M_Sims!M285</f>
        <v>0</v>
      </c>
      <c r="AM247" s="6" t="str">
        <f t="shared" si="76"/>
        <v>-</v>
      </c>
    </row>
    <row r="248" spans="1:39" ht="15" customHeight="1" x14ac:dyDescent="0.3">
      <c r="A248" s="6" t="s">
        <v>284</v>
      </c>
      <c r="B248" s="7" t="str">
        <f>Odds_Input!C211</f>
        <v>Charlotte Hornets</v>
      </c>
      <c r="C248" s="6" t="s">
        <v>200</v>
      </c>
      <c r="D248" s="7" t="str">
        <f>Odds_Input!D211</f>
        <v>NO</v>
      </c>
      <c r="E248" s="31" t="str">
        <f>Odds_Input!E211</f>
        <v>-</v>
      </c>
      <c r="F248" s="32">
        <f>Odds_Input!F211</f>
        <v>-200</v>
      </c>
      <c r="G248" s="36">
        <f>M_DeVig!H211</f>
        <v>1.5</v>
      </c>
      <c r="H248" s="7" t="str">
        <f>Odds_Input!G211</f>
        <v>-</v>
      </c>
      <c r="I248" s="42">
        <f>M_DeVig!Q211</f>
        <v>0.6410256410296401</v>
      </c>
      <c r="J248" s="42">
        <f>1-(IF(A_podef="Bracket",INDEX(M_Sims!$E$15:$E$44,MATCH($C248,M_Sims!$A$15:$A$44,0)),INDEX(M_Sims!$D$15:$D$44,MATCH($C248,M_Sims!$A$15:$A$44,0))))</f>
        <v>0.58384999999999998</v>
      </c>
      <c r="K248" s="43">
        <f t="shared" si="66"/>
        <v>-140.29796948215787</v>
      </c>
      <c r="L248" s="34">
        <f t="shared" si="67"/>
        <v>-0.12422500000000003</v>
      </c>
      <c r="M248" s="38">
        <f t="shared" si="68"/>
        <v>-5.7175641029640119</v>
      </c>
      <c r="N248" s="42">
        <f>IF(A_podef="Bracket",M_Sims!B286,M_Sims!F286)</f>
        <v>-0.20320999999999989</v>
      </c>
      <c r="O248" s="42">
        <f>IF(A_podef="Bracket",M_Sims!C286,M_Sims!G286)</f>
        <v>-4.5519999999999998E-2</v>
      </c>
      <c r="P248" s="42">
        <f>M_Sims!D286</f>
        <v>1.6666666666666601E-2</v>
      </c>
      <c r="Q248" s="34">
        <f t="shared" si="69"/>
        <v>0.61243782051481999</v>
      </c>
      <c r="R248" s="18" t="str">
        <f t="shared" si="70"/>
        <v>-</v>
      </c>
      <c r="S248" s="46" t="str">
        <f t="shared" si="71"/>
        <v>-</v>
      </c>
      <c r="T248" s="51" t="str">
        <f>IF(A_tier2_on=1,M_Sims!M286,"-")</f>
        <v>-</v>
      </c>
      <c r="U248" s="46" t="str">
        <f>IF(OR(A_bankroll="",A_tier2_on&lt;&gt;1),"-",MIN(A_maxbet,M_Sims!M286*A_bankroll))</f>
        <v>-</v>
      </c>
      <c r="V248" s="30">
        <f>M_Sims!H286</f>
        <v>1</v>
      </c>
      <c r="W248" s="6" t="b">
        <f>AND(H248&lt;&gt;"IMPUTED_20C_LADDER",L248&gt;=A_minev,N248&gt;0,V248=1,IF(A248="PLAYOFFS",A_poconf=1,TRUE),IF(AND(A248="WINS",A_zs_on=1),AND(AE248&gt;=A_minev,M_Sims!O286&gt;0),TRUE),AF248&gt;=A_minev,AG248&gt;0,IF(I248&lt;A_longthr,(1-A_shrink)*M_Sims!K286+A_shrink*(I248*G248-1)&gt;=A_minev,TRUE),IF(AND(OR(A248="WINS",A248="PLAYOFFS",LEFT(A248,4)="DIV_"),INDEX(Raw_Teams!$F$8:$F$37,MATCH($C248,Raw_Teams!$A$8:$A$37,0))&lt;A_contthr),AND(((1-A_contshrink)*J248+A_contshrink*I248)*G248-1&gt;=A_minev,(1-A_contshrink)*N248+A_contshrink*(I248*G248-1)&gt;0),TRUE),M_Sims!P286=0)</f>
        <v>0</v>
      </c>
      <c r="X248" s="6" t="s">
        <v>1316</v>
      </c>
      <c r="Y248" s="6" t="s">
        <v>1312</v>
      </c>
      <c r="Z248" s="6">
        <v>203</v>
      </c>
      <c r="AA248" s="7" t="str">
        <f t="shared" si="72"/>
        <v>OK - sims match current assumptions</v>
      </c>
      <c r="AB248" s="13" t="s">
        <v>33</v>
      </c>
      <c r="AC248" s="13" t="s">
        <v>33</v>
      </c>
      <c r="AD248" s="13" t="s">
        <v>33</v>
      </c>
      <c r="AE248" s="13" t="s">
        <v>33</v>
      </c>
      <c r="AF248" s="34">
        <f t="shared" si="73"/>
        <v>-8.1343269227770021E-2</v>
      </c>
      <c r="AG248" s="34">
        <f t="shared" si="74"/>
        <v>-0.12083576922776984</v>
      </c>
      <c r="AH248" s="6" t="b">
        <f>AND(W248,I248&gt;=A_t1_fair,((1-A_t1_shrink)*J248+A_t1_shrink*I248)*G248-1&gt;=A_minev,(1-A_t1_shrink)*N248+A_t1_shrink*(I248*G248-1)&gt;0,M_Sims!Q286=1)</f>
        <v>0</v>
      </c>
      <c r="AI248" s="18">
        <f>IF(AH248,M_Sims!R286*A_t1_cap/A_t1_engcap,0)</f>
        <v>0</v>
      </c>
      <c r="AJ248" s="46" t="str">
        <f t="shared" si="75"/>
        <v>-</v>
      </c>
      <c r="AK248" s="7" t="str">
        <f>IF(AH248,M_Sims!S286,"-")</f>
        <v>-</v>
      </c>
      <c r="AL248" s="51">
        <f>M_Sims!M286</f>
        <v>0</v>
      </c>
      <c r="AM248" s="6" t="str">
        <f t="shared" si="76"/>
        <v>-</v>
      </c>
    </row>
    <row r="249" spans="1:39" ht="15" customHeight="1" x14ac:dyDescent="0.3">
      <c r="A249" s="6" t="s">
        <v>284</v>
      </c>
      <c r="B249" s="7" t="str">
        <f>Odds_Input!C212</f>
        <v>Chicago Bulls</v>
      </c>
      <c r="C249" s="6" t="s">
        <v>201</v>
      </c>
      <c r="D249" s="7" t="str">
        <f>Odds_Input!D212</f>
        <v>YES</v>
      </c>
      <c r="E249" s="31" t="str">
        <f>Odds_Input!E212</f>
        <v>-</v>
      </c>
      <c r="F249" s="32">
        <f>Odds_Input!F212</f>
        <v>1150</v>
      </c>
      <c r="G249" s="36">
        <f>M_DeVig!H212</f>
        <v>12.5</v>
      </c>
      <c r="H249" s="7" t="str">
        <f>Odds_Input!G212</f>
        <v>-</v>
      </c>
      <c r="I249" s="42">
        <f>M_DeVig!Q212</f>
        <v>6.2222222258168883E-2</v>
      </c>
      <c r="J249" s="42">
        <f>IF(A_podef="Bracket",INDEX(M_Sims!$E$15:$E$44,MATCH($C249,M_Sims!$A$15:$A$44,0)),INDEX(M_Sims!$D$15:$D$44,MATCH($C249,M_Sims!$A$15:$A$44,0)))</f>
        <v>0.20041999999999999</v>
      </c>
      <c r="K249" s="43">
        <f t="shared" si="66"/>
        <v>398.9522003792037</v>
      </c>
      <c r="L249" s="34">
        <f t="shared" si="67"/>
        <v>1.5052499999999998</v>
      </c>
      <c r="M249" s="38">
        <f t="shared" si="68"/>
        <v>13.819777774183112</v>
      </c>
      <c r="N249" s="42">
        <f>IF(A_podef="Bracket",M_Sims!B287,M_Sims!F287)</f>
        <v>0.65183333333333338</v>
      </c>
      <c r="O249" s="42">
        <f>IF(A_podef="Bracket",M_Sims!C287,M_Sims!G287)</f>
        <v>2.434333333333333</v>
      </c>
      <c r="P249" s="42">
        <f>M_Sims!D287</f>
        <v>0.98333333333333317</v>
      </c>
      <c r="Q249" s="34">
        <f t="shared" si="69"/>
        <v>0.13132111112908443</v>
      </c>
      <c r="R249" s="18" t="str">
        <f t="shared" si="70"/>
        <v>-</v>
      </c>
      <c r="S249" s="46" t="str">
        <f t="shared" si="71"/>
        <v>-</v>
      </c>
      <c r="T249" s="51" t="str">
        <f>IF(A_tier2_on=1,M_Sims!M287,"-")</f>
        <v>-</v>
      </c>
      <c r="U249" s="46" t="str">
        <f>IF(OR(A_bankroll="",A_tier2_on&lt;&gt;1),"-",MIN(A_maxbet,M_Sims!M287*A_bankroll))</f>
        <v>-</v>
      </c>
      <c r="V249" s="30">
        <f>M_Sims!H287</f>
        <v>1</v>
      </c>
      <c r="W249" s="6" t="b">
        <f>AND(H249&lt;&gt;"IMPUTED_20C_LADDER",L249&gt;=A_minev,N249&gt;0,V249=1,IF(A249="PLAYOFFS",A_poconf=1,TRUE),IF(AND(A249="WINS",A_zs_on=1),AND(AE249&gt;=A_minev,M_Sims!O287&gt;0),TRUE),AF249&gt;=A_minev,AG249&gt;0,IF(I249&lt;A_longthr,(1-A_shrink)*M_Sims!K287+A_shrink*(I249*G249-1)&gt;=A_minev,TRUE),IF(AND(OR(A249="WINS",A249="PLAYOFFS",LEFT(A249,4)="DIV_"),INDEX(Raw_Teams!$F$8:$F$37,MATCH($C249,Raw_Teams!$A$8:$A$37,0))&lt;A_contthr),AND(((1-A_contshrink)*J249+A_contshrink*I249)*G249-1&gt;=A_minev,(1-A_contshrink)*N249+A_contshrink*(I249*G249-1)&gt;0),TRUE),M_Sims!P287=0)</f>
        <v>0</v>
      </c>
      <c r="X249" s="6" t="s">
        <v>1316</v>
      </c>
      <c r="Y249" s="6" t="s">
        <v>1312</v>
      </c>
      <c r="Z249" s="6">
        <v>204</v>
      </c>
      <c r="AA249" s="7" t="str">
        <f t="shared" si="72"/>
        <v>OK - sims match current assumptions</v>
      </c>
      <c r="AB249" s="13" t="s">
        <v>33</v>
      </c>
      <c r="AC249" s="13" t="s">
        <v>33</v>
      </c>
      <c r="AD249" s="13" t="s">
        <v>33</v>
      </c>
      <c r="AE249" s="13" t="s">
        <v>33</v>
      </c>
      <c r="AF249" s="34">
        <f t="shared" si="73"/>
        <v>0.64151388911355545</v>
      </c>
      <c r="AG249" s="34">
        <f t="shared" si="74"/>
        <v>0.2148055557802222</v>
      </c>
      <c r="AH249" s="6" t="b">
        <f>AND(W249,I249&gt;=A_t1_fair,((1-A_t1_shrink)*J249+A_t1_shrink*I249)*G249-1&gt;=A_minev,(1-A_t1_shrink)*N249+A_t1_shrink*(I249*G249-1)&gt;0,M_Sims!Q287=1)</f>
        <v>0</v>
      </c>
      <c r="AI249" s="18">
        <f>IF(AH249,M_Sims!R287*A_t1_cap/A_t1_engcap,0)</f>
        <v>0</v>
      </c>
      <c r="AJ249" s="46" t="str">
        <f t="shared" si="75"/>
        <v>-</v>
      </c>
      <c r="AK249" s="7" t="str">
        <f>IF(AH249,M_Sims!S287,"-")</f>
        <v>-</v>
      </c>
      <c r="AL249" s="51">
        <f>M_Sims!M287</f>
        <v>0</v>
      </c>
      <c r="AM249" s="6" t="str">
        <f t="shared" si="76"/>
        <v>-</v>
      </c>
    </row>
    <row r="250" spans="1:39" ht="15" customHeight="1" x14ac:dyDescent="0.3">
      <c r="A250" s="6" t="s">
        <v>284</v>
      </c>
      <c r="B250" s="7" t="str">
        <f>Odds_Input!C213</f>
        <v>Chicago Bulls</v>
      </c>
      <c r="C250" s="6" t="s">
        <v>201</v>
      </c>
      <c r="D250" s="7" t="str">
        <f>Odds_Input!D213</f>
        <v>NO</v>
      </c>
      <c r="E250" s="31" t="str">
        <f>Odds_Input!E213</f>
        <v>-</v>
      </c>
      <c r="F250" s="32">
        <f>Odds_Input!F213</f>
        <v>-2150</v>
      </c>
      <c r="G250" s="36">
        <f>M_DeVig!H213</f>
        <v>1.0465116279069768</v>
      </c>
      <c r="H250" s="7" t="str">
        <f>Odds_Input!G213</f>
        <v>-</v>
      </c>
      <c r="I250" s="42">
        <f>M_DeVig!Q213</f>
        <v>0.937777777780884</v>
      </c>
      <c r="J250" s="42">
        <f>1-(IF(A_podef="Bracket",INDEX(M_Sims!$E$15:$E$44,MATCH($C250,M_Sims!$A$15:$A$44,0)),INDEX(M_Sims!$D$15:$D$44,MATCH($C250,M_Sims!$A$15:$A$44,0))))</f>
        <v>0.79957999999999996</v>
      </c>
      <c r="K250" s="43">
        <f t="shared" si="66"/>
        <v>-398.95220037920359</v>
      </c>
      <c r="L250" s="34">
        <f t="shared" si="67"/>
        <v>-0.16323023255813951</v>
      </c>
      <c r="M250" s="38">
        <f t="shared" si="68"/>
        <v>-13.819777778088405</v>
      </c>
      <c r="N250" s="42">
        <f>IF(A_podef="Bracket",M_Sims!B288,M_Sims!F288)</f>
        <v>-0.2410139534883719</v>
      </c>
      <c r="O250" s="42">
        <f>IF(A_podef="Bracket",M_Sims!C288,M_Sims!G288)</f>
        <v>-9.1781395348837197E-2</v>
      </c>
      <c r="P250" s="42">
        <f>M_Sims!D288</f>
        <v>0</v>
      </c>
      <c r="Q250" s="34">
        <f t="shared" si="69"/>
        <v>0.86867888889044198</v>
      </c>
      <c r="R250" s="18" t="str">
        <f t="shared" si="70"/>
        <v>-</v>
      </c>
      <c r="S250" s="46" t="str">
        <f t="shared" si="71"/>
        <v>-</v>
      </c>
      <c r="T250" s="51" t="str">
        <f>IF(A_tier2_on=1,M_Sims!M288,"-")</f>
        <v>-</v>
      </c>
      <c r="U250" s="46" t="str">
        <f>IF(OR(A_bankroll="",A_tier2_on&lt;&gt;1),"-",MIN(A_maxbet,M_Sims!M288*A_bankroll))</f>
        <v>-</v>
      </c>
      <c r="V250" s="30">
        <f>M_Sims!H288</f>
        <v>0</v>
      </c>
      <c r="W250" s="6" t="b">
        <f>AND(H250&lt;&gt;"IMPUTED_20C_LADDER",L250&gt;=A_minev,N250&gt;0,V250=1,IF(A250="PLAYOFFS",A_poconf=1,TRUE),IF(AND(A250="WINS",A_zs_on=1),AND(AE250&gt;=A_minev,M_Sims!O288&gt;0),TRUE),AF250&gt;=A_minev,AG250&gt;0,IF(I250&lt;A_longthr,(1-A_shrink)*M_Sims!K288+A_shrink*(I250*G250-1)&gt;=A_minev,TRUE),IF(AND(OR(A250="WINS",A250="PLAYOFFS",LEFT(A250,4)="DIV_"),INDEX(Raw_Teams!$F$8:$F$37,MATCH($C250,Raw_Teams!$A$8:$A$37,0))&lt;A_contthr),AND(((1-A_contshrink)*J250+A_contshrink*I250)*G250-1&gt;=A_minev,(1-A_contshrink)*N250+A_contshrink*(I250*G250-1)&gt;0),TRUE),M_Sims!P288=0)</f>
        <v>0</v>
      </c>
      <c r="X250" s="6" t="s">
        <v>1316</v>
      </c>
      <c r="Y250" s="6" t="s">
        <v>1312</v>
      </c>
      <c r="Z250" s="6">
        <v>205</v>
      </c>
      <c r="AA250" s="7" t="str">
        <f t="shared" si="72"/>
        <v>OK - sims match current assumptions</v>
      </c>
      <c r="AB250" s="13" t="s">
        <v>33</v>
      </c>
      <c r="AC250" s="13" t="s">
        <v>33</v>
      </c>
      <c r="AD250" s="13" t="s">
        <v>33</v>
      </c>
      <c r="AE250" s="13" t="s">
        <v>33</v>
      </c>
      <c r="AF250" s="34">
        <f t="shared" si="73"/>
        <v>-9.0917441858839765E-2</v>
      </c>
      <c r="AG250" s="34">
        <f t="shared" si="74"/>
        <v>-0.12980930232395591</v>
      </c>
      <c r="AH250" s="6" t="b">
        <f>AND(W250,I250&gt;=A_t1_fair,((1-A_t1_shrink)*J250+A_t1_shrink*I250)*G250-1&gt;=A_minev,(1-A_t1_shrink)*N250+A_t1_shrink*(I250*G250-1)&gt;0,M_Sims!Q288=1)</f>
        <v>0</v>
      </c>
      <c r="AI250" s="18">
        <f>IF(AH250,M_Sims!R288*A_t1_cap/A_t1_engcap,0)</f>
        <v>0</v>
      </c>
      <c r="AJ250" s="46" t="str">
        <f t="shared" si="75"/>
        <v>-</v>
      </c>
      <c r="AK250" s="7" t="str">
        <f>IF(AH250,M_Sims!S288,"-")</f>
        <v>-</v>
      </c>
      <c r="AL250" s="51">
        <f>M_Sims!M288</f>
        <v>0</v>
      </c>
      <c r="AM250" s="6" t="str">
        <f t="shared" si="76"/>
        <v>-</v>
      </c>
    </row>
    <row r="251" spans="1:39" ht="15" customHeight="1" x14ac:dyDescent="0.3">
      <c r="A251" s="6" t="s">
        <v>284</v>
      </c>
      <c r="B251" s="7" t="str">
        <f>Odds_Input!C214</f>
        <v>Miami Heat</v>
      </c>
      <c r="C251" s="6" t="s">
        <v>212</v>
      </c>
      <c r="D251" s="7" t="str">
        <f>Odds_Input!D214</f>
        <v>YES</v>
      </c>
      <c r="E251" s="31" t="str">
        <f>Odds_Input!E214</f>
        <v>-</v>
      </c>
      <c r="F251" s="32">
        <f>Odds_Input!F214</f>
        <v>-300</v>
      </c>
      <c r="G251" s="36">
        <f>M_DeVig!H214</f>
        <v>1.3333333333333333</v>
      </c>
      <c r="H251" s="7" t="str">
        <f>Odds_Input!G214</f>
        <v>-</v>
      </c>
      <c r="I251" s="42">
        <f>M_DeVig!Q214</f>
        <v>0.72574626867244707</v>
      </c>
      <c r="J251" s="42">
        <f>IF(A_podef="Bracket",INDEX(M_Sims!$E$15:$E$44,MATCH($C251,M_Sims!$A$15:$A$44,0)),INDEX(M_Sims!$D$15:$D$44,MATCH($C251,M_Sims!$A$15:$A$44,0)))</f>
        <v>0.40927000000000002</v>
      </c>
      <c r="K251" s="43">
        <f t="shared" si="66"/>
        <v>144.33747892589244</v>
      </c>
      <c r="L251" s="34">
        <f t="shared" si="67"/>
        <v>-0.45430666666666664</v>
      </c>
      <c r="M251" s="38">
        <f t="shared" si="68"/>
        <v>-31.647626867244703</v>
      </c>
      <c r="N251" s="42">
        <f>IF(A_podef="Bracket",M_Sims!B289,M_Sims!F289)</f>
        <v>-0.51583111111111124</v>
      </c>
      <c r="O251" s="42">
        <f>IF(A_podef="Bracket",M_Sims!C289,M_Sims!G289)</f>
        <v>-0.38758222222222222</v>
      </c>
      <c r="P251" s="42">
        <f>M_Sims!D289</f>
        <v>0</v>
      </c>
      <c r="Q251" s="34">
        <f t="shared" si="69"/>
        <v>0.5675081343362236</v>
      </c>
      <c r="R251" s="18" t="str">
        <f t="shared" si="70"/>
        <v>-</v>
      </c>
      <c r="S251" s="46" t="str">
        <f t="shared" si="71"/>
        <v>-</v>
      </c>
      <c r="T251" s="51" t="str">
        <f>IF(A_tier2_on=1,M_Sims!M289,"-")</f>
        <v>-</v>
      </c>
      <c r="U251" s="46" t="str">
        <f>IF(OR(A_bankroll="",A_tier2_on&lt;&gt;1),"-",MIN(A_maxbet,M_Sims!M289*A_bankroll))</f>
        <v>-</v>
      </c>
      <c r="V251" s="30">
        <f>M_Sims!H289</f>
        <v>1</v>
      </c>
      <c r="W251" s="6" t="b">
        <f>AND(H251&lt;&gt;"IMPUTED_20C_LADDER",L251&gt;=A_minev,N251&gt;0,V251=1,IF(A251="PLAYOFFS",A_poconf=1,TRUE),IF(AND(A251="WINS",A_zs_on=1),AND(AE251&gt;=A_minev,M_Sims!O289&gt;0),TRUE),AF251&gt;=A_minev,AG251&gt;0,IF(I251&lt;A_longthr,(1-A_shrink)*M_Sims!K289+A_shrink*(I251*G251-1)&gt;=A_minev,TRUE),IF(AND(OR(A251="WINS",A251="PLAYOFFS",LEFT(A251,4)="DIV_"),INDEX(Raw_Teams!$F$8:$F$37,MATCH($C251,Raw_Teams!$A$8:$A$37,0))&lt;A_contthr),AND(((1-A_contshrink)*J251+A_contshrink*I251)*G251-1&gt;=A_minev,(1-A_contshrink)*N251+A_contshrink*(I251*G251-1)&gt;0),TRUE),M_Sims!P289=0)</f>
        <v>0</v>
      </c>
      <c r="X251" s="6" t="s">
        <v>1316</v>
      </c>
      <c r="Y251" s="6" t="s">
        <v>1312</v>
      </c>
      <c r="Z251" s="6">
        <v>206</v>
      </c>
      <c r="AA251" s="7" t="str">
        <f t="shared" si="72"/>
        <v>OK - sims match current assumptions</v>
      </c>
      <c r="AB251" s="13" t="s">
        <v>33</v>
      </c>
      <c r="AC251" s="13" t="s">
        <v>33</v>
      </c>
      <c r="AD251" s="13" t="s">
        <v>33</v>
      </c>
      <c r="AE251" s="13" t="s">
        <v>33</v>
      </c>
      <c r="AF251" s="34">
        <f t="shared" si="73"/>
        <v>-0.24332248755170194</v>
      </c>
      <c r="AG251" s="34">
        <f t="shared" si="74"/>
        <v>-0.27408470977392424</v>
      </c>
      <c r="AH251" s="6" t="b">
        <f>AND(W251,I251&gt;=A_t1_fair,((1-A_t1_shrink)*J251+A_t1_shrink*I251)*G251-1&gt;=A_minev,(1-A_t1_shrink)*N251+A_t1_shrink*(I251*G251-1)&gt;0,M_Sims!Q289=1)</f>
        <v>0</v>
      </c>
      <c r="AI251" s="18">
        <f>IF(AH251,M_Sims!R289*A_t1_cap/A_t1_engcap,0)</f>
        <v>0</v>
      </c>
      <c r="AJ251" s="46" t="str">
        <f t="shared" si="75"/>
        <v>-</v>
      </c>
      <c r="AK251" s="7" t="str">
        <f>IF(AH251,M_Sims!S289,"-")</f>
        <v>-</v>
      </c>
      <c r="AL251" s="51">
        <f>M_Sims!M289</f>
        <v>0</v>
      </c>
      <c r="AM251" s="6" t="str">
        <f t="shared" si="76"/>
        <v>-</v>
      </c>
    </row>
    <row r="252" spans="1:39" ht="15" customHeight="1" x14ac:dyDescent="0.3">
      <c r="A252" s="6" t="s">
        <v>284</v>
      </c>
      <c r="B252" s="7" t="str">
        <f>Odds_Input!C215</f>
        <v>Miami Heat</v>
      </c>
      <c r="C252" s="6" t="s">
        <v>212</v>
      </c>
      <c r="D252" s="7" t="str">
        <f>Odds_Input!D215</f>
        <v>NO</v>
      </c>
      <c r="E252" s="31" t="str">
        <f>Odds_Input!E215</f>
        <v>-</v>
      </c>
      <c r="F252" s="32">
        <f>Odds_Input!F215</f>
        <v>235</v>
      </c>
      <c r="G252" s="36">
        <f>M_DeVig!H215</f>
        <v>3.35</v>
      </c>
      <c r="H252" s="7" t="str">
        <f>Odds_Input!G215</f>
        <v>-</v>
      </c>
      <c r="I252" s="42">
        <f>M_DeVig!Q215</f>
        <v>0.27425373138268377</v>
      </c>
      <c r="J252" s="42">
        <f>1-(IF(A_podef="Bracket",INDEX(M_Sims!$E$15:$E$44,MATCH($C252,M_Sims!$A$15:$A$44,0)),INDEX(M_Sims!$D$15:$D$44,MATCH($C252,M_Sims!$A$15:$A$44,0))))</f>
        <v>0.59072999999999998</v>
      </c>
      <c r="K252" s="43">
        <f t="shared" si="66"/>
        <v>-144.33747892589244</v>
      </c>
      <c r="L252" s="34">
        <f t="shared" si="67"/>
        <v>0.97894550000000002</v>
      </c>
      <c r="M252" s="38">
        <f t="shared" si="68"/>
        <v>31.64762686173162</v>
      </c>
      <c r="N252" s="42">
        <f>IF(A_podef="Bracket",M_Sims!B290,M_Sims!F290)</f>
        <v>0.81130033333333307</v>
      </c>
      <c r="O252" s="42">
        <f>IF(A_podef="Bracket",M_Sims!C290,M_Sims!G290)</f>
        <v>1.1335256666666671</v>
      </c>
      <c r="P252" s="42">
        <f>M_Sims!D290</f>
        <v>1</v>
      </c>
      <c r="Q252" s="34">
        <f t="shared" si="69"/>
        <v>0.4324918656913419</v>
      </c>
      <c r="R252" s="18" t="str">
        <f t="shared" si="70"/>
        <v>-</v>
      </c>
      <c r="S252" s="46" t="str">
        <f t="shared" si="71"/>
        <v>-</v>
      </c>
      <c r="T252" s="51" t="str">
        <f>IF(A_tier2_on=1,M_Sims!M290,"-")</f>
        <v>-</v>
      </c>
      <c r="U252" s="46" t="str">
        <f>IF(OR(A_bankroll="",A_tier2_on&lt;&gt;1),"-",MIN(A_maxbet,M_Sims!M290*A_bankroll))</f>
        <v>-</v>
      </c>
      <c r="V252" s="30">
        <f>M_Sims!H290</f>
        <v>1</v>
      </c>
      <c r="W252" s="6" t="b">
        <f>AND(H252&lt;&gt;"IMPUTED_20C_LADDER",L252&gt;=A_minev,N252&gt;0,V252=1,IF(A252="PLAYOFFS",A_poconf=1,TRUE),IF(AND(A252="WINS",A_zs_on=1),AND(AE252&gt;=A_minev,M_Sims!O290&gt;0),TRUE),AF252&gt;=A_minev,AG252&gt;0,IF(I252&lt;A_longthr,(1-A_shrink)*M_Sims!K290+A_shrink*(I252*G252-1)&gt;=A_minev,TRUE),IF(AND(OR(A252="WINS",A252="PLAYOFFS",LEFT(A252,4)="DIV_"),INDEX(Raw_Teams!$F$8:$F$37,MATCH($C252,Raw_Teams!$A$8:$A$37,0))&lt;A_contthr),AND(((1-A_contshrink)*J252+A_contshrink*I252)*G252-1&gt;=A_minev,(1-A_contshrink)*N252+A_contshrink*(I252*G252-1)&gt;0),TRUE),M_Sims!P290=0)</f>
        <v>1</v>
      </c>
      <c r="X252" s="6" t="s">
        <v>1316</v>
      </c>
      <c r="Y252" s="6" t="s">
        <v>1312</v>
      </c>
      <c r="Z252" s="6">
        <v>207</v>
      </c>
      <c r="AA252" s="7" t="str">
        <f t="shared" si="72"/>
        <v>OK - sims match current assumptions</v>
      </c>
      <c r="AB252" s="13" t="s">
        <v>33</v>
      </c>
      <c r="AC252" s="13" t="s">
        <v>33</v>
      </c>
      <c r="AD252" s="13" t="s">
        <v>33</v>
      </c>
      <c r="AE252" s="13" t="s">
        <v>33</v>
      </c>
      <c r="AF252" s="34">
        <f t="shared" si="73"/>
        <v>0.44884775006599531</v>
      </c>
      <c r="AG252" s="34">
        <f t="shared" si="74"/>
        <v>0.36502516673266189</v>
      </c>
      <c r="AH252" s="6" t="b">
        <f>AND(W252,I252&gt;=A_t1_fair,((1-A_t1_shrink)*J252+A_t1_shrink*I252)*G252-1&gt;=A_minev,(1-A_t1_shrink)*N252+A_t1_shrink*(I252*G252-1)&gt;0,M_Sims!Q290=1)</f>
        <v>0</v>
      </c>
      <c r="AI252" s="18">
        <f>IF(AH252,M_Sims!R290*A_t1_cap/A_t1_engcap,0)</f>
        <v>0</v>
      </c>
      <c r="AJ252" s="46" t="str">
        <f t="shared" si="75"/>
        <v>-</v>
      </c>
      <c r="AK252" s="7" t="str">
        <f>IF(AH252,M_Sims!S290,"-")</f>
        <v>-</v>
      </c>
      <c r="AL252" s="51">
        <f>M_Sims!M290</f>
        <v>1.322527441286E-2</v>
      </c>
      <c r="AM252" s="6" t="str">
        <f t="shared" si="76"/>
        <v>Tier 2</v>
      </c>
    </row>
    <row r="253" spans="1:39" ht="15" customHeight="1" x14ac:dyDescent="0.3">
      <c r="A253" s="6" t="s">
        <v>284</v>
      </c>
      <c r="B253" s="7" t="str">
        <f>Odds_Input!C216</f>
        <v>Minnesota Timberwolves</v>
      </c>
      <c r="C253" s="6" t="s">
        <v>214</v>
      </c>
      <c r="D253" s="7" t="str">
        <f>Odds_Input!D216</f>
        <v>YES</v>
      </c>
      <c r="E253" s="31" t="str">
        <f>Odds_Input!E216</f>
        <v>-</v>
      </c>
      <c r="F253" s="32">
        <f>Odds_Input!F216</f>
        <v>-950</v>
      </c>
      <c r="G253" s="36">
        <f>M_DeVig!H216</f>
        <v>1.1052631578947367</v>
      </c>
      <c r="H253" s="7" t="str">
        <f>Odds_Input!G216</f>
        <v>-</v>
      </c>
      <c r="I253" s="42">
        <f>M_DeVig!Q216</f>
        <v>0.87545787545061815</v>
      </c>
      <c r="J253" s="42">
        <f>IF(A_podef="Bracket",INDEX(M_Sims!$E$15:$E$44,MATCH($C253,M_Sims!$A$15:$A$44,0)),INDEX(M_Sims!$D$15:$D$44,MATCH($C253,M_Sims!$A$15:$A$44,0)))</f>
        <v>0.68174999999999997</v>
      </c>
      <c r="K253" s="43">
        <f t="shared" si="66"/>
        <v>-214.21838177533382</v>
      </c>
      <c r="L253" s="34">
        <f t="shared" si="67"/>
        <v>-0.24648684210526328</v>
      </c>
      <c r="M253" s="38">
        <f t="shared" si="68"/>
        <v>-19.37078754506182</v>
      </c>
      <c r="N253" s="42">
        <f>IF(A_podef="Bracket",M_Sims!B291,M_Sims!F291)</f>
        <v>-0.27339263157894739</v>
      </c>
      <c r="O253" s="42">
        <f>IF(A_podef="Bracket",M_Sims!C291,M_Sims!G291)</f>
        <v>-0.21789368421052641</v>
      </c>
      <c r="P253" s="42">
        <f>M_Sims!D291</f>
        <v>0</v>
      </c>
      <c r="Q253" s="34">
        <f t="shared" si="69"/>
        <v>0.77860393772530911</v>
      </c>
      <c r="R253" s="18" t="str">
        <f t="shared" si="70"/>
        <v>-</v>
      </c>
      <c r="S253" s="46" t="str">
        <f t="shared" si="71"/>
        <v>-</v>
      </c>
      <c r="T253" s="51" t="str">
        <f>IF(A_tier2_on=1,M_Sims!M291,"-")</f>
        <v>-</v>
      </c>
      <c r="U253" s="46" t="str">
        <f>IF(OR(A_bankroll="",A_tier2_on&lt;&gt;1),"-",MIN(A_maxbet,M_Sims!M291*A_bankroll))</f>
        <v>-</v>
      </c>
      <c r="V253" s="30">
        <f>M_Sims!H291</f>
        <v>1</v>
      </c>
      <c r="W253" s="6" t="b">
        <f>AND(H253&lt;&gt;"IMPUTED_20C_LADDER",L253&gt;=A_minev,N253&gt;0,V253=1,IF(A253="PLAYOFFS",A_poconf=1,TRUE),IF(AND(A253="WINS",A_zs_on=1),AND(AE253&gt;=A_minev,M_Sims!O291&gt;0),TRUE),AF253&gt;=A_minev,AG253&gt;0,IF(I253&lt;A_longthr,(1-A_shrink)*M_Sims!K291+A_shrink*(I253*G253-1)&gt;=A_minev,TRUE),IF(AND(OR(A253="WINS",A253="PLAYOFFS",LEFT(A253,4)="DIV_"),INDEX(Raw_Teams!$F$8:$F$37,MATCH($C253,Raw_Teams!$A$8:$A$37,0))&lt;A_contthr),AND(((1-A_contshrink)*J253+A_contshrink*I253)*G253-1&gt;=A_minev,(1-A_contshrink)*N253+A_contshrink*(I253*G253-1)&gt;0),TRUE),M_Sims!P291=0)</f>
        <v>0</v>
      </c>
      <c r="X253" s="6" t="s">
        <v>1316</v>
      </c>
      <c r="Y253" s="6" t="s">
        <v>1312</v>
      </c>
      <c r="Z253" s="6">
        <v>208</v>
      </c>
      <c r="AA253" s="7" t="str">
        <f t="shared" si="72"/>
        <v>OK - sims match current assumptions</v>
      </c>
      <c r="AB253" s="13" t="s">
        <v>33</v>
      </c>
      <c r="AC253" s="13" t="s">
        <v>33</v>
      </c>
      <c r="AD253" s="13" t="s">
        <v>33</v>
      </c>
      <c r="AE253" s="13" t="s">
        <v>33</v>
      </c>
      <c r="AF253" s="34">
        <f t="shared" si="73"/>
        <v>-0.13943775304044792</v>
      </c>
      <c r="AG253" s="34">
        <f t="shared" si="74"/>
        <v>-0.15289064777729003</v>
      </c>
      <c r="AH253" s="6" t="b">
        <f>AND(W253,I253&gt;=A_t1_fair,((1-A_t1_shrink)*J253+A_t1_shrink*I253)*G253-1&gt;=A_minev,(1-A_t1_shrink)*N253+A_t1_shrink*(I253*G253-1)&gt;0,M_Sims!Q291=1)</f>
        <v>0</v>
      </c>
      <c r="AI253" s="18">
        <f>IF(AH253,M_Sims!R291*A_t1_cap/A_t1_engcap,0)</f>
        <v>0</v>
      </c>
      <c r="AJ253" s="46" t="str">
        <f t="shared" si="75"/>
        <v>-</v>
      </c>
      <c r="AK253" s="7" t="str">
        <f>IF(AH253,M_Sims!S291,"-")</f>
        <v>-</v>
      </c>
      <c r="AL253" s="51">
        <f>M_Sims!M291</f>
        <v>0</v>
      </c>
      <c r="AM253" s="6" t="str">
        <f t="shared" si="76"/>
        <v>-</v>
      </c>
    </row>
    <row r="254" spans="1:39" ht="15" customHeight="1" x14ac:dyDescent="0.3">
      <c r="A254" s="6" t="s">
        <v>284</v>
      </c>
      <c r="B254" s="7" t="str">
        <f>Odds_Input!C217</f>
        <v>Minnesota Timberwolves</v>
      </c>
      <c r="C254" s="6" t="s">
        <v>214</v>
      </c>
      <c r="D254" s="7" t="str">
        <f>Odds_Input!D217</f>
        <v>NO</v>
      </c>
      <c r="E254" s="31" t="str">
        <f>Odds_Input!E217</f>
        <v>-</v>
      </c>
      <c r="F254" s="32">
        <f>Odds_Input!F217</f>
        <v>550</v>
      </c>
      <c r="G254" s="36">
        <f>M_DeVig!H217</f>
        <v>6.5</v>
      </c>
      <c r="H254" s="7" t="str">
        <f>Odds_Input!G217</f>
        <v>-</v>
      </c>
      <c r="I254" s="42">
        <f>M_DeVig!Q217</f>
        <v>0.12454212450038653</v>
      </c>
      <c r="J254" s="42">
        <f>1-(IF(A_podef="Bracket",INDEX(M_Sims!$E$15:$E$44,MATCH($C254,M_Sims!$A$15:$A$44,0)),INDEX(M_Sims!$D$15:$D$44,MATCH($C254,M_Sims!$A$15:$A$44,0))))</f>
        <v>0.31825000000000003</v>
      </c>
      <c r="K254" s="43">
        <f t="shared" si="66"/>
        <v>214.21838177533382</v>
      </c>
      <c r="L254" s="34">
        <f t="shared" si="67"/>
        <v>1.0686250000000004</v>
      </c>
      <c r="M254" s="38">
        <f t="shared" si="68"/>
        <v>19.370787549961349</v>
      </c>
      <c r="N254" s="42">
        <f>IF(A_podef="Bracket",M_Sims!B292,M_Sims!F292)</f>
        <v>0.90046999999999999</v>
      </c>
      <c r="O254" s="42">
        <f>IF(A_podef="Bracket",M_Sims!C292,M_Sims!G292)</f>
        <v>1.2268566666666669</v>
      </c>
      <c r="P254" s="42">
        <f>M_Sims!D292</f>
        <v>1</v>
      </c>
      <c r="Q254" s="34">
        <f t="shared" si="69"/>
        <v>0.22139606225019329</v>
      </c>
      <c r="R254" s="18" t="str">
        <f t="shared" si="70"/>
        <v>-</v>
      </c>
      <c r="S254" s="46" t="str">
        <f t="shared" si="71"/>
        <v>-</v>
      </c>
      <c r="T254" s="51" t="str">
        <f>IF(A_tier2_on=1,M_Sims!M292,"-")</f>
        <v>-</v>
      </c>
      <c r="U254" s="46" t="str">
        <f>IF(OR(A_bankroll="",A_tier2_on&lt;&gt;1),"-",MIN(A_maxbet,M_Sims!M292*A_bankroll))</f>
        <v>-</v>
      </c>
      <c r="V254" s="30">
        <f>M_Sims!H292</f>
        <v>1</v>
      </c>
      <c r="W254" s="6" t="b">
        <f>AND(H254&lt;&gt;"IMPUTED_20C_LADDER",L254&gt;=A_minev,N254&gt;0,V254=1,IF(A254="PLAYOFFS",A_poconf=1,TRUE),IF(AND(A254="WINS",A_zs_on=1),AND(AE254&gt;=A_minev,M_Sims!O292&gt;0),TRUE),AF254&gt;=A_minev,AG254&gt;0,IF(I254&lt;A_longthr,(1-A_shrink)*M_Sims!K292+A_shrink*(I254*G254-1)&gt;=A_minev,TRUE),IF(AND(OR(A254="WINS",A254="PLAYOFFS",LEFT(A254,4)="DIV_"),INDEX(Raw_Teams!$F$8:$F$37,MATCH($C254,Raw_Teams!$A$8:$A$37,0))&lt;A_contthr),AND(((1-A_contshrink)*J254+A_contshrink*I254)*G254-1&gt;=A_minev,(1-A_contshrink)*N254+A_contshrink*(I254*G254-1)&gt;0),TRUE),M_Sims!P292=0)</f>
        <v>1</v>
      </c>
      <c r="X254" s="6" t="s">
        <v>1316</v>
      </c>
      <c r="Y254" s="6" t="s">
        <v>1312</v>
      </c>
      <c r="Z254" s="6">
        <v>209</v>
      </c>
      <c r="AA254" s="7" t="str">
        <f t="shared" si="72"/>
        <v>OK - sims match current assumptions</v>
      </c>
      <c r="AB254" s="13" t="s">
        <v>33</v>
      </c>
      <c r="AC254" s="13" t="s">
        <v>33</v>
      </c>
      <c r="AD254" s="13" t="s">
        <v>33</v>
      </c>
      <c r="AE254" s="13" t="s">
        <v>33</v>
      </c>
      <c r="AF254" s="34">
        <f t="shared" si="73"/>
        <v>0.43907440462625646</v>
      </c>
      <c r="AG254" s="34">
        <f t="shared" si="74"/>
        <v>0.35499690462625622</v>
      </c>
      <c r="AH254" s="6" t="b">
        <f>AND(W254,I254&gt;=A_t1_fair,((1-A_t1_shrink)*J254+A_t1_shrink*I254)*G254-1&gt;=A_minev,(1-A_t1_shrink)*N254+A_t1_shrink*(I254*G254-1)&gt;0,M_Sims!Q292=1)</f>
        <v>1</v>
      </c>
      <c r="AI254" s="18">
        <f>IF(AH254,M_Sims!R292*A_t1_cap/A_t1_engcap,0)</f>
        <v>5.7721984997517002E-3</v>
      </c>
      <c r="AJ254" s="46" t="str">
        <f t="shared" si="75"/>
        <v>-</v>
      </c>
      <c r="AK254" s="7" t="str">
        <f>IF(AH254,M_Sims!S292,"-")</f>
        <v>Julius Randle gone (2610 min at +1.5 BPM last year; -1.1 SRS)</v>
      </c>
      <c r="AL254" s="51">
        <f>M_Sims!M292</f>
        <v>4.4525437964573998E-3</v>
      </c>
      <c r="AM254" s="6" t="str">
        <f t="shared" si="76"/>
        <v>Tier 1</v>
      </c>
    </row>
    <row r="255" spans="1:39" ht="15" customHeight="1" x14ac:dyDescent="0.3">
      <c r="A255" s="6" t="s">
        <v>284</v>
      </c>
      <c r="B255" s="7" t="str">
        <f>Odds_Input!C218</f>
        <v>Indiana Pacers</v>
      </c>
      <c r="C255" s="6" t="s">
        <v>208</v>
      </c>
      <c r="D255" s="7" t="str">
        <f>Odds_Input!D218</f>
        <v>YES</v>
      </c>
      <c r="E255" s="31" t="str">
        <f>Odds_Input!E218</f>
        <v>-</v>
      </c>
      <c r="F255" s="32">
        <f>Odds_Input!F218</f>
        <v>-220</v>
      </c>
      <c r="G255" s="36">
        <f>M_DeVig!H218</f>
        <v>1.4545454545454546</v>
      </c>
      <c r="H255" s="7" t="str">
        <f>Odds_Input!G218</f>
        <v>-</v>
      </c>
      <c r="I255" s="42">
        <f>M_DeVig!Q218</f>
        <v>0.66517857144697912</v>
      </c>
      <c r="J255" s="42">
        <f>IF(A_podef="Bracket",INDEX(M_Sims!$E$15:$E$44,MATCH($C255,M_Sims!$A$15:$A$44,0)),INDEX(M_Sims!$D$15:$D$44,MATCH($C255,M_Sims!$A$15:$A$44,0)))</f>
        <v>0.60650000000000004</v>
      </c>
      <c r="K255" s="43">
        <f t="shared" si="66"/>
        <v>-154.12960609911059</v>
      </c>
      <c r="L255" s="34">
        <f t="shared" si="67"/>
        <v>-0.11781818181818171</v>
      </c>
      <c r="M255" s="38">
        <f t="shared" si="68"/>
        <v>-5.8678571446979078</v>
      </c>
      <c r="N255" s="42">
        <f>IF(A_podef="Bracket",M_Sims!B293,M_Sims!F293)</f>
        <v>-0.1434472727272727</v>
      </c>
      <c r="O255" s="42">
        <f>IF(A_podef="Bracket",M_Sims!C293,M_Sims!G293)</f>
        <v>-8.4518787878787804E-2</v>
      </c>
      <c r="P255" s="42">
        <f>M_Sims!D293</f>
        <v>0</v>
      </c>
      <c r="Q255" s="34">
        <f t="shared" si="69"/>
        <v>0.63583928572348958</v>
      </c>
      <c r="R255" s="18" t="str">
        <f t="shared" si="70"/>
        <v>-</v>
      </c>
      <c r="S255" s="46" t="str">
        <f t="shared" si="71"/>
        <v>-</v>
      </c>
      <c r="T255" s="51" t="str">
        <f>IF(A_tier2_on=1,M_Sims!M293,"-")</f>
        <v>-</v>
      </c>
      <c r="U255" s="46" t="str">
        <f>IF(OR(A_bankroll="",A_tier2_on&lt;&gt;1),"-",MIN(A_maxbet,M_Sims!M293*A_bankroll))</f>
        <v>-</v>
      </c>
      <c r="V255" s="30">
        <f>M_Sims!H293</f>
        <v>1</v>
      </c>
      <c r="W255" s="6" t="b">
        <f>AND(H255&lt;&gt;"IMPUTED_20C_LADDER",L255&gt;=A_minev,N255&gt;0,V255=1,IF(A255="PLAYOFFS",A_poconf=1,TRUE),IF(AND(A255="WINS",A_zs_on=1),AND(AE255&gt;=A_minev,M_Sims!O293&gt;0),TRUE),AF255&gt;=A_minev,AG255&gt;0,IF(I255&lt;A_longthr,(1-A_shrink)*M_Sims!K293+A_shrink*(I255*G255-1)&gt;=A_minev,TRUE),IF(AND(OR(A255="WINS",A255="PLAYOFFS",LEFT(A255,4)="DIV_"),INDEX(Raw_Teams!$F$8:$F$37,MATCH($C255,Raw_Teams!$A$8:$A$37,0))&lt;A_contthr),AND(((1-A_contshrink)*J255+A_contshrink*I255)*G255-1&gt;=A_minev,(1-A_contshrink)*N255+A_contshrink*(I255*G255-1)&gt;0),TRUE),M_Sims!P293=0)</f>
        <v>0</v>
      </c>
      <c r="X255" s="6" t="s">
        <v>1317</v>
      </c>
      <c r="Y255" s="6" t="s">
        <v>1312</v>
      </c>
      <c r="Z255" s="6">
        <v>210</v>
      </c>
      <c r="AA255" s="7" t="str">
        <f t="shared" si="72"/>
        <v>OK - sims match current assumptions</v>
      </c>
      <c r="AB255" s="13" t="s">
        <v>33</v>
      </c>
      <c r="AC255" s="13" t="s">
        <v>33</v>
      </c>
      <c r="AD255" s="13" t="s">
        <v>33</v>
      </c>
      <c r="AE255" s="13" t="s">
        <v>33</v>
      </c>
      <c r="AF255" s="34">
        <f t="shared" si="73"/>
        <v>-7.5142857129469665E-2</v>
      </c>
      <c r="AG255" s="34">
        <f t="shared" si="74"/>
        <v>-8.795740258401516E-2</v>
      </c>
      <c r="AH255" s="6" t="b">
        <f>AND(W255,I255&gt;=A_t1_fair,((1-A_t1_shrink)*J255+A_t1_shrink*I255)*G255-1&gt;=A_minev,(1-A_t1_shrink)*N255+A_t1_shrink*(I255*G255-1)&gt;0,M_Sims!Q293=1)</f>
        <v>0</v>
      </c>
      <c r="AI255" s="18">
        <f>IF(AH255,M_Sims!R293*A_t1_cap/A_t1_engcap,0)</f>
        <v>0</v>
      </c>
      <c r="AJ255" s="46" t="str">
        <f t="shared" si="75"/>
        <v>-</v>
      </c>
      <c r="AK255" s="7" t="str">
        <f>IF(AH255,M_Sims!S293,"-")</f>
        <v>-</v>
      </c>
      <c r="AL255" s="51">
        <f>M_Sims!M293</f>
        <v>0</v>
      </c>
      <c r="AM255" s="6" t="str">
        <f t="shared" si="76"/>
        <v>-</v>
      </c>
    </row>
    <row r="256" spans="1:39" ht="15" customHeight="1" x14ac:dyDescent="0.3">
      <c r="A256" s="6" t="s">
        <v>284</v>
      </c>
      <c r="B256" s="7" t="str">
        <f>Odds_Input!C219</f>
        <v>Indiana Pacers</v>
      </c>
      <c r="C256" s="6" t="s">
        <v>208</v>
      </c>
      <c r="D256" s="7" t="str">
        <f>Odds_Input!D219</f>
        <v>NO</v>
      </c>
      <c r="E256" s="31" t="str">
        <f>Odds_Input!E219</f>
        <v>-</v>
      </c>
      <c r="F256" s="32">
        <f>Odds_Input!F219</f>
        <v>180</v>
      </c>
      <c r="G256" s="36">
        <f>M_DeVig!H219</f>
        <v>2.8</v>
      </c>
      <c r="H256" s="7" t="str">
        <f>Odds_Input!G219</f>
        <v>-</v>
      </c>
      <c r="I256" s="42">
        <f>M_DeVig!Q219</f>
        <v>0.3348214286068078</v>
      </c>
      <c r="J256" s="42">
        <f>1-(IF(A_podef="Bracket",INDEX(M_Sims!$E$15:$E$44,MATCH($C256,M_Sims!$A$15:$A$44,0)),INDEX(M_Sims!$D$15:$D$44,MATCH($C256,M_Sims!$A$15:$A$44,0))))</f>
        <v>0.39349999999999996</v>
      </c>
      <c r="K256" s="43">
        <f t="shared" si="66"/>
        <v>154.12960609911059</v>
      </c>
      <c r="L256" s="34">
        <f t="shared" si="67"/>
        <v>0.10179999999999989</v>
      </c>
      <c r="M256" s="38">
        <f t="shared" si="68"/>
        <v>5.8678571393192156</v>
      </c>
      <c r="N256" s="42">
        <f>IF(A_podef="Bracket",M_Sims!B294,M_Sims!F294)</f>
        <v>3.7698666666666603E-2</v>
      </c>
      <c r="O256" s="42">
        <f>IF(A_podef="Bracket",M_Sims!C294,M_Sims!G294)</f>
        <v>0.15113599999999991</v>
      </c>
      <c r="P256" s="42">
        <f>M_Sims!D294</f>
        <v>0.98333333333333317</v>
      </c>
      <c r="Q256" s="34">
        <f t="shared" si="69"/>
        <v>0.36416071430340391</v>
      </c>
      <c r="R256" s="18" t="str">
        <f t="shared" si="70"/>
        <v>-</v>
      </c>
      <c r="S256" s="46" t="str">
        <f t="shared" si="71"/>
        <v>-</v>
      </c>
      <c r="T256" s="51" t="str">
        <f>IF(A_tier2_on=1,M_Sims!M294,"-")</f>
        <v>-</v>
      </c>
      <c r="U256" s="46" t="str">
        <f>IF(OR(A_bankroll="",A_tier2_on&lt;&gt;1),"-",MIN(A_maxbet,M_Sims!M294*A_bankroll))</f>
        <v>-</v>
      </c>
      <c r="V256" s="30">
        <f>M_Sims!H294</f>
        <v>1</v>
      </c>
      <c r="W256" s="6" t="b">
        <f>AND(H256&lt;&gt;"IMPUTED_20C_LADDER",L256&gt;=A_minev,N256&gt;0,V256=1,IF(A256="PLAYOFFS",A_poconf=1,TRUE),IF(AND(A256="WINS",A_zs_on=1),AND(AE256&gt;=A_minev,M_Sims!O294&gt;0),TRUE),AF256&gt;=A_minev,AG256&gt;0,IF(I256&lt;A_longthr,(1-A_shrink)*M_Sims!K294+A_shrink*(I256*G256-1)&gt;=A_minev,TRUE),IF(AND(OR(A256="WINS",A256="PLAYOFFS",LEFT(A256,4)="DIV_"),INDEX(Raw_Teams!$F$8:$F$37,MATCH($C256,Raw_Teams!$A$8:$A$37,0))&lt;A_contthr),AND(((1-A_contshrink)*J256+A_contshrink*I256)*G256-1&gt;=A_minev,(1-A_contshrink)*N256+A_contshrink*(I256*G256-1)&gt;0),TRUE),M_Sims!P294=0)</f>
        <v>0</v>
      </c>
      <c r="X256" s="6" t="s">
        <v>1317</v>
      </c>
      <c r="Y256" s="6" t="s">
        <v>1312</v>
      </c>
      <c r="Z256" s="6">
        <v>211</v>
      </c>
      <c r="AA256" s="7" t="str">
        <f t="shared" si="72"/>
        <v>OK - sims match current assumptions</v>
      </c>
      <c r="AB256" s="13" t="s">
        <v>33</v>
      </c>
      <c r="AC256" s="13" t="s">
        <v>33</v>
      </c>
      <c r="AD256" s="13" t="s">
        <v>33</v>
      </c>
      <c r="AE256" s="13" t="s">
        <v>33</v>
      </c>
      <c r="AF256" s="34">
        <f t="shared" si="73"/>
        <v>1.9650000049530991E-2</v>
      </c>
      <c r="AG256" s="34">
        <f t="shared" si="74"/>
        <v>-1.2400666617135819E-2</v>
      </c>
      <c r="AH256" s="6" t="b">
        <f>AND(W256,I256&gt;=A_t1_fair,((1-A_t1_shrink)*J256+A_t1_shrink*I256)*G256-1&gt;=A_minev,(1-A_t1_shrink)*N256+A_t1_shrink*(I256*G256-1)&gt;0,M_Sims!Q294=1)</f>
        <v>0</v>
      </c>
      <c r="AI256" s="18">
        <f>IF(AH256,M_Sims!R294*A_t1_cap/A_t1_engcap,0)</f>
        <v>0</v>
      </c>
      <c r="AJ256" s="46" t="str">
        <f t="shared" si="75"/>
        <v>-</v>
      </c>
      <c r="AK256" s="7" t="str">
        <f>IF(AH256,M_Sims!S294,"-")</f>
        <v>-</v>
      </c>
      <c r="AL256" s="51">
        <f>M_Sims!M294</f>
        <v>0</v>
      </c>
      <c r="AM256" s="6" t="str">
        <f t="shared" si="76"/>
        <v>-</v>
      </c>
    </row>
    <row r="257" spans="1:39" ht="15" customHeight="1" x14ac:dyDescent="0.3">
      <c r="A257" s="6" t="s">
        <v>284</v>
      </c>
      <c r="B257" s="7" t="str">
        <f>Odds_Input!C220</f>
        <v>Memphis Grizzlies</v>
      </c>
      <c r="C257" s="6" t="s">
        <v>211</v>
      </c>
      <c r="D257" s="7" t="str">
        <f>Odds_Input!D220</f>
        <v>YES</v>
      </c>
      <c r="E257" s="31" t="str">
        <f>Odds_Input!E220</f>
        <v>-</v>
      </c>
      <c r="F257" s="32">
        <f>Odds_Input!F220</f>
        <v>500</v>
      </c>
      <c r="G257" s="36">
        <f>M_DeVig!H220</f>
        <v>6</v>
      </c>
      <c r="H257" s="7" t="str">
        <f>Odds_Input!G220</f>
        <v>-</v>
      </c>
      <c r="I257" s="42">
        <f>M_DeVig!Q220</f>
        <v>0.1333333333251622</v>
      </c>
      <c r="J257" s="42">
        <f>IF(A_podef="Bracket",INDEX(M_Sims!$E$15:$E$44,MATCH($C257,M_Sims!$A$15:$A$44,0)),INDEX(M_Sims!$D$15:$D$44,MATCH($C257,M_Sims!$A$15:$A$44,0)))</f>
        <v>0.33302999999999999</v>
      </c>
      <c r="K257" s="43">
        <f t="shared" ref="K257:K288" si="77">IF(J257&gt;=0.5,-100*J257/(1-J257),100*(1-J257)/J257)</f>
        <v>200.27324865627722</v>
      </c>
      <c r="L257" s="34">
        <f t="shared" ref="L257:L278" si="78">J257*G257-1</f>
        <v>0.99818000000000007</v>
      </c>
      <c r="M257" s="38">
        <f t="shared" ref="M257:M278" si="79">(J257-I257)*100</f>
        <v>19.969666667483779</v>
      </c>
      <c r="N257" s="42">
        <f>IF(A_podef="Bracket",M_Sims!B295,M_Sims!F295)</f>
        <v>0.84176000000000006</v>
      </c>
      <c r="O257" s="42">
        <f>IF(A_podef="Bracket",M_Sims!C295,M_Sims!G295)</f>
        <v>1.13792</v>
      </c>
      <c r="P257" s="42">
        <f>M_Sims!D295</f>
        <v>1</v>
      </c>
      <c r="Q257" s="34">
        <f t="shared" ref="Q257:Q278" si="80">(1-A_shrink)*J257+A_shrink*I257</f>
        <v>0.23318166666258111</v>
      </c>
      <c r="R257" s="18" t="str">
        <f t="shared" ref="R257:R288" si="81">IF(A_tier2_on=1,MAX(0,(Q257*G257-1)/(G257-1))*A_kelly,"-")</f>
        <v>-</v>
      </c>
      <c r="S257" s="46" t="str">
        <f t="shared" ref="S257:S278" si="82">IF(OR(A_bankroll="",A_tier2_on&lt;&gt;1),"-",MIN(A_maxbet,MAX(0,(Q257*G257-1)/(G257-1))*A_kelly*A_bankroll))</f>
        <v>-</v>
      </c>
      <c r="T257" s="51" t="str">
        <f>IF(A_tier2_on=1,M_Sims!M295,"-")</f>
        <v>-</v>
      </c>
      <c r="U257" s="46" t="str">
        <f>IF(OR(A_bankroll="",A_tier2_on&lt;&gt;1),"-",MIN(A_maxbet,M_Sims!M295*A_bankroll))</f>
        <v>-</v>
      </c>
      <c r="V257" s="30">
        <f>M_Sims!H295</f>
        <v>1</v>
      </c>
      <c r="W257" s="6" t="b">
        <f>AND(H257&lt;&gt;"IMPUTED_20C_LADDER",L257&gt;=A_minev,N257&gt;0,V257=1,IF(A257="PLAYOFFS",A_poconf=1,TRUE),IF(AND(A257="WINS",A_zs_on=1),AND(AE257&gt;=A_minev,M_Sims!O295&gt;0),TRUE),AF257&gt;=A_minev,AG257&gt;0,IF(I257&lt;A_longthr,(1-A_shrink)*M_Sims!K295+A_shrink*(I257*G257-1)&gt;=A_minev,TRUE),IF(AND(OR(A257="WINS",A257="PLAYOFFS",LEFT(A257,4)="DIV_"),INDEX(Raw_Teams!$F$8:$F$37,MATCH($C257,Raw_Teams!$A$8:$A$37,0))&lt;A_contthr),AND(((1-A_contshrink)*J257+A_contshrink*I257)*G257-1&gt;=A_minev,(1-A_contshrink)*N257+A_contshrink*(I257*G257-1)&gt;0),TRUE),M_Sims!P295=0)</f>
        <v>1</v>
      </c>
      <c r="X257" s="6" t="s">
        <v>1317</v>
      </c>
      <c r="Y257" s="6" t="s">
        <v>1312</v>
      </c>
      <c r="Z257" s="6">
        <v>212</v>
      </c>
      <c r="AA257" s="7" t="str">
        <f t="shared" ref="AA257:AA278" si="83">Sim_Stale</f>
        <v>OK - sims match current assumptions</v>
      </c>
      <c r="AB257" s="13" t="s">
        <v>33</v>
      </c>
      <c r="AC257" s="13" t="s">
        <v>33</v>
      </c>
      <c r="AD257" s="13" t="s">
        <v>33</v>
      </c>
      <c r="AE257" s="13" t="s">
        <v>33</v>
      </c>
      <c r="AF257" s="34">
        <f t="shared" ref="AF257:AF278" si="84">Q257*G257-1</f>
        <v>0.39908999997548666</v>
      </c>
      <c r="AG257" s="34">
        <f t="shared" ref="AG257:AG278" si="85">(1-A_shrink)*N257+A_shrink*(I257*G257-1)</f>
        <v>0.32087999997548666</v>
      </c>
      <c r="AH257" s="6" t="b">
        <f>AND(W257,I257&gt;=A_t1_fair,((1-A_t1_shrink)*J257+A_t1_shrink*I257)*G257-1&gt;=A_minev,(1-A_t1_shrink)*N257+A_t1_shrink*(I257*G257-1)&gt;0,M_Sims!Q295=1)</f>
        <v>0</v>
      </c>
      <c r="AI257" s="18">
        <f>IF(AH257,M_Sims!R295*A_t1_cap/A_t1_engcap,0)</f>
        <v>0</v>
      </c>
      <c r="AJ257" s="46" t="str">
        <f t="shared" ref="AJ257:AJ288" si="86">IF(OR(A_bankroll="",NOT(AH257)),"-",MIN(A_maxbet,AI257*A_bankroll))</f>
        <v>-</v>
      </c>
      <c r="AK257" s="7" t="str">
        <f>IF(AH257,M_Sims!S295,"-")</f>
        <v>-</v>
      </c>
      <c r="AL257" s="51">
        <f>M_Sims!M295</f>
        <v>5.6364848860797996E-3</v>
      </c>
      <c r="AM257" s="6" t="str">
        <f t="shared" ref="AM257:AM278" si="87">IF(W257,IF(AH257,"Tier 1","Tier 2"),"-")</f>
        <v>Tier 2</v>
      </c>
    </row>
    <row r="258" spans="1:39" ht="15" customHeight="1" x14ac:dyDescent="0.3">
      <c r="A258" s="6" t="s">
        <v>284</v>
      </c>
      <c r="B258" s="7" t="str">
        <f>Odds_Input!C221</f>
        <v>Memphis Grizzlies</v>
      </c>
      <c r="C258" s="6" t="s">
        <v>211</v>
      </c>
      <c r="D258" s="7" t="str">
        <f>Odds_Input!D221</f>
        <v>NO</v>
      </c>
      <c r="E258" s="31" t="str">
        <f>Odds_Input!E221</f>
        <v>-</v>
      </c>
      <c r="F258" s="32">
        <f>Odds_Input!F221</f>
        <v>-900</v>
      </c>
      <c r="G258" s="36">
        <f>M_DeVig!H221</f>
        <v>1.1111111111111112</v>
      </c>
      <c r="H258" s="7" t="str">
        <f>Odds_Input!G221</f>
        <v>-</v>
      </c>
      <c r="I258" s="42">
        <f>M_DeVig!Q221</f>
        <v>0.86666666666511538</v>
      </c>
      <c r="J258" s="42">
        <f>1-(IF(A_podef="Bracket",INDEX(M_Sims!$E$15:$E$44,MATCH($C258,M_Sims!$A$15:$A$44,0)),INDEX(M_Sims!$D$15:$D$44,MATCH($C258,M_Sims!$A$15:$A$44,0))))</f>
        <v>0.66697000000000006</v>
      </c>
      <c r="K258" s="43">
        <f t="shared" si="77"/>
        <v>-200.27324865627725</v>
      </c>
      <c r="L258" s="34">
        <f t="shared" si="78"/>
        <v>-0.25892222222222216</v>
      </c>
      <c r="M258" s="38">
        <f t="shared" si="79"/>
        <v>-19.969666666511532</v>
      </c>
      <c r="N258" s="42">
        <f>IF(A_podef="Bracket",M_Sims!B296,M_Sims!F296)</f>
        <v>-0.2848</v>
      </c>
      <c r="O258" s="42">
        <f>IF(A_podef="Bracket",M_Sims!C296,M_Sims!G296)</f>
        <v>-0.22995555555555541</v>
      </c>
      <c r="P258" s="42">
        <f>M_Sims!D296</f>
        <v>0</v>
      </c>
      <c r="Q258" s="34">
        <f t="shared" si="80"/>
        <v>0.76681833333255778</v>
      </c>
      <c r="R258" s="18" t="str">
        <f t="shared" si="81"/>
        <v>-</v>
      </c>
      <c r="S258" s="46" t="str">
        <f t="shared" si="82"/>
        <v>-</v>
      </c>
      <c r="T258" s="51" t="str">
        <f>IF(A_tier2_on=1,M_Sims!M296,"-")</f>
        <v>-</v>
      </c>
      <c r="U258" s="46" t="str">
        <f>IF(OR(A_bankroll="",A_tier2_on&lt;&gt;1),"-",MIN(A_maxbet,M_Sims!M296*A_bankroll))</f>
        <v>-</v>
      </c>
      <c r="V258" s="30">
        <f>M_Sims!H296</f>
        <v>0</v>
      </c>
      <c r="W258" s="6" t="b">
        <f>AND(H258&lt;&gt;"IMPUTED_20C_LADDER",L258&gt;=A_minev,N258&gt;0,V258=1,IF(A258="PLAYOFFS",A_poconf=1,TRUE),IF(AND(A258="WINS",A_zs_on=1),AND(AE258&gt;=A_minev,M_Sims!O296&gt;0),TRUE),AF258&gt;=A_minev,AG258&gt;0,IF(I258&lt;A_longthr,(1-A_shrink)*M_Sims!K296+A_shrink*(I258*G258-1)&gt;=A_minev,TRUE),IF(AND(OR(A258="WINS",A258="PLAYOFFS",LEFT(A258,4)="DIV_"),INDEX(Raw_Teams!$F$8:$F$37,MATCH($C258,Raw_Teams!$A$8:$A$37,0))&lt;A_contthr),AND(((1-A_contshrink)*J258+A_contshrink*I258)*G258-1&gt;=A_minev,(1-A_contshrink)*N258+A_contshrink*(I258*G258-1)&gt;0),TRUE),M_Sims!P296=0)</f>
        <v>0</v>
      </c>
      <c r="X258" s="6" t="s">
        <v>1317</v>
      </c>
      <c r="Y258" s="6" t="s">
        <v>1312</v>
      </c>
      <c r="Z258" s="6">
        <v>213</v>
      </c>
      <c r="AA258" s="7" t="str">
        <f t="shared" si="83"/>
        <v>OK - sims match current assumptions</v>
      </c>
      <c r="AB258" s="13" t="s">
        <v>33</v>
      </c>
      <c r="AC258" s="13" t="s">
        <v>33</v>
      </c>
      <c r="AD258" s="13" t="s">
        <v>33</v>
      </c>
      <c r="AE258" s="13" t="s">
        <v>33</v>
      </c>
      <c r="AF258" s="34">
        <f t="shared" si="84"/>
        <v>-0.14797962963049127</v>
      </c>
      <c r="AG258" s="34">
        <f t="shared" si="85"/>
        <v>-0.1609185185193803</v>
      </c>
      <c r="AH258" s="6" t="b">
        <f>AND(W258,I258&gt;=A_t1_fair,((1-A_t1_shrink)*J258+A_t1_shrink*I258)*G258-1&gt;=A_minev,(1-A_t1_shrink)*N258+A_t1_shrink*(I258*G258-1)&gt;0,M_Sims!Q296=1)</f>
        <v>0</v>
      </c>
      <c r="AI258" s="18">
        <f>IF(AH258,M_Sims!R296*A_t1_cap/A_t1_engcap,0)</f>
        <v>0</v>
      </c>
      <c r="AJ258" s="46" t="str">
        <f t="shared" si="86"/>
        <v>-</v>
      </c>
      <c r="AK258" s="7" t="str">
        <f>IF(AH258,M_Sims!S296,"-")</f>
        <v>-</v>
      </c>
      <c r="AL258" s="51">
        <f>M_Sims!M296</f>
        <v>0</v>
      </c>
      <c r="AM258" s="6" t="str">
        <f t="shared" si="87"/>
        <v>-</v>
      </c>
    </row>
    <row r="259" spans="1:39" ht="15" customHeight="1" x14ac:dyDescent="0.3">
      <c r="A259" s="6" t="s">
        <v>284</v>
      </c>
      <c r="B259" s="7" t="str">
        <f>Odds_Input!C222</f>
        <v>New Orleans Pelicans</v>
      </c>
      <c r="C259" s="6" t="s">
        <v>215</v>
      </c>
      <c r="D259" s="7" t="str">
        <f>Odds_Input!D222</f>
        <v>YES</v>
      </c>
      <c r="E259" s="31" t="str">
        <f>Odds_Input!E222</f>
        <v>-</v>
      </c>
      <c r="F259" s="32">
        <f>Odds_Input!F222</f>
        <v>550</v>
      </c>
      <c r="G259" s="36">
        <f>M_DeVig!H222</f>
        <v>6.5</v>
      </c>
      <c r="H259" s="7" t="str">
        <f>Odds_Input!G222</f>
        <v>-</v>
      </c>
      <c r="I259" s="42">
        <f>M_DeVig!Q222</f>
        <v>0.12454212450038653</v>
      </c>
      <c r="J259" s="42">
        <f>IF(A_podef="Bracket",INDEX(M_Sims!$E$15:$E$44,MATCH($C259,M_Sims!$A$15:$A$44,0)),INDEX(M_Sims!$D$15:$D$44,MATCH($C259,M_Sims!$A$15:$A$44,0)))</f>
        <v>0.17285</v>
      </c>
      <c r="K259" s="43">
        <f t="shared" si="77"/>
        <v>478.53630315302286</v>
      </c>
      <c r="L259" s="34">
        <f t="shared" si="78"/>
        <v>0.12352500000000011</v>
      </c>
      <c r="M259" s="38">
        <f t="shared" si="79"/>
        <v>4.8307875499613475</v>
      </c>
      <c r="N259" s="42">
        <f>IF(A_podef="Bracket",M_Sims!B297,M_Sims!F297)</f>
        <v>-0.1187733333333334</v>
      </c>
      <c r="O259" s="42">
        <f>IF(A_podef="Bracket",M_Sims!C297,M_Sims!G297)</f>
        <v>0.27906999999999998</v>
      </c>
      <c r="P259" s="42">
        <f>M_Sims!D297</f>
        <v>0.83333333333333337</v>
      </c>
      <c r="Q259" s="34">
        <f t="shared" si="80"/>
        <v>0.14869606225019327</v>
      </c>
      <c r="R259" s="18" t="str">
        <f t="shared" si="81"/>
        <v>-</v>
      </c>
      <c r="S259" s="46" t="str">
        <f t="shared" si="82"/>
        <v>-</v>
      </c>
      <c r="T259" s="51" t="str">
        <f>IF(A_tier2_on=1,M_Sims!M297,"-")</f>
        <v>-</v>
      </c>
      <c r="U259" s="46" t="str">
        <f>IF(OR(A_bankroll="",A_tier2_on&lt;&gt;1),"-",MIN(A_maxbet,M_Sims!M297*A_bankroll))</f>
        <v>-</v>
      </c>
      <c r="V259" s="30">
        <f>M_Sims!H297</f>
        <v>1</v>
      </c>
      <c r="W259" s="6" t="b">
        <f>AND(H259&lt;&gt;"IMPUTED_20C_LADDER",L259&gt;=A_minev,N259&gt;0,V259=1,IF(A259="PLAYOFFS",A_poconf=1,TRUE),IF(AND(A259="WINS",A_zs_on=1),AND(AE259&gt;=A_minev,M_Sims!O297&gt;0),TRUE),AF259&gt;=A_minev,AG259&gt;0,IF(I259&lt;A_longthr,(1-A_shrink)*M_Sims!K297+A_shrink*(I259*G259-1)&gt;=A_minev,TRUE),IF(AND(OR(A259="WINS",A259="PLAYOFFS",LEFT(A259,4)="DIV_"),INDEX(Raw_Teams!$F$8:$F$37,MATCH($C259,Raw_Teams!$A$8:$A$37,0))&lt;A_contthr),AND(((1-A_contshrink)*J259+A_contshrink*I259)*G259-1&gt;=A_minev,(1-A_contshrink)*N259+A_contshrink*(I259*G259-1)&gt;0),TRUE),M_Sims!P297=0)</f>
        <v>0</v>
      </c>
      <c r="X259" s="6" t="s">
        <v>1317</v>
      </c>
      <c r="Y259" s="6" t="s">
        <v>1312</v>
      </c>
      <c r="Z259" s="6">
        <v>214</v>
      </c>
      <c r="AA259" s="7" t="str">
        <f t="shared" si="83"/>
        <v>OK - sims match current assumptions</v>
      </c>
      <c r="AB259" s="13" t="s">
        <v>33</v>
      </c>
      <c r="AC259" s="13" t="s">
        <v>33</v>
      </c>
      <c r="AD259" s="13" t="s">
        <v>33</v>
      </c>
      <c r="AE259" s="13" t="s">
        <v>33</v>
      </c>
      <c r="AF259" s="34">
        <f t="shared" si="84"/>
        <v>-3.3475595373743783E-2</v>
      </c>
      <c r="AG259" s="34">
        <f t="shared" si="85"/>
        <v>-0.15462476204041048</v>
      </c>
      <c r="AH259" s="6" t="b">
        <f>AND(W259,I259&gt;=A_t1_fair,((1-A_t1_shrink)*J259+A_t1_shrink*I259)*G259-1&gt;=A_minev,(1-A_t1_shrink)*N259+A_t1_shrink*(I259*G259-1)&gt;0,M_Sims!Q297=1)</f>
        <v>0</v>
      </c>
      <c r="AI259" s="18">
        <f>IF(AH259,M_Sims!R297*A_t1_cap/A_t1_engcap,0)</f>
        <v>0</v>
      </c>
      <c r="AJ259" s="46" t="str">
        <f t="shared" si="86"/>
        <v>-</v>
      </c>
      <c r="AK259" s="7" t="str">
        <f>IF(AH259,M_Sims!S297,"-")</f>
        <v>-</v>
      </c>
      <c r="AL259" s="51">
        <f>M_Sims!M297</f>
        <v>0</v>
      </c>
      <c r="AM259" s="6" t="str">
        <f t="shared" si="87"/>
        <v>-</v>
      </c>
    </row>
    <row r="260" spans="1:39" ht="15" customHeight="1" x14ac:dyDescent="0.3">
      <c r="A260" s="6" t="s">
        <v>284</v>
      </c>
      <c r="B260" s="7" t="str">
        <f>Odds_Input!C223</f>
        <v>New Orleans Pelicans</v>
      </c>
      <c r="C260" s="6" t="s">
        <v>215</v>
      </c>
      <c r="D260" s="7" t="str">
        <f>Odds_Input!D223</f>
        <v>NO</v>
      </c>
      <c r="E260" s="31" t="str">
        <f>Odds_Input!E223</f>
        <v>-</v>
      </c>
      <c r="F260" s="32">
        <f>Odds_Input!F223</f>
        <v>-950</v>
      </c>
      <c r="G260" s="36">
        <f>M_DeVig!H223</f>
        <v>1.1052631578947367</v>
      </c>
      <c r="H260" s="7" t="str">
        <f>Odds_Input!G223</f>
        <v>-</v>
      </c>
      <c r="I260" s="42">
        <f>M_DeVig!Q223</f>
        <v>0.87545787545061815</v>
      </c>
      <c r="J260" s="42">
        <f>1-(IF(A_podef="Bracket",INDEX(M_Sims!$E$15:$E$44,MATCH($C260,M_Sims!$A$15:$A$44,0)),INDEX(M_Sims!$D$15:$D$44,MATCH($C260,M_Sims!$A$15:$A$44,0))))</f>
        <v>0.82715000000000005</v>
      </c>
      <c r="K260" s="43">
        <f t="shared" si="77"/>
        <v>-478.53630315302303</v>
      </c>
      <c r="L260" s="34">
        <f t="shared" si="78"/>
        <v>-8.5781578947368486E-2</v>
      </c>
      <c r="M260" s="38">
        <f t="shared" si="79"/>
        <v>-4.8307875450618099</v>
      </c>
      <c r="N260" s="42">
        <f>IF(A_podef="Bracket",M_Sims!B298,M_Sims!F298)</f>
        <v>-0.1122305263157895</v>
      </c>
      <c r="O260" s="42">
        <f>IF(A_podef="Bracket",M_Sims!C298,M_Sims!G298)</f>
        <v>-4.4581052631578903E-2</v>
      </c>
      <c r="P260" s="42">
        <f>M_Sims!D298</f>
        <v>0</v>
      </c>
      <c r="Q260" s="34">
        <f t="shared" si="80"/>
        <v>0.8513039377253091</v>
      </c>
      <c r="R260" s="18" t="str">
        <f t="shared" si="81"/>
        <v>-</v>
      </c>
      <c r="S260" s="46" t="str">
        <f t="shared" si="82"/>
        <v>-</v>
      </c>
      <c r="T260" s="51" t="str">
        <f>IF(A_tier2_on=1,M_Sims!M298,"-")</f>
        <v>-</v>
      </c>
      <c r="U260" s="46" t="str">
        <f>IF(OR(A_bankroll="",A_tier2_on&lt;&gt;1),"-",MIN(A_maxbet,M_Sims!M298*A_bankroll))</f>
        <v>-</v>
      </c>
      <c r="V260" s="30">
        <f>M_Sims!H298</f>
        <v>0</v>
      </c>
      <c r="W260" s="6" t="b">
        <f>AND(H260&lt;&gt;"IMPUTED_20C_LADDER",L260&gt;=A_minev,N260&gt;0,V260=1,IF(A260="PLAYOFFS",A_poconf=1,TRUE),IF(AND(A260="WINS",A_zs_on=1),AND(AE260&gt;=A_minev,M_Sims!O298&gt;0),TRUE),AF260&gt;=A_minev,AG260&gt;0,IF(I260&lt;A_longthr,(1-A_shrink)*M_Sims!K298+A_shrink*(I260*G260-1)&gt;=A_minev,TRUE),IF(AND(OR(A260="WINS",A260="PLAYOFFS",LEFT(A260,4)="DIV_"),INDEX(Raw_Teams!$F$8:$F$37,MATCH($C260,Raw_Teams!$A$8:$A$37,0))&lt;A_contthr),AND(((1-A_contshrink)*J260+A_contshrink*I260)*G260-1&gt;=A_minev,(1-A_contshrink)*N260+A_contshrink*(I260*G260-1)&gt;0),TRUE),M_Sims!P298=0)</f>
        <v>0</v>
      </c>
      <c r="X260" s="6" t="s">
        <v>1317</v>
      </c>
      <c r="Y260" s="6" t="s">
        <v>1312</v>
      </c>
      <c r="Z260" s="6">
        <v>215</v>
      </c>
      <c r="AA260" s="7" t="str">
        <f t="shared" si="83"/>
        <v>OK - sims match current assumptions</v>
      </c>
      <c r="AB260" s="13" t="s">
        <v>33</v>
      </c>
      <c r="AC260" s="13" t="s">
        <v>33</v>
      </c>
      <c r="AD260" s="13" t="s">
        <v>33</v>
      </c>
      <c r="AE260" s="13" t="s">
        <v>33</v>
      </c>
      <c r="AF260" s="34">
        <f t="shared" si="84"/>
        <v>-5.9085121461500578E-2</v>
      </c>
      <c r="AG260" s="34">
        <f t="shared" si="85"/>
        <v>-7.2309595145711086E-2</v>
      </c>
      <c r="AH260" s="6" t="b">
        <f>AND(W260,I260&gt;=A_t1_fair,((1-A_t1_shrink)*J260+A_t1_shrink*I260)*G260-1&gt;=A_minev,(1-A_t1_shrink)*N260+A_t1_shrink*(I260*G260-1)&gt;0,M_Sims!Q298=1)</f>
        <v>0</v>
      </c>
      <c r="AI260" s="18">
        <f>IF(AH260,M_Sims!R298*A_t1_cap/A_t1_engcap,0)</f>
        <v>0</v>
      </c>
      <c r="AJ260" s="46" t="str">
        <f t="shared" si="86"/>
        <v>-</v>
      </c>
      <c r="AK260" s="7" t="str">
        <f>IF(AH260,M_Sims!S298,"-")</f>
        <v>-</v>
      </c>
      <c r="AL260" s="51">
        <f>M_Sims!M298</f>
        <v>0</v>
      </c>
      <c r="AM260" s="6" t="str">
        <f t="shared" si="87"/>
        <v>-</v>
      </c>
    </row>
    <row r="261" spans="1:39" ht="15" customHeight="1" x14ac:dyDescent="0.3">
      <c r="A261" s="6" t="s">
        <v>284</v>
      </c>
      <c r="B261" s="7" t="str">
        <f>Odds_Input!C224</f>
        <v>Utah Jazz</v>
      </c>
      <c r="C261" s="6" t="s">
        <v>225</v>
      </c>
      <c r="D261" s="7" t="str">
        <f>Odds_Input!D224</f>
        <v>YES</v>
      </c>
      <c r="E261" s="31" t="str">
        <f>Odds_Input!E224</f>
        <v>-</v>
      </c>
      <c r="F261" s="32">
        <f>Odds_Input!F224</f>
        <v>135</v>
      </c>
      <c r="G261" s="36">
        <f>M_DeVig!H224</f>
        <v>2.35</v>
      </c>
      <c r="H261" s="7" t="str">
        <f>Odds_Input!G224</f>
        <v>-</v>
      </c>
      <c r="I261" s="42">
        <f>M_DeVig!Q224</f>
        <v>0.40144520272197032</v>
      </c>
      <c r="J261" s="42">
        <f>IF(A_podef="Bracket",INDEX(M_Sims!$E$15:$E$44,MATCH($C261,M_Sims!$A$15:$A$44,0)),INDEX(M_Sims!$D$15:$D$44,MATCH($C261,M_Sims!$A$15:$A$44,0)))</f>
        <v>0.21226999999999999</v>
      </c>
      <c r="K261" s="43">
        <f t="shared" si="77"/>
        <v>371.09812974042501</v>
      </c>
      <c r="L261" s="34">
        <f t="shared" si="78"/>
        <v>-0.50116549999999993</v>
      </c>
      <c r="M261" s="38">
        <f t="shared" si="79"/>
        <v>-18.917520272197034</v>
      </c>
      <c r="N261" s="42">
        <f>IF(A_podef="Bracket",M_Sims!B299,M_Sims!F299)</f>
        <v>-0.578739</v>
      </c>
      <c r="O261" s="42">
        <f>IF(A_podef="Bracket",M_Sims!C299,M_Sims!G299)</f>
        <v>-0.40004499999999998</v>
      </c>
      <c r="P261" s="42">
        <f>M_Sims!D299</f>
        <v>0</v>
      </c>
      <c r="Q261" s="34">
        <f t="shared" si="80"/>
        <v>0.30685760136098517</v>
      </c>
      <c r="R261" s="18" t="str">
        <f t="shared" si="81"/>
        <v>-</v>
      </c>
      <c r="S261" s="46" t="str">
        <f t="shared" si="82"/>
        <v>-</v>
      </c>
      <c r="T261" s="51" t="str">
        <f>IF(A_tier2_on=1,M_Sims!M299,"-")</f>
        <v>-</v>
      </c>
      <c r="U261" s="46" t="str">
        <f>IF(OR(A_bankroll="",A_tier2_on&lt;&gt;1),"-",MIN(A_maxbet,M_Sims!M299*A_bankroll))</f>
        <v>-</v>
      </c>
      <c r="V261" s="30">
        <f>M_Sims!H299</f>
        <v>0</v>
      </c>
      <c r="W261" s="6" t="b">
        <f>AND(H261&lt;&gt;"IMPUTED_20C_LADDER",L261&gt;=A_minev,N261&gt;0,V261=1,IF(A261="PLAYOFFS",A_poconf=1,TRUE),IF(AND(A261="WINS",A_zs_on=1),AND(AE261&gt;=A_minev,M_Sims!O299&gt;0),TRUE),AF261&gt;=A_minev,AG261&gt;0,IF(I261&lt;A_longthr,(1-A_shrink)*M_Sims!K299+A_shrink*(I261*G261-1)&gt;=A_minev,TRUE),IF(AND(OR(A261="WINS",A261="PLAYOFFS",LEFT(A261,4)="DIV_"),INDEX(Raw_Teams!$F$8:$F$37,MATCH($C261,Raw_Teams!$A$8:$A$37,0))&lt;A_contthr),AND(((1-A_contshrink)*J261+A_contshrink*I261)*G261-1&gt;=A_minev,(1-A_contshrink)*N261+A_contshrink*(I261*G261-1)&gt;0),TRUE),M_Sims!P299=0)</f>
        <v>0</v>
      </c>
      <c r="X261" s="6" t="s">
        <v>1317</v>
      </c>
      <c r="Y261" s="6" t="s">
        <v>1312</v>
      </c>
      <c r="Z261" s="6">
        <v>216</v>
      </c>
      <c r="AA261" s="7" t="str">
        <f t="shared" si="83"/>
        <v>OK - sims match current assumptions</v>
      </c>
      <c r="AB261" s="13" t="s">
        <v>33</v>
      </c>
      <c r="AC261" s="13" t="s">
        <v>33</v>
      </c>
      <c r="AD261" s="13" t="s">
        <v>33</v>
      </c>
      <c r="AE261" s="13" t="s">
        <v>33</v>
      </c>
      <c r="AF261" s="34">
        <f t="shared" si="84"/>
        <v>-0.27888463680168485</v>
      </c>
      <c r="AG261" s="34">
        <f t="shared" si="85"/>
        <v>-0.31767138680168489</v>
      </c>
      <c r="AH261" s="6" t="b">
        <f>AND(W261,I261&gt;=A_t1_fair,((1-A_t1_shrink)*J261+A_t1_shrink*I261)*G261-1&gt;=A_minev,(1-A_t1_shrink)*N261+A_t1_shrink*(I261*G261-1)&gt;0,M_Sims!Q299=1)</f>
        <v>0</v>
      </c>
      <c r="AI261" s="18">
        <f>IF(AH261,M_Sims!R299*A_t1_cap/A_t1_engcap,0)</f>
        <v>0</v>
      </c>
      <c r="AJ261" s="46" t="str">
        <f t="shared" si="86"/>
        <v>-</v>
      </c>
      <c r="AK261" s="7" t="str">
        <f>IF(AH261,M_Sims!S299,"-")</f>
        <v>-</v>
      </c>
      <c r="AL261" s="51">
        <f>M_Sims!M299</f>
        <v>0</v>
      </c>
      <c r="AM261" s="6" t="str">
        <f t="shared" si="87"/>
        <v>-</v>
      </c>
    </row>
    <row r="262" spans="1:39" ht="15" customHeight="1" x14ac:dyDescent="0.3">
      <c r="A262" s="6" t="s">
        <v>284</v>
      </c>
      <c r="B262" s="7" t="str">
        <f>Odds_Input!C225</f>
        <v>Utah Jazz</v>
      </c>
      <c r="C262" s="6" t="s">
        <v>225</v>
      </c>
      <c r="D262" s="7" t="str">
        <f>Odds_Input!D225</f>
        <v>NO</v>
      </c>
      <c r="E262" s="31" t="str">
        <f>Odds_Input!E225</f>
        <v>-</v>
      </c>
      <c r="F262" s="32">
        <f>Odds_Input!F225</f>
        <v>-165</v>
      </c>
      <c r="G262" s="36">
        <f>M_DeVig!H225</f>
        <v>1.606060606060606</v>
      </c>
      <c r="H262" s="7" t="str">
        <f>Odds_Input!G225</f>
        <v>-</v>
      </c>
      <c r="I262" s="42">
        <f>M_DeVig!Q225</f>
        <v>0.59855479726479799</v>
      </c>
      <c r="J262" s="42">
        <f>1-(IF(A_podef="Bracket",INDEX(M_Sims!$E$15:$E$44,MATCH($C262,M_Sims!$A$15:$A$44,0)),INDEX(M_Sims!$D$15:$D$44,MATCH($C262,M_Sims!$A$15:$A$44,0))))</f>
        <v>0.78773000000000004</v>
      </c>
      <c r="K262" s="43">
        <f t="shared" si="77"/>
        <v>-371.09812974042507</v>
      </c>
      <c r="L262" s="34">
        <f t="shared" si="78"/>
        <v>0.26514212121212122</v>
      </c>
      <c r="M262" s="38">
        <f t="shared" si="79"/>
        <v>18.917520273520203</v>
      </c>
      <c r="N262" s="42">
        <f>IF(A_podef="Bracket",M_Sims!B300,M_Sims!F300)</f>
        <v>0.1960333333333332</v>
      </c>
      <c r="O262" s="42">
        <f>IF(A_podef="Bracket",M_Sims!C300,M_Sims!G300)</f>
        <v>0.31815818181818167</v>
      </c>
      <c r="P262" s="42">
        <f>M_Sims!D300</f>
        <v>1</v>
      </c>
      <c r="Q262" s="34">
        <f t="shared" si="80"/>
        <v>0.69314239863239901</v>
      </c>
      <c r="R262" s="18" t="str">
        <f t="shared" si="81"/>
        <v>-</v>
      </c>
      <c r="S262" s="46" t="str">
        <f t="shared" si="82"/>
        <v>-</v>
      </c>
      <c r="T262" s="51" t="str">
        <f>IF(A_tier2_on=1,M_Sims!M300,"-")</f>
        <v>-</v>
      </c>
      <c r="U262" s="46" t="str">
        <f>IF(OR(A_bankroll="",A_tier2_on&lt;&gt;1),"-",MIN(A_maxbet,M_Sims!M300*A_bankroll))</f>
        <v>-</v>
      </c>
      <c r="V262" s="30">
        <f>M_Sims!H300</f>
        <v>1</v>
      </c>
      <c r="W262" s="6" t="b">
        <f>AND(H262&lt;&gt;"IMPUTED_20C_LADDER",L262&gt;=A_minev,N262&gt;0,V262=1,IF(A262="PLAYOFFS",A_poconf=1,TRUE),IF(AND(A262="WINS",A_zs_on=1),AND(AE262&gt;=A_minev,M_Sims!O300&gt;0),TRUE),AF262&gt;=A_minev,AG262&gt;0,IF(I262&lt;A_longthr,(1-A_shrink)*M_Sims!K300+A_shrink*(I262*G262-1)&gt;=A_minev,TRUE),IF(AND(OR(A262="WINS",A262="PLAYOFFS",LEFT(A262,4)="DIV_"),INDEX(Raw_Teams!$F$8:$F$37,MATCH($C262,Raw_Teams!$A$8:$A$37,0))&lt;A_contthr),AND(((1-A_contshrink)*J262+A_contshrink*I262)*G262-1&gt;=A_minev,(1-A_contshrink)*N262+A_contshrink*(I262*G262-1)&gt;0),TRUE),M_Sims!P300=0)</f>
        <v>1</v>
      </c>
      <c r="X262" s="6" t="s">
        <v>1317</v>
      </c>
      <c r="Y262" s="6" t="s">
        <v>1312</v>
      </c>
      <c r="Z262" s="6">
        <v>217</v>
      </c>
      <c r="AA262" s="7" t="str">
        <f t="shared" si="83"/>
        <v>OK - sims match current assumptions</v>
      </c>
      <c r="AB262" s="13" t="s">
        <v>33</v>
      </c>
      <c r="AC262" s="13" t="s">
        <v>33</v>
      </c>
      <c r="AD262" s="13" t="s">
        <v>33</v>
      </c>
      <c r="AE262" s="13" t="s">
        <v>33</v>
      </c>
      <c r="AF262" s="34">
        <f t="shared" si="84"/>
        <v>0.11322870083385284</v>
      </c>
      <c r="AG262" s="34">
        <f t="shared" si="85"/>
        <v>7.8674306894458881E-2</v>
      </c>
      <c r="AH262" s="6" t="b">
        <f>AND(W262,I262&gt;=A_t1_fair,((1-A_t1_shrink)*J262+A_t1_shrink*I262)*G262-1&gt;=A_minev,(1-A_t1_shrink)*N262+A_t1_shrink*(I262*G262-1)&gt;0,M_Sims!Q300=1)</f>
        <v>0</v>
      </c>
      <c r="AI262" s="18">
        <f>IF(AH262,M_Sims!R300*A_t1_cap/A_t1_engcap,0)</f>
        <v>0</v>
      </c>
      <c r="AJ262" s="46" t="str">
        <f t="shared" si="86"/>
        <v>-</v>
      </c>
      <c r="AK262" s="7" t="str">
        <f>IF(AH262,M_Sims!S300,"-")</f>
        <v>-</v>
      </c>
      <c r="AL262" s="51">
        <f>M_Sims!M300</f>
        <v>8.2526577168880004E-4</v>
      </c>
      <c r="AM262" s="6" t="str">
        <f t="shared" si="87"/>
        <v>Tier 2</v>
      </c>
    </row>
    <row r="263" spans="1:39" ht="15" customHeight="1" x14ac:dyDescent="0.3">
      <c r="A263" s="6" t="s">
        <v>284</v>
      </c>
      <c r="B263" s="7" t="str">
        <f>Odds_Input!C226</f>
        <v>Dallas Mavericks</v>
      </c>
      <c r="C263" s="6" t="s">
        <v>203</v>
      </c>
      <c r="D263" s="7" t="str">
        <f>Odds_Input!D226</f>
        <v>YES</v>
      </c>
      <c r="E263" s="31" t="str">
        <f>Odds_Input!E226</f>
        <v>-</v>
      </c>
      <c r="F263" s="32">
        <f>Odds_Input!F226</f>
        <v>225</v>
      </c>
      <c r="G263" s="36">
        <f>M_DeVig!H226</f>
        <v>3.25</v>
      </c>
      <c r="H263" s="7" t="str">
        <f>Odds_Input!G226</f>
        <v>-</v>
      </c>
      <c r="I263" s="42">
        <f>M_DeVig!Q226</f>
        <v>0.28542510120615061</v>
      </c>
      <c r="J263" s="42">
        <f>IF(A_podef="Bracket",INDEX(M_Sims!$E$15:$E$44,MATCH($C263,M_Sims!$A$15:$A$44,0)),INDEX(M_Sims!$D$15:$D$44,MATCH($C263,M_Sims!$A$15:$A$44,0)))</f>
        <v>0.2394</v>
      </c>
      <c r="K263" s="43">
        <f t="shared" si="77"/>
        <v>317.71094402673344</v>
      </c>
      <c r="L263" s="34">
        <f t="shared" si="78"/>
        <v>-0.22194999999999998</v>
      </c>
      <c r="M263" s="38">
        <f t="shared" si="79"/>
        <v>-4.6025101206150607</v>
      </c>
      <c r="N263" s="42">
        <f>IF(A_podef="Bracket",M_Sims!B301,M_Sims!F301)</f>
        <v>-0.48335833333333339</v>
      </c>
      <c r="O263" s="42">
        <f>IF(A_podef="Bracket",M_Sims!C301,M_Sims!G301)</f>
        <v>6.5934999999999799E-2</v>
      </c>
      <c r="P263" s="42">
        <f>M_Sims!D301</f>
        <v>0.1666666666666666</v>
      </c>
      <c r="Q263" s="34">
        <f t="shared" si="80"/>
        <v>0.26241255060307533</v>
      </c>
      <c r="R263" s="18" t="str">
        <f t="shared" si="81"/>
        <v>-</v>
      </c>
      <c r="S263" s="46" t="str">
        <f t="shared" si="82"/>
        <v>-</v>
      </c>
      <c r="T263" s="51" t="str">
        <f>IF(A_tier2_on=1,M_Sims!M301,"-")</f>
        <v>-</v>
      </c>
      <c r="U263" s="46" t="str">
        <f>IF(OR(A_bankroll="",A_tier2_on&lt;&gt;1),"-",MIN(A_maxbet,M_Sims!M301*A_bankroll))</f>
        <v>-</v>
      </c>
      <c r="V263" s="30">
        <f>M_Sims!H301</f>
        <v>0</v>
      </c>
      <c r="W263" s="6" t="b">
        <f>AND(H263&lt;&gt;"IMPUTED_20C_LADDER",L263&gt;=A_minev,N263&gt;0,V263=1,IF(A263="PLAYOFFS",A_poconf=1,TRUE),IF(AND(A263="WINS",A_zs_on=1),AND(AE263&gt;=A_minev,M_Sims!O301&gt;0),TRUE),AF263&gt;=A_minev,AG263&gt;0,IF(I263&lt;A_longthr,(1-A_shrink)*M_Sims!K301+A_shrink*(I263*G263-1)&gt;=A_minev,TRUE),IF(AND(OR(A263="WINS",A263="PLAYOFFS",LEFT(A263,4)="DIV_"),INDEX(Raw_Teams!$F$8:$F$37,MATCH($C263,Raw_Teams!$A$8:$A$37,0))&lt;A_contthr),AND(((1-A_contshrink)*J263+A_contshrink*I263)*G263-1&gt;=A_minev,(1-A_contshrink)*N263+A_contshrink*(I263*G263-1)&gt;0),TRUE),M_Sims!P301=0)</f>
        <v>0</v>
      </c>
      <c r="X263" s="6" t="s">
        <v>1318</v>
      </c>
      <c r="Y263" s="6" t="s">
        <v>1312</v>
      </c>
      <c r="Z263" s="6">
        <v>218</v>
      </c>
      <c r="AA263" s="7" t="str">
        <f t="shared" si="83"/>
        <v>OK - sims match current assumptions</v>
      </c>
      <c r="AB263" s="13" t="s">
        <v>33</v>
      </c>
      <c r="AC263" s="13" t="s">
        <v>33</v>
      </c>
      <c r="AD263" s="13" t="s">
        <v>33</v>
      </c>
      <c r="AE263" s="13" t="s">
        <v>33</v>
      </c>
      <c r="AF263" s="34">
        <f t="shared" si="84"/>
        <v>-0.14715921054000514</v>
      </c>
      <c r="AG263" s="34">
        <f t="shared" si="85"/>
        <v>-0.27786337720667198</v>
      </c>
      <c r="AH263" s="6" t="b">
        <f>AND(W263,I263&gt;=A_t1_fair,((1-A_t1_shrink)*J263+A_t1_shrink*I263)*G263-1&gt;=A_minev,(1-A_t1_shrink)*N263+A_t1_shrink*(I263*G263-1)&gt;0,M_Sims!Q301=1)</f>
        <v>0</v>
      </c>
      <c r="AI263" s="18">
        <f>IF(AH263,M_Sims!R301*A_t1_cap/A_t1_engcap,0)</f>
        <v>0</v>
      </c>
      <c r="AJ263" s="46" t="str">
        <f t="shared" si="86"/>
        <v>-</v>
      </c>
      <c r="AK263" s="7" t="str">
        <f>IF(AH263,M_Sims!S301,"-")</f>
        <v>-</v>
      </c>
      <c r="AL263" s="51">
        <f>M_Sims!M301</f>
        <v>0</v>
      </c>
      <c r="AM263" s="6" t="str">
        <f t="shared" si="87"/>
        <v>-</v>
      </c>
    </row>
    <row r="264" spans="1:39" ht="15" customHeight="1" x14ac:dyDescent="0.3">
      <c r="A264" s="6" t="s">
        <v>284</v>
      </c>
      <c r="B264" s="7" t="str">
        <f>Odds_Input!C227</f>
        <v>Dallas Mavericks</v>
      </c>
      <c r="C264" s="6" t="s">
        <v>203</v>
      </c>
      <c r="D264" s="7" t="str">
        <f>Odds_Input!D227</f>
        <v>NO</v>
      </c>
      <c r="E264" s="31" t="str">
        <f>Odds_Input!E227</f>
        <v>-</v>
      </c>
      <c r="F264" s="32">
        <f>Odds_Input!F227</f>
        <v>-280</v>
      </c>
      <c r="G264" s="36">
        <f>M_DeVig!H227</f>
        <v>1.3571428571428572</v>
      </c>
      <c r="H264" s="7" t="str">
        <f>Odds_Input!G227</f>
        <v>-</v>
      </c>
      <c r="I264" s="42">
        <f>M_DeVig!Q227</f>
        <v>0.71457489878189884</v>
      </c>
      <c r="J264" s="42">
        <f>1-(IF(A_podef="Bracket",INDEX(M_Sims!$E$15:$E$44,MATCH($C264,M_Sims!$A$15:$A$44,0)),INDEX(M_Sims!$D$15:$D$44,MATCH($C264,M_Sims!$A$15:$A$44,0))))</f>
        <v>0.76059999999999994</v>
      </c>
      <c r="K264" s="43">
        <f t="shared" si="77"/>
        <v>-317.71094402673339</v>
      </c>
      <c r="L264" s="34">
        <f t="shared" si="78"/>
        <v>3.2242857142857018E-2</v>
      </c>
      <c r="M264" s="38">
        <f t="shared" si="79"/>
        <v>4.602510121810111</v>
      </c>
      <c r="N264" s="42">
        <f>IF(A_podef="Bracket",M_Sims!B302,M_Sims!F302)</f>
        <v>-8.7972857142856895E-2</v>
      </c>
      <c r="O264" s="42">
        <f>IF(A_podef="Bracket",M_Sims!C302,M_Sims!G302)</f>
        <v>0.141402380952381</v>
      </c>
      <c r="P264" s="42">
        <f>M_Sims!D302</f>
        <v>0.68333333333333335</v>
      </c>
      <c r="Q264" s="34">
        <f t="shared" si="80"/>
        <v>0.73758744939094933</v>
      </c>
      <c r="R264" s="18" t="str">
        <f t="shared" si="81"/>
        <v>-</v>
      </c>
      <c r="S264" s="46" t="str">
        <f t="shared" si="82"/>
        <v>-</v>
      </c>
      <c r="T264" s="51" t="str">
        <f>IF(A_tier2_on=1,M_Sims!M302,"-")</f>
        <v>-</v>
      </c>
      <c r="U264" s="46" t="str">
        <f>IF(OR(A_bankroll="",A_tier2_on&lt;&gt;1),"-",MIN(A_maxbet,M_Sims!M302*A_bankroll))</f>
        <v>-</v>
      </c>
      <c r="V264" s="30">
        <f>M_Sims!H302</f>
        <v>1</v>
      </c>
      <c r="W264" s="6" t="b">
        <f>AND(H264&lt;&gt;"IMPUTED_20C_LADDER",L264&gt;=A_minev,N264&gt;0,V264=1,IF(A264="PLAYOFFS",A_poconf=1,TRUE),IF(AND(A264="WINS",A_zs_on=1),AND(AE264&gt;=A_minev,M_Sims!O302&gt;0),TRUE),AF264&gt;=A_minev,AG264&gt;0,IF(I264&lt;A_longthr,(1-A_shrink)*M_Sims!K302+A_shrink*(I264*G264-1)&gt;=A_minev,TRUE),IF(AND(OR(A264="WINS",A264="PLAYOFFS",LEFT(A264,4)="DIV_"),INDEX(Raw_Teams!$F$8:$F$37,MATCH($C264,Raw_Teams!$A$8:$A$37,0))&lt;A_contthr),AND(((1-A_contshrink)*J264+A_contshrink*I264)*G264-1&gt;=A_minev,(1-A_contshrink)*N264+A_contshrink*(I264*G264-1)&gt;0),TRUE),M_Sims!P302=0)</f>
        <v>0</v>
      </c>
      <c r="X264" s="6" t="s">
        <v>1318</v>
      </c>
      <c r="Y264" s="6" t="s">
        <v>1312</v>
      </c>
      <c r="Z264" s="6">
        <v>219</v>
      </c>
      <c r="AA264" s="7" t="str">
        <f t="shared" si="83"/>
        <v>OK - sims match current assumptions</v>
      </c>
      <c r="AB264" s="13" t="s">
        <v>33</v>
      </c>
      <c r="AC264" s="13" t="s">
        <v>33</v>
      </c>
      <c r="AD264" s="13" t="s">
        <v>33</v>
      </c>
      <c r="AE264" s="13" t="s">
        <v>33</v>
      </c>
      <c r="AF264" s="34">
        <f t="shared" si="84"/>
        <v>1.0115384591455889E-3</v>
      </c>
      <c r="AG264" s="34">
        <f t="shared" si="85"/>
        <v>-5.9096318683711367E-2</v>
      </c>
      <c r="AH264" s="6" t="b">
        <f>AND(W264,I264&gt;=A_t1_fair,((1-A_t1_shrink)*J264+A_t1_shrink*I264)*G264-1&gt;=A_minev,(1-A_t1_shrink)*N264+A_t1_shrink*(I264*G264-1)&gt;0,M_Sims!Q302=1)</f>
        <v>0</v>
      </c>
      <c r="AI264" s="18">
        <f>IF(AH264,M_Sims!R302*A_t1_cap/A_t1_engcap,0)</f>
        <v>0</v>
      </c>
      <c r="AJ264" s="46" t="str">
        <f t="shared" si="86"/>
        <v>-</v>
      </c>
      <c r="AK264" s="7" t="str">
        <f>IF(AH264,M_Sims!S302,"-")</f>
        <v>-</v>
      </c>
      <c r="AL264" s="51">
        <f>M_Sims!M302</f>
        <v>0</v>
      </c>
      <c r="AM264" s="6" t="str">
        <f t="shared" si="87"/>
        <v>-</v>
      </c>
    </row>
    <row r="265" spans="1:39" ht="15" customHeight="1" x14ac:dyDescent="0.3">
      <c r="A265" s="6" t="s">
        <v>284</v>
      </c>
      <c r="B265" s="7" t="str">
        <f>Odds_Input!C228</f>
        <v>Houston Rockets</v>
      </c>
      <c r="C265" s="6" t="s">
        <v>207</v>
      </c>
      <c r="D265" s="7" t="str">
        <f>Odds_Input!D228</f>
        <v>YES</v>
      </c>
      <c r="E265" s="31" t="str">
        <f>Odds_Input!E228</f>
        <v>-</v>
      </c>
      <c r="F265" s="32">
        <f>Odds_Input!F228</f>
        <v>-550</v>
      </c>
      <c r="G265" s="36">
        <f>M_DeVig!H228</f>
        <v>1.1818181818181819</v>
      </c>
      <c r="H265" s="7" t="str">
        <f>Odds_Input!G228</f>
        <v>-</v>
      </c>
      <c r="I265" s="42">
        <f>M_DeVig!Q228</f>
        <v>0.81781376517646998</v>
      </c>
      <c r="J265" s="42">
        <f>IF(A_podef="Bracket",INDEX(M_Sims!$E$15:$E$44,MATCH($C265,M_Sims!$A$15:$A$44,0)),INDEX(M_Sims!$D$15:$D$44,MATCH($C265,M_Sims!$A$15:$A$44,0)))</f>
        <v>0.92684</v>
      </c>
      <c r="K265" s="43">
        <f t="shared" si="77"/>
        <v>-1266.8671405139419</v>
      </c>
      <c r="L265" s="34">
        <f t="shared" si="78"/>
        <v>9.5356363636363684E-2</v>
      </c>
      <c r="M265" s="38">
        <f t="shared" si="79"/>
        <v>10.902623482353002</v>
      </c>
      <c r="N265" s="42">
        <f>IF(A_podef="Bracket",M_Sims!B303,M_Sims!F303)</f>
        <v>6.9466666666666801E-2</v>
      </c>
      <c r="O265" s="42">
        <f>IF(A_podef="Bracket",M_Sims!C303,M_Sims!G303)</f>
        <v>0.12858121212121201</v>
      </c>
      <c r="P265" s="42">
        <f>M_Sims!D303</f>
        <v>1</v>
      </c>
      <c r="Q265" s="34">
        <f t="shared" si="80"/>
        <v>0.87232688258823499</v>
      </c>
      <c r="R265" s="18" t="str">
        <f t="shared" si="81"/>
        <v>-</v>
      </c>
      <c r="S265" s="46" t="str">
        <f t="shared" si="82"/>
        <v>-</v>
      </c>
      <c r="T265" s="51" t="str">
        <f>IF(A_tier2_on=1,M_Sims!M303,"-")</f>
        <v>-</v>
      </c>
      <c r="U265" s="46" t="str">
        <f>IF(OR(A_bankroll="",A_tier2_on&lt;&gt;1),"-",MIN(A_maxbet,M_Sims!M303*A_bankroll))</f>
        <v>-</v>
      </c>
      <c r="V265" s="30">
        <f>M_Sims!H303</f>
        <v>1</v>
      </c>
      <c r="W265" s="6" t="b">
        <f>AND(H265&lt;&gt;"IMPUTED_20C_LADDER",L265&gt;=A_minev,N265&gt;0,V265=1,IF(A265="PLAYOFFS",A_poconf=1,TRUE),IF(AND(A265="WINS",A_zs_on=1),AND(AE265&gt;=A_minev,M_Sims!O303&gt;0),TRUE),AF265&gt;=A_minev,AG265&gt;0,IF(I265&lt;A_longthr,(1-A_shrink)*M_Sims!K303+A_shrink*(I265*G265-1)&gt;=A_minev,TRUE),IF(AND(OR(A265="WINS",A265="PLAYOFFS",LEFT(A265,4)="DIV_"),INDEX(Raw_Teams!$F$8:$F$37,MATCH($C265,Raw_Teams!$A$8:$A$37,0))&lt;A_contthr),AND(((1-A_contshrink)*J265+A_contshrink*I265)*G265-1&gt;=A_minev,(1-A_contshrink)*N265+A_contshrink*(I265*G265-1)&gt;0),TRUE),M_Sims!P303=0)</f>
        <v>1</v>
      </c>
      <c r="X265" s="6" t="s">
        <v>1318</v>
      </c>
      <c r="Y265" s="6" t="s">
        <v>1312</v>
      </c>
      <c r="Z265" s="6">
        <v>220</v>
      </c>
      <c r="AA265" s="7" t="str">
        <f t="shared" si="83"/>
        <v>OK - sims match current assumptions</v>
      </c>
      <c r="AB265" s="13" t="s">
        <v>33</v>
      </c>
      <c r="AC265" s="13" t="s">
        <v>33</v>
      </c>
      <c r="AD265" s="13" t="s">
        <v>33</v>
      </c>
      <c r="AE265" s="13" t="s">
        <v>33</v>
      </c>
      <c r="AF265" s="34">
        <f t="shared" si="84"/>
        <v>3.093177033155059E-2</v>
      </c>
      <c r="AG265" s="34">
        <f t="shared" si="85"/>
        <v>1.7986921846702038E-2</v>
      </c>
      <c r="AH265" s="6" t="b">
        <f>AND(W265,I265&gt;=A_t1_fair,((1-A_t1_shrink)*J265+A_t1_shrink*I265)*G265-1&gt;=A_minev,(1-A_t1_shrink)*N265+A_t1_shrink*(I265*G265-1)&gt;0,M_Sims!Q303=1)</f>
        <v>0</v>
      </c>
      <c r="AI265" s="18">
        <f>IF(AH265,M_Sims!R303*A_t1_cap/A_t1_engcap,0)</f>
        <v>0</v>
      </c>
      <c r="AJ265" s="46" t="str">
        <f t="shared" si="86"/>
        <v>-</v>
      </c>
      <c r="AK265" s="7" t="str">
        <f>IF(AH265,M_Sims!S303,"-")</f>
        <v>-</v>
      </c>
      <c r="AL265" s="51">
        <f>M_Sims!M303</f>
        <v>1.7712700794594399E-2</v>
      </c>
      <c r="AM265" s="6" t="str">
        <f t="shared" si="87"/>
        <v>Tier 2</v>
      </c>
    </row>
    <row r="266" spans="1:39" ht="15" customHeight="1" x14ac:dyDescent="0.3">
      <c r="A266" s="6" t="s">
        <v>284</v>
      </c>
      <c r="B266" s="7" t="str">
        <f>Odds_Input!C229</f>
        <v>Houston Rockets</v>
      </c>
      <c r="C266" s="6" t="s">
        <v>207</v>
      </c>
      <c r="D266" s="7" t="str">
        <f>Odds_Input!D229</f>
        <v>NO</v>
      </c>
      <c r="E266" s="31" t="str">
        <f>Odds_Input!E229</f>
        <v>-</v>
      </c>
      <c r="F266" s="32">
        <f>Odds_Input!F229</f>
        <v>375</v>
      </c>
      <c r="G266" s="36">
        <f>M_DeVig!H229</f>
        <v>4.75</v>
      </c>
      <c r="H266" s="7" t="str">
        <f>Odds_Input!G229</f>
        <v>-</v>
      </c>
      <c r="I266" s="42">
        <f>M_DeVig!Q229</f>
        <v>0.18218623479507012</v>
      </c>
      <c r="J266" s="42">
        <f>1-(IF(A_podef="Bracket",INDEX(M_Sims!$E$15:$E$44,MATCH($C266,M_Sims!$A$15:$A$44,0)),INDEX(M_Sims!$D$15:$D$44,MATCH($C266,M_Sims!$A$15:$A$44,0))))</f>
        <v>7.3160000000000003E-2</v>
      </c>
      <c r="K266" s="43">
        <f t="shared" si="77"/>
        <v>1266.8671405139419</v>
      </c>
      <c r="L266" s="34">
        <f t="shared" si="78"/>
        <v>-0.65249000000000001</v>
      </c>
      <c r="M266" s="38">
        <f t="shared" si="79"/>
        <v>-10.902623479507012</v>
      </c>
      <c r="N266" s="42">
        <f>IF(A_podef="Bracket",M_Sims!B304,M_Sims!F304)</f>
        <v>-0.78602833333333322</v>
      </c>
      <c r="O266" s="42">
        <f>IF(A_podef="Bracket",M_Sims!C304,M_Sims!G304)</f>
        <v>-0.54843333333333344</v>
      </c>
      <c r="P266" s="42">
        <f>M_Sims!D304</f>
        <v>0</v>
      </c>
      <c r="Q266" s="34">
        <f t="shared" si="80"/>
        <v>0.12767311739753506</v>
      </c>
      <c r="R266" s="18" t="str">
        <f t="shared" si="81"/>
        <v>-</v>
      </c>
      <c r="S266" s="46" t="str">
        <f t="shared" si="82"/>
        <v>-</v>
      </c>
      <c r="T266" s="51" t="str">
        <f>IF(A_tier2_on=1,M_Sims!M304,"-")</f>
        <v>-</v>
      </c>
      <c r="U266" s="46" t="str">
        <f>IF(OR(A_bankroll="",A_tier2_on&lt;&gt;1),"-",MIN(A_maxbet,M_Sims!M304*A_bankroll))</f>
        <v>-</v>
      </c>
      <c r="V266" s="30">
        <f>M_Sims!H304</f>
        <v>1</v>
      </c>
      <c r="W266" s="6" t="b">
        <f>AND(H266&lt;&gt;"IMPUTED_20C_LADDER",L266&gt;=A_minev,N266&gt;0,V266=1,IF(A266="PLAYOFFS",A_poconf=1,TRUE),IF(AND(A266="WINS",A_zs_on=1),AND(AE266&gt;=A_minev,M_Sims!O304&gt;0),TRUE),AF266&gt;=A_minev,AG266&gt;0,IF(I266&lt;A_longthr,(1-A_shrink)*M_Sims!K304+A_shrink*(I266*G266-1)&gt;=A_minev,TRUE),IF(AND(OR(A266="WINS",A266="PLAYOFFS",LEFT(A266,4)="DIV_"),INDEX(Raw_Teams!$F$8:$F$37,MATCH($C266,Raw_Teams!$A$8:$A$37,0))&lt;A_contthr),AND(((1-A_contshrink)*J266+A_contshrink*I266)*G266-1&gt;=A_minev,(1-A_contshrink)*N266+A_contshrink*(I266*G266-1)&gt;0),TRUE),M_Sims!P304=0)</f>
        <v>0</v>
      </c>
      <c r="X266" s="6" t="s">
        <v>1318</v>
      </c>
      <c r="Y266" s="6" t="s">
        <v>1312</v>
      </c>
      <c r="Z266" s="6">
        <v>221</v>
      </c>
      <c r="AA266" s="7" t="str">
        <f t="shared" si="83"/>
        <v>OK - sims match current assumptions</v>
      </c>
      <c r="AB266" s="13" t="s">
        <v>33</v>
      </c>
      <c r="AC266" s="13" t="s">
        <v>33</v>
      </c>
      <c r="AD266" s="13" t="s">
        <v>33</v>
      </c>
      <c r="AE266" s="13" t="s">
        <v>33</v>
      </c>
      <c r="AF266" s="34">
        <f t="shared" si="84"/>
        <v>-0.39355269236170842</v>
      </c>
      <c r="AG266" s="34">
        <f t="shared" si="85"/>
        <v>-0.46032185902837508</v>
      </c>
      <c r="AH266" s="6" t="b">
        <f>AND(W266,I266&gt;=A_t1_fair,((1-A_t1_shrink)*J266+A_t1_shrink*I266)*G266-1&gt;=A_minev,(1-A_t1_shrink)*N266+A_t1_shrink*(I266*G266-1)&gt;0,M_Sims!Q304=1)</f>
        <v>0</v>
      </c>
      <c r="AI266" s="18">
        <f>IF(AH266,M_Sims!R304*A_t1_cap/A_t1_engcap,0)</f>
        <v>0</v>
      </c>
      <c r="AJ266" s="46" t="str">
        <f t="shared" si="86"/>
        <v>-</v>
      </c>
      <c r="AK266" s="7" t="str">
        <f>IF(AH266,M_Sims!S304,"-")</f>
        <v>-</v>
      </c>
      <c r="AL266" s="51">
        <f>M_Sims!M304</f>
        <v>0</v>
      </c>
      <c r="AM266" s="6" t="str">
        <f t="shared" si="87"/>
        <v>-</v>
      </c>
    </row>
    <row r="267" spans="1:39" ht="15" customHeight="1" x14ac:dyDescent="0.3">
      <c r="A267" s="6" t="s">
        <v>284</v>
      </c>
      <c r="B267" s="7" t="str">
        <f>Odds_Input!C230</f>
        <v>Los Angeles Lakers</v>
      </c>
      <c r="C267" s="6" t="s">
        <v>210</v>
      </c>
      <c r="D267" s="7" t="str">
        <f>Odds_Input!D230</f>
        <v>YES</v>
      </c>
      <c r="E267" s="31" t="str">
        <f>Odds_Input!E230</f>
        <v>-</v>
      </c>
      <c r="F267" s="32">
        <f>Odds_Input!F230</f>
        <v>-400</v>
      </c>
      <c r="G267" s="36">
        <f>M_DeVig!H230</f>
        <v>1.25</v>
      </c>
      <c r="H267" s="7" t="str">
        <f>Odds_Input!G230</f>
        <v>-</v>
      </c>
      <c r="I267" s="42">
        <f>M_DeVig!Q230</f>
        <v>0.77500000001041214</v>
      </c>
      <c r="J267" s="42">
        <f>IF(A_podef="Bracket",INDEX(M_Sims!$E$15:$E$44,MATCH($C267,M_Sims!$A$15:$A$44,0)),INDEX(M_Sims!$D$15:$D$44,MATCH($C267,M_Sims!$A$15:$A$44,0)))</f>
        <v>0.73926000000000003</v>
      </c>
      <c r="K267" s="43">
        <f t="shared" si="77"/>
        <v>-283.52381682902512</v>
      </c>
      <c r="L267" s="34">
        <f t="shared" si="78"/>
        <v>-7.592500000000002E-2</v>
      </c>
      <c r="M267" s="38">
        <f t="shared" si="79"/>
        <v>-3.574000001041211</v>
      </c>
      <c r="N267" s="42">
        <f>IF(A_podef="Bracket",M_Sims!B305,M_Sims!F305)</f>
        <v>-0.1384666666666666</v>
      </c>
      <c r="O267" s="42">
        <f>IF(A_podef="Bracket",M_Sims!C305,M_Sims!G305)</f>
        <v>-3.5791666666666701E-2</v>
      </c>
      <c r="P267" s="42">
        <f>M_Sims!D305</f>
        <v>0</v>
      </c>
      <c r="Q267" s="34">
        <f t="shared" si="80"/>
        <v>0.75713000000520614</v>
      </c>
      <c r="R267" s="18" t="str">
        <f t="shared" si="81"/>
        <v>-</v>
      </c>
      <c r="S267" s="46" t="str">
        <f t="shared" si="82"/>
        <v>-</v>
      </c>
      <c r="T267" s="51" t="str">
        <f>IF(A_tier2_on=1,M_Sims!M305,"-")</f>
        <v>-</v>
      </c>
      <c r="U267" s="46" t="str">
        <f>IF(OR(A_bankroll="",A_tier2_on&lt;&gt;1),"-",MIN(A_maxbet,M_Sims!M305*A_bankroll))</f>
        <v>-</v>
      </c>
      <c r="V267" s="30">
        <f>M_Sims!H305</f>
        <v>1</v>
      </c>
      <c r="W267" s="6" t="b">
        <f>AND(H267&lt;&gt;"IMPUTED_20C_LADDER",L267&gt;=A_minev,N267&gt;0,V267=1,IF(A267="PLAYOFFS",A_poconf=1,TRUE),IF(AND(A267="WINS",A_zs_on=1),AND(AE267&gt;=A_minev,M_Sims!O305&gt;0),TRUE),AF267&gt;=A_minev,AG267&gt;0,IF(I267&lt;A_longthr,(1-A_shrink)*M_Sims!K305+A_shrink*(I267*G267-1)&gt;=A_minev,TRUE),IF(AND(OR(A267="WINS",A267="PLAYOFFS",LEFT(A267,4)="DIV_"),INDEX(Raw_Teams!$F$8:$F$37,MATCH($C267,Raw_Teams!$A$8:$A$37,0))&lt;A_contthr),AND(((1-A_contshrink)*J267+A_contshrink*I267)*G267-1&gt;=A_minev,(1-A_contshrink)*N267+A_contshrink*(I267*G267-1)&gt;0),TRUE),M_Sims!P305=0)</f>
        <v>0</v>
      </c>
      <c r="X267" s="6" t="s">
        <v>1319</v>
      </c>
      <c r="Y267" s="6" t="s">
        <v>1312</v>
      </c>
      <c r="Z267" s="6">
        <v>222</v>
      </c>
      <c r="AA267" s="7" t="str">
        <f t="shared" si="83"/>
        <v>OK - sims match current assumptions</v>
      </c>
      <c r="AB267" s="13" t="s">
        <v>33</v>
      </c>
      <c r="AC267" s="13" t="s">
        <v>33</v>
      </c>
      <c r="AD267" s="13" t="s">
        <v>33</v>
      </c>
      <c r="AE267" s="13" t="s">
        <v>33</v>
      </c>
      <c r="AF267" s="34">
        <f t="shared" si="84"/>
        <v>-5.3587499993492327E-2</v>
      </c>
      <c r="AG267" s="34">
        <f t="shared" si="85"/>
        <v>-8.4858333326825727E-2</v>
      </c>
      <c r="AH267" s="6" t="b">
        <f>AND(W267,I267&gt;=A_t1_fair,((1-A_t1_shrink)*J267+A_t1_shrink*I267)*G267-1&gt;=A_minev,(1-A_t1_shrink)*N267+A_t1_shrink*(I267*G267-1)&gt;0,M_Sims!Q305=1)</f>
        <v>0</v>
      </c>
      <c r="AI267" s="18">
        <f>IF(AH267,M_Sims!R305*A_t1_cap/A_t1_engcap,0)</f>
        <v>0</v>
      </c>
      <c r="AJ267" s="46" t="str">
        <f t="shared" si="86"/>
        <v>-</v>
      </c>
      <c r="AK267" s="7" t="str">
        <f>IF(AH267,M_Sims!S305,"-")</f>
        <v>-</v>
      </c>
      <c r="AL267" s="51">
        <f>M_Sims!M305</f>
        <v>0</v>
      </c>
      <c r="AM267" s="6" t="str">
        <f t="shared" si="87"/>
        <v>-</v>
      </c>
    </row>
    <row r="268" spans="1:39" ht="15" customHeight="1" x14ac:dyDescent="0.3">
      <c r="A268" s="6" t="s">
        <v>284</v>
      </c>
      <c r="B268" s="7" t="str">
        <f>Odds_Input!C231</f>
        <v>Los Angeles Lakers</v>
      </c>
      <c r="C268" s="6" t="s">
        <v>210</v>
      </c>
      <c r="D268" s="7" t="str">
        <f>Odds_Input!D231</f>
        <v>NO</v>
      </c>
      <c r="E268" s="31" t="str">
        <f>Odds_Input!E231</f>
        <v>-</v>
      </c>
      <c r="F268" s="32">
        <f>Odds_Input!F231</f>
        <v>300</v>
      </c>
      <c r="G268" s="36">
        <f>M_DeVig!H231</f>
        <v>4</v>
      </c>
      <c r="H268" s="7" t="str">
        <f>Odds_Input!G231</f>
        <v>-</v>
      </c>
      <c r="I268" s="42">
        <f>M_DeVig!Q231</f>
        <v>0.2250000000331468</v>
      </c>
      <c r="J268" s="42">
        <f>1-(IF(A_podef="Bracket",INDEX(M_Sims!$E$15:$E$44,MATCH($C268,M_Sims!$A$15:$A$44,0)),INDEX(M_Sims!$D$15:$D$44,MATCH($C268,M_Sims!$A$15:$A$44,0))))</f>
        <v>0.26073999999999997</v>
      </c>
      <c r="K268" s="43">
        <f t="shared" si="77"/>
        <v>283.52381682902512</v>
      </c>
      <c r="L268" s="34">
        <f t="shared" si="78"/>
        <v>4.2959999999999887E-2</v>
      </c>
      <c r="M268" s="38">
        <f t="shared" si="79"/>
        <v>3.5739999966853175</v>
      </c>
      <c r="N268" s="42">
        <f>IF(A_podef="Bracket",M_Sims!B306,M_Sims!F306)</f>
        <v>-8.5466666666666496E-2</v>
      </c>
      <c r="O268" s="42">
        <f>IF(A_podef="Bracket",M_Sims!C306,M_Sims!G306)</f>
        <v>0.24309333333333319</v>
      </c>
      <c r="P268" s="42">
        <f>M_Sims!D306</f>
        <v>0.6333333333333333</v>
      </c>
      <c r="Q268" s="34">
        <f t="shared" si="80"/>
        <v>0.24287000001657338</v>
      </c>
      <c r="R268" s="18" t="str">
        <f t="shared" si="81"/>
        <v>-</v>
      </c>
      <c r="S268" s="46" t="str">
        <f t="shared" si="82"/>
        <v>-</v>
      </c>
      <c r="T268" s="51" t="str">
        <f>IF(A_tier2_on=1,M_Sims!M306,"-")</f>
        <v>-</v>
      </c>
      <c r="U268" s="46" t="str">
        <f>IF(OR(A_bankroll="",A_tier2_on&lt;&gt;1),"-",MIN(A_maxbet,M_Sims!M306*A_bankroll))</f>
        <v>-</v>
      </c>
      <c r="V268" s="30">
        <f>M_Sims!H306</f>
        <v>1</v>
      </c>
      <c r="W268" s="6" t="b">
        <f>AND(H268&lt;&gt;"IMPUTED_20C_LADDER",L268&gt;=A_minev,N268&gt;0,V268=1,IF(A268="PLAYOFFS",A_poconf=1,TRUE),IF(AND(A268="WINS",A_zs_on=1),AND(AE268&gt;=A_minev,M_Sims!O306&gt;0),TRUE),AF268&gt;=A_minev,AG268&gt;0,IF(I268&lt;A_longthr,(1-A_shrink)*M_Sims!K306+A_shrink*(I268*G268-1)&gt;=A_minev,TRUE),IF(AND(OR(A268="WINS",A268="PLAYOFFS",LEFT(A268,4)="DIV_"),INDEX(Raw_Teams!$F$8:$F$37,MATCH($C268,Raw_Teams!$A$8:$A$37,0))&lt;A_contthr),AND(((1-A_contshrink)*J268+A_contshrink*I268)*G268-1&gt;=A_minev,(1-A_contshrink)*N268+A_contshrink*(I268*G268-1)&gt;0),TRUE),M_Sims!P306=0)</f>
        <v>0</v>
      </c>
      <c r="X268" s="6" t="s">
        <v>1319</v>
      </c>
      <c r="Y268" s="6" t="s">
        <v>1312</v>
      </c>
      <c r="Z268" s="6">
        <v>223</v>
      </c>
      <c r="AA268" s="7" t="str">
        <f t="shared" si="83"/>
        <v>OK - sims match current assumptions</v>
      </c>
      <c r="AB268" s="13" t="s">
        <v>33</v>
      </c>
      <c r="AC268" s="13" t="s">
        <v>33</v>
      </c>
      <c r="AD268" s="13" t="s">
        <v>33</v>
      </c>
      <c r="AE268" s="13" t="s">
        <v>33</v>
      </c>
      <c r="AF268" s="34">
        <f t="shared" si="84"/>
        <v>-2.8519999933706464E-2</v>
      </c>
      <c r="AG268" s="34">
        <f t="shared" si="85"/>
        <v>-9.2733333267039655E-2</v>
      </c>
      <c r="AH268" s="6" t="b">
        <f>AND(W268,I268&gt;=A_t1_fair,((1-A_t1_shrink)*J268+A_t1_shrink*I268)*G268-1&gt;=A_minev,(1-A_t1_shrink)*N268+A_t1_shrink*(I268*G268-1)&gt;0,M_Sims!Q306=1)</f>
        <v>0</v>
      </c>
      <c r="AI268" s="18">
        <f>IF(AH268,M_Sims!R306*A_t1_cap/A_t1_engcap,0)</f>
        <v>0</v>
      </c>
      <c r="AJ268" s="46" t="str">
        <f t="shared" si="86"/>
        <v>-</v>
      </c>
      <c r="AK268" s="7" t="str">
        <f>IF(AH268,M_Sims!S306,"-")</f>
        <v>-</v>
      </c>
      <c r="AL268" s="51">
        <f>M_Sims!M306</f>
        <v>0</v>
      </c>
      <c r="AM268" s="6" t="str">
        <f t="shared" si="87"/>
        <v>-</v>
      </c>
    </row>
    <row r="269" spans="1:39" ht="15" customHeight="1" x14ac:dyDescent="0.3">
      <c r="A269" s="6" t="s">
        <v>284</v>
      </c>
      <c r="B269" s="7" t="str">
        <f>Odds_Input!C232</f>
        <v>Phoenix Suns</v>
      </c>
      <c r="C269" s="6" t="s">
        <v>220</v>
      </c>
      <c r="D269" s="7" t="str">
        <f>Odds_Input!D232</f>
        <v>YES</v>
      </c>
      <c r="E269" s="31" t="str">
        <f>Odds_Input!E232</f>
        <v>-</v>
      </c>
      <c r="F269" s="32">
        <f>Odds_Input!F232</f>
        <v>-115</v>
      </c>
      <c r="G269" s="36">
        <f>M_DeVig!H232</f>
        <v>1.8695652173913042</v>
      </c>
      <c r="H269" s="7" t="str">
        <f>Odds_Input!G232</f>
        <v>-</v>
      </c>
      <c r="I269" s="42">
        <f>M_DeVig!Q232</f>
        <v>0.49999999998889316</v>
      </c>
      <c r="J269" s="42">
        <f>IF(A_podef="Bracket",INDEX(M_Sims!$E$15:$E$44,MATCH($C269,M_Sims!$A$15:$A$44,0)),INDEX(M_Sims!$D$15:$D$44,MATCH($C269,M_Sims!$A$15:$A$44,0)))</f>
        <v>0.46588000000000002</v>
      </c>
      <c r="K269" s="43">
        <f t="shared" si="77"/>
        <v>114.64754872499354</v>
      </c>
      <c r="L269" s="34">
        <f t="shared" si="78"/>
        <v>-0.12900695652173921</v>
      </c>
      <c r="M269" s="38">
        <f t="shared" si="79"/>
        <v>-3.4119999988893146</v>
      </c>
      <c r="N269" s="42">
        <f>IF(A_podef="Bracket",M_Sims!B307,M_Sims!F307)</f>
        <v>-0.19459130434782621</v>
      </c>
      <c r="O269" s="42">
        <f>IF(A_podef="Bracket",M_Sims!C307,M_Sims!G307)</f>
        <v>-3.2101159420289897E-2</v>
      </c>
      <c r="P269" s="42">
        <f>M_Sims!D307</f>
        <v>0</v>
      </c>
      <c r="Q269" s="34">
        <f t="shared" si="80"/>
        <v>0.48293999999444659</v>
      </c>
      <c r="R269" s="18" t="str">
        <f t="shared" si="81"/>
        <v>-</v>
      </c>
      <c r="S269" s="46" t="str">
        <f t="shared" si="82"/>
        <v>-</v>
      </c>
      <c r="T269" s="51" t="str">
        <f>IF(A_tier2_on=1,M_Sims!M307,"-")</f>
        <v>-</v>
      </c>
      <c r="U269" s="46" t="str">
        <f>IF(OR(A_bankroll="",A_tier2_on&lt;&gt;1),"-",MIN(A_maxbet,M_Sims!M307*A_bankroll))</f>
        <v>-</v>
      </c>
      <c r="V269" s="30">
        <f>M_Sims!H307</f>
        <v>1</v>
      </c>
      <c r="W269" s="6" t="b">
        <f>AND(H269&lt;&gt;"IMPUTED_20C_LADDER",L269&gt;=A_minev,N269&gt;0,V269=1,IF(A269="PLAYOFFS",A_poconf=1,TRUE),IF(AND(A269="WINS",A_zs_on=1),AND(AE269&gt;=A_minev,M_Sims!O307&gt;0),TRUE),AF269&gt;=A_minev,AG269&gt;0,IF(I269&lt;A_longthr,(1-A_shrink)*M_Sims!K307+A_shrink*(I269*G269-1)&gt;=A_minev,TRUE),IF(AND(OR(A269="WINS",A269="PLAYOFFS",LEFT(A269,4)="DIV_"),INDEX(Raw_Teams!$F$8:$F$37,MATCH($C269,Raw_Teams!$A$8:$A$37,0))&lt;A_contthr),AND(((1-A_contshrink)*J269+A_contshrink*I269)*G269-1&gt;=A_minev,(1-A_contshrink)*N269+A_contshrink*(I269*G269-1)&gt;0),TRUE),M_Sims!P307=0)</f>
        <v>0</v>
      </c>
      <c r="X269" s="6" t="s">
        <v>1319</v>
      </c>
      <c r="Y269" s="6" t="s">
        <v>1312</v>
      </c>
      <c r="Z269" s="6">
        <v>224</v>
      </c>
      <c r="AA269" s="7" t="str">
        <f t="shared" si="83"/>
        <v>OK - sims match current assumptions</v>
      </c>
      <c r="AB269" s="13" t="s">
        <v>33</v>
      </c>
      <c r="AC269" s="13" t="s">
        <v>33</v>
      </c>
      <c r="AD269" s="13" t="s">
        <v>33</v>
      </c>
      <c r="AE269" s="13" t="s">
        <v>33</v>
      </c>
      <c r="AF269" s="34">
        <f t="shared" si="84"/>
        <v>-9.7112173923425971E-2</v>
      </c>
      <c r="AG269" s="34">
        <f t="shared" si="85"/>
        <v>-0.12990434783646954</v>
      </c>
      <c r="AH269" s="6" t="b">
        <f>AND(W269,I269&gt;=A_t1_fair,((1-A_t1_shrink)*J269+A_t1_shrink*I269)*G269-1&gt;=A_minev,(1-A_t1_shrink)*N269+A_t1_shrink*(I269*G269-1)&gt;0,M_Sims!Q307=1)</f>
        <v>0</v>
      </c>
      <c r="AI269" s="18">
        <f>IF(AH269,M_Sims!R307*A_t1_cap/A_t1_engcap,0)</f>
        <v>0</v>
      </c>
      <c r="AJ269" s="46" t="str">
        <f t="shared" si="86"/>
        <v>-</v>
      </c>
      <c r="AK269" s="7" t="str">
        <f>IF(AH269,M_Sims!S307,"-")</f>
        <v>-</v>
      </c>
      <c r="AL269" s="51">
        <f>M_Sims!M307</f>
        <v>0</v>
      </c>
      <c r="AM269" s="6" t="str">
        <f t="shared" si="87"/>
        <v>-</v>
      </c>
    </row>
    <row r="270" spans="1:39" ht="15" customHeight="1" x14ac:dyDescent="0.3">
      <c r="A270" s="6" t="s">
        <v>284</v>
      </c>
      <c r="B270" s="7" t="str">
        <f>Odds_Input!C233</f>
        <v>Phoenix Suns</v>
      </c>
      <c r="C270" s="6" t="s">
        <v>220</v>
      </c>
      <c r="D270" s="7" t="str">
        <f>Odds_Input!D233</f>
        <v>NO</v>
      </c>
      <c r="E270" s="31" t="str">
        <f>Odds_Input!E233</f>
        <v>-</v>
      </c>
      <c r="F270" s="32">
        <f>Odds_Input!F233</f>
        <v>-115</v>
      </c>
      <c r="G270" s="36">
        <f>M_DeVig!H233</f>
        <v>1.8695652173913042</v>
      </c>
      <c r="H270" s="7" t="str">
        <f>Odds_Input!G233</f>
        <v>-</v>
      </c>
      <c r="I270" s="42">
        <f>M_DeVig!Q233</f>
        <v>0.49999999998889316</v>
      </c>
      <c r="J270" s="42">
        <f>1-(IF(A_podef="Bracket",INDEX(M_Sims!$E$15:$E$44,MATCH($C270,M_Sims!$A$15:$A$44,0)),INDEX(M_Sims!$D$15:$D$44,MATCH($C270,M_Sims!$A$15:$A$44,0))))</f>
        <v>0.53411999999999993</v>
      </c>
      <c r="K270" s="43">
        <f t="shared" si="77"/>
        <v>-114.64754872499353</v>
      </c>
      <c r="L270" s="34">
        <f t="shared" si="78"/>
        <v>-1.427826086956685E-3</v>
      </c>
      <c r="M270" s="38">
        <f t="shared" si="79"/>
        <v>3.4120000011106768</v>
      </c>
      <c r="N270" s="42">
        <f>IF(A_podef="Bracket",M_Sims!B308,M_Sims!F308)</f>
        <v>-9.83336231884058E-2</v>
      </c>
      <c r="O270" s="42">
        <f>IF(A_podef="Bracket",M_Sims!C308,M_Sims!G308)</f>
        <v>6.4156521739130307E-2</v>
      </c>
      <c r="P270" s="42">
        <f>M_Sims!D308</f>
        <v>0.33333333333333331</v>
      </c>
      <c r="Q270" s="34">
        <f t="shared" si="80"/>
        <v>0.51705999999444652</v>
      </c>
      <c r="R270" s="18" t="str">
        <f t="shared" si="81"/>
        <v>-</v>
      </c>
      <c r="S270" s="46" t="str">
        <f t="shared" si="82"/>
        <v>-</v>
      </c>
      <c r="T270" s="51" t="str">
        <f>IF(A_tier2_on=1,M_Sims!M308,"-")</f>
        <v>-</v>
      </c>
      <c r="U270" s="46" t="str">
        <f>IF(OR(A_bankroll="",A_tier2_on&lt;&gt;1),"-",MIN(A_maxbet,M_Sims!M308*A_bankroll))</f>
        <v>-</v>
      </c>
      <c r="V270" s="30">
        <f>M_Sims!H308</f>
        <v>1</v>
      </c>
      <c r="W270" s="6" t="b">
        <f>AND(H270&lt;&gt;"IMPUTED_20C_LADDER",L270&gt;=A_minev,N270&gt;0,V270=1,IF(A270="PLAYOFFS",A_poconf=1,TRUE),IF(AND(A270="WINS",A_zs_on=1),AND(AE270&gt;=A_minev,M_Sims!O308&gt;0),TRUE),AF270&gt;=A_minev,AG270&gt;0,IF(I270&lt;A_longthr,(1-A_shrink)*M_Sims!K308+A_shrink*(I270*G270-1)&gt;=A_minev,TRUE),IF(AND(OR(A270="WINS",A270="PLAYOFFS",LEFT(A270,4)="DIV_"),INDEX(Raw_Teams!$F$8:$F$37,MATCH($C270,Raw_Teams!$A$8:$A$37,0))&lt;A_contthr),AND(((1-A_contshrink)*J270+A_contshrink*I270)*G270-1&gt;=A_minev,(1-A_contshrink)*N270+A_contshrink*(I270*G270-1)&gt;0),TRUE),M_Sims!P308=0)</f>
        <v>0</v>
      </c>
      <c r="X270" s="6" t="s">
        <v>1319</v>
      </c>
      <c r="Y270" s="6" t="s">
        <v>1312</v>
      </c>
      <c r="Z270" s="6">
        <v>225</v>
      </c>
      <c r="AA270" s="7" t="str">
        <f t="shared" si="83"/>
        <v>OK - sims match current assumptions</v>
      </c>
      <c r="AB270" s="13" t="s">
        <v>33</v>
      </c>
      <c r="AC270" s="13" t="s">
        <v>33</v>
      </c>
      <c r="AD270" s="13" t="s">
        <v>33</v>
      </c>
      <c r="AE270" s="13" t="s">
        <v>33</v>
      </c>
      <c r="AF270" s="34">
        <f t="shared" si="84"/>
        <v>-3.3322608706034873E-2</v>
      </c>
      <c r="AG270" s="34">
        <f t="shared" si="85"/>
        <v>-8.1775507256759319E-2</v>
      </c>
      <c r="AH270" s="6" t="b">
        <f>AND(W270,I270&gt;=A_t1_fair,((1-A_t1_shrink)*J270+A_t1_shrink*I270)*G270-1&gt;=A_minev,(1-A_t1_shrink)*N270+A_t1_shrink*(I270*G270-1)&gt;0,M_Sims!Q308=1)</f>
        <v>0</v>
      </c>
      <c r="AI270" s="18">
        <f>IF(AH270,M_Sims!R308*A_t1_cap/A_t1_engcap,0)</f>
        <v>0</v>
      </c>
      <c r="AJ270" s="46" t="str">
        <f t="shared" si="86"/>
        <v>-</v>
      </c>
      <c r="AK270" s="7" t="str">
        <f>IF(AH270,M_Sims!S308,"-")</f>
        <v>-</v>
      </c>
      <c r="AL270" s="51">
        <f>M_Sims!M308</f>
        <v>0</v>
      </c>
      <c r="AM270" s="6" t="str">
        <f t="shared" si="87"/>
        <v>-</v>
      </c>
    </row>
    <row r="271" spans="1:39" ht="15" customHeight="1" x14ac:dyDescent="0.3">
      <c r="A271" s="6" t="s">
        <v>284</v>
      </c>
      <c r="B271" s="7" t="str">
        <f>Odds_Input!C234</f>
        <v>Portland Trail Blazers</v>
      </c>
      <c r="C271" s="6" t="s">
        <v>221</v>
      </c>
      <c r="D271" s="7" t="str">
        <f>Odds_Input!D234</f>
        <v>YES</v>
      </c>
      <c r="E271" s="31" t="str">
        <f>Odds_Input!E234</f>
        <v>-</v>
      </c>
      <c r="F271" s="32">
        <f>Odds_Input!F234</f>
        <v>-170</v>
      </c>
      <c r="G271" s="36">
        <f>M_DeVig!H234</f>
        <v>1.5882352941176472</v>
      </c>
      <c r="H271" s="7" t="str">
        <f>Odds_Input!G234</f>
        <v>-</v>
      </c>
      <c r="I271" s="42">
        <f>M_DeVig!Q234</f>
        <v>0.60648148148839409</v>
      </c>
      <c r="J271" s="42">
        <f>IF(A_podef="Bracket",INDEX(M_Sims!$E$15:$E$44,MATCH($C271,M_Sims!$A$15:$A$44,0)),INDEX(M_Sims!$D$15:$D$44,MATCH($C271,M_Sims!$A$15:$A$44,0)))</f>
        <v>0.72260000000000002</v>
      </c>
      <c r="K271" s="43">
        <f t="shared" si="77"/>
        <v>-260.49026676279743</v>
      </c>
      <c r="L271" s="34">
        <f t="shared" si="78"/>
        <v>0.14765882352941184</v>
      </c>
      <c r="M271" s="38">
        <f t="shared" si="79"/>
        <v>11.611851851160592</v>
      </c>
      <c r="N271" s="42">
        <f>IF(A_podef="Bracket",M_Sims!B309,M_Sims!F309)</f>
        <v>0.1041411764705884</v>
      </c>
      <c r="O271" s="42">
        <f>IF(A_podef="Bracket",M_Sims!C309,M_Sims!G309)</f>
        <v>0.1949670588235296</v>
      </c>
      <c r="P271" s="42">
        <f>M_Sims!D309</f>
        <v>1</v>
      </c>
      <c r="Q271" s="34">
        <f t="shared" si="80"/>
        <v>0.664540740744197</v>
      </c>
      <c r="R271" s="18" t="str">
        <f t="shared" si="81"/>
        <v>-</v>
      </c>
      <c r="S271" s="46" t="str">
        <f t="shared" si="82"/>
        <v>-</v>
      </c>
      <c r="T271" s="51" t="str">
        <f>IF(A_tier2_on=1,M_Sims!M309,"-")</f>
        <v>-</v>
      </c>
      <c r="U271" s="46" t="str">
        <f>IF(OR(A_bankroll="",A_tier2_on&lt;&gt;1),"-",MIN(A_maxbet,M_Sims!M309*A_bankroll))</f>
        <v>-</v>
      </c>
      <c r="V271" s="30">
        <f>M_Sims!H309</f>
        <v>1</v>
      </c>
      <c r="W271" s="6" t="b">
        <f>AND(H271&lt;&gt;"IMPUTED_20C_LADDER",L271&gt;=A_minev,N271&gt;0,V271=1,IF(A271="PLAYOFFS",A_poconf=1,TRUE),IF(AND(A271="WINS",A_zs_on=1),AND(AE271&gt;=A_minev,M_Sims!O309&gt;0),TRUE),AF271&gt;=A_minev,AG271&gt;0,IF(I271&lt;A_longthr,(1-A_shrink)*M_Sims!K309+A_shrink*(I271*G271-1)&gt;=A_minev,TRUE),IF(AND(OR(A271="WINS",A271="PLAYOFFS",LEFT(A271,4)="DIV_"),INDEX(Raw_Teams!$F$8:$F$37,MATCH($C271,Raw_Teams!$A$8:$A$37,0))&lt;A_contthr),AND(((1-A_contshrink)*J271+A_contshrink*I271)*G271-1&gt;=A_minev,(1-A_contshrink)*N271+A_contshrink*(I271*G271-1)&gt;0),TRUE),M_Sims!P309=0)</f>
        <v>1</v>
      </c>
      <c r="X271" s="6" t="s">
        <v>1319</v>
      </c>
      <c r="Y271" s="6" t="s">
        <v>1312</v>
      </c>
      <c r="Z271" s="6">
        <v>226</v>
      </c>
      <c r="AA271" s="7" t="str">
        <f t="shared" si="83"/>
        <v>OK - sims match current assumptions</v>
      </c>
      <c r="AB271" s="13" t="s">
        <v>33</v>
      </c>
      <c r="AC271" s="13" t="s">
        <v>33</v>
      </c>
      <c r="AD271" s="13" t="s">
        <v>33</v>
      </c>
      <c r="AE271" s="13" t="s">
        <v>33</v>
      </c>
      <c r="AF271" s="34">
        <f t="shared" si="84"/>
        <v>5.5447058829018792E-2</v>
      </c>
      <c r="AG271" s="34">
        <f t="shared" si="85"/>
        <v>3.3688235299607183E-2</v>
      </c>
      <c r="AH271" s="6" t="b">
        <f>AND(W271,I271&gt;=A_t1_fair,((1-A_t1_shrink)*J271+A_t1_shrink*I271)*G271-1&gt;=A_minev,(1-A_t1_shrink)*N271+A_t1_shrink*(I271*G271-1)&gt;0,M_Sims!Q309=1)</f>
        <v>0</v>
      </c>
      <c r="AI271" s="18">
        <f>IF(AH271,M_Sims!R309*A_t1_cap/A_t1_engcap,0)</f>
        <v>0</v>
      </c>
      <c r="AJ271" s="46" t="str">
        <f t="shared" si="86"/>
        <v>-</v>
      </c>
      <c r="AK271" s="7" t="str">
        <f>IF(AH271,M_Sims!S309,"-")</f>
        <v>-</v>
      </c>
      <c r="AL271" s="51">
        <f>M_Sims!M309</f>
        <v>0</v>
      </c>
      <c r="AM271" s="6" t="str">
        <f t="shared" si="87"/>
        <v>Tier 2</v>
      </c>
    </row>
    <row r="272" spans="1:39" ht="15" customHeight="1" x14ac:dyDescent="0.3">
      <c r="A272" s="6" t="s">
        <v>284</v>
      </c>
      <c r="B272" s="7" t="str">
        <f>Odds_Input!C235</f>
        <v>Portland Trail Blazers</v>
      </c>
      <c r="C272" s="6" t="s">
        <v>221</v>
      </c>
      <c r="D272" s="7" t="str">
        <f>Odds_Input!D235</f>
        <v>NO</v>
      </c>
      <c r="E272" s="31" t="str">
        <f>Odds_Input!E235</f>
        <v>-</v>
      </c>
      <c r="F272" s="32">
        <f>Odds_Input!F235</f>
        <v>140</v>
      </c>
      <c r="G272" s="36">
        <f>M_DeVig!H235</f>
        <v>2.4</v>
      </c>
      <c r="H272" s="7" t="str">
        <f>Odds_Input!G235</f>
        <v>-</v>
      </c>
      <c r="I272" s="42">
        <f>M_DeVig!Q235</f>
        <v>0.39351851852895431</v>
      </c>
      <c r="J272" s="42">
        <f>1-(IF(A_podef="Bracket",INDEX(M_Sims!$E$15:$E$44,MATCH($C272,M_Sims!$A$15:$A$44,0)),INDEX(M_Sims!$D$15:$D$44,MATCH($C272,M_Sims!$A$15:$A$44,0))))</f>
        <v>0.27739999999999998</v>
      </c>
      <c r="K272" s="43">
        <f t="shared" si="77"/>
        <v>260.49026676279743</v>
      </c>
      <c r="L272" s="34">
        <f t="shared" si="78"/>
        <v>-0.33424000000000009</v>
      </c>
      <c r="M272" s="38">
        <f t="shared" si="79"/>
        <v>-11.611851852895432</v>
      </c>
      <c r="N272" s="42">
        <f>IF(A_podef="Bracket",M_Sims!B310,M_Sims!F310)</f>
        <v>-0.40572800000000009</v>
      </c>
      <c r="O272" s="42">
        <f>IF(A_podef="Bracket",M_Sims!C310,M_Sims!G310)</f>
        <v>-0.26848000000000011</v>
      </c>
      <c r="P272" s="42">
        <f>M_Sims!D310</f>
        <v>0</v>
      </c>
      <c r="Q272" s="34">
        <f t="shared" si="80"/>
        <v>0.33545925926447717</v>
      </c>
      <c r="R272" s="18" t="str">
        <f t="shared" si="81"/>
        <v>-</v>
      </c>
      <c r="S272" s="46" t="str">
        <f t="shared" si="82"/>
        <v>-</v>
      </c>
      <c r="T272" s="51" t="str">
        <f>IF(A_tier2_on=1,M_Sims!M310,"-")</f>
        <v>-</v>
      </c>
      <c r="U272" s="46" t="str">
        <f>IF(OR(A_bankroll="",A_tier2_on&lt;&gt;1),"-",MIN(A_maxbet,M_Sims!M310*A_bankroll))</f>
        <v>-</v>
      </c>
      <c r="V272" s="30">
        <f>M_Sims!H310</f>
        <v>1</v>
      </c>
      <c r="W272" s="6" t="b">
        <f>AND(H272&lt;&gt;"IMPUTED_20C_LADDER",L272&gt;=A_minev,N272&gt;0,V272=1,IF(A272="PLAYOFFS",A_poconf=1,TRUE),IF(AND(A272="WINS",A_zs_on=1),AND(AE272&gt;=A_minev,M_Sims!O310&gt;0),TRUE),AF272&gt;=A_minev,AG272&gt;0,IF(I272&lt;A_longthr,(1-A_shrink)*M_Sims!K310+A_shrink*(I272*G272-1)&gt;=A_minev,TRUE),IF(AND(OR(A272="WINS",A272="PLAYOFFS",LEFT(A272,4)="DIV_"),INDEX(Raw_Teams!$F$8:$F$37,MATCH($C272,Raw_Teams!$A$8:$A$37,0))&lt;A_contthr),AND(((1-A_contshrink)*J272+A_contshrink*I272)*G272-1&gt;=A_minev,(1-A_contshrink)*N272+A_contshrink*(I272*G272-1)&gt;0),TRUE),M_Sims!P310=0)</f>
        <v>0</v>
      </c>
      <c r="X272" s="6" t="s">
        <v>1319</v>
      </c>
      <c r="Y272" s="6" t="s">
        <v>1312</v>
      </c>
      <c r="Z272" s="6">
        <v>227</v>
      </c>
      <c r="AA272" s="7" t="str">
        <f t="shared" si="83"/>
        <v>OK - sims match current assumptions</v>
      </c>
      <c r="AB272" s="13" t="s">
        <v>33</v>
      </c>
      <c r="AC272" s="13" t="s">
        <v>33</v>
      </c>
      <c r="AD272" s="13" t="s">
        <v>33</v>
      </c>
      <c r="AE272" s="13" t="s">
        <v>33</v>
      </c>
      <c r="AF272" s="34">
        <f t="shared" si="84"/>
        <v>-0.19489777776525485</v>
      </c>
      <c r="AG272" s="34">
        <f t="shared" si="85"/>
        <v>-0.23064177776525491</v>
      </c>
      <c r="AH272" s="6" t="b">
        <f>AND(W272,I272&gt;=A_t1_fair,((1-A_t1_shrink)*J272+A_t1_shrink*I272)*G272-1&gt;=A_minev,(1-A_t1_shrink)*N272+A_t1_shrink*(I272*G272-1)&gt;0,M_Sims!Q310=1)</f>
        <v>0</v>
      </c>
      <c r="AI272" s="18">
        <f>IF(AH272,M_Sims!R310*A_t1_cap/A_t1_engcap,0)</f>
        <v>0</v>
      </c>
      <c r="AJ272" s="46" t="str">
        <f t="shared" si="86"/>
        <v>-</v>
      </c>
      <c r="AK272" s="7" t="str">
        <f>IF(AH272,M_Sims!S310,"-")</f>
        <v>-</v>
      </c>
      <c r="AL272" s="51">
        <f>M_Sims!M310</f>
        <v>0</v>
      </c>
      <c r="AM272" s="6" t="str">
        <f t="shared" si="87"/>
        <v>-</v>
      </c>
    </row>
    <row r="273" spans="1:39" ht="15" customHeight="1" x14ac:dyDescent="0.3">
      <c r="A273" s="6" t="s">
        <v>284</v>
      </c>
      <c r="B273" s="7" t="str">
        <f>Odds_Input!C236</f>
        <v>Sacramento Kings</v>
      </c>
      <c r="C273" s="6" t="s">
        <v>222</v>
      </c>
      <c r="D273" s="7" t="str">
        <f>Odds_Input!D236</f>
        <v>YES</v>
      </c>
      <c r="E273" s="31" t="str">
        <f>Odds_Input!E236</f>
        <v>-</v>
      </c>
      <c r="F273" s="32">
        <f>Odds_Input!F236</f>
        <v>2350</v>
      </c>
      <c r="G273" s="36">
        <f>M_DeVig!H236</f>
        <v>24.5</v>
      </c>
      <c r="H273" s="7" t="str">
        <f>Odds_Input!G236</f>
        <v>-</v>
      </c>
      <c r="I273" s="42">
        <f>M_DeVig!Q236</f>
        <v>2.5358658343993833E-2</v>
      </c>
      <c r="J273" s="42">
        <f>IF(A_podef="Bracket",INDEX(M_Sims!$E$15:$E$44,MATCH($C273,M_Sims!$A$15:$A$44,0)),INDEX(M_Sims!$D$15:$D$44,MATCH($C273,M_Sims!$A$15:$A$44,0)))</f>
        <v>3.0349999999999999E-2</v>
      </c>
      <c r="K273" s="43">
        <f t="shared" si="77"/>
        <v>3194.892915980231</v>
      </c>
      <c r="L273" s="34">
        <f t="shared" si="78"/>
        <v>-0.25642500000000001</v>
      </c>
      <c r="M273" s="38">
        <f t="shared" si="79"/>
        <v>0.49913416560061658</v>
      </c>
      <c r="N273" s="42">
        <f>IF(A_podef="Bracket",M_Sims!B311,M_Sims!F311)</f>
        <v>-0.58268333333333344</v>
      </c>
      <c r="O273" s="42">
        <f>IF(A_podef="Bracket",M_Sims!C311,M_Sims!G311)</f>
        <v>0.25831999999999999</v>
      </c>
      <c r="P273" s="42">
        <f>M_Sims!D311</f>
        <v>0.2</v>
      </c>
      <c r="Q273" s="34">
        <f t="shared" si="80"/>
        <v>2.7854329171996914E-2</v>
      </c>
      <c r="R273" s="18" t="str">
        <f t="shared" si="81"/>
        <v>-</v>
      </c>
      <c r="S273" s="46" t="str">
        <f t="shared" si="82"/>
        <v>-</v>
      </c>
      <c r="T273" s="51" t="str">
        <f>IF(A_tier2_on=1,M_Sims!M311,"-")</f>
        <v>-</v>
      </c>
      <c r="U273" s="46" t="str">
        <f>IF(OR(A_bankroll="",A_tier2_on&lt;&gt;1),"-",MIN(A_maxbet,M_Sims!M311*A_bankroll))</f>
        <v>-</v>
      </c>
      <c r="V273" s="30">
        <f>M_Sims!H311</f>
        <v>0</v>
      </c>
      <c r="W273" s="6" t="b">
        <f>AND(H273&lt;&gt;"IMPUTED_20C_LADDER",L273&gt;=A_minev,N273&gt;0,V273=1,IF(A273="PLAYOFFS",A_poconf=1,TRUE),IF(AND(A273="WINS",A_zs_on=1),AND(AE273&gt;=A_minev,M_Sims!O311&gt;0),TRUE),AF273&gt;=A_minev,AG273&gt;0,IF(I273&lt;A_longthr,(1-A_shrink)*M_Sims!K311+A_shrink*(I273*G273-1)&gt;=A_minev,TRUE),IF(AND(OR(A273="WINS",A273="PLAYOFFS",LEFT(A273,4)="DIV_"),INDEX(Raw_Teams!$F$8:$F$37,MATCH($C273,Raw_Teams!$A$8:$A$37,0))&lt;A_contthr),AND(((1-A_contshrink)*J273+A_contshrink*I273)*G273-1&gt;=A_minev,(1-A_contshrink)*N273+A_contshrink*(I273*G273-1)&gt;0),TRUE),M_Sims!P311=0)</f>
        <v>0</v>
      </c>
      <c r="X273" s="6" t="s">
        <v>1320</v>
      </c>
      <c r="Y273" s="6" t="s">
        <v>1312</v>
      </c>
      <c r="Z273" s="6">
        <v>228</v>
      </c>
      <c r="AA273" s="7" t="str">
        <f t="shared" si="83"/>
        <v>OK - sims match current assumptions</v>
      </c>
      <c r="AB273" s="13" t="s">
        <v>33</v>
      </c>
      <c r="AC273" s="13" t="s">
        <v>33</v>
      </c>
      <c r="AD273" s="13" t="s">
        <v>33</v>
      </c>
      <c r="AE273" s="13" t="s">
        <v>33</v>
      </c>
      <c r="AF273" s="34">
        <f t="shared" si="84"/>
        <v>-0.31756893528607566</v>
      </c>
      <c r="AG273" s="34">
        <f t="shared" si="85"/>
        <v>-0.48069810195274226</v>
      </c>
      <c r="AH273" s="6" t="b">
        <f>AND(W273,I273&gt;=A_t1_fair,((1-A_t1_shrink)*J273+A_t1_shrink*I273)*G273-1&gt;=A_minev,(1-A_t1_shrink)*N273+A_t1_shrink*(I273*G273-1)&gt;0,M_Sims!Q311=1)</f>
        <v>0</v>
      </c>
      <c r="AI273" s="18">
        <f>IF(AH273,M_Sims!R311*A_t1_cap/A_t1_engcap,0)</f>
        <v>0</v>
      </c>
      <c r="AJ273" s="46" t="str">
        <f t="shared" si="86"/>
        <v>-</v>
      </c>
      <c r="AK273" s="7" t="str">
        <f>IF(AH273,M_Sims!S311,"-")</f>
        <v>-</v>
      </c>
      <c r="AL273" s="51">
        <f>M_Sims!M311</f>
        <v>0</v>
      </c>
      <c r="AM273" s="6" t="str">
        <f t="shared" si="87"/>
        <v>-</v>
      </c>
    </row>
    <row r="274" spans="1:39" ht="15" customHeight="1" x14ac:dyDescent="0.3">
      <c r="A274" s="6" t="s">
        <v>284</v>
      </c>
      <c r="B274" s="7" t="str">
        <f>Odds_Input!C237</f>
        <v>Sacramento Kings</v>
      </c>
      <c r="C274" s="6" t="s">
        <v>222</v>
      </c>
      <c r="D274" s="7" t="str">
        <f>Odds_Input!D237</f>
        <v>NO</v>
      </c>
      <c r="E274" s="31" t="str">
        <f>Odds_Input!E237</f>
        <v>-</v>
      </c>
      <c r="F274" s="32">
        <f>Odds_Input!F237</f>
        <v>-10000</v>
      </c>
      <c r="G274" s="36">
        <f>M_DeVig!H237</f>
        <v>1.01</v>
      </c>
      <c r="H274" s="7" t="str">
        <f>Odds_Input!G237</f>
        <v>-</v>
      </c>
      <c r="I274" s="42">
        <f>M_DeVig!Q237</f>
        <v>0.97464134168653338</v>
      </c>
      <c r="J274" s="42">
        <f>1-(IF(A_podef="Bracket",INDEX(M_Sims!$E$15:$E$44,MATCH($C274,M_Sims!$A$15:$A$44,0)),INDEX(M_Sims!$D$15:$D$44,MATCH($C274,M_Sims!$A$15:$A$44,0))))</f>
        <v>0.96965000000000001</v>
      </c>
      <c r="K274" s="43">
        <f t="shared" si="77"/>
        <v>-3194.8929159802319</v>
      </c>
      <c r="L274" s="34">
        <f t="shared" si="78"/>
        <v>-2.0653499999999991E-2</v>
      </c>
      <c r="M274" s="38">
        <f t="shared" si="79"/>
        <v>-0.49913416865333682</v>
      </c>
      <c r="N274" s="42">
        <f>IF(A_podef="Bracket",M_Sims!B312,M_Sims!F312)</f>
        <v>-4.18735999999999E-2</v>
      </c>
      <c r="O274" s="42">
        <f>IF(A_podef="Bracket",M_Sims!C312,M_Sims!G312)</f>
        <v>-7.2036666666665996E-3</v>
      </c>
      <c r="P274" s="42">
        <f>M_Sims!D312</f>
        <v>1.6666666666666601E-2</v>
      </c>
      <c r="Q274" s="34">
        <f t="shared" si="80"/>
        <v>0.97214567084326675</v>
      </c>
      <c r="R274" s="18" t="str">
        <f t="shared" si="81"/>
        <v>-</v>
      </c>
      <c r="S274" s="46" t="str">
        <f t="shared" si="82"/>
        <v>-</v>
      </c>
      <c r="T274" s="51" t="str">
        <f>IF(A_tier2_on=1,M_Sims!M312,"-")</f>
        <v>-</v>
      </c>
      <c r="U274" s="46" t="str">
        <f>IF(OR(A_bankroll="",A_tier2_on&lt;&gt;1),"-",MIN(A_maxbet,M_Sims!M312*A_bankroll))</f>
        <v>-</v>
      </c>
      <c r="V274" s="30">
        <f>M_Sims!H312</f>
        <v>0</v>
      </c>
      <c r="W274" s="6" t="b">
        <f>AND(H274&lt;&gt;"IMPUTED_20C_LADDER",L274&gt;=A_minev,N274&gt;0,V274=1,IF(A274="PLAYOFFS",A_poconf=1,TRUE),IF(AND(A274="WINS",A_zs_on=1),AND(AE274&gt;=A_minev,M_Sims!O312&gt;0),TRUE),AF274&gt;=A_minev,AG274&gt;0,IF(I274&lt;A_longthr,(1-A_shrink)*M_Sims!K312+A_shrink*(I274*G274-1)&gt;=A_minev,TRUE),IF(AND(OR(A274="WINS",A274="PLAYOFFS",LEFT(A274,4)="DIV_"),INDEX(Raw_Teams!$F$8:$F$37,MATCH($C274,Raw_Teams!$A$8:$A$37,0))&lt;A_contthr),AND(((1-A_contshrink)*J274+A_contshrink*I274)*G274-1&gt;=A_minev,(1-A_contshrink)*N274+A_contshrink*(I274*G274-1)&gt;0),TRUE),M_Sims!P312=0)</f>
        <v>0</v>
      </c>
      <c r="X274" s="6" t="s">
        <v>1320</v>
      </c>
      <c r="Y274" s="6" t="s">
        <v>1312</v>
      </c>
      <c r="Z274" s="6">
        <v>229</v>
      </c>
      <c r="AA274" s="7" t="str">
        <f t="shared" si="83"/>
        <v>OK - sims match current assumptions</v>
      </c>
      <c r="AB274" s="13" t="s">
        <v>33</v>
      </c>
      <c r="AC274" s="13" t="s">
        <v>33</v>
      </c>
      <c r="AD274" s="13" t="s">
        <v>33</v>
      </c>
      <c r="AE274" s="13" t="s">
        <v>33</v>
      </c>
      <c r="AF274" s="34">
        <f t="shared" si="84"/>
        <v>-1.813287244830053E-2</v>
      </c>
      <c r="AG274" s="34">
        <f t="shared" si="85"/>
        <v>-2.8742922448300595E-2</v>
      </c>
      <c r="AH274" s="6" t="b">
        <f>AND(W274,I274&gt;=A_t1_fair,((1-A_t1_shrink)*J274+A_t1_shrink*I274)*G274-1&gt;=A_minev,(1-A_t1_shrink)*N274+A_t1_shrink*(I274*G274-1)&gt;0,M_Sims!Q312=1)</f>
        <v>0</v>
      </c>
      <c r="AI274" s="18">
        <f>IF(AH274,M_Sims!R312*A_t1_cap/A_t1_engcap,0)</f>
        <v>0</v>
      </c>
      <c r="AJ274" s="46" t="str">
        <f t="shared" si="86"/>
        <v>-</v>
      </c>
      <c r="AK274" s="7" t="str">
        <f>IF(AH274,M_Sims!S312,"-")</f>
        <v>-</v>
      </c>
      <c r="AL274" s="51">
        <f>M_Sims!M312</f>
        <v>0</v>
      </c>
      <c r="AM274" s="6" t="str">
        <f t="shared" si="87"/>
        <v>-</v>
      </c>
    </row>
    <row r="275" spans="1:39" ht="15" customHeight="1" x14ac:dyDescent="0.3">
      <c r="A275" s="6" t="s">
        <v>284</v>
      </c>
      <c r="B275" s="7" t="str">
        <f>Odds_Input!C238</f>
        <v>Cleveland Cavaliers</v>
      </c>
      <c r="C275" s="6" t="s">
        <v>202</v>
      </c>
      <c r="D275" s="7" t="str">
        <f>Odds_Input!D238</f>
        <v>YES</v>
      </c>
      <c r="E275" s="31" t="str">
        <f>Odds_Input!E238</f>
        <v>-</v>
      </c>
      <c r="F275" s="32">
        <f>Odds_Input!F238</f>
        <v>-550</v>
      </c>
      <c r="G275" s="36">
        <f>M_DeVig!H238</f>
        <v>1.1818181818181819</v>
      </c>
      <c r="H275" s="7" t="str">
        <f>Odds_Input!G238</f>
        <v>-</v>
      </c>
      <c r="I275" s="42">
        <f>M_DeVig!Q238</f>
        <v>0.81781376517646998</v>
      </c>
      <c r="J275" s="42">
        <f>IF(A_podef="Bracket",INDEX(M_Sims!$E$15:$E$44,MATCH($C275,M_Sims!$A$15:$A$44,0)),INDEX(M_Sims!$D$15:$D$44,MATCH($C275,M_Sims!$A$15:$A$44,0)))</f>
        <v>0.78078000000000003</v>
      </c>
      <c r="K275" s="43">
        <f t="shared" si="77"/>
        <v>-356.16275887236571</v>
      </c>
      <c r="L275" s="34">
        <f t="shared" si="78"/>
        <v>-7.7259999999999884E-2</v>
      </c>
      <c r="M275" s="38">
        <f t="shared" si="79"/>
        <v>-3.7033765176469946</v>
      </c>
      <c r="N275" s="42">
        <f>IF(A_podef="Bracket",M_Sims!B313,M_Sims!F313)</f>
        <v>-0.1213181818181817</v>
      </c>
      <c r="O275" s="42">
        <f>IF(A_podef="Bracket",M_Sims!C313,M_Sims!G313)</f>
        <v>-4.8210909090908999E-2</v>
      </c>
      <c r="P275" s="42">
        <f>M_Sims!D313</f>
        <v>0</v>
      </c>
      <c r="Q275" s="34">
        <f t="shared" si="80"/>
        <v>0.79929688258823495</v>
      </c>
      <c r="R275" s="18" t="str">
        <f t="shared" si="81"/>
        <v>-</v>
      </c>
      <c r="S275" s="46" t="str">
        <f t="shared" si="82"/>
        <v>-</v>
      </c>
      <c r="T275" s="51" t="str">
        <f>IF(A_tier2_on=1,M_Sims!M313,"-")</f>
        <v>-</v>
      </c>
      <c r="U275" s="46" t="str">
        <f>IF(OR(A_bankroll="",A_tier2_on&lt;&gt;1),"-",MIN(A_maxbet,M_Sims!M313*A_bankroll))</f>
        <v>-</v>
      </c>
      <c r="V275" s="30">
        <f>M_Sims!H313</f>
        <v>1</v>
      </c>
      <c r="W275" s="6" t="b">
        <f>AND(H275&lt;&gt;"IMPUTED_20C_LADDER",L275&gt;=A_minev,N275&gt;0,V275=1,IF(A275="PLAYOFFS",A_poconf=1,TRUE),IF(AND(A275="WINS",A_zs_on=1),AND(AE275&gt;=A_minev,M_Sims!O313&gt;0),TRUE),AF275&gt;=A_minev,AG275&gt;0,IF(I275&lt;A_longthr,(1-A_shrink)*M_Sims!K313+A_shrink*(I275*G275-1)&gt;=A_minev,TRUE),IF(AND(OR(A275="WINS",A275="PLAYOFFS",LEFT(A275,4)="DIV_"),INDEX(Raw_Teams!$F$8:$F$37,MATCH($C275,Raw_Teams!$A$8:$A$37,0))&lt;A_contthr),AND(((1-A_contshrink)*J275+A_contshrink*I275)*G275-1&gt;=A_minev,(1-A_contshrink)*N275+A_contshrink*(I275*G275-1)&gt;0),TRUE),M_Sims!P313=0)</f>
        <v>0</v>
      </c>
      <c r="X275" s="6" t="s">
        <v>1321</v>
      </c>
      <c r="Y275" s="6" t="s">
        <v>1312</v>
      </c>
      <c r="Z275" s="6">
        <v>230</v>
      </c>
      <c r="AA275" s="7" t="str">
        <f t="shared" si="83"/>
        <v>OK - sims match current assumptions</v>
      </c>
      <c r="AB275" s="13" t="s">
        <v>33</v>
      </c>
      <c r="AC275" s="13" t="s">
        <v>33</v>
      </c>
      <c r="AD275" s="13" t="s">
        <v>33</v>
      </c>
      <c r="AE275" s="13" t="s">
        <v>33</v>
      </c>
      <c r="AF275" s="34">
        <f t="shared" si="84"/>
        <v>-5.5376411486631416E-2</v>
      </c>
      <c r="AG275" s="34">
        <f t="shared" si="85"/>
        <v>-7.740550239572222E-2</v>
      </c>
      <c r="AH275" s="6" t="b">
        <f>AND(W275,I275&gt;=A_t1_fair,((1-A_t1_shrink)*J275+A_t1_shrink*I275)*G275-1&gt;=A_minev,(1-A_t1_shrink)*N275+A_t1_shrink*(I275*G275-1)&gt;0,M_Sims!Q313=1)</f>
        <v>0</v>
      </c>
      <c r="AI275" s="18">
        <f>IF(AH275,M_Sims!R313*A_t1_cap/A_t1_engcap,0)</f>
        <v>0</v>
      </c>
      <c r="AJ275" s="46" t="str">
        <f t="shared" si="86"/>
        <v>-</v>
      </c>
      <c r="AK275" s="7" t="str">
        <f>IF(AH275,M_Sims!S313,"-")</f>
        <v>-</v>
      </c>
      <c r="AL275" s="51">
        <f>M_Sims!M313</f>
        <v>0</v>
      </c>
      <c r="AM275" s="6" t="str">
        <f t="shared" si="87"/>
        <v>-</v>
      </c>
    </row>
    <row r="276" spans="1:39" ht="15" customHeight="1" x14ac:dyDescent="0.3">
      <c r="A276" s="6" t="s">
        <v>284</v>
      </c>
      <c r="B276" s="7" t="str">
        <f>Odds_Input!C239</f>
        <v>Cleveland Cavaliers</v>
      </c>
      <c r="C276" s="6" t="s">
        <v>202</v>
      </c>
      <c r="D276" s="7" t="str">
        <f>Odds_Input!D239</f>
        <v>NO</v>
      </c>
      <c r="E276" s="31" t="str">
        <f>Odds_Input!E239</f>
        <v>-</v>
      </c>
      <c r="F276" s="32">
        <f>Odds_Input!F239</f>
        <v>375</v>
      </c>
      <c r="G276" s="36">
        <f>M_DeVig!H239</f>
        <v>4.75</v>
      </c>
      <c r="H276" s="7" t="str">
        <f>Odds_Input!G239</f>
        <v>-</v>
      </c>
      <c r="I276" s="42">
        <f>M_DeVig!Q239</f>
        <v>0.18218623479507012</v>
      </c>
      <c r="J276" s="42">
        <f>1-(IF(A_podef="Bracket",INDEX(M_Sims!$E$15:$E$44,MATCH($C276,M_Sims!$A$15:$A$44,0)),INDEX(M_Sims!$D$15:$D$44,MATCH($C276,M_Sims!$A$15:$A$44,0))))</f>
        <v>0.21921999999999997</v>
      </c>
      <c r="K276" s="43">
        <f t="shared" si="77"/>
        <v>356.16275887236571</v>
      </c>
      <c r="L276" s="34">
        <f t="shared" si="78"/>
        <v>4.129499999999986E-2</v>
      </c>
      <c r="M276" s="38">
        <f t="shared" si="79"/>
        <v>3.7033765204929847</v>
      </c>
      <c r="N276" s="42">
        <f>IF(A_podef="Bracket",M_Sims!B314,M_Sims!F314)</f>
        <v>-7.5460000000000096E-2</v>
      </c>
      <c r="O276" s="42">
        <f>IF(A_podef="Bracket",M_Sims!C314,M_Sims!G314)</f>
        <v>0.21837499999999979</v>
      </c>
      <c r="P276" s="42">
        <f>M_Sims!D314</f>
        <v>0.68333333333333335</v>
      </c>
      <c r="Q276" s="34">
        <f t="shared" si="80"/>
        <v>0.20070311739753505</v>
      </c>
      <c r="R276" s="18" t="str">
        <f t="shared" si="81"/>
        <v>-</v>
      </c>
      <c r="S276" s="46" t="str">
        <f t="shared" si="82"/>
        <v>-</v>
      </c>
      <c r="T276" s="51" t="str">
        <f>IF(A_tier2_on=1,M_Sims!M314,"-")</f>
        <v>-</v>
      </c>
      <c r="U276" s="46" t="str">
        <f>IF(OR(A_bankroll="",A_tier2_on&lt;&gt;1),"-",MIN(A_maxbet,M_Sims!M314*A_bankroll))</f>
        <v>-</v>
      </c>
      <c r="V276" s="30">
        <f>M_Sims!H314</f>
        <v>1</v>
      </c>
      <c r="W276" s="6" t="b">
        <f>AND(H276&lt;&gt;"IMPUTED_20C_LADDER",L276&gt;=A_minev,N276&gt;0,V276=1,IF(A276="PLAYOFFS",A_poconf=1,TRUE),IF(AND(A276="WINS",A_zs_on=1),AND(AE276&gt;=A_minev,M_Sims!O314&gt;0),TRUE),AF276&gt;=A_minev,AG276&gt;0,IF(I276&lt;A_longthr,(1-A_shrink)*M_Sims!K314+A_shrink*(I276*G276-1)&gt;=A_minev,TRUE),IF(AND(OR(A276="WINS",A276="PLAYOFFS",LEFT(A276,4)="DIV_"),INDEX(Raw_Teams!$F$8:$F$37,MATCH($C276,Raw_Teams!$A$8:$A$37,0))&lt;A_contthr),AND(((1-A_contshrink)*J276+A_contshrink*I276)*G276-1&gt;=A_minev,(1-A_contshrink)*N276+A_contshrink*(I276*G276-1)&gt;0),TRUE),M_Sims!P314=0)</f>
        <v>0</v>
      </c>
      <c r="X276" s="6" t="s">
        <v>1321</v>
      </c>
      <c r="Y276" s="6" t="s">
        <v>1312</v>
      </c>
      <c r="Z276" s="6">
        <v>231</v>
      </c>
      <c r="AA276" s="7" t="str">
        <f t="shared" si="83"/>
        <v>OK - sims match current assumptions</v>
      </c>
      <c r="AB276" s="13" t="s">
        <v>33</v>
      </c>
      <c r="AC276" s="13" t="s">
        <v>33</v>
      </c>
      <c r="AD276" s="13" t="s">
        <v>33</v>
      </c>
      <c r="AE276" s="13" t="s">
        <v>33</v>
      </c>
      <c r="AF276" s="34">
        <f t="shared" si="84"/>
        <v>-4.6660192361708486E-2</v>
      </c>
      <c r="AG276" s="34">
        <f t="shared" si="85"/>
        <v>-0.10503769236170851</v>
      </c>
      <c r="AH276" s="6" t="b">
        <f>AND(W276,I276&gt;=A_t1_fair,((1-A_t1_shrink)*J276+A_t1_shrink*I276)*G276-1&gt;=A_minev,(1-A_t1_shrink)*N276+A_t1_shrink*(I276*G276-1)&gt;0,M_Sims!Q314=1)</f>
        <v>0</v>
      </c>
      <c r="AI276" s="18">
        <f>IF(AH276,M_Sims!R314*A_t1_cap/A_t1_engcap,0)</f>
        <v>0</v>
      </c>
      <c r="AJ276" s="46" t="str">
        <f t="shared" si="86"/>
        <v>-</v>
      </c>
      <c r="AK276" s="7" t="str">
        <f>IF(AH276,M_Sims!S314,"-")</f>
        <v>-</v>
      </c>
      <c r="AL276" s="51">
        <f>M_Sims!M314</f>
        <v>0</v>
      </c>
      <c r="AM276" s="6" t="str">
        <f t="shared" si="87"/>
        <v>-</v>
      </c>
    </row>
    <row r="277" spans="1:39" ht="15" customHeight="1" x14ac:dyDescent="0.3">
      <c r="A277" s="6" t="s">
        <v>284</v>
      </c>
      <c r="B277" s="7" t="str">
        <f>Odds_Input!C240</f>
        <v>Denver Nuggets</v>
      </c>
      <c r="C277" s="6" t="s">
        <v>204</v>
      </c>
      <c r="D277" s="7" t="str">
        <f>Odds_Input!D240</f>
        <v>YES</v>
      </c>
      <c r="E277" s="31" t="str">
        <f>Odds_Input!E240</f>
        <v>-</v>
      </c>
      <c r="F277" s="32">
        <f>Odds_Input!F240</f>
        <v>-875</v>
      </c>
      <c r="G277" s="36">
        <f>M_DeVig!H240</f>
        <v>1.1142857142857143</v>
      </c>
      <c r="H277" s="7" t="str">
        <f>Odds_Input!G240</f>
        <v>-</v>
      </c>
      <c r="I277" s="42">
        <f>M_DeVig!Q240</f>
        <v>0.86176142698555536</v>
      </c>
      <c r="J277" s="42">
        <f>IF(A_podef="Bracket",INDEX(M_Sims!$E$15:$E$44,MATCH($C277,M_Sims!$A$15:$A$44,0)),INDEX(M_Sims!$D$15:$D$44,MATCH($C277,M_Sims!$A$15:$A$44,0)))</f>
        <v>0.77651000000000003</v>
      </c>
      <c r="K277" s="43">
        <f t="shared" si="77"/>
        <v>-347.44731307888509</v>
      </c>
      <c r="L277" s="34">
        <f t="shared" si="78"/>
        <v>-0.13474599999999992</v>
      </c>
      <c r="M277" s="38">
        <f t="shared" si="79"/>
        <v>-8.5251426985555323</v>
      </c>
      <c r="N277" s="42">
        <f>IF(A_podef="Bracket",M_Sims!B315,M_Sims!F315)</f>
        <v>-0.21428742857142849</v>
      </c>
      <c r="O277" s="42">
        <f>IF(A_podef="Bracket",M_Sims!C315,M_Sims!G315)</f>
        <v>-8.5639428571428394E-2</v>
      </c>
      <c r="P277" s="42">
        <f>M_Sims!D315</f>
        <v>0</v>
      </c>
      <c r="Q277" s="34">
        <f t="shared" si="80"/>
        <v>0.8191357134927777</v>
      </c>
      <c r="R277" s="18" t="str">
        <f t="shared" si="81"/>
        <v>-</v>
      </c>
      <c r="S277" s="46" t="str">
        <f t="shared" si="82"/>
        <v>-</v>
      </c>
      <c r="T277" s="51" t="str">
        <f>IF(A_tier2_on=1,M_Sims!M315,"-")</f>
        <v>-</v>
      </c>
      <c r="U277" s="46" t="str">
        <f>IF(OR(A_bankroll="",A_tier2_on&lt;&gt;1),"-",MIN(A_maxbet,M_Sims!M315*A_bankroll))</f>
        <v>-</v>
      </c>
      <c r="V277" s="30">
        <f>M_Sims!H315</f>
        <v>1</v>
      </c>
      <c r="W277" s="6" t="b">
        <f>AND(H277&lt;&gt;"IMPUTED_20C_LADDER",L277&gt;=A_minev,N277&gt;0,V277=1,IF(A277="PLAYOFFS",A_poconf=1,TRUE),IF(AND(A277="WINS",A_zs_on=1),AND(AE277&gt;=A_minev,M_Sims!O315&gt;0),TRUE),AF277&gt;=A_minev,AG277&gt;0,IF(I277&lt;A_longthr,(1-A_shrink)*M_Sims!K315+A_shrink*(I277*G277-1)&gt;=A_minev,TRUE),IF(AND(OR(A277="WINS",A277="PLAYOFFS",LEFT(A277,4)="DIV_"),INDEX(Raw_Teams!$F$8:$F$37,MATCH($C277,Raw_Teams!$A$8:$A$37,0))&lt;A_contthr),AND(((1-A_contshrink)*J277+A_contshrink*I277)*G277-1&gt;=A_minev,(1-A_contshrink)*N277+A_contshrink*(I277*G277-1)&gt;0),TRUE),M_Sims!P315=0)</f>
        <v>0</v>
      </c>
      <c r="X277" s="6" t="s">
        <v>1322</v>
      </c>
      <c r="Y277" s="6" t="s">
        <v>1312</v>
      </c>
      <c r="Z277" s="6">
        <v>232</v>
      </c>
      <c r="AA277" s="7" t="str">
        <f t="shared" si="83"/>
        <v>OK - sims match current assumptions</v>
      </c>
      <c r="AB277" s="13" t="s">
        <v>33</v>
      </c>
      <c r="AC277" s="13" t="s">
        <v>33</v>
      </c>
      <c r="AD277" s="13" t="s">
        <v>33</v>
      </c>
      <c r="AE277" s="13" t="s">
        <v>33</v>
      </c>
      <c r="AF277" s="34">
        <f t="shared" si="84"/>
        <v>-8.724877639376194E-2</v>
      </c>
      <c r="AG277" s="34">
        <f t="shared" si="85"/>
        <v>-0.12701949067947621</v>
      </c>
      <c r="AH277" s="6" t="b">
        <f>AND(W277,I277&gt;=A_t1_fair,((1-A_t1_shrink)*J277+A_t1_shrink*I277)*G277-1&gt;=A_minev,(1-A_t1_shrink)*N277+A_t1_shrink*(I277*G277-1)&gt;0,M_Sims!Q315=1)</f>
        <v>0</v>
      </c>
      <c r="AI277" s="18">
        <f>IF(AH277,M_Sims!R315*A_t1_cap/A_t1_engcap,0)</f>
        <v>0</v>
      </c>
      <c r="AJ277" s="46" t="str">
        <f t="shared" si="86"/>
        <v>-</v>
      </c>
      <c r="AK277" s="7" t="str">
        <f>IF(AH277,M_Sims!S315,"-")</f>
        <v>-</v>
      </c>
      <c r="AL277" s="51">
        <f>M_Sims!M315</f>
        <v>0</v>
      </c>
      <c r="AM277" s="6" t="str">
        <f t="shared" si="87"/>
        <v>-</v>
      </c>
    </row>
    <row r="278" spans="1:39" ht="15" customHeight="1" x14ac:dyDescent="0.3">
      <c r="A278" s="6" t="s">
        <v>284</v>
      </c>
      <c r="B278" s="7" t="str">
        <f>Odds_Input!C241</f>
        <v>Denver Nuggets</v>
      </c>
      <c r="C278" s="6" t="s">
        <v>204</v>
      </c>
      <c r="D278" s="7" t="str">
        <f>Odds_Input!D241</f>
        <v>NO</v>
      </c>
      <c r="E278" s="31" t="str">
        <f>Odds_Input!E241</f>
        <v>-</v>
      </c>
      <c r="F278" s="32">
        <f>Odds_Input!F241</f>
        <v>475</v>
      </c>
      <c r="G278" s="36">
        <f>M_DeVig!H241</f>
        <v>5.75</v>
      </c>
      <c r="H278" s="7" t="str">
        <f>Odds_Input!G241</f>
        <v>-</v>
      </c>
      <c r="I278" s="42">
        <f>M_DeVig!Q241</f>
        <v>0.13823857305504472</v>
      </c>
      <c r="J278" s="42">
        <f>1-(IF(A_podef="Bracket",INDEX(M_Sims!$E$15:$E$44,MATCH($C278,M_Sims!$A$15:$A$44,0)),INDEX(M_Sims!$D$15:$D$44,MATCH($C278,M_Sims!$A$15:$A$44,0))))</f>
        <v>0.22348999999999997</v>
      </c>
      <c r="K278" s="43">
        <f t="shared" si="77"/>
        <v>347.44731307888509</v>
      </c>
      <c r="L278" s="34">
        <f t="shared" si="78"/>
        <v>0.28506749999999981</v>
      </c>
      <c r="M278" s="38">
        <f t="shared" si="79"/>
        <v>8.5251426944955249</v>
      </c>
      <c r="N278" s="42">
        <f>IF(A_podef="Bracket",M_Sims!B316,M_Sims!F316)</f>
        <v>3.1664999999999499E-2</v>
      </c>
      <c r="O278" s="42">
        <f>IF(A_podef="Bracket",M_Sims!C316,M_Sims!G316)</f>
        <v>0.69552166666666659</v>
      </c>
      <c r="P278" s="42">
        <f>M_Sims!D316</f>
        <v>0.91666666666666663</v>
      </c>
      <c r="Q278" s="34">
        <f t="shared" si="80"/>
        <v>0.18086428652752234</v>
      </c>
      <c r="R278" s="18" t="str">
        <f t="shared" si="81"/>
        <v>-</v>
      </c>
      <c r="S278" s="46" t="str">
        <f t="shared" si="82"/>
        <v>-</v>
      </c>
      <c r="T278" s="51" t="str">
        <f>IF(A_tier2_on=1,M_Sims!M316,"-")</f>
        <v>-</v>
      </c>
      <c r="U278" s="46" t="str">
        <f>IF(OR(A_bankroll="",A_tier2_on&lt;&gt;1),"-",MIN(A_maxbet,M_Sims!M316*A_bankroll))</f>
        <v>-</v>
      </c>
      <c r="V278" s="30">
        <f>M_Sims!H316</f>
        <v>1</v>
      </c>
      <c r="W278" s="6" t="b">
        <f>AND(H278&lt;&gt;"IMPUTED_20C_LADDER",L278&gt;=A_minev,N278&gt;0,V278=1,IF(A278="PLAYOFFS",A_poconf=1,TRUE),IF(AND(A278="WINS",A_zs_on=1),AND(AE278&gt;=A_minev,M_Sims!O316&gt;0),TRUE),AF278&gt;=A_minev,AG278&gt;0,IF(I278&lt;A_longthr,(1-A_shrink)*M_Sims!K316+A_shrink*(I278*G278-1)&gt;=A_minev,TRUE),IF(AND(OR(A278="WINS",A278="PLAYOFFS",LEFT(A278,4)="DIV_"),INDEX(Raw_Teams!$F$8:$F$37,MATCH($C278,Raw_Teams!$A$8:$A$37,0))&lt;A_contthr),AND(((1-A_contshrink)*J278+A_contshrink*I278)*G278-1&gt;=A_minev,(1-A_contshrink)*N278+A_contshrink*(I278*G278-1)&gt;0),TRUE),M_Sims!P316=0)</f>
        <v>0</v>
      </c>
      <c r="X278" s="6" t="s">
        <v>1322</v>
      </c>
      <c r="Y278" s="6" t="s">
        <v>1312</v>
      </c>
      <c r="Z278" s="6">
        <v>233</v>
      </c>
      <c r="AA278" s="7" t="str">
        <f t="shared" si="83"/>
        <v>OK - sims match current assumptions</v>
      </c>
      <c r="AB278" s="13" t="s">
        <v>33</v>
      </c>
      <c r="AC278" s="13" t="s">
        <v>33</v>
      </c>
      <c r="AD278" s="13" t="s">
        <v>33</v>
      </c>
      <c r="AE278" s="13" t="s">
        <v>33</v>
      </c>
      <c r="AF278" s="34">
        <f t="shared" si="84"/>
        <v>3.9969647533253383E-2</v>
      </c>
      <c r="AG278" s="34">
        <f t="shared" si="85"/>
        <v>-8.673160246674666E-2</v>
      </c>
      <c r="AH278" s="6" t="b">
        <f>AND(W278,I278&gt;=A_t1_fair,((1-A_t1_shrink)*J278+A_t1_shrink*I278)*G278-1&gt;=A_minev,(1-A_t1_shrink)*N278+A_t1_shrink*(I278*G278-1)&gt;0,M_Sims!Q316=1)</f>
        <v>0</v>
      </c>
      <c r="AI278" s="18">
        <f>IF(AH278,M_Sims!R316*A_t1_cap/A_t1_engcap,0)</f>
        <v>0</v>
      </c>
      <c r="AJ278" s="46" t="str">
        <f t="shared" si="86"/>
        <v>-</v>
      </c>
      <c r="AK278" s="7" t="str">
        <f>IF(AH278,M_Sims!S316,"-")</f>
        <v>-</v>
      </c>
      <c r="AL278" s="51">
        <f>M_Sims!M316</f>
        <v>0</v>
      </c>
      <c r="AM278" s="6" t="str">
        <f t="shared" si="87"/>
        <v>-</v>
      </c>
    </row>
    <row r="279" spans="1:39" ht="15" customHeight="1" x14ac:dyDescent="0.3"/>
    <row r="280" spans="1:39" ht="15" customHeight="1" x14ac:dyDescent="0.3">
      <c r="A280" s="48" t="s">
        <v>279</v>
      </c>
      <c r="B280" s="49" t="s">
        <v>1323</v>
      </c>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row>
    <row r="281" spans="1:39" ht="15" customHeight="1" x14ac:dyDescent="0.3">
      <c r="A281" s="6" t="s">
        <v>279</v>
      </c>
      <c r="B281" s="7" t="str">
        <f>Odds_Input!C128</f>
        <v>Boston Celtics</v>
      </c>
      <c r="C281" s="6" t="s">
        <v>199</v>
      </c>
      <c r="D281" s="7" t="str">
        <f>Odds_Input!D128</f>
        <v>OVER</v>
      </c>
      <c r="E281" s="31">
        <f>Odds_Input!E128</f>
        <v>51.5</v>
      </c>
      <c r="F281" s="32">
        <f>Odds_Input!F128</f>
        <v>110</v>
      </c>
      <c r="G281" s="36">
        <f>M_DeVig!H128</f>
        <v>2.1</v>
      </c>
      <c r="H281" s="7" t="str">
        <f>Odds_Input!G128</f>
        <v>-</v>
      </c>
      <c r="I281" s="42">
        <f>M_DeVig!Q128</f>
        <v>0.45548654243129111</v>
      </c>
      <c r="J281" s="42">
        <f>SUMPRODUCT((M_Sims!$B$48:$CF$48&gt;E281)*INDEX(M_Sims!$B$49:$CF$78,MATCH($C281,M_Sims!$A$49:$A$78,0),0))</f>
        <v>0.49981000000000003</v>
      </c>
      <c r="K281" s="43">
        <f t="shared" ref="K281:K312" si="88">IF(J281&gt;=0.5,-100*J281/(1-J281),100*(1-J281)/J281)</f>
        <v>100.07602889097855</v>
      </c>
      <c r="L281" s="34">
        <f t="shared" ref="L281:L312" si="89">J281*G281-1</f>
        <v>4.9601000000000006E-2</v>
      </c>
      <c r="M281" s="38">
        <f t="shared" ref="M281:M312" si="90">(J281-I281)*100</f>
        <v>4.4323457568708928</v>
      </c>
      <c r="N281" s="42">
        <f>M_Sims!B203</f>
        <v>-2.5866E-2</v>
      </c>
      <c r="O281" s="42">
        <f>M_Sims!C203</f>
        <v>0.1238779999999999</v>
      </c>
      <c r="P281" s="42">
        <f>M_Sims!D203</f>
        <v>0.81666666666666665</v>
      </c>
      <c r="Q281" s="34">
        <f t="shared" ref="Q281:Q312" si="91">(1-A_shrink)*J281+A_shrink*I281</f>
        <v>0.47764827121564557</v>
      </c>
      <c r="R281" s="18" t="str">
        <f t="shared" ref="R281:R312" si="92">IF(A_tier2_on=1,MAX(0,(Q281*G281-1)/(G281-1))*A_kelly,"-")</f>
        <v>-</v>
      </c>
      <c r="S281" s="46" t="str">
        <f t="shared" ref="S281:S312" si="93">IF(OR(A_bankroll="",A_tier2_on&lt;&gt;1),"-",MIN(A_maxbet,MAX(0,(Q281*G281-1)/(G281-1))*A_kelly*A_bankroll))</f>
        <v>-</v>
      </c>
      <c r="T281" s="51" t="str">
        <f>IF(A_tier2_on=1,M_Sims!M203,"-")</f>
        <v>-</v>
      </c>
      <c r="U281" s="46" t="str">
        <f>IF(OR(A_bankroll="",A_tier2_on&lt;&gt;1),"-",MIN(A_maxbet,M_Sims!M203*A_bankroll))</f>
        <v>-</v>
      </c>
      <c r="V281" s="30">
        <f>M_Sims!H203</f>
        <v>1</v>
      </c>
      <c r="W281" s="6" t="b">
        <f>AND(H281&lt;&gt;"IMPUTED_20C_LADDER",L281&gt;=A_minev,N281&gt;0,V281=1,IF(A281="PLAYOFFS",A_poconf=1,TRUE),IF(AND(A281="WINS",A_zs_on=1),AND(AE281&gt;=A_minev,M_Sims!O203&gt;0),TRUE),AF281&gt;=A_minev,AG281&gt;0,IF(I281&lt;A_longthr,(1-A_shrink)*M_Sims!K203+A_shrink*(I281*G281-1)&gt;=A_minev,TRUE),IF(AND(OR(A281="WINS",A281="PLAYOFFS",LEFT(A281,4)="DIV_"),INDEX(Raw_Teams!$F$8:$F$37,MATCH($C281,Raw_Teams!$A$8:$A$37,0))&lt;A_contthr),AND(((1-A_contshrink)*J281+A_contshrink*I281)*G281-1&gt;=A_minev,(1-A_contshrink)*N281+A_contshrink*(I281*G281-1)&gt;0),TRUE),M_Sims!P203=0)</f>
        <v>0</v>
      </c>
      <c r="X281" s="6" t="s">
        <v>1301</v>
      </c>
      <c r="Y281" s="6" t="s">
        <v>1324</v>
      </c>
      <c r="Z281" s="6">
        <v>120</v>
      </c>
      <c r="AA281" s="7" t="str">
        <f t="shared" ref="AA281:AA312" si="94">Sim_Stale</f>
        <v>OK - sims match current assumptions</v>
      </c>
      <c r="AB281" s="42">
        <f>INDEX(IF(D281="OVER",M_WinDist!$E$8:$E$37,M_WinDist!$F$8:$F$37),MATCH($C281,M_WinDist!$A$8:$A$37,0))</f>
        <v>0.47983428743641887</v>
      </c>
      <c r="AC281" s="34">
        <f t="shared" ref="AC281:AC312" si="95">AB281*G281-1</f>
        <v>7.6520036164797745E-3</v>
      </c>
      <c r="AD281" s="42">
        <f>(SUMPRODUCT((M_Sims!$B$48:$CF$48&gt;=INT(E281)+1)*INDEX(M_Sims!$B$49:$CF$78,MATCH($C281,M_Sims!$A$49:$A$78,0),0))+A_zs_delta*INDEX(INDEX(M_Sims!$B$49:$CF$78,MATCH($C281,M_Sims!$A$49:$A$78,0),0),1,INT(E281)+2))</f>
        <v>0.516343</v>
      </c>
      <c r="AE281" s="34">
        <f t="shared" ref="AE281:AE312" si="96">AD281*G281-1</f>
        <v>8.4320300000000126E-2</v>
      </c>
      <c r="AF281" s="34">
        <f t="shared" ref="AF281:AF312" si="97">Q281*G281-1</f>
        <v>3.0613695528556306E-3</v>
      </c>
      <c r="AG281" s="34">
        <f t="shared" ref="AG281:AG312" si="98">(1-A_shrink)*N281+A_shrink*(I281*G281-1)</f>
        <v>-3.4672130447144317E-2</v>
      </c>
      <c r="AH281" s="6" t="b">
        <f>AND(W281,I281&gt;=A_t1_fair,((1-A_t1_shrink)*J281+A_t1_shrink*I281)*G281-1&gt;=A_minev,(1-A_t1_shrink)*N281+A_t1_shrink*(I281*G281-1)&gt;0,M_Sims!Q203=1)</f>
        <v>0</v>
      </c>
      <c r="AI281" s="18">
        <f>IF(AH281,M_Sims!R203*A_t1_cap/A_t1_engcap,0)</f>
        <v>0</v>
      </c>
      <c r="AJ281" s="46" t="str">
        <f t="shared" ref="AJ281:AJ312" si="99">IF(OR(A_bankroll="",NOT(AH281)),"-",MIN(A_maxbet,AI281*A_bankroll))</f>
        <v>-</v>
      </c>
      <c r="AK281" s="7" t="str">
        <f>IF(AH281,M_Sims!S203,"-")</f>
        <v>-</v>
      </c>
      <c r="AL281" s="51">
        <f>M_Sims!M203</f>
        <v>0</v>
      </c>
      <c r="AM281" s="6" t="str">
        <f t="shared" ref="AM281:AM312" si="100">IF(W281,IF(AH281,"Tier 1","Tier 2"),"-")</f>
        <v>-</v>
      </c>
    </row>
    <row r="282" spans="1:39" ht="15" customHeight="1" x14ac:dyDescent="0.3">
      <c r="A282" s="6" t="s">
        <v>279</v>
      </c>
      <c r="B282" s="7" t="str">
        <f>Odds_Input!C129</f>
        <v>Boston Celtics</v>
      </c>
      <c r="C282" s="6" t="s">
        <v>199</v>
      </c>
      <c r="D282" s="7" t="str">
        <f>Odds_Input!D129</f>
        <v>UNDER</v>
      </c>
      <c r="E282" s="31">
        <f>Odds_Input!E129</f>
        <v>51.5</v>
      </c>
      <c r="F282" s="32">
        <f>Odds_Input!F129</f>
        <v>-130</v>
      </c>
      <c r="G282" s="36">
        <f>M_DeVig!H129</f>
        <v>1.7692307692307692</v>
      </c>
      <c r="H282" s="7" t="str">
        <f>Odds_Input!G129</f>
        <v>-</v>
      </c>
      <c r="I282" s="42">
        <f>M_DeVig!Q129</f>
        <v>0.54451345754701419</v>
      </c>
      <c r="J282" s="42">
        <f>1-SUMPRODUCT((M_Sims!$B$48:$CF$48&gt;E282)*INDEX(M_Sims!$B$49:$CF$78,MATCH($C282,M_Sims!$A$49:$A$78,0),0))</f>
        <v>0.50018999999999991</v>
      </c>
      <c r="K282" s="43">
        <f t="shared" si="88"/>
        <v>-100.07602889097853</v>
      </c>
      <c r="L282" s="34">
        <f t="shared" si="89"/>
        <v>-0.11504846153846171</v>
      </c>
      <c r="M282" s="38">
        <f t="shared" si="90"/>
        <v>-4.4323457547014282</v>
      </c>
      <c r="N282" s="42">
        <f>M_Sims!B204</f>
        <v>-0.17762615384615371</v>
      </c>
      <c r="O282" s="42">
        <f>M_Sims!C204</f>
        <v>-5.1468205128204998E-2</v>
      </c>
      <c r="P282" s="42">
        <f>M_Sims!D204</f>
        <v>1.6666666666666601E-2</v>
      </c>
      <c r="Q282" s="34">
        <f t="shared" si="91"/>
        <v>0.52235172877350711</v>
      </c>
      <c r="R282" s="18" t="str">
        <f t="shared" si="92"/>
        <v>-</v>
      </c>
      <c r="S282" s="46" t="str">
        <f t="shared" si="93"/>
        <v>-</v>
      </c>
      <c r="T282" s="51" t="str">
        <f>IF(A_tier2_on=1,M_Sims!M204,"-")</f>
        <v>-</v>
      </c>
      <c r="U282" s="46" t="str">
        <f>IF(OR(A_bankroll="",A_tier2_on&lt;&gt;1),"-",MIN(A_maxbet,M_Sims!M204*A_bankroll))</f>
        <v>-</v>
      </c>
      <c r="V282" s="30">
        <f>M_Sims!H204</f>
        <v>1</v>
      </c>
      <c r="W282" s="6" t="b">
        <f>AND(H282&lt;&gt;"IMPUTED_20C_LADDER",L282&gt;=A_minev,N282&gt;0,V282=1,IF(A282="PLAYOFFS",A_poconf=1,TRUE),IF(AND(A282="WINS",A_zs_on=1),AND(AE282&gt;=A_minev,M_Sims!O204&gt;0),TRUE),AF282&gt;=A_minev,AG282&gt;0,IF(I282&lt;A_longthr,(1-A_shrink)*M_Sims!K204+A_shrink*(I282*G282-1)&gt;=A_minev,TRUE),IF(AND(OR(A282="WINS",A282="PLAYOFFS",LEFT(A282,4)="DIV_"),INDEX(Raw_Teams!$F$8:$F$37,MATCH($C282,Raw_Teams!$A$8:$A$37,0))&lt;A_contthr),AND(((1-A_contshrink)*J282+A_contshrink*I282)*G282-1&gt;=A_minev,(1-A_contshrink)*N282+A_contshrink*(I282*G282-1)&gt;0),TRUE),M_Sims!P204=0)</f>
        <v>0</v>
      </c>
      <c r="X282" s="6" t="s">
        <v>1301</v>
      </c>
      <c r="Y282" s="6" t="s">
        <v>1324</v>
      </c>
      <c r="Z282" s="6">
        <v>121</v>
      </c>
      <c r="AA282" s="7" t="str">
        <f t="shared" si="94"/>
        <v>OK - sims match current assumptions</v>
      </c>
      <c r="AB282" s="42">
        <f>INDEX(IF(D282="OVER",M_WinDist!$E$8:$E$37,M_WinDist!$F$8:$F$37),MATCH($C282,M_WinDist!$A$8:$A$37,0))</f>
        <v>0.52016571256358113</v>
      </c>
      <c r="AC282" s="34">
        <f t="shared" si="95"/>
        <v>-7.9706816233664157E-2</v>
      </c>
      <c r="AD282" s="42">
        <f>1-(SUMPRODUCT((M_Sims!$B$48:$CF$48&gt;=INT(E282)+1)*INDEX(M_Sims!$B$49:$CF$78,MATCH($C282,M_Sims!$A$49:$A$78,0),0))+A_zs_delta*INDEX(INDEX(M_Sims!$B$49:$CF$78,MATCH($C282,M_Sims!$A$49:$A$78,0),0),1,INT(E282)+2))</f>
        <v>0.483657</v>
      </c>
      <c r="AE282" s="34">
        <f t="shared" si="96"/>
        <v>-0.14429915384615388</v>
      </c>
      <c r="AF282" s="34">
        <f t="shared" si="97"/>
        <v>-7.5839249093025973E-2</v>
      </c>
      <c r="AG282" s="34">
        <f t="shared" si="98"/>
        <v>-0.10712809524687203</v>
      </c>
      <c r="AH282" s="6" t="b">
        <f>AND(W282,I282&gt;=A_t1_fair,((1-A_t1_shrink)*J282+A_t1_shrink*I282)*G282-1&gt;=A_minev,(1-A_t1_shrink)*N282+A_t1_shrink*(I282*G282-1)&gt;0,M_Sims!Q204=1)</f>
        <v>0</v>
      </c>
      <c r="AI282" s="18">
        <f>IF(AH282,M_Sims!R204*A_t1_cap/A_t1_engcap,0)</f>
        <v>0</v>
      </c>
      <c r="AJ282" s="46" t="str">
        <f t="shared" si="99"/>
        <v>-</v>
      </c>
      <c r="AK282" s="7" t="str">
        <f>IF(AH282,M_Sims!S204,"-")</f>
        <v>-</v>
      </c>
      <c r="AL282" s="51">
        <f>M_Sims!M204</f>
        <v>0</v>
      </c>
      <c r="AM282" s="6" t="str">
        <f t="shared" si="100"/>
        <v>-</v>
      </c>
    </row>
    <row r="283" spans="1:39" ht="15" customHeight="1" x14ac:dyDescent="0.3">
      <c r="A283" s="6" t="s">
        <v>279</v>
      </c>
      <c r="B283" s="7" t="str">
        <f>Odds_Input!C130</f>
        <v>Detroit Pistons</v>
      </c>
      <c r="C283" s="6" t="s">
        <v>205</v>
      </c>
      <c r="D283" s="7" t="str">
        <f>Odds_Input!D130</f>
        <v>OVER</v>
      </c>
      <c r="E283" s="31">
        <f>Odds_Input!E130</f>
        <v>49.5</v>
      </c>
      <c r="F283" s="32">
        <f>Odds_Input!F130</f>
        <v>115</v>
      </c>
      <c r="G283" s="36">
        <f>M_DeVig!H130</f>
        <v>2.15</v>
      </c>
      <c r="H283" s="7" t="str">
        <f>Odds_Input!G130</f>
        <v>-</v>
      </c>
      <c r="I283" s="42">
        <f>M_DeVig!Q130</f>
        <v>0.44532409697922487</v>
      </c>
      <c r="J283" s="42">
        <f>SUMPRODUCT((M_Sims!$B$48:$CF$48&gt;E283)*INDEX(M_Sims!$B$49:$CF$78,MATCH($C283,M_Sims!$A$49:$A$78,0),0))</f>
        <v>0.41195999999999999</v>
      </c>
      <c r="K283" s="43">
        <f t="shared" si="88"/>
        <v>142.7420137877464</v>
      </c>
      <c r="L283" s="34">
        <f t="shared" si="89"/>
        <v>-0.114286</v>
      </c>
      <c r="M283" s="38">
        <f t="shared" si="90"/>
        <v>-3.3364096979224875</v>
      </c>
      <c r="N283" s="42">
        <f>M_Sims!B205</f>
        <v>-0.1558383333333333</v>
      </c>
      <c r="O283" s="42">
        <f>M_Sims!C205</f>
        <v>-4.35653333333334E-2</v>
      </c>
      <c r="P283" s="42">
        <f>M_Sims!D205</f>
        <v>1.6666666666666601E-2</v>
      </c>
      <c r="Q283" s="34">
        <f t="shared" si="91"/>
        <v>0.4286420484896124</v>
      </c>
      <c r="R283" s="18" t="str">
        <f t="shared" si="92"/>
        <v>-</v>
      </c>
      <c r="S283" s="46" t="str">
        <f t="shared" si="93"/>
        <v>-</v>
      </c>
      <c r="T283" s="51" t="str">
        <f>IF(A_tier2_on=1,M_Sims!M205,"-")</f>
        <v>-</v>
      </c>
      <c r="U283" s="46" t="str">
        <f>IF(OR(A_bankroll="",A_tier2_on&lt;&gt;1),"-",MIN(A_maxbet,M_Sims!M205*A_bankroll))</f>
        <v>-</v>
      </c>
      <c r="V283" s="30">
        <f>M_Sims!H205</f>
        <v>1</v>
      </c>
      <c r="W283" s="6" t="b">
        <f>AND(H283&lt;&gt;"IMPUTED_20C_LADDER",L283&gt;=A_minev,N283&gt;0,V283=1,IF(A283="PLAYOFFS",A_poconf=1,TRUE),IF(AND(A283="WINS",A_zs_on=1),AND(AE283&gt;=A_minev,M_Sims!O205&gt;0),TRUE),AF283&gt;=A_minev,AG283&gt;0,IF(I283&lt;A_longthr,(1-A_shrink)*M_Sims!K205+A_shrink*(I283*G283-1)&gt;=A_minev,TRUE),IF(AND(OR(A283="WINS",A283="PLAYOFFS",LEFT(A283,4)="DIV_"),INDEX(Raw_Teams!$F$8:$F$37,MATCH($C283,Raw_Teams!$A$8:$A$37,0))&lt;A_contthr),AND(((1-A_contshrink)*J283+A_contshrink*I283)*G283-1&gt;=A_minev,(1-A_contshrink)*N283+A_contshrink*(I283*G283-1)&gt;0),TRUE),M_Sims!P205=0)</f>
        <v>0</v>
      </c>
      <c r="X283" s="6" t="s">
        <v>1301</v>
      </c>
      <c r="Y283" s="6" t="s">
        <v>1324</v>
      </c>
      <c r="Z283" s="6">
        <v>122</v>
      </c>
      <c r="AA283" s="7" t="str">
        <f t="shared" si="94"/>
        <v>OK - sims match current assumptions</v>
      </c>
      <c r="AB283" s="42">
        <f>INDEX(IF(D283="OVER",M_WinDist!$E$8:$E$37,M_WinDist!$F$8:$F$37),MATCH($C283,M_WinDist!$A$8:$A$37,0))</f>
        <v>0.39802099781558553</v>
      </c>
      <c r="AC283" s="34">
        <f t="shared" si="95"/>
        <v>-0.14425485469649113</v>
      </c>
      <c r="AD283" s="42">
        <f>(SUMPRODUCT((M_Sims!$B$48:$CF$48&gt;=INT(E283)+1)*INDEX(M_Sims!$B$49:$CF$78,MATCH($C283,M_Sims!$A$49:$A$78,0),0))+A_zs_delta*INDEX(INDEX(M_Sims!$B$49:$CF$78,MATCH($C283,M_Sims!$A$49:$A$78,0),0),1,INT(E283)+2))</f>
        <v>0.42768266666666666</v>
      </c>
      <c r="AE283" s="34">
        <f t="shared" si="96"/>
        <v>-8.0482266666666691E-2</v>
      </c>
      <c r="AF283" s="34">
        <f t="shared" si="97"/>
        <v>-7.841959574733337E-2</v>
      </c>
      <c r="AG283" s="34">
        <f t="shared" si="98"/>
        <v>-9.9195762413999911E-2</v>
      </c>
      <c r="AH283" s="6" t="b">
        <f>AND(W283,I283&gt;=A_t1_fair,((1-A_t1_shrink)*J283+A_t1_shrink*I283)*G283-1&gt;=A_minev,(1-A_t1_shrink)*N283+A_t1_shrink*(I283*G283-1)&gt;0,M_Sims!Q205=1)</f>
        <v>0</v>
      </c>
      <c r="AI283" s="18">
        <f>IF(AH283,M_Sims!R205*A_t1_cap/A_t1_engcap,0)</f>
        <v>0</v>
      </c>
      <c r="AJ283" s="46" t="str">
        <f t="shared" si="99"/>
        <v>-</v>
      </c>
      <c r="AK283" s="7" t="str">
        <f>IF(AH283,M_Sims!S205,"-")</f>
        <v>-</v>
      </c>
      <c r="AL283" s="51">
        <f>M_Sims!M205</f>
        <v>0</v>
      </c>
      <c r="AM283" s="6" t="str">
        <f t="shared" si="100"/>
        <v>-</v>
      </c>
    </row>
    <row r="284" spans="1:39" ht="15" customHeight="1" x14ac:dyDescent="0.3">
      <c r="A284" s="6" t="s">
        <v>279</v>
      </c>
      <c r="B284" s="7" t="str">
        <f>Odds_Input!C131</f>
        <v>Detroit Pistons</v>
      </c>
      <c r="C284" s="6" t="s">
        <v>205</v>
      </c>
      <c r="D284" s="7" t="str">
        <f>Odds_Input!D131</f>
        <v>UNDER</v>
      </c>
      <c r="E284" s="31">
        <f>Odds_Input!E131</f>
        <v>49.5</v>
      </c>
      <c r="F284" s="32">
        <f>Odds_Input!F131</f>
        <v>-135</v>
      </c>
      <c r="G284" s="36">
        <f>M_DeVig!H131</f>
        <v>1.7407407407407407</v>
      </c>
      <c r="H284" s="7" t="str">
        <f>Odds_Input!G131</f>
        <v>-</v>
      </c>
      <c r="I284" s="42">
        <f>M_DeVig!Q131</f>
        <v>0.55467590301630942</v>
      </c>
      <c r="J284" s="42">
        <f>1-SUMPRODUCT((M_Sims!$B$48:$CF$48&gt;E284)*INDEX(M_Sims!$B$49:$CF$78,MATCH($C284,M_Sims!$A$49:$A$78,0),0))</f>
        <v>0.58804000000000001</v>
      </c>
      <c r="K284" s="43">
        <f t="shared" si="88"/>
        <v>-142.7420137877464</v>
      </c>
      <c r="L284" s="34">
        <f t="shared" si="89"/>
        <v>2.3625185185185194E-2</v>
      </c>
      <c r="M284" s="38">
        <f t="shared" si="90"/>
        <v>3.3364096983690583</v>
      </c>
      <c r="N284" s="42">
        <f>M_Sims!B206</f>
        <v>-3.3633580246913597E-2</v>
      </c>
      <c r="O284" s="42">
        <f>M_Sims!C206</f>
        <v>5.7267901234567702E-2</v>
      </c>
      <c r="P284" s="42">
        <f>M_Sims!D206</f>
        <v>0.65</v>
      </c>
      <c r="Q284" s="34">
        <f t="shared" si="91"/>
        <v>0.57135795150815472</v>
      </c>
      <c r="R284" s="18" t="str">
        <f t="shared" si="92"/>
        <v>-</v>
      </c>
      <c r="S284" s="46" t="str">
        <f t="shared" si="93"/>
        <v>-</v>
      </c>
      <c r="T284" s="51" t="str">
        <f>IF(A_tier2_on=1,M_Sims!M206,"-")</f>
        <v>-</v>
      </c>
      <c r="U284" s="46" t="str">
        <f>IF(OR(A_bankroll="",A_tier2_on&lt;&gt;1),"-",MIN(A_maxbet,M_Sims!M206*A_bankroll))</f>
        <v>-</v>
      </c>
      <c r="V284" s="30">
        <f>M_Sims!H206</f>
        <v>1</v>
      </c>
      <c r="W284" s="6" t="b">
        <f>AND(H284&lt;&gt;"IMPUTED_20C_LADDER",L284&gt;=A_minev,N284&gt;0,V284=1,IF(A284="PLAYOFFS",A_poconf=1,TRUE),IF(AND(A284="WINS",A_zs_on=1),AND(AE284&gt;=A_minev,M_Sims!O206&gt;0),TRUE),AF284&gt;=A_minev,AG284&gt;0,IF(I284&lt;A_longthr,(1-A_shrink)*M_Sims!K206+A_shrink*(I284*G284-1)&gt;=A_minev,TRUE),IF(AND(OR(A284="WINS",A284="PLAYOFFS",LEFT(A284,4)="DIV_"),INDEX(Raw_Teams!$F$8:$F$37,MATCH($C284,Raw_Teams!$A$8:$A$37,0))&lt;A_contthr),AND(((1-A_contshrink)*J284+A_contshrink*I284)*G284-1&gt;=A_minev,(1-A_contshrink)*N284+A_contshrink*(I284*G284-1)&gt;0),TRUE),M_Sims!P206=0)</f>
        <v>0</v>
      </c>
      <c r="X284" s="6" t="s">
        <v>1301</v>
      </c>
      <c r="Y284" s="6" t="s">
        <v>1324</v>
      </c>
      <c r="Z284" s="6">
        <v>123</v>
      </c>
      <c r="AA284" s="7" t="str">
        <f t="shared" si="94"/>
        <v>OK - sims match current assumptions</v>
      </c>
      <c r="AB284" s="42">
        <f>INDEX(IF(D284="OVER",M_WinDist!$E$8:$E$37,M_WinDist!$F$8:$F$37),MATCH($C284,M_WinDist!$A$8:$A$37,0))</f>
        <v>0.60197900218441447</v>
      </c>
      <c r="AC284" s="34">
        <f t="shared" si="95"/>
        <v>4.7889374172869648E-2</v>
      </c>
      <c r="AD284" s="42">
        <f>1-(SUMPRODUCT((M_Sims!$B$48:$CF$48&gt;=INT(E284)+1)*INDEX(M_Sims!$B$49:$CF$78,MATCH($C284,M_Sims!$A$49:$A$78,0),0))+A_zs_delta*INDEX(INDEX(M_Sims!$B$49:$CF$78,MATCH($C284,M_Sims!$A$49:$A$78,0),0),1,INT(E284)+2))</f>
        <v>0.57231733333333334</v>
      </c>
      <c r="AE284" s="34">
        <f t="shared" si="96"/>
        <v>-3.7439012345679146E-3</v>
      </c>
      <c r="AF284" s="34">
        <f t="shared" si="97"/>
        <v>-5.4139362635825528E-3</v>
      </c>
      <c r="AG284" s="34">
        <f t="shared" si="98"/>
        <v>-3.4043318979631948E-2</v>
      </c>
      <c r="AH284" s="6" t="b">
        <f>AND(W284,I284&gt;=A_t1_fair,((1-A_t1_shrink)*J284+A_t1_shrink*I284)*G284-1&gt;=A_minev,(1-A_t1_shrink)*N284+A_t1_shrink*(I284*G284-1)&gt;0,M_Sims!Q206=1)</f>
        <v>0</v>
      </c>
      <c r="AI284" s="18">
        <f>IF(AH284,M_Sims!R206*A_t1_cap/A_t1_engcap,0)</f>
        <v>0</v>
      </c>
      <c r="AJ284" s="46" t="str">
        <f t="shared" si="99"/>
        <v>-</v>
      </c>
      <c r="AK284" s="7" t="str">
        <f>IF(AH284,M_Sims!S206,"-")</f>
        <v>-</v>
      </c>
      <c r="AL284" s="51">
        <f>M_Sims!M206</f>
        <v>0</v>
      </c>
      <c r="AM284" s="6" t="str">
        <f t="shared" si="100"/>
        <v>-</v>
      </c>
    </row>
    <row r="285" spans="1:39" ht="15" customHeight="1" x14ac:dyDescent="0.3">
      <c r="A285" s="6" t="s">
        <v>279</v>
      </c>
      <c r="B285" s="7" t="str">
        <f>Odds_Input!C132</f>
        <v>New York Knicks</v>
      </c>
      <c r="C285" s="6" t="s">
        <v>216</v>
      </c>
      <c r="D285" s="7" t="str">
        <f>Odds_Input!D132</f>
        <v>OVER</v>
      </c>
      <c r="E285" s="31">
        <f>Odds_Input!E132</f>
        <v>52.5</v>
      </c>
      <c r="F285" s="32">
        <f>Odds_Input!F132</f>
        <v>135</v>
      </c>
      <c r="G285" s="36">
        <f>M_DeVig!H132</f>
        <v>2.35</v>
      </c>
      <c r="H285" s="7" t="str">
        <f>Odds_Input!G132</f>
        <v>-</v>
      </c>
      <c r="I285" s="42">
        <f>M_DeVig!Q132</f>
        <v>0.40884438880822638</v>
      </c>
      <c r="J285" s="42">
        <f>SUMPRODUCT((M_Sims!$B$48:$CF$48&gt;E285)*INDEX(M_Sims!$B$49:$CF$78,MATCH($C285,M_Sims!$A$49:$A$78,0),0))</f>
        <v>0.17778999999999998</v>
      </c>
      <c r="K285" s="43">
        <f t="shared" si="88"/>
        <v>462.46133078350874</v>
      </c>
      <c r="L285" s="34">
        <f t="shared" si="89"/>
        <v>-0.58219350000000003</v>
      </c>
      <c r="M285" s="38">
        <f t="shared" si="90"/>
        <v>-23.105438880822639</v>
      </c>
      <c r="N285" s="42">
        <f>M_Sims!B207</f>
        <v>-0.71533666666666651</v>
      </c>
      <c r="O285" s="42">
        <f>M_Sims!C207</f>
        <v>-0.41940899999999992</v>
      </c>
      <c r="P285" s="42">
        <f>M_Sims!D207</f>
        <v>0</v>
      </c>
      <c r="Q285" s="34">
        <f t="shared" si="91"/>
        <v>0.29331719440411319</v>
      </c>
      <c r="R285" s="18" t="str">
        <f t="shared" si="92"/>
        <v>-</v>
      </c>
      <c r="S285" s="46" t="str">
        <f t="shared" si="93"/>
        <v>-</v>
      </c>
      <c r="T285" s="51" t="str">
        <f>IF(A_tier2_on=1,M_Sims!M207,"-")</f>
        <v>-</v>
      </c>
      <c r="U285" s="46" t="str">
        <f>IF(OR(A_bankroll="",A_tier2_on&lt;&gt;1),"-",MIN(A_maxbet,M_Sims!M207*A_bankroll))</f>
        <v>-</v>
      </c>
      <c r="V285" s="30">
        <f>M_Sims!H207</f>
        <v>1</v>
      </c>
      <c r="W285" s="6" t="b">
        <f>AND(H285&lt;&gt;"IMPUTED_20C_LADDER",L285&gt;=A_minev,N285&gt;0,V285=1,IF(A285="PLAYOFFS",A_poconf=1,TRUE),IF(AND(A285="WINS",A_zs_on=1),AND(AE285&gt;=A_minev,M_Sims!O207&gt;0),TRUE),AF285&gt;=A_minev,AG285&gt;0,IF(I285&lt;A_longthr,(1-A_shrink)*M_Sims!K207+A_shrink*(I285*G285-1)&gt;=A_minev,TRUE),IF(AND(OR(A285="WINS",A285="PLAYOFFS",LEFT(A285,4)="DIV_"),INDEX(Raw_Teams!$F$8:$F$37,MATCH($C285,Raw_Teams!$A$8:$A$37,0))&lt;A_contthr),AND(((1-A_contshrink)*J285+A_contshrink*I285)*G285-1&gt;=A_minev,(1-A_contshrink)*N285+A_contshrink*(I285*G285-1)&gt;0),TRUE),M_Sims!P207=0)</f>
        <v>0</v>
      </c>
      <c r="X285" s="6" t="s">
        <v>1313</v>
      </c>
      <c r="Y285" s="6" t="s">
        <v>1324</v>
      </c>
      <c r="Z285" s="6">
        <v>124</v>
      </c>
      <c r="AA285" s="7" t="str">
        <f t="shared" si="94"/>
        <v>OK - sims match current assumptions</v>
      </c>
      <c r="AB285" s="42">
        <f>INDEX(IF(D285="OVER",M_WinDist!$E$8:$E$37,M_WinDist!$F$8:$F$37),MATCH($C285,M_WinDist!$A$8:$A$37,0))</f>
        <v>0.16835585352502835</v>
      </c>
      <c r="AC285" s="34">
        <f t="shared" si="95"/>
        <v>-0.60436374421618333</v>
      </c>
      <c r="AD285" s="42">
        <f>(SUMPRODUCT((M_Sims!$B$48:$CF$48&gt;=INT(E285)+1)*INDEX(M_Sims!$B$49:$CF$78,MATCH($C285,M_Sims!$A$49:$A$78,0),0))+A_zs_delta*INDEX(INDEX(M_Sims!$B$49:$CF$78,MATCH($C285,M_Sims!$A$49:$A$78,0),0),1,INT(E285)+2))</f>
        <v>0.18832066666666664</v>
      </c>
      <c r="AE285" s="34">
        <f t="shared" si="96"/>
        <v>-0.55744643333333332</v>
      </c>
      <c r="AF285" s="34">
        <f t="shared" si="97"/>
        <v>-0.31070459315033394</v>
      </c>
      <c r="AG285" s="34">
        <f t="shared" si="98"/>
        <v>-0.37727617648366724</v>
      </c>
      <c r="AH285" s="6" t="b">
        <f>AND(W285,I285&gt;=A_t1_fair,((1-A_t1_shrink)*J285+A_t1_shrink*I285)*G285-1&gt;=A_minev,(1-A_t1_shrink)*N285+A_t1_shrink*(I285*G285-1)&gt;0,M_Sims!Q207=1)</f>
        <v>0</v>
      </c>
      <c r="AI285" s="18">
        <f>IF(AH285,M_Sims!R207*A_t1_cap/A_t1_engcap,0)</f>
        <v>0</v>
      </c>
      <c r="AJ285" s="46" t="str">
        <f t="shared" si="99"/>
        <v>-</v>
      </c>
      <c r="AK285" s="7" t="str">
        <f>IF(AH285,M_Sims!S207,"-")</f>
        <v>-</v>
      </c>
      <c r="AL285" s="51">
        <f>M_Sims!M207</f>
        <v>0</v>
      </c>
      <c r="AM285" s="6" t="str">
        <f t="shared" si="100"/>
        <v>-</v>
      </c>
    </row>
    <row r="286" spans="1:39" ht="15" customHeight="1" x14ac:dyDescent="0.3">
      <c r="A286" s="6" t="s">
        <v>279</v>
      </c>
      <c r="B286" s="7" t="str">
        <f>Odds_Input!C133</f>
        <v>New York Knicks</v>
      </c>
      <c r="C286" s="6" t="s">
        <v>216</v>
      </c>
      <c r="D286" s="7" t="str">
        <f>Odds_Input!D133</f>
        <v>UNDER</v>
      </c>
      <c r="E286" s="31">
        <f>Odds_Input!E133</f>
        <v>52.5</v>
      </c>
      <c r="F286" s="32">
        <f>Odds_Input!F133</f>
        <v>-155</v>
      </c>
      <c r="G286" s="36">
        <f>M_DeVig!H133</f>
        <v>1.6451612903225805</v>
      </c>
      <c r="H286" s="7" t="str">
        <f>Odds_Input!G133</f>
        <v>-</v>
      </c>
      <c r="I286" s="42">
        <f>M_DeVig!Q133</f>
        <v>0.59115561117284665</v>
      </c>
      <c r="J286" s="42">
        <f>1-SUMPRODUCT((M_Sims!$B$48:$CF$48&gt;E286)*INDEX(M_Sims!$B$49:$CF$78,MATCH($C286,M_Sims!$A$49:$A$78,0),0))</f>
        <v>0.82221</v>
      </c>
      <c r="K286" s="43">
        <f t="shared" si="88"/>
        <v>-462.46133078350863</v>
      </c>
      <c r="L286" s="34">
        <f t="shared" si="89"/>
        <v>0.35266806451612887</v>
      </c>
      <c r="M286" s="38">
        <f t="shared" si="90"/>
        <v>23.105438882715333</v>
      </c>
      <c r="N286" s="42">
        <f>M_Sims!B208</f>
        <v>0.2387077419354838</v>
      </c>
      <c r="O286" s="42">
        <f>M_Sims!C208</f>
        <v>0.44587741935483871</v>
      </c>
      <c r="P286" s="42">
        <f>M_Sims!D208</f>
        <v>1</v>
      </c>
      <c r="Q286" s="34">
        <f t="shared" si="91"/>
        <v>0.70668280558642338</v>
      </c>
      <c r="R286" s="18" t="str">
        <f t="shared" si="92"/>
        <v>-</v>
      </c>
      <c r="S286" s="46" t="str">
        <f t="shared" si="93"/>
        <v>-</v>
      </c>
      <c r="T286" s="51" t="str">
        <f>IF(A_tier2_on=1,M_Sims!M208,"-")</f>
        <v>-</v>
      </c>
      <c r="U286" s="46" t="str">
        <f>IF(OR(A_bankroll="",A_tier2_on&lt;&gt;1),"-",MIN(A_maxbet,M_Sims!M208*A_bankroll))</f>
        <v>-</v>
      </c>
      <c r="V286" s="30">
        <f>M_Sims!H208</f>
        <v>1</v>
      </c>
      <c r="W286" s="6" t="b">
        <f>AND(H286&lt;&gt;"IMPUTED_20C_LADDER",L286&gt;=A_minev,N286&gt;0,V286=1,IF(A286="PLAYOFFS",A_poconf=1,TRUE),IF(AND(A286="WINS",A_zs_on=1),AND(AE286&gt;=A_minev,M_Sims!O208&gt;0),TRUE),AF286&gt;=A_minev,AG286&gt;0,IF(I286&lt;A_longthr,(1-A_shrink)*M_Sims!K208+A_shrink*(I286*G286-1)&gt;=A_minev,TRUE),IF(AND(OR(A286="WINS",A286="PLAYOFFS",LEFT(A286,4)="DIV_"),INDEX(Raw_Teams!$F$8:$F$37,MATCH($C286,Raw_Teams!$A$8:$A$37,0))&lt;A_contthr),AND(((1-A_contshrink)*J286+A_contshrink*I286)*G286-1&gt;=A_minev,(1-A_contshrink)*N286+A_contshrink*(I286*G286-1)&gt;0),TRUE),M_Sims!P208=0)</f>
        <v>0</v>
      </c>
      <c r="X286" s="6" t="s">
        <v>1313</v>
      </c>
      <c r="Y286" s="6" t="s">
        <v>1324</v>
      </c>
      <c r="Z286" s="6">
        <v>125</v>
      </c>
      <c r="AA286" s="7" t="str">
        <f t="shared" si="94"/>
        <v>OK - sims match current assumptions</v>
      </c>
      <c r="AB286" s="42">
        <f>INDEX(IF(D286="OVER",M_WinDist!$E$8:$E$37,M_WinDist!$F$8:$F$37),MATCH($C286,M_WinDist!$A$8:$A$37,0))</f>
        <v>0.83164414647497165</v>
      </c>
      <c r="AC286" s="34">
        <f t="shared" si="95"/>
        <v>0.36818875710398546</v>
      </c>
      <c r="AD286" s="42">
        <f>1-(SUMPRODUCT((M_Sims!$B$48:$CF$48&gt;=INT(E286)+1)*INDEX(M_Sims!$B$49:$CF$78,MATCH($C286,M_Sims!$A$49:$A$78,0),0))+A_zs_delta*INDEX(INDEX(M_Sims!$B$49:$CF$78,MATCH($C286,M_Sims!$A$49:$A$78,0),0),1,INT(E286)+2))</f>
        <v>0.81167933333333342</v>
      </c>
      <c r="AE286" s="34">
        <f t="shared" si="96"/>
        <v>0.3353434193548388</v>
      </c>
      <c r="AF286" s="34">
        <f t="shared" si="97"/>
        <v>0.16260719628734166</v>
      </c>
      <c r="AG286" s="34">
        <f t="shared" si="98"/>
        <v>0.10562703499701896</v>
      </c>
      <c r="AH286" s="6" t="b">
        <f>AND(W286,I286&gt;=A_t1_fair,((1-A_t1_shrink)*J286+A_t1_shrink*I286)*G286-1&gt;=A_minev,(1-A_t1_shrink)*N286+A_t1_shrink*(I286*G286-1)&gt;0,M_Sims!Q208=1)</f>
        <v>0</v>
      </c>
      <c r="AI286" s="18">
        <f>IF(AH286,M_Sims!R208*A_t1_cap/A_t1_engcap,0)</f>
        <v>0</v>
      </c>
      <c r="AJ286" s="46" t="str">
        <f t="shared" si="99"/>
        <v>-</v>
      </c>
      <c r="AK286" s="7" t="str">
        <f>IF(AH286,M_Sims!S208,"-")</f>
        <v>-</v>
      </c>
      <c r="AL286" s="51">
        <f>M_Sims!M208</f>
        <v>0</v>
      </c>
      <c r="AM286" s="6" t="str">
        <f t="shared" si="100"/>
        <v>-</v>
      </c>
    </row>
    <row r="287" spans="1:39" ht="15" customHeight="1" x14ac:dyDescent="0.3">
      <c r="A287" s="52" t="s">
        <v>279</v>
      </c>
      <c r="B287" s="53" t="str">
        <f>Odds_Input!C134</f>
        <v>Philadelphia 76ers</v>
      </c>
      <c r="C287" s="52" t="s">
        <v>219</v>
      </c>
      <c r="D287" s="53" t="str">
        <f>Odds_Input!D134</f>
        <v>OVER</v>
      </c>
      <c r="E287" s="54">
        <f>Odds_Input!E134</f>
        <v>50.5</v>
      </c>
      <c r="F287" s="55">
        <f>Odds_Input!F134</f>
        <v>100</v>
      </c>
      <c r="G287" s="56">
        <f>M_DeVig!H134</f>
        <v>2</v>
      </c>
      <c r="H287" s="53" t="str">
        <f>Odds_Input!G134</f>
        <v>BACKFILL_PDF_TEXT</v>
      </c>
      <c r="I287" s="42">
        <f>M_DeVig!Q134</f>
        <v>0.4772727272430774</v>
      </c>
      <c r="J287" s="42">
        <f>SUMPRODUCT((M_Sims!$B$48:$CF$48&gt;E287)*INDEX(M_Sims!$B$49:$CF$78,MATCH($C287,M_Sims!$A$49:$A$78,0),0))</f>
        <v>0.26109000000000004</v>
      </c>
      <c r="K287" s="43">
        <f t="shared" si="88"/>
        <v>283.00969014516062</v>
      </c>
      <c r="L287" s="34">
        <f t="shared" si="89"/>
        <v>-0.47781999999999991</v>
      </c>
      <c r="M287" s="38">
        <f t="shared" si="90"/>
        <v>-21.618272724307737</v>
      </c>
      <c r="N287" s="42">
        <f>M_Sims!B209</f>
        <v>-0.55076000000000003</v>
      </c>
      <c r="O287" s="42">
        <f>M_Sims!C209</f>
        <v>-0.41248000000000001</v>
      </c>
      <c r="P287" s="42">
        <f>M_Sims!D209</f>
        <v>0</v>
      </c>
      <c r="Q287" s="34">
        <f t="shared" si="91"/>
        <v>0.36918136362153875</v>
      </c>
      <c r="R287" s="18" t="str">
        <f t="shared" si="92"/>
        <v>-</v>
      </c>
      <c r="S287" s="46" t="str">
        <f t="shared" si="93"/>
        <v>-</v>
      </c>
      <c r="T287" s="51" t="str">
        <f>IF(A_tier2_on=1,M_Sims!M209,"-")</f>
        <v>-</v>
      </c>
      <c r="U287" s="46" t="str">
        <f>IF(OR(A_bankroll="",A_tier2_on&lt;&gt;1),"-",MIN(A_maxbet,M_Sims!M209*A_bankroll))</f>
        <v>-</v>
      </c>
      <c r="V287" s="30">
        <f>M_Sims!H209</f>
        <v>1</v>
      </c>
      <c r="W287" s="6" t="b">
        <f>AND(H287&lt;&gt;"IMPUTED_20C_LADDER",L287&gt;=A_minev,N287&gt;0,V287=1,IF(A287="PLAYOFFS",A_poconf=1,TRUE),IF(AND(A287="WINS",A_zs_on=1),AND(AE287&gt;=A_minev,M_Sims!O209&gt;0),TRUE),AF287&gt;=A_minev,AG287&gt;0,IF(I287&lt;A_longthr,(1-A_shrink)*M_Sims!K209+A_shrink*(I287*G287-1)&gt;=A_minev,TRUE),IF(AND(OR(A287="WINS",A287="PLAYOFFS",LEFT(A287,4)="DIV_"),INDEX(Raw_Teams!$F$8:$F$37,MATCH($C287,Raw_Teams!$A$8:$A$37,0))&lt;A_contthr),AND(((1-A_contshrink)*J287+A_contshrink*I287)*G287-1&gt;=A_minev,(1-A_contshrink)*N287+A_contshrink*(I287*G287-1)&gt;0),TRUE),M_Sims!P209=0)</f>
        <v>0</v>
      </c>
      <c r="X287" s="6" t="s">
        <v>1313</v>
      </c>
      <c r="Y287" s="6" t="s">
        <v>1324</v>
      </c>
      <c r="Z287" s="6">
        <v>126</v>
      </c>
      <c r="AA287" s="7" t="str">
        <f t="shared" si="94"/>
        <v>OK - sims match current assumptions</v>
      </c>
      <c r="AB287" s="42">
        <f>INDEX(IF(D287="OVER",M_WinDist!$E$8:$E$37,M_WinDist!$F$8:$F$37),MATCH($C287,M_WinDist!$A$8:$A$37,0))</f>
        <v>0.25613563728459432</v>
      </c>
      <c r="AC287" s="34">
        <f t="shared" si="95"/>
        <v>-0.48772872543081136</v>
      </c>
      <c r="AD287" s="42">
        <f>(SUMPRODUCT((M_Sims!$B$48:$CF$48&gt;=INT(E287)+1)*INDEX(M_Sims!$B$49:$CF$78,MATCH($C287,M_Sims!$A$49:$A$78,0),0))+A_zs_delta*INDEX(INDEX(M_Sims!$B$49:$CF$78,MATCH($C287,M_Sims!$A$49:$A$78,0),0),1,INT(E287)+2))</f>
        <v>0.27383900000000005</v>
      </c>
      <c r="AE287" s="34">
        <f t="shared" si="96"/>
        <v>-0.45232199999999989</v>
      </c>
      <c r="AF287" s="34">
        <f t="shared" si="97"/>
        <v>-0.2616372727569225</v>
      </c>
      <c r="AG287" s="34">
        <f t="shared" si="98"/>
        <v>-0.29810727275692261</v>
      </c>
      <c r="AH287" s="6" t="b">
        <f>AND(W287,I287&gt;=A_t1_fair,((1-A_t1_shrink)*J287+A_t1_shrink*I287)*G287-1&gt;=A_minev,(1-A_t1_shrink)*N287+A_t1_shrink*(I287*G287-1)&gt;0,M_Sims!Q209=1)</f>
        <v>0</v>
      </c>
      <c r="AI287" s="18">
        <f>IF(AH287,M_Sims!R209*A_t1_cap/A_t1_engcap,0)</f>
        <v>0</v>
      </c>
      <c r="AJ287" s="46" t="str">
        <f t="shared" si="99"/>
        <v>-</v>
      </c>
      <c r="AK287" s="7" t="str">
        <f>IF(AH287,M_Sims!S209,"-")</f>
        <v>-</v>
      </c>
      <c r="AL287" s="51">
        <f>M_Sims!M209</f>
        <v>0</v>
      </c>
      <c r="AM287" s="6" t="str">
        <f t="shared" si="100"/>
        <v>-</v>
      </c>
    </row>
    <row r="288" spans="1:39" ht="15" customHeight="1" x14ac:dyDescent="0.3">
      <c r="A288" s="6" t="s">
        <v>279</v>
      </c>
      <c r="B288" s="7" t="str">
        <f>Odds_Input!C135</f>
        <v>Philadelphia 76ers</v>
      </c>
      <c r="C288" s="6" t="s">
        <v>219</v>
      </c>
      <c r="D288" s="7" t="str">
        <f>Odds_Input!D135</f>
        <v>UNDER</v>
      </c>
      <c r="E288" s="31">
        <f>Odds_Input!E135</f>
        <v>50.5</v>
      </c>
      <c r="F288" s="32">
        <f>Odds_Input!F135</f>
        <v>-120</v>
      </c>
      <c r="G288" s="36">
        <f>M_DeVig!H135</f>
        <v>1.8333333333333335</v>
      </c>
      <c r="H288" s="7" t="str">
        <f>Odds_Input!G135</f>
        <v>-</v>
      </c>
      <c r="I288" s="42">
        <f>M_DeVig!Q135</f>
        <v>0.52272727270008856</v>
      </c>
      <c r="J288" s="42">
        <f>1-SUMPRODUCT((M_Sims!$B$48:$CF$48&gt;E288)*INDEX(M_Sims!$B$49:$CF$78,MATCH($C288,M_Sims!$A$49:$A$78,0),0))</f>
        <v>0.73890999999999996</v>
      </c>
      <c r="K288" s="43">
        <f t="shared" si="88"/>
        <v>-283.00969014516062</v>
      </c>
      <c r="L288" s="34">
        <f t="shared" si="89"/>
        <v>0.35466833333333336</v>
      </c>
      <c r="M288" s="38">
        <f t="shared" si="90"/>
        <v>21.618272729991141</v>
      </c>
      <c r="N288" s="42">
        <f>M_Sims!B210</f>
        <v>0.29477333333333339</v>
      </c>
      <c r="O288" s="42">
        <f>M_Sims!C210</f>
        <v>0.42153000000000002</v>
      </c>
      <c r="P288" s="42">
        <f>M_Sims!D210</f>
        <v>1</v>
      </c>
      <c r="Q288" s="34">
        <f t="shared" si="91"/>
        <v>0.63081863635004432</v>
      </c>
      <c r="R288" s="18" t="str">
        <f t="shared" si="92"/>
        <v>-</v>
      </c>
      <c r="S288" s="46" t="str">
        <f t="shared" si="93"/>
        <v>-</v>
      </c>
      <c r="T288" s="51" t="str">
        <f>IF(A_tier2_on=1,M_Sims!M210,"-")</f>
        <v>-</v>
      </c>
      <c r="U288" s="46" t="str">
        <f>IF(OR(A_bankroll="",A_tier2_on&lt;&gt;1),"-",MIN(A_maxbet,M_Sims!M210*A_bankroll))</f>
        <v>-</v>
      </c>
      <c r="V288" s="30">
        <f>M_Sims!H210</f>
        <v>1</v>
      </c>
      <c r="W288" s="6" t="b">
        <f>AND(H288&lt;&gt;"IMPUTED_20C_LADDER",L288&gt;=A_minev,N288&gt;0,V288=1,IF(A288="PLAYOFFS",A_poconf=1,TRUE),IF(AND(A288="WINS",A_zs_on=1),AND(AE288&gt;=A_minev,M_Sims!O210&gt;0),TRUE),AF288&gt;=A_minev,AG288&gt;0,IF(I288&lt;A_longthr,(1-A_shrink)*M_Sims!K210+A_shrink*(I288*G288-1)&gt;=A_minev,TRUE),IF(AND(OR(A288="WINS",A288="PLAYOFFS",LEFT(A288,4)="DIV_"),INDEX(Raw_Teams!$F$8:$F$37,MATCH($C288,Raw_Teams!$A$8:$A$37,0))&lt;A_contthr),AND(((1-A_contshrink)*J288+A_contshrink*I288)*G288-1&gt;=A_minev,(1-A_contshrink)*N288+A_contshrink*(I288*G288-1)&gt;0),TRUE),M_Sims!P210=0)</f>
        <v>0</v>
      </c>
      <c r="X288" s="6" t="s">
        <v>1313</v>
      </c>
      <c r="Y288" s="6" t="s">
        <v>1324</v>
      </c>
      <c r="Z288" s="6">
        <v>127</v>
      </c>
      <c r="AA288" s="7" t="str">
        <f t="shared" si="94"/>
        <v>OK - sims match current assumptions</v>
      </c>
      <c r="AB288" s="42">
        <f>INDEX(IF(D288="OVER",M_WinDist!$E$8:$E$37,M_WinDist!$F$8:$F$37),MATCH($C288,M_WinDist!$A$8:$A$37,0))</f>
        <v>0.74386436271540568</v>
      </c>
      <c r="AC288" s="34">
        <f t="shared" si="95"/>
        <v>0.36375133164491058</v>
      </c>
      <c r="AD288" s="42">
        <f>1-(SUMPRODUCT((M_Sims!$B$48:$CF$48&gt;=INT(E288)+1)*INDEX(M_Sims!$B$49:$CF$78,MATCH($C288,M_Sims!$A$49:$A$78,0),0))+A_zs_delta*INDEX(INDEX(M_Sims!$B$49:$CF$78,MATCH($C288,M_Sims!$A$49:$A$78,0),0),1,INT(E288)+2))</f>
        <v>0.72616099999999995</v>
      </c>
      <c r="AE288" s="34">
        <f t="shared" si="96"/>
        <v>0.33129516666666659</v>
      </c>
      <c r="AF288" s="34">
        <f t="shared" si="97"/>
        <v>0.15650083330841458</v>
      </c>
      <c r="AG288" s="34">
        <f t="shared" si="98"/>
        <v>0.12655333330841459</v>
      </c>
      <c r="AH288" s="6" t="b">
        <f>AND(W288,I288&gt;=A_t1_fair,((1-A_t1_shrink)*J288+A_t1_shrink*I288)*G288-1&gt;=A_minev,(1-A_t1_shrink)*N288+A_t1_shrink*(I288*G288-1)&gt;0,M_Sims!Q210=1)</f>
        <v>0</v>
      </c>
      <c r="AI288" s="18">
        <f>IF(AH288,M_Sims!R210*A_t1_cap/A_t1_engcap,0)</f>
        <v>0</v>
      </c>
      <c r="AJ288" s="46" t="str">
        <f t="shared" si="99"/>
        <v>-</v>
      </c>
      <c r="AK288" s="7" t="str">
        <f>IF(AH288,M_Sims!S210,"-")</f>
        <v>-</v>
      </c>
      <c r="AL288" s="51">
        <f>M_Sims!M210</f>
        <v>0</v>
      </c>
      <c r="AM288" s="6" t="str">
        <f t="shared" si="100"/>
        <v>-</v>
      </c>
    </row>
    <row r="289" spans="1:39" ht="15" customHeight="1" x14ac:dyDescent="0.3">
      <c r="A289" s="6" t="s">
        <v>279</v>
      </c>
      <c r="B289" s="7" t="str">
        <f>Odds_Input!C136</f>
        <v>Oklahoma City Thunder</v>
      </c>
      <c r="C289" s="6" t="s">
        <v>217</v>
      </c>
      <c r="D289" s="7" t="str">
        <f>Odds_Input!D136</f>
        <v>OVER</v>
      </c>
      <c r="E289" s="31">
        <f>Odds_Input!E136</f>
        <v>61.5</v>
      </c>
      <c r="F289" s="32">
        <f>Odds_Input!F136</f>
        <v>-125</v>
      </c>
      <c r="G289" s="36">
        <f>M_DeVig!H136</f>
        <v>1.8</v>
      </c>
      <c r="H289" s="7" t="str">
        <f>Odds_Input!G136</f>
        <v>-</v>
      </c>
      <c r="I289" s="42">
        <f>M_DeVig!Q136</f>
        <v>0.53387533873028026</v>
      </c>
      <c r="J289" s="42">
        <f>SUMPRODUCT((M_Sims!$B$48:$CF$48&gt;E289)*INDEX(M_Sims!$B$49:$CF$78,MATCH($C289,M_Sims!$A$49:$A$78,0),0))</f>
        <v>0.39930999999999994</v>
      </c>
      <c r="K289" s="43">
        <f t="shared" si="88"/>
        <v>150.43199519170571</v>
      </c>
      <c r="L289" s="34">
        <f t="shared" si="89"/>
        <v>-0.2812420000000001</v>
      </c>
      <c r="M289" s="38">
        <f t="shared" si="90"/>
        <v>-13.456533873028032</v>
      </c>
      <c r="N289" s="42">
        <f>M_Sims!B211</f>
        <v>-0.47977600000000009</v>
      </c>
      <c r="O289" s="42">
        <f>M_Sims!C211</f>
        <v>-9.7275999999999904E-2</v>
      </c>
      <c r="P289" s="42">
        <f>M_Sims!D211</f>
        <v>1.6666666666666601E-2</v>
      </c>
      <c r="Q289" s="34">
        <f t="shared" si="91"/>
        <v>0.4665926693651401</v>
      </c>
      <c r="R289" s="18" t="str">
        <f t="shared" si="92"/>
        <v>-</v>
      </c>
      <c r="S289" s="46" t="str">
        <f t="shared" si="93"/>
        <v>-</v>
      </c>
      <c r="T289" s="51" t="str">
        <f>IF(A_tier2_on=1,M_Sims!M211,"-")</f>
        <v>-</v>
      </c>
      <c r="U289" s="46" t="str">
        <f>IF(OR(A_bankroll="",A_tier2_on&lt;&gt;1),"-",MIN(A_maxbet,M_Sims!M211*A_bankroll))</f>
        <v>-</v>
      </c>
      <c r="V289" s="30">
        <f>M_Sims!H211</f>
        <v>1</v>
      </c>
      <c r="W289" s="6" t="b">
        <f>AND(H289&lt;&gt;"IMPUTED_20C_LADDER",L289&gt;=A_minev,N289&gt;0,V289=1,IF(A289="PLAYOFFS",A_poconf=1,TRUE),IF(AND(A289="WINS",A_zs_on=1),AND(AE289&gt;=A_minev,M_Sims!O211&gt;0),TRUE),AF289&gt;=A_minev,AG289&gt;0,IF(I289&lt;A_longthr,(1-A_shrink)*M_Sims!K211+A_shrink*(I289*G289-1)&gt;=A_minev,TRUE),IF(AND(OR(A289="WINS",A289="PLAYOFFS",LEFT(A289,4)="DIV_"),INDEX(Raw_Teams!$F$8:$F$37,MATCH($C289,Raw_Teams!$A$8:$A$37,0))&lt;A_contthr),AND(((1-A_contshrink)*J289+A_contshrink*I289)*G289-1&gt;=A_minev,(1-A_contshrink)*N289+A_contshrink*(I289*G289-1)&gt;0),TRUE),M_Sims!P211=0)</f>
        <v>0</v>
      </c>
      <c r="X289" s="6" t="s">
        <v>1314</v>
      </c>
      <c r="Y289" s="6" t="s">
        <v>1324</v>
      </c>
      <c r="Z289" s="6">
        <v>128</v>
      </c>
      <c r="AA289" s="7" t="str">
        <f t="shared" si="94"/>
        <v>OK - sims match current assumptions</v>
      </c>
      <c r="AB289" s="42">
        <f>INDEX(IF(D289="OVER",M_WinDist!$E$8:$E$37,M_WinDist!$F$8:$F$37),MATCH($C289,M_WinDist!$A$8:$A$37,0))</f>
        <v>0.39222939131210977</v>
      </c>
      <c r="AC289" s="34">
        <f t="shared" si="95"/>
        <v>-0.29398709563820236</v>
      </c>
      <c r="AD289" s="42">
        <f>(SUMPRODUCT((M_Sims!$B$48:$CF$48&gt;=INT(E289)+1)*INDEX(M_Sims!$B$49:$CF$78,MATCH($C289,M_Sims!$A$49:$A$78,0),0))+A_zs_delta*INDEX(INDEX(M_Sims!$B$49:$CF$78,MATCH($C289,M_Sims!$A$49:$A$78,0),0),1,INT(E289)+2))</f>
        <v>0.41703833333333329</v>
      </c>
      <c r="AE289" s="34">
        <f t="shared" si="96"/>
        <v>-0.24933100000000008</v>
      </c>
      <c r="AF289" s="34">
        <f t="shared" si="97"/>
        <v>-0.16013319514274782</v>
      </c>
      <c r="AG289" s="34">
        <f t="shared" si="98"/>
        <v>-0.25940019514274781</v>
      </c>
      <c r="AH289" s="6" t="b">
        <f>AND(W289,I289&gt;=A_t1_fair,((1-A_t1_shrink)*J289+A_t1_shrink*I289)*G289-1&gt;=A_minev,(1-A_t1_shrink)*N289+A_t1_shrink*(I289*G289-1)&gt;0,M_Sims!Q211=1)</f>
        <v>0</v>
      </c>
      <c r="AI289" s="18">
        <f>IF(AH289,M_Sims!R211*A_t1_cap/A_t1_engcap,0)</f>
        <v>0</v>
      </c>
      <c r="AJ289" s="46" t="str">
        <f t="shared" si="99"/>
        <v>-</v>
      </c>
      <c r="AK289" s="7" t="str">
        <f>IF(AH289,M_Sims!S211,"-")</f>
        <v>-</v>
      </c>
      <c r="AL289" s="51">
        <f>M_Sims!M211</f>
        <v>0</v>
      </c>
      <c r="AM289" s="6" t="str">
        <f t="shared" si="100"/>
        <v>-</v>
      </c>
    </row>
    <row r="290" spans="1:39" ht="15" customHeight="1" x14ac:dyDescent="0.3">
      <c r="A290" s="6" t="s">
        <v>279</v>
      </c>
      <c r="B290" s="7" t="str">
        <f>Odds_Input!C137</f>
        <v>Oklahoma City Thunder</v>
      </c>
      <c r="C290" s="6" t="s">
        <v>217</v>
      </c>
      <c r="D290" s="7" t="str">
        <f>Odds_Input!D137</f>
        <v>UNDER</v>
      </c>
      <c r="E290" s="31">
        <f>Odds_Input!E137</f>
        <v>61.5</v>
      </c>
      <c r="F290" s="32">
        <f>Odds_Input!F137</f>
        <v>105</v>
      </c>
      <c r="G290" s="36">
        <f>M_DeVig!H137</f>
        <v>2.0499999999999998</v>
      </c>
      <c r="H290" s="7" t="str">
        <f>Odds_Input!G137</f>
        <v>-</v>
      </c>
      <c r="I290" s="42">
        <f>M_DeVig!Q137</f>
        <v>0.46612466122030238</v>
      </c>
      <c r="J290" s="42">
        <f>1-SUMPRODUCT((M_Sims!$B$48:$CF$48&gt;E290)*INDEX(M_Sims!$B$49:$CF$78,MATCH($C290,M_Sims!$A$49:$A$78,0),0))</f>
        <v>0.60069000000000006</v>
      </c>
      <c r="K290" s="43">
        <f t="shared" si="88"/>
        <v>-150.43199519170571</v>
      </c>
      <c r="L290" s="34">
        <f t="shared" si="89"/>
        <v>0.23141450000000008</v>
      </c>
      <c r="M290" s="38">
        <f t="shared" si="90"/>
        <v>13.456533877969768</v>
      </c>
      <c r="N290" s="42">
        <f>M_Sims!B212</f>
        <v>2.1897666666666499E-2</v>
      </c>
      <c r="O290" s="42">
        <f>M_Sims!C212</f>
        <v>0.45752266666666658</v>
      </c>
      <c r="P290" s="42">
        <f>M_Sims!D212</f>
        <v>0.91666666666666663</v>
      </c>
      <c r="Q290" s="34">
        <f t="shared" si="91"/>
        <v>0.53340733061015122</v>
      </c>
      <c r="R290" s="18" t="str">
        <f t="shared" si="92"/>
        <v>-</v>
      </c>
      <c r="S290" s="46" t="str">
        <f t="shared" si="93"/>
        <v>-</v>
      </c>
      <c r="T290" s="51" t="str">
        <f>IF(A_tier2_on=1,M_Sims!M212,"-")</f>
        <v>-</v>
      </c>
      <c r="U290" s="46" t="str">
        <f>IF(OR(A_bankroll="",A_tier2_on&lt;&gt;1),"-",MIN(A_maxbet,M_Sims!M212*A_bankroll))</f>
        <v>-</v>
      </c>
      <c r="V290" s="30">
        <f>M_Sims!H212</f>
        <v>1</v>
      </c>
      <c r="W290" s="6" t="b">
        <f>AND(H290&lt;&gt;"IMPUTED_20C_LADDER",L290&gt;=A_minev,N290&gt;0,V290=1,IF(A290="PLAYOFFS",A_poconf=1,TRUE),IF(AND(A290="WINS",A_zs_on=1),AND(AE290&gt;=A_minev,M_Sims!O212&gt;0),TRUE),AF290&gt;=A_minev,AG290&gt;0,IF(I290&lt;A_longthr,(1-A_shrink)*M_Sims!K212+A_shrink*(I290*G290-1)&gt;=A_minev,TRUE),IF(AND(OR(A290="WINS",A290="PLAYOFFS",LEFT(A290,4)="DIV_"),INDEX(Raw_Teams!$F$8:$F$37,MATCH($C290,Raw_Teams!$A$8:$A$37,0))&lt;A_contthr),AND(((1-A_contshrink)*J290+A_contshrink*I290)*G290-1&gt;=A_minev,(1-A_contshrink)*N290+A_contshrink*(I290*G290-1)&gt;0),TRUE),M_Sims!P212=0)</f>
        <v>0</v>
      </c>
      <c r="X290" s="6" t="s">
        <v>1314</v>
      </c>
      <c r="Y290" s="6" t="s">
        <v>1324</v>
      </c>
      <c r="Z290" s="6">
        <v>129</v>
      </c>
      <c r="AA290" s="7" t="str">
        <f t="shared" si="94"/>
        <v>OK - sims match current assumptions</v>
      </c>
      <c r="AB290" s="42">
        <f>INDEX(IF(D290="OVER",M_WinDist!$E$8:$E$37,M_WinDist!$F$8:$F$37),MATCH($C290,M_WinDist!$A$8:$A$37,0))</f>
        <v>0.60777060868789023</v>
      </c>
      <c r="AC290" s="34">
        <f t="shared" si="95"/>
        <v>0.24592974781017496</v>
      </c>
      <c r="AD290" s="42">
        <f>1-(SUMPRODUCT((M_Sims!$B$48:$CF$48&gt;=INT(E290)+1)*INDEX(M_Sims!$B$49:$CF$78,MATCH($C290,M_Sims!$A$49:$A$78,0),0))+A_zs_delta*INDEX(INDEX(M_Sims!$B$49:$CF$78,MATCH($C290,M_Sims!$A$49:$A$78,0),0),1,INT(E290)+2))</f>
        <v>0.58296166666666671</v>
      </c>
      <c r="AE290" s="34">
        <f t="shared" si="96"/>
        <v>0.19507141666666672</v>
      </c>
      <c r="AF290" s="34">
        <f t="shared" si="97"/>
        <v>9.3485027750809913E-2</v>
      </c>
      <c r="AG290" s="34">
        <f t="shared" si="98"/>
        <v>-1.1273388915856821E-2</v>
      </c>
      <c r="AH290" s="6" t="b">
        <f>AND(W290,I290&gt;=A_t1_fair,((1-A_t1_shrink)*J290+A_t1_shrink*I290)*G290-1&gt;=A_minev,(1-A_t1_shrink)*N290+A_t1_shrink*(I290*G290-1)&gt;0,M_Sims!Q212=1)</f>
        <v>0</v>
      </c>
      <c r="AI290" s="18">
        <f>IF(AH290,M_Sims!R212*A_t1_cap/A_t1_engcap,0)</f>
        <v>0</v>
      </c>
      <c r="AJ290" s="46" t="str">
        <f t="shared" si="99"/>
        <v>-</v>
      </c>
      <c r="AK290" s="7" t="str">
        <f>IF(AH290,M_Sims!S212,"-")</f>
        <v>-</v>
      </c>
      <c r="AL290" s="51">
        <f>M_Sims!M212</f>
        <v>0</v>
      </c>
      <c r="AM290" s="6" t="str">
        <f t="shared" si="100"/>
        <v>-</v>
      </c>
    </row>
    <row r="291" spans="1:39" ht="15" customHeight="1" x14ac:dyDescent="0.3">
      <c r="A291" s="6" t="s">
        <v>279</v>
      </c>
      <c r="B291" s="7" t="str">
        <f>Odds_Input!C138</f>
        <v>San Antonio Spurs</v>
      </c>
      <c r="C291" s="6" t="s">
        <v>223</v>
      </c>
      <c r="D291" s="7" t="str">
        <f>Odds_Input!D138</f>
        <v>OVER</v>
      </c>
      <c r="E291" s="31">
        <f>Odds_Input!E138</f>
        <v>59.5</v>
      </c>
      <c r="F291" s="32">
        <f>Odds_Input!F138</f>
        <v>-135</v>
      </c>
      <c r="G291" s="36">
        <f>M_DeVig!H138</f>
        <v>1.7407407407407407</v>
      </c>
      <c r="H291" s="7" t="str">
        <f>Odds_Input!G138</f>
        <v>-</v>
      </c>
      <c r="I291" s="42">
        <f>M_DeVig!Q138</f>
        <v>0.55467590301630942</v>
      </c>
      <c r="J291" s="42">
        <f>SUMPRODUCT((M_Sims!$B$48:$CF$48&gt;E291)*INDEX(M_Sims!$B$49:$CF$78,MATCH($C291,M_Sims!$A$49:$A$78,0),0))</f>
        <v>0.27406000000000003</v>
      </c>
      <c r="K291" s="43">
        <f t="shared" si="88"/>
        <v>264.88360213092022</v>
      </c>
      <c r="L291" s="34">
        <f t="shared" si="89"/>
        <v>-0.5229325925925925</v>
      </c>
      <c r="M291" s="38">
        <f t="shared" si="90"/>
        <v>-28.06159030163094</v>
      </c>
      <c r="N291" s="42">
        <f>M_Sims!B213</f>
        <v>-0.60557135802469131</v>
      </c>
      <c r="O291" s="42">
        <f>M_Sims!C213</f>
        <v>-0.42382641975308638</v>
      </c>
      <c r="P291" s="42">
        <f>M_Sims!D213</f>
        <v>0</v>
      </c>
      <c r="Q291" s="34">
        <f t="shared" si="91"/>
        <v>0.41436795150815475</v>
      </c>
      <c r="R291" s="18" t="str">
        <f t="shared" si="92"/>
        <v>-</v>
      </c>
      <c r="S291" s="46" t="str">
        <f t="shared" si="93"/>
        <v>-</v>
      </c>
      <c r="T291" s="51" t="str">
        <f>IF(A_tier2_on=1,M_Sims!M213,"-")</f>
        <v>-</v>
      </c>
      <c r="U291" s="46" t="str">
        <f>IF(OR(A_bankroll="",A_tier2_on&lt;&gt;1),"-",MIN(A_maxbet,M_Sims!M213*A_bankroll))</f>
        <v>-</v>
      </c>
      <c r="V291" s="30">
        <f>M_Sims!H213</f>
        <v>1</v>
      </c>
      <c r="W291" s="6" t="b">
        <f>AND(H291&lt;&gt;"IMPUTED_20C_LADDER",L291&gt;=A_minev,N291&gt;0,V291=1,IF(A291="PLAYOFFS",A_poconf=1,TRUE),IF(AND(A291="WINS",A_zs_on=1),AND(AE291&gt;=A_minev,M_Sims!O213&gt;0),TRUE),AF291&gt;=A_minev,AG291&gt;0,IF(I291&lt;A_longthr,(1-A_shrink)*M_Sims!K213+A_shrink*(I291*G291-1)&gt;=A_minev,TRUE),IF(AND(OR(A291="WINS",A291="PLAYOFFS",LEFT(A291,4)="DIV_"),INDEX(Raw_Teams!$F$8:$F$37,MATCH($C291,Raw_Teams!$A$8:$A$37,0))&lt;A_contthr),AND(((1-A_contshrink)*J291+A_contshrink*I291)*G291-1&gt;=A_minev,(1-A_contshrink)*N291+A_contshrink*(I291*G291-1)&gt;0),TRUE),M_Sims!P213=0)</f>
        <v>0</v>
      </c>
      <c r="X291" s="6" t="s">
        <v>1314</v>
      </c>
      <c r="Y291" s="6" t="s">
        <v>1324</v>
      </c>
      <c r="Z291" s="6">
        <v>130</v>
      </c>
      <c r="AA291" s="7" t="str">
        <f t="shared" si="94"/>
        <v>OK - sims match current assumptions</v>
      </c>
      <c r="AB291" s="42">
        <f>INDEX(IF(D291="OVER",M_WinDist!$E$8:$E$37,M_WinDist!$F$8:$F$37),MATCH($C291,M_WinDist!$A$8:$A$37,0))</f>
        <v>0.28037384316159275</v>
      </c>
      <c r="AC291" s="34">
        <f t="shared" si="95"/>
        <v>-0.51194182857056081</v>
      </c>
      <c r="AD291" s="42">
        <f>(SUMPRODUCT((M_Sims!$B$48:$CF$48&gt;=INT(E291)+1)*INDEX(M_Sims!$B$49:$CF$78,MATCH($C291,M_Sims!$A$49:$A$78,0),0))+A_zs_delta*INDEX(INDEX(M_Sims!$B$49:$CF$78,MATCH($C291,M_Sims!$A$49:$A$78,0),0),1,INT(E291)+2))</f>
        <v>0.28847733333333336</v>
      </c>
      <c r="AE291" s="34">
        <f t="shared" si="96"/>
        <v>-0.4978357530864197</v>
      </c>
      <c r="AF291" s="34">
        <f t="shared" si="97"/>
        <v>-0.2786928251524714</v>
      </c>
      <c r="AG291" s="34">
        <f t="shared" si="98"/>
        <v>-0.3200122078685208</v>
      </c>
      <c r="AH291" s="6" t="b">
        <f>AND(W291,I291&gt;=A_t1_fair,((1-A_t1_shrink)*J291+A_t1_shrink*I291)*G291-1&gt;=A_minev,(1-A_t1_shrink)*N291+A_t1_shrink*(I291*G291-1)&gt;0,M_Sims!Q213=1)</f>
        <v>0</v>
      </c>
      <c r="AI291" s="18">
        <f>IF(AH291,M_Sims!R213*A_t1_cap/A_t1_engcap,0)</f>
        <v>0</v>
      </c>
      <c r="AJ291" s="46" t="str">
        <f t="shared" si="99"/>
        <v>-</v>
      </c>
      <c r="AK291" s="7" t="str">
        <f>IF(AH291,M_Sims!S213,"-")</f>
        <v>-</v>
      </c>
      <c r="AL291" s="51">
        <f>M_Sims!M213</f>
        <v>0</v>
      </c>
      <c r="AM291" s="6" t="str">
        <f t="shared" si="100"/>
        <v>-</v>
      </c>
    </row>
    <row r="292" spans="1:39" ht="15" customHeight="1" x14ac:dyDescent="0.3">
      <c r="A292" s="6" t="s">
        <v>279</v>
      </c>
      <c r="B292" s="7" t="str">
        <f>Odds_Input!C139</f>
        <v>San Antonio Spurs</v>
      </c>
      <c r="C292" s="6" t="s">
        <v>223</v>
      </c>
      <c r="D292" s="7" t="str">
        <f>Odds_Input!D139</f>
        <v>UNDER</v>
      </c>
      <c r="E292" s="31">
        <f>Odds_Input!E139</f>
        <v>59.5</v>
      </c>
      <c r="F292" s="32">
        <f>Odds_Input!F139</f>
        <v>115</v>
      </c>
      <c r="G292" s="36">
        <f>M_DeVig!H139</f>
        <v>2.15</v>
      </c>
      <c r="H292" s="7" t="str">
        <f>Odds_Input!G139</f>
        <v>-</v>
      </c>
      <c r="I292" s="42">
        <f>M_DeVig!Q139</f>
        <v>0.44532409697922487</v>
      </c>
      <c r="J292" s="42">
        <f>1-SUMPRODUCT((M_Sims!$B$48:$CF$48&gt;E292)*INDEX(M_Sims!$B$49:$CF$78,MATCH($C292,M_Sims!$A$49:$A$78,0),0))</f>
        <v>0.72594000000000003</v>
      </c>
      <c r="K292" s="43">
        <f t="shared" si="88"/>
        <v>-264.88360213092028</v>
      </c>
      <c r="L292" s="34">
        <f t="shared" si="89"/>
        <v>0.56077099999999991</v>
      </c>
      <c r="M292" s="38">
        <f t="shared" si="90"/>
        <v>28.061590302077516</v>
      </c>
      <c r="N292" s="42">
        <f>M_Sims!B214</f>
        <v>0.43836433333333341</v>
      </c>
      <c r="O292" s="42">
        <f>M_Sims!C214</f>
        <v>0.66283866666666658</v>
      </c>
      <c r="P292" s="42">
        <f>M_Sims!D214</f>
        <v>1</v>
      </c>
      <c r="Q292" s="34">
        <f t="shared" si="91"/>
        <v>0.58563204848961248</v>
      </c>
      <c r="R292" s="18" t="str">
        <f t="shared" si="92"/>
        <v>-</v>
      </c>
      <c r="S292" s="46" t="str">
        <f t="shared" si="93"/>
        <v>-</v>
      </c>
      <c r="T292" s="51" t="str">
        <f>IF(A_tier2_on=1,M_Sims!M214,"-")</f>
        <v>-</v>
      </c>
      <c r="U292" s="46" t="str">
        <f>IF(OR(A_bankroll="",A_tier2_on&lt;&gt;1),"-",MIN(A_maxbet,M_Sims!M214*A_bankroll))</f>
        <v>-</v>
      </c>
      <c r="V292" s="30">
        <f>M_Sims!H214</f>
        <v>1</v>
      </c>
      <c r="W292" s="6" t="b">
        <f>AND(H292&lt;&gt;"IMPUTED_20C_LADDER",L292&gt;=A_minev,N292&gt;0,V292=1,IF(A292="PLAYOFFS",A_poconf=1,TRUE),IF(AND(A292="WINS",A_zs_on=1),AND(AE292&gt;=A_minev,M_Sims!O214&gt;0),TRUE),AF292&gt;=A_minev,AG292&gt;0,IF(I292&lt;A_longthr,(1-A_shrink)*M_Sims!K214+A_shrink*(I292*G292-1)&gt;=A_minev,TRUE),IF(AND(OR(A292="WINS",A292="PLAYOFFS",LEFT(A292,4)="DIV_"),INDEX(Raw_Teams!$F$8:$F$37,MATCH($C292,Raw_Teams!$A$8:$A$37,0))&lt;A_contthr),AND(((1-A_contshrink)*J292+A_contshrink*I292)*G292-1&gt;=A_minev,(1-A_contshrink)*N292+A_contshrink*(I292*G292-1)&gt;0),TRUE),M_Sims!P214=0)</f>
        <v>0</v>
      </c>
      <c r="X292" s="6" t="s">
        <v>1314</v>
      </c>
      <c r="Y292" s="6" t="s">
        <v>1324</v>
      </c>
      <c r="Z292" s="6">
        <v>131</v>
      </c>
      <c r="AA292" s="7" t="str">
        <f t="shared" si="94"/>
        <v>OK - sims match current assumptions</v>
      </c>
      <c r="AB292" s="42">
        <f>INDEX(IF(D292="OVER",M_WinDist!$E$8:$E$37,M_WinDist!$F$8:$F$37),MATCH($C292,M_WinDist!$A$8:$A$37,0))</f>
        <v>0.71962615683840725</v>
      </c>
      <c r="AC292" s="34">
        <f t="shared" si="95"/>
        <v>0.5471962372025756</v>
      </c>
      <c r="AD292" s="42">
        <f>1-(SUMPRODUCT((M_Sims!$B$48:$CF$48&gt;=INT(E292)+1)*INDEX(M_Sims!$B$49:$CF$78,MATCH($C292,M_Sims!$A$49:$A$78,0),0))+A_zs_delta*INDEX(INDEX(M_Sims!$B$49:$CF$78,MATCH($C292,M_Sims!$A$49:$A$78,0),0),1,INT(E292)+2))</f>
        <v>0.71152266666666664</v>
      </c>
      <c r="AE292" s="34">
        <f t="shared" si="96"/>
        <v>0.52977373333333322</v>
      </c>
      <c r="AF292" s="34">
        <f t="shared" si="97"/>
        <v>0.25910890425266686</v>
      </c>
      <c r="AG292" s="34">
        <f t="shared" si="98"/>
        <v>0.19790557091933345</v>
      </c>
      <c r="AH292" s="6" t="b">
        <f>AND(W292,I292&gt;=A_t1_fair,((1-A_t1_shrink)*J292+A_t1_shrink*I292)*G292-1&gt;=A_minev,(1-A_t1_shrink)*N292+A_t1_shrink*(I292*G292-1)&gt;0,M_Sims!Q214=1)</f>
        <v>0</v>
      </c>
      <c r="AI292" s="18">
        <f>IF(AH292,M_Sims!R214*A_t1_cap/A_t1_engcap,0)</f>
        <v>0</v>
      </c>
      <c r="AJ292" s="46" t="str">
        <f t="shared" si="99"/>
        <v>-</v>
      </c>
      <c r="AK292" s="7" t="str">
        <f>IF(AH292,M_Sims!S214,"-")</f>
        <v>-</v>
      </c>
      <c r="AL292" s="51">
        <f>M_Sims!M214</f>
        <v>0</v>
      </c>
      <c r="AM292" s="6" t="str">
        <f t="shared" si="100"/>
        <v>-</v>
      </c>
    </row>
    <row r="293" spans="1:39" ht="15" customHeight="1" x14ac:dyDescent="0.3">
      <c r="A293" s="52" t="s">
        <v>279</v>
      </c>
      <c r="B293" s="53" t="str">
        <f>Odds_Input!C140</f>
        <v>Atlanta Hawks</v>
      </c>
      <c r="C293" s="52" t="s">
        <v>197</v>
      </c>
      <c r="D293" s="53" t="str">
        <f>Odds_Input!D140</f>
        <v>OVER</v>
      </c>
      <c r="E293" s="54">
        <f>Odds_Input!E140</f>
        <v>44.5</v>
      </c>
      <c r="F293" s="55">
        <f>Odds_Input!F140</f>
        <v>105</v>
      </c>
      <c r="G293" s="56">
        <f>M_DeVig!H140</f>
        <v>2.0499999999999998</v>
      </c>
      <c r="H293" s="53" t="str">
        <f>Odds_Input!G140</f>
        <v>BACKFILL_PDF_TEXT</v>
      </c>
      <c r="I293" s="42">
        <f>M_DeVig!Q140</f>
        <v>0.46612466122030238</v>
      </c>
      <c r="J293" s="42">
        <f>SUMPRODUCT((M_Sims!$B$48:$CF$48&gt;E293)*INDEX(M_Sims!$B$49:$CF$78,MATCH($C293,M_Sims!$A$49:$A$78,0),0))</f>
        <v>0.33594999999999997</v>
      </c>
      <c r="K293" s="43">
        <f t="shared" si="88"/>
        <v>197.6633427593392</v>
      </c>
      <c r="L293" s="34">
        <f t="shared" si="89"/>
        <v>-0.31130250000000015</v>
      </c>
      <c r="M293" s="38">
        <f t="shared" si="90"/>
        <v>-13.017466122030241</v>
      </c>
      <c r="N293" s="42">
        <f>M_Sims!B215</f>
        <v>-0.44373933333333337</v>
      </c>
      <c r="O293" s="42">
        <f>M_Sims!C215</f>
        <v>-0.158024</v>
      </c>
      <c r="P293" s="42">
        <f>M_Sims!D215</f>
        <v>0</v>
      </c>
      <c r="Q293" s="34">
        <f t="shared" si="91"/>
        <v>0.40103733061015118</v>
      </c>
      <c r="R293" s="18" t="str">
        <f t="shared" si="92"/>
        <v>-</v>
      </c>
      <c r="S293" s="46" t="str">
        <f t="shared" si="93"/>
        <v>-</v>
      </c>
      <c r="T293" s="51" t="str">
        <f>IF(A_tier2_on=1,M_Sims!M215,"-")</f>
        <v>-</v>
      </c>
      <c r="U293" s="46" t="str">
        <f>IF(OR(A_bankroll="",A_tier2_on&lt;&gt;1),"-",MIN(A_maxbet,M_Sims!M215*A_bankroll))</f>
        <v>-</v>
      </c>
      <c r="V293" s="30">
        <f>M_Sims!H215</f>
        <v>1</v>
      </c>
      <c r="W293" s="6" t="b">
        <f>AND(H293&lt;&gt;"IMPUTED_20C_LADDER",L293&gt;=A_minev,N293&gt;0,V293=1,IF(A293="PLAYOFFS",A_poconf=1,TRUE),IF(AND(A293="WINS",A_zs_on=1),AND(AE293&gt;=A_minev,M_Sims!O215&gt;0),TRUE),AF293&gt;=A_minev,AG293&gt;0,IF(I293&lt;A_longthr,(1-A_shrink)*M_Sims!K215+A_shrink*(I293*G293-1)&gt;=A_minev,TRUE),IF(AND(OR(A293="WINS",A293="PLAYOFFS",LEFT(A293,4)="DIV_"),INDEX(Raw_Teams!$F$8:$F$37,MATCH($C293,Raw_Teams!$A$8:$A$37,0))&lt;A_contthr),AND(((1-A_contshrink)*J293+A_contshrink*I293)*G293-1&gt;=A_minev,(1-A_contshrink)*N293+A_contshrink*(I293*G293-1)&gt;0),TRUE),M_Sims!P215=0)</f>
        <v>0</v>
      </c>
      <c r="X293" s="6" t="s">
        <v>1315</v>
      </c>
      <c r="Y293" s="6" t="s">
        <v>1324</v>
      </c>
      <c r="Z293" s="6">
        <v>132</v>
      </c>
      <c r="AA293" s="7" t="str">
        <f t="shared" si="94"/>
        <v>OK - sims match current assumptions</v>
      </c>
      <c r="AB293" s="42">
        <f>INDEX(IF(D293="OVER",M_WinDist!$E$8:$E$37,M_WinDist!$F$8:$F$37),MATCH($C293,M_WinDist!$A$8:$A$37,0))</f>
        <v>0.34069948715040299</v>
      </c>
      <c r="AC293" s="34">
        <f t="shared" si="95"/>
        <v>-0.30156605134167391</v>
      </c>
      <c r="AD293" s="42">
        <f>(SUMPRODUCT((M_Sims!$B$48:$CF$48&gt;=INT(E293)+1)*INDEX(M_Sims!$B$49:$CF$78,MATCH($C293,M_Sims!$A$49:$A$78,0),0))+A_zs_delta*INDEX(INDEX(M_Sims!$B$49:$CF$78,MATCH($C293,M_Sims!$A$49:$A$78,0),0),1,INT(E293)+2))</f>
        <v>0.35014733333333331</v>
      </c>
      <c r="AE293" s="34">
        <f t="shared" si="96"/>
        <v>-0.28219796666666674</v>
      </c>
      <c r="AF293" s="34">
        <f t="shared" si="97"/>
        <v>-0.17787347224919015</v>
      </c>
      <c r="AG293" s="34">
        <f t="shared" si="98"/>
        <v>-0.24409188891585676</v>
      </c>
      <c r="AH293" s="6" t="b">
        <f>AND(W293,I293&gt;=A_t1_fair,((1-A_t1_shrink)*J293+A_t1_shrink*I293)*G293-1&gt;=A_minev,(1-A_t1_shrink)*N293+A_t1_shrink*(I293*G293-1)&gt;0,M_Sims!Q215=1)</f>
        <v>0</v>
      </c>
      <c r="AI293" s="18">
        <f>IF(AH293,M_Sims!R215*A_t1_cap/A_t1_engcap,0)</f>
        <v>0</v>
      </c>
      <c r="AJ293" s="46" t="str">
        <f t="shared" si="99"/>
        <v>-</v>
      </c>
      <c r="AK293" s="7" t="str">
        <f>IF(AH293,M_Sims!S215,"-")</f>
        <v>-</v>
      </c>
      <c r="AL293" s="51">
        <f>M_Sims!M215</f>
        <v>0</v>
      </c>
      <c r="AM293" s="6" t="str">
        <f t="shared" si="100"/>
        <v>-</v>
      </c>
    </row>
    <row r="294" spans="1:39" ht="15" customHeight="1" x14ac:dyDescent="0.3">
      <c r="A294" s="6" t="s">
        <v>279</v>
      </c>
      <c r="B294" s="7" t="str">
        <f>Odds_Input!C141</f>
        <v>Atlanta Hawks</v>
      </c>
      <c r="C294" s="6" t="s">
        <v>197</v>
      </c>
      <c r="D294" s="7" t="str">
        <f>Odds_Input!D141</f>
        <v>UNDER</v>
      </c>
      <c r="E294" s="31">
        <f>Odds_Input!E141</f>
        <v>44.5</v>
      </c>
      <c r="F294" s="32">
        <f>Odds_Input!F141</f>
        <v>-125</v>
      </c>
      <c r="G294" s="36">
        <f>M_DeVig!H141</f>
        <v>1.8</v>
      </c>
      <c r="H294" s="7" t="str">
        <f>Odds_Input!G141</f>
        <v>-</v>
      </c>
      <c r="I294" s="42">
        <f>M_DeVig!Q141</f>
        <v>0.53387533873028026</v>
      </c>
      <c r="J294" s="42">
        <f>1-SUMPRODUCT((M_Sims!$B$48:$CF$48&gt;E294)*INDEX(M_Sims!$B$49:$CF$78,MATCH($C294,M_Sims!$A$49:$A$78,0),0))</f>
        <v>0.66405000000000003</v>
      </c>
      <c r="K294" s="43">
        <f t="shared" si="88"/>
        <v>-197.6633427593392</v>
      </c>
      <c r="L294" s="34">
        <f t="shared" si="89"/>
        <v>0.19529000000000019</v>
      </c>
      <c r="M294" s="38">
        <f t="shared" si="90"/>
        <v>13.017466126971977</v>
      </c>
      <c r="N294" s="42">
        <f>M_Sims!B216</f>
        <v>6.07039999999998E-2</v>
      </c>
      <c r="O294" s="42">
        <f>M_Sims!C216</f>
        <v>0.31157599999999991</v>
      </c>
      <c r="P294" s="42">
        <f>M_Sims!D216</f>
        <v>1</v>
      </c>
      <c r="Q294" s="34">
        <f t="shared" si="91"/>
        <v>0.5989626693651402</v>
      </c>
      <c r="R294" s="18" t="str">
        <f t="shared" si="92"/>
        <v>-</v>
      </c>
      <c r="S294" s="46" t="str">
        <f t="shared" si="93"/>
        <v>-</v>
      </c>
      <c r="T294" s="51" t="str">
        <f>IF(A_tier2_on=1,M_Sims!M216,"-")</f>
        <v>-</v>
      </c>
      <c r="U294" s="46" t="str">
        <f>IF(OR(A_bankroll="",A_tier2_on&lt;&gt;1),"-",MIN(A_maxbet,M_Sims!M216*A_bankroll))</f>
        <v>-</v>
      </c>
      <c r="V294" s="30">
        <f>M_Sims!H216</f>
        <v>1</v>
      </c>
      <c r="W294" s="6" t="b">
        <f>AND(H294&lt;&gt;"IMPUTED_20C_LADDER",L294&gt;=A_minev,N294&gt;0,V294=1,IF(A294="PLAYOFFS",A_poconf=1,TRUE),IF(AND(A294="WINS",A_zs_on=1),AND(AE294&gt;=A_minev,M_Sims!O216&gt;0),TRUE),AF294&gt;=A_minev,AG294&gt;0,IF(I294&lt;A_longthr,(1-A_shrink)*M_Sims!K216+A_shrink*(I294*G294-1)&gt;=A_minev,TRUE),IF(AND(OR(A294="WINS",A294="PLAYOFFS",LEFT(A294,4)="DIV_"),INDEX(Raw_Teams!$F$8:$F$37,MATCH($C294,Raw_Teams!$A$8:$A$37,0))&lt;A_contthr),AND(((1-A_contshrink)*J294+A_contshrink*I294)*G294-1&gt;=A_minev,(1-A_contshrink)*N294+A_contshrink*(I294*G294-1)&gt;0),TRUE),M_Sims!P216=0)</f>
        <v>1</v>
      </c>
      <c r="X294" s="6" t="s">
        <v>1315</v>
      </c>
      <c r="Y294" s="6" t="s">
        <v>1324</v>
      </c>
      <c r="Z294" s="6">
        <v>133</v>
      </c>
      <c r="AA294" s="7" t="str">
        <f t="shared" si="94"/>
        <v>OK - sims match current assumptions</v>
      </c>
      <c r="AB294" s="42">
        <f>INDEX(IF(D294="OVER",M_WinDist!$E$8:$E$37,M_WinDist!$F$8:$F$37),MATCH($C294,M_WinDist!$A$8:$A$37,0))</f>
        <v>0.65930051284959701</v>
      </c>
      <c r="AC294" s="34">
        <f t="shared" si="95"/>
        <v>0.18674092312927471</v>
      </c>
      <c r="AD294" s="42">
        <f>1-(SUMPRODUCT((M_Sims!$B$48:$CF$48&gt;=INT(E294)+1)*INDEX(M_Sims!$B$49:$CF$78,MATCH($C294,M_Sims!$A$49:$A$78,0),0))+A_zs_delta*INDEX(INDEX(M_Sims!$B$49:$CF$78,MATCH($C294,M_Sims!$A$49:$A$78,0),0),1,INT(E294)+2))</f>
        <v>0.64985266666666663</v>
      </c>
      <c r="AE294" s="34">
        <f t="shared" si="96"/>
        <v>0.16973480000000007</v>
      </c>
      <c r="AF294" s="34">
        <f t="shared" si="97"/>
        <v>7.8132804857252491E-2</v>
      </c>
      <c r="AG294" s="34">
        <f t="shared" si="98"/>
        <v>1.0839804857252132E-2</v>
      </c>
      <c r="AH294" s="6" t="b">
        <f>AND(W294,I294&gt;=A_t1_fair,((1-A_t1_shrink)*J294+A_t1_shrink*I294)*G294-1&gt;=A_minev,(1-A_t1_shrink)*N294+A_t1_shrink*(I294*G294-1)&gt;0,M_Sims!Q216=1)</f>
        <v>0</v>
      </c>
      <c r="AI294" s="18">
        <f>IF(AH294,M_Sims!R216*A_t1_cap/A_t1_engcap,0)</f>
        <v>0</v>
      </c>
      <c r="AJ294" s="46" t="str">
        <f t="shared" si="99"/>
        <v>-</v>
      </c>
      <c r="AK294" s="7" t="str">
        <f>IF(AH294,M_Sims!S216,"-")</f>
        <v>-</v>
      </c>
      <c r="AL294" s="51">
        <f>M_Sims!M216</f>
        <v>9.1408861279461996E-3</v>
      </c>
      <c r="AM294" s="6" t="str">
        <f t="shared" si="100"/>
        <v>Tier 2</v>
      </c>
    </row>
    <row r="295" spans="1:39" ht="15" customHeight="1" x14ac:dyDescent="0.3">
      <c r="A295" s="6" t="s">
        <v>279</v>
      </c>
      <c r="B295" s="7" t="str">
        <f>Odds_Input!C142</f>
        <v>Milwaukee Bucks</v>
      </c>
      <c r="C295" s="6" t="s">
        <v>213</v>
      </c>
      <c r="D295" s="7" t="str">
        <f>Odds_Input!D142</f>
        <v>OVER</v>
      </c>
      <c r="E295" s="31">
        <f>Odds_Input!E142</f>
        <v>25.5</v>
      </c>
      <c r="F295" s="32">
        <f>Odds_Input!F142</f>
        <v>-120</v>
      </c>
      <c r="G295" s="36">
        <f>M_DeVig!H142</f>
        <v>1.8333333333333335</v>
      </c>
      <c r="H295" s="7" t="str">
        <f>Odds_Input!G142</f>
        <v>-</v>
      </c>
      <c r="I295" s="42">
        <f>M_DeVig!Q142</f>
        <v>0.52272727270008856</v>
      </c>
      <c r="J295" s="42">
        <f>SUMPRODUCT((M_Sims!$B$48:$CF$48&gt;E295)*INDEX(M_Sims!$B$49:$CF$78,MATCH($C295,M_Sims!$A$49:$A$78,0),0))</f>
        <v>0.68523999999999985</v>
      </c>
      <c r="K295" s="43">
        <f t="shared" si="88"/>
        <v>-217.70237641377543</v>
      </c>
      <c r="L295" s="34">
        <f t="shared" si="89"/>
        <v>0.25627333333333313</v>
      </c>
      <c r="M295" s="38">
        <f t="shared" si="90"/>
        <v>16.251272729991129</v>
      </c>
      <c r="N295" s="42">
        <f>M_Sims!B217</f>
        <v>0.18681444444444439</v>
      </c>
      <c r="O295" s="42">
        <f>M_Sims!C217</f>
        <v>0.33593777777777778</v>
      </c>
      <c r="P295" s="42">
        <f>M_Sims!D217</f>
        <v>1</v>
      </c>
      <c r="Q295" s="34">
        <f t="shared" si="91"/>
        <v>0.60398363635004415</v>
      </c>
      <c r="R295" s="18" t="str">
        <f t="shared" si="92"/>
        <v>-</v>
      </c>
      <c r="S295" s="46" t="str">
        <f t="shared" si="93"/>
        <v>-</v>
      </c>
      <c r="T295" s="51" t="str">
        <f>IF(A_tier2_on=1,M_Sims!M217,"-")</f>
        <v>-</v>
      </c>
      <c r="U295" s="46" t="str">
        <f>IF(OR(A_bankroll="",A_tier2_on&lt;&gt;1),"-",MIN(A_maxbet,M_Sims!M217*A_bankroll))</f>
        <v>-</v>
      </c>
      <c r="V295" s="30">
        <f>M_Sims!H217</f>
        <v>1</v>
      </c>
      <c r="W295" s="6" t="b">
        <f>AND(H295&lt;&gt;"IMPUTED_20C_LADDER",L295&gt;=A_minev,N295&gt;0,V295=1,IF(A295="PLAYOFFS",A_poconf=1,TRUE),IF(AND(A295="WINS",A_zs_on=1),AND(AE295&gt;=A_minev,M_Sims!O217&gt;0),TRUE),AF295&gt;=A_minev,AG295&gt;0,IF(I295&lt;A_longthr,(1-A_shrink)*M_Sims!K217+A_shrink*(I295*G295-1)&gt;=A_minev,TRUE),IF(AND(OR(A295="WINS",A295="PLAYOFFS",LEFT(A295,4)="DIV_"),INDEX(Raw_Teams!$F$8:$F$37,MATCH($C295,Raw_Teams!$A$8:$A$37,0))&lt;A_contthr),AND(((1-A_contshrink)*J295+A_contshrink*I295)*G295-1&gt;=A_minev,(1-A_contshrink)*N295+A_contshrink*(I295*G295-1)&gt;0),TRUE),M_Sims!P217=0)</f>
        <v>0</v>
      </c>
      <c r="X295" s="6" t="s">
        <v>1315</v>
      </c>
      <c r="Y295" s="6" t="s">
        <v>1324</v>
      </c>
      <c r="Z295" s="6">
        <v>134</v>
      </c>
      <c r="AA295" s="7" t="str">
        <f t="shared" si="94"/>
        <v>OK - sims match current assumptions</v>
      </c>
      <c r="AB295" s="42">
        <f>INDEX(IF(D295="OVER",M_WinDist!$E$8:$E$37,M_WinDist!$F$8:$F$37),MATCH($C295,M_WinDist!$A$8:$A$37,0))</f>
        <v>0.68614316968640954</v>
      </c>
      <c r="AC295" s="34">
        <f t="shared" si="95"/>
        <v>0.25792914442508419</v>
      </c>
      <c r="AD295" s="42">
        <f>(SUMPRODUCT((M_Sims!$B$48:$CF$48&gt;=INT(E295)+1)*INDEX(M_Sims!$B$49:$CF$78,MATCH($C295,M_Sims!$A$49:$A$78,0),0))+A_zs_delta*INDEX(INDEX(M_Sims!$B$49:$CF$78,MATCH($C295,M_Sims!$A$49:$A$78,0),0),1,INT(E295)+2))</f>
        <v>0.70120466666666648</v>
      </c>
      <c r="AE295" s="34">
        <f t="shared" si="96"/>
        <v>0.28554188888888854</v>
      </c>
      <c r="AF295" s="34">
        <f t="shared" si="97"/>
        <v>0.10730333330841435</v>
      </c>
      <c r="AG295" s="34">
        <f t="shared" si="98"/>
        <v>7.2573888863970093E-2</v>
      </c>
      <c r="AH295" s="6" t="b">
        <f>AND(W295,I295&gt;=A_t1_fair,((1-A_t1_shrink)*J295+A_t1_shrink*I295)*G295-1&gt;=A_minev,(1-A_t1_shrink)*N295+A_t1_shrink*(I295*G295-1)&gt;0,M_Sims!Q217=1)</f>
        <v>0</v>
      </c>
      <c r="AI295" s="18">
        <f>IF(AH295,M_Sims!R217*A_t1_cap/A_t1_engcap,0)</f>
        <v>0</v>
      </c>
      <c r="AJ295" s="46" t="str">
        <f t="shared" si="99"/>
        <v>-</v>
      </c>
      <c r="AK295" s="7" t="str">
        <f>IF(AH295,M_Sims!S217,"-")</f>
        <v>-</v>
      </c>
      <c r="AL295" s="51">
        <f>M_Sims!M217</f>
        <v>0</v>
      </c>
      <c r="AM295" s="6" t="str">
        <f t="shared" si="100"/>
        <v>-</v>
      </c>
    </row>
    <row r="296" spans="1:39" ht="15" customHeight="1" x14ac:dyDescent="0.3">
      <c r="A296" s="52" t="s">
        <v>279</v>
      </c>
      <c r="B296" s="53" t="str">
        <f>Odds_Input!C143</f>
        <v>Milwaukee Bucks</v>
      </c>
      <c r="C296" s="52" t="s">
        <v>213</v>
      </c>
      <c r="D296" s="53" t="str">
        <f>Odds_Input!D143</f>
        <v>UNDER</v>
      </c>
      <c r="E296" s="54">
        <f>Odds_Input!E143</f>
        <v>25.5</v>
      </c>
      <c r="F296" s="55">
        <f>Odds_Input!F143</f>
        <v>100</v>
      </c>
      <c r="G296" s="56">
        <f>M_DeVig!H143</f>
        <v>2</v>
      </c>
      <c r="H296" s="53" t="str">
        <f>Odds_Input!G143</f>
        <v>IMPUTED_20C_LADDER</v>
      </c>
      <c r="I296" s="42">
        <f>M_DeVig!Q143</f>
        <v>0.4772727272430774</v>
      </c>
      <c r="J296" s="42">
        <f>1-SUMPRODUCT((M_Sims!$B$48:$CF$48&gt;E296)*INDEX(M_Sims!$B$49:$CF$78,MATCH($C296,M_Sims!$A$49:$A$78,0),0))</f>
        <v>0.31476000000000015</v>
      </c>
      <c r="K296" s="43">
        <f t="shared" si="88"/>
        <v>217.70237641377543</v>
      </c>
      <c r="L296" s="34">
        <f t="shared" si="89"/>
        <v>-0.3704799999999997</v>
      </c>
      <c r="M296" s="38">
        <f t="shared" si="90"/>
        <v>-16.251272724307725</v>
      </c>
      <c r="N296" s="42">
        <f>M_Sims!B218</f>
        <v>-0.4573866666666665</v>
      </c>
      <c r="O296" s="42">
        <f>M_Sims!C218</f>
        <v>-0.29470666666666662</v>
      </c>
      <c r="P296" s="42">
        <f>M_Sims!D218</f>
        <v>0</v>
      </c>
      <c r="Q296" s="34">
        <f t="shared" si="91"/>
        <v>0.3960163636215388</v>
      </c>
      <c r="R296" s="18" t="str">
        <f t="shared" si="92"/>
        <v>-</v>
      </c>
      <c r="S296" s="46" t="str">
        <f t="shared" si="93"/>
        <v>-</v>
      </c>
      <c r="T296" s="51" t="str">
        <f>IF(A_tier2_on=1,M_Sims!M218,"-")</f>
        <v>-</v>
      </c>
      <c r="U296" s="46" t="str">
        <f>IF(OR(A_bankroll="",A_tier2_on&lt;&gt;1),"-",MIN(A_maxbet,M_Sims!M218*A_bankroll))</f>
        <v>-</v>
      </c>
      <c r="V296" s="30">
        <f>M_Sims!H218</f>
        <v>0</v>
      </c>
      <c r="W296" s="6" t="b">
        <f>AND(H296&lt;&gt;"IMPUTED_20C_LADDER",L296&gt;=A_minev,N296&gt;0,V296=1,IF(A296="PLAYOFFS",A_poconf=1,TRUE),IF(AND(A296="WINS",A_zs_on=1),AND(AE296&gt;=A_minev,M_Sims!O218&gt;0),TRUE),AF296&gt;=A_minev,AG296&gt;0,IF(I296&lt;A_longthr,(1-A_shrink)*M_Sims!K218+A_shrink*(I296*G296-1)&gt;=A_minev,TRUE),IF(AND(OR(A296="WINS",A296="PLAYOFFS",LEFT(A296,4)="DIV_"),INDEX(Raw_Teams!$F$8:$F$37,MATCH($C296,Raw_Teams!$A$8:$A$37,0))&lt;A_contthr),AND(((1-A_contshrink)*J296+A_contshrink*I296)*G296-1&gt;=A_minev,(1-A_contshrink)*N296+A_contshrink*(I296*G296-1)&gt;0),TRUE),M_Sims!P218=0)</f>
        <v>0</v>
      </c>
      <c r="X296" s="6" t="s">
        <v>1315</v>
      </c>
      <c r="Y296" s="6" t="s">
        <v>1324</v>
      </c>
      <c r="Z296" s="6">
        <v>135</v>
      </c>
      <c r="AA296" s="7" t="str">
        <f t="shared" si="94"/>
        <v>OK - sims match current assumptions</v>
      </c>
      <c r="AB296" s="42">
        <f>INDEX(IF(D296="OVER",M_WinDist!$E$8:$E$37,M_WinDist!$F$8:$F$37),MATCH($C296,M_WinDist!$A$8:$A$37,0))</f>
        <v>0.31385683031359046</v>
      </c>
      <c r="AC296" s="34">
        <f t="shared" si="95"/>
        <v>-0.37228633937281908</v>
      </c>
      <c r="AD296" s="42">
        <f>1-(SUMPRODUCT((M_Sims!$B$48:$CF$48&gt;=INT(E296)+1)*INDEX(M_Sims!$B$49:$CF$78,MATCH($C296,M_Sims!$A$49:$A$78,0),0))+A_zs_delta*INDEX(INDEX(M_Sims!$B$49:$CF$78,MATCH($C296,M_Sims!$A$49:$A$78,0),0),1,INT(E296)+2))</f>
        <v>0.29879533333333352</v>
      </c>
      <c r="AE296" s="34">
        <f t="shared" si="96"/>
        <v>-0.40240933333333295</v>
      </c>
      <c r="AF296" s="34">
        <f t="shared" si="97"/>
        <v>-0.20796727275692239</v>
      </c>
      <c r="AG296" s="34">
        <f t="shared" si="98"/>
        <v>-0.25142060609025585</v>
      </c>
      <c r="AH296" s="6" t="b">
        <f>AND(W296,I296&gt;=A_t1_fair,((1-A_t1_shrink)*J296+A_t1_shrink*I296)*G296-1&gt;=A_minev,(1-A_t1_shrink)*N296+A_t1_shrink*(I296*G296-1)&gt;0,M_Sims!Q218=1)</f>
        <v>0</v>
      </c>
      <c r="AI296" s="18">
        <f>IF(AH296,M_Sims!R218*A_t1_cap/A_t1_engcap,0)</f>
        <v>0</v>
      </c>
      <c r="AJ296" s="46" t="str">
        <f t="shared" si="99"/>
        <v>-</v>
      </c>
      <c r="AK296" s="7" t="str">
        <f>IF(AH296,M_Sims!S218,"-")</f>
        <v>-</v>
      </c>
      <c r="AL296" s="51">
        <f>M_Sims!M218</f>
        <v>0</v>
      </c>
      <c r="AM296" s="6" t="str">
        <f t="shared" si="100"/>
        <v>-</v>
      </c>
    </row>
    <row r="297" spans="1:39" ht="15" customHeight="1" x14ac:dyDescent="0.3">
      <c r="A297" s="6" t="s">
        <v>279</v>
      </c>
      <c r="B297" s="7" t="str">
        <f>Odds_Input!C144</f>
        <v>Orlando Magic</v>
      </c>
      <c r="C297" s="6" t="s">
        <v>218</v>
      </c>
      <c r="D297" s="7" t="str">
        <f>Odds_Input!D144</f>
        <v>OVER</v>
      </c>
      <c r="E297" s="31">
        <f>Odds_Input!E144</f>
        <v>43.5</v>
      </c>
      <c r="F297" s="32">
        <f>Odds_Input!F144</f>
        <v>-130</v>
      </c>
      <c r="G297" s="36">
        <f>M_DeVig!H144</f>
        <v>1.7692307692307692</v>
      </c>
      <c r="H297" s="7" t="str">
        <f>Odds_Input!G144</f>
        <v>-</v>
      </c>
      <c r="I297" s="42">
        <f>M_DeVig!Q144</f>
        <v>0.54451345754701419</v>
      </c>
      <c r="J297" s="42">
        <f>SUMPRODUCT((M_Sims!$B$48:$CF$48&gt;E297)*INDEX(M_Sims!$B$49:$CF$78,MATCH($C297,M_Sims!$A$49:$A$78,0),0))</f>
        <v>0.52278999999999987</v>
      </c>
      <c r="K297" s="43">
        <f t="shared" si="88"/>
        <v>-109.5513505584543</v>
      </c>
      <c r="L297" s="34">
        <f t="shared" si="89"/>
        <v>-7.5063846153846425E-2</v>
      </c>
      <c r="M297" s="38">
        <f t="shared" si="90"/>
        <v>-2.1723457547014324</v>
      </c>
      <c r="N297" s="42">
        <f>M_Sims!B219</f>
        <v>-0.1699123076923077</v>
      </c>
      <c r="O297" s="42">
        <f>M_Sims!C219</f>
        <v>2.8725128205128101E-2</v>
      </c>
      <c r="P297" s="42">
        <f>M_Sims!D219</f>
        <v>0.21666666666666659</v>
      </c>
      <c r="Q297" s="34">
        <f t="shared" si="91"/>
        <v>0.53365172877350697</v>
      </c>
      <c r="R297" s="18" t="str">
        <f t="shared" si="92"/>
        <v>-</v>
      </c>
      <c r="S297" s="46" t="str">
        <f t="shared" si="93"/>
        <v>-</v>
      </c>
      <c r="T297" s="51" t="str">
        <f>IF(A_tier2_on=1,M_Sims!M219,"-")</f>
        <v>-</v>
      </c>
      <c r="U297" s="46" t="str">
        <f>IF(OR(A_bankroll="",A_tier2_on&lt;&gt;1),"-",MIN(A_maxbet,M_Sims!M219*A_bankroll))</f>
        <v>-</v>
      </c>
      <c r="V297" s="30">
        <f>M_Sims!H219</f>
        <v>1</v>
      </c>
      <c r="W297" s="6" t="b">
        <f>AND(H297&lt;&gt;"IMPUTED_20C_LADDER",L297&gt;=A_minev,N297&gt;0,V297=1,IF(A297="PLAYOFFS",A_poconf=1,TRUE),IF(AND(A297="WINS",A_zs_on=1),AND(AE297&gt;=A_minev,M_Sims!O219&gt;0),TRUE),AF297&gt;=A_minev,AG297&gt;0,IF(I297&lt;A_longthr,(1-A_shrink)*M_Sims!K219+A_shrink*(I297*G297-1)&gt;=A_minev,TRUE),IF(AND(OR(A297="WINS",A297="PLAYOFFS",LEFT(A297,4)="DIV_"),INDEX(Raw_Teams!$F$8:$F$37,MATCH($C297,Raw_Teams!$A$8:$A$37,0))&lt;A_contthr),AND(((1-A_contshrink)*J297+A_contshrink*I297)*G297-1&gt;=A_minev,(1-A_contshrink)*N297+A_contshrink*(I297*G297-1)&gt;0),TRUE),M_Sims!P219=0)</f>
        <v>0</v>
      </c>
      <c r="X297" s="6" t="s">
        <v>1315</v>
      </c>
      <c r="Y297" s="6" t="s">
        <v>1324</v>
      </c>
      <c r="Z297" s="6">
        <v>136</v>
      </c>
      <c r="AA297" s="7" t="str">
        <f t="shared" si="94"/>
        <v>OK - sims match current assumptions</v>
      </c>
      <c r="AB297" s="42">
        <f>INDEX(IF(D297="OVER",M_WinDist!$E$8:$E$37,M_WinDist!$F$8:$F$37),MATCH($C297,M_WinDist!$A$8:$A$37,0))</f>
        <v>0.52044808978722279</v>
      </c>
      <c r="AC297" s="34">
        <f t="shared" si="95"/>
        <v>-7.9207225761067424E-2</v>
      </c>
      <c r="AD297" s="42">
        <f>(SUMPRODUCT((M_Sims!$B$48:$CF$48&gt;=INT(E297)+1)*INDEX(M_Sims!$B$49:$CF$78,MATCH($C297,M_Sims!$A$49:$A$78,0),0))+A_zs_delta*INDEX(INDEX(M_Sims!$B$49:$CF$78,MATCH($C297,M_Sims!$A$49:$A$78,0),0),1,INT(E297)+2))</f>
        <v>0.53863733333333319</v>
      </c>
      <c r="AE297" s="34">
        <f t="shared" si="96"/>
        <v>-4.7026256410256706E-2</v>
      </c>
      <c r="AF297" s="34">
        <f t="shared" si="97"/>
        <v>-5.5846941400718442E-2</v>
      </c>
      <c r="AG297" s="34">
        <f t="shared" si="98"/>
        <v>-0.10327117216994902</v>
      </c>
      <c r="AH297" s="6" t="b">
        <f>AND(W297,I297&gt;=A_t1_fair,((1-A_t1_shrink)*J297+A_t1_shrink*I297)*G297-1&gt;=A_minev,(1-A_t1_shrink)*N297+A_t1_shrink*(I297*G297-1)&gt;0,M_Sims!Q219=1)</f>
        <v>0</v>
      </c>
      <c r="AI297" s="18">
        <f>IF(AH297,M_Sims!R219*A_t1_cap/A_t1_engcap,0)</f>
        <v>0</v>
      </c>
      <c r="AJ297" s="46" t="str">
        <f t="shared" si="99"/>
        <v>-</v>
      </c>
      <c r="AK297" s="7" t="str">
        <f>IF(AH297,M_Sims!S219,"-")</f>
        <v>-</v>
      </c>
      <c r="AL297" s="51">
        <f>M_Sims!M219</f>
        <v>0</v>
      </c>
      <c r="AM297" s="6" t="str">
        <f t="shared" si="100"/>
        <v>-</v>
      </c>
    </row>
    <row r="298" spans="1:39" ht="15" customHeight="1" x14ac:dyDescent="0.3">
      <c r="A298" s="6" t="s">
        <v>279</v>
      </c>
      <c r="B298" s="7" t="str">
        <f>Odds_Input!C145</f>
        <v>Orlando Magic</v>
      </c>
      <c r="C298" s="6" t="s">
        <v>218</v>
      </c>
      <c r="D298" s="7" t="str">
        <f>Odds_Input!D145</f>
        <v>UNDER</v>
      </c>
      <c r="E298" s="31">
        <f>Odds_Input!E145</f>
        <v>43.5</v>
      </c>
      <c r="F298" s="32">
        <f>Odds_Input!F145</f>
        <v>110</v>
      </c>
      <c r="G298" s="36">
        <f>M_DeVig!H145</f>
        <v>2.1</v>
      </c>
      <c r="H298" s="7" t="str">
        <f>Odds_Input!G145</f>
        <v>-</v>
      </c>
      <c r="I298" s="42">
        <f>M_DeVig!Q145</f>
        <v>0.45548654243129111</v>
      </c>
      <c r="J298" s="42">
        <f>1-SUMPRODUCT((M_Sims!$B$48:$CF$48&gt;E298)*INDEX(M_Sims!$B$49:$CF$78,MATCH($C298,M_Sims!$A$49:$A$78,0),0))</f>
        <v>0.47721000000000013</v>
      </c>
      <c r="K298" s="43">
        <f t="shared" si="88"/>
        <v>109.5513505584543</v>
      </c>
      <c r="L298" s="34">
        <f t="shared" si="89"/>
        <v>2.1410000000003926E-3</v>
      </c>
      <c r="M298" s="38">
        <f t="shared" si="90"/>
        <v>2.1723457568709028</v>
      </c>
      <c r="N298" s="42">
        <f>M_Sims!B220</f>
        <v>-0.1210519999999999</v>
      </c>
      <c r="O298" s="42">
        <f>M_Sims!C220</f>
        <v>0.1147220000000001</v>
      </c>
      <c r="P298" s="42">
        <f>M_Sims!D220</f>
        <v>0.58333333333333337</v>
      </c>
      <c r="Q298" s="34">
        <f t="shared" si="91"/>
        <v>0.46634827121564559</v>
      </c>
      <c r="R298" s="18" t="str">
        <f t="shared" si="92"/>
        <v>-</v>
      </c>
      <c r="S298" s="46" t="str">
        <f t="shared" si="93"/>
        <v>-</v>
      </c>
      <c r="T298" s="51" t="str">
        <f>IF(A_tier2_on=1,M_Sims!M220,"-")</f>
        <v>-</v>
      </c>
      <c r="U298" s="46" t="str">
        <f>IF(OR(A_bankroll="",A_tier2_on&lt;&gt;1),"-",MIN(A_maxbet,M_Sims!M220*A_bankroll))</f>
        <v>-</v>
      </c>
      <c r="V298" s="30">
        <f>M_Sims!H220</f>
        <v>1</v>
      </c>
      <c r="W298" s="6" t="b">
        <f>AND(H298&lt;&gt;"IMPUTED_20C_LADDER",L298&gt;=A_minev,N298&gt;0,V298=1,IF(A298="PLAYOFFS",A_poconf=1,TRUE),IF(AND(A298="WINS",A_zs_on=1),AND(AE298&gt;=A_minev,M_Sims!O220&gt;0),TRUE),AF298&gt;=A_minev,AG298&gt;0,IF(I298&lt;A_longthr,(1-A_shrink)*M_Sims!K220+A_shrink*(I298*G298-1)&gt;=A_minev,TRUE),IF(AND(OR(A298="WINS",A298="PLAYOFFS",LEFT(A298,4)="DIV_"),INDEX(Raw_Teams!$F$8:$F$37,MATCH($C298,Raw_Teams!$A$8:$A$37,0))&lt;A_contthr),AND(((1-A_contshrink)*J298+A_contshrink*I298)*G298-1&gt;=A_minev,(1-A_contshrink)*N298+A_contshrink*(I298*G298-1)&gt;0),TRUE),M_Sims!P220=0)</f>
        <v>0</v>
      </c>
      <c r="X298" s="6" t="s">
        <v>1315</v>
      </c>
      <c r="Y298" s="6" t="s">
        <v>1324</v>
      </c>
      <c r="Z298" s="6">
        <v>137</v>
      </c>
      <c r="AA298" s="7" t="str">
        <f t="shared" si="94"/>
        <v>OK - sims match current assumptions</v>
      </c>
      <c r="AB298" s="42">
        <f>INDEX(IF(D298="OVER",M_WinDist!$E$8:$E$37,M_WinDist!$F$8:$F$37),MATCH($C298,M_WinDist!$A$8:$A$37,0))</f>
        <v>0.47955191021277721</v>
      </c>
      <c r="AC298" s="34">
        <f t="shared" si="95"/>
        <v>7.0590114468320753E-3</v>
      </c>
      <c r="AD298" s="42">
        <f>1-(SUMPRODUCT((M_Sims!$B$48:$CF$48&gt;=INT(E298)+1)*INDEX(M_Sims!$B$49:$CF$78,MATCH($C298,M_Sims!$A$49:$A$78,0),0))+A_zs_delta*INDEX(INDEX(M_Sims!$B$49:$CF$78,MATCH($C298,M_Sims!$A$49:$A$78,0),0),1,INT(E298)+2))</f>
        <v>0.46136266666666681</v>
      </c>
      <c r="AE298" s="34">
        <f t="shared" si="96"/>
        <v>-3.1138399999999677E-2</v>
      </c>
      <c r="AF298" s="34">
        <f t="shared" si="97"/>
        <v>-2.0668630447144176E-2</v>
      </c>
      <c r="AG298" s="34">
        <f t="shared" si="98"/>
        <v>-8.2265130447144258E-2</v>
      </c>
      <c r="AH298" s="6" t="b">
        <f>AND(W298,I298&gt;=A_t1_fair,((1-A_t1_shrink)*J298+A_t1_shrink*I298)*G298-1&gt;=A_minev,(1-A_t1_shrink)*N298+A_t1_shrink*(I298*G298-1)&gt;0,M_Sims!Q220=1)</f>
        <v>0</v>
      </c>
      <c r="AI298" s="18">
        <f>IF(AH298,M_Sims!R220*A_t1_cap/A_t1_engcap,0)</f>
        <v>0</v>
      </c>
      <c r="AJ298" s="46" t="str">
        <f t="shared" si="99"/>
        <v>-</v>
      </c>
      <c r="AK298" s="7" t="str">
        <f>IF(AH298,M_Sims!S220,"-")</f>
        <v>-</v>
      </c>
      <c r="AL298" s="51">
        <f>M_Sims!M220</f>
        <v>0</v>
      </c>
      <c r="AM298" s="6" t="str">
        <f t="shared" si="100"/>
        <v>-</v>
      </c>
    </row>
    <row r="299" spans="1:39" ht="15" customHeight="1" x14ac:dyDescent="0.3">
      <c r="A299" s="6" t="s">
        <v>279</v>
      </c>
      <c r="B299" s="7" t="str">
        <f>Odds_Input!C146</f>
        <v>Washington Wizards</v>
      </c>
      <c r="C299" s="6" t="s">
        <v>226</v>
      </c>
      <c r="D299" s="7" t="str">
        <f>Odds_Input!D146</f>
        <v>OVER</v>
      </c>
      <c r="E299" s="31">
        <f>Odds_Input!E146</f>
        <v>35.5</v>
      </c>
      <c r="F299" s="32">
        <f>Odds_Input!F146</f>
        <v>120</v>
      </c>
      <c r="G299" s="36">
        <f>M_DeVig!H146</f>
        <v>2.2000000000000002</v>
      </c>
      <c r="H299" s="7" t="str">
        <f>Odds_Input!G146</f>
        <v>-</v>
      </c>
      <c r="I299" s="42">
        <f>M_DeVig!Q146</f>
        <v>0.4356060606181606</v>
      </c>
      <c r="J299" s="42">
        <f>SUMPRODUCT((M_Sims!$B$48:$CF$48&gt;E299)*INDEX(M_Sims!$B$49:$CF$78,MATCH($C299,M_Sims!$A$49:$A$78,0),0))</f>
        <v>0.17716000000000001</v>
      </c>
      <c r="K299" s="43">
        <f t="shared" si="88"/>
        <v>464.46150372544594</v>
      </c>
      <c r="L299" s="34">
        <f t="shared" si="89"/>
        <v>-0.6102479999999999</v>
      </c>
      <c r="M299" s="38">
        <f t="shared" si="90"/>
        <v>-25.844606061816055</v>
      </c>
      <c r="N299" s="42">
        <f>M_Sims!B221</f>
        <v>-0.70565466666666665</v>
      </c>
      <c r="O299" s="42">
        <f>M_Sims!C221</f>
        <v>-0.52988933333333332</v>
      </c>
      <c r="P299" s="42">
        <f>M_Sims!D221</f>
        <v>0</v>
      </c>
      <c r="Q299" s="34">
        <f t="shared" si="91"/>
        <v>0.30638303030908032</v>
      </c>
      <c r="R299" s="18" t="str">
        <f t="shared" si="92"/>
        <v>-</v>
      </c>
      <c r="S299" s="46" t="str">
        <f t="shared" si="93"/>
        <v>-</v>
      </c>
      <c r="T299" s="51" t="str">
        <f>IF(A_tier2_on=1,M_Sims!M221,"-")</f>
        <v>-</v>
      </c>
      <c r="U299" s="46" t="str">
        <f>IF(OR(A_bankroll="",A_tier2_on&lt;&gt;1),"-",MIN(A_maxbet,M_Sims!M221*A_bankroll))</f>
        <v>-</v>
      </c>
      <c r="V299" s="30">
        <f>M_Sims!H221</f>
        <v>0</v>
      </c>
      <c r="W299" s="6" t="b">
        <f>AND(H299&lt;&gt;"IMPUTED_20C_LADDER",L299&gt;=A_minev,N299&gt;0,V299=1,IF(A299="PLAYOFFS",A_poconf=1,TRUE),IF(AND(A299="WINS",A_zs_on=1),AND(AE299&gt;=A_minev,M_Sims!O221&gt;0),TRUE),AF299&gt;=A_minev,AG299&gt;0,IF(I299&lt;A_longthr,(1-A_shrink)*M_Sims!K221+A_shrink*(I299*G299-1)&gt;=A_minev,TRUE),IF(AND(OR(A299="WINS",A299="PLAYOFFS",LEFT(A299,4)="DIV_"),INDEX(Raw_Teams!$F$8:$F$37,MATCH($C299,Raw_Teams!$A$8:$A$37,0))&lt;A_contthr),AND(((1-A_contshrink)*J299+A_contshrink*I299)*G299-1&gt;=A_minev,(1-A_contshrink)*N299+A_contshrink*(I299*G299-1)&gt;0),TRUE),M_Sims!P221=0)</f>
        <v>0</v>
      </c>
      <c r="X299" s="6" t="s">
        <v>1315</v>
      </c>
      <c r="Y299" s="6" t="s">
        <v>1324</v>
      </c>
      <c r="Z299" s="6">
        <v>138</v>
      </c>
      <c r="AA299" s="7" t="str">
        <f t="shared" si="94"/>
        <v>OK - sims match current assumptions</v>
      </c>
      <c r="AB299" s="42">
        <f>INDEX(IF(D299="OVER",M_WinDist!$E$8:$E$37,M_WinDist!$F$8:$F$37),MATCH($C299,M_WinDist!$A$8:$A$37,0))</f>
        <v>0.21131981619171092</v>
      </c>
      <c r="AC299" s="34">
        <f t="shared" si="95"/>
        <v>-0.53509640437823602</v>
      </c>
      <c r="AD299" s="42">
        <f>(SUMPRODUCT((M_Sims!$B$48:$CF$48&gt;=INT(E299)+1)*INDEX(M_Sims!$B$49:$CF$78,MATCH($C299,M_Sims!$A$49:$A$78,0),0))+A_zs_delta*INDEX(INDEX(M_Sims!$B$49:$CF$78,MATCH($C299,M_Sims!$A$49:$A$78,0),0),1,INT(E299)+2))</f>
        <v>0.18730200000000002</v>
      </c>
      <c r="AE299" s="34">
        <f t="shared" si="96"/>
        <v>-0.58793559999999989</v>
      </c>
      <c r="AF299" s="34">
        <f t="shared" si="97"/>
        <v>-0.3259573333200233</v>
      </c>
      <c r="AG299" s="34">
        <f t="shared" si="98"/>
        <v>-0.37366066665335662</v>
      </c>
      <c r="AH299" s="6" t="b">
        <f>AND(W299,I299&gt;=A_t1_fair,((1-A_t1_shrink)*J299+A_t1_shrink*I299)*G299-1&gt;=A_minev,(1-A_t1_shrink)*N299+A_t1_shrink*(I299*G299-1)&gt;0,M_Sims!Q221=1)</f>
        <v>0</v>
      </c>
      <c r="AI299" s="18">
        <f>IF(AH299,M_Sims!R221*A_t1_cap/A_t1_engcap,0)</f>
        <v>0</v>
      </c>
      <c r="AJ299" s="46" t="str">
        <f t="shared" si="99"/>
        <v>-</v>
      </c>
      <c r="AK299" s="7" t="str">
        <f>IF(AH299,M_Sims!S221,"-")</f>
        <v>-</v>
      </c>
      <c r="AL299" s="51">
        <f>M_Sims!M221</f>
        <v>0</v>
      </c>
      <c r="AM299" s="6" t="str">
        <f t="shared" si="100"/>
        <v>-</v>
      </c>
    </row>
    <row r="300" spans="1:39" ht="15" customHeight="1" x14ac:dyDescent="0.3">
      <c r="A300" s="6" t="s">
        <v>279</v>
      </c>
      <c r="B300" s="7" t="str">
        <f>Odds_Input!C147</f>
        <v>Washington Wizards</v>
      </c>
      <c r="C300" s="6" t="s">
        <v>226</v>
      </c>
      <c r="D300" s="7" t="str">
        <f>Odds_Input!D147</f>
        <v>UNDER</v>
      </c>
      <c r="E300" s="31">
        <f>Odds_Input!E147</f>
        <v>35.5</v>
      </c>
      <c r="F300" s="32">
        <f>Odds_Input!F147</f>
        <v>-140</v>
      </c>
      <c r="G300" s="36">
        <f>M_DeVig!H147</f>
        <v>1.7142857142857144</v>
      </c>
      <c r="H300" s="7" t="str">
        <f>Odds_Input!G147</f>
        <v>-</v>
      </c>
      <c r="I300" s="42">
        <f>M_DeVig!Q147</f>
        <v>0.56439393940337157</v>
      </c>
      <c r="J300" s="42">
        <f>1-SUMPRODUCT((M_Sims!$B$48:$CF$48&gt;E300)*INDEX(M_Sims!$B$49:$CF$78,MATCH($C300,M_Sims!$A$49:$A$78,0),0))</f>
        <v>0.82284000000000002</v>
      </c>
      <c r="K300" s="43">
        <f t="shared" si="88"/>
        <v>-464.46150372544599</v>
      </c>
      <c r="L300" s="34">
        <f t="shared" si="89"/>
        <v>0.41058285714285736</v>
      </c>
      <c r="M300" s="38">
        <f t="shared" si="90"/>
        <v>25.844606059662844</v>
      </c>
      <c r="N300" s="42">
        <f>M_Sims!B222</f>
        <v>0.34796571428571438</v>
      </c>
      <c r="O300" s="42">
        <f>M_Sims!C222</f>
        <v>0.4849257142857144</v>
      </c>
      <c r="P300" s="42">
        <f>M_Sims!D222</f>
        <v>1</v>
      </c>
      <c r="Q300" s="34">
        <f t="shared" si="91"/>
        <v>0.69361696970168585</v>
      </c>
      <c r="R300" s="18" t="str">
        <f t="shared" si="92"/>
        <v>-</v>
      </c>
      <c r="S300" s="46" t="str">
        <f t="shared" si="93"/>
        <v>-</v>
      </c>
      <c r="T300" s="51" t="str">
        <f>IF(A_tier2_on=1,M_Sims!M222,"-")</f>
        <v>-</v>
      </c>
      <c r="U300" s="46" t="str">
        <f>IF(OR(A_bankroll="",A_tier2_on&lt;&gt;1),"-",MIN(A_maxbet,M_Sims!M222*A_bankroll))</f>
        <v>-</v>
      </c>
      <c r="V300" s="30">
        <f>M_Sims!H222</f>
        <v>1</v>
      </c>
      <c r="W300" s="6" t="b">
        <f>AND(H300&lt;&gt;"IMPUTED_20C_LADDER",L300&gt;=A_minev,N300&gt;0,V300=1,IF(A300="PLAYOFFS",A_poconf=1,TRUE),IF(AND(A300="WINS",A_zs_on=1),AND(AE300&gt;=A_minev,M_Sims!O222&gt;0),TRUE),AF300&gt;=A_minev,AG300&gt;0,IF(I300&lt;A_longthr,(1-A_shrink)*M_Sims!K222+A_shrink*(I300*G300-1)&gt;=A_minev,TRUE),IF(AND(OR(A300="WINS",A300="PLAYOFFS",LEFT(A300,4)="DIV_"),INDEX(Raw_Teams!$F$8:$F$37,MATCH($C300,Raw_Teams!$A$8:$A$37,0))&lt;A_contthr),AND(((1-A_contshrink)*J300+A_contshrink*I300)*G300-1&gt;=A_minev,(1-A_contshrink)*N300+A_contshrink*(I300*G300-1)&gt;0),TRUE),M_Sims!P222=0)</f>
        <v>1</v>
      </c>
      <c r="X300" s="6" t="s">
        <v>1315</v>
      </c>
      <c r="Y300" s="6" t="s">
        <v>1324</v>
      </c>
      <c r="Z300" s="6">
        <v>139</v>
      </c>
      <c r="AA300" s="7" t="str">
        <f t="shared" si="94"/>
        <v>OK - sims match current assumptions</v>
      </c>
      <c r="AB300" s="42">
        <f>INDEX(IF(D300="OVER",M_WinDist!$E$8:$E$37,M_WinDist!$F$8:$F$37),MATCH($C300,M_WinDist!$A$8:$A$37,0))</f>
        <v>0.78868018380828908</v>
      </c>
      <c r="AC300" s="34">
        <f t="shared" si="95"/>
        <v>0.35202317224278135</v>
      </c>
      <c r="AD300" s="42">
        <f>1-(SUMPRODUCT((M_Sims!$B$48:$CF$48&gt;=INT(E300)+1)*INDEX(M_Sims!$B$49:$CF$78,MATCH($C300,M_Sims!$A$49:$A$78,0),0))+A_zs_delta*INDEX(INDEX(M_Sims!$B$49:$CF$78,MATCH($C300,M_Sims!$A$49:$A$78,0),0),1,INT(E300)+2))</f>
        <v>0.81269799999999992</v>
      </c>
      <c r="AE300" s="34">
        <f t="shared" si="96"/>
        <v>0.39319657142857145</v>
      </c>
      <c r="AF300" s="34">
        <f t="shared" si="97"/>
        <v>0.18905766234574717</v>
      </c>
      <c r="AG300" s="34">
        <f t="shared" si="98"/>
        <v>0.15774909091717573</v>
      </c>
      <c r="AH300" s="6" t="b">
        <f>AND(W300,I300&gt;=A_t1_fair,((1-A_t1_shrink)*J300+A_t1_shrink*I300)*G300-1&gt;=A_minev,(1-A_t1_shrink)*N300+A_t1_shrink*(I300*G300-1)&gt;0,M_Sims!Q222=1)</f>
        <v>0</v>
      </c>
      <c r="AI300" s="18">
        <f>IF(AH300,M_Sims!R222*A_t1_cap/A_t1_engcap,0)</f>
        <v>0</v>
      </c>
      <c r="AJ300" s="46" t="str">
        <f t="shared" si="99"/>
        <v>-</v>
      </c>
      <c r="AK300" s="7" t="str">
        <f>IF(AH300,M_Sims!S222,"-")</f>
        <v>-</v>
      </c>
      <c r="AL300" s="51">
        <f>M_Sims!M222</f>
        <v>2.35551717308091E-2</v>
      </c>
      <c r="AM300" s="6" t="str">
        <f t="shared" si="100"/>
        <v>Tier 2</v>
      </c>
    </row>
    <row r="301" spans="1:39" ht="15" customHeight="1" x14ac:dyDescent="0.3">
      <c r="A301" s="6" t="s">
        <v>279</v>
      </c>
      <c r="B301" s="7" t="str">
        <f>Odds_Input!C148</f>
        <v>Brooklyn Nets</v>
      </c>
      <c r="C301" s="6" t="s">
        <v>198</v>
      </c>
      <c r="D301" s="7" t="str">
        <f>Odds_Input!D148</f>
        <v>OVER</v>
      </c>
      <c r="E301" s="31">
        <f>Odds_Input!E148</f>
        <v>24.5</v>
      </c>
      <c r="F301" s="32">
        <f>Odds_Input!F148</f>
        <v>110</v>
      </c>
      <c r="G301" s="36">
        <f>M_DeVig!H148</f>
        <v>2.1</v>
      </c>
      <c r="H301" s="7" t="str">
        <f>Odds_Input!G148</f>
        <v>-</v>
      </c>
      <c r="I301" s="42">
        <f>M_DeVig!Q148</f>
        <v>0.45548654243129111</v>
      </c>
      <c r="J301" s="42">
        <f>SUMPRODUCT((M_Sims!$B$48:$CF$48&gt;E301)*INDEX(M_Sims!$B$49:$CF$78,MATCH($C301,M_Sims!$A$49:$A$78,0),0))</f>
        <v>0.77991999999999995</v>
      </c>
      <c r="K301" s="43">
        <f t="shared" si="88"/>
        <v>-354.38022537259167</v>
      </c>
      <c r="L301" s="34">
        <f t="shared" si="89"/>
        <v>0.63783199999999995</v>
      </c>
      <c r="M301" s="38">
        <f t="shared" si="90"/>
        <v>32.443345756870883</v>
      </c>
      <c r="N301" s="42">
        <f>M_Sims!B223</f>
        <v>0.57707200000000036</v>
      </c>
      <c r="O301" s="42">
        <f>M_Sims!C223</f>
        <v>0.69190000000000018</v>
      </c>
      <c r="P301" s="42">
        <f>M_Sims!D223</f>
        <v>1</v>
      </c>
      <c r="Q301" s="34">
        <f t="shared" si="91"/>
        <v>0.6177032712156455</v>
      </c>
      <c r="R301" s="18" t="str">
        <f t="shared" si="92"/>
        <v>-</v>
      </c>
      <c r="S301" s="46" t="str">
        <f t="shared" si="93"/>
        <v>-</v>
      </c>
      <c r="T301" s="51" t="str">
        <f>IF(A_tier2_on=1,M_Sims!M223,"-")</f>
        <v>-</v>
      </c>
      <c r="U301" s="46" t="str">
        <f>IF(OR(A_bankroll="",A_tier2_on&lt;&gt;1),"-",MIN(A_maxbet,M_Sims!M223*A_bankroll))</f>
        <v>-</v>
      </c>
      <c r="V301" s="30">
        <f>M_Sims!H223</f>
        <v>1</v>
      </c>
      <c r="W301" s="6" t="b">
        <f>AND(H301&lt;&gt;"IMPUTED_20C_LADDER",L301&gt;=A_minev,N301&gt;0,V301=1,IF(A301="PLAYOFFS",A_poconf=1,TRUE),IF(AND(A301="WINS",A_zs_on=1),AND(AE301&gt;=A_minev,M_Sims!O223&gt;0),TRUE),AF301&gt;=A_minev,AG301&gt;0,IF(I301&lt;A_longthr,(1-A_shrink)*M_Sims!K223+A_shrink*(I301*G301-1)&gt;=A_minev,TRUE),IF(AND(OR(A301="WINS",A301="PLAYOFFS",LEFT(A301,4)="DIV_"),INDEX(Raw_Teams!$F$8:$F$37,MATCH($C301,Raw_Teams!$A$8:$A$37,0))&lt;A_contthr),AND(((1-A_contshrink)*J301+A_contshrink*I301)*G301-1&gt;=A_minev,(1-A_contshrink)*N301+A_contshrink*(I301*G301-1)&gt;0),TRUE),M_Sims!P223=0)</f>
        <v>0</v>
      </c>
      <c r="X301" s="6" t="s">
        <v>1316</v>
      </c>
      <c r="Y301" s="6" t="s">
        <v>1324</v>
      </c>
      <c r="Z301" s="6">
        <v>140</v>
      </c>
      <c r="AA301" s="7" t="str">
        <f t="shared" si="94"/>
        <v>OK - sims match current assumptions</v>
      </c>
      <c r="AB301" s="42">
        <f>INDEX(IF(D301="OVER",M_WinDist!$E$8:$E$37,M_WinDist!$F$8:$F$37),MATCH($C301,M_WinDist!$A$8:$A$37,0))</f>
        <v>0.76753862691459962</v>
      </c>
      <c r="AC301" s="34">
        <f t="shared" si="95"/>
        <v>0.61183111652065936</v>
      </c>
      <c r="AD301" s="42">
        <f>(SUMPRODUCT((M_Sims!$B$48:$CF$48&gt;=INT(E301)+1)*INDEX(M_Sims!$B$49:$CF$78,MATCH($C301,M_Sims!$A$49:$A$78,0),0))+A_zs_delta*INDEX(INDEX(M_Sims!$B$49:$CF$78,MATCH($C301,M_Sims!$A$49:$A$78,0),0),1,INT(E301)+2))</f>
        <v>0.79359666666666662</v>
      </c>
      <c r="AE301" s="34">
        <f t="shared" si="96"/>
        <v>0.66655299999999995</v>
      </c>
      <c r="AF301" s="34">
        <f t="shared" si="97"/>
        <v>0.2971768695528556</v>
      </c>
      <c r="AG301" s="34">
        <f t="shared" si="98"/>
        <v>0.26679686955285586</v>
      </c>
      <c r="AH301" s="6" t="b">
        <f>AND(W301,I301&gt;=A_t1_fair,((1-A_t1_shrink)*J301+A_t1_shrink*I301)*G301-1&gt;=A_minev,(1-A_t1_shrink)*N301+A_t1_shrink*(I301*G301-1)&gt;0,M_Sims!Q223=1)</f>
        <v>0</v>
      </c>
      <c r="AI301" s="18">
        <f>IF(AH301,M_Sims!R223*A_t1_cap/A_t1_engcap,0)</f>
        <v>0</v>
      </c>
      <c r="AJ301" s="46" t="str">
        <f t="shared" si="99"/>
        <v>-</v>
      </c>
      <c r="AK301" s="7" t="str">
        <f>IF(AH301,M_Sims!S223,"-")</f>
        <v>-</v>
      </c>
      <c r="AL301" s="51">
        <f>M_Sims!M223</f>
        <v>0</v>
      </c>
      <c r="AM301" s="6" t="str">
        <f t="shared" si="100"/>
        <v>-</v>
      </c>
    </row>
    <row r="302" spans="1:39" ht="15" customHeight="1" x14ac:dyDescent="0.3">
      <c r="A302" s="6" t="s">
        <v>279</v>
      </c>
      <c r="B302" s="7" t="str">
        <f>Odds_Input!C149</f>
        <v>Brooklyn Nets</v>
      </c>
      <c r="C302" s="6" t="s">
        <v>198</v>
      </c>
      <c r="D302" s="7" t="str">
        <f>Odds_Input!D149</f>
        <v>UNDER</v>
      </c>
      <c r="E302" s="31">
        <f>Odds_Input!E149</f>
        <v>24.5</v>
      </c>
      <c r="F302" s="32">
        <f>Odds_Input!F149</f>
        <v>-130</v>
      </c>
      <c r="G302" s="36">
        <f>M_DeVig!H149</f>
        <v>1.7692307692307692</v>
      </c>
      <c r="H302" s="7" t="str">
        <f>Odds_Input!G149</f>
        <v>-</v>
      </c>
      <c r="I302" s="42">
        <f>M_DeVig!Q149</f>
        <v>0.54451345754701419</v>
      </c>
      <c r="J302" s="42">
        <f>1-SUMPRODUCT((M_Sims!$B$48:$CF$48&gt;E302)*INDEX(M_Sims!$B$49:$CF$78,MATCH($C302,M_Sims!$A$49:$A$78,0),0))</f>
        <v>0.22008000000000005</v>
      </c>
      <c r="K302" s="43">
        <f t="shared" si="88"/>
        <v>354.38022537259167</v>
      </c>
      <c r="L302" s="34">
        <f t="shared" si="89"/>
        <v>-0.6106276923076922</v>
      </c>
      <c r="M302" s="38">
        <f t="shared" si="90"/>
        <v>-32.443345754701411</v>
      </c>
      <c r="N302" s="42">
        <f>M_Sims!B224</f>
        <v>-0.65617948717948726</v>
      </c>
      <c r="O302" s="42">
        <f>M_Sims!C224</f>
        <v>-0.55943794871794894</v>
      </c>
      <c r="P302" s="42">
        <f>M_Sims!D224</f>
        <v>0</v>
      </c>
      <c r="Q302" s="34">
        <f t="shared" si="91"/>
        <v>0.38229672877350712</v>
      </c>
      <c r="R302" s="18" t="str">
        <f t="shared" si="92"/>
        <v>-</v>
      </c>
      <c r="S302" s="46" t="str">
        <f t="shared" si="93"/>
        <v>-</v>
      </c>
      <c r="T302" s="51" t="str">
        <f>IF(A_tier2_on=1,M_Sims!M224,"-")</f>
        <v>-</v>
      </c>
      <c r="U302" s="46" t="str">
        <f>IF(OR(A_bankroll="",A_tier2_on&lt;&gt;1),"-",MIN(A_maxbet,M_Sims!M224*A_bankroll))</f>
        <v>-</v>
      </c>
      <c r="V302" s="30">
        <f>M_Sims!H224</f>
        <v>0</v>
      </c>
      <c r="W302" s="6" t="b">
        <f>AND(H302&lt;&gt;"IMPUTED_20C_LADDER",L302&gt;=A_minev,N302&gt;0,V302=1,IF(A302="PLAYOFFS",A_poconf=1,TRUE),IF(AND(A302="WINS",A_zs_on=1),AND(AE302&gt;=A_minev,M_Sims!O224&gt;0),TRUE),AF302&gt;=A_minev,AG302&gt;0,IF(I302&lt;A_longthr,(1-A_shrink)*M_Sims!K224+A_shrink*(I302*G302-1)&gt;=A_minev,TRUE),IF(AND(OR(A302="WINS",A302="PLAYOFFS",LEFT(A302,4)="DIV_"),INDEX(Raw_Teams!$F$8:$F$37,MATCH($C302,Raw_Teams!$A$8:$A$37,0))&lt;A_contthr),AND(((1-A_contshrink)*J302+A_contshrink*I302)*G302-1&gt;=A_minev,(1-A_contshrink)*N302+A_contshrink*(I302*G302-1)&gt;0),TRUE),M_Sims!P224=0)</f>
        <v>0</v>
      </c>
      <c r="X302" s="6" t="s">
        <v>1316</v>
      </c>
      <c r="Y302" s="6" t="s">
        <v>1324</v>
      </c>
      <c r="Z302" s="6">
        <v>141</v>
      </c>
      <c r="AA302" s="7" t="str">
        <f t="shared" si="94"/>
        <v>OK - sims match current assumptions</v>
      </c>
      <c r="AB302" s="42">
        <f>INDEX(IF(D302="OVER",M_WinDist!$E$8:$E$37,M_WinDist!$F$8:$F$37),MATCH($C302,M_WinDist!$A$8:$A$37,0))</f>
        <v>0.23246137308540038</v>
      </c>
      <c r="AC302" s="34">
        <f t="shared" si="95"/>
        <v>-0.5887221860796763</v>
      </c>
      <c r="AD302" s="42">
        <f>1-(SUMPRODUCT((M_Sims!$B$48:$CF$48&gt;=INT(E302)+1)*INDEX(M_Sims!$B$49:$CF$78,MATCH($C302,M_Sims!$A$49:$A$78,0),0))+A_zs_delta*INDEX(INDEX(M_Sims!$B$49:$CF$78,MATCH($C302,M_Sims!$A$49:$A$78,0),0),1,INT(E302)+2))</f>
        <v>0.20640333333333338</v>
      </c>
      <c r="AE302" s="34">
        <f t="shared" si="96"/>
        <v>-0.63482487179487168</v>
      </c>
      <c r="AF302" s="34">
        <f t="shared" si="97"/>
        <v>-0.32362886447764128</v>
      </c>
      <c r="AG302" s="34">
        <f t="shared" si="98"/>
        <v>-0.34640476191353881</v>
      </c>
      <c r="AH302" s="6" t="b">
        <f>AND(W302,I302&gt;=A_t1_fair,((1-A_t1_shrink)*J302+A_t1_shrink*I302)*G302-1&gt;=A_minev,(1-A_t1_shrink)*N302+A_t1_shrink*(I302*G302-1)&gt;0,M_Sims!Q224=1)</f>
        <v>0</v>
      </c>
      <c r="AI302" s="18">
        <f>IF(AH302,M_Sims!R224*A_t1_cap/A_t1_engcap,0)</f>
        <v>0</v>
      </c>
      <c r="AJ302" s="46" t="str">
        <f t="shared" si="99"/>
        <v>-</v>
      </c>
      <c r="AK302" s="7" t="str">
        <f>IF(AH302,M_Sims!S224,"-")</f>
        <v>-</v>
      </c>
      <c r="AL302" s="51">
        <f>M_Sims!M224</f>
        <v>0</v>
      </c>
      <c r="AM302" s="6" t="str">
        <f t="shared" si="100"/>
        <v>-</v>
      </c>
    </row>
    <row r="303" spans="1:39" ht="15" customHeight="1" x14ac:dyDescent="0.3">
      <c r="A303" s="6" t="s">
        <v>279</v>
      </c>
      <c r="B303" s="7" t="str">
        <f>Odds_Input!C150</f>
        <v>Charlotte Hornets</v>
      </c>
      <c r="C303" s="6" t="s">
        <v>200</v>
      </c>
      <c r="D303" s="7" t="str">
        <f>Odds_Input!D150</f>
        <v>OVER</v>
      </c>
      <c r="E303" s="31">
        <f>Odds_Input!E150</f>
        <v>39.5</v>
      </c>
      <c r="F303" s="32">
        <f>Odds_Input!F150</f>
        <v>150</v>
      </c>
      <c r="G303" s="36">
        <f>M_DeVig!H150</f>
        <v>2.5</v>
      </c>
      <c r="H303" s="7" t="str">
        <f>Odds_Input!G150</f>
        <v>-</v>
      </c>
      <c r="I303" s="42">
        <f>M_DeVig!Q150</f>
        <v>0.38518518515043076</v>
      </c>
      <c r="J303" s="42">
        <f>SUMPRODUCT((M_Sims!$B$48:$CF$48&gt;E303)*INDEX(M_Sims!$B$49:$CF$78,MATCH($C303,M_Sims!$A$49:$A$78,0),0))</f>
        <v>0.41885</v>
      </c>
      <c r="K303" s="43">
        <f t="shared" si="88"/>
        <v>138.74895547331982</v>
      </c>
      <c r="L303" s="34">
        <f t="shared" si="89"/>
        <v>4.7125000000000083E-2</v>
      </c>
      <c r="M303" s="38">
        <f t="shared" si="90"/>
        <v>3.3664814849569238</v>
      </c>
      <c r="N303" s="42">
        <f>M_Sims!B225</f>
        <v>-7.6149999999999801E-2</v>
      </c>
      <c r="O303" s="42">
        <f>M_Sims!C225</f>
        <v>0.1808833333333334</v>
      </c>
      <c r="P303" s="42">
        <f>M_Sims!D225</f>
        <v>0.6166666666666667</v>
      </c>
      <c r="Q303" s="34">
        <f t="shared" si="91"/>
        <v>0.40201759257521541</v>
      </c>
      <c r="R303" s="18" t="str">
        <f t="shared" si="92"/>
        <v>-</v>
      </c>
      <c r="S303" s="46" t="str">
        <f t="shared" si="93"/>
        <v>-</v>
      </c>
      <c r="T303" s="51" t="str">
        <f>IF(A_tier2_on=1,M_Sims!M225,"-")</f>
        <v>-</v>
      </c>
      <c r="U303" s="46" t="str">
        <f>IF(OR(A_bankroll="",A_tier2_on&lt;&gt;1),"-",MIN(A_maxbet,M_Sims!M225*A_bankroll))</f>
        <v>-</v>
      </c>
      <c r="V303" s="30">
        <f>M_Sims!H225</f>
        <v>1</v>
      </c>
      <c r="W303" s="6" t="b">
        <f>AND(H303&lt;&gt;"IMPUTED_20C_LADDER",L303&gt;=A_minev,N303&gt;0,V303=1,IF(A303="PLAYOFFS",A_poconf=1,TRUE),IF(AND(A303="WINS",A_zs_on=1),AND(AE303&gt;=A_minev,M_Sims!O225&gt;0),TRUE),AF303&gt;=A_minev,AG303&gt;0,IF(I303&lt;A_longthr,(1-A_shrink)*M_Sims!K225+A_shrink*(I303*G303-1)&gt;=A_minev,TRUE),IF(AND(OR(A303="WINS",A303="PLAYOFFS",LEFT(A303,4)="DIV_"),INDEX(Raw_Teams!$F$8:$F$37,MATCH($C303,Raw_Teams!$A$8:$A$37,0))&lt;A_contthr),AND(((1-A_contshrink)*J303+A_contshrink*I303)*G303-1&gt;=A_minev,(1-A_contshrink)*N303+A_contshrink*(I303*G303-1)&gt;0),TRUE),M_Sims!P225=0)</f>
        <v>0</v>
      </c>
      <c r="X303" s="6" t="s">
        <v>1316</v>
      </c>
      <c r="Y303" s="6" t="s">
        <v>1324</v>
      </c>
      <c r="Z303" s="6">
        <v>142</v>
      </c>
      <c r="AA303" s="7" t="str">
        <f t="shared" si="94"/>
        <v>OK - sims match current assumptions</v>
      </c>
      <c r="AB303" s="42">
        <f>INDEX(IF(D303="OVER",M_WinDist!$E$8:$E$37,M_WinDist!$F$8:$F$37),MATCH($C303,M_WinDist!$A$8:$A$37,0))</f>
        <v>0.42646335882366748</v>
      </c>
      <c r="AC303" s="34">
        <f t="shared" si="95"/>
        <v>6.6158397059168816E-2</v>
      </c>
      <c r="AD303" s="42">
        <f>(SUMPRODUCT((M_Sims!$B$48:$CF$48&gt;=INT(E303)+1)*INDEX(M_Sims!$B$49:$CF$78,MATCH($C303,M_Sims!$A$49:$A$78,0),0))+A_zs_delta*INDEX(INDEX(M_Sims!$B$49:$CF$78,MATCH($C303,M_Sims!$A$49:$A$78,0),0),1,INT(E303)+2))</f>
        <v>0.43421700000000002</v>
      </c>
      <c r="AE303" s="34">
        <f t="shared" si="96"/>
        <v>8.5542500000000077E-2</v>
      </c>
      <c r="AF303" s="34">
        <f t="shared" si="97"/>
        <v>5.0439814380385251E-3</v>
      </c>
      <c r="AG303" s="34">
        <f t="shared" si="98"/>
        <v>-5.6593518561961417E-2</v>
      </c>
      <c r="AH303" s="6" t="b">
        <f>AND(W303,I303&gt;=A_t1_fair,((1-A_t1_shrink)*J303+A_t1_shrink*I303)*G303-1&gt;=A_minev,(1-A_t1_shrink)*N303+A_t1_shrink*(I303*G303-1)&gt;0,M_Sims!Q225=1)</f>
        <v>0</v>
      </c>
      <c r="AI303" s="18">
        <f>IF(AH303,M_Sims!R225*A_t1_cap/A_t1_engcap,0)</f>
        <v>0</v>
      </c>
      <c r="AJ303" s="46" t="str">
        <f t="shared" si="99"/>
        <v>-</v>
      </c>
      <c r="AK303" s="7" t="str">
        <f>IF(AH303,M_Sims!S225,"-")</f>
        <v>-</v>
      </c>
      <c r="AL303" s="51">
        <f>M_Sims!M225</f>
        <v>0</v>
      </c>
      <c r="AM303" s="6" t="str">
        <f t="shared" si="100"/>
        <v>-</v>
      </c>
    </row>
    <row r="304" spans="1:39" ht="15" customHeight="1" x14ac:dyDescent="0.3">
      <c r="A304" s="6" t="s">
        <v>279</v>
      </c>
      <c r="B304" s="7" t="str">
        <f>Odds_Input!C151</f>
        <v>Charlotte Hornets</v>
      </c>
      <c r="C304" s="6" t="s">
        <v>200</v>
      </c>
      <c r="D304" s="7" t="str">
        <f>Odds_Input!D151</f>
        <v>UNDER</v>
      </c>
      <c r="E304" s="31">
        <f>Odds_Input!E151</f>
        <v>39.5</v>
      </c>
      <c r="F304" s="32">
        <f>Odds_Input!F151</f>
        <v>-170</v>
      </c>
      <c r="G304" s="36">
        <f>M_DeVig!H151</f>
        <v>1.5882352941176472</v>
      </c>
      <c r="H304" s="7" t="str">
        <f>Odds_Input!G151</f>
        <v>-</v>
      </c>
      <c r="I304" s="42">
        <f>M_DeVig!Q151</f>
        <v>0.61481481479272593</v>
      </c>
      <c r="J304" s="42">
        <f>1-SUMPRODUCT((M_Sims!$B$48:$CF$48&gt;E304)*INDEX(M_Sims!$B$49:$CF$78,MATCH($C304,M_Sims!$A$49:$A$78,0),0))</f>
        <v>0.58115000000000006</v>
      </c>
      <c r="K304" s="43">
        <f t="shared" si="88"/>
        <v>-138.74895547331985</v>
      </c>
      <c r="L304" s="34">
        <f t="shared" si="89"/>
        <v>-7.6997058823529252E-2</v>
      </c>
      <c r="M304" s="38">
        <f t="shared" si="90"/>
        <v>-3.3664814792725872</v>
      </c>
      <c r="N304" s="42">
        <f>M_Sims!B226</f>
        <v>-0.16197294117647029</v>
      </c>
      <c r="O304" s="42">
        <f>M_Sims!C226</f>
        <v>1.3188235294117E-3</v>
      </c>
      <c r="P304" s="42">
        <f>M_Sims!D226</f>
        <v>0.1166666666666666</v>
      </c>
      <c r="Q304" s="34">
        <f t="shared" si="91"/>
        <v>0.59798240739636299</v>
      </c>
      <c r="R304" s="18" t="str">
        <f t="shared" si="92"/>
        <v>-</v>
      </c>
      <c r="S304" s="46" t="str">
        <f t="shared" si="93"/>
        <v>-</v>
      </c>
      <c r="T304" s="51" t="str">
        <f>IF(A_tier2_on=1,M_Sims!M226,"-")</f>
        <v>-</v>
      </c>
      <c r="U304" s="46" t="str">
        <f>IF(OR(A_bankroll="",A_tier2_on&lt;&gt;1),"-",MIN(A_maxbet,M_Sims!M226*A_bankroll))</f>
        <v>-</v>
      </c>
      <c r="V304" s="30">
        <f>M_Sims!H226</f>
        <v>1</v>
      </c>
      <c r="W304" s="6" t="b">
        <f>AND(H304&lt;&gt;"IMPUTED_20C_LADDER",L304&gt;=A_minev,N304&gt;0,V304=1,IF(A304="PLAYOFFS",A_poconf=1,TRUE),IF(AND(A304="WINS",A_zs_on=1),AND(AE304&gt;=A_minev,M_Sims!O226&gt;0),TRUE),AF304&gt;=A_minev,AG304&gt;0,IF(I304&lt;A_longthr,(1-A_shrink)*M_Sims!K226+A_shrink*(I304*G304-1)&gt;=A_minev,TRUE),IF(AND(OR(A304="WINS",A304="PLAYOFFS",LEFT(A304,4)="DIV_"),INDEX(Raw_Teams!$F$8:$F$37,MATCH($C304,Raw_Teams!$A$8:$A$37,0))&lt;A_contthr),AND(((1-A_contshrink)*J304+A_contshrink*I304)*G304-1&gt;=A_minev,(1-A_contshrink)*N304+A_contshrink*(I304*G304-1)&gt;0),TRUE),M_Sims!P226=0)</f>
        <v>0</v>
      </c>
      <c r="X304" s="6" t="s">
        <v>1316</v>
      </c>
      <c r="Y304" s="6" t="s">
        <v>1324</v>
      </c>
      <c r="Z304" s="6">
        <v>143</v>
      </c>
      <c r="AA304" s="7" t="str">
        <f t="shared" si="94"/>
        <v>OK - sims match current assumptions</v>
      </c>
      <c r="AB304" s="42">
        <f>INDEX(IF(D304="OVER",M_WinDist!$E$8:$E$37,M_WinDist!$F$8:$F$37),MATCH($C304,M_WinDist!$A$8:$A$37,0))</f>
        <v>0.57353664117633252</v>
      </c>
      <c r="AC304" s="34">
        <f t="shared" si="95"/>
        <v>-8.9088864014060021E-2</v>
      </c>
      <c r="AD304" s="42">
        <f>1-(SUMPRODUCT((M_Sims!$B$48:$CF$48&gt;=INT(E304)+1)*INDEX(M_Sims!$B$49:$CF$78,MATCH($C304,M_Sims!$A$49:$A$78,0),0))+A_zs_delta*INDEX(INDEX(M_Sims!$B$49:$CF$78,MATCH($C304,M_Sims!$A$49:$A$78,0),0),1,INT(E304)+2))</f>
        <v>0.56578299999999992</v>
      </c>
      <c r="AE304" s="34">
        <f t="shared" si="96"/>
        <v>-0.10140347058823529</v>
      </c>
      <c r="AF304" s="34">
        <f t="shared" si="97"/>
        <v>-5.0263235311658661E-2</v>
      </c>
      <c r="AG304" s="34">
        <f t="shared" si="98"/>
        <v>-9.2751176488129236E-2</v>
      </c>
      <c r="AH304" s="6" t="b">
        <f>AND(W304,I304&gt;=A_t1_fair,((1-A_t1_shrink)*J304+A_t1_shrink*I304)*G304-1&gt;=A_minev,(1-A_t1_shrink)*N304+A_t1_shrink*(I304*G304-1)&gt;0,M_Sims!Q226=1)</f>
        <v>0</v>
      </c>
      <c r="AI304" s="18">
        <f>IF(AH304,M_Sims!R226*A_t1_cap/A_t1_engcap,0)</f>
        <v>0</v>
      </c>
      <c r="AJ304" s="46" t="str">
        <f t="shared" si="99"/>
        <v>-</v>
      </c>
      <c r="AK304" s="7" t="str">
        <f>IF(AH304,M_Sims!S226,"-")</f>
        <v>-</v>
      </c>
      <c r="AL304" s="51">
        <f>M_Sims!M226</f>
        <v>0</v>
      </c>
      <c r="AM304" s="6" t="str">
        <f t="shared" si="100"/>
        <v>-</v>
      </c>
    </row>
    <row r="305" spans="1:39" ht="15" customHeight="1" x14ac:dyDescent="0.3">
      <c r="A305" s="6" t="s">
        <v>279</v>
      </c>
      <c r="B305" s="7" t="str">
        <f>Odds_Input!C152</f>
        <v>Chicago Bulls</v>
      </c>
      <c r="C305" s="6" t="s">
        <v>201</v>
      </c>
      <c r="D305" s="7" t="str">
        <f>Odds_Input!D152</f>
        <v>OVER</v>
      </c>
      <c r="E305" s="31">
        <f>Odds_Input!E152</f>
        <v>28.5</v>
      </c>
      <c r="F305" s="32">
        <f>Odds_Input!F152</f>
        <v>-150</v>
      </c>
      <c r="G305" s="36">
        <f>M_DeVig!H152</f>
        <v>1.6666666666666665</v>
      </c>
      <c r="H305" s="7" t="str">
        <f>Odds_Input!G152</f>
        <v>-</v>
      </c>
      <c r="I305" s="42">
        <f>M_DeVig!Q152</f>
        <v>0.58260869565205631</v>
      </c>
      <c r="J305" s="42">
        <f>SUMPRODUCT((M_Sims!$B$48:$CF$48&gt;E305)*INDEX(M_Sims!$B$49:$CF$78,MATCH($C305,M_Sims!$A$49:$A$78,0),0))</f>
        <v>0.65264000000000033</v>
      </c>
      <c r="K305" s="43">
        <f t="shared" si="88"/>
        <v>-187.88576692768339</v>
      </c>
      <c r="L305" s="34">
        <f t="shared" si="89"/>
        <v>8.7733333333333885E-2</v>
      </c>
      <c r="M305" s="38">
        <f t="shared" si="90"/>
        <v>7.0031304347944019</v>
      </c>
      <c r="N305" s="42">
        <f>M_Sims!B227</f>
        <v>-8.9755555555555699E-2</v>
      </c>
      <c r="O305" s="42">
        <f>M_Sims!C227</f>
        <v>0.2461555555555556</v>
      </c>
      <c r="P305" s="42">
        <f>M_Sims!D227</f>
        <v>0.65</v>
      </c>
      <c r="Q305" s="34">
        <f t="shared" si="91"/>
        <v>0.61762434782602837</v>
      </c>
      <c r="R305" s="18" t="str">
        <f t="shared" si="92"/>
        <v>-</v>
      </c>
      <c r="S305" s="46" t="str">
        <f t="shared" si="93"/>
        <v>-</v>
      </c>
      <c r="T305" s="51" t="str">
        <f>IF(A_tier2_on=1,M_Sims!M227,"-")</f>
        <v>-</v>
      </c>
      <c r="U305" s="46" t="str">
        <f>IF(OR(A_bankroll="",A_tier2_on&lt;&gt;1),"-",MIN(A_maxbet,M_Sims!M227*A_bankroll))</f>
        <v>-</v>
      </c>
      <c r="V305" s="30">
        <f>M_Sims!H227</f>
        <v>1</v>
      </c>
      <c r="W305" s="6" t="b">
        <f>AND(H305&lt;&gt;"IMPUTED_20C_LADDER",L305&gt;=A_minev,N305&gt;0,V305=1,IF(A305="PLAYOFFS",A_poconf=1,TRUE),IF(AND(A305="WINS",A_zs_on=1),AND(AE305&gt;=A_minev,M_Sims!O227&gt;0),TRUE),AF305&gt;=A_minev,AG305&gt;0,IF(I305&lt;A_longthr,(1-A_shrink)*M_Sims!K227+A_shrink*(I305*G305-1)&gt;=A_minev,TRUE),IF(AND(OR(A305="WINS",A305="PLAYOFFS",LEFT(A305,4)="DIV_"),INDEX(Raw_Teams!$F$8:$F$37,MATCH($C305,Raw_Teams!$A$8:$A$37,0))&lt;A_contthr),AND(((1-A_contshrink)*J305+A_contshrink*I305)*G305-1&gt;=A_minev,(1-A_contshrink)*N305+A_contshrink*(I305*G305-1)&gt;0),TRUE),M_Sims!P227=0)</f>
        <v>0</v>
      </c>
      <c r="X305" s="6" t="s">
        <v>1316</v>
      </c>
      <c r="Y305" s="6" t="s">
        <v>1324</v>
      </c>
      <c r="Z305" s="6">
        <v>144</v>
      </c>
      <c r="AA305" s="7" t="str">
        <f t="shared" si="94"/>
        <v>OK - sims match current assumptions</v>
      </c>
      <c r="AB305" s="42">
        <f>INDEX(IF(D305="OVER",M_WinDist!$E$8:$E$37,M_WinDist!$F$8:$F$37),MATCH($C305,M_WinDist!$A$8:$A$37,0))</f>
        <v>0.64488726571329291</v>
      </c>
      <c r="AC305" s="34">
        <f t="shared" si="95"/>
        <v>7.4812109522154779E-2</v>
      </c>
      <c r="AD305" s="42">
        <f>(SUMPRODUCT((M_Sims!$B$48:$CF$48&gt;=INT(E305)+1)*INDEX(M_Sims!$B$49:$CF$78,MATCH($C305,M_Sims!$A$49:$A$78,0),0))+A_zs_delta*INDEX(INDEX(M_Sims!$B$49:$CF$78,MATCH($C305,M_Sims!$A$49:$A$78,0),0),1,INT(E305)+2))</f>
        <v>0.66872933333333362</v>
      </c>
      <c r="AE305" s="34">
        <f t="shared" si="96"/>
        <v>0.11454888888888926</v>
      </c>
      <c r="AF305" s="34">
        <f t="shared" si="97"/>
        <v>2.9373913043380551E-2</v>
      </c>
      <c r="AG305" s="34">
        <f t="shared" si="98"/>
        <v>-5.9370531401064297E-2</v>
      </c>
      <c r="AH305" s="6" t="b">
        <f>AND(W305,I305&gt;=A_t1_fair,((1-A_t1_shrink)*J305+A_t1_shrink*I305)*G305-1&gt;=A_minev,(1-A_t1_shrink)*N305+A_t1_shrink*(I305*G305-1)&gt;0,M_Sims!Q227=1)</f>
        <v>0</v>
      </c>
      <c r="AI305" s="18">
        <f>IF(AH305,M_Sims!R227*A_t1_cap/A_t1_engcap,0)</f>
        <v>0</v>
      </c>
      <c r="AJ305" s="46" t="str">
        <f t="shared" si="99"/>
        <v>-</v>
      </c>
      <c r="AK305" s="7" t="str">
        <f>IF(AH305,M_Sims!S227,"-")</f>
        <v>-</v>
      </c>
      <c r="AL305" s="51">
        <f>M_Sims!M227</f>
        <v>0</v>
      </c>
      <c r="AM305" s="6" t="str">
        <f t="shared" si="100"/>
        <v>-</v>
      </c>
    </row>
    <row r="306" spans="1:39" ht="15" customHeight="1" x14ac:dyDescent="0.3">
      <c r="A306" s="6" t="s">
        <v>279</v>
      </c>
      <c r="B306" s="7" t="str">
        <f>Odds_Input!C153</f>
        <v>Chicago Bulls</v>
      </c>
      <c r="C306" s="6" t="s">
        <v>201</v>
      </c>
      <c r="D306" s="7" t="str">
        <f>Odds_Input!D153</f>
        <v>UNDER</v>
      </c>
      <c r="E306" s="31">
        <f>Odds_Input!E153</f>
        <v>28.5</v>
      </c>
      <c r="F306" s="32">
        <f>Odds_Input!F153</f>
        <v>130</v>
      </c>
      <c r="G306" s="36">
        <f>M_DeVig!H153</f>
        <v>2.2999999999999998</v>
      </c>
      <c r="H306" s="7" t="str">
        <f>Odds_Input!G153</f>
        <v>-</v>
      </c>
      <c r="I306" s="42">
        <f>M_DeVig!Q153</f>
        <v>0.41739130434766375</v>
      </c>
      <c r="J306" s="42">
        <f>1-SUMPRODUCT((M_Sims!$B$48:$CF$48&gt;E306)*INDEX(M_Sims!$B$49:$CF$78,MATCH($C306,M_Sims!$A$49:$A$78,0),0))</f>
        <v>0.34735999999999967</v>
      </c>
      <c r="K306" s="43">
        <f t="shared" si="88"/>
        <v>187.88576692768339</v>
      </c>
      <c r="L306" s="34">
        <f t="shared" si="89"/>
        <v>-0.20107200000000081</v>
      </c>
      <c r="M306" s="38">
        <f t="shared" si="90"/>
        <v>-7.0031304347664083</v>
      </c>
      <c r="N306" s="42">
        <f>M_Sims!B228</f>
        <v>-0.41969466666666672</v>
      </c>
      <c r="O306" s="42">
        <f>M_Sims!C228</f>
        <v>4.3862666666666703E-2</v>
      </c>
      <c r="P306" s="42">
        <f>M_Sims!D228</f>
        <v>0.15</v>
      </c>
      <c r="Q306" s="34">
        <f t="shared" si="91"/>
        <v>0.38237565217383174</v>
      </c>
      <c r="R306" s="18" t="str">
        <f t="shared" si="92"/>
        <v>-</v>
      </c>
      <c r="S306" s="46" t="str">
        <f t="shared" si="93"/>
        <v>-</v>
      </c>
      <c r="T306" s="51" t="str">
        <f>IF(A_tier2_on=1,M_Sims!M228,"-")</f>
        <v>-</v>
      </c>
      <c r="U306" s="46" t="str">
        <f>IF(OR(A_bankroll="",A_tier2_on&lt;&gt;1),"-",MIN(A_maxbet,M_Sims!M228*A_bankroll))</f>
        <v>-</v>
      </c>
      <c r="V306" s="30">
        <f>M_Sims!H228</f>
        <v>0</v>
      </c>
      <c r="W306" s="6" t="b">
        <f>AND(H306&lt;&gt;"IMPUTED_20C_LADDER",L306&gt;=A_minev,N306&gt;0,V306=1,IF(A306="PLAYOFFS",A_poconf=1,TRUE),IF(AND(A306="WINS",A_zs_on=1),AND(AE306&gt;=A_minev,M_Sims!O228&gt;0),TRUE),AF306&gt;=A_minev,AG306&gt;0,IF(I306&lt;A_longthr,(1-A_shrink)*M_Sims!K228+A_shrink*(I306*G306-1)&gt;=A_minev,TRUE),IF(AND(OR(A306="WINS",A306="PLAYOFFS",LEFT(A306,4)="DIV_"),INDEX(Raw_Teams!$F$8:$F$37,MATCH($C306,Raw_Teams!$A$8:$A$37,0))&lt;A_contthr),AND(((1-A_contshrink)*J306+A_contshrink*I306)*G306-1&gt;=A_minev,(1-A_contshrink)*N306+A_contshrink*(I306*G306-1)&gt;0),TRUE),M_Sims!P228=0)</f>
        <v>0</v>
      </c>
      <c r="X306" s="6" t="s">
        <v>1316</v>
      </c>
      <c r="Y306" s="6" t="s">
        <v>1324</v>
      </c>
      <c r="Z306" s="6">
        <v>145</v>
      </c>
      <c r="AA306" s="7" t="str">
        <f t="shared" si="94"/>
        <v>OK - sims match current assumptions</v>
      </c>
      <c r="AB306" s="42">
        <f>INDEX(IF(D306="OVER",M_WinDist!$E$8:$E$37,M_WinDist!$F$8:$F$37),MATCH($C306,M_WinDist!$A$8:$A$37,0))</f>
        <v>0.35511273428670709</v>
      </c>
      <c r="AC306" s="34">
        <f t="shared" si="95"/>
        <v>-0.18324071114057372</v>
      </c>
      <c r="AD306" s="42">
        <f>1-(SUMPRODUCT((M_Sims!$B$48:$CF$48&gt;=INT(E306)+1)*INDEX(M_Sims!$B$49:$CF$78,MATCH($C306,M_Sims!$A$49:$A$78,0),0))+A_zs_delta*INDEX(INDEX(M_Sims!$B$49:$CF$78,MATCH($C306,M_Sims!$A$49:$A$78,0),0),1,INT(E306)+2))</f>
        <v>0.33127066666666638</v>
      </c>
      <c r="AE306" s="34">
        <f t="shared" si="96"/>
        <v>-0.2380774666666674</v>
      </c>
      <c r="AF306" s="34">
        <f t="shared" si="97"/>
        <v>-0.12053600000018705</v>
      </c>
      <c r="AG306" s="34">
        <f t="shared" si="98"/>
        <v>-0.22984733333352006</v>
      </c>
      <c r="AH306" s="6" t="b">
        <f>AND(W306,I306&gt;=A_t1_fair,((1-A_t1_shrink)*J306+A_t1_shrink*I306)*G306-1&gt;=A_minev,(1-A_t1_shrink)*N306+A_t1_shrink*(I306*G306-1)&gt;0,M_Sims!Q228=1)</f>
        <v>0</v>
      </c>
      <c r="AI306" s="18">
        <f>IF(AH306,M_Sims!R228*A_t1_cap/A_t1_engcap,0)</f>
        <v>0</v>
      </c>
      <c r="AJ306" s="46" t="str">
        <f t="shared" si="99"/>
        <v>-</v>
      </c>
      <c r="AK306" s="7" t="str">
        <f>IF(AH306,M_Sims!S228,"-")</f>
        <v>-</v>
      </c>
      <c r="AL306" s="51">
        <f>M_Sims!M228</f>
        <v>0</v>
      </c>
      <c r="AM306" s="6" t="str">
        <f t="shared" si="100"/>
        <v>-</v>
      </c>
    </row>
    <row r="307" spans="1:39" ht="15" customHeight="1" x14ac:dyDescent="0.3">
      <c r="A307" s="52" t="s">
        <v>279</v>
      </c>
      <c r="B307" s="53" t="str">
        <f>Odds_Input!C154</f>
        <v>Miami Heat</v>
      </c>
      <c r="C307" s="52" t="s">
        <v>212</v>
      </c>
      <c r="D307" s="53" t="str">
        <f>Odds_Input!D154</f>
        <v>OVER</v>
      </c>
      <c r="E307" s="54">
        <f>Odds_Input!E154</f>
        <v>46.5</v>
      </c>
      <c r="F307" s="55">
        <f>Odds_Input!F154</f>
        <v>100</v>
      </c>
      <c r="G307" s="56">
        <f>M_DeVig!H154</f>
        <v>2</v>
      </c>
      <c r="H307" s="53" t="str">
        <f>Odds_Input!G154</f>
        <v>BACKFILL_PDF1</v>
      </c>
      <c r="I307" s="42">
        <f>M_DeVig!Q154</f>
        <v>0.4772727272430774</v>
      </c>
      <c r="J307" s="42">
        <f>SUMPRODUCT((M_Sims!$B$48:$CF$48&gt;E307)*INDEX(M_Sims!$B$49:$CF$78,MATCH($C307,M_Sims!$A$49:$A$78,0),0))</f>
        <v>0.16706000000000004</v>
      </c>
      <c r="K307" s="43">
        <f t="shared" si="88"/>
        <v>498.58733389201473</v>
      </c>
      <c r="L307" s="34">
        <f t="shared" si="89"/>
        <v>-0.66587999999999992</v>
      </c>
      <c r="M307" s="38">
        <f t="shared" si="90"/>
        <v>-31.021272724307735</v>
      </c>
      <c r="N307" s="42">
        <f>M_Sims!B229</f>
        <v>-0.72575999999999996</v>
      </c>
      <c r="O307" s="42">
        <f>M_Sims!C229</f>
        <v>-0.58640000000000003</v>
      </c>
      <c r="P307" s="42">
        <f>M_Sims!D229</f>
        <v>0</v>
      </c>
      <c r="Q307" s="34">
        <f t="shared" si="91"/>
        <v>0.32216636362153872</v>
      </c>
      <c r="R307" s="18" t="str">
        <f t="shared" si="92"/>
        <v>-</v>
      </c>
      <c r="S307" s="46" t="str">
        <f t="shared" si="93"/>
        <v>-</v>
      </c>
      <c r="T307" s="51" t="str">
        <f>IF(A_tier2_on=1,M_Sims!M229,"-")</f>
        <v>-</v>
      </c>
      <c r="U307" s="46" t="str">
        <f>IF(OR(A_bankroll="",A_tier2_on&lt;&gt;1),"-",MIN(A_maxbet,M_Sims!M229*A_bankroll))</f>
        <v>-</v>
      </c>
      <c r="V307" s="30">
        <f>M_Sims!H229</f>
        <v>1</v>
      </c>
      <c r="W307" s="6" t="b">
        <f>AND(H307&lt;&gt;"IMPUTED_20C_LADDER",L307&gt;=A_minev,N307&gt;0,V307=1,IF(A307="PLAYOFFS",A_poconf=1,TRUE),IF(AND(A307="WINS",A_zs_on=1),AND(AE307&gt;=A_minev,M_Sims!O229&gt;0),TRUE),AF307&gt;=A_minev,AG307&gt;0,IF(I307&lt;A_longthr,(1-A_shrink)*M_Sims!K229+A_shrink*(I307*G307-1)&gt;=A_minev,TRUE),IF(AND(OR(A307="WINS",A307="PLAYOFFS",LEFT(A307,4)="DIV_"),INDEX(Raw_Teams!$F$8:$F$37,MATCH($C307,Raw_Teams!$A$8:$A$37,0))&lt;A_contthr),AND(((1-A_contshrink)*J307+A_contshrink*I307)*G307-1&gt;=A_minev,(1-A_contshrink)*N307+A_contshrink*(I307*G307-1)&gt;0),TRUE),M_Sims!P229=0)</f>
        <v>0</v>
      </c>
      <c r="X307" s="6" t="s">
        <v>1316</v>
      </c>
      <c r="Y307" s="6" t="s">
        <v>1324</v>
      </c>
      <c r="Z307" s="6">
        <v>146</v>
      </c>
      <c r="AA307" s="7" t="str">
        <f t="shared" si="94"/>
        <v>OK - sims match current assumptions</v>
      </c>
      <c r="AB307" s="42">
        <f>INDEX(IF(D307="OVER",M_WinDist!$E$8:$E$37,M_WinDist!$F$8:$F$37),MATCH($C307,M_WinDist!$A$8:$A$37,0))</f>
        <v>0.15595005309898213</v>
      </c>
      <c r="AC307" s="34">
        <f t="shared" si="95"/>
        <v>-0.68809989380203573</v>
      </c>
      <c r="AD307" s="42">
        <f>(SUMPRODUCT((M_Sims!$B$48:$CF$48&gt;=INT(E307)+1)*INDEX(M_Sims!$B$49:$CF$78,MATCH($C307,M_Sims!$A$49:$A$78,0),0))+A_zs_delta*INDEX(INDEX(M_Sims!$B$49:$CF$78,MATCH($C307,M_Sims!$A$49:$A$78,0),0),1,INT(E307)+2))</f>
        <v>0.17668133333333338</v>
      </c>
      <c r="AE307" s="34">
        <f t="shared" si="96"/>
        <v>-0.64663733333333329</v>
      </c>
      <c r="AF307" s="34">
        <f t="shared" si="97"/>
        <v>-0.35566727275692256</v>
      </c>
      <c r="AG307" s="34">
        <f t="shared" si="98"/>
        <v>-0.38560727275692258</v>
      </c>
      <c r="AH307" s="6" t="b">
        <f>AND(W307,I307&gt;=A_t1_fair,((1-A_t1_shrink)*J307+A_t1_shrink*I307)*G307-1&gt;=A_minev,(1-A_t1_shrink)*N307+A_t1_shrink*(I307*G307-1)&gt;0,M_Sims!Q229=1)</f>
        <v>0</v>
      </c>
      <c r="AI307" s="18">
        <f>IF(AH307,M_Sims!R229*A_t1_cap/A_t1_engcap,0)</f>
        <v>0</v>
      </c>
      <c r="AJ307" s="46" t="str">
        <f t="shared" si="99"/>
        <v>-</v>
      </c>
      <c r="AK307" s="7" t="str">
        <f>IF(AH307,M_Sims!S229,"-")</f>
        <v>-</v>
      </c>
      <c r="AL307" s="51">
        <f>M_Sims!M229</f>
        <v>0</v>
      </c>
      <c r="AM307" s="6" t="str">
        <f t="shared" si="100"/>
        <v>-</v>
      </c>
    </row>
    <row r="308" spans="1:39" ht="15" customHeight="1" x14ac:dyDescent="0.3">
      <c r="A308" s="6" t="s">
        <v>279</v>
      </c>
      <c r="B308" s="7" t="str">
        <f>Odds_Input!C155</f>
        <v>Miami Heat</v>
      </c>
      <c r="C308" s="6" t="s">
        <v>212</v>
      </c>
      <c r="D308" s="7" t="str">
        <f>Odds_Input!D155</f>
        <v>UNDER</v>
      </c>
      <c r="E308" s="31">
        <f>Odds_Input!E155</f>
        <v>46.5</v>
      </c>
      <c r="F308" s="32">
        <f>Odds_Input!F155</f>
        <v>-120</v>
      </c>
      <c r="G308" s="36">
        <f>M_DeVig!H155</f>
        <v>1.8333333333333335</v>
      </c>
      <c r="H308" s="7" t="str">
        <f>Odds_Input!G155</f>
        <v>-</v>
      </c>
      <c r="I308" s="42">
        <f>M_DeVig!Q155</f>
        <v>0.52272727270008856</v>
      </c>
      <c r="J308" s="42">
        <f>1-SUMPRODUCT((M_Sims!$B$48:$CF$48&gt;E308)*INDEX(M_Sims!$B$49:$CF$78,MATCH($C308,M_Sims!$A$49:$A$78,0),0))</f>
        <v>0.83294000000000001</v>
      </c>
      <c r="K308" s="43">
        <f t="shared" si="88"/>
        <v>-498.58733389201484</v>
      </c>
      <c r="L308" s="34">
        <f t="shared" si="89"/>
        <v>0.52705666666666673</v>
      </c>
      <c r="M308" s="38">
        <f t="shared" si="90"/>
        <v>31.021272729991146</v>
      </c>
      <c r="N308" s="42">
        <f>M_Sims!B230</f>
        <v>0.45419999999999999</v>
      </c>
      <c r="O308" s="42">
        <f>M_Sims!C230</f>
        <v>0.58194666666666683</v>
      </c>
      <c r="P308" s="42">
        <f>M_Sims!D230</f>
        <v>1</v>
      </c>
      <c r="Q308" s="34">
        <f t="shared" si="91"/>
        <v>0.67783363635004434</v>
      </c>
      <c r="R308" s="18" t="str">
        <f t="shared" si="92"/>
        <v>-</v>
      </c>
      <c r="S308" s="46" t="str">
        <f t="shared" si="93"/>
        <v>-</v>
      </c>
      <c r="T308" s="51" t="str">
        <f>IF(A_tier2_on=1,M_Sims!M230,"-")</f>
        <v>-</v>
      </c>
      <c r="U308" s="46" t="str">
        <f>IF(OR(A_bankroll="",A_tier2_on&lt;&gt;1),"-",MIN(A_maxbet,M_Sims!M230*A_bankroll))</f>
        <v>-</v>
      </c>
      <c r="V308" s="30">
        <f>M_Sims!H230</f>
        <v>1</v>
      </c>
      <c r="W308" s="6" t="b">
        <f>AND(H308&lt;&gt;"IMPUTED_20C_LADDER",L308&gt;=A_minev,N308&gt;0,V308=1,IF(A308="PLAYOFFS",A_poconf=1,TRUE),IF(AND(A308="WINS",A_zs_on=1),AND(AE308&gt;=A_minev,M_Sims!O230&gt;0),TRUE),AF308&gt;=A_minev,AG308&gt;0,IF(I308&lt;A_longthr,(1-A_shrink)*M_Sims!K230+A_shrink*(I308*G308-1)&gt;=A_minev,TRUE),IF(AND(OR(A308="WINS",A308="PLAYOFFS",LEFT(A308,4)="DIV_"),INDEX(Raw_Teams!$F$8:$F$37,MATCH($C308,Raw_Teams!$A$8:$A$37,0))&lt;A_contthr),AND(((1-A_contshrink)*J308+A_contshrink*I308)*G308-1&gt;=A_minev,(1-A_contshrink)*N308+A_contshrink*(I308*G308-1)&gt;0),TRUE),M_Sims!P230=0)</f>
        <v>1</v>
      </c>
      <c r="X308" s="6" t="s">
        <v>1316</v>
      </c>
      <c r="Y308" s="6" t="s">
        <v>1324</v>
      </c>
      <c r="Z308" s="6">
        <v>147</v>
      </c>
      <c r="AA308" s="7" t="str">
        <f t="shared" si="94"/>
        <v>OK - sims match current assumptions</v>
      </c>
      <c r="AB308" s="42">
        <f>INDEX(IF(D308="OVER",M_WinDist!$E$8:$E$37,M_WinDist!$F$8:$F$37),MATCH($C308,M_WinDist!$A$8:$A$37,0))</f>
        <v>0.84404994690101787</v>
      </c>
      <c r="AC308" s="34">
        <f t="shared" si="95"/>
        <v>0.54742490265186627</v>
      </c>
      <c r="AD308" s="42">
        <f>1-(SUMPRODUCT((M_Sims!$B$48:$CF$48&gt;=INT(E308)+1)*INDEX(M_Sims!$B$49:$CF$78,MATCH($C308,M_Sims!$A$49:$A$78,0),0))+A_zs_delta*INDEX(INDEX(M_Sims!$B$49:$CF$78,MATCH($C308,M_Sims!$A$49:$A$78,0),0),1,INT(E308)+2))</f>
        <v>0.82331866666666664</v>
      </c>
      <c r="AE308" s="34">
        <f t="shared" si="96"/>
        <v>0.50941755555555557</v>
      </c>
      <c r="AF308" s="34">
        <f t="shared" si="97"/>
        <v>0.24269499997508137</v>
      </c>
      <c r="AG308" s="34">
        <f t="shared" si="98"/>
        <v>0.20626666664174789</v>
      </c>
      <c r="AH308" s="6" t="b">
        <f>AND(W308,I308&gt;=A_t1_fair,((1-A_t1_shrink)*J308+A_t1_shrink*I308)*G308-1&gt;=A_minev,(1-A_t1_shrink)*N308+A_t1_shrink*(I308*G308-1)&gt;0,M_Sims!Q230=1)</f>
        <v>0</v>
      </c>
      <c r="AI308" s="18">
        <f>IF(AH308,M_Sims!R230*A_t1_cap/A_t1_engcap,0)</f>
        <v>0</v>
      </c>
      <c r="AJ308" s="46" t="str">
        <f t="shared" si="99"/>
        <v>-</v>
      </c>
      <c r="AK308" s="7" t="str">
        <f>IF(AH308,M_Sims!S230,"-")</f>
        <v>-</v>
      </c>
      <c r="AL308" s="51">
        <f>M_Sims!M230</f>
        <v>1.9350412969654798E-2</v>
      </c>
      <c r="AM308" s="6" t="str">
        <f t="shared" si="100"/>
        <v>Tier 2</v>
      </c>
    </row>
    <row r="309" spans="1:39" ht="15" customHeight="1" x14ac:dyDescent="0.3">
      <c r="A309" s="6" t="s">
        <v>279</v>
      </c>
      <c r="B309" s="7" t="str">
        <f>Odds_Input!C156</f>
        <v>Minnesota Timberwolves</v>
      </c>
      <c r="C309" s="6" t="s">
        <v>214</v>
      </c>
      <c r="D309" s="7" t="str">
        <f>Odds_Input!D156</f>
        <v>OVER</v>
      </c>
      <c r="E309" s="31">
        <f>Odds_Input!E156</f>
        <v>47.5</v>
      </c>
      <c r="F309" s="32">
        <f>Odds_Input!F156</f>
        <v>-120</v>
      </c>
      <c r="G309" s="36">
        <f>M_DeVig!H156</f>
        <v>1.8333333333333335</v>
      </c>
      <c r="H309" s="7" t="str">
        <f>Odds_Input!G156</f>
        <v>-</v>
      </c>
      <c r="I309" s="42">
        <f>M_DeVig!Q156</f>
        <v>0.52272727270008856</v>
      </c>
      <c r="J309" s="42">
        <f>SUMPRODUCT((M_Sims!$B$48:$CF$48&gt;E309)*INDEX(M_Sims!$B$49:$CF$78,MATCH($C309,M_Sims!$A$49:$A$78,0),0))</f>
        <v>0.37585000000000002</v>
      </c>
      <c r="K309" s="43">
        <f t="shared" si="88"/>
        <v>166.06358919781826</v>
      </c>
      <c r="L309" s="34">
        <f t="shared" si="89"/>
        <v>-0.31094166666666656</v>
      </c>
      <c r="M309" s="38">
        <f t="shared" si="90"/>
        <v>-14.687727270008855</v>
      </c>
      <c r="N309" s="42">
        <f>M_Sims!B231</f>
        <v>-0.37665444444444429</v>
      </c>
      <c r="O309" s="42">
        <f>M_Sims!C231</f>
        <v>-0.26105666666666638</v>
      </c>
      <c r="P309" s="42">
        <f>M_Sims!D231</f>
        <v>0</v>
      </c>
      <c r="Q309" s="34">
        <f t="shared" si="91"/>
        <v>0.44928863635004429</v>
      </c>
      <c r="R309" s="18" t="str">
        <f t="shared" si="92"/>
        <v>-</v>
      </c>
      <c r="S309" s="46" t="str">
        <f t="shared" si="93"/>
        <v>-</v>
      </c>
      <c r="T309" s="51" t="str">
        <f>IF(A_tier2_on=1,M_Sims!M231,"-")</f>
        <v>-</v>
      </c>
      <c r="U309" s="46" t="str">
        <f>IF(OR(A_bankroll="",A_tier2_on&lt;&gt;1),"-",MIN(A_maxbet,M_Sims!M231*A_bankroll))</f>
        <v>-</v>
      </c>
      <c r="V309" s="30">
        <f>M_Sims!H231</f>
        <v>1</v>
      </c>
      <c r="W309" s="6" t="b">
        <f>AND(H309&lt;&gt;"IMPUTED_20C_LADDER",L309&gt;=A_minev,N309&gt;0,V309=1,IF(A309="PLAYOFFS",A_poconf=1,TRUE),IF(AND(A309="WINS",A_zs_on=1),AND(AE309&gt;=A_minev,M_Sims!O231&gt;0),TRUE),AF309&gt;=A_minev,AG309&gt;0,IF(I309&lt;A_longthr,(1-A_shrink)*M_Sims!K231+A_shrink*(I309*G309-1)&gt;=A_minev,TRUE),IF(AND(OR(A309="WINS",A309="PLAYOFFS",LEFT(A309,4)="DIV_"),INDEX(Raw_Teams!$F$8:$F$37,MATCH($C309,Raw_Teams!$A$8:$A$37,0))&lt;A_contthr),AND(((1-A_contshrink)*J309+A_contshrink*I309)*G309-1&gt;=A_minev,(1-A_contshrink)*N309+A_contshrink*(I309*G309-1)&gt;0),TRUE),M_Sims!P231=0)</f>
        <v>0</v>
      </c>
      <c r="X309" s="6" t="s">
        <v>1316</v>
      </c>
      <c r="Y309" s="6" t="s">
        <v>1324</v>
      </c>
      <c r="Z309" s="6">
        <v>148</v>
      </c>
      <c r="AA309" s="7" t="str">
        <f t="shared" si="94"/>
        <v>OK - sims match current assumptions</v>
      </c>
      <c r="AB309" s="42">
        <f>INDEX(IF(D309="OVER",M_WinDist!$E$8:$E$37,M_WinDist!$F$8:$F$37),MATCH($C309,M_WinDist!$A$8:$A$37,0))</f>
        <v>0.36514410155480892</v>
      </c>
      <c r="AC309" s="34">
        <f t="shared" si="95"/>
        <v>-0.33056914714951691</v>
      </c>
      <c r="AD309" s="42">
        <f>(SUMPRODUCT((M_Sims!$B$48:$CF$48&gt;=INT(E309)+1)*INDEX(M_Sims!$B$49:$CF$78,MATCH($C309,M_Sims!$A$49:$A$78,0),0))+A_zs_delta*INDEX(INDEX(M_Sims!$B$49:$CF$78,MATCH($C309,M_Sims!$A$49:$A$78,0),0),1,INT(E309)+2))</f>
        <v>0.39074033333333336</v>
      </c>
      <c r="AE309" s="34">
        <f t="shared" si="96"/>
        <v>-0.28364272222222209</v>
      </c>
      <c r="AF309" s="34">
        <f t="shared" si="97"/>
        <v>-0.17630416669158544</v>
      </c>
      <c r="AG309" s="34">
        <f t="shared" si="98"/>
        <v>-0.20916055558047425</v>
      </c>
      <c r="AH309" s="6" t="b">
        <f>AND(W309,I309&gt;=A_t1_fair,((1-A_t1_shrink)*J309+A_t1_shrink*I309)*G309-1&gt;=A_minev,(1-A_t1_shrink)*N309+A_t1_shrink*(I309*G309-1)&gt;0,M_Sims!Q231=1)</f>
        <v>0</v>
      </c>
      <c r="AI309" s="18">
        <f>IF(AH309,M_Sims!R231*A_t1_cap/A_t1_engcap,0)</f>
        <v>0</v>
      </c>
      <c r="AJ309" s="46" t="str">
        <f t="shared" si="99"/>
        <v>-</v>
      </c>
      <c r="AK309" s="7" t="str">
        <f>IF(AH309,M_Sims!S231,"-")</f>
        <v>-</v>
      </c>
      <c r="AL309" s="51">
        <f>M_Sims!M231</f>
        <v>0</v>
      </c>
      <c r="AM309" s="6" t="str">
        <f t="shared" si="100"/>
        <v>-</v>
      </c>
    </row>
    <row r="310" spans="1:39" ht="15" customHeight="1" x14ac:dyDescent="0.3">
      <c r="A310" s="6" t="s">
        <v>279</v>
      </c>
      <c r="B310" s="7" t="str">
        <f>Odds_Input!C157</f>
        <v>Minnesota Timberwolves</v>
      </c>
      <c r="C310" s="6" t="s">
        <v>214</v>
      </c>
      <c r="D310" s="7" t="str">
        <f>Odds_Input!D157</f>
        <v>UNDER</v>
      </c>
      <c r="E310" s="31">
        <f>Odds_Input!E157</f>
        <v>47.5</v>
      </c>
      <c r="F310" s="32">
        <f>Odds_Input!F157</f>
        <v>100</v>
      </c>
      <c r="G310" s="36">
        <f>M_DeVig!H157</f>
        <v>2</v>
      </c>
      <c r="H310" s="7" t="str">
        <f>Odds_Input!G157</f>
        <v>-</v>
      </c>
      <c r="I310" s="42">
        <f>M_DeVig!Q157</f>
        <v>0.4772727272430774</v>
      </c>
      <c r="J310" s="42">
        <f>1-SUMPRODUCT((M_Sims!$B$48:$CF$48&gt;E310)*INDEX(M_Sims!$B$49:$CF$78,MATCH($C310,M_Sims!$A$49:$A$78,0),0))</f>
        <v>0.62414999999999998</v>
      </c>
      <c r="K310" s="43">
        <f t="shared" si="88"/>
        <v>-166.06358919781826</v>
      </c>
      <c r="L310" s="34">
        <f t="shared" si="89"/>
        <v>0.24829999999999997</v>
      </c>
      <c r="M310" s="38">
        <f t="shared" si="90"/>
        <v>14.687727275692259</v>
      </c>
      <c r="N310" s="42">
        <f>M_Sims!B232</f>
        <v>0.1938799999999998</v>
      </c>
      <c r="O310" s="42">
        <f>M_Sims!C232</f>
        <v>0.31998666666666647</v>
      </c>
      <c r="P310" s="42">
        <f>M_Sims!D232</f>
        <v>1</v>
      </c>
      <c r="Q310" s="34">
        <f t="shared" si="91"/>
        <v>0.55071136362153872</v>
      </c>
      <c r="R310" s="18" t="str">
        <f t="shared" si="92"/>
        <v>-</v>
      </c>
      <c r="S310" s="46" t="str">
        <f t="shared" si="93"/>
        <v>-</v>
      </c>
      <c r="T310" s="51" t="str">
        <f>IF(A_tier2_on=1,M_Sims!M232,"-")</f>
        <v>-</v>
      </c>
      <c r="U310" s="46" t="str">
        <f>IF(OR(A_bankroll="",A_tier2_on&lt;&gt;1),"-",MIN(A_maxbet,M_Sims!M232*A_bankroll))</f>
        <v>-</v>
      </c>
      <c r="V310" s="30">
        <f>M_Sims!H232</f>
        <v>1</v>
      </c>
      <c r="W310" s="6" t="b">
        <f>AND(H310&lt;&gt;"IMPUTED_20C_LADDER",L310&gt;=A_minev,N310&gt;0,V310=1,IF(A310="PLAYOFFS",A_poconf=1,TRUE),IF(AND(A310="WINS",A_zs_on=1),AND(AE310&gt;=A_minev,M_Sims!O232&gt;0),TRUE),AF310&gt;=A_minev,AG310&gt;0,IF(I310&lt;A_longthr,(1-A_shrink)*M_Sims!K232+A_shrink*(I310*G310-1)&gt;=A_minev,TRUE),IF(AND(OR(A310="WINS",A310="PLAYOFFS",LEFT(A310,4)="DIV_"),INDEX(Raw_Teams!$F$8:$F$37,MATCH($C310,Raw_Teams!$A$8:$A$37,0))&lt;A_contthr),AND(((1-A_contshrink)*J310+A_contshrink*I310)*G310-1&gt;=A_minev,(1-A_contshrink)*N310+A_contshrink*(I310*G310-1)&gt;0),TRUE),M_Sims!P232=0)</f>
        <v>1</v>
      </c>
      <c r="X310" s="6" t="s">
        <v>1316</v>
      </c>
      <c r="Y310" s="6" t="s">
        <v>1324</v>
      </c>
      <c r="Z310" s="6">
        <v>149</v>
      </c>
      <c r="AA310" s="7" t="str">
        <f t="shared" si="94"/>
        <v>OK - sims match current assumptions</v>
      </c>
      <c r="AB310" s="42">
        <f>INDEX(IF(D310="OVER",M_WinDist!$E$8:$E$37,M_WinDist!$F$8:$F$37),MATCH($C310,M_WinDist!$A$8:$A$37,0))</f>
        <v>0.63485589844519108</v>
      </c>
      <c r="AC310" s="34">
        <f t="shared" si="95"/>
        <v>0.26971179689038216</v>
      </c>
      <c r="AD310" s="42">
        <f>1-(SUMPRODUCT((M_Sims!$B$48:$CF$48&gt;=INT(E310)+1)*INDEX(M_Sims!$B$49:$CF$78,MATCH($C310,M_Sims!$A$49:$A$78,0),0))+A_zs_delta*INDEX(INDEX(M_Sims!$B$49:$CF$78,MATCH($C310,M_Sims!$A$49:$A$78,0),0),1,INT(E310)+2))</f>
        <v>0.60925966666666664</v>
      </c>
      <c r="AE310" s="34">
        <f t="shared" si="96"/>
        <v>0.21851933333333329</v>
      </c>
      <c r="AF310" s="34">
        <f t="shared" si="97"/>
        <v>0.10142272724307744</v>
      </c>
      <c r="AG310" s="34">
        <f t="shared" si="98"/>
        <v>7.4212727243077301E-2</v>
      </c>
      <c r="AH310" s="6" t="b">
        <f>AND(W310,I310&gt;=A_t1_fair,((1-A_t1_shrink)*J310+A_t1_shrink*I310)*G310-1&gt;=A_minev,(1-A_t1_shrink)*N310+A_t1_shrink*(I310*G310-1)&gt;0,M_Sims!Q232=1)</f>
        <v>0</v>
      </c>
      <c r="AI310" s="18">
        <f>IF(AH310,M_Sims!R232*A_t1_cap/A_t1_engcap,0)</f>
        <v>0</v>
      </c>
      <c r="AJ310" s="46" t="str">
        <f t="shared" si="99"/>
        <v>-</v>
      </c>
      <c r="AK310" s="7" t="str">
        <f>IF(AH310,M_Sims!S232,"-")</f>
        <v>-</v>
      </c>
      <c r="AL310" s="51">
        <f>M_Sims!M232</f>
        <v>8.6856439771728997E-3</v>
      </c>
      <c r="AM310" s="6" t="str">
        <f t="shared" si="100"/>
        <v>Tier 2</v>
      </c>
    </row>
    <row r="311" spans="1:39" ht="15" customHeight="1" x14ac:dyDescent="0.3">
      <c r="A311" s="6" t="s">
        <v>279</v>
      </c>
      <c r="B311" s="7" t="str">
        <f>Odds_Input!C158</f>
        <v>Toronto Raptors</v>
      </c>
      <c r="C311" s="6" t="s">
        <v>224</v>
      </c>
      <c r="D311" s="7" t="str">
        <f>Odds_Input!D158</f>
        <v>OVER</v>
      </c>
      <c r="E311" s="31">
        <f>Odds_Input!E158</f>
        <v>45.5</v>
      </c>
      <c r="F311" s="32">
        <f>Odds_Input!F158</f>
        <v>-145</v>
      </c>
      <c r="G311" s="36">
        <f>M_DeVig!H158</f>
        <v>1.6896551724137931</v>
      </c>
      <c r="H311" s="7" t="str">
        <f>Odds_Input!G158</f>
        <v>-</v>
      </c>
      <c r="I311" s="42">
        <f>M_DeVig!Q158</f>
        <v>0.57369614512677158</v>
      </c>
      <c r="J311" s="42">
        <f>SUMPRODUCT((M_Sims!$B$48:$CF$48&gt;E311)*INDEX(M_Sims!$B$49:$CF$78,MATCH($C311,M_Sims!$A$49:$A$78,0),0))</f>
        <v>0.70168999999999981</v>
      </c>
      <c r="K311" s="43">
        <f t="shared" si="88"/>
        <v>-235.22174918708706</v>
      </c>
      <c r="L311" s="34">
        <f t="shared" si="89"/>
        <v>0.1856141379310341</v>
      </c>
      <c r="M311" s="38">
        <f t="shared" si="90"/>
        <v>12.799385487322823</v>
      </c>
      <c r="N311" s="42">
        <f>M_Sims!B233</f>
        <v>0.1157919540229886</v>
      </c>
      <c r="O311" s="42">
        <f>M_Sims!C233</f>
        <v>0.27215264367816089</v>
      </c>
      <c r="P311" s="42">
        <f>M_Sims!D233</f>
        <v>1</v>
      </c>
      <c r="Q311" s="34">
        <f t="shared" si="91"/>
        <v>0.6376930725633857</v>
      </c>
      <c r="R311" s="18" t="str">
        <f t="shared" si="92"/>
        <v>-</v>
      </c>
      <c r="S311" s="46" t="str">
        <f t="shared" si="93"/>
        <v>-</v>
      </c>
      <c r="T311" s="51" t="str">
        <f>IF(A_tier2_on=1,M_Sims!M233,"-")</f>
        <v>-</v>
      </c>
      <c r="U311" s="46" t="str">
        <f>IF(OR(A_bankroll="",A_tier2_on&lt;&gt;1),"-",MIN(A_maxbet,M_Sims!M233*A_bankroll))</f>
        <v>-</v>
      </c>
      <c r="V311" s="30">
        <f>M_Sims!H233</f>
        <v>1</v>
      </c>
      <c r="W311" s="6" t="b">
        <f>AND(H311&lt;&gt;"IMPUTED_20C_LADDER",L311&gt;=A_minev,N311&gt;0,V311=1,IF(A311="PLAYOFFS",A_poconf=1,TRUE),IF(AND(A311="WINS",A_zs_on=1),AND(AE311&gt;=A_minev,M_Sims!O233&gt;0),TRUE),AF311&gt;=A_minev,AG311&gt;0,IF(I311&lt;A_longthr,(1-A_shrink)*M_Sims!K233+A_shrink*(I311*G311-1)&gt;=A_minev,TRUE),IF(AND(OR(A311="WINS",A311="PLAYOFFS",LEFT(A311,4)="DIV_"),INDEX(Raw_Teams!$F$8:$F$37,MATCH($C311,Raw_Teams!$A$8:$A$37,0))&lt;A_contthr),AND(((1-A_contshrink)*J311+A_contshrink*I311)*G311-1&gt;=A_minev,(1-A_contshrink)*N311+A_contshrink*(I311*G311-1)&gt;0),TRUE),M_Sims!P233=0)</f>
        <v>1</v>
      </c>
      <c r="X311" s="6" t="s">
        <v>1316</v>
      </c>
      <c r="Y311" s="6" t="s">
        <v>1324</v>
      </c>
      <c r="Z311" s="6">
        <v>150</v>
      </c>
      <c r="AA311" s="7" t="str">
        <f t="shared" si="94"/>
        <v>OK - sims match current assumptions</v>
      </c>
      <c r="AB311" s="42">
        <f>INDEX(IF(D311="OVER",M_WinDist!$E$8:$E$37,M_WinDist!$F$8:$F$37),MATCH($C311,M_WinDist!$A$8:$A$37,0))</f>
        <v>0.68835597760520351</v>
      </c>
      <c r="AC311" s="34">
        <f t="shared" si="95"/>
        <v>0.1630842380225852</v>
      </c>
      <c r="AD311" s="42">
        <f>(SUMPRODUCT((M_Sims!$B$48:$CF$48&gt;=INT(E311)+1)*INDEX(M_Sims!$B$49:$CF$78,MATCH($C311,M_Sims!$A$49:$A$78,0),0))+A_zs_delta*INDEX(INDEX(M_Sims!$B$49:$CF$78,MATCH($C311,M_Sims!$A$49:$A$78,0),0),1,INT(E311)+2))</f>
        <v>0.71564533333333313</v>
      </c>
      <c r="AE311" s="34">
        <f t="shared" si="96"/>
        <v>0.20919383908045952</v>
      </c>
      <c r="AF311" s="34">
        <f t="shared" si="97"/>
        <v>7.7481398469168905E-2</v>
      </c>
      <c r="AG311" s="34">
        <f t="shared" si="98"/>
        <v>4.2570306515146157E-2</v>
      </c>
      <c r="AH311" s="6" t="b">
        <f>AND(W311,I311&gt;=A_t1_fair,((1-A_t1_shrink)*J311+A_t1_shrink*I311)*G311-1&gt;=A_minev,(1-A_t1_shrink)*N311+A_t1_shrink*(I311*G311-1)&gt;0,M_Sims!Q233=1)</f>
        <v>0</v>
      </c>
      <c r="AI311" s="18">
        <f>IF(AH311,M_Sims!R233*A_t1_cap/A_t1_engcap,0)</f>
        <v>0</v>
      </c>
      <c r="AJ311" s="46" t="str">
        <f t="shared" si="99"/>
        <v>-</v>
      </c>
      <c r="AK311" s="7" t="str">
        <f>IF(AH311,M_Sims!S233,"-")</f>
        <v>-</v>
      </c>
      <c r="AL311" s="51">
        <f>M_Sims!M233</f>
        <v>2.8275630110855998E-3</v>
      </c>
      <c r="AM311" s="6" t="str">
        <f t="shared" si="100"/>
        <v>Tier 2</v>
      </c>
    </row>
    <row r="312" spans="1:39" ht="15" customHeight="1" x14ac:dyDescent="0.3">
      <c r="A312" s="6" t="s">
        <v>279</v>
      </c>
      <c r="B312" s="7" t="str">
        <f>Odds_Input!C159</f>
        <v>Toronto Raptors</v>
      </c>
      <c r="C312" s="6" t="s">
        <v>224</v>
      </c>
      <c r="D312" s="7" t="str">
        <f>Odds_Input!D159</f>
        <v>UNDER</v>
      </c>
      <c r="E312" s="31">
        <f>Odds_Input!E159</f>
        <v>45.5</v>
      </c>
      <c r="F312" s="32">
        <f>Odds_Input!F159</f>
        <v>125</v>
      </c>
      <c r="G312" s="36">
        <f>M_DeVig!H159</f>
        <v>2.25</v>
      </c>
      <c r="H312" s="7" t="str">
        <f>Odds_Input!G159</f>
        <v>-</v>
      </c>
      <c r="I312" s="42">
        <f>M_DeVig!Q159</f>
        <v>0.42630385487801892</v>
      </c>
      <c r="J312" s="42">
        <f>1-SUMPRODUCT((M_Sims!$B$48:$CF$48&gt;E312)*INDEX(M_Sims!$B$49:$CF$78,MATCH($C312,M_Sims!$A$49:$A$78,0),0))</f>
        <v>0.29831000000000019</v>
      </c>
      <c r="K312" s="43">
        <f t="shared" si="88"/>
        <v>235.22174918708706</v>
      </c>
      <c r="L312" s="34">
        <f t="shared" si="89"/>
        <v>-0.32880249999999955</v>
      </c>
      <c r="M312" s="38">
        <f t="shared" si="90"/>
        <v>-12.799385487801873</v>
      </c>
      <c r="N312" s="42">
        <f>M_Sims!B234</f>
        <v>-0.44403999999999971</v>
      </c>
      <c r="O312" s="42">
        <f>M_Sims!C234</f>
        <v>-0.2358250000000002</v>
      </c>
      <c r="P312" s="42">
        <f>M_Sims!D234</f>
        <v>0</v>
      </c>
      <c r="Q312" s="34">
        <f t="shared" si="91"/>
        <v>0.36230692743900955</v>
      </c>
      <c r="R312" s="18" t="str">
        <f t="shared" si="92"/>
        <v>-</v>
      </c>
      <c r="S312" s="46" t="str">
        <f t="shared" si="93"/>
        <v>-</v>
      </c>
      <c r="T312" s="51" t="str">
        <f>IF(A_tier2_on=1,M_Sims!M234,"-")</f>
        <v>-</v>
      </c>
      <c r="U312" s="46" t="str">
        <f>IF(OR(A_bankroll="",A_tier2_on&lt;&gt;1),"-",MIN(A_maxbet,M_Sims!M234*A_bankroll))</f>
        <v>-</v>
      </c>
      <c r="V312" s="30">
        <f>M_Sims!H234</f>
        <v>1</v>
      </c>
      <c r="W312" s="6" t="b">
        <f>AND(H312&lt;&gt;"IMPUTED_20C_LADDER",L312&gt;=A_minev,N312&gt;0,V312=1,IF(A312="PLAYOFFS",A_poconf=1,TRUE),IF(AND(A312="WINS",A_zs_on=1),AND(AE312&gt;=A_minev,M_Sims!O234&gt;0),TRUE),AF312&gt;=A_minev,AG312&gt;0,IF(I312&lt;A_longthr,(1-A_shrink)*M_Sims!K234+A_shrink*(I312*G312-1)&gt;=A_minev,TRUE),IF(AND(OR(A312="WINS",A312="PLAYOFFS",LEFT(A312,4)="DIV_"),INDEX(Raw_Teams!$F$8:$F$37,MATCH($C312,Raw_Teams!$A$8:$A$37,0))&lt;A_contthr),AND(((1-A_contshrink)*J312+A_contshrink*I312)*G312-1&gt;=A_minev,(1-A_contshrink)*N312+A_contshrink*(I312*G312-1)&gt;0),TRUE),M_Sims!P234=0)</f>
        <v>0</v>
      </c>
      <c r="X312" s="6" t="s">
        <v>1316</v>
      </c>
      <c r="Y312" s="6" t="s">
        <v>1324</v>
      </c>
      <c r="Z312" s="6">
        <v>151</v>
      </c>
      <c r="AA312" s="7" t="str">
        <f t="shared" si="94"/>
        <v>OK - sims match current assumptions</v>
      </c>
      <c r="AB312" s="42">
        <f>INDEX(IF(D312="OVER",M_WinDist!$E$8:$E$37,M_WinDist!$F$8:$F$37),MATCH($C312,M_WinDist!$A$8:$A$37,0))</f>
        <v>0.31164402239479649</v>
      </c>
      <c r="AC312" s="34">
        <f t="shared" si="95"/>
        <v>-0.29880094961170789</v>
      </c>
      <c r="AD312" s="42">
        <f>1-(SUMPRODUCT((M_Sims!$B$48:$CF$48&gt;=INT(E312)+1)*INDEX(M_Sims!$B$49:$CF$78,MATCH($C312,M_Sims!$A$49:$A$78,0),0))+A_zs_delta*INDEX(INDEX(M_Sims!$B$49:$CF$78,MATCH($C312,M_Sims!$A$49:$A$78,0),0),1,INT(E312)+2))</f>
        <v>0.28435466666666687</v>
      </c>
      <c r="AE312" s="34">
        <f t="shared" si="96"/>
        <v>-0.36020199999999958</v>
      </c>
      <c r="AF312" s="34">
        <f t="shared" si="97"/>
        <v>-0.18480941326222855</v>
      </c>
      <c r="AG312" s="34">
        <f t="shared" si="98"/>
        <v>-0.24242816326222857</v>
      </c>
      <c r="AH312" s="6" t="b">
        <f>AND(W312,I312&gt;=A_t1_fair,((1-A_t1_shrink)*J312+A_t1_shrink*I312)*G312-1&gt;=A_minev,(1-A_t1_shrink)*N312+A_t1_shrink*(I312*G312-1)&gt;0,M_Sims!Q234=1)</f>
        <v>0</v>
      </c>
      <c r="AI312" s="18">
        <f>IF(AH312,M_Sims!R234*A_t1_cap/A_t1_engcap,0)</f>
        <v>0</v>
      </c>
      <c r="AJ312" s="46" t="str">
        <f t="shared" si="99"/>
        <v>-</v>
      </c>
      <c r="AK312" s="7" t="str">
        <f>IF(AH312,M_Sims!S234,"-")</f>
        <v>-</v>
      </c>
      <c r="AL312" s="51">
        <f>M_Sims!M234</f>
        <v>0</v>
      </c>
      <c r="AM312" s="6" t="str">
        <f t="shared" si="100"/>
        <v>-</v>
      </c>
    </row>
    <row r="313" spans="1:39" ht="15" customHeight="1" x14ac:dyDescent="0.3">
      <c r="A313" s="6" t="s">
        <v>279</v>
      </c>
      <c r="B313" s="7" t="str">
        <f>Odds_Input!C160</f>
        <v>Indiana Pacers</v>
      </c>
      <c r="C313" s="6" t="s">
        <v>208</v>
      </c>
      <c r="D313" s="7" t="str">
        <f>Odds_Input!D160</f>
        <v>OVER</v>
      </c>
      <c r="E313" s="31">
        <f>Odds_Input!E160</f>
        <v>44.5</v>
      </c>
      <c r="F313" s="32">
        <f>Odds_Input!F160</f>
        <v>-120</v>
      </c>
      <c r="G313" s="36">
        <f>M_DeVig!H160</f>
        <v>1.8333333333333335</v>
      </c>
      <c r="H313" s="7" t="str">
        <f>Odds_Input!G160</f>
        <v>-</v>
      </c>
      <c r="I313" s="42">
        <f>M_DeVig!Q160</f>
        <v>0.52272727270008856</v>
      </c>
      <c r="J313" s="42">
        <f>SUMPRODUCT((M_Sims!$B$48:$CF$48&gt;E313)*INDEX(M_Sims!$B$49:$CF$78,MATCH($C313,M_Sims!$A$49:$A$78,0),0))</f>
        <v>0.39609999999999995</v>
      </c>
      <c r="K313" s="43">
        <f t="shared" ref="K313:K344" si="101">IF(J313&gt;=0.5,-100*J313/(1-J313),100*(1-J313)/J313)</f>
        <v>152.46149962130778</v>
      </c>
      <c r="L313" s="34">
        <f t="shared" ref="L313:L340" si="102">J313*G313-1</f>
        <v>-0.27381666666666671</v>
      </c>
      <c r="M313" s="38">
        <f t="shared" ref="M313:M340" si="103">(J313-I313)*100</f>
        <v>-12.662727270008862</v>
      </c>
      <c r="N313" s="42">
        <f>M_Sims!B235</f>
        <v>-0.3107644444444444</v>
      </c>
      <c r="O313" s="42">
        <f>M_Sims!C235</f>
        <v>-0.22926666666666651</v>
      </c>
      <c r="P313" s="42">
        <f>M_Sims!D235</f>
        <v>0</v>
      </c>
      <c r="Q313" s="34">
        <f t="shared" ref="Q313:Q340" si="104">(1-A_shrink)*J313+A_shrink*I313</f>
        <v>0.45941363635004429</v>
      </c>
      <c r="R313" s="18" t="str">
        <f t="shared" ref="R313:R344" si="105">IF(A_tier2_on=1,MAX(0,(Q313*G313-1)/(G313-1))*A_kelly,"-")</f>
        <v>-</v>
      </c>
      <c r="S313" s="46" t="str">
        <f t="shared" ref="S313:S340" si="106">IF(OR(A_bankroll="",A_tier2_on&lt;&gt;1),"-",MIN(A_maxbet,MAX(0,(Q313*G313-1)/(G313-1))*A_kelly*A_bankroll))</f>
        <v>-</v>
      </c>
      <c r="T313" s="51" t="str">
        <f>IF(A_tier2_on=1,M_Sims!M235,"-")</f>
        <v>-</v>
      </c>
      <c r="U313" s="46" t="str">
        <f>IF(OR(A_bankroll="",A_tier2_on&lt;&gt;1),"-",MIN(A_maxbet,M_Sims!M235*A_bankroll))</f>
        <v>-</v>
      </c>
      <c r="V313" s="30">
        <f>M_Sims!H235</f>
        <v>1</v>
      </c>
      <c r="W313" s="6" t="b">
        <f>AND(H313&lt;&gt;"IMPUTED_20C_LADDER",L313&gt;=A_minev,N313&gt;0,V313=1,IF(A313="PLAYOFFS",A_poconf=1,TRUE),IF(AND(A313="WINS",A_zs_on=1),AND(AE313&gt;=A_minev,M_Sims!O235&gt;0),TRUE),AF313&gt;=A_minev,AG313&gt;0,IF(I313&lt;A_longthr,(1-A_shrink)*M_Sims!K235+A_shrink*(I313*G313-1)&gt;=A_minev,TRUE),IF(AND(OR(A313="WINS",A313="PLAYOFFS",LEFT(A313,4)="DIV_"),INDEX(Raw_Teams!$F$8:$F$37,MATCH($C313,Raw_Teams!$A$8:$A$37,0))&lt;A_contthr),AND(((1-A_contshrink)*J313+A_contshrink*I313)*G313-1&gt;=A_minev,(1-A_contshrink)*N313+A_contshrink*(I313*G313-1)&gt;0),TRUE),M_Sims!P235=0)</f>
        <v>0</v>
      </c>
      <c r="X313" s="6" t="s">
        <v>1317</v>
      </c>
      <c r="Y313" s="6" t="s">
        <v>1324</v>
      </c>
      <c r="Z313" s="6">
        <v>152</v>
      </c>
      <c r="AA313" s="7" t="str">
        <f t="shared" ref="AA313:AA340" si="107">Sim_Stale</f>
        <v>OK - sims match current assumptions</v>
      </c>
      <c r="AB313" s="42">
        <f>INDEX(IF(D313="OVER",M_WinDist!$E$8:$E$37,M_WinDist!$F$8:$F$37),MATCH($C313,M_WinDist!$A$8:$A$37,0))</f>
        <v>0.39440791839995071</v>
      </c>
      <c r="AC313" s="34">
        <f t="shared" ref="AC313:AC344" si="108">AB313*G313-1</f>
        <v>-0.27691881626675696</v>
      </c>
      <c r="AD313" s="42">
        <f>(SUMPRODUCT((M_Sims!$B$48:$CF$48&gt;=INT(E313)+1)*INDEX(M_Sims!$B$49:$CF$78,MATCH($C313,M_Sims!$A$49:$A$78,0),0))+A_zs_delta*INDEX(INDEX(M_Sims!$B$49:$CF$78,MATCH($C313,M_Sims!$A$49:$A$78,0),0),1,INT(E313)+2))</f>
        <v>0.41155133333333327</v>
      </c>
      <c r="AE313" s="34">
        <f t="shared" ref="AE313:AE344" si="109">AD313*G313-1</f>
        <v>-0.24548922222222225</v>
      </c>
      <c r="AF313" s="34">
        <f t="shared" ref="AF313:AF340" si="110">Q313*G313-1</f>
        <v>-0.1577416666915854</v>
      </c>
      <c r="AG313" s="34">
        <f t="shared" ref="AG313:AG340" si="111">(1-A_shrink)*N313+A_shrink*(I313*G313-1)</f>
        <v>-0.1762155555804743</v>
      </c>
      <c r="AH313" s="6" t="b">
        <f>AND(W313,I313&gt;=A_t1_fair,((1-A_t1_shrink)*J313+A_t1_shrink*I313)*G313-1&gt;=A_minev,(1-A_t1_shrink)*N313+A_t1_shrink*(I313*G313-1)&gt;0,M_Sims!Q235=1)</f>
        <v>0</v>
      </c>
      <c r="AI313" s="18">
        <f>IF(AH313,M_Sims!R235*A_t1_cap/A_t1_engcap,0)</f>
        <v>0</v>
      </c>
      <c r="AJ313" s="46" t="str">
        <f t="shared" ref="AJ313:AJ344" si="112">IF(OR(A_bankroll="",NOT(AH313)),"-",MIN(A_maxbet,AI313*A_bankroll))</f>
        <v>-</v>
      </c>
      <c r="AK313" s="7" t="str">
        <f>IF(AH313,M_Sims!S235,"-")</f>
        <v>-</v>
      </c>
      <c r="AL313" s="51">
        <f>M_Sims!M235</f>
        <v>0</v>
      </c>
      <c r="AM313" s="6" t="str">
        <f t="shared" ref="AM313:AM340" si="113">IF(W313,IF(AH313,"Tier 1","Tier 2"),"-")</f>
        <v>-</v>
      </c>
    </row>
    <row r="314" spans="1:39" ht="15" customHeight="1" x14ac:dyDescent="0.3">
      <c r="A314" s="52" t="s">
        <v>279</v>
      </c>
      <c r="B314" s="53" t="str">
        <f>Odds_Input!C161</f>
        <v>Indiana Pacers</v>
      </c>
      <c r="C314" s="52" t="s">
        <v>208</v>
      </c>
      <c r="D314" s="53" t="str">
        <f>Odds_Input!D161</f>
        <v>UNDER</v>
      </c>
      <c r="E314" s="54">
        <f>Odds_Input!E161</f>
        <v>44.5</v>
      </c>
      <c r="F314" s="55">
        <f>Odds_Input!F161</f>
        <v>100</v>
      </c>
      <c r="G314" s="56">
        <f>M_DeVig!H161</f>
        <v>2</v>
      </c>
      <c r="H314" s="53" t="str">
        <f>Odds_Input!G161</f>
        <v>IMPUTED_20C_LADDER</v>
      </c>
      <c r="I314" s="42">
        <f>M_DeVig!Q161</f>
        <v>0.4772727272430774</v>
      </c>
      <c r="J314" s="42">
        <f>1-SUMPRODUCT((M_Sims!$B$48:$CF$48&gt;E314)*INDEX(M_Sims!$B$49:$CF$78,MATCH($C314,M_Sims!$A$49:$A$78,0),0))</f>
        <v>0.6039000000000001</v>
      </c>
      <c r="K314" s="43">
        <f t="shared" si="101"/>
        <v>-152.46149962130781</v>
      </c>
      <c r="L314" s="34">
        <f t="shared" si="102"/>
        <v>0.20780000000000021</v>
      </c>
      <c r="M314" s="38">
        <f t="shared" si="103"/>
        <v>12.662727275692271</v>
      </c>
      <c r="N314" s="42">
        <f>M_Sims!B236</f>
        <v>0.1591999999999999</v>
      </c>
      <c r="O314" s="42">
        <f>M_Sims!C236</f>
        <v>0.24810666666666659</v>
      </c>
      <c r="P314" s="42">
        <f>M_Sims!D236</f>
        <v>1</v>
      </c>
      <c r="Q314" s="34">
        <f t="shared" si="104"/>
        <v>0.54058636362153878</v>
      </c>
      <c r="R314" s="18" t="str">
        <f t="shared" si="105"/>
        <v>-</v>
      </c>
      <c r="S314" s="46" t="str">
        <f t="shared" si="106"/>
        <v>-</v>
      </c>
      <c r="T314" s="51" t="str">
        <f>IF(A_tier2_on=1,M_Sims!M236,"-")</f>
        <v>-</v>
      </c>
      <c r="U314" s="46" t="str">
        <f>IF(OR(A_bankroll="",A_tier2_on&lt;&gt;1),"-",MIN(A_maxbet,M_Sims!M236*A_bankroll))</f>
        <v>-</v>
      </c>
      <c r="V314" s="30">
        <f>M_Sims!H236</f>
        <v>1</v>
      </c>
      <c r="W314" s="6" t="b">
        <f>AND(H314&lt;&gt;"IMPUTED_20C_LADDER",L314&gt;=A_minev,N314&gt;0,V314=1,IF(A314="PLAYOFFS",A_poconf=1,TRUE),IF(AND(A314="WINS",A_zs_on=1),AND(AE314&gt;=A_minev,M_Sims!O236&gt;0),TRUE),AF314&gt;=A_minev,AG314&gt;0,IF(I314&lt;A_longthr,(1-A_shrink)*M_Sims!K236+A_shrink*(I314*G314-1)&gt;=A_minev,TRUE),IF(AND(OR(A314="WINS",A314="PLAYOFFS",LEFT(A314,4)="DIV_"),INDEX(Raw_Teams!$F$8:$F$37,MATCH($C314,Raw_Teams!$A$8:$A$37,0))&lt;A_contthr),AND(((1-A_contshrink)*J314+A_contshrink*I314)*G314-1&gt;=A_minev,(1-A_contshrink)*N314+A_contshrink*(I314*G314-1)&gt;0),TRUE),M_Sims!P236=0)</f>
        <v>0</v>
      </c>
      <c r="X314" s="6" t="s">
        <v>1317</v>
      </c>
      <c r="Y314" s="6" t="s">
        <v>1324</v>
      </c>
      <c r="Z314" s="6">
        <v>153</v>
      </c>
      <c r="AA314" s="7" t="str">
        <f t="shared" si="107"/>
        <v>OK - sims match current assumptions</v>
      </c>
      <c r="AB314" s="42">
        <f>INDEX(IF(D314="OVER",M_WinDist!$E$8:$E$37,M_WinDist!$F$8:$F$37),MATCH($C314,M_WinDist!$A$8:$A$37,0))</f>
        <v>0.60559208160004929</v>
      </c>
      <c r="AC314" s="34">
        <f t="shared" si="108"/>
        <v>0.21118416320009858</v>
      </c>
      <c r="AD314" s="42">
        <f>1-(SUMPRODUCT((M_Sims!$B$48:$CF$48&gt;=INT(E314)+1)*INDEX(M_Sims!$B$49:$CF$78,MATCH($C314,M_Sims!$A$49:$A$78,0),0))+A_zs_delta*INDEX(INDEX(M_Sims!$B$49:$CF$78,MATCH($C314,M_Sims!$A$49:$A$78,0),0),1,INT(E314)+2))</f>
        <v>0.58844866666666673</v>
      </c>
      <c r="AE314" s="34">
        <f t="shared" si="109"/>
        <v>0.17689733333333346</v>
      </c>
      <c r="AF314" s="34">
        <f t="shared" si="110"/>
        <v>8.1172727243077558E-2</v>
      </c>
      <c r="AG314" s="34">
        <f t="shared" si="111"/>
        <v>5.6872727243077348E-2</v>
      </c>
      <c r="AH314" s="6" t="b">
        <f>AND(W314,I314&gt;=A_t1_fair,((1-A_t1_shrink)*J314+A_t1_shrink*I314)*G314-1&gt;=A_minev,(1-A_t1_shrink)*N314+A_t1_shrink*(I314*G314-1)&gt;0,M_Sims!Q236=1)</f>
        <v>0</v>
      </c>
      <c r="AI314" s="18">
        <f>IF(AH314,M_Sims!R236*A_t1_cap/A_t1_engcap,0)</f>
        <v>0</v>
      </c>
      <c r="AJ314" s="46" t="str">
        <f t="shared" si="112"/>
        <v>-</v>
      </c>
      <c r="AK314" s="7" t="str">
        <f>IF(AH314,M_Sims!S236,"-")</f>
        <v>-</v>
      </c>
      <c r="AL314" s="51">
        <f>M_Sims!M236</f>
        <v>0</v>
      </c>
      <c r="AM314" s="6" t="str">
        <f t="shared" si="113"/>
        <v>-</v>
      </c>
    </row>
    <row r="315" spans="1:39" ht="15" customHeight="1" x14ac:dyDescent="0.3">
      <c r="A315" s="6" t="s">
        <v>279</v>
      </c>
      <c r="B315" s="7" t="str">
        <f>Odds_Input!C162</f>
        <v>Memphis Grizzlies</v>
      </c>
      <c r="C315" s="6" t="s">
        <v>211</v>
      </c>
      <c r="D315" s="7" t="str">
        <f>Odds_Input!D162</f>
        <v>OVER</v>
      </c>
      <c r="E315" s="31">
        <f>Odds_Input!E162</f>
        <v>28.5</v>
      </c>
      <c r="F315" s="32">
        <f>Odds_Input!F162</f>
        <v>-145</v>
      </c>
      <c r="G315" s="36">
        <f>M_DeVig!H162</f>
        <v>1.6896551724137931</v>
      </c>
      <c r="H315" s="7" t="str">
        <f>Odds_Input!G162</f>
        <v>-</v>
      </c>
      <c r="I315" s="42">
        <f>M_DeVig!Q162</f>
        <v>0.57369614512677158</v>
      </c>
      <c r="J315" s="42">
        <f>SUMPRODUCT((M_Sims!$B$48:$CF$48&gt;E315)*INDEX(M_Sims!$B$49:$CF$78,MATCH($C315,M_Sims!$A$49:$A$78,0),0))</f>
        <v>0.81510000000000005</v>
      </c>
      <c r="K315" s="43">
        <f t="shared" si="101"/>
        <v>-440.8328826392646</v>
      </c>
      <c r="L315" s="34">
        <f t="shared" si="102"/>
        <v>0.37723793103448289</v>
      </c>
      <c r="M315" s="38">
        <f t="shared" si="103"/>
        <v>24.140385487322845</v>
      </c>
      <c r="N315" s="42">
        <f>M_Sims!B237</f>
        <v>0.35016965517241389</v>
      </c>
      <c r="O315" s="42">
        <f>M_Sims!C237</f>
        <v>0.41790229885057462</v>
      </c>
      <c r="P315" s="42">
        <f>M_Sims!D237</f>
        <v>1</v>
      </c>
      <c r="Q315" s="34">
        <f t="shared" si="104"/>
        <v>0.69439807256338582</v>
      </c>
      <c r="R315" s="18" t="str">
        <f t="shared" si="105"/>
        <v>-</v>
      </c>
      <c r="S315" s="46" t="str">
        <f t="shared" si="106"/>
        <v>-</v>
      </c>
      <c r="T315" s="51" t="str">
        <f>IF(A_tier2_on=1,M_Sims!M237,"-")</f>
        <v>-</v>
      </c>
      <c r="U315" s="46" t="str">
        <f>IF(OR(A_bankroll="",A_tier2_on&lt;&gt;1),"-",MIN(A_maxbet,M_Sims!M237*A_bankroll))</f>
        <v>-</v>
      </c>
      <c r="V315" s="30">
        <f>M_Sims!H237</f>
        <v>1</v>
      </c>
      <c r="W315" s="6" t="b">
        <f>AND(H315&lt;&gt;"IMPUTED_20C_LADDER",L315&gt;=A_minev,N315&gt;0,V315=1,IF(A315="PLAYOFFS",A_poconf=1,TRUE),IF(AND(A315="WINS",A_zs_on=1),AND(AE315&gt;=A_minev,M_Sims!O237&gt;0),TRUE),AF315&gt;=A_minev,AG315&gt;0,IF(I315&lt;A_longthr,(1-A_shrink)*M_Sims!K237+A_shrink*(I315*G315-1)&gt;=A_minev,TRUE),IF(AND(OR(A315="WINS",A315="PLAYOFFS",LEFT(A315,4)="DIV_"),INDEX(Raw_Teams!$F$8:$F$37,MATCH($C315,Raw_Teams!$A$8:$A$37,0))&lt;A_contthr),AND(((1-A_contshrink)*J315+A_contshrink*I315)*G315-1&gt;=A_minev,(1-A_contshrink)*N315+A_contshrink*(I315*G315-1)&gt;0),TRUE),M_Sims!P237=0)</f>
        <v>1</v>
      </c>
      <c r="X315" s="6" t="s">
        <v>1317</v>
      </c>
      <c r="Y315" s="6" t="s">
        <v>1324</v>
      </c>
      <c r="Z315" s="6">
        <v>154</v>
      </c>
      <c r="AA315" s="7" t="str">
        <f t="shared" si="107"/>
        <v>OK - sims match current assumptions</v>
      </c>
      <c r="AB315" s="42">
        <f>INDEX(IF(D315="OVER",M_WinDist!$E$8:$E$37,M_WinDist!$F$8:$F$37),MATCH($C315,M_WinDist!$A$8:$A$37,0))</f>
        <v>0.80602830336554931</v>
      </c>
      <c r="AC315" s="34">
        <f t="shared" si="108"/>
        <v>0.36190989189351441</v>
      </c>
      <c r="AD315" s="42">
        <f>(SUMPRODUCT((M_Sims!$B$48:$CF$48&gt;=INT(E315)+1)*INDEX(M_Sims!$B$49:$CF$78,MATCH($C315,M_Sims!$A$49:$A$78,0),0))+A_zs_delta*INDEX(INDEX(M_Sims!$B$49:$CF$78,MATCH($C315,M_Sims!$A$49:$A$78,0),0),1,INT(E315)+2))</f>
        <v>0.82690300000000005</v>
      </c>
      <c r="AE315" s="34">
        <f t="shared" si="109"/>
        <v>0.39718093103448293</v>
      </c>
      <c r="AF315" s="34">
        <f t="shared" si="110"/>
        <v>0.17329329502089341</v>
      </c>
      <c r="AG315" s="34">
        <f t="shared" si="111"/>
        <v>0.1597591570898588</v>
      </c>
      <c r="AH315" s="6" t="b">
        <f>AND(W315,I315&gt;=A_t1_fair,((1-A_t1_shrink)*J315+A_t1_shrink*I315)*G315-1&gt;=A_minev,(1-A_t1_shrink)*N315+A_t1_shrink*(I315*G315-1)&gt;0,M_Sims!Q237=1)</f>
        <v>0</v>
      </c>
      <c r="AI315" s="18">
        <f>IF(AH315,M_Sims!R237*A_t1_cap/A_t1_engcap,0)</f>
        <v>0</v>
      </c>
      <c r="AJ315" s="46" t="str">
        <f t="shared" si="112"/>
        <v>-</v>
      </c>
      <c r="AK315" s="7" t="str">
        <f>IF(AH315,M_Sims!S237,"-")</f>
        <v>-</v>
      </c>
      <c r="AL315" s="51">
        <f>M_Sims!M237</f>
        <v>8.4498941276847008E-3</v>
      </c>
      <c r="AM315" s="6" t="str">
        <f t="shared" si="113"/>
        <v>Tier 2</v>
      </c>
    </row>
    <row r="316" spans="1:39" ht="15" customHeight="1" x14ac:dyDescent="0.3">
      <c r="A316" s="6" t="s">
        <v>279</v>
      </c>
      <c r="B316" s="7" t="str">
        <f>Odds_Input!C163</f>
        <v>Memphis Grizzlies</v>
      </c>
      <c r="C316" s="6" t="s">
        <v>211</v>
      </c>
      <c r="D316" s="7" t="str">
        <f>Odds_Input!D163</f>
        <v>UNDER</v>
      </c>
      <c r="E316" s="31">
        <f>Odds_Input!E163</f>
        <v>28.5</v>
      </c>
      <c r="F316" s="32">
        <f>Odds_Input!F163</f>
        <v>125</v>
      </c>
      <c r="G316" s="36">
        <f>M_DeVig!H163</f>
        <v>2.25</v>
      </c>
      <c r="H316" s="7" t="str">
        <f>Odds_Input!G163</f>
        <v>-</v>
      </c>
      <c r="I316" s="42">
        <f>M_DeVig!Q163</f>
        <v>0.42630385487801892</v>
      </c>
      <c r="J316" s="42">
        <f>1-SUMPRODUCT((M_Sims!$B$48:$CF$48&gt;E316)*INDEX(M_Sims!$B$49:$CF$78,MATCH($C316,M_Sims!$A$49:$A$78,0),0))</f>
        <v>0.18489999999999995</v>
      </c>
      <c r="K316" s="43">
        <f t="shared" si="101"/>
        <v>440.8328826392646</v>
      </c>
      <c r="L316" s="34">
        <f t="shared" si="102"/>
        <v>-0.58397500000000013</v>
      </c>
      <c r="M316" s="38">
        <f t="shared" si="103"/>
        <v>-24.140385487801897</v>
      </c>
      <c r="N316" s="42">
        <f>M_Sims!B238</f>
        <v>-0.63812499999999994</v>
      </c>
      <c r="O316" s="42">
        <f>M_Sims!C238</f>
        <v>-0.54793000000000014</v>
      </c>
      <c r="P316" s="42">
        <f>M_Sims!D238</f>
        <v>0</v>
      </c>
      <c r="Q316" s="34">
        <f t="shared" si="104"/>
        <v>0.30560192743900944</v>
      </c>
      <c r="R316" s="18" t="str">
        <f t="shared" si="105"/>
        <v>-</v>
      </c>
      <c r="S316" s="46" t="str">
        <f t="shared" si="106"/>
        <v>-</v>
      </c>
      <c r="T316" s="51" t="str">
        <f>IF(A_tier2_on=1,M_Sims!M238,"-")</f>
        <v>-</v>
      </c>
      <c r="U316" s="46" t="str">
        <f>IF(OR(A_bankroll="",A_tier2_on&lt;&gt;1),"-",MIN(A_maxbet,M_Sims!M238*A_bankroll))</f>
        <v>-</v>
      </c>
      <c r="V316" s="30">
        <f>M_Sims!H238</f>
        <v>0</v>
      </c>
      <c r="W316" s="6" t="b">
        <f>AND(H316&lt;&gt;"IMPUTED_20C_LADDER",L316&gt;=A_minev,N316&gt;0,V316=1,IF(A316="PLAYOFFS",A_poconf=1,TRUE),IF(AND(A316="WINS",A_zs_on=1),AND(AE316&gt;=A_minev,M_Sims!O238&gt;0),TRUE),AF316&gt;=A_minev,AG316&gt;0,IF(I316&lt;A_longthr,(1-A_shrink)*M_Sims!K238+A_shrink*(I316*G316-1)&gt;=A_minev,TRUE),IF(AND(OR(A316="WINS",A316="PLAYOFFS",LEFT(A316,4)="DIV_"),INDEX(Raw_Teams!$F$8:$F$37,MATCH($C316,Raw_Teams!$A$8:$A$37,0))&lt;A_contthr),AND(((1-A_contshrink)*J316+A_contshrink*I316)*G316-1&gt;=A_minev,(1-A_contshrink)*N316+A_contshrink*(I316*G316-1)&gt;0),TRUE),M_Sims!P238=0)</f>
        <v>0</v>
      </c>
      <c r="X316" s="6" t="s">
        <v>1317</v>
      </c>
      <c r="Y316" s="6" t="s">
        <v>1324</v>
      </c>
      <c r="Z316" s="6">
        <v>155</v>
      </c>
      <c r="AA316" s="7" t="str">
        <f t="shared" si="107"/>
        <v>OK - sims match current assumptions</v>
      </c>
      <c r="AB316" s="42">
        <f>INDEX(IF(D316="OVER",M_WinDist!$E$8:$E$37,M_WinDist!$F$8:$F$37),MATCH($C316,M_WinDist!$A$8:$A$37,0))</f>
        <v>0.19397169663445069</v>
      </c>
      <c r="AC316" s="34">
        <f t="shared" si="108"/>
        <v>-0.5635636825724859</v>
      </c>
      <c r="AD316" s="42">
        <f>1-(SUMPRODUCT((M_Sims!$B$48:$CF$48&gt;=INT(E316)+1)*INDEX(M_Sims!$B$49:$CF$78,MATCH($C316,M_Sims!$A$49:$A$78,0),0))+A_zs_delta*INDEX(INDEX(M_Sims!$B$49:$CF$78,MATCH($C316,M_Sims!$A$49:$A$78,0),0),1,INT(E316)+2))</f>
        <v>0.17309699999999995</v>
      </c>
      <c r="AE316" s="34">
        <f t="shared" si="109"/>
        <v>-0.61053175000000015</v>
      </c>
      <c r="AF316" s="34">
        <f t="shared" si="110"/>
        <v>-0.31239566326222878</v>
      </c>
      <c r="AG316" s="34">
        <f t="shared" si="111"/>
        <v>-0.33947066326222869</v>
      </c>
      <c r="AH316" s="6" t="b">
        <f>AND(W316,I316&gt;=A_t1_fair,((1-A_t1_shrink)*J316+A_t1_shrink*I316)*G316-1&gt;=A_minev,(1-A_t1_shrink)*N316+A_t1_shrink*(I316*G316-1)&gt;0,M_Sims!Q238=1)</f>
        <v>0</v>
      </c>
      <c r="AI316" s="18">
        <f>IF(AH316,M_Sims!R238*A_t1_cap/A_t1_engcap,0)</f>
        <v>0</v>
      </c>
      <c r="AJ316" s="46" t="str">
        <f t="shared" si="112"/>
        <v>-</v>
      </c>
      <c r="AK316" s="7" t="str">
        <f>IF(AH316,M_Sims!S238,"-")</f>
        <v>-</v>
      </c>
      <c r="AL316" s="51">
        <f>M_Sims!M238</f>
        <v>0</v>
      </c>
      <c r="AM316" s="6" t="str">
        <f t="shared" si="113"/>
        <v>-</v>
      </c>
    </row>
    <row r="317" spans="1:39" ht="15" customHeight="1" x14ac:dyDescent="0.3">
      <c r="A317" s="6" t="s">
        <v>279</v>
      </c>
      <c r="B317" s="7" t="str">
        <f>Odds_Input!C164</f>
        <v>New Orleans Pelicans</v>
      </c>
      <c r="C317" s="6" t="s">
        <v>215</v>
      </c>
      <c r="D317" s="7" t="str">
        <f>Odds_Input!D164</f>
        <v>OVER</v>
      </c>
      <c r="E317" s="31">
        <f>Odds_Input!E164</f>
        <v>28.5</v>
      </c>
      <c r="F317" s="32">
        <f>Odds_Input!F164</f>
        <v>-120</v>
      </c>
      <c r="G317" s="36">
        <f>M_DeVig!H164</f>
        <v>1.8333333333333335</v>
      </c>
      <c r="H317" s="7" t="str">
        <f>Odds_Input!G164</f>
        <v>-</v>
      </c>
      <c r="I317" s="42">
        <f>M_DeVig!Q164</f>
        <v>0.52272727270008856</v>
      </c>
      <c r="J317" s="42">
        <f>SUMPRODUCT((M_Sims!$B$48:$CF$48&gt;E317)*INDEX(M_Sims!$B$49:$CF$78,MATCH($C317,M_Sims!$A$49:$A$78,0),0))</f>
        <v>0.64117999999999964</v>
      </c>
      <c r="K317" s="43">
        <f t="shared" si="101"/>
        <v>-178.69126581572905</v>
      </c>
      <c r="L317" s="34">
        <f t="shared" si="102"/>
        <v>0.17549666666666619</v>
      </c>
      <c r="M317" s="38">
        <f t="shared" si="103"/>
        <v>11.845272729991107</v>
      </c>
      <c r="N317" s="42">
        <f>M_Sims!B239</f>
        <v>0.11749000000000009</v>
      </c>
      <c r="O317" s="42">
        <f>M_Sims!C239</f>
        <v>0.2449677777777779</v>
      </c>
      <c r="P317" s="42">
        <f>M_Sims!D239</f>
        <v>1</v>
      </c>
      <c r="Q317" s="34">
        <f t="shared" si="104"/>
        <v>0.58195363635004416</v>
      </c>
      <c r="R317" s="18" t="str">
        <f t="shared" si="105"/>
        <v>-</v>
      </c>
      <c r="S317" s="46" t="str">
        <f t="shared" si="106"/>
        <v>-</v>
      </c>
      <c r="T317" s="51" t="str">
        <f>IF(A_tier2_on=1,M_Sims!M239,"-")</f>
        <v>-</v>
      </c>
      <c r="U317" s="46" t="str">
        <f>IF(OR(A_bankroll="",A_tier2_on&lt;&gt;1),"-",MIN(A_maxbet,M_Sims!M239*A_bankroll))</f>
        <v>-</v>
      </c>
      <c r="V317" s="30">
        <f>M_Sims!H239</f>
        <v>1</v>
      </c>
      <c r="W317" s="6" t="b">
        <f>AND(H317&lt;&gt;"IMPUTED_20C_LADDER",L317&gt;=A_minev,N317&gt;0,V317=1,IF(A317="PLAYOFFS",A_poconf=1,TRUE),IF(AND(A317="WINS",A_zs_on=1),AND(AE317&gt;=A_minev,M_Sims!O239&gt;0),TRUE),AF317&gt;=A_minev,AG317&gt;0,IF(I317&lt;A_longthr,(1-A_shrink)*M_Sims!K239+A_shrink*(I317*G317-1)&gt;=A_minev,TRUE),IF(AND(OR(A317="WINS",A317="PLAYOFFS",LEFT(A317,4)="DIV_"),INDEX(Raw_Teams!$F$8:$F$37,MATCH($C317,Raw_Teams!$A$8:$A$37,0))&lt;A_contthr),AND(((1-A_contshrink)*J317+A_contshrink*I317)*G317-1&gt;=A_minev,(1-A_contshrink)*N317+A_contshrink*(I317*G317-1)&gt;0),TRUE),M_Sims!P239=0)</f>
        <v>0</v>
      </c>
      <c r="X317" s="6" t="s">
        <v>1317</v>
      </c>
      <c r="Y317" s="6" t="s">
        <v>1324</v>
      </c>
      <c r="Z317" s="6">
        <v>156</v>
      </c>
      <c r="AA317" s="7" t="str">
        <f t="shared" si="107"/>
        <v>OK - sims match current assumptions</v>
      </c>
      <c r="AB317" s="42">
        <f>INDEX(IF(D317="OVER",M_WinDist!$E$8:$E$37,M_WinDist!$F$8:$F$37),MATCH($C317,M_WinDist!$A$8:$A$37,0))</f>
        <v>0.6482664853323451</v>
      </c>
      <c r="AC317" s="34">
        <f t="shared" si="108"/>
        <v>0.18848855644263285</v>
      </c>
      <c r="AD317" s="42">
        <f>(SUMPRODUCT((M_Sims!$B$48:$CF$48&gt;=INT(E317)+1)*INDEX(M_Sims!$B$49:$CF$78,MATCH($C317,M_Sims!$A$49:$A$78,0),0))+A_zs_delta*INDEX(INDEX(M_Sims!$B$49:$CF$78,MATCH($C317,M_Sims!$A$49:$A$78,0),0),1,INT(E317)+2))</f>
        <v>0.65755899999999967</v>
      </c>
      <c r="AE317" s="34">
        <f t="shared" si="109"/>
        <v>0.20552483333333282</v>
      </c>
      <c r="AF317" s="34">
        <f t="shared" si="110"/>
        <v>6.6914999975081102E-2</v>
      </c>
      <c r="AG317" s="34">
        <f t="shared" si="111"/>
        <v>3.7911666641747943E-2</v>
      </c>
      <c r="AH317" s="6" t="b">
        <f>AND(W317,I317&gt;=A_t1_fair,((1-A_t1_shrink)*J317+A_t1_shrink*I317)*G317-1&gt;=A_minev,(1-A_t1_shrink)*N317+A_t1_shrink*(I317*G317-1)&gt;0,M_Sims!Q239=1)</f>
        <v>0</v>
      </c>
      <c r="AI317" s="18">
        <f>IF(AH317,M_Sims!R239*A_t1_cap/A_t1_engcap,0)</f>
        <v>0</v>
      </c>
      <c r="AJ317" s="46" t="str">
        <f t="shared" si="112"/>
        <v>-</v>
      </c>
      <c r="AK317" s="7" t="str">
        <f>IF(AH317,M_Sims!S239,"-")</f>
        <v>-</v>
      </c>
      <c r="AL317" s="51">
        <f>M_Sims!M239</f>
        <v>0</v>
      </c>
      <c r="AM317" s="6" t="str">
        <f t="shared" si="113"/>
        <v>-</v>
      </c>
    </row>
    <row r="318" spans="1:39" ht="15" customHeight="1" x14ac:dyDescent="0.3">
      <c r="A318" s="52" t="s">
        <v>279</v>
      </c>
      <c r="B318" s="53" t="str">
        <f>Odds_Input!C165</f>
        <v>New Orleans Pelicans</v>
      </c>
      <c r="C318" s="52" t="s">
        <v>215</v>
      </c>
      <c r="D318" s="53" t="str">
        <f>Odds_Input!D165</f>
        <v>UNDER</v>
      </c>
      <c r="E318" s="54">
        <f>Odds_Input!E165</f>
        <v>28.5</v>
      </c>
      <c r="F318" s="55">
        <f>Odds_Input!F165</f>
        <v>100</v>
      </c>
      <c r="G318" s="56">
        <f>M_DeVig!H165</f>
        <v>2</v>
      </c>
      <c r="H318" s="53" t="str">
        <f>Odds_Input!G165</f>
        <v>IMPUTED_20C_LADDER</v>
      </c>
      <c r="I318" s="42">
        <f>M_DeVig!Q165</f>
        <v>0.4772727272430774</v>
      </c>
      <c r="J318" s="42">
        <f>1-SUMPRODUCT((M_Sims!$B$48:$CF$48&gt;E318)*INDEX(M_Sims!$B$49:$CF$78,MATCH($C318,M_Sims!$A$49:$A$78,0),0))</f>
        <v>0.35882000000000036</v>
      </c>
      <c r="K318" s="43">
        <f t="shared" si="101"/>
        <v>178.69126581572905</v>
      </c>
      <c r="L318" s="34">
        <f t="shared" si="102"/>
        <v>-0.28235999999999928</v>
      </c>
      <c r="M318" s="38">
        <f t="shared" si="103"/>
        <v>-11.845272724307703</v>
      </c>
      <c r="N318" s="42">
        <f>M_Sims!B240</f>
        <v>-0.35814666666666661</v>
      </c>
      <c r="O318" s="42">
        <f>M_Sims!C240</f>
        <v>-0.21908</v>
      </c>
      <c r="P318" s="42">
        <f>M_Sims!D240</f>
        <v>0</v>
      </c>
      <c r="Q318" s="34">
        <f t="shared" si="104"/>
        <v>0.41804636362153891</v>
      </c>
      <c r="R318" s="18" t="str">
        <f t="shared" si="105"/>
        <v>-</v>
      </c>
      <c r="S318" s="46" t="str">
        <f t="shared" si="106"/>
        <v>-</v>
      </c>
      <c r="T318" s="51" t="str">
        <f>IF(A_tier2_on=1,M_Sims!M240,"-")</f>
        <v>-</v>
      </c>
      <c r="U318" s="46" t="str">
        <f>IF(OR(A_bankroll="",A_tier2_on&lt;&gt;1),"-",MIN(A_maxbet,M_Sims!M240*A_bankroll))</f>
        <v>-</v>
      </c>
      <c r="V318" s="30">
        <f>M_Sims!H240</f>
        <v>0</v>
      </c>
      <c r="W318" s="6" t="b">
        <f>AND(H318&lt;&gt;"IMPUTED_20C_LADDER",L318&gt;=A_minev,N318&gt;0,V318=1,IF(A318="PLAYOFFS",A_poconf=1,TRUE),IF(AND(A318="WINS",A_zs_on=1),AND(AE318&gt;=A_minev,M_Sims!O240&gt;0),TRUE),AF318&gt;=A_minev,AG318&gt;0,IF(I318&lt;A_longthr,(1-A_shrink)*M_Sims!K240+A_shrink*(I318*G318-1)&gt;=A_minev,TRUE),IF(AND(OR(A318="WINS",A318="PLAYOFFS",LEFT(A318,4)="DIV_"),INDEX(Raw_Teams!$F$8:$F$37,MATCH($C318,Raw_Teams!$A$8:$A$37,0))&lt;A_contthr),AND(((1-A_contshrink)*J318+A_contshrink*I318)*G318-1&gt;=A_minev,(1-A_contshrink)*N318+A_contshrink*(I318*G318-1)&gt;0),TRUE),M_Sims!P240=0)</f>
        <v>0</v>
      </c>
      <c r="X318" s="6" t="s">
        <v>1317</v>
      </c>
      <c r="Y318" s="6" t="s">
        <v>1324</v>
      </c>
      <c r="Z318" s="6">
        <v>157</v>
      </c>
      <c r="AA318" s="7" t="str">
        <f t="shared" si="107"/>
        <v>OK - sims match current assumptions</v>
      </c>
      <c r="AB318" s="42">
        <f>INDEX(IF(D318="OVER",M_WinDist!$E$8:$E$37,M_WinDist!$F$8:$F$37),MATCH($C318,M_WinDist!$A$8:$A$37,0))</f>
        <v>0.3517335146676549</v>
      </c>
      <c r="AC318" s="34">
        <f t="shared" si="108"/>
        <v>-0.2965329706646902</v>
      </c>
      <c r="AD318" s="42">
        <f>1-(SUMPRODUCT((M_Sims!$B$48:$CF$48&gt;=INT(E318)+1)*INDEX(M_Sims!$B$49:$CF$78,MATCH($C318,M_Sims!$A$49:$A$78,0),0))+A_zs_delta*INDEX(INDEX(M_Sims!$B$49:$CF$78,MATCH($C318,M_Sims!$A$49:$A$78,0),0),1,INT(E318)+2))</f>
        <v>0.34244100000000033</v>
      </c>
      <c r="AE318" s="34">
        <f t="shared" si="109"/>
        <v>-0.31511799999999934</v>
      </c>
      <c r="AF318" s="34">
        <f t="shared" si="110"/>
        <v>-0.16390727275692218</v>
      </c>
      <c r="AG318" s="34">
        <f t="shared" si="111"/>
        <v>-0.20180060609025591</v>
      </c>
      <c r="AH318" s="6" t="b">
        <f>AND(W318,I318&gt;=A_t1_fair,((1-A_t1_shrink)*J318+A_t1_shrink*I318)*G318-1&gt;=A_minev,(1-A_t1_shrink)*N318+A_t1_shrink*(I318*G318-1)&gt;0,M_Sims!Q240=1)</f>
        <v>0</v>
      </c>
      <c r="AI318" s="18">
        <f>IF(AH318,M_Sims!R240*A_t1_cap/A_t1_engcap,0)</f>
        <v>0</v>
      </c>
      <c r="AJ318" s="46" t="str">
        <f t="shared" si="112"/>
        <v>-</v>
      </c>
      <c r="AK318" s="7" t="str">
        <f>IF(AH318,M_Sims!S240,"-")</f>
        <v>-</v>
      </c>
      <c r="AL318" s="51">
        <f>M_Sims!M240</f>
        <v>0</v>
      </c>
      <c r="AM318" s="6" t="str">
        <f t="shared" si="113"/>
        <v>-</v>
      </c>
    </row>
    <row r="319" spans="1:39" ht="15" customHeight="1" x14ac:dyDescent="0.3">
      <c r="A319" s="6" t="s">
        <v>279</v>
      </c>
      <c r="B319" s="7" t="str">
        <f>Odds_Input!C166</f>
        <v>Utah Jazz</v>
      </c>
      <c r="C319" s="6" t="s">
        <v>225</v>
      </c>
      <c r="D319" s="7" t="str">
        <f>Odds_Input!D166</f>
        <v>OVER</v>
      </c>
      <c r="E319" s="31">
        <f>Odds_Input!E166</f>
        <v>37.5</v>
      </c>
      <c r="F319" s="32">
        <f>Odds_Input!F166</f>
        <v>-135</v>
      </c>
      <c r="G319" s="36">
        <f>M_DeVig!H166</f>
        <v>1.7407407407407407</v>
      </c>
      <c r="H319" s="7" t="str">
        <f>Odds_Input!G166</f>
        <v>-</v>
      </c>
      <c r="I319" s="42">
        <f>M_DeVig!Q166</f>
        <v>0.55467590301630942</v>
      </c>
      <c r="J319" s="42">
        <f>SUMPRODUCT((M_Sims!$B$48:$CF$48&gt;E319)*INDEX(M_Sims!$B$49:$CF$78,MATCH($C319,M_Sims!$A$49:$A$78,0),0))</f>
        <v>0.31018000000000007</v>
      </c>
      <c r="K319" s="43">
        <f t="shared" si="101"/>
        <v>222.39344896511693</v>
      </c>
      <c r="L319" s="34">
        <f t="shared" si="102"/>
        <v>-0.46005703703703693</v>
      </c>
      <c r="M319" s="38">
        <f t="shared" si="103"/>
        <v>-24.449590301630934</v>
      </c>
      <c r="N319" s="42">
        <f>M_Sims!B241</f>
        <v>-0.53480444444444442</v>
      </c>
      <c r="O319" s="42">
        <f>M_Sims!C241</f>
        <v>-0.3717782716049382</v>
      </c>
      <c r="P319" s="42">
        <f>M_Sims!D241</f>
        <v>0</v>
      </c>
      <c r="Q319" s="34">
        <f t="shared" si="104"/>
        <v>0.43242795150815472</v>
      </c>
      <c r="R319" s="18" t="str">
        <f t="shared" si="105"/>
        <v>-</v>
      </c>
      <c r="S319" s="46" t="str">
        <f t="shared" si="106"/>
        <v>-</v>
      </c>
      <c r="T319" s="51" t="str">
        <f>IF(A_tier2_on=1,M_Sims!M241,"-")</f>
        <v>-</v>
      </c>
      <c r="U319" s="46" t="str">
        <f>IF(OR(A_bankroll="",A_tier2_on&lt;&gt;1),"-",MIN(A_maxbet,M_Sims!M241*A_bankroll))</f>
        <v>-</v>
      </c>
      <c r="V319" s="30">
        <f>M_Sims!H241</f>
        <v>0</v>
      </c>
      <c r="W319" s="6" t="b">
        <f>AND(H319&lt;&gt;"IMPUTED_20C_LADDER",L319&gt;=A_minev,N319&gt;0,V319=1,IF(A319="PLAYOFFS",A_poconf=1,TRUE),IF(AND(A319="WINS",A_zs_on=1),AND(AE319&gt;=A_minev,M_Sims!O241&gt;0),TRUE),AF319&gt;=A_minev,AG319&gt;0,IF(I319&lt;A_longthr,(1-A_shrink)*M_Sims!K241+A_shrink*(I319*G319-1)&gt;=A_minev,TRUE),IF(AND(OR(A319="WINS",A319="PLAYOFFS",LEFT(A319,4)="DIV_"),INDEX(Raw_Teams!$F$8:$F$37,MATCH($C319,Raw_Teams!$A$8:$A$37,0))&lt;A_contthr),AND(((1-A_contshrink)*J319+A_contshrink*I319)*G319-1&gt;=A_minev,(1-A_contshrink)*N319+A_contshrink*(I319*G319-1)&gt;0),TRUE),M_Sims!P241=0)</f>
        <v>0</v>
      </c>
      <c r="X319" s="6" t="s">
        <v>1317</v>
      </c>
      <c r="Y319" s="6" t="s">
        <v>1324</v>
      </c>
      <c r="Z319" s="6">
        <v>158</v>
      </c>
      <c r="AA319" s="7" t="str">
        <f t="shared" si="107"/>
        <v>OK - sims match current assumptions</v>
      </c>
      <c r="AB319" s="42">
        <f>INDEX(IF(D319="OVER",M_WinDist!$E$8:$E$37,M_WinDist!$F$8:$F$37),MATCH($C319,M_WinDist!$A$8:$A$37,0))</f>
        <v>0.32305338499421621</v>
      </c>
      <c r="AC319" s="34">
        <f t="shared" si="108"/>
        <v>-0.43764781130636443</v>
      </c>
      <c r="AD319" s="42">
        <f>(SUMPRODUCT((M_Sims!$B$48:$CF$48&gt;=INT(E319)+1)*INDEX(M_Sims!$B$49:$CF$78,MATCH($C319,M_Sims!$A$49:$A$78,0),0))+A_zs_delta*INDEX(INDEX(M_Sims!$B$49:$CF$78,MATCH($C319,M_Sims!$A$49:$A$78,0),0),1,INT(E319)+2))</f>
        <v>0.32431866666666676</v>
      </c>
      <c r="AE319" s="34">
        <f t="shared" si="109"/>
        <v>-0.4354452839506171</v>
      </c>
      <c r="AF319" s="34">
        <f t="shared" si="110"/>
        <v>-0.24725504737469362</v>
      </c>
      <c r="AG319" s="34">
        <f t="shared" si="111"/>
        <v>-0.28462875107839736</v>
      </c>
      <c r="AH319" s="6" t="b">
        <f>AND(W319,I319&gt;=A_t1_fair,((1-A_t1_shrink)*J319+A_t1_shrink*I319)*G319-1&gt;=A_minev,(1-A_t1_shrink)*N319+A_t1_shrink*(I319*G319-1)&gt;0,M_Sims!Q241=1)</f>
        <v>0</v>
      </c>
      <c r="AI319" s="18">
        <f>IF(AH319,M_Sims!R241*A_t1_cap/A_t1_engcap,0)</f>
        <v>0</v>
      </c>
      <c r="AJ319" s="46" t="str">
        <f t="shared" si="112"/>
        <v>-</v>
      </c>
      <c r="AK319" s="7" t="str">
        <f>IF(AH319,M_Sims!S241,"-")</f>
        <v>-</v>
      </c>
      <c r="AL319" s="51">
        <f>M_Sims!M241</f>
        <v>0</v>
      </c>
      <c r="AM319" s="6" t="str">
        <f t="shared" si="113"/>
        <v>-</v>
      </c>
    </row>
    <row r="320" spans="1:39" ht="15" customHeight="1" x14ac:dyDescent="0.3">
      <c r="A320" s="6" t="s">
        <v>279</v>
      </c>
      <c r="B320" s="7" t="str">
        <f>Odds_Input!C167</f>
        <v>Utah Jazz</v>
      </c>
      <c r="C320" s="6" t="s">
        <v>225</v>
      </c>
      <c r="D320" s="7" t="str">
        <f>Odds_Input!D167</f>
        <v>UNDER</v>
      </c>
      <c r="E320" s="31">
        <f>Odds_Input!E167</f>
        <v>37.5</v>
      </c>
      <c r="F320" s="32">
        <f>Odds_Input!F167</f>
        <v>115</v>
      </c>
      <c r="G320" s="36">
        <f>M_DeVig!H167</f>
        <v>2.15</v>
      </c>
      <c r="H320" s="7" t="str">
        <f>Odds_Input!G167</f>
        <v>-</v>
      </c>
      <c r="I320" s="42">
        <f>M_DeVig!Q167</f>
        <v>0.44532409697922487</v>
      </c>
      <c r="J320" s="42">
        <f>1-SUMPRODUCT((M_Sims!$B$48:$CF$48&gt;E320)*INDEX(M_Sims!$B$49:$CF$78,MATCH($C320,M_Sims!$A$49:$A$78,0),0))</f>
        <v>0.68981999999999988</v>
      </c>
      <c r="K320" s="43">
        <f t="shared" si="101"/>
        <v>-222.3934489651169</v>
      </c>
      <c r="L320" s="34">
        <f t="shared" si="102"/>
        <v>0.48311299999999968</v>
      </c>
      <c r="M320" s="38">
        <f t="shared" si="103"/>
        <v>24.4495903020775</v>
      </c>
      <c r="N320" s="42">
        <f>M_Sims!B242</f>
        <v>0.3740793333333331</v>
      </c>
      <c r="O320" s="42">
        <f>M_Sims!C242</f>
        <v>0.57543399999999989</v>
      </c>
      <c r="P320" s="42">
        <f>M_Sims!D242</f>
        <v>1</v>
      </c>
      <c r="Q320" s="34">
        <f t="shared" si="104"/>
        <v>0.5675720484896124</v>
      </c>
      <c r="R320" s="18" t="str">
        <f t="shared" si="105"/>
        <v>-</v>
      </c>
      <c r="S320" s="46" t="str">
        <f t="shared" si="106"/>
        <v>-</v>
      </c>
      <c r="T320" s="51" t="str">
        <f>IF(A_tier2_on=1,M_Sims!M242,"-")</f>
        <v>-</v>
      </c>
      <c r="U320" s="46" t="str">
        <f>IF(OR(A_bankroll="",A_tier2_on&lt;&gt;1),"-",MIN(A_maxbet,M_Sims!M242*A_bankroll))</f>
        <v>-</v>
      </c>
      <c r="V320" s="30">
        <f>M_Sims!H242</f>
        <v>1</v>
      </c>
      <c r="W320" s="6" t="b">
        <f>AND(H320&lt;&gt;"IMPUTED_20C_LADDER",L320&gt;=A_minev,N320&gt;0,V320=1,IF(A320="PLAYOFFS",A_poconf=1,TRUE),IF(AND(A320="WINS",A_zs_on=1),AND(AE320&gt;=A_minev,M_Sims!O242&gt;0),TRUE),AF320&gt;=A_minev,AG320&gt;0,IF(I320&lt;A_longthr,(1-A_shrink)*M_Sims!K242+A_shrink*(I320*G320-1)&gt;=A_minev,TRUE),IF(AND(OR(A320="WINS",A320="PLAYOFFS",LEFT(A320,4)="DIV_"),INDEX(Raw_Teams!$F$8:$F$37,MATCH($C320,Raw_Teams!$A$8:$A$37,0))&lt;A_contthr),AND(((1-A_contshrink)*J320+A_contshrink*I320)*G320-1&gt;=A_minev,(1-A_contshrink)*N320+A_contshrink*(I320*G320-1)&gt;0),TRUE),M_Sims!P242=0)</f>
        <v>1</v>
      </c>
      <c r="X320" s="6" t="s">
        <v>1317</v>
      </c>
      <c r="Y320" s="6" t="s">
        <v>1324</v>
      </c>
      <c r="Z320" s="6">
        <v>159</v>
      </c>
      <c r="AA320" s="7" t="str">
        <f t="shared" si="107"/>
        <v>OK - sims match current assumptions</v>
      </c>
      <c r="AB320" s="42">
        <f>INDEX(IF(D320="OVER",M_WinDist!$E$8:$E$37,M_WinDist!$F$8:$F$37),MATCH($C320,M_WinDist!$A$8:$A$37,0))</f>
        <v>0.67694661500578379</v>
      </c>
      <c r="AC320" s="34">
        <f t="shared" si="108"/>
        <v>0.45543522226243516</v>
      </c>
      <c r="AD320" s="42">
        <f>1-(SUMPRODUCT((M_Sims!$B$48:$CF$48&gt;=INT(E320)+1)*INDEX(M_Sims!$B$49:$CF$78,MATCH($C320,M_Sims!$A$49:$A$78,0),0))+A_zs_delta*INDEX(INDEX(M_Sims!$B$49:$CF$78,MATCH($C320,M_Sims!$A$49:$A$78,0),0),1,INT(E320)+2))</f>
        <v>0.67568133333333324</v>
      </c>
      <c r="AE320" s="34">
        <f t="shared" si="109"/>
        <v>0.45271486666666649</v>
      </c>
      <c r="AF320" s="34">
        <f t="shared" si="110"/>
        <v>0.22027990425266664</v>
      </c>
      <c r="AG320" s="34">
        <f t="shared" si="111"/>
        <v>0.16576307091933329</v>
      </c>
      <c r="AH320" s="6" t="b">
        <f>AND(W320,I320&gt;=A_t1_fair,((1-A_t1_shrink)*J320+A_t1_shrink*I320)*G320-1&gt;=A_minev,(1-A_t1_shrink)*N320+A_t1_shrink*(I320*G320-1)&gt;0,M_Sims!Q242=1)</f>
        <v>0</v>
      </c>
      <c r="AI320" s="18">
        <f>IF(AH320,M_Sims!R242*A_t1_cap/A_t1_engcap,0)</f>
        <v>0</v>
      </c>
      <c r="AJ320" s="46" t="str">
        <f t="shared" si="112"/>
        <v>-</v>
      </c>
      <c r="AK320" s="7" t="str">
        <f>IF(AH320,M_Sims!S242,"-")</f>
        <v>-</v>
      </c>
      <c r="AL320" s="51">
        <f>M_Sims!M242</f>
        <v>1.73110253251572E-2</v>
      </c>
      <c r="AM320" s="6" t="str">
        <f t="shared" si="113"/>
        <v>Tier 2</v>
      </c>
    </row>
    <row r="321" spans="1:39" ht="15" customHeight="1" x14ac:dyDescent="0.3">
      <c r="A321" s="6" t="s">
        <v>279</v>
      </c>
      <c r="B321" s="7" t="str">
        <f>Odds_Input!C168</f>
        <v>Dallas Mavericks</v>
      </c>
      <c r="C321" s="6" t="s">
        <v>203</v>
      </c>
      <c r="D321" s="7" t="str">
        <f>Odds_Input!D168</f>
        <v>OVER</v>
      </c>
      <c r="E321" s="31">
        <f>Odds_Input!E168</f>
        <v>34.5</v>
      </c>
      <c r="F321" s="32">
        <f>Odds_Input!F168</f>
        <v>-105</v>
      </c>
      <c r="G321" s="36">
        <f>M_DeVig!H168</f>
        <v>1.9523809523809523</v>
      </c>
      <c r="H321" s="7" t="str">
        <f>Odds_Input!G168</f>
        <v>-</v>
      </c>
      <c r="I321" s="42">
        <f>M_DeVig!Q168</f>
        <v>0.48865570050943602</v>
      </c>
      <c r="J321" s="42">
        <f>SUMPRODUCT((M_Sims!$B$48:$CF$48&gt;E321)*INDEX(M_Sims!$B$49:$CF$78,MATCH($C321,M_Sims!$A$49:$A$78,0),0))</f>
        <v>0.46894000000000019</v>
      </c>
      <c r="K321" s="43">
        <f t="shared" si="101"/>
        <v>113.24689725764483</v>
      </c>
      <c r="L321" s="34">
        <f t="shared" si="102"/>
        <v>-8.4450476190475854E-2</v>
      </c>
      <c r="M321" s="38">
        <f t="shared" si="103"/>
        <v>-1.971570050943583</v>
      </c>
      <c r="N321" s="42">
        <f>M_Sims!B243</f>
        <v>-0.32124825396825402</v>
      </c>
      <c r="O321" s="42">
        <f>M_Sims!C243</f>
        <v>0.1239857142857142</v>
      </c>
      <c r="P321" s="42">
        <f>M_Sims!D243</f>
        <v>0.3166666666666666</v>
      </c>
      <c r="Q321" s="34">
        <f t="shared" si="104"/>
        <v>0.4787978502547181</v>
      </c>
      <c r="R321" s="18" t="str">
        <f t="shared" si="105"/>
        <v>-</v>
      </c>
      <c r="S321" s="46" t="str">
        <f t="shared" si="106"/>
        <v>-</v>
      </c>
      <c r="T321" s="51" t="str">
        <f>IF(A_tier2_on=1,M_Sims!M243,"-")</f>
        <v>-</v>
      </c>
      <c r="U321" s="46" t="str">
        <f>IF(OR(A_bankroll="",A_tier2_on&lt;&gt;1),"-",MIN(A_maxbet,M_Sims!M243*A_bankroll))</f>
        <v>-</v>
      </c>
      <c r="V321" s="30">
        <f>M_Sims!H243</f>
        <v>0</v>
      </c>
      <c r="W321" s="6" t="b">
        <f>AND(H321&lt;&gt;"IMPUTED_20C_LADDER",L321&gt;=A_minev,N321&gt;0,V321=1,IF(A321="PLAYOFFS",A_poconf=1,TRUE),IF(AND(A321="WINS",A_zs_on=1),AND(AE321&gt;=A_minev,M_Sims!O243&gt;0),TRUE),AF321&gt;=A_minev,AG321&gt;0,IF(I321&lt;A_longthr,(1-A_shrink)*M_Sims!K243+A_shrink*(I321*G321-1)&gt;=A_minev,TRUE),IF(AND(OR(A321="WINS",A321="PLAYOFFS",LEFT(A321,4)="DIV_"),INDEX(Raw_Teams!$F$8:$F$37,MATCH($C321,Raw_Teams!$A$8:$A$37,0))&lt;A_contthr),AND(((1-A_contshrink)*J321+A_contshrink*I321)*G321-1&gt;=A_minev,(1-A_contshrink)*N321+A_contshrink*(I321*G321-1)&gt;0),TRUE),M_Sims!P243=0)</f>
        <v>0</v>
      </c>
      <c r="X321" s="6" t="s">
        <v>1318</v>
      </c>
      <c r="Y321" s="6" t="s">
        <v>1324</v>
      </c>
      <c r="Z321" s="6">
        <v>160</v>
      </c>
      <c r="AA321" s="7" t="str">
        <f t="shared" si="107"/>
        <v>OK - sims match current assumptions</v>
      </c>
      <c r="AB321" s="42">
        <f>INDEX(IF(D321="OVER",M_WinDist!$E$8:$E$37,M_WinDist!$F$8:$F$37),MATCH($C321,M_WinDist!$A$8:$A$37,0))</f>
        <v>0.47952329102527536</v>
      </c>
      <c r="AC321" s="34">
        <f t="shared" si="108"/>
        <v>-6.3787860379224348E-2</v>
      </c>
      <c r="AD321" s="42">
        <f>(SUMPRODUCT((M_Sims!$B$48:$CF$48&gt;=INT(E321)+1)*INDEX(M_Sims!$B$49:$CF$78,MATCH($C321,M_Sims!$A$49:$A$78,0),0))+A_zs_delta*INDEX(INDEX(M_Sims!$B$49:$CF$78,MATCH($C321,M_Sims!$A$49:$A$78,0),0),1,INT(E321)+2))</f>
        <v>0.48522366666666683</v>
      </c>
      <c r="AE321" s="34">
        <f t="shared" si="109"/>
        <v>-5.2658555555555209E-2</v>
      </c>
      <c r="AF321" s="34">
        <f t="shared" si="110"/>
        <v>-6.5204197121740859E-2</v>
      </c>
      <c r="AG321" s="34">
        <f t="shared" si="111"/>
        <v>-0.18360308601062994</v>
      </c>
      <c r="AH321" s="6" t="b">
        <f>AND(W321,I321&gt;=A_t1_fair,((1-A_t1_shrink)*J321+A_t1_shrink*I321)*G321-1&gt;=A_minev,(1-A_t1_shrink)*N321+A_t1_shrink*(I321*G321-1)&gt;0,M_Sims!Q243=1)</f>
        <v>0</v>
      </c>
      <c r="AI321" s="18">
        <f>IF(AH321,M_Sims!R243*A_t1_cap/A_t1_engcap,0)</f>
        <v>0</v>
      </c>
      <c r="AJ321" s="46" t="str">
        <f t="shared" si="112"/>
        <v>-</v>
      </c>
      <c r="AK321" s="7" t="str">
        <f>IF(AH321,M_Sims!S243,"-")</f>
        <v>-</v>
      </c>
      <c r="AL321" s="51">
        <f>M_Sims!M243</f>
        <v>0</v>
      </c>
      <c r="AM321" s="6" t="str">
        <f t="shared" si="113"/>
        <v>-</v>
      </c>
    </row>
    <row r="322" spans="1:39" ht="15" customHeight="1" x14ac:dyDescent="0.3">
      <c r="A322" s="6" t="s">
        <v>279</v>
      </c>
      <c r="B322" s="7" t="str">
        <f>Odds_Input!C169</f>
        <v>Dallas Mavericks</v>
      </c>
      <c r="C322" s="6" t="s">
        <v>203</v>
      </c>
      <c r="D322" s="7" t="str">
        <f>Odds_Input!D169</f>
        <v>UNDER</v>
      </c>
      <c r="E322" s="31">
        <f>Odds_Input!E169</f>
        <v>34.5</v>
      </c>
      <c r="F322" s="32">
        <f>Odds_Input!F169</f>
        <v>-115</v>
      </c>
      <c r="G322" s="36">
        <f>M_DeVig!H169</f>
        <v>1.8695652173913042</v>
      </c>
      <c r="H322" s="7" t="str">
        <f>Odds_Input!G169</f>
        <v>-</v>
      </c>
      <c r="I322" s="42">
        <f>M_DeVig!Q169</f>
        <v>0.51134429948849391</v>
      </c>
      <c r="J322" s="42">
        <f>1-SUMPRODUCT((M_Sims!$B$48:$CF$48&gt;E322)*INDEX(M_Sims!$B$49:$CF$78,MATCH($C322,M_Sims!$A$49:$A$78,0),0))</f>
        <v>0.53105999999999987</v>
      </c>
      <c r="K322" s="43">
        <f t="shared" si="101"/>
        <v>-113.24689725764485</v>
      </c>
      <c r="L322" s="34">
        <f t="shared" si="102"/>
        <v>-7.1486956521742417E-3</v>
      </c>
      <c r="M322" s="38">
        <f t="shared" si="103"/>
        <v>1.9715700511505951</v>
      </c>
      <c r="N322" s="42">
        <f>M_Sims!B244</f>
        <v>-0.20674347826086961</v>
      </c>
      <c r="O322" s="42">
        <f>M_Sims!C244</f>
        <v>0.21960463768115929</v>
      </c>
      <c r="P322" s="42">
        <f>M_Sims!D244</f>
        <v>0.6333333333333333</v>
      </c>
      <c r="Q322" s="34">
        <f t="shared" si="104"/>
        <v>0.52120214974424695</v>
      </c>
      <c r="R322" s="18" t="str">
        <f t="shared" si="105"/>
        <v>-</v>
      </c>
      <c r="S322" s="46" t="str">
        <f t="shared" si="106"/>
        <v>-</v>
      </c>
      <c r="T322" s="51" t="str">
        <f>IF(A_tier2_on=1,M_Sims!M244,"-")</f>
        <v>-</v>
      </c>
      <c r="U322" s="46" t="str">
        <f>IF(OR(A_bankroll="",A_tier2_on&lt;&gt;1),"-",MIN(A_maxbet,M_Sims!M244*A_bankroll))</f>
        <v>-</v>
      </c>
      <c r="V322" s="30">
        <f>M_Sims!H244</f>
        <v>0</v>
      </c>
      <c r="W322" s="6" t="b">
        <f>AND(H322&lt;&gt;"IMPUTED_20C_LADDER",L322&gt;=A_minev,N322&gt;0,V322=1,IF(A322="PLAYOFFS",A_poconf=1,TRUE),IF(AND(A322="WINS",A_zs_on=1),AND(AE322&gt;=A_minev,M_Sims!O244&gt;0),TRUE),AF322&gt;=A_minev,AG322&gt;0,IF(I322&lt;A_longthr,(1-A_shrink)*M_Sims!K244+A_shrink*(I322*G322-1)&gt;=A_minev,TRUE),IF(AND(OR(A322="WINS",A322="PLAYOFFS",LEFT(A322,4)="DIV_"),INDEX(Raw_Teams!$F$8:$F$37,MATCH($C322,Raw_Teams!$A$8:$A$37,0))&lt;A_contthr),AND(((1-A_contshrink)*J322+A_contshrink*I322)*G322-1&gt;=A_minev,(1-A_contshrink)*N322+A_contshrink*(I322*G322-1)&gt;0),TRUE),M_Sims!P244=0)</f>
        <v>0</v>
      </c>
      <c r="X322" s="6" t="s">
        <v>1318</v>
      </c>
      <c r="Y322" s="6" t="s">
        <v>1324</v>
      </c>
      <c r="Z322" s="6">
        <v>161</v>
      </c>
      <c r="AA322" s="7" t="str">
        <f t="shared" si="107"/>
        <v>OK - sims match current assumptions</v>
      </c>
      <c r="AB322" s="42">
        <f>INDEX(IF(D322="OVER",M_WinDist!$E$8:$E$37,M_WinDist!$F$8:$F$37),MATCH($C322,M_WinDist!$A$8:$A$37,0))</f>
        <v>0.52047670897472464</v>
      </c>
      <c r="AC322" s="34">
        <f t="shared" si="108"/>
        <v>-2.6934848438558312E-2</v>
      </c>
      <c r="AD322" s="42">
        <f>1-(SUMPRODUCT((M_Sims!$B$48:$CF$48&gt;=INT(E322)+1)*INDEX(M_Sims!$B$49:$CF$78,MATCH($C322,M_Sims!$A$49:$A$78,0),0))+A_zs_delta*INDEX(INDEX(M_Sims!$B$49:$CF$78,MATCH($C322,M_Sims!$A$49:$A$78,0),0),1,INT(E322)+2))</f>
        <v>0.51477633333333317</v>
      </c>
      <c r="AE322" s="34">
        <f t="shared" si="109"/>
        <v>-3.75920724637685E-2</v>
      </c>
      <c r="AF322" s="34">
        <f t="shared" si="110"/>
        <v>-2.5578589608581837E-2</v>
      </c>
      <c r="AG322" s="34">
        <f t="shared" si="111"/>
        <v>-0.12537598091292962</v>
      </c>
      <c r="AH322" s="6" t="b">
        <f>AND(W322,I322&gt;=A_t1_fair,((1-A_t1_shrink)*J322+A_t1_shrink*I322)*G322-1&gt;=A_minev,(1-A_t1_shrink)*N322+A_t1_shrink*(I322*G322-1)&gt;0,M_Sims!Q244=1)</f>
        <v>0</v>
      </c>
      <c r="AI322" s="18">
        <f>IF(AH322,M_Sims!R244*A_t1_cap/A_t1_engcap,0)</f>
        <v>0</v>
      </c>
      <c r="AJ322" s="46" t="str">
        <f t="shared" si="112"/>
        <v>-</v>
      </c>
      <c r="AK322" s="7" t="str">
        <f>IF(AH322,M_Sims!S244,"-")</f>
        <v>-</v>
      </c>
      <c r="AL322" s="51">
        <f>M_Sims!M244</f>
        <v>0</v>
      </c>
      <c r="AM322" s="6" t="str">
        <f t="shared" si="113"/>
        <v>-</v>
      </c>
    </row>
    <row r="323" spans="1:39" ht="15" customHeight="1" x14ac:dyDescent="0.3">
      <c r="A323" s="6" t="s">
        <v>279</v>
      </c>
      <c r="B323" s="7" t="str">
        <f>Odds_Input!C170</f>
        <v>Houston Rockets</v>
      </c>
      <c r="C323" s="6" t="s">
        <v>207</v>
      </c>
      <c r="D323" s="7" t="str">
        <f>Odds_Input!D170</f>
        <v>OVER</v>
      </c>
      <c r="E323" s="31">
        <f>Odds_Input!E170</f>
        <v>47.5</v>
      </c>
      <c r="F323" s="32">
        <f>Odds_Input!F170</f>
        <v>-160</v>
      </c>
      <c r="G323" s="36">
        <f>M_DeVig!H170</f>
        <v>1.625</v>
      </c>
      <c r="H323" s="7" t="str">
        <f>Odds_Input!G170</f>
        <v>-</v>
      </c>
      <c r="I323" s="42">
        <f>M_DeVig!Q170</f>
        <v>0.59935897438219166</v>
      </c>
      <c r="J323" s="42">
        <f>SUMPRODUCT((M_Sims!$B$48:$CF$48&gt;E323)*INDEX(M_Sims!$B$49:$CF$78,MATCH($C323,M_Sims!$A$49:$A$78,0),0))</f>
        <v>0.76363999999999976</v>
      </c>
      <c r="K323" s="43">
        <f t="shared" si="101"/>
        <v>-323.08343205280039</v>
      </c>
      <c r="L323" s="34">
        <f t="shared" si="102"/>
        <v>0.24091499999999955</v>
      </c>
      <c r="M323" s="38">
        <f t="shared" si="103"/>
        <v>16.428102561780811</v>
      </c>
      <c r="N323" s="42">
        <f>M_Sims!B245</f>
        <v>0.1618533333333334</v>
      </c>
      <c r="O323" s="42">
        <f>M_Sims!C245</f>
        <v>0.34161083333333331</v>
      </c>
      <c r="P323" s="42">
        <f>M_Sims!D245</f>
        <v>1</v>
      </c>
      <c r="Q323" s="34">
        <f t="shared" si="104"/>
        <v>0.68149948719109577</v>
      </c>
      <c r="R323" s="18" t="str">
        <f t="shared" si="105"/>
        <v>-</v>
      </c>
      <c r="S323" s="46" t="str">
        <f t="shared" si="106"/>
        <v>-</v>
      </c>
      <c r="T323" s="51" t="str">
        <f>IF(A_tier2_on=1,M_Sims!M245,"-")</f>
        <v>-</v>
      </c>
      <c r="U323" s="46" t="str">
        <f>IF(OR(A_bankroll="",A_tier2_on&lt;&gt;1),"-",MIN(A_maxbet,M_Sims!M245*A_bankroll))</f>
        <v>-</v>
      </c>
      <c r="V323" s="30">
        <f>M_Sims!H245</f>
        <v>1</v>
      </c>
      <c r="W323" s="6" t="b">
        <f>AND(H323&lt;&gt;"IMPUTED_20C_LADDER",L323&gt;=A_minev,N323&gt;0,V323=1,IF(A323="PLAYOFFS",A_poconf=1,TRUE),IF(AND(A323="WINS",A_zs_on=1),AND(AE323&gt;=A_minev,M_Sims!O245&gt;0),TRUE),AF323&gt;=A_minev,AG323&gt;0,IF(I323&lt;A_longthr,(1-A_shrink)*M_Sims!K245+A_shrink*(I323*G323-1)&gt;=A_minev,TRUE),IF(AND(OR(A323="WINS",A323="PLAYOFFS",LEFT(A323,4)="DIV_"),INDEX(Raw_Teams!$F$8:$F$37,MATCH($C323,Raw_Teams!$A$8:$A$37,0))&lt;A_contthr),AND(((1-A_contshrink)*J323+A_contshrink*I323)*G323-1&gt;=A_minev,(1-A_contshrink)*N323+A_contshrink*(I323*G323-1)&gt;0),TRUE),M_Sims!P245=0)</f>
        <v>1</v>
      </c>
      <c r="X323" s="6" t="s">
        <v>1318</v>
      </c>
      <c r="Y323" s="6" t="s">
        <v>1324</v>
      </c>
      <c r="Z323" s="6">
        <v>162</v>
      </c>
      <c r="AA323" s="7" t="str">
        <f t="shared" si="107"/>
        <v>OK - sims match current assumptions</v>
      </c>
      <c r="AB323" s="42">
        <f>INDEX(IF(D323="OVER",M_WinDist!$E$8:$E$37,M_WinDist!$F$8:$F$37),MATCH($C323,M_WinDist!$A$8:$A$37,0))</f>
        <v>0.73946299308687036</v>
      </c>
      <c r="AC323" s="34">
        <f t="shared" si="108"/>
        <v>0.2016273637661643</v>
      </c>
      <c r="AD323" s="42">
        <f>(SUMPRODUCT((M_Sims!$B$48:$CF$48&gt;=INT(E323)+1)*INDEX(M_Sims!$B$49:$CF$78,MATCH($C323,M_Sims!$A$49:$A$78,0),0))+A_zs_delta*INDEX(INDEX(M_Sims!$B$49:$CF$78,MATCH($C323,M_Sims!$A$49:$A$78,0),0),1,INT(E323)+2))</f>
        <v>0.77637433333333306</v>
      </c>
      <c r="AE323" s="34">
        <f t="shared" si="109"/>
        <v>0.26160829166666622</v>
      </c>
      <c r="AF323" s="34">
        <f t="shared" si="110"/>
        <v>0.10743666668553065</v>
      </c>
      <c r="AG323" s="34">
        <f t="shared" si="111"/>
        <v>6.7905833352197409E-2</v>
      </c>
      <c r="AH323" s="6" t="b">
        <f>AND(W323,I323&gt;=A_t1_fair,((1-A_t1_shrink)*J323+A_t1_shrink*I323)*G323-1&gt;=A_minev,(1-A_t1_shrink)*N323+A_t1_shrink*(I323*G323-1)&gt;0,M_Sims!Q245=1)</f>
        <v>0</v>
      </c>
      <c r="AI323" s="18">
        <f>IF(AH323,M_Sims!R245*A_t1_cap/A_t1_engcap,0)</f>
        <v>0</v>
      </c>
      <c r="AJ323" s="46" t="str">
        <f t="shared" si="112"/>
        <v>-</v>
      </c>
      <c r="AK323" s="7" t="str">
        <f>IF(AH323,M_Sims!S245,"-")</f>
        <v>-</v>
      </c>
      <c r="AL323" s="51">
        <f>M_Sims!M245</f>
        <v>7.0459787284329997E-4</v>
      </c>
      <c r="AM323" s="6" t="str">
        <f t="shared" si="113"/>
        <v>Tier 2</v>
      </c>
    </row>
    <row r="324" spans="1:39" ht="15" customHeight="1" x14ac:dyDescent="0.3">
      <c r="A324" s="6" t="s">
        <v>279</v>
      </c>
      <c r="B324" s="7" t="str">
        <f>Odds_Input!C171</f>
        <v>Houston Rockets</v>
      </c>
      <c r="C324" s="6" t="s">
        <v>207</v>
      </c>
      <c r="D324" s="7" t="str">
        <f>Odds_Input!D171</f>
        <v>UNDER</v>
      </c>
      <c r="E324" s="31">
        <f>Odds_Input!E171</f>
        <v>47.5</v>
      </c>
      <c r="F324" s="32">
        <f>Odds_Input!F171</f>
        <v>140</v>
      </c>
      <c r="G324" s="36">
        <f>M_DeVig!H171</f>
        <v>2.4</v>
      </c>
      <c r="H324" s="7" t="str">
        <f>Odds_Input!G171</f>
        <v>-</v>
      </c>
      <c r="I324" s="42">
        <f>M_DeVig!Q171</f>
        <v>0.40064102567530113</v>
      </c>
      <c r="J324" s="42">
        <f>1-SUMPRODUCT((M_Sims!$B$48:$CF$48&gt;E324)*INDEX(M_Sims!$B$49:$CF$78,MATCH($C324,M_Sims!$A$49:$A$78,0),0))</f>
        <v>0.23636000000000024</v>
      </c>
      <c r="K324" s="43">
        <f t="shared" si="101"/>
        <v>323.08343205280039</v>
      </c>
      <c r="L324" s="34">
        <f t="shared" si="102"/>
        <v>-0.43273599999999945</v>
      </c>
      <c r="M324" s="38">
        <f t="shared" si="103"/>
        <v>-16.42810256753009</v>
      </c>
      <c r="N324" s="42">
        <f>M_Sims!B246</f>
        <v>-0.58145599999999997</v>
      </c>
      <c r="O324" s="42">
        <f>M_Sims!C246</f>
        <v>-0.31596800000000008</v>
      </c>
      <c r="P324" s="42">
        <f>M_Sims!D246</f>
        <v>0</v>
      </c>
      <c r="Q324" s="34">
        <f t="shared" si="104"/>
        <v>0.31850051283765068</v>
      </c>
      <c r="R324" s="18" t="str">
        <f t="shared" si="105"/>
        <v>-</v>
      </c>
      <c r="S324" s="46" t="str">
        <f t="shared" si="106"/>
        <v>-</v>
      </c>
      <c r="T324" s="51" t="str">
        <f>IF(A_tier2_on=1,M_Sims!M246,"-")</f>
        <v>-</v>
      </c>
      <c r="U324" s="46" t="str">
        <f>IF(OR(A_bankroll="",A_tier2_on&lt;&gt;1),"-",MIN(A_maxbet,M_Sims!M246*A_bankroll))</f>
        <v>-</v>
      </c>
      <c r="V324" s="30">
        <f>M_Sims!H246</f>
        <v>1</v>
      </c>
      <c r="W324" s="6" t="b">
        <f>AND(H324&lt;&gt;"IMPUTED_20C_LADDER",L324&gt;=A_minev,N324&gt;0,V324=1,IF(A324="PLAYOFFS",A_poconf=1,TRUE),IF(AND(A324="WINS",A_zs_on=1),AND(AE324&gt;=A_minev,M_Sims!O246&gt;0),TRUE),AF324&gt;=A_minev,AG324&gt;0,IF(I324&lt;A_longthr,(1-A_shrink)*M_Sims!K246+A_shrink*(I324*G324-1)&gt;=A_minev,TRUE),IF(AND(OR(A324="WINS",A324="PLAYOFFS",LEFT(A324,4)="DIV_"),INDEX(Raw_Teams!$F$8:$F$37,MATCH($C324,Raw_Teams!$A$8:$A$37,0))&lt;A_contthr),AND(((1-A_contshrink)*J324+A_contshrink*I324)*G324-1&gt;=A_minev,(1-A_contshrink)*N324+A_contshrink*(I324*G324-1)&gt;0),TRUE),M_Sims!P246=0)</f>
        <v>0</v>
      </c>
      <c r="X324" s="6" t="s">
        <v>1318</v>
      </c>
      <c r="Y324" s="6" t="s">
        <v>1324</v>
      </c>
      <c r="Z324" s="6">
        <v>163</v>
      </c>
      <c r="AA324" s="7" t="str">
        <f t="shared" si="107"/>
        <v>OK - sims match current assumptions</v>
      </c>
      <c r="AB324" s="42">
        <f>INDEX(IF(D324="OVER",M_WinDist!$E$8:$E$37,M_WinDist!$F$8:$F$37),MATCH($C324,M_WinDist!$A$8:$A$37,0))</f>
        <v>0.26053700691312964</v>
      </c>
      <c r="AC324" s="34">
        <f t="shared" si="108"/>
        <v>-0.37471118340848886</v>
      </c>
      <c r="AD324" s="42">
        <f>1-(SUMPRODUCT((M_Sims!$B$48:$CF$48&gt;=INT(E324)+1)*INDEX(M_Sims!$B$49:$CF$78,MATCH($C324,M_Sims!$A$49:$A$78,0),0))+A_zs_delta*INDEX(INDEX(M_Sims!$B$49:$CF$78,MATCH($C324,M_Sims!$A$49:$A$78,0),0),1,INT(E324)+2))</f>
        <v>0.22362566666666694</v>
      </c>
      <c r="AE324" s="34">
        <f t="shared" si="109"/>
        <v>-0.46329839999999933</v>
      </c>
      <c r="AF324" s="34">
        <f t="shared" si="110"/>
        <v>-0.2355987691896384</v>
      </c>
      <c r="AG324" s="34">
        <f t="shared" si="111"/>
        <v>-0.30995876918963866</v>
      </c>
      <c r="AH324" s="6" t="b">
        <f>AND(W324,I324&gt;=A_t1_fair,((1-A_t1_shrink)*J324+A_t1_shrink*I324)*G324-1&gt;=A_minev,(1-A_t1_shrink)*N324+A_t1_shrink*(I324*G324-1)&gt;0,M_Sims!Q246=1)</f>
        <v>0</v>
      </c>
      <c r="AI324" s="18">
        <f>IF(AH324,M_Sims!R246*A_t1_cap/A_t1_engcap,0)</f>
        <v>0</v>
      </c>
      <c r="AJ324" s="46" t="str">
        <f t="shared" si="112"/>
        <v>-</v>
      </c>
      <c r="AK324" s="7" t="str">
        <f>IF(AH324,M_Sims!S246,"-")</f>
        <v>-</v>
      </c>
      <c r="AL324" s="51">
        <f>M_Sims!M246</f>
        <v>0</v>
      </c>
      <c r="AM324" s="6" t="str">
        <f t="shared" si="113"/>
        <v>-</v>
      </c>
    </row>
    <row r="325" spans="1:39" ht="15" customHeight="1" x14ac:dyDescent="0.3">
      <c r="A325" s="6" t="s">
        <v>279</v>
      </c>
      <c r="B325" s="7" t="str">
        <f>Odds_Input!C172</f>
        <v>Golden State Warriors</v>
      </c>
      <c r="C325" s="6" t="s">
        <v>206</v>
      </c>
      <c r="D325" s="7" t="str">
        <f>Odds_Input!D172</f>
        <v>OVER</v>
      </c>
      <c r="E325" s="31">
        <f>Odds_Input!E172</f>
        <v>39.5</v>
      </c>
      <c r="F325" s="32">
        <f>Odds_Input!F172</f>
        <v>120</v>
      </c>
      <c r="G325" s="36">
        <f>M_DeVig!H172</f>
        <v>2.2000000000000002</v>
      </c>
      <c r="H325" s="7" t="str">
        <f>Odds_Input!G172</f>
        <v>-</v>
      </c>
      <c r="I325" s="42">
        <f>M_DeVig!Q172</f>
        <v>0.4356060606181606</v>
      </c>
      <c r="J325" s="42">
        <f>SUMPRODUCT((M_Sims!$B$48:$CF$48&gt;E325)*INDEX(M_Sims!$B$49:$CF$78,MATCH($C325,M_Sims!$A$49:$A$78,0),0))</f>
        <v>0.68458999999999992</v>
      </c>
      <c r="K325" s="43">
        <f t="shared" si="101"/>
        <v>-217.0476522621349</v>
      </c>
      <c r="L325" s="34">
        <f t="shared" si="102"/>
        <v>0.50609799999999994</v>
      </c>
      <c r="M325" s="38">
        <f t="shared" si="103"/>
        <v>24.898393938183933</v>
      </c>
      <c r="N325" s="42">
        <f>M_Sims!B247</f>
        <v>0.47353066666666671</v>
      </c>
      <c r="O325" s="42">
        <f>M_Sims!C247</f>
        <v>0.55083866666666648</v>
      </c>
      <c r="P325" s="42">
        <f>M_Sims!D247</f>
        <v>1</v>
      </c>
      <c r="Q325" s="34">
        <f t="shared" si="104"/>
        <v>0.56009803030908023</v>
      </c>
      <c r="R325" s="18" t="str">
        <f t="shared" si="105"/>
        <v>-</v>
      </c>
      <c r="S325" s="46" t="str">
        <f t="shared" si="106"/>
        <v>-</v>
      </c>
      <c r="T325" s="51" t="str">
        <f>IF(A_tier2_on=1,M_Sims!M247,"-")</f>
        <v>-</v>
      </c>
      <c r="U325" s="46" t="str">
        <f>IF(OR(A_bankroll="",A_tier2_on&lt;&gt;1),"-",MIN(A_maxbet,M_Sims!M247*A_bankroll))</f>
        <v>-</v>
      </c>
      <c r="V325" s="30">
        <f>M_Sims!H247</f>
        <v>1</v>
      </c>
      <c r="W325" s="6" t="b">
        <f>AND(H325&lt;&gt;"IMPUTED_20C_LADDER",L325&gt;=A_minev,N325&gt;0,V325=1,IF(A325="PLAYOFFS",A_poconf=1,TRUE),IF(AND(A325="WINS",A_zs_on=1),AND(AE325&gt;=A_minev,M_Sims!O247&gt;0),TRUE),AF325&gt;=A_minev,AG325&gt;0,IF(I325&lt;A_longthr,(1-A_shrink)*M_Sims!K247+A_shrink*(I325*G325-1)&gt;=A_minev,TRUE),IF(AND(OR(A325="WINS",A325="PLAYOFFS",LEFT(A325,4)="DIV_"),INDEX(Raw_Teams!$F$8:$F$37,MATCH($C325,Raw_Teams!$A$8:$A$37,0))&lt;A_contthr),AND(((1-A_contshrink)*J325+A_contshrink*I325)*G325-1&gt;=A_minev,(1-A_contshrink)*N325+A_contshrink*(I325*G325-1)&gt;0),TRUE),M_Sims!P247=0)</f>
        <v>1</v>
      </c>
      <c r="X325" s="6" t="s">
        <v>1319</v>
      </c>
      <c r="Y325" s="6" t="s">
        <v>1324</v>
      </c>
      <c r="Z325" s="6">
        <v>164</v>
      </c>
      <c r="AA325" s="7" t="str">
        <f t="shared" si="107"/>
        <v>OK - sims match current assumptions</v>
      </c>
      <c r="AB325" s="42">
        <f>INDEX(IF(D325="OVER",M_WinDist!$E$8:$E$37,M_WinDist!$F$8:$F$37),MATCH($C325,M_WinDist!$A$8:$A$37,0))</f>
        <v>0.68793034131757536</v>
      </c>
      <c r="AC325" s="34">
        <f t="shared" si="108"/>
        <v>0.51344675089866598</v>
      </c>
      <c r="AD325" s="42">
        <f>(SUMPRODUCT((M_Sims!$B$48:$CF$48&gt;=INT(E325)+1)*INDEX(M_Sims!$B$49:$CF$78,MATCH($C325,M_Sims!$A$49:$A$78,0),0))+A_zs_delta*INDEX(INDEX(M_Sims!$B$49:$CF$78,MATCH($C325,M_Sims!$A$49:$A$78,0),0),1,INT(E325)+2))</f>
        <v>0.69919433333333325</v>
      </c>
      <c r="AE325" s="34">
        <f t="shared" si="109"/>
        <v>0.53822753333333329</v>
      </c>
      <c r="AF325" s="34">
        <f t="shared" si="110"/>
        <v>0.23221566667997662</v>
      </c>
      <c r="AG325" s="34">
        <f t="shared" si="111"/>
        <v>0.21593200001331006</v>
      </c>
      <c r="AH325" s="6" t="b">
        <f>AND(W325,I325&gt;=A_t1_fair,((1-A_t1_shrink)*J325+A_t1_shrink*I325)*G325-1&gt;=A_minev,(1-A_t1_shrink)*N325+A_t1_shrink*(I325*G325-1)&gt;0,M_Sims!Q247=1)</f>
        <v>0</v>
      </c>
      <c r="AI325" s="18">
        <f>IF(AH325,M_Sims!R247*A_t1_cap/A_t1_engcap,0)</f>
        <v>0</v>
      </c>
      <c r="AJ325" s="46" t="str">
        <f t="shared" si="112"/>
        <v>-</v>
      </c>
      <c r="AK325" s="7" t="str">
        <f>IF(AH325,M_Sims!S247,"-")</f>
        <v>-</v>
      </c>
      <c r="AL325" s="51">
        <f>M_Sims!M247</f>
        <v>1.8781710094477901E-2</v>
      </c>
      <c r="AM325" s="6" t="str">
        <f t="shared" si="113"/>
        <v>Tier 2</v>
      </c>
    </row>
    <row r="326" spans="1:39" ht="15" customHeight="1" x14ac:dyDescent="0.3">
      <c r="A326" s="6" t="s">
        <v>279</v>
      </c>
      <c r="B326" s="7" t="str">
        <f>Odds_Input!C173</f>
        <v>Golden State Warriors</v>
      </c>
      <c r="C326" s="6" t="s">
        <v>206</v>
      </c>
      <c r="D326" s="7" t="str">
        <f>Odds_Input!D173</f>
        <v>UNDER</v>
      </c>
      <c r="E326" s="31">
        <f>Odds_Input!E173</f>
        <v>39.5</v>
      </c>
      <c r="F326" s="32">
        <f>Odds_Input!F173</f>
        <v>-140</v>
      </c>
      <c r="G326" s="36">
        <f>M_DeVig!H173</f>
        <v>1.7142857142857144</v>
      </c>
      <c r="H326" s="7" t="str">
        <f>Odds_Input!G173</f>
        <v>-</v>
      </c>
      <c r="I326" s="42">
        <f>M_DeVig!Q173</f>
        <v>0.56439393940337157</v>
      </c>
      <c r="J326" s="42">
        <f>1-SUMPRODUCT((M_Sims!$B$48:$CF$48&gt;E326)*INDEX(M_Sims!$B$49:$CF$78,MATCH($C326,M_Sims!$A$49:$A$78,0),0))</f>
        <v>0.31541000000000008</v>
      </c>
      <c r="K326" s="43">
        <f t="shared" si="101"/>
        <v>217.0476522621349</v>
      </c>
      <c r="L326" s="34">
        <f t="shared" si="102"/>
        <v>-0.45929714285714263</v>
      </c>
      <c r="M326" s="38">
        <f t="shared" si="103"/>
        <v>-24.898393940337151</v>
      </c>
      <c r="N326" s="42">
        <f>M_Sims!B248</f>
        <v>-0.49415999999999982</v>
      </c>
      <c r="O326" s="42">
        <f>M_Sims!C248</f>
        <v>-0.43391999999999981</v>
      </c>
      <c r="P326" s="42">
        <f>M_Sims!D248</f>
        <v>0</v>
      </c>
      <c r="Q326" s="34">
        <f t="shared" si="104"/>
        <v>0.43990196970168582</v>
      </c>
      <c r="R326" s="18" t="str">
        <f t="shared" si="105"/>
        <v>-</v>
      </c>
      <c r="S326" s="46" t="str">
        <f t="shared" si="106"/>
        <v>-</v>
      </c>
      <c r="T326" s="51" t="str">
        <f>IF(A_tier2_on=1,M_Sims!M248,"-")</f>
        <v>-</v>
      </c>
      <c r="U326" s="46" t="str">
        <f>IF(OR(A_bankroll="",A_tier2_on&lt;&gt;1),"-",MIN(A_maxbet,M_Sims!M248*A_bankroll))</f>
        <v>-</v>
      </c>
      <c r="V326" s="30">
        <f>M_Sims!H248</f>
        <v>1</v>
      </c>
      <c r="W326" s="6" t="b">
        <f>AND(H326&lt;&gt;"IMPUTED_20C_LADDER",L326&gt;=A_minev,N326&gt;0,V326=1,IF(A326="PLAYOFFS",A_poconf=1,TRUE),IF(AND(A326="WINS",A_zs_on=1),AND(AE326&gt;=A_minev,M_Sims!O248&gt;0),TRUE),AF326&gt;=A_minev,AG326&gt;0,IF(I326&lt;A_longthr,(1-A_shrink)*M_Sims!K248+A_shrink*(I326*G326-1)&gt;=A_minev,TRUE),IF(AND(OR(A326="WINS",A326="PLAYOFFS",LEFT(A326,4)="DIV_"),INDEX(Raw_Teams!$F$8:$F$37,MATCH($C326,Raw_Teams!$A$8:$A$37,0))&lt;A_contthr),AND(((1-A_contshrink)*J326+A_contshrink*I326)*G326-1&gt;=A_minev,(1-A_contshrink)*N326+A_contshrink*(I326*G326-1)&gt;0),TRUE),M_Sims!P248=0)</f>
        <v>0</v>
      </c>
      <c r="X326" s="6" t="s">
        <v>1319</v>
      </c>
      <c r="Y326" s="6" t="s">
        <v>1324</v>
      </c>
      <c r="Z326" s="6">
        <v>165</v>
      </c>
      <c r="AA326" s="7" t="str">
        <f t="shared" si="107"/>
        <v>OK - sims match current assumptions</v>
      </c>
      <c r="AB326" s="42">
        <f>INDEX(IF(D326="OVER",M_WinDist!$E$8:$E$37,M_WinDist!$F$8:$F$37),MATCH($C326,M_WinDist!$A$8:$A$37,0))</f>
        <v>0.31206965868242464</v>
      </c>
      <c r="AC326" s="34">
        <f t="shared" si="108"/>
        <v>-0.46502344225870063</v>
      </c>
      <c r="AD326" s="42">
        <f>1-(SUMPRODUCT((M_Sims!$B$48:$CF$48&gt;=INT(E326)+1)*INDEX(M_Sims!$B$49:$CF$78,MATCH($C326,M_Sims!$A$49:$A$78,0),0))+A_zs_delta*INDEX(INDEX(M_Sims!$B$49:$CF$78,MATCH($C326,M_Sims!$A$49:$A$78,0),0),1,INT(E326)+2))</f>
        <v>0.30080566666666675</v>
      </c>
      <c r="AE326" s="34">
        <f t="shared" si="109"/>
        <v>-0.48433314285714268</v>
      </c>
      <c r="AF326" s="34">
        <f t="shared" si="110"/>
        <v>-0.24588233765425282</v>
      </c>
      <c r="AG326" s="34">
        <f t="shared" si="111"/>
        <v>-0.26331376622568137</v>
      </c>
      <c r="AH326" s="6" t="b">
        <f>AND(W326,I326&gt;=A_t1_fair,((1-A_t1_shrink)*J326+A_t1_shrink*I326)*G326-1&gt;=A_minev,(1-A_t1_shrink)*N326+A_t1_shrink*(I326*G326-1)&gt;0,M_Sims!Q248=1)</f>
        <v>0</v>
      </c>
      <c r="AI326" s="18">
        <f>IF(AH326,M_Sims!R248*A_t1_cap/A_t1_engcap,0)</f>
        <v>0</v>
      </c>
      <c r="AJ326" s="46" t="str">
        <f t="shared" si="112"/>
        <v>-</v>
      </c>
      <c r="AK326" s="7" t="str">
        <f>IF(AH326,M_Sims!S248,"-")</f>
        <v>-</v>
      </c>
      <c r="AL326" s="51">
        <f>M_Sims!M248</f>
        <v>0</v>
      </c>
      <c r="AM326" s="6" t="str">
        <f t="shared" si="113"/>
        <v>-</v>
      </c>
    </row>
    <row r="327" spans="1:39" ht="15" customHeight="1" x14ac:dyDescent="0.3">
      <c r="A327" s="6" t="s">
        <v>279</v>
      </c>
      <c r="B327" s="7" t="str">
        <f>Odds_Input!C174</f>
        <v>Los Angeles Lakers</v>
      </c>
      <c r="C327" s="6" t="s">
        <v>210</v>
      </c>
      <c r="D327" s="7" t="str">
        <f>Odds_Input!D174</f>
        <v>OVER</v>
      </c>
      <c r="E327" s="31">
        <f>Odds_Input!E174</f>
        <v>45.5</v>
      </c>
      <c r="F327" s="32">
        <f>Odds_Input!F174</f>
        <v>-140</v>
      </c>
      <c r="G327" s="36">
        <f>M_DeVig!H174</f>
        <v>1.7142857142857144</v>
      </c>
      <c r="H327" s="7" t="str">
        <f>Odds_Input!G174</f>
        <v>-</v>
      </c>
      <c r="I327" s="42">
        <f>M_DeVig!Q174</f>
        <v>0.56439393940337157</v>
      </c>
      <c r="J327" s="42">
        <f>SUMPRODUCT((M_Sims!$B$48:$CF$48&gt;E327)*INDEX(M_Sims!$B$49:$CF$78,MATCH($C327,M_Sims!$A$49:$A$78,0),0))</f>
        <v>0.53735000000000011</v>
      </c>
      <c r="K327" s="43">
        <f t="shared" si="101"/>
        <v>-116.146114773587</v>
      </c>
      <c r="L327" s="34">
        <f t="shared" si="102"/>
        <v>-7.8828571428571137E-2</v>
      </c>
      <c r="M327" s="38">
        <f t="shared" si="103"/>
        <v>-2.7043939403371464</v>
      </c>
      <c r="N327" s="42">
        <f>M_Sims!B249</f>
        <v>-0.1618399999999999</v>
      </c>
      <c r="O327" s="42">
        <f>M_Sims!C249</f>
        <v>-2.2822857142856999E-2</v>
      </c>
      <c r="P327" s="42">
        <f>M_Sims!D249</f>
        <v>3.3333333333333298E-2</v>
      </c>
      <c r="Q327" s="34">
        <f t="shared" si="104"/>
        <v>0.55087196970168584</v>
      </c>
      <c r="R327" s="18" t="str">
        <f t="shared" si="105"/>
        <v>-</v>
      </c>
      <c r="S327" s="46" t="str">
        <f t="shared" si="106"/>
        <v>-</v>
      </c>
      <c r="T327" s="51" t="str">
        <f>IF(A_tier2_on=1,M_Sims!M249,"-")</f>
        <v>-</v>
      </c>
      <c r="U327" s="46" t="str">
        <f>IF(OR(A_bankroll="",A_tier2_on&lt;&gt;1),"-",MIN(A_maxbet,M_Sims!M249*A_bankroll))</f>
        <v>-</v>
      </c>
      <c r="V327" s="30">
        <f>M_Sims!H249</f>
        <v>1</v>
      </c>
      <c r="W327" s="6" t="b">
        <f>AND(H327&lt;&gt;"IMPUTED_20C_LADDER",L327&gt;=A_minev,N327&gt;0,V327=1,IF(A327="PLAYOFFS",A_poconf=1,TRUE),IF(AND(A327="WINS",A_zs_on=1),AND(AE327&gt;=A_minev,M_Sims!O249&gt;0),TRUE),AF327&gt;=A_minev,AG327&gt;0,IF(I327&lt;A_longthr,(1-A_shrink)*M_Sims!K249+A_shrink*(I327*G327-1)&gt;=A_minev,TRUE),IF(AND(OR(A327="WINS",A327="PLAYOFFS",LEFT(A327,4)="DIV_"),INDEX(Raw_Teams!$F$8:$F$37,MATCH($C327,Raw_Teams!$A$8:$A$37,0))&lt;A_contthr),AND(((1-A_contshrink)*J327+A_contshrink*I327)*G327-1&gt;=A_minev,(1-A_contshrink)*N327+A_contshrink*(I327*G327-1)&gt;0),TRUE),M_Sims!P249=0)</f>
        <v>0</v>
      </c>
      <c r="X327" s="6" t="s">
        <v>1319</v>
      </c>
      <c r="Y327" s="6" t="s">
        <v>1324</v>
      </c>
      <c r="Z327" s="6">
        <v>166</v>
      </c>
      <c r="AA327" s="7" t="str">
        <f t="shared" si="107"/>
        <v>OK - sims match current assumptions</v>
      </c>
      <c r="AB327" s="42">
        <f>INDEX(IF(D327="OVER",M_WinDist!$E$8:$E$37,M_WinDist!$F$8:$F$37),MATCH($C327,M_WinDist!$A$8:$A$37,0))</f>
        <v>0.52287964409812904</v>
      </c>
      <c r="AC327" s="34">
        <f t="shared" si="108"/>
        <v>-0.10363489583177876</v>
      </c>
      <c r="AD327" s="42">
        <f>(SUMPRODUCT((M_Sims!$B$48:$CF$48&gt;=INT(E327)+1)*INDEX(M_Sims!$B$49:$CF$78,MATCH($C327,M_Sims!$A$49:$A$78,0),0))+A_zs_delta*INDEX(INDEX(M_Sims!$B$49:$CF$78,MATCH($C327,M_Sims!$A$49:$A$78,0),0),1,INT(E327)+2))</f>
        <v>0.55284533333333341</v>
      </c>
      <c r="AE327" s="34">
        <f t="shared" si="109"/>
        <v>-5.2265142857142677E-2</v>
      </c>
      <c r="AF327" s="34">
        <f t="shared" si="110"/>
        <v>-5.5648051939967025E-2</v>
      </c>
      <c r="AG327" s="34">
        <f t="shared" si="111"/>
        <v>-9.7153766225681407E-2</v>
      </c>
      <c r="AH327" s="6" t="b">
        <f>AND(W327,I327&gt;=A_t1_fair,((1-A_t1_shrink)*J327+A_t1_shrink*I327)*G327-1&gt;=A_minev,(1-A_t1_shrink)*N327+A_t1_shrink*(I327*G327-1)&gt;0,M_Sims!Q249=1)</f>
        <v>0</v>
      </c>
      <c r="AI327" s="18">
        <f>IF(AH327,M_Sims!R249*A_t1_cap/A_t1_engcap,0)</f>
        <v>0</v>
      </c>
      <c r="AJ327" s="46" t="str">
        <f t="shared" si="112"/>
        <v>-</v>
      </c>
      <c r="AK327" s="7" t="str">
        <f>IF(AH327,M_Sims!S249,"-")</f>
        <v>-</v>
      </c>
      <c r="AL327" s="51">
        <f>M_Sims!M249</f>
        <v>0</v>
      </c>
      <c r="AM327" s="6" t="str">
        <f t="shared" si="113"/>
        <v>-</v>
      </c>
    </row>
    <row r="328" spans="1:39" ht="15" customHeight="1" x14ac:dyDescent="0.3">
      <c r="A328" s="52" t="s">
        <v>279</v>
      </c>
      <c r="B328" s="53" t="str">
        <f>Odds_Input!C175</f>
        <v>Los Angeles Lakers</v>
      </c>
      <c r="C328" s="52" t="s">
        <v>210</v>
      </c>
      <c r="D328" s="53" t="str">
        <f>Odds_Input!D175</f>
        <v>UNDER</v>
      </c>
      <c r="E328" s="54">
        <f>Odds_Input!E175</f>
        <v>45.5</v>
      </c>
      <c r="F328" s="55">
        <f>Odds_Input!F175</f>
        <v>120</v>
      </c>
      <c r="G328" s="56">
        <f>M_DeVig!H175</f>
        <v>2.2000000000000002</v>
      </c>
      <c r="H328" s="53" t="str">
        <f>Odds_Input!G175</f>
        <v>IMPUTED_20C_LADDER</v>
      </c>
      <c r="I328" s="42">
        <f>M_DeVig!Q175</f>
        <v>0.4356060606181606</v>
      </c>
      <c r="J328" s="42">
        <f>1-SUMPRODUCT((M_Sims!$B$48:$CF$48&gt;E328)*INDEX(M_Sims!$B$49:$CF$78,MATCH($C328,M_Sims!$A$49:$A$78,0),0))</f>
        <v>0.46264999999999989</v>
      </c>
      <c r="K328" s="43">
        <f t="shared" si="101"/>
        <v>116.146114773587</v>
      </c>
      <c r="L328" s="34">
        <f t="shared" si="102"/>
        <v>1.782999999999979E-2</v>
      </c>
      <c r="M328" s="38">
        <f t="shared" si="103"/>
        <v>2.7043939381839301</v>
      </c>
      <c r="N328" s="42">
        <f>M_Sims!B250</f>
        <v>-5.4043999999999898E-2</v>
      </c>
      <c r="O328" s="42">
        <f>M_Sims!C250</f>
        <v>0.12436133333333339</v>
      </c>
      <c r="P328" s="42">
        <f>M_Sims!D250</f>
        <v>0.73333333333333328</v>
      </c>
      <c r="Q328" s="34">
        <f t="shared" si="104"/>
        <v>0.44912803030908022</v>
      </c>
      <c r="R328" s="18" t="str">
        <f t="shared" si="105"/>
        <v>-</v>
      </c>
      <c r="S328" s="46" t="str">
        <f t="shared" si="106"/>
        <v>-</v>
      </c>
      <c r="T328" s="51" t="str">
        <f>IF(A_tier2_on=1,M_Sims!M250,"-")</f>
        <v>-</v>
      </c>
      <c r="U328" s="46" t="str">
        <f>IF(OR(A_bankroll="",A_tier2_on&lt;&gt;1),"-",MIN(A_maxbet,M_Sims!M250*A_bankroll))</f>
        <v>-</v>
      </c>
      <c r="V328" s="30">
        <f>M_Sims!H250</f>
        <v>1</v>
      </c>
      <c r="W328" s="6" t="b">
        <f>AND(H328&lt;&gt;"IMPUTED_20C_LADDER",L328&gt;=A_minev,N328&gt;0,V328=1,IF(A328="PLAYOFFS",A_poconf=1,TRUE),IF(AND(A328="WINS",A_zs_on=1),AND(AE328&gt;=A_minev,M_Sims!O250&gt;0),TRUE),AF328&gt;=A_minev,AG328&gt;0,IF(I328&lt;A_longthr,(1-A_shrink)*M_Sims!K250+A_shrink*(I328*G328-1)&gt;=A_minev,TRUE),IF(AND(OR(A328="WINS",A328="PLAYOFFS",LEFT(A328,4)="DIV_"),INDEX(Raw_Teams!$F$8:$F$37,MATCH($C328,Raw_Teams!$A$8:$A$37,0))&lt;A_contthr),AND(((1-A_contshrink)*J328+A_contshrink*I328)*G328-1&gt;=A_minev,(1-A_contshrink)*N328+A_contshrink*(I328*G328-1)&gt;0),TRUE),M_Sims!P250=0)</f>
        <v>0</v>
      </c>
      <c r="X328" s="6" t="s">
        <v>1319</v>
      </c>
      <c r="Y328" s="6" t="s">
        <v>1324</v>
      </c>
      <c r="Z328" s="6">
        <v>167</v>
      </c>
      <c r="AA328" s="7" t="str">
        <f t="shared" si="107"/>
        <v>OK - sims match current assumptions</v>
      </c>
      <c r="AB328" s="42">
        <f>INDEX(IF(D328="OVER",M_WinDist!$E$8:$E$37,M_WinDist!$F$8:$F$37),MATCH($C328,M_WinDist!$A$8:$A$37,0))</f>
        <v>0.47712035590187096</v>
      </c>
      <c r="AC328" s="34">
        <f t="shared" si="108"/>
        <v>4.966478298411614E-2</v>
      </c>
      <c r="AD328" s="42">
        <f>1-(SUMPRODUCT((M_Sims!$B$48:$CF$48&gt;=INT(E328)+1)*INDEX(M_Sims!$B$49:$CF$78,MATCH($C328,M_Sims!$A$49:$A$78,0),0))+A_zs_delta*INDEX(INDEX(M_Sims!$B$49:$CF$78,MATCH($C328,M_Sims!$A$49:$A$78,0),0),1,INT(E328)+2))</f>
        <v>0.44715466666666659</v>
      </c>
      <c r="AE328" s="34">
        <f t="shared" si="109"/>
        <v>-1.6259733333333415E-2</v>
      </c>
      <c r="AF328" s="34">
        <f t="shared" si="110"/>
        <v>-1.1918333320023455E-2</v>
      </c>
      <c r="AG328" s="34">
        <f t="shared" si="111"/>
        <v>-4.7855333320023244E-2</v>
      </c>
      <c r="AH328" s="6" t="b">
        <f>AND(W328,I328&gt;=A_t1_fair,((1-A_t1_shrink)*J328+A_t1_shrink*I328)*G328-1&gt;=A_minev,(1-A_t1_shrink)*N328+A_t1_shrink*(I328*G328-1)&gt;0,M_Sims!Q250=1)</f>
        <v>0</v>
      </c>
      <c r="AI328" s="18">
        <f>IF(AH328,M_Sims!R250*A_t1_cap/A_t1_engcap,0)</f>
        <v>0</v>
      </c>
      <c r="AJ328" s="46" t="str">
        <f t="shared" si="112"/>
        <v>-</v>
      </c>
      <c r="AK328" s="7" t="str">
        <f>IF(AH328,M_Sims!S250,"-")</f>
        <v>-</v>
      </c>
      <c r="AL328" s="51">
        <f>M_Sims!M250</f>
        <v>0</v>
      </c>
      <c r="AM328" s="6" t="str">
        <f t="shared" si="113"/>
        <v>-</v>
      </c>
    </row>
    <row r="329" spans="1:39" ht="15" customHeight="1" x14ac:dyDescent="0.3">
      <c r="A329" s="6" t="s">
        <v>279</v>
      </c>
      <c r="B329" s="7" t="str">
        <f>Odds_Input!C176</f>
        <v>Phoenix Suns</v>
      </c>
      <c r="C329" s="6" t="s">
        <v>220</v>
      </c>
      <c r="D329" s="7" t="str">
        <f>Odds_Input!D176</f>
        <v>OVER</v>
      </c>
      <c r="E329" s="31">
        <f>Odds_Input!E176</f>
        <v>39.5</v>
      </c>
      <c r="F329" s="32">
        <f>Odds_Input!F176</f>
        <v>-115</v>
      </c>
      <c r="G329" s="36">
        <f>M_DeVig!H176</f>
        <v>1.8695652173913042</v>
      </c>
      <c r="H329" s="7" t="str">
        <f>Odds_Input!G176</f>
        <v>-</v>
      </c>
      <c r="I329" s="42">
        <f>M_DeVig!Q176</f>
        <v>0.51134429948849391</v>
      </c>
      <c r="J329" s="42">
        <f>SUMPRODUCT((M_Sims!$B$48:$CF$48&gt;E329)*INDEX(M_Sims!$B$49:$CF$78,MATCH($C329,M_Sims!$A$49:$A$78,0),0))</f>
        <v>0.50143000000000004</v>
      </c>
      <c r="K329" s="43">
        <f t="shared" si="101"/>
        <v>-100.57364061215075</v>
      </c>
      <c r="L329" s="34">
        <f t="shared" si="102"/>
        <v>-6.2543913043478283E-2</v>
      </c>
      <c r="M329" s="38">
        <f t="shared" si="103"/>
        <v>-0.99142994884938718</v>
      </c>
      <c r="N329" s="42">
        <f>M_Sims!B251</f>
        <v>-0.13911507246376811</v>
      </c>
      <c r="O329" s="42">
        <f>M_Sims!C251</f>
        <v>4.3915362318840502E-2</v>
      </c>
      <c r="P329" s="42">
        <f>M_Sims!D251</f>
        <v>0.35</v>
      </c>
      <c r="Q329" s="34">
        <f t="shared" si="104"/>
        <v>0.50638714974424692</v>
      </c>
      <c r="R329" s="18" t="str">
        <f t="shared" si="105"/>
        <v>-</v>
      </c>
      <c r="S329" s="46" t="str">
        <f t="shared" si="106"/>
        <v>-</v>
      </c>
      <c r="T329" s="51" t="str">
        <f>IF(A_tier2_on=1,M_Sims!M251,"-")</f>
        <v>-</v>
      </c>
      <c r="U329" s="46" t="str">
        <f>IF(OR(A_bankroll="",A_tier2_on&lt;&gt;1),"-",MIN(A_maxbet,M_Sims!M251*A_bankroll))</f>
        <v>-</v>
      </c>
      <c r="V329" s="30">
        <f>M_Sims!H251</f>
        <v>1</v>
      </c>
      <c r="W329" s="6" t="b">
        <f>AND(H329&lt;&gt;"IMPUTED_20C_LADDER",L329&gt;=A_minev,N329&gt;0,V329=1,IF(A329="PLAYOFFS",A_poconf=1,TRUE),IF(AND(A329="WINS",A_zs_on=1),AND(AE329&gt;=A_minev,M_Sims!O251&gt;0),TRUE),AF329&gt;=A_minev,AG329&gt;0,IF(I329&lt;A_longthr,(1-A_shrink)*M_Sims!K251+A_shrink*(I329*G329-1)&gt;=A_minev,TRUE),IF(AND(OR(A329="WINS",A329="PLAYOFFS",LEFT(A329,4)="DIV_"),INDEX(Raw_Teams!$F$8:$F$37,MATCH($C329,Raw_Teams!$A$8:$A$37,0))&lt;A_contthr),AND(((1-A_contshrink)*J329+A_contshrink*I329)*G329-1&gt;=A_minev,(1-A_contshrink)*N329+A_contshrink*(I329*G329-1)&gt;0),TRUE),M_Sims!P251=0)</f>
        <v>0</v>
      </c>
      <c r="X329" s="6" t="s">
        <v>1319</v>
      </c>
      <c r="Y329" s="6" t="s">
        <v>1324</v>
      </c>
      <c r="Z329" s="6">
        <v>168</v>
      </c>
      <c r="AA329" s="7" t="str">
        <f t="shared" si="107"/>
        <v>OK - sims match current assumptions</v>
      </c>
      <c r="AB329" s="42">
        <f>INDEX(IF(D329="OVER",M_WinDist!$E$8:$E$37,M_WinDist!$F$8:$F$37),MATCH($C329,M_WinDist!$A$8:$A$37,0))</f>
        <v>0.50168103130029507</v>
      </c>
      <c r="AC329" s="34">
        <f t="shared" si="108"/>
        <v>-6.2074593655970123E-2</v>
      </c>
      <c r="AD329" s="42">
        <f>(SUMPRODUCT((M_Sims!$B$48:$CF$48&gt;=INT(E329)+1)*INDEX(M_Sims!$B$49:$CF$78,MATCH($C329,M_Sims!$A$49:$A$78,0),0))+A_zs_delta*INDEX(INDEX(M_Sims!$B$49:$CF$78,MATCH($C329,M_Sims!$A$49:$A$78,0),0),1,INT(E329)+2))</f>
        <v>0.51701333333333332</v>
      </c>
      <c r="AE329" s="34">
        <f t="shared" si="109"/>
        <v>-3.3409855072463857E-2</v>
      </c>
      <c r="AF329" s="34">
        <f t="shared" si="110"/>
        <v>-5.3276198304234135E-2</v>
      </c>
      <c r="AG329" s="34">
        <f t="shared" si="111"/>
        <v>-9.1561778014378883E-2</v>
      </c>
      <c r="AH329" s="6" t="b">
        <f>AND(W329,I329&gt;=A_t1_fair,((1-A_t1_shrink)*J329+A_t1_shrink*I329)*G329-1&gt;=A_minev,(1-A_t1_shrink)*N329+A_t1_shrink*(I329*G329-1)&gt;0,M_Sims!Q251=1)</f>
        <v>0</v>
      </c>
      <c r="AI329" s="18">
        <f>IF(AH329,M_Sims!R251*A_t1_cap/A_t1_engcap,0)</f>
        <v>0</v>
      </c>
      <c r="AJ329" s="46" t="str">
        <f t="shared" si="112"/>
        <v>-</v>
      </c>
      <c r="AK329" s="7" t="str">
        <f>IF(AH329,M_Sims!S251,"-")</f>
        <v>-</v>
      </c>
      <c r="AL329" s="51">
        <f>M_Sims!M251</f>
        <v>0</v>
      </c>
      <c r="AM329" s="6" t="str">
        <f t="shared" si="113"/>
        <v>-</v>
      </c>
    </row>
    <row r="330" spans="1:39" ht="15" customHeight="1" x14ac:dyDescent="0.3">
      <c r="A330" s="6" t="s">
        <v>279</v>
      </c>
      <c r="B330" s="7" t="str">
        <f>Odds_Input!C177</f>
        <v>Phoenix Suns</v>
      </c>
      <c r="C330" s="6" t="s">
        <v>220</v>
      </c>
      <c r="D330" s="7" t="str">
        <f>Odds_Input!D177</f>
        <v>UNDER</v>
      </c>
      <c r="E330" s="31">
        <f>Odds_Input!E177</f>
        <v>39.5</v>
      </c>
      <c r="F330" s="32">
        <f>Odds_Input!F177</f>
        <v>-105</v>
      </c>
      <c r="G330" s="36">
        <f>M_DeVig!H177</f>
        <v>1.9523809523809523</v>
      </c>
      <c r="H330" s="7" t="str">
        <f>Odds_Input!G177</f>
        <v>-</v>
      </c>
      <c r="I330" s="42">
        <f>M_DeVig!Q177</f>
        <v>0.48865570050943602</v>
      </c>
      <c r="J330" s="42">
        <f>1-SUMPRODUCT((M_Sims!$B$48:$CF$48&gt;E330)*INDEX(M_Sims!$B$49:$CF$78,MATCH($C330,M_Sims!$A$49:$A$78,0),0))</f>
        <v>0.49856999999999996</v>
      </c>
      <c r="K330" s="43">
        <f t="shared" si="101"/>
        <v>100.57364061215075</v>
      </c>
      <c r="L330" s="34">
        <f t="shared" si="102"/>
        <v>-2.6601428571428665E-2</v>
      </c>
      <c r="M330" s="38">
        <f t="shared" si="103"/>
        <v>0.99142994905639381</v>
      </c>
      <c r="N330" s="42">
        <f>M_Sims!B252</f>
        <v>-0.137776507936508</v>
      </c>
      <c r="O330" s="42">
        <f>M_Sims!C252</f>
        <v>5.3361587301587202E-2</v>
      </c>
      <c r="P330" s="42">
        <f>M_Sims!D252</f>
        <v>0.26666666666666661</v>
      </c>
      <c r="Q330" s="34">
        <f t="shared" si="104"/>
        <v>0.49361285025471802</v>
      </c>
      <c r="R330" s="18" t="str">
        <f t="shared" si="105"/>
        <v>-</v>
      </c>
      <c r="S330" s="46" t="str">
        <f t="shared" si="106"/>
        <v>-</v>
      </c>
      <c r="T330" s="51" t="str">
        <f>IF(A_tier2_on=1,M_Sims!M252,"-")</f>
        <v>-</v>
      </c>
      <c r="U330" s="46" t="str">
        <f>IF(OR(A_bankroll="",A_tier2_on&lt;&gt;1),"-",MIN(A_maxbet,M_Sims!M252*A_bankroll))</f>
        <v>-</v>
      </c>
      <c r="V330" s="30">
        <f>M_Sims!H252</f>
        <v>1</v>
      </c>
      <c r="W330" s="6" t="b">
        <f>AND(H330&lt;&gt;"IMPUTED_20C_LADDER",L330&gt;=A_minev,N330&gt;0,V330=1,IF(A330="PLAYOFFS",A_poconf=1,TRUE),IF(AND(A330="WINS",A_zs_on=1),AND(AE330&gt;=A_minev,M_Sims!O252&gt;0),TRUE),AF330&gt;=A_minev,AG330&gt;0,IF(I330&lt;A_longthr,(1-A_shrink)*M_Sims!K252+A_shrink*(I330*G330-1)&gt;=A_minev,TRUE),IF(AND(OR(A330="WINS",A330="PLAYOFFS",LEFT(A330,4)="DIV_"),INDEX(Raw_Teams!$F$8:$F$37,MATCH($C330,Raw_Teams!$A$8:$A$37,0))&lt;A_contthr),AND(((1-A_contshrink)*J330+A_contshrink*I330)*G330-1&gt;=A_minev,(1-A_contshrink)*N330+A_contshrink*(I330*G330-1)&gt;0),TRUE),M_Sims!P252=0)</f>
        <v>0</v>
      </c>
      <c r="X330" s="6" t="s">
        <v>1319</v>
      </c>
      <c r="Y330" s="6" t="s">
        <v>1324</v>
      </c>
      <c r="Z330" s="6">
        <v>169</v>
      </c>
      <c r="AA330" s="7" t="str">
        <f t="shared" si="107"/>
        <v>OK - sims match current assumptions</v>
      </c>
      <c r="AB330" s="42">
        <f>INDEX(IF(D330="OVER",M_WinDist!$E$8:$E$37,M_WinDist!$F$8:$F$37),MATCH($C330,M_WinDist!$A$8:$A$37,0))</f>
        <v>0.49831896869970493</v>
      </c>
      <c r="AC330" s="34">
        <f t="shared" si="108"/>
        <v>-2.7091537300576118E-2</v>
      </c>
      <c r="AD330" s="42">
        <f>1-(SUMPRODUCT((M_Sims!$B$48:$CF$48&gt;=INT(E330)+1)*INDEX(M_Sims!$B$49:$CF$78,MATCH($C330,M_Sims!$A$49:$A$78,0),0))+A_zs_delta*INDEX(INDEX(M_Sims!$B$49:$CF$78,MATCH($C330,M_Sims!$A$49:$A$78,0),0),1,INT(E330)+2))</f>
        <v>0.48298666666666668</v>
      </c>
      <c r="AE330" s="34">
        <f t="shared" si="109"/>
        <v>-5.7026031746031713E-2</v>
      </c>
      <c r="AF330" s="34">
        <f t="shared" si="110"/>
        <v>-3.6279673312217264E-2</v>
      </c>
      <c r="AG330" s="34">
        <f t="shared" si="111"/>
        <v>-9.1867212994756933E-2</v>
      </c>
      <c r="AH330" s="6" t="b">
        <f>AND(W330,I330&gt;=A_t1_fair,((1-A_t1_shrink)*J330+A_t1_shrink*I330)*G330-1&gt;=A_minev,(1-A_t1_shrink)*N330+A_t1_shrink*(I330*G330-1)&gt;0,M_Sims!Q252=1)</f>
        <v>0</v>
      </c>
      <c r="AI330" s="18">
        <f>IF(AH330,M_Sims!R252*A_t1_cap/A_t1_engcap,0)</f>
        <v>0</v>
      </c>
      <c r="AJ330" s="46" t="str">
        <f t="shared" si="112"/>
        <v>-</v>
      </c>
      <c r="AK330" s="7" t="str">
        <f>IF(AH330,M_Sims!S252,"-")</f>
        <v>-</v>
      </c>
      <c r="AL330" s="51">
        <f>M_Sims!M252</f>
        <v>0</v>
      </c>
      <c r="AM330" s="6" t="str">
        <f t="shared" si="113"/>
        <v>-</v>
      </c>
    </row>
    <row r="331" spans="1:39" ht="15" customHeight="1" x14ac:dyDescent="0.3">
      <c r="A331" s="6" t="s">
        <v>279</v>
      </c>
      <c r="B331" s="7" t="str">
        <f>Odds_Input!C178</f>
        <v>Portland Trail Blazers</v>
      </c>
      <c r="C331" s="6" t="s">
        <v>221</v>
      </c>
      <c r="D331" s="7" t="str">
        <f>Odds_Input!D178</f>
        <v>OVER</v>
      </c>
      <c r="E331" s="31">
        <f>Odds_Input!E178</f>
        <v>42.5</v>
      </c>
      <c r="F331" s="32">
        <f>Odds_Input!F178</f>
        <v>115</v>
      </c>
      <c r="G331" s="36">
        <f>M_DeVig!H178</f>
        <v>2.15</v>
      </c>
      <c r="H331" s="7" t="str">
        <f>Odds_Input!G178</f>
        <v>-</v>
      </c>
      <c r="I331" s="42">
        <f>M_DeVig!Q178</f>
        <v>0.44532409697922487</v>
      </c>
      <c r="J331" s="42">
        <f>SUMPRODUCT((M_Sims!$B$48:$CF$48&gt;E331)*INDEX(M_Sims!$B$49:$CF$78,MATCH($C331,M_Sims!$A$49:$A$78,0),0))</f>
        <v>0.64047000000000009</v>
      </c>
      <c r="K331" s="43">
        <f t="shared" si="101"/>
        <v>-178.14090618307242</v>
      </c>
      <c r="L331" s="34">
        <f t="shared" si="102"/>
        <v>0.37701050000000014</v>
      </c>
      <c r="M331" s="38">
        <f t="shared" si="103"/>
        <v>19.514590302077522</v>
      </c>
      <c r="N331" s="42">
        <f>M_Sims!B253</f>
        <v>0.29280933333333309</v>
      </c>
      <c r="O331" s="42">
        <f>M_Sims!C253</f>
        <v>0.45024666666666679</v>
      </c>
      <c r="P331" s="42">
        <f>M_Sims!D253</f>
        <v>1</v>
      </c>
      <c r="Q331" s="34">
        <f t="shared" si="104"/>
        <v>0.54289704848961251</v>
      </c>
      <c r="R331" s="18" t="str">
        <f t="shared" si="105"/>
        <v>-</v>
      </c>
      <c r="S331" s="46" t="str">
        <f t="shared" si="106"/>
        <v>-</v>
      </c>
      <c r="T331" s="51" t="str">
        <f>IF(A_tier2_on=1,M_Sims!M253,"-")</f>
        <v>-</v>
      </c>
      <c r="U331" s="46" t="str">
        <f>IF(OR(A_bankroll="",A_tier2_on&lt;&gt;1),"-",MIN(A_maxbet,M_Sims!M253*A_bankroll))</f>
        <v>-</v>
      </c>
      <c r="V331" s="30">
        <f>M_Sims!H253</f>
        <v>1</v>
      </c>
      <c r="W331" s="6" t="b">
        <f>AND(H331&lt;&gt;"IMPUTED_20C_LADDER",L331&gt;=A_minev,N331&gt;0,V331=1,IF(A331="PLAYOFFS",A_poconf=1,TRUE),IF(AND(A331="WINS",A_zs_on=1),AND(AE331&gt;=A_minev,M_Sims!O253&gt;0),TRUE),AF331&gt;=A_minev,AG331&gt;0,IF(I331&lt;A_longthr,(1-A_shrink)*M_Sims!K253+A_shrink*(I331*G331-1)&gt;=A_minev,TRUE),IF(AND(OR(A331="WINS",A331="PLAYOFFS",LEFT(A331,4)="DIV_"),INDEX(Raw_Teams!$F$8:$F$37,MATCH($C331,Raw_Teams!$A$8:$A$37,0))&lt;A_contthr),AND(((1-A_contshrink)*J331+A_contshrink*I331)*G331-1&gt;=A_minev,(1-A_contshrink)*N331+A_contshrink*(I331*G331-1)&gt;0),TRUE),M_Sims!P253=0)</f>
        <v>1</v>
      </c>
      <c r="X331" s="6" t="s">
        <v>1319</v>
      </c>
      <c r="Y331" s="6" t="s">
        <v>1324</v>
      </c>
      <c r="Z331" s="6">
        <v>170</v>
      </c>
      <c r="AA331" s="7" t="str">
        <f t="shared" si="107"/>
        <v>OK - sims match current assumptions</v>
      </c>
      <c r="AB331" s="42">
        <f>INDEX(IF(D331="OVER",M_WinDist!$E$8:$E$37,M_WinDist!$F$8:$F$37),MATCH($C331,M_WinDist!$A$8:$A$37,0))</f>
        <v>0.6290056784859982</v>
      </c>
      <c r="AC331" s="34">
        <f t="shared" si="108"/>
        <v>0.3523622087448961</v>
      </c>
      <c r="AD331" s="42">
        <f>(SUMPRODUCT((M_Sims!$B$48:$CF$48&gt;=INT(E331)+1)*INDEX(M_Sims!$B$49:$CF$78,MATCH($C331,M_Sims!$A$49:$A$78,0),0))+A_zs_delta*INDEX(INDEX(M_Sims!$B$49:$CF$78,MATCH($C331,M_Sims!$A$49:$A$78,0),0),1,INT(E331)+2))</f>
        <v>0.65614500000000009</v>
      </c>
      <c r="AE331" s="34">
        <f t="shared" si="109"/>
        <v>0.41071175000000015</v>
      </c>
      <c r="AF331" s="34">
        <f t="shared" si="110"/>
        <v>0.16722865425266686</v>
      </c>
      <c r="AG331" s="34">
        <f t="shared" si="111"/>
        <v>0.12512807091933328</v>
      </c>
      <c r="AH331" s="6" t="b">
        <f>AND(W331,I331&gt;=A_t1_fair,((1-A_t1_shrink)*J331+A_t1_shrink*I331)*G331-1&gt;=A_minev,(1-A_t1_shrink)*N331+A_t1_shrink*(I331*G331-1)&gt;0,M_Sims!Q253=1)</f>
        <v>0</v>
      </c>
      <c r="AI331" s="18">
        <f>IF(AH331,M_Sims!R253*A_t1_cap/A_t1_engcap,0)</f>
        <v>0</v>
      </c>
      <c r="AJ331" s="46" t="str">
        <f t="shared" si="112"/>
        <v>-</v>
      </c>
      <c r="AK331" s="7" t="str">
        <f>IF(AH331,M_Sims!S253,"-")</f>
        <v>-</v>
      </c>
      <c r="AL331" s="51">
        <f>M_Sims!M253</f>
        <v>4.5272494425428996E-3</v>
      </c>
      <c r="AM331" s="6" t="str">
        <f t="shared" si="113"/>
        <v>Tier 2</v>
      </c>
    </row>
    <row r="332" spans="1:39" ht="15" customHeight="1" x14ac:dyDescent="0.3">
      <c r="A332" s="6" t="s">
        <v>279</v>
      </c>
      <c r="B332" s="7" t="str">
        <f>Odds_Input!C179</f>
        <v>Portland Trail Blazers</v>
      </c>
      <c r="C332" s="6" t="s">
        <v>221</v>
      </c>
      <c r="D332" s="7" t="str">
        <f>Odds_Input!D179</f>
        <v>UNDER</v>
      </c>
      <c r="E332" s="31">
        <f>Odds_Input!E179</f>
        <v>42.5</v>
      </c>
      <c r="F332" s="32">
        <f>Odds_Input!F179</f>
        <v>-135</v>
      </c>
      <c r="G332" s="36">
        <f>M_DeVig!H179</f>
        <v>1.7407407407407407</v>
      </c>
      <c r="H332" s="7" t="str">
        <f>Odds_Input!G179</f>
        <v>-</v>
      </c>
      <c r="I332" s="42">
        <f>M_DeVig!Q179</f>
        <v>0.55467590301630942</v>
      </c>
      <c r="J332" s="42">
        <f>1-SUMPRODUCT((M_Sims!$B$48:$CF$48&gt;E332)*INDEX(M_Sims!$B$49:$CF$78,MATCH($C332,M_Sims!$A$49:$A$78,0),0))</f>
        <v>0.35952999999999991</v>
      </c>
      <c r="K332" s="43">
        <f t="shared" si="101"/>
        <v>178.14090618307242</v>
      </c>
      <c r="L332" s="34">
        <f t="shared" si="102"/>
        <v>-0.3741514814814817</v>
      </c>
      <c r="M332" s="38">
        <f t="shared" si="103"/>
        <v>-19.514590301630953</v>
      </c>
      <c r="N332" s="42">
        <f>M_Sims!B254</f>
        <v>-0.43344691358024712</v>
      </c>
      <c r="O332" s="42">
        <f>M_Sims!C254</f>
        <v>-0.30597827160493818</v>
      </c>
      <c r="P332" s="42">
        <f>M_Sims!D254</f>
        <v>0</v>
      </c>
      <c r="Q332" s="34">
        <f t="shared" si="104"/>
        <v>0.45710295150815466</v>
      </c>
      <c r="R332" s="18" t="str">
        <f t="shared" si="105"/>
        <v>-</v>
      </c>
      <c r="S332" s="46" t="str">
        <f t="shared" si="106"/>
        <v>-</v>
      </c>
      <c r="T332" s="51" t="str">
        <f>IF(A_tier2_on=1,M_Sims!M254,"-")</f>
        <v>-</v>
      </c>
      <c r="U332" s="46" t="str">
        <f>IF(OR(A_bankroll="",A_tier2_on&lt;&gt;1),"-",MIN(A_maxbet,M_Sims!M254*A_bankroll))</f>
        <v>-</v>
      </c>
      <c r="V332" s="30">
        <f>M_Sims!H254</f>
        <v>1</v>
      </c>
      <c r="W332" s="6" t="b">
        <f>AND(H332&lt;&gt;"IMPUTED_20C_LADDER",L332&gt;=A_minev,N332&gt;0,V332=1,IF(A332="PLAYOFFS",A_poconf=1,TRUE),IF(AND(A332="WINS",A_zs_on=1),AND(AE332&gt;=A_minev,M_Sims!O254&gt;0),TRUE),AF332&gt;=A_minev,AG332&gt;0,IF(I332&lt;A_longthr,(1-A_shrink)*M_Sims!K254+A_shrink*(I332*G332-1)&gt;=A_minev,TRUE),IF(AND(OR(A332="WINS",A332="PLAYOFFS",LEFT(A332,4)="DIV_"),INDEX(Raw_Teams!$F$8:$F$37,MATCH($C332,Raw_Teams!$A$8:$A$37,0))&lt;A_contthr),AND(((1-A_contshrink)*J332+A_contshrink*I332)*G332-1&gt;=A_minev,(1-A_contshrink)*N332+A_contshrink*(I332*G332-1)&gt;0),TRUE),M_Sims!P254=0)</f>
        <v>0</v>
      </c>
      <c r="X332" s="6" t="s">
        <v>1319</v>
      </c>
      <c r="Y332" s="6" t="s">
        <v>1324</v>
      </c>
      <c r="Z332" s="6">
        <v>171</v>
      </c>
      <c r="AA332" s="7" t="str">
        <f t="shared" si="107"/>
        <v>OK - sims match current assumptions</v>
      </c>
      <c r="AB332" s="42">
        <f>INDEX(IF(D332="OVER",M_WinDist!$E$8:$E$37,M_WinDist!$F$8:$F$37),MATCH($C332,M_WinDist!$A$8:$A$37,0))</f>
        <v>0.3709943215140018</v>
      </c>
      <c r="AC332" s="34">
        <f t="shared" si="108"/>
        <v>-0.35419506995710803</v>
      </c>
      <c r="AD332" s="42">
        <f>1-(SUMPRODUCT((M_Sims!$B$48:$CF$48&gt;=INT(E332)+1)*INDEX(M_Sims!$B$49:$CF$78,MATCH($C332,M_Sims!$A$49:$A$78,0),0))+A_zs_delta*INDEX(INDEX(M_Sims!$B$49:$CF$78,MATCH($C332,M_Sims!$A$49:$A$78,0),0),1,INT(E332)+2))</f>
        <v>0.34385499999999991</v>
      </c>
      <c r="AE332" s="34">
        <f t="shared" si="109"/>
        <v>-0.40143759259259271</v>
      </c>
      <c r="AF332" s="34">
        <f t="shared" si="110"/>
        <v>-0.204302269596916</v>
      </c>
      <c r="AG332" s="34">
        <f t="shared" si="111"/>
        <v>-0.23394998564629871</v>
      </c>
      <c r="AH332" s="6" t="b">
        <f>AND(W332,I332&gt;=A_t1_fair,((1-A_t1_shrink)*J332+A_t1_shrink*I332)*G332-1&gt;=A_minev,(1-A_t1_shrink)*N332+A_t1_shrink*(I332*G332-1)&gt;0,M_Sims!Q254=1)</f>
        <v>0</v>
      </c>
      <c r="AI332" s="18">
        <f>IF(AH332,M_Sims!R254*A_t1_cap/A_t1_engcap,0)</f>
        <v>0</v>
      </c>
      <c r="AJ332" s="46" t="str">
        <f t="shared" si="112"/>
        <v>-</v>
      </c>
      <c r="AK332" s="7" t="str">
        <f>IF(AH332,M_Sims!S254,"-")</f>
        <v>-</v>
      </c>
      <c r="AL332" s="51">
        <f>M_Sims!M254</f>
        <v>0</v>
      </c>
      <c r="AM332" s="6" t="str">
        <f t="shared" si="113"/>
        <v>-</v>
      </c>
    </row>
    <row r="333" spans="1:39" ht="15" customHeight="1" x14ac:dyDescent="0.3">
      <c r="A333" s="6" t="s">
        <v>279</v>
      </c>
      <c r="B333" s="7" t="str">
        <f>Odds_Input!C180</f>
        <v>Los Angeles Clippers</v>
      </c>
      <c r="C333" s="6" t="s">
        <v>209</v>
      </c>
      <c r="D333" s="7" t="str">
        <f>Odds_Input!D180</f>
        <v>OVER</v>
      </c>
      <c r="E333" s="31">
        <f>Odds_Input!E180</f>
        <v>29.5</v>
      </c>
      <c r="F333" s="32">
        <f>Odds_Input!F180</f>
        <v>135</v>
      </c>
      <c r="G333" s="36">
        <f>M_DeVig!H180</f>
        <v>2.35</v>
      </c>
      <c r="H333" s="7" t="str">
        <f>Odds_Input!G180</f>
        <v>-</v>
      </c>
      <c r="I333" s="42">
        <f>M_DeVig!Q180</f>
        <v>0.40884438880822638</v>
      </c>
      <c r="J333" s="42">
        <f>SUMPRODUCT((M_Sims!$B$48:$CF$48&gt;E333)*INDEX(M_Sims!$B$49:$CF$78,MATCH($C333,M_Sims!$A$49:$A$78,0),0))</f>
        <v>0.55194999999999983</v>
      </c>
      <c r="K333" s="43">
        <f t="shared" si="101"/>
        <v>-123.18937618569349</v>
      </c>
      <c r="L333" s="34">
        <f t="shared" si="102"/>
        <v>0.29708249999999969</v>
      </c>
      <c r="M333" s="38">
        <f t="shared" si="103"/>
        <v>14.310561119177345</v>
      </c>
      <c r="N333" s="42">
        <f>M_Sims!B255</f>
        <v>7.8321000000000002E-2</v>
      </c>
      <c r="O333" s="42">
        <f>M_Sims!C255</f>
        <v>0.53519233333333349</v>
      </c>
      <c r="P333" s="42">
        <f>M_Sims!D255</f>
        <v>0.96666666666666679</v>
      </c>
      <c r="Q333" s="34">
        <f t="shared" si="104"/>
        <v>0.4803971944041131</v>
      </c>
      <c r="R333" s="18" t="str">
        <f t="shared" si="105"/>
        <v>-</v>
      </c>
      <c r="S333" s="46" t="str">
        <f t="shared" si="106"/>
        <v>-</v>
      </c>
      <c r="T333" s="51" t="str">
        <f>IF(A_tier2_on=1,M_Sims!M255,"-")</f>
        <v>-</v>
      </c>
      <c r="U333" s="46" t="str">
        <f>IF(OR(A_bankroll="",A_tier2_on&lt;&gt;1),"-",MIN(A_maxbet,M_Sims!M255*A_bankroll))</f>
        <v>-</v>
      </c>
      <c r="V333" s="30">
        <f>M_Sims!H255</f>
        <v>1</v>
      </c>
      <c r="W333" s="6" t="b">
        <f>AND(H333&lt;&gt;"IMPUTED_20C_LADDER",L333&gt;=A_minev,N333&gt;0,V333=1,IF(A333="PLAYOFFS",A_poconf=1,TRUE),IF(AND(A333="WINS",A_zs_on=1),AND(AE333&gt;=A_minev,M_Sims!O255&gt;0),TRUE),AF333&gt;=A_minev,AG333&gt;0,IF(I333&lt;A_longthr,(1-A_shrink)*M_Sims!K255+A_shrink*(I333*G333-1)&gt;=A_minev,TRUE),IF(AND(OR(A333="WINS",A333="PLAYOFFS",LEFT(A333,4)="DIV_"),INDEX(Raw_Teams!$F$8:$F$37,MATCH($C333,Raw_Teams!$A$8:$A$37,0))&lt;A_contthr),AND(((1-A_contshrink)*J333+A_contshrink*I333)*G333-1&gt;=A_minev,(1-A_contshrink)*N333+A_contshrink*(I333*G333-1)&gt;0),TRUE),M_Sims!P255=0)</f>
        <v>0</v>
      </c>
      <c r="X333" s="6" t="s">
        <v>1320</v>
      </c>
      <c r="Y333" s="6" t="s">
        <v>1324</v>
      </c>
      <c r="Z333" s="6">
        <v>172</v>
      </c>
      <c r="AA333" s="7" t="str">
        <f t="shared" si="107"/>
        <v>OK - sims match current assumptions</v>
      </c>
      <c r="AB333" s="42">
        <f>INDEX(IF(D333="OVER",M_WinDist!$E$8:$E$37,M_WinDist!$F$8:$F$37),MATCH($C333,M_WinDist!$A$8:$A$37,0))</f>
        <v>0.56618652707014649</v>
      </c>
      <c r="AC333" s="34">
        <f t="shared" si="108"/>
        <v>0.33053833861484438</v>
      </c>
      <c r="AD333" s="42">
        <f>(SUMPRODUCT((M_Sims!$B$48:$CF$48&gt;=INT(E333)+1)*INDEX(M_Sims!$B$49:$CF$78,MATCH($C333,M_Sims!$A$49:$A$78,0),0))+A_zs_delta*INDEX(INDEX(M_Sims!$B$49:$CF$78,MATCH($C333,M_Sims!$A$49:$A$78,0),0),1,INT(E333)+2))</f>
        <v>0.56916133333333319</v>
      </c>
      <c r="AE333" s="34">
        <f t="shared" si="109"/>
        <v>0.33752913333333301</v>
      </c>
      <c r="AF333" s="34">
        <f t="shared" si="110"/>
        <v>0.12893340684966592</v>
      </c>
      <c r="AG333" s="34">
        <f t="shared" si="111"/>
        <v>1.955265684966602E-2</v>
      </c>
      <c r="AH333" s="6" t="b">
        <f>AND(W333,I333&gt;=A_t1_fair,((1-A_t1_shrink)*J333+A_t1_shrink*I333)*G333-1&gt;=A_minev,(1-A_t1_shrink)*N333+A_t1_shrink*(I333*G333-1)&gt;0,M_Sims!Q255=1)</f>
        <v>0</v>
      </c>
      <c r="AI333" s="18">
        <f>IF(AH333,M_Sims!R255*A_t1_cap/A_t1_engcap,0)</f>
        <v>0</v>
      </c>
      <c r="AJ333" s="46" t="str">
        <f t="shared" si="112"/>
        <v>-</v>
      </c>
      <c r="AK333" s="7" t="str">
        <f>IF(AH333,M_Sims!S255,"-")</f>
        <v>-</v>
      </c>
      <c r="AL333" s="51">
        <f>M_Sims!M255</f>
        <v>0</v>
      </c>
      <c r="AM333" s="6" t="str">
        <f t="shared" si="113"/>
        <v>-</v>
      </c>
    </row>
    <row r="334" spans="1:39" ht="15" customHeight="1" x14ac:dyDescent="0.3">
      <c r="A334" s="6" t="s">
        <v>279</v>
      </c>
      <c r="B334" s="7" t="str">
        <f>Odds_Input!C181</f>
        <v>Los Angeles Clippers</v>
      </c>
      <c r="C334" s="6" t="s">
        <v>209</v>
      </c>
      <c r="D334" s="7" t="str">
        <f>Odds_Input!D181</f>
        <v>UNDER</v>
      </c>
      <c r="E334" s="31">
        <f>Odds_Input!E181</f>
        <v>29.5</v>
      </c>
      <c r="F334" s="32">
        <f>Odds_Input!F181</f>
        <v>-155</v>
      </c>
      <c r="G334" s="36">
        <f>M_DeVig!H181</f>
        <v>1.6451612903225805</v>
      </c>
      <c r="H334" s="7" t="str">
        <f>Odds_Input!G181</f>
        <v>-</v>
      </c>
      <c r="I334" s="42">
        <f>M_DeVig!Q181</f>
        <v>0.59115561117284665</v>
      </c>
      <c r="J334" s="42">
        <f>1-SUMPRODUCT((M_Sims!$B$48:$CF$48&gt;E334)*INDEX(M_Sims!$B$49:$CF$78,MATCH($C334,M_Sims!$A$49:$A$78,0),0))</f>
        <v>0.44805000000000017</v>
      </c>
      <c r="K334" s="43">
        <f t="shared" si="101"/>
        <v>123.18937618569349</v>
      </c>
      <c r="L334" s="34">
        <f t="shared" si="102"/>
        <v>-0.26288548387096755</v>
      </c>
      <c r="M334" s="38">
        <f t="shared" si="103"/>
        <v>-14.310561117284648</v>
      </c>
      <c r="N334" s="42">
        <f>M_Sims!B256</f>
        <v>-0.42957870967741951</v>
      </c>
      <c r="O334" s="42">
        <f>M_Sims!C256</f>
        <v>-0.10973741935483861</v>
      </c>
      <c r="P334" s="42">
        <f>M_Sims!D256</f>
        <v>1.6666666666666601E-2</v>
      </c>
      <c r="Q334" s="34">
        <f t="shared" si="104"/>
        <v>0.51960280558642347</v>
      </c>
      <c r="R334" s="18" t="str">
        <f t="shared" si="105"/>
        <v>-</v>
      </c>
      <c r="S334" s="46" t="str">
        <f t="shared" si="106"/>
        <v>-</v>
      </c>
      <c r="T334" s="51" t="str">
        <f>IF(A_tier2_on=1,M_Sims!M256,"-")</f>
        <v>-</v>
      </c>
      <c r="U334" s="46" t="str">
        <f>IF(OR(A_bankroll="",A_tier2_on&lt;&gt;1),"-",MIN(A_maxbet,M_Sims!M256*A_bankroll))</f>
        <v>-</v>
      </c>
      <c r="V334" s="30">
        <f>M_Sims!H256</f>
        <v>0</v>
      </c>
      <c r="W334" s="6" t="b">
        <f>AND(H334&lt;&gt;"IMPUTED_20C_LADDER",L334&gt;=A_minev,N334&gt;0,V334=1,IF(A334="PLAYOFFS",A_poconf=1,TRUE),IF(AND(A334="WINS",A_zs_on=1),AND(AE334&gt;=A_minev,M_Sims!O256&gt;0),TRUE),AF334&gt;=A_minev,AG334&gt;0,IF(I334&lt;A_longthr,(1-A_shrink)*M_Sims!K256+A_shrink*(I334*G334-1)&gt;=A_minev,TRUE),IF(AND(OR(A334="WINS",A334="PLAYOFFS",LEFT(A334,4)="DIV_"),INDEX(Raw_Teams!$F$8:$F$37,MATCH($C334,Raw_Teams!$A$8:$A$37,0))&lt;A_contthr),AND(((1-A_contshrink)*J334+A_contshrink*I334)*G334-1&gt;=A_minev,(1-A_contshrink)*N334+A_contshrink*(I334*G334-1)&gt;0),TRUE),M_Sims!P256=0)</f>
        <v>0</v>
      </c>
      <c r="X334" s="6" t="s">
        <v>1320</v>
      </c>
      <c r="Y334" s="6" t="s">
        <v>1324</v>
      </c>
      <c r="Z334" s="6">
        <v>173</v>
      </c>
      <c r="AA334" s="7" t="str">
        <f t="shared" si="107"/>
        <v>OK - sims match current assumptions</v>
      </c>
      <c r="AB334" s="42">
        <f>INDEX(IF(D334="OVER",M_WinDist!$E$8:$E$37,M_WinDist!$F$8:$F$37),MATCH($C334,M_WinDist!$A$8:$A$37,0))</f>
        <v>0.43381347292985351</v>
      </c>
      <c r="AC334" s="34">
        <f t="shared" si="108"/>
        <v>-0.28630686711540232</v>
      </c>
      <c r="AD334" s="42">
        <f>1-(SUMPRODUCT((M_Sims!$B$48:$CF$48&gt;=INT(E334)+1)*INDEX(M_Sims!$B$49:$CF$78,MATCH($C334,M_Sims!$A$49:$A$78,0),0))+A_zs_delta*INDEX(INDEX(M_Sims!$B$49:$CF$78,MATCH($C334,M_Sims!$A$49:$A$78,0),0),1,INT(E334)+2))</f>
        <v>0.43083866666666681</v>
      </c>
      <c r="AE334" s="34">
        <f t="shared" si="109"/>
        <v>-0.29120090322580627</v>
      </c>
      <c r="AF334" s="34">
        <f t="shared" si="110"/>
        <v>-0.14516957790620666</v>
      </c>
      <c r="AG334" s="34">
        <f t="shared" si="111"/>
        <v>-0.2285161908094327</v>
      </c>
      <c r="AH334" s="6" t="b">
        <f>AND(W334,I334&gt;=A_t1_fair,((1-A_t1_shrink)*J334+A_t1_shrink*I334)*G334-1&gt;=A_minev,(1-A_t1_shrink)*N334+A_t1_shrink*(I334*G334-1)&gt;0,M_Sims!Q256=1)</f>
        <v>0</v>
      </c>
      <c r="AI334" s="18">
        <f>IF(AH334,M_Sims!R256*A_t1_cap/A_t1_engcap,0)</f>
        <v>0</v>
      </c>
      <c r="AJ334" s="46" t="str">
        <f t="shared" si="112"/>
        <v>-</v>
      </c>
      <c r="AK334" s="7" t="str">
        <f>IF(AH334,M_Sims!S256,"-")</f>
        <v>-</v>
      </c>
      <c r="AL334" s="51">
        <f>M_Sims!M256</f>
        <v>0</v>
      </c>
      <c r="AM334" s="6" t="str">
        <f t="shared" si="113"/>
        <v>-</v>
      </c>
    </row>
    <row r="335" spans="1:39" ht="15" customHeight="1" x14ac:dyDescent="0.3">
      <c r="A335" s="6" t="s">
        <v>279</v>
      </c>
      <c r="B335" s="7" t="str">
        <f>Odds_Input!C182</f>
        <v>Sacramento Kings</v>
      </c>
      <c r="C335" s="6" t="s">
        <v>222</v>
      </c>
      <c r="D335" s="7" t="str">
        <f>Odds_Input!D182</f>
        <v>OVER</v>
      </c>
      <c r="E335" s="31">
        <f>Odds_Input!E182</f>
        <v>20.5</v>
      </c>
      <c r="F335" s="32">
        <f>Odds_Input!F182</f>
        <v>-135</v>
      </c>
      <c r="G335" s="36">
        <f>M_DeVig!H182</f>
        <v>1.7407407407407407</v>
      </c>
      <c r="H335" s="7" t="str">
        <f>Odds_Input!G182</f>
        <v>-</v>
      </c>
      <c r="I335" s="42">
        <f>M_DeVig!Q182</f>
        <v>0.55467590301630942</v>
      </c>
      <c r="J335" s="42">
        <f>SUMPRODUCT((M_Sims!$B$48:$CF$48&gt;E335)*INDEX(M_Sims!$B$49:$CF$78,MATCH($C335,M_Sims!$A$49:$A$78,0),0))</f>
        <v>0.65226000000000006</v>
      </c>
      <c r="K335" s="43">
        <f t="shared" si="101"/>
        <v>-187.57117386553176</v>
      </c>
      <c r="L335" s="34">
        <f t="shared" si="102"/>
        <v>0.13541555555555562</v>
      </c>
      <c r="M335" s="38">
        <f t="shared" si="103"/>
        <v>9.7584096983690642</v>
      </c>
      <c r="N335" s="42">
        <f>M_Sims!B257</f>
        <v>3.9732839506172603E-2</v>
      </c>
      <c r="O335" s="42">
        <f>M_Sims!C257</f>
        <v>0.23134197530864209</v>
      </c>
      <c r="P335" s="42">
        <f>M_Sims!D257</f>
        <v>0.95</v>
      </c>
      <c r="Q335" s="34">
        <f t="shared" si="104"/>
        <v>0.60346795150815469</v>
      </c>
      <c r="R335" s="18" t="str">
        <f t="shared" si="105"/>
        <v>-</v>
      </c>
      <c r="S335" s="46" t="str">
        <f t="shared" si="106"/>
        <v>-</v>
      </c>
      <c r="T335" s="51" t="str">
        <f>IF(A_tier2_on=1,M_Sims!M257,"-")</f>
        <v>-</v>
      </c>
      <c r="U335" s="46" t="str">
        <f>IF(OR(A_bankroll="",A_tier2_on&lt;&gt;1),"-",MIN(A_maxbet,M_Sims!M257*A_bankroll))</f>
        <v>-</v>
      </c>
      <c r="V335" s="30">
        <f>M_Sims!H257</f>
        <v>1</v>
      </c>
      <c r="W335" s="6" t="b">
        <f>AND(H335&lt;&gt;"IMPUTED_20C_LADDER",L335&gt;=A_minev,N335&gt;0,V335=1,IF(A335="PLAYOFFS",A_poconf=1,TRUE),IF(AND(A335="WINS",A_zs_on=1),AND(AE335&gt;=A_minev,M_Sims!O257&gt;0),TRUE),AF335&gt;=A_minev,AG335&gt;0,IF(I335&lt;A_longthr,(1-A_shrink)*M_Sims!K257+A_shrink*(I335*G335-1)&gt;=A_minev,TRUE),IF(AND(OR(A335="WINS",A335="PLAYOFFS",LEFT(A335,4)="DIV_"),INDEX(Raw_Teams!$F$8:$F$37,MATCH($C335,Raw_Teams!$A$8:$A$37,0))&lt;A_contthr),AND(((1-A_contshrink)*J335+A_contshrink*I335)*G335-1&gt;=A_minev,(1-A_contshrink)*N335+A_contshrink*(I335*G335-1)&gt;0),TRUE),M_Sims!P257=0)</f>
        <v>0</v>
      </c>
      <c r="X335" s="6" t="s">
        <v>1320</v>
      </c>
      <c r="Y335" s="6" t="s">
        <v>1324</v>
      </c>
      <c r="Z335" s="6">
        <v>174</v>
      </c>
      <c r="AA335" s="7" t="str">
        <f t="shared" si="107"/>
        <v>OK - sims match current assumptions</v>
      </c>
      <c r="AB335" s="42">
        <f>INDEX(IF(D335="OVER",M_WinDist!$E$8:$E$37,M_WinDist!$F$8:$F$37),MATCH($C335,M_WinDist!$A$8:$A$37,0))</f>
        <v>0.63275707885405186</v>
      </c>
      <c r="AC335" s="34">
        <f t="shared" si="108"/>
        <v>0.10146602615334954</v>
      </c>
      <c r="AD335" s="42">
        <f>(SUMPRODUCT((M_Sims!$B$48:$CF$48&gt;=INT(E335)+1)*INDEX(M_Sims!$B$49:$CF$78,MATCH($C335,M_Sims!$A$49:$A$78,0),0))+A_zs_delta*INDEX(INDEX(M_Sims!$B$49:$CF$78,MATCH($C335,M_Sims!$A$49:$A$78,0),0),1,INT(E335)+2))</f>
        <v>0.67066300000000001</v>
      </c>
      <c r="AE335" s="34">
        <f t="shared" si="109"/>
        <v>0.16745040740740746</v>
      </c>
      <c r="AF335" s="34">
        <f t="shared" si="110"/>
        <v>5.0481248921602662E-2</v>
      </c>
      <c r="AG335" s="34">
        <f t="shared" si="111"/>
        <v>2.6398908969111519E-3</v>
      </c>
      <c r="AH335" s="6" t="b">
        <f>AND(W335,I335&gt;=A_t1_fair,((1-A_t1_shrink)*J335+A_t1_shrink*I335)*G335-1&gt;=A_minev,(1-A_t1_shrink)*N335+A_t1_shrink*(I335*G335-1)&gt;0,M_Sims!Q257=1)</f>
        <v>0</v>
      </c>
      <c r="AI335" s="18">
        <f>IF(AH335,M_Sims!R257*A_t1_cap/A_t1_engcap,0)</f>
        <v>0</v>
      </c>
      <c r="AJ335" s="46" t="str">
        <f t="shared" si="112"/>
        <v>-</v>
      </c>
      <c r="AK335" s="7" t="str">
        <f>IF(AH335,M_Sims!S257,"-")</f>
        <v>-</v>
      </c>
      <c r="AL335" s="51">
        <f>M_Sims!M257</f>
        <v>0</v>
      </c>
      <c r="AM335" s="6" t="str">
        <f t="shared" si="113"/>
        <v>-</v>
      </c>
    </row>
    <row r="336" spans="1:39" ht="15" customHeight="1" x14ac:dyDescent="0.3">
      <c r="A336" s="6" t="s">
        <v>279</v>
      </c>
      <c r="B336" s="7" t="str">
        <f>Odds_Input!C183</f>
        <v>Sacramento Kings</v>
      </c>
      <c r="C336" s="6" t="s">
        <v>222</v>
      </c>
      <c r="D336" s="7" t="str">
        <f>Odds_Input!D183</f>
        <v>UNDER</v>
      </c>
      <c r="E336" s="31">
        <f>Odds_Input!E183</f>
        <v>20.5</v>
      </c>
      <c r="F336" s="32">
        <f>Odds_Input!F183</f>
        <v>115</v>
      </c>
      <c r="G336" s="36">
        <f>M_DeVig!H183</f>
        <v>2.15</v>
      </c>
      <c r="H336" s="7" t="str">
        <f>Odds_Input!G183</f>
        <v>-</v>
      </c>
      <c r="I336" s="42">
        <f>M_DeVig!Q183</f>
        <v>0.44532409697922487</v>
      </c>
      <c r="J336" s="42">
        <f>1-SUMPRODUCT((M_Sims!$B$48:$CF$48&gt;E336)*INDEX(M_Sims!$B$49:$CF$78,MATCH($C336,M_Sims!$A$49:$A$78,0),0))</f>
        <v>0.34773999999999994</v>
      </c>
      <c r="K336" s="43">
        <f t="shared" si="101"/>
        <v>187.57117386553176</v>
      </c>
      <c r="L336" s="34">
        <f t="shared" si="102"/>
        <v>-0.25235900000000011</v>
      </c>
      <c r="M336" s="38">
        <f t="shared" si="103"/>
        <v>-9.7584096979224935</v>
      </c>
      <c r="N336" s="42">
        <f>M_Sims!B258</f>
        <v>-0.37083833333333349</v>
      </c>
      <c r="O336" s="42">
        <f>M_Sims!C258</f>
        <v>-0.1341806666666665</v>
      </c>
      <c r="P336" s="42">
        <f>M_Sims!D258</f>
        <v>1.6666666666666601E-2</v>
      </c>
      <c r="Q336" s="34">
        <f t="shared" si="104"/>
        <v>0.39653204848961243</v>
      </c>
      <c r="R336" s="18" t="str">
        <f t="shared" si="105"/>
        <v>-</v>
      </c>
      <c r="S336" s="46" t="str">
        <f t="shared" si="106"/>
        <v>-</v>
      </c>
      <c r="T336" s="51" t="str">
        <f>IF(A_tier2_on=1,M_Sims!M258,"-")</f>
        <v>-</v>
      </c>
      <c r="U336" s="46" t="str">
        <f>IF(OR(A_bankroll="",A_tier2_on&lt;&gt;1),"-",MIN(A_maxbet,M_Sims!M258*A_bankroll))</f>
        <v>-</v>
      </c>
      <c r="V336" s="30">
        <f>M_Sims!H258</f>
        <v>0</v>
      </c>
      <c r="W336" s="6" t="b">
        <f>AND(H336&lt;&gt;"IMPUTED_20C_LADDER",L336&gt;=A_minev,N336&gt;0,V336=1,IF(A336="PLAYOFFS",A_poconf=1,TRUE),IF(AND(A336="WINS",A_zs_on=1),AND(AE336&gt;=A_minev,M_Sims!O258&gt;0),TRUE),AF336&gt;=A_minev,AG336&gt;0,IF(I336&lt;A_longthr,(1-A_shrink)*M_Sims!K258+A_shrink*(I336*G336-1)&gt;=A_minev,TRUE),IF(AND(OR(A336="WINS",A336="PLAYOFFS",LEFT(A336,4)="DIV_"),INDEX(Raw_Teams!$F$8:$F$37,MATCH($C336,Raw_Teams!$A$8:$A$37,0))&lt;A_contthr),AND(((1-A_contshrink)*J336+A_contshrink*I336)*G336-1&gt;=A_minev,(1-A_contshrink)*N336+A_contshrink*(I336*G336-1)&gt;0),TRUE),M_Sims!P258=0)</f>
        <v>0</v>
      </c>
      <c r="X336" s="6" t="s">
        <v>1320</v>
      </c>
      <c r="Y336" s="6" t="s">
        <v>1324</v>
      </c>
      <c r="Z336" s="6">
        <v>175</v>
      </c>
      <c r="AA336" s="7" t="str">
        <f t="shared" si="107"/>
        <v>OK - sims match current assumptions</v>
      </c>
      <c r="AB336" s="42">
        <f>INDEX(IF(D336="OVER",M_WinDist!$E$8:$E$37,M_WinDist!$F$8:$F$37),MATCH($C336,M_WinDist!$A$8:$A$37,0))</f>
        <v>0.36724292114594814</v>
      </c>
      <c r="AC336" s="34">
        <f t="shared" si="108"/>
        <v>-0.21042771953621153</v>
      </c>
      <c r="AD336" s="42">
        <f>1-(SUMPRODUCT((M_Sims!$B$48:$CF$48&gt;=INT(E336)+1)*INDEX(M_Sims!$B$49:$CF$78,MATCH($C336,M_Sims!$A$49:$A$78,0),0))+A_zs_delta*INDEX(INDEX(M_Sims!$B$49:$CF$78,MATCH($C336,M_Sims!$A$49:$A$78,0),0),1,INT(E336)+2))</f>
        <v>0.32933699999999999</v>
      </c>
      <c r="AE336" s="34">
        <f t="shared" si="109"/>
        <v>-0.29192545000000003</v>
      </c>
      <c r="AF336" s="34">
        <f t="shared" si="110"/>
        <v>-0.14745609574733332</v>
      </c>
      <c r="AG336" s="34">
        <f t="shared" si="111"/>
        <v>-0.20669576241400001</v>
      </c>
      <c r="AH336" s="6" t="b">
        <f>AND(W336,I336&gt;=A_t1_fair,((1-A_t1_shrink)*J336+A_t1_shrink*I336)*G336-1&gt;=A_minev,(1-A_t1_shrink)*N336+A_t1_shrink*(I336*G336-1)&gt;0,M_Sims!Q258=1)</f>
        <v>0</v>
      </c>
      <c r="AI336" s="18">
        <f>IF(AH336,M_Sims!R258*A_t1_cap/A_t1_engcap,0)</f>
        <v>0</v>
      </c>
      <c r="AJ336" s="46" t="str">
        <f t="shared" si="112"/>
        <v>-</v>
      </c>
      <c r="AK336" s="7" t="str">
        <f>IF(AH336,M_Sims!S258,"-")</f>
        <v>-</v>
      </c>
      <c r="AL336" s="51">
        <f>M_Sims!M258</f>
        <v>0</v>
      </c>
      <c r="AM336" s="6" t="str">
        <f t="shared" si="113"/>
        <v>-</v>
      </c>
    </row>
    <row r="337" spans="1:39" ht="15" customHeight="1" x14ac:dyDescent="0.3">
      <c r="A337" s="6" t="s">
        <v>279</v>
      </c>
      <c r="B337" s="7" t="str">
        <f>Odds_Input!C184</f>
        <v>Cleveland Cavaliers</v>
      </c>
      <c r="C337" s="6" t="s">
        <v>202</v>
      </c>
      <c r="D337" s="7" t="str">
        <f>Odds_Input!D184</f>
        <v>OVER</v>
      </c>
      <c r="E337" s="31">
        <f>Odds_Input!E184</f>
        <v>47.5</v>
      </c>
      <c r="F337" s="32">
        <f>Odds_Input!F184</f>
        <v>-125</v>
      </c>
      <c r="G337" s="36">
        <f>M_DeVig!H184</f>
        <v>1.8</v>
      </c>
      <c r="H337" s="7" t="str">
        <f>Odds_Input!G184</f>
        <v>-</v>
      </c>
      <c r="I337" s="42">
        <f>M_DeVig!Q184</f>
        <v>0.53387533873028026</v>
      </c>
      <c r="J337" s="42">
        <f>SUMPRODUCT((M_Sims!$B$48:$CF$48&gt;E337)*INDEX(M_Sims!$B$49:$CF$78,MATCH($C337,M_Sims!$A$49:$A$78,0),0))</f>
        <v>0.47327999999999987</v>
      </c>
      <c r="K337" s="43">
        <f t="shared" si="101"/>
        <v>111.29141311697099</v>
      </c>
      <c r="L337" s="34">
        <f t="shared" si="102"/>
        <v>-0.14809600000000023</v>
      </c>
      <c r="M337" s="38">
        <f t="shared" si="103"/>
        <v>-6.0595338730280393</v>
      </c>
      <c r="N337" s="42">
        <f>M_Sims!B259</f>
        <v>-0.2346639999999999</v>
      </c>
      <c r="O337" s="42">
        <f>M_Sims!C259</f>
        <v>-9.4047999999999896E-2</v>
      </c>
      <c r="P337" s="42">
        <f>M_Sims!D259</f>
        <v>0</v>
      </c>
      <c r="Q337" s="34">
        <f t="shared" si="104"/>
        <v>0.50357766936514003</v>
      </c>
      <c r="R337" s="18" t="str">
        <f t="shared" si="105"/>
        <v>-</v>
      </c>
      <c r="S337" s="46" t="str">
        <f t="shared" si="106"/>
        <v>-</v>
      </c>
      <c r="T337" s="51" t="str">
        <f>IF(A_tier2_on=1,M_Sims!M259,"-")</f>
        <v>-</v>
      </c>
      <c r="U337" s="46" t="str">
        <f>IF(OR(A_bankroll="",A_tier2_on&lt;&gt;1),"-",MIN(A_maxbet,M_Sims!M259*A_bankroll))</f>
        <v>-</v>
      </c>
      <c r="V337" s="30">
        <f>M_Sims!H259</f>
        <v>1</v>
      </c>
      <c r="W337" s="6" t="b">
        <f>AND(H337&lt;&gt;"IMPUTED_20C_LADDER",L337&gt;=A_minev,N337&gt;0,V337=1,IF(A337="PLAYOFFS",A_poconf=1,TRUE),IF(AND(A337="WINS",A_zs_on=1),AND(AE337&gt;=A_minev,M_Sims!O259&gt;0),TRUE),AF337&gt;=A_minev,AG337&gt;0,IF(I337&lt;A_longthr,(1-A_shrink)*M_Sims!K259+A_shrink*(I337*G337-1)&gt;=A_minev,TRUE),IF(AND(OR(A337="WINS",A337="PLAYOFFS",LEFT(A337,4)="DIV_"),INDEX(Raw_Teams!$F$8:$F$37,MATCH($C337,Raw_Teams!$A$8:$A$37,0))&lt;A_contthr),AND(((1-A_contshrink)*J337+A_contshrink*I337)*G337-1&gt;=A_minev,(1-A_contshrink)*N337+A_contshrink*(I337*G337-1)&gt;0),TRUE),M_Sims!P259=0)</f>
        <v>0</v>
      </c>
      <c r="X337" s="6" t="s">
        <v>1321</v>
      </c>
      <c r="Y337" s="6" t="s">
        <v>1324</v>
      </c>
      <c r="Z337" s="6">
        <v>176</v>
      </c>
      <c r="AA337" s="7" t="str">
        <f t="shared" si="107"/>
        <v>OK - sims match current assumptions</v>
      </c>
      <c r="AB337" s="42">
        <f>INDEX(IF(D337="OVER",M_WinDist!$E$8:$E$37,M_WinDist!$F$8:$F$37),MATCH($C337,M_WinDist!$A$8:$A$37,0))</f>
        <v>0.46077167264682917</v>
      </c>
      <c r="AC337" s="34">
        <f t="shared" si="108"/>
        <v>-0.1706109892357075</v>
      </c>
      <c r="AD337" s="42">
        <f>(SUMPRODUCT((M_Sims!$B$48:$CF$48&gt;=INT(E337)+1)*INDEX(M_Sims!$B$49:$CF$78,MATCH($C337,M_Sims!$A$49:$A$78,0),0))+A_zs_delta*INDEX(INDEX(M_Sims!$B$49:$CF$78,MATCH($C337,M_Sims!$A$49:$A$78,0),0),1,INT(E337)+2))</f>
        <v>0.48911999999999989</v>
      </c>
      <c r="AE337" s="34">
        <f t="shared" si="109"/>
        <v>-0.11958400000000013</v>
      </c>
      <c r="AF337" s="34">
        <f t="shared" si="110"/>
        <v>-9.3560195142747937E-2</v>
      </c>
      <c r="AG337" s="34">
        <f t="shared" si="111"/>
        <v>-0.1368441951427477</v>
      </c>
      <c r="AH337" s="6" t="b">
        <f>AND(W337,I337&gt;=A_t1_fair,((1-A_t1_shrink)*J337+A_t1_shrink*I337)*G337-1&gt;=A_minev,(1-A_t1_shrink)*N337+A_t1_shrink*(I337*G337-1)&gt;0,M_Sims!Q259=1)</f>
        <v>0</v>
      </c>
      <c r="AI337" s="18">
        <f>IF(AH337,M_Sims!R259*A_t1_cap/A_t1_engcap,0)</f>
        <v>0</v>
      </c>
      <c r="AJ337" s="46" t="str">
        <f t="shared" si="112"/>
        <v>-</v>
      </c>
      <c r="AK337" s="7" t="str">
        <f>IF(AH337,M_Sims!S259,"-")</f>
        <v>-</v>
      </c>
      <c r="AL337" s="51">
        <f>M_Sims!M259</f>
        <v>0</v>
      </c>
      <c r="AM337" s="6" t="str">
        <f t="shared" si="113"/>
        <v>-</v>
      </c>
    </row>
    <row r="338" spans="1:39" ht="15" customHeight="1" x14ac:dyDescent="0.3">
      <c r="A338" s="6" t="s">
        <v>279</v>
      </c>
      <c r="B338" s="7" t="str">
        <f>Odds_Input!C185</f>
        <v>Cleveland Cavaliers</v>
      </c>
      <c r="C338" s="6" t="s">
        <v>202</v>
      </c>
      <c r="D338" s="7" t="str">
        <f>Odds_Input!D185</f>
        <v>UNDER</v>
      </c>
      <c r="E338" s="31">
        <f>Odds_Input!E185</f>
        <v>47.5</v>
      </c>
      <c r="F338" s="32">
        <f>Odds_Input!F185</f>
        <v>105</v>
      </c>
      <c r="G338" s="36">
        <f>M_DeVig!H185</f>
        <v>2.0499999999999998</v>
      </c>
      <c r="H338" s="7" t="str">
        <f>Odds_Input!G185</f>
        <v>-</v>
      </c>
      <c r="I338" s="42">
        <f>M_DeVig!Q185</f>
        <v>0.46612466122030238</v>
      </c>
      <c r="J338" s="42">
        <f>1-SUMPRODUCT((M_Sims!$B$48:$CF$48&gt;E338)*INDEX(M_Sims!$B$49:$CF$78,MATCH($C338,M_Sims!$A$49:$A$78,0),0))</f>
        <v>0.52672000000000008</v>
      </c>
      <c r="K338" s="43">
        <f t="shared" si="101"/>
        <v>-111.29141311697097</v>
      </c>
      <c r="L338" s="34">
        <f t="shared" si="102"/>
        <v>7.9776000000000069E-2</v>
      </c>
      <c r="M338" s="38">
        <f t="shared" si="103"/>
        <v>6.0595338779697698</v>
      </c>
      <c r="N338" s="42">
        <f>M_Sims!B260</f>
        <v>1.82213333333331E-2</v>
      </c>
      <c r="O338" s="42">
        <f>M_Sims!C260</f>
        <v>0.17836733333333321</v>
      </c>
      <c r="P338" s="42">
        <f>M_Sims!D260</f>
        <v>0.93333333333333324</v>
      </c>
      <c r="Q338" s="34">
        <f t="shared" si="104"/>
        <v>0.49642233061015123</v>
      </c>
      <c r="R338" s="18" t="str">
        <f t="shared" si="105"/>
        <v>-</v>
      </c>
      <c r="S338" s="46" t="str">
        <f t="shared" si="106"/>
        <v>-</v>
      </c>
      <c r="T338" s="51" t="str">
        <f>IF(A_tier2_on=1,M_Sims!M260,"-")</f>
        <v>-</v>
      </c>
      <c r="U338" s="46" t="str">
        <f>IF(OR(A_bankroll="",A_tier2_on&lt;&gt;1),"-",MIN(A_maxbet,M_Sims!M260*A_bankroll))</f>
        <v>-</v>
      </c>
      <c r="V338" s="30">
        <f>M_Sims!H260</f>
        <v>1</v>
      </c>
      <c r="W338" s="6" t="b">
        <f>AND(H338&lt;&gt;"IMPUTED_20C_LADDER",L338&gt;=A_minev,N338&gt;0,V338=1,IF(A338="PLAYOFFS",A_poconf=1,TRUE),IF(AND(A338="WINS",A_zs_on=1),AND(AE338&gt;=A_minev,M_Sims!O260&gt;0),TRUE),AF338&gt;=A_minev,AG338&gt;0,IF(I338&lt;A_longthr,(1-A_shrink)*M_Sims!K260+A_shrink*(I338*G338-1)&gt;=A_minev,TRUE),IF(AND(OR(A338="WINS",A338="PLAYOFFS",LEFT(A338,4)="DIV_"),INDEX(Raw_Teams!$F$8:$F$37,MATCH($C338,Raw_Teams!$A$8:$A$37,0))&lt;A_contthr),AND(((1-A_contshrink)*J338+A_contshrink*I338)*G338-1&gt;=A_minev,(1-A_contshrink)*N338+A_contshrink*(I338*G338-1)&gt;0),TRUE),M_Sims!P260=0)</f>
        <v>0</v>
      </c>
      <c r="X338" s="6" t="s">
        <v>1321</v>
      </c>
      <c r="Y338" s="6" t="s">
        <v>1324</v>
      </c>
      <c r="Z338" s="6">
        <v>177</v>
      </c>
      <c r="AA338" s="7" t="str">
        <f t="shared" si="107"/>
        <v>OK - sims match current assumptions</v>
      </c>
      <c r="AB338" s="42">
        <f>INDEX(IF(D338="OVER",M_WinDist!$E$8:$E$37,M_WinDist!$F$8:$F$37),MATCH($C338,M_WinDist!$A$8:$A$37,0))</f>
        <v>0.53922832735317083</v>
      </c>
      <c r="AC338" s="34">
        <f t="shared" si="108"/>
        <v>0.10541807107400003</v>
      </c>
      <c r="AD338" s="42">
        <f>1-(SUMPRODUCT((M_Sims!$B$48:$CF$48&gt;=INT(E338)+1)*INDEX(M_Sims!$B$49:$CF$78,MATCH($C338,M_Sims!$A$49:$A$78,0),0))+A_zs_delta*INDEX(INDEX(M_Sims!$B$49:$CF$78,MATCH($C338,M_Sims!$A$49:$A$78,0),0),1,INT(E338)+2))</f>
        <v>0.51088000000000011</v>
      </c>
      <c r="AE338" s="34">
        <f t="shared" si="109"/>
        <v>4.7304000000000235E-2</v>
      </c>
      <c r="AF338" s="34">
        <f t="shared" si="110"/>
        <v>1.7665777750810019E-2</v>
      </c>
      <c r="AG338" s="34">
        <f t="shared" si="111"/>
        <v>-1.3111555582523521E-2</v>
      </c>
      <c r="AH338" s="6" t="b">
        <f>AND(W338,I338&gt;=A_t1_fair,((1-A_t1_shrink)*J338+A_t1_shrink*I338)*G338-1&gt;=A_minev,(1-A_t1_shrink)*N338+A_t1_shrink*(I338*G338-1)&gt;0,M_Sims!Q260=1)</f>
        <v>0</v>
      </c>
      <c r="AI338" s="18">
        <f>IF(AH338,M_Sims!R260*A_t1_cap/A_t1_engcap,0)</f>
        <v>0</v>
      </c>
      <c r="AJ338" s="46" t="str">
        <f t="shared" si="112"/>
        <v>-</v>
      </c>
      <c r="AK338" s="7" t="str">
        <f>IF(AH338,M_Sims!S260,"-")</f>
        <v>-</v>
      </c>
      <c r="AL338" s="51">
        <f>M_Sims!M260</f>
        <v>0</v>
      </c>
      <c r="AM338" s="6" t="str">
        <f t="shared" si="113"/>
        <v>-</v>
      </c>
    </row>
    <row r="339" spans="1:39" ht="15" customHeight="1" x14ac:dyDescent="0.3">
      <c r="A339" s="52" t="s">
        <v>279</v>
      </c>
      <c r="B339" s="53" t="str">
        <f>Odds_Input!C186</f>
        <v>Denver Nuggets</v>
      </c>
      <c r="C339" s="52" t="s">
        <v>204</v>
      </c>
      <c r="D339" s="53" t="str">
        <f>Odds_Input!D186</f>
        <v>OVER</v>
      </c>
      <c r="E339" s="54">
        <f>Odds_Input!E186</f>
        <v>49.5</v>
      </c>
      <c r="F339" s="55">
        <f>Odds_Input!F186</f>
        <v>120</v>
      </c>
      <c r="G339" s="56">
        <f>M_DeVig!H186</f>
        <v>2.2000000000000002</v>
      </c>
      <c r="H339" s="53" t="str">
        <f>Odds_Input!G186</f>
        <v>BACKFILL_PDF_TEXT</v>
      </c>
      <c r="I339" s="42">
        <f>M_DeVig!Q186</f>
        <v>0.4356060606181606</v>
      </c>
      <c r="J339" s="42">
        <f>SUMPRODUCT((M_Sims!$B$48:$CF$48&gt;E339)*INDEX(M_Sims!$B$49:$CF$78,MATCH($C339,M_Sims!$A$49:$A$78,0),0))</f>
        <v>0.42397000000000012</v>
      </c>
      <c r="K339" s="43">
        <f t="shared" si="101"/>
        <v>135.86574521782194</v>
      </c>
      <c r="L339" s="34">
        <f t="shared" si="102"/>
        <v>-6.7265999999999604E-2</v>
      </c>
      <c r="M339" s="38">
        <f t="shared" si="103"/>
        <v>-1.1636060618160471</v>
      </c>
      <c r="N339" s="42">
        <f>M_Sims!B261</f>
        <v>-0.2221533333333332</v>
      </c>
      <c r="O339" s="42">
        <f>M_Sims!C261</f>
        <v>7.1267999999999998E-2</v>
      </c>
      <c r="P339" s="42">
        <f>M_Sims!D261</f>
        <v>0.21666666666666659</v>
      </c>
      <c r="Q339" s="34">
        <f t="shared" si="104"/>
        <v>0.42978803030908036</v>
      </c>
      <c r="R339" s="18" t="str">
        <f t="shared" si="105"/>
        <v>-</v>
      </c>
      <c r="S339" s="46" t="str">
        <f t="shared" si="106"/>
        <v>-</v>
      </c>
      <c r="T339" s="51" t="str">
        <f>IF(A_tier2_on=1,M_Sims!M261,"-")</f>
        <v>-</v>
      </c>
      <c r="U339" s="46" t="str">
        <f>IF(OR(A_bankroll="",A_tier2_on&lt;&gt;1),"-",MIN(A_maxbet,M_Sims!M261*A_bankroll))</f>
        <v>-</v>
      </c>
      <c r="V339" s="30">
        <f>M_Sims!H261</f>
        <v>1</v>
      </c>
      <c r="W339" s="6" t="b">
        <f>AND(H339&lt;&gt;"IMPUTED_20C_LADDER",L339&gt;=A_minev,N339&gt;0,V339=1,IF(A339="PLAYOFFS",A_poconf=1,TRUE),IF(AND(A339="WINS",A_zs_on=1),AND(AE339&gt;=A_minev,M_Sims!O261&gt;0),TRUE),AF339&gt;=A_minev,AG339&gt;0,IF(I339&lt;A_longthr,(1-A_shrink)*M_Sims!K261+A_shrink*(I339*G339-1)&gt;=A_minev,TRUE),IF(AND(OR(A339="WINS",A339="PLAYOFFS",LEFT(A339,4)="DIV_"),INDEX(Raw_Teams!$F$8:$F$37,MATCH($C339,Raw_Teams!$A$8:$A$37,0))&lt;A_contthr),AND(((1-A_contshrink)*J339+A_contshrink*I339)*G339-1&gt;=A_minev,(1-A_contshrink)*N339+A_contshrink*(I339*G339-1)&gt;0),TRUE),M_Sims!P261=0)</f>
        <v>0</v>
      </c>
      <c r="X339" s="6" t="s">
        <v>1322</v>
      </c>
      <c r="Y339" s="6" t="s">
        <v>1324</v>
      </c>
      <c r="Z339" s="6">
        <v>178</v>
      </c>
      <c r="AA339" s="7" t="str">
        <f t="shared" si="107"/>
        <v>OK - sims match current assumptions</v>
      </c>
      <c r="AB339" s="42">
        <f>INDEX(IF(D339="OVER",M_WinDist!$E$8:$E$37,M_WinDist!$F$8:$F$37),MATCH($C339,M_WinDist!$A$8:$A$37,0))</f>
        <v>0.41101741818077187</v>
      </c>
      <c r="AC339" s="34">
        <f t="shared" si="108"/>
        <v>-9.5761680002301786E-2</v>
      </c>
      <c r="AD339" s="42">
        <f>(SUMPRODUCT((M_Sims!$B$48:$CF$48&gt;=INT(E339)+1)*INDEX(M_Sims!$B$49:$CF$78,MATCH($C339,M_Sims!$A$49:$A$78,0),0))+A_zs_delta*INDEX(INDEX(M_Sims!$B$49:$CF$78,MATCH($C339,M_Sims!$A$49:$A$78,0),0),1,INT(E339)+2))</f>
        <v>0.43884200000000012</v>
      </c>
      <c r="AE339" s="34">
        <f t="shared" si="109"/>
        <v>-3.4547599999999679E-2</v>
      </c>
      <c r="AF339" s="34">
        <f t="shared" si="110"/>
        <v>-5.4466333320023153E-2</v>
      </c>
      <c r="AG339" s="34">
        <f t="shared" si="111"/>
        <v>-0.1319099999866899</v>
      </c>
      <c r="AH339" s="6" t="b">
        <f>AND(W339,I339&gt;=A_t1_fair,((1-A_t1_shrink)*J339+A_t1_shrink*I339)*G339-1&gt;=A_minev,(1-A_t1_shrink)*N339+A_t1_shrink*(I339*G339-1)&gt;0,M_Sims!Q261=1)</f>
        <v>0</v>
      </c>
      <c r="AI339" s="18">
        <f>IF(AH339,M_Sims!R261*A_t1_cap/A_t1_engcap,0)</f>
        <v>0</v>
      </c>
      <c r="AJ339" s="46" t="str">
        <f t="shared" si="112"/>
        <v>-</v>
      </c>
      <c r="AK339" s="7" t="str">
        <f>IF(AH339,M_Sims!S261,"-")</f>
        <v>-</v>
      </c>
      <c r="AL339" s="51">
        <f>M_Sims!M261</f>
        <v>0</v>
      </c>
      <c r="AM339" s="6" t="str">
        <f t="shared" si="113"/>
        <v>-</v>
      </c>
    </row>
    <row r="340" spans="1:39" ht="15" customHeight="1" x14ac:dyDescent="0.3">
      <c r="A340" s="6" t="s">
        <v>279</v>
      </c>
      <c r="B340" s="7" t="str">
        <f>Odds_Input!C187</f>
        <v>Denver Nuggets</v>
      </c>
      <c r="C340" s="6" t="s">
        <v>204</v>
      </c>
      <c r="D340" s="7" t="str">
        <f>Odds_Input!D187</f>
        <v>UNDER</v>
      </c>
      <c r="E340" s="31">
        <f>Odds_Input!E187</f>
        <v>49.5</v>
      </c>
      <c r="F340" s="32">
        <f>Odds_Input!F187</f>
        <v>-140</v>
      </c>
      <c r="G340" s="36">
        <f>M_DeVig!H187</f>
        <v>1.7142857142857144</v>
      </c>
      <c r="H340" s="7" t="str">
        <f>Odds_Input!G187</f>
        <v>-</v>
      </c>
      <c r="I340" s="42">
        <f>M_DeVig!Q187</f>
        <v>0.56439393940337157</v>
      </c>
      <c r="J340" s="42">
        <f>1-SUMPRODUCT((M_Sims!$B$48:$CF$48&gt;E340)*INDEX(M_Sims!$B$49:$CF$78,MATCH($C340,M_Sims!$A$49:$A$78,0),0))</f>
        <v>0.57602999999999982</v>
      </c>
      <c r="K340" s="43">
        <f t="shared" si="101"/>
        <v>-135.86574521782191</v>
      </c>
      <c r="L340" s="34">
        <f t="shared" si="102"/>
        <v>-1.2520000000000198E-2</v>
      </c>
      <c r="M340" s="38">
        <f t="shared" si="103"/>
        <v>1.163606059662825</v>
      </c>
      <c r="N340" s="42">
        <f>M_Sims!B262</f>
        <v>-0.1204685714285714</v>
      </c>
      <c r="O340" s="42">
        <f>M_Sims!C262</f>
        <v>0.1081714285714286</v>
      </c>
      <c r="P340" s="42">
        <f>M_Sims!D262</f>
        <v>0.58333333333333337</v>
      </c>
      <c r="Q340" s="34">
        <f t="shared" si="104"/>
        <v>0.57021196970168564</v>
      </c>
      <c r="R340" s="18" t="str">
        <f t="shared" si="105"/>
        <v>-</v>
      </c>
      <c r="S340" s="46" t="str">
        <f t="shared" si="106"/>
        <v>-</v>
      </c>
      <c r="T340" s="51" t="str">
        <f>IF(A_tier2_on=1,M_Sims!M262,"-")</f>
        <v>-</v>
      </c>
      <c r="U340" s="46" t="str">
        <f>IF(OR(A_bankroll="",A_tier2_on&lt;&gt;1),"-",MIN(A_maxbet,M_Sims!M262*A_bankroll))</f>
        <v>-</v>
      </c>
      <c r="V340" s="30">
        <f>M_Sims!H262</f>
        <v>1</v>
      </c>
      <c r="W340" s="6" t="b">
        <f>AND(H340&lt;&gt;"IMPUTED_20C_LADDER",L340&gt;=A_minev,N340&gt;0,V340=1,IF(A340="PLAYOFFS",A_poconf=1,TRUE),IF(AND(A340="WINS",A_zs_on=1),AND(AE340&gt;=A_minev,M_Sims!O262&gt;0),TRUE),AF340&gt;=A_minev,AG340&gt;0,IF(I340&lt;A_longthr,(1-A_shrink)*M_Sims!K262+A_shrink*(I340*G340-1)&gt;=A_minev,TRUE),IF(AND(OR(A340="WINS",A340="PLAYOFFS",LEFT(A340,4)="DIV_"),INDEX(Raw_Teams!$F$8:$F$37,MATCH($C340,Raw_Teams!$A$8:$A$37,0))&lt;A_contthr),AND(((1-A_contshrink)*J340+A_contshrink*I340)*G340-1&gt;=A_minev,(1-A_contshrink)*N340+A_contshrink*(I340*G340-1)&gt;0),TRUE),M_Sims!P262=0)</f>
        <v>0</v>
      </c>
      <c r="X340" s="6" t="s">
        <v>1322</v>
      </c>
      <c r="Y340" s="6" t="s">
        <v>1324</v>
      </c>
      <c r="Z340" s="6">
        <v>179</v>
      </c>
      <c r="AA340" s="7" t="str">
        <f t="shared" si="107"/>
        <v>OK - sims match current assumptions</v>
      </c>
      <c r="AB340" s="42">
        <f>INDEX(IF(D340="OVER",M_WinDist!$E$8:$E$37,M_WinDist!$F$8:$F$37),MATCH($C340,M_WinDist!$A$8:$A$37,0))</f>
        <v>0.58898258181922813</v>
      </c>
      <c r="AC340" s="34">
        <f t="shared" si="108"/>
        <v>9.6844259758197548E-3</v>
      </c>
      <c r="AD340" s="42">
        <f>1-(SUMPRODUCT((M_Sims!$B$48:$CF$48&gt;=INT(E340)+1)*INDEX(M_Sims!$B$49:$CF$78,MATCH($C340,M_Sims!$A$49:$A$78,0),0))+A_zs_delta*INDEX(INDEX(M_Sims!$B$49:$CF$78,MATCH($C340,M_Sims!$A$49:$A$78,0),0),1,INT(E340)+2))</f>
        <v>0.56115799999999982</v>
      </c>
      <c r="AE340" s="34">
        <f t="shared" si="109"/>
        <v>-3.801485714285735E-2</v>
      </c>
      <c r="AF340" s="34">
        <f t="shared" si="110"/>
        <v>-2.2493766225681666E-2</v>
      </c>
      <c r="AG340" s="34">
        <f t="shared" si="111"/>
        <v>-7.6468051939967155E-2</v>
      </c>
      <c r="AH340" s="6" t="b">
        <f>AND(W340,I340&gt;=A_t1_fair,((1-A_t1_shrink)*J340+A_t1_shrink*I340)*G340-1&gt;=A_minev,(1-A_t1_shrink)*N340+A_t1_shrink*(I340*G340-1)&gt;0,M_Sims!Q262=1)</f>
        <v>0</v>
      </c>
      <c r="AI340" s="18">
        <f>IF(AH340,M_Sims!R262*A_t1_cap/A_t1_engcap,0)</f>
        <v>0</v>
      </c>
      <c r="AJ340" s="46" t="str">
        <f t="shared" si="112"/>
        <v>-</v>
      </c>
      <c r="AK340" s="7" t="str">
        <f>IF(AH340,M_Sims!S262,"-")</f>
        <v>-</v>
      </c>
      <c r="AL340" s="51">
        <f>M_Sims!M262</f>
        <v>0</v>
      </c>
      <c r="AM340" s="6" t="str">
        <f t="shared" si="113"/>
        <v>-</v>
      </c>
    </row>
    <row r="341" spans="1:39" ht="15" customHeight="1" x14ac:dyDescent="0.3"/>
    <row r="342" spans="1:39" ht="15" customHeight="1" x14ac:dyDescent="0.3">
      <c r="A342" s="48" t="s">
        <v>293</v>
      </c>
      <c r="B342" s="49" t="s">
        <v>1325</v>
      </c>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row>
    <row r="343" spans="1:39" ht="15" customHeight="1" x14ac:dyDescent="0.3">
      <c r="A343" s="6" t="s">
        <v>293</v>
      </c>
      <c r="B343" s="7" t="str">
        <f>Odds_Input!C302</f>
        <v>Victor Wembanyama</v>
      </c>
      <c r="C343" s="6" t="s">
        <v>33</v>
      </c>
      <c r="D343" s="7" t="str">
        <f>Odds_Input!D302</f>
        <v>YES</v>
      </c>
      <c r="E343" s="31" t="str">
        <f>Odds_Input!E302</f>
        <v>-</v>
      </c>
      <c r="F343" s="32">
        <f>Odds_Input!F302</f>
        <v>200</v>
      </c>
      <c r="G343" s="36">
        <f>M_DeVig!H302</f>
        <v>3</v>
      </c>
      <c r="H343" s="7" t="str">
        <f>Odds_Input!G302</f>
        <v>-</v>
      </c>
      <c r="I343" s="42">
        <f>M_DeVig!Q302</f>
        <v>0.28970243585089955</v>
      </c>
      <c r="J343" s="13" t="s">
        <v>33</v>
      </c>
      <c r="K343" s="43">
        <f t="shared" ref="K343:K370" si="114">IF(I343&gt;=0.5,-100*I343/(1-I343),100*(1-I343)/I343)</f>
        <v>245.18177144864177</v>
      </c>
      <c r="L343" s="13" t="s">
        <v>33</v>
      </c>
      <c r="M343" s="13" t="s">
        <v>33</v>
      </c>
      <c r="N343" s="13" t="s">
        <v>33</v>
      </c>
      <c r="O343" s="13" t="s">
        <v>33</v>
      </c>
      <c r="P343" s="13" t="s">
        <v>33</v>
      </c>
      <c r="Q343" s="13" t="s">
        <v>33</v>
      </c>
      <c r="R343" s="13" t="s">
        <v>33</v>
      </c>
      <c r="S343" s="13" t="s">
        <v>33</v>
      </c>
      <c r="T343" s="13" t="s">
        <v>33</v>
      </c>
      <c r="U343" s="13" t="s">
        <v>33</v>
      </c>
      <c r="V343" s="13" t="s">
        <v>33</v>
      </c>
      <c r="W343" s="6" t="b">
        <v>0</v>
      </c>
      <c r="X343" s="6" t="s">
        <v>1301</v>
      </c>
      <c r="Y343" s="6" t="s">
        <v>1326</v>
      </c>
      <c r="Z343" s="6">
        <v>294</v>
      </c>
      <c r="AA343" s="7" t="str">
        <f t="shared" ref="AA343:AA370" si="115">Sim_Stale</f>
        <v>OK - sims match current assumptions</v>
      </c>
      <c r="AB343" s="13" t="s">
        <v>33</v>
      </c>
      <c r="AC343" s="13" t="s">
        <v>33</v>
      </c>
      <c r="AD343" s="13" t="s">
        <v>33</v>
      </c>
      <c r="AE343" s="13" t="s">
        <v>33</v>
      </c>
      <c r="AF343" s="13" t="s">
        <v>33</v>
      </c>
      <c r="AG343" s="13" t="s">
        <v>33</v>
      </c>
      <c r="AH343" s="6" t="b">
        <v>0</v>
      </c>
      <c r="AI343" s="13" t="s">
        <v>33</v>
      </c>
      <c r="AJ343" s="13" t="s">
        <v>33</v>
      </c>
      <c r="AK343" s="13" t="s">
        <v>33</v>
      </c>
      <c r="AL343" s="6">
        <v>0</v>
      </c>
      <c r="AM343" s="13" t="s">
        <v>33</v>
      </c>
    </row>
    <row r="344" spans="1:39" ht="15" customHeight="1" x14ac:dyDescent="0.3">
      <c r="A344" s="6" t="s">
        <v>293</v>
      </c>
      <c r="B344" s="7" t="str">
        <f>Odds_Input!C303</f>
        <v>Shai Gilgeous Alexander</v>
      </c>
      <c r="C344" s="6" t="s">
        <v>33</v>
      </c>
      <c r="D344" s="7" t="str">
        <f>Odds_Input!D303</f>
        <v>YES</v>
      </c>
      <c r="E344" s="31" t="str">
        <f>Odds_Input!E303</f>
        <v>-</v>
      </c>
      <c r="F344" s="32">
        <f>Odds_Input!F303</f>
        <v>350</v>
      </c>
      <c r="G344" s="36">
        <f>M_DeVig!H303</f>
        <v>4.5</v>
      </c>
      <c r="H344" s="7" t="str">
        <f>Odds_Input!G303</f>
        <v>-</v>
      </c>
      <c r="I344" s="42">
        <f>M_DeVig!Q303</f>
        <v>0.19058755671942623</v>
      </c>
      <c r="J344" s="13" t="s">
        <v>33</v>
      </c>
      <c r="K344" s="43">
        <f t="shared" si="114"/>
        <v>424.69322615439768</v>
      </c>
      <c r="L344" s="13" t="s">
        <v>33</v>
      </c>
      <c r="M344" s="13" t="s">
        <v>33</v>
      </c>
      <c r="N344" s="13" t="s">
        <v>33</v>
      </c>
      <c r="O344" s="13" t="s">
        <v>33</v>
      </c>
      <c r="P344" s="13" t="s">
        <v>33</v>
      </c>
      <c r="Q344" s="13" t="s">
        <v>33</v>
      </c>
      <c r="R344" s="13" t="s">
        <v>33</v>
      </c>
      <c r="S344" s="13" t="s">
        <v>33</v>
      </c>
      <c r="T344" s="13" t="s">
        <v>33</v>
      </c>
      <c r="U344" s="13" t="s">
        <v>33</v>
      </c>
      <c r="V344" s="13" t="s">
        <v>33</v>
      </c>
      <c r="W344" s="6" t="b">
        <v>0</v>
      </c>
      <c r="X344" s="6" t="s">
        <v>1301</v>
      </c>
      <c r="Y344" s="6" t="s">
        <v>1326</v>
      </c>
      <c r="Z344" s="6">
        <v>295</v>
      </c>
      <c r="AA344" s="7" t="str">
        <f t="shared" si="115"/>
        <v>OK - sims match current assumptions</v>
      </c>
      <c r="AB344" s="13" t="s">
        <v>33</v>
      </c>
      <c r="AC344" s="13" t="s">
        <v>33</v>
      </c>
      <c r="AD344" s="13" t="s">
        <v>33</v>
      </c>
      <c r="AE344" s="13" t="s">
        <v>33</v>
      </c>
      <c r="AF344" s="13" t="s">
        <v>33</v>
      </c>
      <c r="AG344" s="13" t="s">
        <v>33</v>
      </c>
      <c r="AH344" s="6" t="b">
        <v>0</v>
      </c>
      <c r="AI344" s="13" t="s">
        <v>33</v>
      </c>
      <c r="AJ344" s="13" t="s">
        <v>33</v>
      </c>
      <c r="AK344" s="13" t="s">
        <v>33</v>
      </c>
      <c r="AL344" s="6">
        <v>0</v>
      </c>
      <c r="AM344" s="13" t="s">
        <v>33</v>
      </c>
    </row>
    <row r="345" spans="1:39" ht="15" customHeight="1" x14ac:dyDescent="0.3">
      <c r="A345" s="6" t="s">
        <v>293</v>
      </c>
      <c r="B345" s="7" t="str">
        <f>Odds_Input!C304</f>
        <v>Nikola Jokic</v>
      </c>
      <c r="C345" s="6" t="s">
        <v>33</v>
      </c>
      <c r="D345" s="7" t="str">
        <f>Odds_Input!D304</f>
        <v>YES</v>
      </c>
      <c r="E345" s="31" t="str">
        <f>Odds_Input!E304</f>
        <v>-</v>
      </c>
      <c r="F345" s="32">
        <f>Odds_Input!F304</f>
        <v>500</v>
      </c>
      <c r="G345" s="36">
        <f>M_DeVig!H304</f>
        <v>6</v>
      </c>
      <c r="H345" s="7" t="str">
        <f>Odds_Input!G304</f>
        <v>-</v>
      </c>
      <c r="I345" s="42">
        <f>M_DeVig!Q304</f>
        <v>0.14105630650968745</v>
      </c>
      <c r="J345" s="13" t="s">
        <v>33</v>
      </c>
      <c r="K345" s="43">
        <f t="shared" si="114"/>
        <v>608.93675351645629</v>
      </c>
      <c r="L345" s="13" t="s">
        <v>33</v>
      </c>
      <c r="M345" s="13" t="s">
        <v>33</v>
      </c>
      <c r="N345" s="13" t="s">
        <v>33</v>
      </c>
      <c r="O345" s="13" t="s">
        <v>33</v>
      </c>
      <c r="P345" s="13" t="s">
        <v>33</v>
      </c>
      <c r="Q345" s="13" t="s">
        <v>33</v>
      </c>
      <c r="R345" s="13" t="s">
        <v>33</v>
      </c>
      <c r="S345" s="13" t="s">
        <v>33</v>
      </c>
      <c r="T345" s="13" t="s">
        <v>33</v>
      </c>
      <c r="U345" s="13" t="s">
        <v>33</v>
      </c>
      <c r="V345" s="13" t="s">
        <v>33</v>
      </c>
      <c r="W345" s="6" t="b">
        <v>0</v>
      </c>
      <c r="X345" s="6" t="s">
        <v>1301</v>
      </c>
      <c r="Y345" s="6" t="s">
        <v>1326</v>
      </c>
      <c r="Z345" s="6">
        <v>296</v>
      </c>
      <c r="AA345" s="7" t="str">
        <f t="shared" si="115"/>
        <v>OK - sims match current assumptions</v>
      </c>
      <c r="AB345" s="13" t="s">
        <v>33</v>
      </c>
      <c r="AC345" s="13" t="s">
        <v>33</v>
      </c>
      <c r="AD345" s="13" t="s">
        <v>33</v>
      </c>
      <c r="AE345" s="13" t="s">
        <v>33</v>
      </c>
      <c r="AF345" s="13" t="s">
        <v>33</v>
      </c>
      <c r="AG345" s="13" t="s">
        <v>33</v>
      </c>
      <c r="AH345" s="6" t="b">
        <v>0</v>
      </c>
      <c r="AI345" s="13" t="s">
        <v>33</v>
      </c>
      <c r="AJ345" s="13" t="s">
        <v>33</v>
      </c>
      <c r="AK345" s="13" t="s">
        <v>33</v>
      </c>
      <c r="AL345" s="6">
        <v>0</v>
      </c>
      <c r="AM345" s="13" t="s">
        <v>33</v>
      </c>
    </row>
    <row r="346" spans="1:39" ht="15" customHeight="1" x14ac:dyDescent="0.3">
      <c r="A346" s="6" t="s">
        <v>293</v>
      </c>
      <c r="B346" s="7" t="str">
        <f>Odds_Input!C305</f>
        <v>Luka Doncic</v>
      </c>
      <c r="C346" s="6" t="s">
        <v>33</v>
      </c>
      <c r="D346" s="7" t="str">
        <f>Odds_Input!D305</f>
        <v>YES</v>
      </c>
      <c r="E346" s="31" t="str">
        <f>Odds_Input!E305</f>
        <v>-</v>
      </c>
      <c r="F346" s="32">
        <f>Odds_Input!F305</f>
        <v>550</v>
      </c>
      <c r="G346" s="36">
        <f>M_DeVig!H305</f>
        <v>6.5</v>
      </c>
      <c r="H346" s="7" t="str">
        <f>Odds_Input!G305</f>
        <v>-</v>
      </c>
      <c r="I346" s="42">
        <f>M_DeVig!Q305</f>
        <v>0.12963138282080128</v>
      </c>
      <c r="J346" s="13" t="s">
        <v>33</v>
      </c>
      <c r="K346" s="43">
        <f t="shared" si="114"/>
        <v>671.4181382932336</v>
      </c>
      <c r="L346" s="13" t="s">
        <v>33</v>
      </c>
      <c r="M346" s="13" t="s">
        <v>33</v>
      </c>
      <c r="N346" s="13" t="s">
        <v>33</v>
      </c>
      <c r="O346" s="13" t="s">
        <v>33</v>
      </c>
      <c r="P346" s="13" t="s">
        <v>33</v>
      </c>
      <c r="Q346" s="13" t="s">
        <v>33</v>
      </c>
      <c r="R346" s="13" t="s">
        <v>33</v>
      </c>
      <c r="S346" s="13" t="s">
        <v>33</v>
      </c>
      <c r="T346" s="13" t="s">
        <v>33</v>
      </c>
      <c r="U346" s="13" t="s">
        <v>33</v>
      </c>
      <c r="V346" s="13" t="s">
        <v>33</v>
      </c>
      <c r="W346" s="6" t="b">
        <v>0</v>
      </c>
      <c r="X346" s="6" t="s">
        <v>1301</v>
      </c>
      <c r="Y346" s="6" t="s">
        <v>1326</v>
      </c>
      <c r="Z346" s="6">
        <v>297</v>
      </c>
      <c r="AA346" s="7" t="str">
        <f t="shared" si="115"/>
        <v>OK - sims match current assumptions</v>
      </c>
      <c r="AB346" s="13" t="s">
        <v>33</v>
      </c>
      <c r="AC346" s="13" t="s">
        <v>33</v>
      </c>
      <c r="AD346" s="13" t="s">
        <v>33</v>
      </c>
      <c r="AE346" s="13" t="s">
        <v>33</v>
      </c>
      <c r="AF346" s="13" t="s">
        <v>33</v>
      </c>
      <c r="AG346" s="13" t="s">
        <v>33</v>
      </c>
      <c r="AH346" s="6" t="b">
        <v>0</v>
      </c>
      <c r="AI346" s="13" t="s">
        <v>33</v>
      </c>
      <c r="AJ346" s="13" t="s">
        <v>33</v>
      </c>
      <c r="AK346" s="13" t="s">
        <v>33</v>
      </c>
      <c r="AL346" s="6">
        <v>0</v>
      </c>
      <c r="AM346" s="13" t="s">
        <v>33</v>
      </c>
    </row>
    <row r="347" spans="1:39" ht="15" customHeight="1" x14ac:dyDescent="0.3">
      <c r="A347" s="6" t="s">
        <v>293</v>
      </c>
      <c r="B347" s="7" t="str">
        <f>Odds_Input!C306</f>
        <v>Giannis Antetokounmpo</v>
      </c>
      <c r="C347" s="6" t="s">
        <v>33</v>
      </c>
      <c r="D347" s="7" t="str">
        <f>Odds_Input!D306</f>
        <v>YES</v>
      </c>
      <c r="E347" s="31" t="str">
        <f>Odds_Input!E306</f>
        <v>-</v>
      </c>
      <c r="F347" s="32">
        <f>Odds_Input!F306</f>
        <v>1100</v>
      </c>
      <c r="G347" s="36">
        <f>M_DeVig!H306</f>
        <v>12</v>
      </c>
      <c r="H347" s="7" t="str">
        <f>Odds_Input!G306</f>
        <v>-</v>
      </c>
      <c r="I347" s="42">
        <f>M_DeVig!Q306</f>
        <v>6.6889792737365811E-2</v>
      </c>
      <c r="J347" s="13" t="s">
        <v>33</v>
      </c>
      <c r="K347" s="43">
        <f t="shared" si="114"/>
        <v>1394.9964098803111</v>
      </c>
      <c r="L347" s="13" t="s">
        <v>33</v>
      </c>
      <c r="M347" s="13" t="s">
        <v>33</v>
      </c>
      <c r="N347" s="13" t="s">
        <v>33</v>
      </c>
      <c r="O347" s="13" t="s">
        <v>33</v>
      </c>
      <c r="P347" s="13" t="s">
        <v>33</v>
      </c>
      <c r="Q347" s="13" t="s">
        <v>33</v>
      </c>
      <c r="R347" s="13" t="s">
        <v>33</v>
      </c>
      <c r="S347" s="13" t="s">
        <v>33</v>
      </c>
      <c r="T347" s="13" t="s">
        <v>33</v>
      </c>
      <c r="U347" s="13" t="s">
        <v>33</v>
      </c>
      <c r="V347" s="13" t="s">
        <v>33</v>
      </c>
      <c r="W347" s="6" t="b">
        <v>0</v>
      </c>
      <c r="X347" s="6" t="s">
        <v>1301</v>
      </c>
      <c r="Y347" s="6" t="s">
        <v>1326</v>
      </c>
      <c r="Z347" s="6">
        <v>298</v>
      </c>
      <c r="AA347" s="7" t="str">
        <f t="shared" si="115"/>
        <v>OK - sims match current assumptions</v>
      </c>
      <c r="AB347" s="13" t="s">
        <v>33</v>
      </c>
      <c r="AC347" s="13" t="s">
        <v>33</v>
      </c>
      <c r="AD347" s="13" t="s">
        <v>33</v>
      </c>
      <c r="AE347" s="13" t="s">
        <v>33</v>
      </c>
      <c r="AF347" s="13" t="s">
        <v>33</v>
      </c>
      <c r="AG347" s="13" t="s">
        <v>33</v>
      </c>
      <c r="AH347" s="6" t="b">
        <v>0</v>
      </c>
      <c r="AI347" s="13" t="s">
        <v>33</v>
      </c>
      <c r="AJ347" s="13" t="s">
        <v>33</v>
      </c>
      <c r="AK347" s="13" t="s">
        <v>33</v>
      </c>
      <c r="AL347" s="6">
        <v>0</v>
      </c>
      <c r="AM347" s="13" t="s">
        <v>33</v>
      </c>
    </row>
    <row r="348" spans="1:39" ht="15" customHeight="1" x14ac:dyDescent="0.3">
      <c r="A348" s="6" t="s">
        <v>293</v>
      </c>
      <c r="B348" s="7" t="str">
        <f>Odds_Input!C307</f>
        <v>Cade Cunningham</v>
      </c>
      <c r="C348" s="6" t="s">
        <v>33</v>
      </c>
      <c r="D348" s="7" t="str">
        <f>Odds_Input!D307</f>
        <v>YES</v>
      </c>
      <c r="E348" s="31" t="str">
        <f>Odds_Input!E307</f>
        <v>-</v>
      </c>
      <c r="F348" s="32">
        <f>Odds_Input!F307</f>
        <v>2200</v>
      </c>
      <c r="G348" s="36">
        <f>M_DeVig!H307</f>
        <v>23</v>
      </c>
      <c r="H348" s="7" t="str">
        <f>Odds_Input!G307</f>
        <v>-</v>
      </c>
      <c r="I348" s="42">
        <f>M_DeVig!Q307</f>
        <v>3.1696938293180293E-2</v>
      </c>
      <c r="J348" s="13" t="s">
        <v>33</v>
      </c>
      <c r="K348" s="43">
        <f t="shared" si="114"/>
        <v>3054.8788427150816</v>
      </c>
      <c r="L348" s="13" t="s">
        <v>33</v>
      </c>
      <c r="M348" s="13" t="s">
        <v>33</v>
      </c>
      <c r="N348" s="13" t="s">
        <v>33</v>
      </c>
      <c r="O348" s="13" t="s">
        <v>33</v>
      </c>
      <c r="P348" s="13" t="s">
        <v>33</v>
      </c>
      <c r="Q348" s="13" t="s">
        <v>33</v>
      </c>
      <c r="R348" s="13" t="s">
        <v>33</v>
      </c>
      <c r="S348" s="13" t="s">
        <v>33</v>
      </c>
      <c r="T348" s="13" t="s">
        <v>33</v>
      </c>
      <c r="U348" s="13" t="s">
        <v>33</v>
      </c>
      <c r="V348" s="13" t="s">
        <v>33</v>
      </c>
      <c r="W348" s="6" t="b">
        <v>0</v>
      </c>
      <c r="X348" s="6" t="s">
        <v>1301</v>
      </c>
      <c r="Y348" s="6" t="s">
        <v>1326</v>
      </c>
      <c r="Z348" s="6">
        <v>299</v>
      </c>
      <c r="AA348" s="7" t="str">
        <f t="shared" si="115"/>
        <v>OK - sims match current assumptions</v>
      </c>
      <c r="AB348" s="13" t="s">
        <v>33</v>
      </c>
      <c r="AC348" s="13" t="s">
        <v>33</v>
      </c>
      <c r="AD348" s="13" t="s">
        <v>33</v>
      </c>
      <c r="AE348" s="13" t="s">
        <v>33</v>
      </c>
      <c r="AF348" s="13" t="s">
        <v>33</v>
      </c>
      <c r="AG348" s="13" t="s">
        <v>33</v>
      </c>
      <c r="AH348" s="6" t="b">
        <v>0</v>
      </c>
      <c r="AI348" s="13" t="s">
        <v>33</v>
      </c>
      <c r="AJ348" s="13" t="s">
        <v>33</v>
      </c>
      <c r="AK348" s="13" t="s">
        <v>33</v>
      </c>
      <c r="AL348" s="6">
        <v>0</v>
      </c>
      <c r="AM348" s="13" t="s">
        <v>33</v>
      </c>
    </row>
    <row r="349" spans="1:39" ht="15" customHeight="1" x14ac:dyDescent="0.3">
      <c r="A349" s="6" t="s">
        <v>293</v>
      </c>
      <c r="B349" s="7" t="str">
        <f>Odds_Input!C308</f>
        <v>Anthony Edwards</v>
      </c>
      <c r="C349" s="6" t="s">
        <v>33</v>
      </c>
      <c r="D349" s="7" t="str">
        <f>Odds_Input!D308</f>
        <v>YES</v>
      </c>
      <c r="E349" s="31" t="str">
        <f>Odds_Input!E308</f>
        <v>-</v>
      </c>
      <c r="F349" s="32">
        <f>Odds_Input!F308</f>
        <v>1700</v>
      </c>
      <c r="G349" s="36">
        <f>M_DeVig!H308</f>
        <v>18</v>
      </c>
      <c r="H349" s="7" t="str">
        <f>Odds_Input!G308</f>
        <v>-</v>
      </c>
      <c r="I349" s="42">
        <f>M_DeVig!Q308</f>
        <v>4.2305207243447114E-2</v>
      </c>
      <c r="J349" s="13" t="s">
        <v>33</v>
      </c>
      <c r="K349" s="43">
        <f t="shared" si="114"/>
        <v>2263.7752067859105</v>
      </c>
      <c r="L349" s="13" t="s">
        <v>33</v>
      </c>
      <c r="M349" s="13" t="s">
        <v>33</v>
      </c>
      <c r="N349" s="13" t="s">
        <v>33</v>
      </c>
      <c r="O349" s="13" t="s">
        <v>33</v>
      </c>
      <c r="P349" s="13" t="s">
        <v>33</v>
      </c>
      <c r="Q349" s="13" t="s">
        <v>33</v>
      </c>
      <c r="R349" s="13" t="s">
        <v>33</v>
      </c>
      <c r="S349" s="13" t="s">
        <v>33</v>
      </c>
      <c r="T349" s="13" t="s">
        <v>33</v>
      </c>
      <c r="U349" s="13" t="s">
        <v>33</v>
      </c>
      <c r="V349" s="13" t="s">
        <v>33</v>
      </c>
      <c r="W349" s="6" t="b">
        <v>0</v>
      </c>
      <c r="X349" s="6" t="s">
        <v>1301</v>
      </c>
      <c r="Y349" s="6" t="s">
        <v>1326</v>
      </c>
      <c r="Z349" s="6">
        <v>300</v>
      </c>
      <c r="AA349" s="7" t="str">
        <f t="shared" si="115"/>
        <v>OK - sims match current assumptions</v>
      </c>
      <c r="AB349" s="13" t="s">
        <v>33</v>
      </c>
      <c r="AC349" s="13" t="s">
        <v>33</v>
      </c>
      <c r="AD349" s="13" t="s">
        <v>33</v>
      </c>
      <c r="AE349" s="13" t="s">
        <v>33</v>
      </c>
      <c r="AF349" s="13" t="s">
        <v>33</v>
      </c>
      <c r="AG349" s="13" t="s">
        <v>33</v>
      </c>
      <c r="AH349" s="6" t="b">
        <v>0</v>
      </c>
      <c r="AI349" s="13" t="s">
        <v>33</v>
      </c>
      <c r="AJ349" s="13" t="s">
        <v>33</v>
      </c>
      <c r="AK349" s="13" t="s">
        <v>33</v>
      </c>
      <c r="AL349" s="6">
        <v>0</v>
      </c>
      <c r="AM349" s="13" t="s">
        <v>33</v>
      </c>
    </row>
    <row r="350" spans="1:39" ht="15" customHeight="1" x14ac:dyDescent="0.3">
      <c r="A350" s="6" t="s">
        <v>293</v>
      </c>
      <c r="B350" s="7" t="str">
        <f>Odds_Input!C309</f>
        <v>Jayson Tatum</v>
      </c>
      <c r="C350" s="6" t="s">
        <v>33</v>
      </c>
      <c r="D350" s="7" t="str">
        <f>Odds_Input!D309</f>
        <v>YES</v>
      </c>
      <c r="E350" s="31" t="str">
        <f>Odds_Input!E309</f>
        <v>-</v>
      </c>
      <c r="F350" s="32">
        <f>Odds_Input!F309</f>
        <v>1500</v>
      </c>
      <c r="G350" s="36">
        <f>M_DeVig!H309</f>
        <v>16</v>
      </c>
      <c r="H350" s="7" t="str">
        <f>Odds_Input!G309</f>
        <v>-</v>
      </c>
      <c r="I350" s="42">
        <f>M_DeVig!Q309</f>
        <v>4.8434327685806716E-2</v>
      </c>
      <c r="J350" s="13" t="s">
        <v>33</v>
      </c>
      <c r="K350" s="43">
        <f t="shared" si="114"/>
        <v>1964.6513491154371</v>
      </c>
      <c r="L350" s="13" t="s">
        <v>33</v>
      </c>
      <c r="M350" s="13" t="s">
        <v>33</v>
      </c>
      <c r="N350" s="13" t="s">
        <v>33</v>
      </c>
      <c r="O350" s="13" t="s">
        <v>33</v>
      </c>
      <c r="P350" s="13" t="s">
        <v>33</v>
      </c>
      <c r="Q350" s="13" t="s">
        <v>33</v>
      </c>
      <c r="R350" s="13" t="s">
        <v>33</v>
      </c>
      <c r="S350" s="13" t="s">
        <v>33</v>
      </c>
      <c r="T350" s="13" t="s">
        <v>33</v>
      </c>
      <c r="U350" s="13" t="s">
        <v>33</v>
      </c>
      <c r="V350" s="13" t="s">
        <v>33</v>
      </c>
      <c r="W350" s="6" t="b">
        <v>0</v>
      </c>
      <c r="X350" s="6" t="s">
        <v>1301</v>
      </c>
      <c r="Y350" s="6" t="s">
        <v>1326</v>
      </c>
      <c r="Z350" s="6">
        <v>301</v>
      </c>
      <c r="AA350" s="7" t="str">
        <f t="shared" si="115"/>
        <v>OK - sims match current assumptions</v>
      </c>
      <c r="AB350" s="13" t="s">
        <v>33</v>
      </c>
      <c r="AC350" s="13" t="s">
        <v>33</v>
      </c>
      <c r="AD350" s="13" t="s">
        <v>33</v>
      </c>
      <c r="AE350" s="13" t="s">
        <v>33</v>
      </c>
      <c r="AF350" s="13" t="s">
        <v>33</v>
      </c>
      <c r="AG350" s="13" t="s">
        <v>33</v>
      </c>
      <c r="AH350" s="6" t="b">
        <v>0</v>
      </c>
      <c r="AI350" s="13" t="s">
        <v>33</v>
      </c>
      <c r="AJ350" s="13" t="s">
        <v>33</v>
      </c>
      <c r="AK350" s="13" t="s">
        <v>33</v>
      </c>
      <c r="AL350" s="6">
        <v>0</v>
      </c>
      <c r="AM350" s="13" t="s">
        <v>33</v>
      </c>
    </row>
    <row r="351" spans="1:39" ht="15" customHeight="1" x14ac:dyDescent="0.3">
      <c r="A351" s="6" t="s">
        <v>293</v>
      </c>
      <c r="B351" s="7" t="str">
        <f>Odds_Input!C310</f>
        <v>Jalen Brunson</v>
      </c>
      <c r="C351" s="6" t="s">
        <v>33</v>
      </c>
      <c r="D351" s="7" t="str">
        <f>Odds_Input!D310</f>
        <v>YES</v>
      </c>
      <c r="E351" s="31" t="str">
        <f>Odds_Input!E310</f>
        <v>-</v>
      </c>
      <c r="F351" s="32">
        <f>Odds_Input!F310</f>
        <v>3500</v>
      </c>
      <c r="G351" s="36">
        <f>M_DeVig!H310</f>
        <v>36</v>
      </c>
      <c r="H351" s="7" t="str">
        <f>Odds_Input!G310</f>
        <v>-</v>
      </c>
      <c r="I351" s="42">
        <f>M_DeVig!Q310</f>
        <v>1.8116900876532952E-2</v>
      </c>
      <c r="J351" s="13" t="s">
        <v>33</v>
      </c>
      <c r="K351" s="43">
        <f t="shared" si="114"/>
        <v>5419.7078507798897</v>
      </c>
      <c r="L351" s="13" t="s">
        <v>33</v>
      </c>
      <c r="M351" s="13" t="s">
        <v>33</v>
      </c>
      <c r="N351" s="13" t="s">
        <v>33</v>
      </c>
      <c r="O351" s="13" t="s">
        <v>33</v>
      </c>
      <c r="P351" s="13" t="s">
        <v>33</v>
      </c>
      <c r="Q351" s="13" t="s">
        <v>33</v>
      </c>
      <c r="R351" s="13" t="s">
        <v>33</v>
      </c>
      <c r="S351" s="13" t="s">
        <v>33</v>
      </c>
      <c r="T351" s="13" t="s">
        <v>33</v>
      </c>
      <c r="U351" s="13" t="s">
        <v>33</v>
      </c>
      <c r="V351" s="13" t="s">
        <v>33</v>
      </c>
      <c r="W351" s="6" t="b">
        <v>0</v>
      </c>
      <c r="X351" s="6" t="s">
        <v>1301</v>
      </c>
      <c r="Y351" s="6" t="s">
        <v>1326</v>
      </c>
      <c r="Z351" s="6">
        <v>302</v>
      </c>
      <c r="AA351" s="7" t="str">
        <f t="shared" si="115"/>
        <v>OK - sims match current assumptions</v>
      </c>
      <c r="AB351" s="13" t="s">
        <v>33</v>
      </c>
      <c r="AC351" s="13" t="s">
        <v>33</v>
      </c>
      <c r="AD351" s="13" t="s">
        <v>33</v>
      </c>
      <c r="AE351" s="13" t="s">
        <v>33</v>
      </c>
      <c r="AF351" s="13" t="s">
        <v>33</v>
      </c>
      <c r="AG351" s="13" t="s">
        <v>33</v>
      </c>
      <c r="AH351" s="6" t="b">
        <v>0</v>
      </c>
      <c r="AI351" s="13" t="s">
        <v>33</v>
      </c>
      <c r="AJ351" s="13" t="s">
        <v>33</v>
      </c>
      <c r="AK351" s="13" t="s">
        <v>33</v>
      </c>
      <c r="AL351" s="6">
        <v>0</v>
      </c>
      <c r="AM351" s="13" t="s">
        <v>33</v>
      </c>
    </row>
    <row r="352" spans="1:39" ht="15" customHeight="1" x14ac:dyDescent="0.3">
      <c r="A352" s="6" t="s">
        <v>293</v>
      </c>
      <c r="B352" s="7" t="str">
        <f>Odds_Input!C311</f>
        <v>Donovan Mitchell</v>
      </c>
      <c r="C352" s="6" t="s">
        <v>33</v>
      </c>
      <c r="D352" s="7" t="str">
        <f>Odds_Input!D311</f>
        <v>YES</v>
      </c>
      <c r="E352" s="31" t="str">
        <f>Odds_Input!E311</f>
        <v>-</v>
      </c>
      <c r="F352" s="32">
        <f>Odds_Input!F311</f>
        <v>8000</v>
      </c>
      <c r="G352" s="36">
        <f>M_DeVig!H311</f>
        <v>81</v>
      </c>
      <c r="H352" s="7" t="str">
        <f>Odds_Input!G311</f>
        <v>-</v>
      </c>
      <c r="I352" s="42">
        <f>M_DeVig!Q311</f>
        <v>5.6560904253778813E-3</v>
      </c>
      <c r="J352" s="13" t="s">
        <v>33</v>
      </c>
      <c r="K352" s="43">
        <f t="shared" si="114"/>
        <v>17580.056802366104</v>
      </c>
      <c r="L352" s="13" t="s">
        <v>33</v>
      </c>
      <c r="M352" s="13" t="s">
        <v>33</v>
      </c>
      <c r="N352" s="13" t="s">
        <v>33</v>
      </c>
      <c r="O352" s="13" t="s">
        <v>33</v>
      </c>
      <c r="P352" s="13" t="s">
        <v>33</v>
      </c>
      <c r="Q352" s="13" t="s">
        <v>33</v>
      </c>
      <c r="R352" s="13" t="s">
        <v>33</v>
      </c>
      <c r="S352" s="13" t="s">
        <v>33</v>
      </c>
      <c r="T352" s="13" t="s">
        <v>33</v>
      </c>
      <c r="U352" s="13" t="s">
        <v>33</v>
      </c>
      <c r="V352" s="13" t="s">
        <v>33</v>
      </c>
      <c r="W352" s="6" t="b">
        <v>0</v>
      </c>
      <c r="X352" s="6" t="s">
        <v>1301</v>
      </c>
      <c r="Y352" s="6" t="s">
        <v>1326</v>
      </c>
      <c r="Z352" s="6">
        <v>303</v>
      </c>
      <c r="AA352" s="7" t="str">
        <f t="shared" si="115"/>
        <v>OK - sims match current assumptions</v>
      </c>
      <c r="AB352" s="13" t="s">
        <v>33</v>
      </c>
      <c r="AC352" s="13" t="s">
        <v>33</v>
      </c>
      <c r="AD352" s="13" t="s">
        <v>33</v>
      </c>
      <c r="AE352" s="13" t="s">
        <v>33</v>
      </c>
      <c r="AF352" s="13" t="s">
        <v>33</v>
      </c>
      <c r="AG352" s="13" t="s">
        <v>33</v>
      </c>
      <c r="AH352" s="6" t="b">
        <v>0</v>
      </c>
      <c r="AI352" s="13" t="s">
        <v>33</v>
      </c>
      <c r="AJ352" s="13" t="s">
        <v>33</v>
      </c>
      <c r="AK352" s="13" t="s">
        <v>33</v>
      </c>
      <c r="AL352" s="6">
        <v>0</v>
      </c>
      <c r="AM352" s="13" t="s">
        <v>33</v>
      </c>
    </row>
    <row r="353" spans="1:39" ht="15" customHeight="1" x14ac:dyDescent="0.3">
      <c r="A353" s="6" t="s">
        <v>293</v>
      </c>
      <c r="B353" s="7" t="str">
        <f>Odds_Input!C312</f>
        <v>Tyrese Haliburton</v>
      </c>
      <c r="C353" s="6" t="s">
        <v>33</v>
      </c>
      <c r="D353" s="7" t="str">
        <f>Odds_Input!D312</f>
        <v>YES</v>
      </c>
      <c r="E353" s="31" t="str">
        <f>Odds_Input!E312</f>
        <v>-</v>
      </c>
      <c r="F353" s="32">
        <f>Odds_Input!F312</f>
        <v>10000</v>
      </c>
      <c r="G353" s="36">
        <f>M_DeVig!H312</f>
        <v>101</v>
      </c>
      <c r="H353" s="7" t="str">
        <f>Odds_Input!G312</f>
        <v>-</v>
      </c>
      <c r="I353" s="42">
        <f>M_DeVig!Q312</f>
        <v>3.9516225369073113E-3</v>
      </c>
      <c r="J353" s="13" t="s">
        <v>33</v>
      </c>
      <c r="K353" s="43">
        <f t="shared" si="114"/>
        <v>25206.06075504969</v>
      </c>
      <c r="L353" s="13" t="s">
        <v>33</v>
      </c>
      <c r="M353" s="13" t="s">
        <v>33</v>
      </c>
      <c r="N353" s="13" t="s">
        <v>33</v>
      </c>
      <c r="O353" s="13" t="s">
        <v>33</v>
      </c>
      <c r="P353" s="13" t="s">
        <v>33</v>
      </c>
      <c r="Q353" s="13" t="s">
        <v>33</v>
      </c>
      <c r="R353" s="13" t="s">
        <v>33</v>
      </c>
      <c r="S353" s="13" t="s">
        <v>33</v>
      </c>
      <c r="T353" s="13" t="s">
        <v>33</v>
      </c>
      <c r="U353" s="13" t="s">
        <v>33</v>
      </c>
      <c r="V353" s="13" t="s">
        <v>33</v>
      </c>
      <c r="W353" s="6" t="b">
        <v>0</v>
      </c>
      <c r="X353" s="6" t="s">
        <v>1301</v>
      </c>
      <c r="Y353" s="6" t="s">
        <v>1326</v>
      </c>
      <c r="Z353" s="6">
        <v>304</v>
      </c>
      <c r="AA353" s="7" t="str">
        <f t="shared" si="115"/>
        <v>OK - sims match current assumptions</v>
      </c>
      <c r="AB353" s="13" t="s">
        <v>33</v>
      </c>
      <c r="AC353" s="13" t="s">
        <v>33</v>
      </c>
      <c r="AD353" s="13" t="s">
        <v>33</v>
      </c>
      <c r="AE353" s="13" t="s">
        <v>33</v>
      </c>
      <c r="AF353" s="13" t="s">
        <v>33</v>
      </c>
      <c r="AG353" s="13" t="s">
        <v>33</v>
      </c>
      <c r="AH353" s="6" t="b">
        <v>0</v>
      </c>
      <c r="AI353" s="13" t="s">
        <v>33</v>
      </c>
      <c r="AJ353" s="13" t="s">
        <v>33</v>
      </c>
      <c r="AK353" s="13" t="s">
        <v>33</v>
      </c>
      <c r="AL353" s="6">
        <v>0</v>
      </c>
      <c r="AM353" s="13" t="s">
        <v>33</v>
      </c>
    </row>
    <row r="354" spans="1:39" ht="15" customHeight="1" x14ac:dyDescent="0.3">
      <c r="A354" s="6" t="s">
        <v>293</v>
      </c>
      <c r="B354" s="7" t="str">
        <f>Odds_Input!C313</f>
        <v>Cooper Flagg</v>
      </c>
      <c r="C354" s="6" t="s">
        <v>33</v>
      </c>
      <c r="D354" s="7" t="str">
        <f>Odds_Input!D313</f>
        <v>YES</v>
      </c>
      <c r="E354" s="31" t="str">
        <f>Odds_Input!E313</f>
        <v>-</v>
      </c>
      <c r="F354" s="32">
        <f>Odds_Input!F313</f>
        <v>15000</v>
      </c>
      <c r="G354" s="36">
        <f>M_DeVig!H313</f>
        <v>151</v>
      </c>
      <c r="H354" s="7" t="str">
        <f>Odds_Input!G313</f>
        <v>-</v>
      </c>
      <c r="I354" s="42">
        <f>M_DeVig!Q313</f>
        <v>1.9654759300995845E-3</v>
      </c>
      <c r="J354" s="13" t="s">
        <v>33</v>
      </c>
      <c r="K354" s="43">
        <f t="shared" si="114"/>
        <v>50778.262342766677</v>
      </c>
      <c r="L354" s="13" t="s">
        <v>33</v>
      </c>
      <c r="M354" s="13" t="s">
        <v>33</v>
      </c>
      <c r="N354" s="13" t="s">
        <v>33</v>
      </c>
      <c r="O354" s="13" t="s">
        <v>33</v>
      </c>
      <c r="P354" s="13" t="s">
        <v>33</v>
      </c>
      <c r="Q354" s="13" t="s">
        <v>33</v>
      </c>
      <c r="R354" s="13" t="s">
        <v>33</v>
      </c>
      <c r="S354" s="13" t="s">
        <v>33</v>
      </c>
      <c r="T354" s="13" t="s">
        <v>33</v>
      </c>
      <c r="U354" s="13" t="s">
        <v>33</v>
      </c>
      <c r="V354" s="13" t="s">
        <v>33</v>
      </c>
      <c r="W354" s="6" t="b">
        <v>0</v>
      </c>
      <c r="X354" s="6" t="s">
        <v>1301</v>
      </c>
      <c r="Y354" s="6" t="s">
        <v>1326</v>
      </c>
      <c r="Z354" s="6">
        <v>305</v>
      </c>
      <c r="AA354" s="7" t="str">
        <f t="shared" si="115"/>
        <v>OK - sims match current assumptions</v>
      </c>
      <c r="AB354" s="13" t="s">
        <v>33</v>
      </c>
      <c r="AC354" s="13" t="s">
        <v>33</v>
      </c>
      <c r="AD354" s="13" t="s">
        <v>33</v>
      </c>
      <c r="AE354" s="13" t="s">
        <v>33</v>
      </c>
      <c r="AF354" s="13" t="s">
        <v>33</v>
      </c>
      <c r="AG354" s="13" t="s">
        <v>33</v>
      </c>
      <c r="AH354" s="6" t="b">
        <v>0</v>
      </c>
      <c r="AI354" s="13" t="s">
        <v>33</v>
      </c>
      <c r="AJ354" s="13" t="s">
        <v>33</v>
      </c>
      <c r="AK354" s="13" t="s">
        <v>33</v>
      </c>
      <c r="AL354" s="6">
        <v>0</v>
      </c>
      <c r="AM354" s="13" t="s">
        <v>33</v>
      </c>
    </row>
    <row r="355" spans="1:39" ht="15" customHeight="1" x14ac:dyDescent="0.3">
      <c r="A355" s="6" t="s">
        <v>293</v>
      </c>
      <c r="B355" s="7" t="str">
        <f>Odds_Input!C314</f>
        <v>Tyrese Maxey</v>
      </c>
      <c r="C355" s="6" t="s">
        <v>33</v>
      </c>
      <c r="D355" s="7" t="str">
        <f>Odds_Input!D314</f>
        <v>YES</v>
      </c>
      <c r="E355" s="31" t="str">
        <f>Odds_Input!E314</f>
        <v>-</v>
      </c>
      <c r="F355" s="32">
        <f>Odds_Input!F314</f>
        <v>10000</v>
      </c>
      <c r="G355" s="36">
        <f>M_DeVig!H314</f>
        <v>101</v>
      </c>
      <c r="H355" s="7" t="str">
        <f>Odds_Input!G314</f>
        <v>-</v>
      </c>
      <c r="I355" s="42">
        <f>M_DeVig!Q314</f>
        <v>3.9516225369073113E-3</v>
      </c>
      <c r="J355" s="13" t="s">
        <v>33</v>
      </c>
      <c r="K355" s="43">
        <f t="shared" si="114"/>
        <v>25206.06075504969</v>
      </c>
      <c r="L355" s="13" t="s">
        <v>33</v>
      </c>
      <c r="M355" s="13" t="s">
        <v>33</v>
      </c>
      <c r="N355" s="13" t="s">
        <v>33</v>
      </c>
      <c r="O355" s="13" t="s">
        <v>33</v>
      </c>
      <c r="P355" s="13" t="s">
        <v>33</v>
      </c>
      <c r="Q355" s="13" t="s">
        <v>33</v>
      </c>
      <c r="R355" s="13" t="s">
        <v>33</v>
      </c>
      <c r="S355" s="13" t="s">
        <v>33</v>
      </c>
      <c r="T355" s="13" t="s">
        <v>33</v>
      </c>
      <c r="U355" s="13" t="s">
        <v>33</v>
      </c>
      <c r="V355" s="13" t="s">
        <v>33</v>
      </c>
      <c r="W355" s="6" t="b">
        <v>0</v>
      </c>
      <c r="X355" s="6" t="s">
        <v>1301</v>
      </c>
      <c r="Y355" s="6" t="s">
        <v>1326</v>
      </c>
      <c r="Z355" s="6">
        <v>306</v>
      </c>
      <c r="AA355" s="7" t="str">
        <f t="shared" si="115"/>
        <v>OK - sims match current assumptions</v>
      </c>
      <c r="AB355" s="13" t="s">
        <v>33</v>
      </c>
      <c r="AC355" s="13" t="s">
        <v>33</v>
      </c>
      <c r="AD355" s="13" t="s">
        <v>33</v>
      </c>
      <c r="AE355" s="13" t="s">
        <v>33</v>
      </c>
      <c r="AF355" s="13" t="s">
        <v>33</v>
      </c>
      <c r="AG355" s="13" t="s">
        <v>33</v>
      </c>
      <c r="AH355" s="6" t="b">
        <v>0</v>
      </c>
      <c r="AI355" s="13" t="s">
        <v>33</v>
      </c>
      <c r="AJ355" s="13" t="s">
        <v>33</v>
      </c>
      <c r="AK355" s="13" t="s">
        <v>33</v>
      </c>
      <c r="AL355" s="6">
        <v>0</v>
      </c>
      <c r="AM355" s="13" t="s">
        <v>33</v>
      </c>
    </row>
    <row r="356" spans="1:39" ht="15" customHeight="1" x14ac:dyDescent="0.3">
      <c r="A356" s="6" t="s">
        <v>293</v>
      </c>
      <c r="B356" s="7" t="str">
        <f>Odds_Input!C315</f>
        <v>Jaylen Brown</v>
      </c>
      <c r="C356" s="6" t="s">
        <v>33</v>
      </c>
      <c r="D356" s="7" t="str">
        <f>Odds_Input!D315</f>
        <v>YES</v>
      </c>
      <c r="E356" s="31" t="str">
        <f>Odds_Input!E315</f>
        <v>-</v>
      </c>
      <c r="F356" s="32">
        <f>Odds_Input!F315</f>
        <v>6500</v>
      </c>
      <c r="G356" s="36">
        <f>M_DeVig!H315</f>
        <v>66</v>
      </c>
      <c r="H356" s="7" t="str">
        <f>Odds_Input!G315</f>
        <v>-</v>
      </c>
      <c r="I356" s="42">
        <f>M_DeVig!Q315</f>
        <v>7.759040885041691E-3</v>
      </c>
      <c r="J356" s="13" t="s">
        <v>33</v>
      </c>
      <c r="K356" s="43">
        <f t="shared" si="114"/>
        <v>12788.190883590463</v>
      </c>
      <c r="L356" s="13" t="s">
        <v>33</v>
      </c>
      <c r="M356" s="13" t="s">
        <v>33</v>
      </c>
      <c r="N356" s="13" t="s">
        <v>33</v>
      </c>
      <c r="O356" s="13" t="s">
        <v>33</v>
      </c>
      <c r="P356" s="13" t="s">
        <v>33</v>
      </c>
      <c r="Q356" s="13" t="s">
        <v>33</v>
      </c>
      <c r="R356" s="13" t="s">
        <v>33</v>
      </c>
      <c r="S356" s="13" t="s">
        <v>33</v>
      </c>
      <c r="T356" s="13" t="s">
        <v>33</v>
      </c>
      <c r="U356" s="13" t="s">
        <v>33</v>
      </c>
      <c r="V356" s="13" t="s">
        <v>33</v>
      </c>
      <c r="W356" s="6" t="b">
        <v>0</v>
      </c>
      <c r="X356" s="6" t="s">
        <v>1301</v>
      </c>
      <c r="Y356" s="6" t="s">
        <v>1326</v>
      </c>
      <c r="Z356" s="6">
        <v>307</v>
      </c>
      <c r="AA356" s="7" t="str">
        <f t="shared" si="115"/>
        <v>OK - sims match current assumptions</v>
      </c>
      <c r="AB356" s="13" t="s">
        <v>33</v>
      </c>
      <c r="AC356" s="13" t="s">
        <v>33</v>
      </c>
      <c r="AD356" s="13" t="s">
        <v>33</v>
      </c>
      <c r="AE356" s="13" t="s">
        <v>33</v>
      </c>
      <c r="AF356" s="13" t="s">
        <v>33</v>
      </c>
      <c r="AG356" s="13" t="s">
        <v>33</v>
      </c>
      <c r="AH356" s="6" t="b">
        <v>0</v>
      </c>
      <c r="AI356" s="13" t="s">
        <v>33</v>
      </c>
      <c r="AJ356" s="13" t="s">
        <v>33</v>
      </c>
      <c r="AK356" s="13" t="s">
        <v>33</v>
      </c>
      <c r="AL356" s="6">
        <v>0</v>
      </c>
      <c r="AM356" s="13" t="s">
        <v>33</v>
      </c>
    </row>
    <row r="357" spans="1:39" ht="15" customHeight="1" x14ac:dyDescent="0.3">
      <c r="A357" s="6" t="s">
        <v>293</v>
      </c>
      <c r="B357" s="7" t="str">
        <f>Odds_Input!C316</f>
        <v>Kawhi Leonard</v>
      </c>
      <c r="C357" s="6" t="s">
        <v>33</v>
      </c>
      <c r="D357" s="7" t="str">
        <f>Odds_Input!D316</f>
        <v>YES</v>
      </c>
      <c r="E357" s="31" t="str">
        <f>Odds_Input!E316</f>
        <v>-</v>
      </c>
      <c r="F357" s="32">
        <f>Odds_Input!F316</f>
        <v>15000</v>
      </c>
      <c r="G357" s="36">
        <f>M_DeVig!H316</f>
        <v>151</v>
      </c>
      <c r="H357" s="7" t="str">
        <f>Odds_Input!G316</f>
        <v>-</v>
      </c>
      <c r="I357" s="42">
        <f>M_DeVig!Q316</f>
        <v>1.9654759300995845E-3</v>
      </c>
      <c r="J357" s="13" t="s">
        <v>33</v>
      </c>
      <c r="K357" s="43">
        <f t="shared" si="114"/>
        <v>50778.262342766677</v>
      </c>
      <c r="L357" s="13" t="s">
        <v>33</v>
      </c>
      <c r="M357" s="13" t="s">
        <v>33</v>
      </c>
      <c r="N357" s="13" t="s">
        <v>33</v>
      </c>
      <c r="O357" s="13" t="s">
        <v>33</v>
      </c>
      <c r="P357" s="13" t="s">
        <v>33</v>
      </c>
      <c r="Q357" s="13" t="s">
        <v>33</v>
      </c>
      <c r="R357" s="13" t="s">
        <v>33</v>
      </c>
      <c r="S357" s="13" t="s">
        <v>33</v>
      </c>
      <c r="T357" s="13" t="s">
        <v>33</v>
      </c>
      <c r="U357" s="13" t="s">
        <v>33</v>
      </c>
      <c r="V357" s="13" t="s">
        <v>33</v>
      </c>
      <c r="W357" s="6" t="b">
        <v>0</v>
      </c>
      <c r="X357" s="6" t="s">
        <v>1301</v>
      </c>
      <c r="Y357" s="6" t="s">
        <v>1326</v>
      </c>
      <c r="Z357" s="6">
        <v>308</v>
      </c>
      <c r="AA357" s="7" t="str">
        <f t="shared" si="115"/>
        <v>OK - sims match current assumptions</v>
      </c>
      <c r="AB357" s="13" t="s">
        <v>33</v>
      </c>
      <c r="AC357" s="13" t="s">
        <v>33</v>
      </c>
      <c r="AD357" s="13" t="s">
        <v>33</v>
      </c>
      <c r="AE357" s="13" t="s">
        <v>33</v>
      </c>
      <c r="AF357" s="13" t="s">
        <v>33</v>
      </c>
      <c r="AG357" s="13" t="s">
        <v>33</v>
      </c>
      <c r="AH357" s="6" t="b">
        <v>0</v>
      </c>
      <c r="AI357" s="13" t="s">
        <v>33</v>
      </c>
      <c r="AJ357" s="13" t="s">
        <v>33</v>
      </c>
      <c r="AK357" s="13" t="s">
        <v>33</v>
      </c>
      <c r="AL357" s="6">
        <v>0</v>
      </c>
      <c r="AM357" s="13" t="s">
        <v>33</v>
      </c>
    </row>
    <row r="358" spans="1:39" ht="15" customHeight="1" x14ac:dyDescent="0.3">
      <c r="A358" s="6" t="s">
        <v>293</v>
      </c>
      <c r="B358" s="7" t="str">
        <f>Odds_Input!C317</f>
        <v>Joel Embiid</v>
      </c>
      <c r="C358" s="6" t="s">
        <v>33</v>
      </c>
      <c r="D358" s="7" t="str">
        <f>Odds_Input!D317</f>
        <v>YES</v>
      </c>
      <c r="E358" s="31" t="str">
        <f>Odds_Input!E317</f>
        <v>-</v>
      </c>
      <c r="F358" s="32">
        <f>Odds_Input!F317</f>
        <v>15000</v>
      </c>
      <c r="G358" s="36">
        <f>M_DeVig!H317</f>
        <v>151</v>
      </c>
      <c r="H358" s="7" t="str">
        <f>Odds_Input!G317</f>
        <v>-</v>
      </c>
      <c r="I358" s="42">
        <f>M_DeVig!Q317</f>
        <v>1.9654759300995845E-3</v>
      </c>
      <c r="J358" s="13" t="s">
        <v>33</v>
      </c>
      <c r="K358" s="43">
        <f t="shared" si="114"/>
        <v>50778.262342766677</v>
      </c>
      <c r="L358" s="13" t="s">
        <v>33</v>
      </c>
      <c r="M358" s="13" t="s">
        <v>33</v>
      </c>
      <c r="N358" s="13" t="s">
        <v>33</v>
      </c>
      <c r="O358" s="13" t="s">
        <v>33</v>
      </c>
      <c r="P358" s="13" t="s">
        <v>33</v>
      </c>
      <c r="Q358" s="13" t="s">
        <v>33</v>
      </c>
      <c r="R358" s="13" t="s">
        <v>33</v>
      </c>
      <c r="S358" s="13" t="s">
        <v>33</v>
      </c>
      <c r="T358" s="13" t="s">
        <v>33</v>
      </c>
      <c r="U358" s="13" t="s">
        <v>33</v>
      </c>
      <c r="V358" s="13" t="s">
        <v>33</v>
      </c>
      <c r="W358" s="6" t="b">
        <v>0</v>
      </c>
      <c r="X358" s="6" t="s">
        <v>1301</v>
      </c>
      <c r="Y358" s="6" t="s">
        <v>1326</v>
      </c>
      <c r="Z358" s="6">
        <v>309</v>
      </c>
      <c r="AA358" s="7" t="str">
        <f t="shared" si="115"/>
        <v>OK - sims match current assumptions</v>
      </c>
      <c r="AB358" s="13" t="s">
        <v>33</v>
      </c>
      <c r="AC358" s="13" t="s">
        <v>33</v>
      </c>
      <c r="AD358" s="13" t="s">
        <v>33</v>
      </c>
      <c r="AE358" s="13" t="s">
        <v>33</v>
      </c>
      <c r="AF358" s="13" t="s">
        <v>33</v>
      </c>
      <c r="AG358" s="13" t="s">
        <v>33</v>
      </c>
      <c r="AH358" s="6" t="b">
        <v>0</v>
      </c>
      <c r="AI358" s="13" t="s">
        <v>33</v>
      </c>
      <c r="AJ358" s="13" t="s">
        <v>33</v>
      </c>
      <c r="AK358" s="13" t="s">
        <v>33</v>
      </c>
      <c r="AL358" s="6">
        <v>0</v>
      </c>
      <c r="AM358" s="13" t="s">
        <v>33</v>
      </c>
    </row>
    <row r="359" spans="1:39" ht="15" customHeight="1" x14ac:dyDescent="0.3">
      <c r="A359" s="6" t="s">
        <v>293</v>
      </c>
      <c r="B359" s="7" t="str">
        <f>Odds_Input!C318</f>
        <v>Stephen Curry</v>
      </c>
      <c r="C359" s="6" t="s">
        <v>33</v>
      </c>
      <c r="D359" s="7" t="str">
        <f>Odds_Input!D318</f>
        <v>YES</v>
      </c>
      <c r="E359" s="31" t="str">
        <f>Odds_Input!E318</f>
        <v>-</v>
      </c>
      <c r="F359" s="32">
        <f>Odds_Input!F318</f>
        <v>15000</v>
      </c>
      <c r="G359" s="36">
        <f>M_DeVig!H318</f>
        <v>151</v>
      </c>
      <c r="H359" s="7" t="str">
        <f>Odds_Input!G318</f>
        <v>-</v>
      </c>
      <c r="I359" s="42">
        <f>M_DeVig!Q318</f>
        <v>1.9654759300995845E-3</v>
      </c>
      <c r="J359" s="13" t="s">
        <v>33</v>
      </c>
      <c r="K359" s="43">
        <f t="shared" si="114"/>
        <v>50778.262342766677</v>
      </c>
      <c r="L359" s="13" t="s">
        <v>33</v>
      </c>
      <c r="M359" s="13" t="s">
        <v>33</v>
      </c>
      <c r="N359" s="13" t="s">
        <v>33</v>
      </c>
      <c r="O359" s="13" t="s">
        <v>33</v>
      </c>
      <c r="P359" s="13" t="s">
        <v>33</v>
      </c>
      <c r="Q359" s="13" t="s">
        <v>33</v>
      </c>
      <c r="R359" s="13" t="s">
        <v>33</v>
      </c>
      <c r="S359" s="13" t="s">
        <v>33</v>
      </c>
      <c r="T359" s="13" t="s">
        <v>33</v>
      </c>
      <c r="U359" s="13" t="s">
        <v>33</v>
      </c>
      <c r="V359" s="13" t="s">
        <v>33</v>
      </c>
      <c r="W359" s="6" t="b">
        <v>0</v>
      </c>
      <c r="X359" s="6" t="s">
        <v>1301</v>
      </c>
      <c r="Y359" s="6" t="s">
        <v>1326</v>
      </c>
      <c r="Z359" s="6">
        <v>310</v>
      </c>
      <c r="AA359" s="7" t="str">
        <f t="shared" si="115"/>
        <v>OK - sims match current assumptions</v>
      </c>
      <c r="AB359" s="13" t="s">
        <v>33</v>
      </c>
      <c r="AC359" s="13" t="s">
        <v>33</v>
      </c>
      <c r="AD359" s="13" t="s">
        <v>33</v>
      </c>
      <c r="AE359" s="13" t="s">
        <v>33</v>
      </c>
      <c r="AF359" s="13" t="s">
        <v>33</v>
      </c>
      <c r="AG359" s="13" t="s">
        <v>33</v>
      </c>
      <c r="AH359" s="6" t="b">
        <v>0</v>
      </c>
      <c r="AI359" s="13" t="s">
        <v>33</v>
      </c>
      <c r="AJ359" s="13" t="s">
        <v>33</v>
      </c>
      <c r="AK359" s="13" t="s">
        <v>33</v>
      </c>
      <c r="AL359" s="6">
        <v>0</v>
      </c>
      <c r="AM359" s="13" t="s">
        <v>33</v>
      </c>
    </row>
    <row r="360" spans="1:39" ht="15" customHeight="1" x14ac:dyDescent="0.3">
      <c r="A360" s="6" t="s">
        <v>293</v>
      </c>
      <c r="B360" s="7" t="str">
        <f>Odds_Input!C319</f>
        <v>Devin Booker</v>
      </c>
      <c r="C360" s="6" t="s">
        <v>33</v>
      </c>
      <c r="D360" s="7" t="str">
        <f>Odds_Input!D319</f>
        <v>YES</v>
      </c>
      <c r="E360" s="31" t="str">
        <f>Odds_Input!E319</f>
        <v>-</v>
      </c>
      <c r="F360" s="32">
        <f>Odds_Input!F319</f>
        <v>15000</v>
      </c>
      <c r="G360" s="36">
        <f>M_DeVig!H319</f>
        <v>151</v>
      </c>
      <c r="H360" s="7" t="str">
        <f>Odds_Input!G319</f>
        <v>-</v>
      </c>
      <c r="I360" s="42">
        <f>M_DeVig!Q319</f>
        <v>1.9654759300995845E-3</v>
      </c>
      <c r="J360" s="13" t="s">
        <v>33</v>
      </c>
      <c r="K360" s="43">
        <f t="shared" si="114"/>
        <v>50778.262342766677</v>
      </c>
      <c r="L360" s="13" t="s">
        <v>33</v>
      </c>
      <c r="M360" s="13" t="s">
        <v>33</v>
      </c>
      <c r="N360" s="13" t="s">
        <v>33</v>
      </c>
      <c r="O360" s="13" t="s">
        <v>33</v>
      </c>
      <c r="P360" s="13" t="s">
        <v>33</v>
      </c>
      <c r="Q360" s="13" t="s">
        <v>33</v>
      </c>
      <c r="R360" s="13" t="s">
        <v>33</v>
      </c>
      <c r="S360" s="13" t="s">
        <v>33</v>
      </c>
      <c r="T360" s="13" t="s">
        <v>33</v>
      </c>
      <c r="U360" s="13" t="s">
        <v>33</v>
      </c>
      <c r="V360" s="13" t="s">
        <v>33</v>
      </c>
      <c r="W360" s="6" t="b">
        <v>0</v>
      </c>
      <c r="X360" s="6" t="s">
        <v>1301</v>
      </c>
      <c r="Y360" s="6" t="s">
        <v>1326</v>
      </c>
      <c r="Z360" s="6">
        <v>311</v>
      </c>
      <c r="AA360" s="7" t="str">
        <f t="shared" si="115"/>
        <v>OK - sims match current assumptions</v>
      </c>
      <c r="AB360" s="13" t="s">
        <v>33</v>
      </c>
      <c r="AC360" s="13" t="s">
        <v>33</v>
      </c>
      <c r="AD360" s="13" t="s">
        <v>33</v>
      </c>
      <c r="AE360" s="13" t="s">
        <v>33</v>
      </c>
      <c r="AF360" s="13" t="s">
        <v>33</v>
      </c>
      <c r="AG360" s="13" t="s">
        <v>33</v>
      </c>
      <c r="AH360" s="6" t="b">
        <v>0</v>
      </c>
      <c r="AI360" s="13" t="s">
        <v>33</v>
      </c>
      <c r="AJ360" s="13" t="s">
        <v>33</v>
      </c>
      <c r="AK360" s="13" t="s">
        <v>33</v>
      </c>
      <c r="AL360" s="6">
        <v>0</v>
      </c>
      <c r="AM360" s="13" t="s">
        <v>33</v>
      </c>
    </row>
    <row r="361" spans="1:39" ht="15" customHeight="1" x14ac:dyDescent="0.3">
      <c r="A361" s="6" t="s">
        <v>293</v>
      </c>
      <c r="B361" s="7" t="str">
        <f>Odds_Input!C320</f>
        <v>Kevin Durant</v>
      </c>
      <c r="C361" s="6" t="s">
        <v>33</v>
      </c>
      <c r="D361" s="7" t="str">
        <f>Odds_Input!D320</f>
        <v>YES</v>
      </c>
      <c r="E361" s="31" t="str">
        <f>Odds_Input!E320</f>
        <v>-</v>
      </c>
      <c r="F361" s="32">
        <f>Odds_Input!F320</f>
        <v>15000</v>
      </c>
      <c r="G361" s="36">
        <f>M_DeVig!H320</f>
        <v>151</v>
      </c>
      <c r="H361" s="7" t="str">
        <f>Odds_Input!G320</f>
        <v>-</v>
      </c>
      <c r="I361" s="42">
        <f>M_DeVig!Q320</f>
        <v>1.9654759300995845E-3</v>
      </c>
      <c r="J361" s="13" t="s">
        <v>33</v>
      </c>
      <c r="K361" s="43">
        <f t="shared" si="114"/>
        <v>50778.262342766677</v>
      </c>
      <c r="L361" s="13" t="s">
        <v>33</v>
      </c>
      <c r="M361" s="13" t="s">
        <v>33</v>
      </c>
      <c r="N361" s="13" t="s">
        <v>33</v>
      </c>
      <c r="O361" s="13" t="s">
        <v>33</v>
      </c>
      <c r="P361" s="13" t="s">
        <v>33</v>
      </c>
      <c r="Q361" s="13" t="s">
        <v>33</v>
      </c>
      <c r="R361" s="13" t="s">
        <v>33</v>
      </c>
      <c r="S361" s="13" t="s">
        <v>33</v>
      </c>
      <c r="T361" s="13" t="s">
        <v>33</v>
      </c>
      <c r="U361" s="13" t="s">
        <v>33</v>
      </c>
      <c r="V361" s="13" t="s">
        <v>33</v>
      </c>
      <c r="W361" s="6" t="b">
        <v>0</v>
      </c>
      <c r="X361" s="6" t="s">
        <v>1301</v>
      </c>
      <c r="Y361" s="6" t="s">
        <v>1326</v>
      </c>
      <c r="Z361" s="6">
        <v>312</v>
      </c>
      <c r="AA361" s="7" t="str">
        <f t="shared" si="115"/>
        <v>OK - sims match current assumptions</v>
      </c>
      <c r="AB361" s="13" t="s">
        <v>33</v>
      </c>
      <c r="AC361" s="13" t="s">
        <v>33</v>
      </c>
      <c r="AD361" s="13" t="s">
        <v>33</v>
      </c>
      <c r="AE361" s="13" t="s">
        <v>33</v>
      </c>
      <c r="AF361" s="13" t="s">
        <v>33</v>
      </c>
      <c r="AG361" s="13" t="s">
        <v>33</v>
      </c>
      <c r="AH361" s="6" t="b">
        <v>0</v>
      </c>
      <c r="AI361" s="13" t="s">
        <v>33</v>
      </c>
      <c r="AJ361" s="13" t="s">
        <v>33</v>
      </c>
      <c r="AK361" s="13" t="s">
        <v>33</v>
      </c>
      <c r="AL361" s="6">
        <v>0</v>
      </c>
      <c r="AM361" s="13" t="s">
        <v>33</v>
      </c>
    </row>
    <row r="362" spans="1:39" ht="15" customHeight="1" x14ac:dyDescent="0.3">
      <c r="A362" s="6" t="s">
        <v>293</v>
      </c>
      <c r="B362" s="7" t="str">
        <f>Odds_Input!C321</f>
        <v>Scottie Barnes</v>
      </c>
      <c r="C362" s="6" t="s">
        <v>33</v>
      </c>
      <c r="D362" s="7" t="str">
        <f>Odds_Input!D321</f>
        <v>YES</v>
      </c>
      <c r="E362" s="31" t="str">
        <f>Odds_Input!E321</f>
        <v>-</v>
      </c>
      <c r="F362" s="32">
        <f>Odds_Input!F321</f>
        <v>25000</v>
      </c>
      <c r="G362" s="36">
        <f>M_DeVig!H321</f>
        <v>251</v>
      </c>
      <c r="H362" s="7" t="str">
        <f>Odds_Input!G321</f>
        <v>-</v>
      </c>
      <c r="I362" s="42">
        <f>M_DeVig!Q321</f>
        <v>7.629516951347089E-4</v>
      </c>
      <c r="J362" s="13" t="s">
        <v>33</v>
      </c>
      <c r="K362" s="43">
        <f t="shared" si="114"/>
        <v>130969.89687249297</v>
      </c>
      <c r="L362" s="13" t="s">
        <v>33</v>
      </c>
      <c r="M362" s="13" t="s">
        <v>33</v>
      </c>
      <c r="N362" s="13" t="s">
        <v>33</v>
      </c>
      <c r="O362" s="13" t="s">
        <v>33</v>
      </c>
      <c r="P362" s="13" t="s">
        <v>33</v>
      </c>
      <c r="Q362" s="13" t="s">
        <v>33</v>
      </c>
      <c r="R362" s="13" t="s">
        <v>33</v>
      </c>
      <c r="S362" s="13" t="s">
        <v>33</v>
      </c>
      <c r="T362" s="13" t="s">
        <v>33</v>
      </c>
      <c r="U362" s="13" t="s">
        <v>33</v>
      </c>
      <c r="V362" s="13" t="s">
        <v>33</v>
      </c>
      <c r="W362" s="6" t="b">
        <v>0</v>
      </c>
      <c r="X362" s="6" t="s">
        <v>1301</v>
      </c>
      <c r="Y362" s="6" t="s">
        <v>1326</v>
      </c>
      <c r="Z362" s="6">
        <v>313</v>
      </c>
      <c r="AA362" s="7" t="str">
        <f t="shared" si="115"/>
        <v>OK - sims match current assumptions</v>
      </c>
      <c r="AB362" s="13" t="s">
        <v>33</v>
      </c>
      <c r="AC362" s="13" t="s">
        <v>33</v>
      </c>
      <c r="AD362" s="13" t="s">
        <v>33</v>
      </c>
      <c r="AE362" s="13" t="s">
        <v>33</v>
      </c>
      <c r="AF362" s="13" t="s">
        <v>33</v>
      </c>
      <c r="AG362" s="13" t="s">
        <v>33</v>
      </c>
      <c r="AH362" s="6" t="b">
        <v>0</v>
      </c>
      <c r="AI362" s="13" t="s">
        <v>33</v>
      </c>
      <c r="AJ362" s="13" t="s">
        <v>33</v>
      </c>
      <c r="AK362" s="13" t="s">
        <v>33</v>
      </c>
      <c r="AL362" s="6">
        <v>0</v>
      </c>
      <c r="AM362" s="13" t="s">
        <v>33</v>
      </c>
    </row>
    <row r="363" spans="1:39" ht="15" customHeight="1" x14ac:dyDescent="0.3">
      <c r="A363" s="6" t="s">
        <v>293</v>
      </c>
      <c r="B363" s="7" t="str">
        <f>Odds_Input!C322</f>
        <v>Deni Avdija</v>
      </c>
      <c r="C363" s="6" t="s">
        <v>33</v>
      </c>
      <c r="D363" s="7" t="str">
        <f>Odds_Input!D322</f>
        <v>YES</v>
      </c>
      <c r="E363" s="31" t="str">
        <f>Odds_Input!E322</f>
        <v>-</v>
      </c>
      <c r="F363" s="32">
        <f>Odds_Input!F322</f>
        <v>25000</v>
      </c>
      <c r="G363" s="36">
        <f>M_DeVig!H322</f>
        <v>251</v>
      </c>
      <c r="H363" s="7" t="str">
        <f>Odds_Input!G322</f>
        <v>-</v>
      </c>
      <c r="I363" s="42">
        <f>M_DeVig!Q322</f>
        <v>7.629516951347089E-4</v>
      </c>
      <c r="J363" s="13" t="s">
        <v>33</v>
      </c>
      <c r="K363" s="43">
        <f t="shared" si="114"/>
        <v>130969.89687249297</v>
      </c>
      <c r="L363" s="13" t="s">
        <v>33</v>
      </c>
      <c r="M363" s="13" t="s">
        <v>33</v>
      </c>
      <c r="N363" s="13" t="s">
        <v>33</v>
      </c>
      <c r="O363" s="13" t="s">
        <v>33</v>
      </c>
      <c r="P363" s="13" t="s">
        <v>33</v>
      </c>
      <c r="Q363" s="13" t="s">
        <v>33</v>
      </c>
      <c r="R363" s="13" t="s">
        <v>33</v>
      </c>
      <c r="S363" s="13" t="s">
        <v>33</v>
      </c>
      <c r="T363" s="13" t="s">
        <v>33</v>
      </c>
      <c r="U363" s="13" t="s">
        <v>33</v>
      </c>
      <c r="V363" s="13" t="s">
        <v>33</v>
      </c>
      <c r="W363" s="6" t="b">
        <v>0</v>
      </c>
      <c r="X363" s="6" t="s">
        <v>1301</v>
      </c>
      <c r="Y363" s="6" t="s">
        <v>1326</v>
      </c>
      <c r="Z363" s="6">
        <v>314</v>
      </c>
      <c r="AA363" s="7" t="str">
        <f t="shared" si="115"/>
        <v>OK - sims match current assumptions</v>
      </c>
      <c r="AB363" s="13" t="s">
        <v>33</v>
      </c>
      <c r="AC363" s="13" t="s">
        <v>33</v>
      </c>
      <c r="AD363" s="13" t="s">
        <v>33</v>
      </c>
      <c r="AE363" s="13" t="s">
        <v>33</v>
      </c>
      <c r="AF363" s="13" t="s">
        <v>33</v>
      </c>
      <c r="AG363" s="13" t="s">
        <v>33</v>
      </c>
      <c r="AH363" s="6" t="b">
        <v>0</v>
      </c>
      <c r="AI363" s="13" t="s">
        <v>33</v>
      </c>
      <c r="AJ363" s="13" t="s">
        <v>33</v>
      </c>
      <c r="AK363" s="13" t="s">
        <v>33</v>
      </c>
      <c r="AL363" s="6">
        <v>0</v>
      </c>
      <c r="AM363" s="13" t="s">
        <v>33</v>
      </c>
    </row>
    <row r="364" spans="1:39" ht="15" customHeight="1" x14ac:dyDescent="0.3">
      <c r="A364" s="6" t="s">
        <v>293</v>
      </c>
      <c r="B364" s="7" t="str">
        <f>Odds_Input!C323</f>
        <v>LaMelo Ball</v>
      </c>
      <c r="C364" s="6" t="s">
        <v>33</v>
      </c>
      <c r="D364" s="7" t="str">
        <f>Odds_Input!D323</f>
        <v>YES</v>
      </c>
      <c r="E364" s="31" t="str">
        <f>Odds_Input!E323</f>
        <v>-</v>
      </c>
      <c r="F364" s="32">
        <f>Odds_Input!F323</f>
        <v>15000</v>
      </c>
      <c r="G364" s="36">
        <f>M_DeVig!H323</f>
        <v>151</v>
      </c>
      <c r="H364" s="7" t="str">
        <f>Odds_Input!G323</f>
        <v>-</v>
      </c>
      <c r="I364" s="42">
        <f>M_DeVig!Q323</f>
        <v>1.9654759300995845E-3</v>
      </c>
      <c r="J364" s="13" t="s">
        <v>33</v>
      </c>
      <c r="K364" s="43">
        <f t="shared" si="114"/>
        <v>50778.262342766677</v>
      </c>
      <c r="L364" s="13" t="s">
        <v>33</v>
      </c>
      <c r="M364" s="13" t="s">
        <v>33</v>
      </c>
      <c r="N364" s="13" t="s">
        <v>33</v>
      </c>
      <c r="O364" s="13" t="s">
        <v>33</v>
      </c>
      <c r="P364" s="13" t="s">
        <v>33</v>
      </c>
      <c r="Q364" s="13" t="s">
        <v>33</v>
      </c>
      <c r="R364" s="13" t="s">
        <v>33</v>
      </c>
      <c r="S364" s="13" t="s">
        <v>33</v>
      </c>
      <c r="T364" s="13" t="s">
        <v>33</v>
      </c>
      <c r="U364" s="13" t="s">
        <v>33</v>
      </c>
      <c r="V364" s="13" t="s">
        <v>33</v>
      </c>
      <c r="W364" s="6" t="b">
        <v>0</v>
      </c>
      <c r="X364" s="6" t="s">
        <v>1301</v>
      </c>
      <c r="Y364" s="6" t="s">
        <v>1326</v>
      </c>
      <c r="Z364" s="6">
        <v>315</v>
      </c>
      <c r="AA364" s="7" t="str">
        <f t="shared" si="115"/>
        <v>OK - sims match current assumptions</v>
      </c>
      <c r="AB364" s="13" t="s">
        <v>33</v>
      </c>
      <c r="AC364" s="13" t="s">
        <v>33</v>
      </c>
      <c r="AD364" s="13" t="s">
        <v>33</v>
      </c>
      <c r="AE364" s="13" t="s">
        <v>33</v>
      </c>
      <c r="AF364" s="13" t="s">
        <v>33</v>
      </c>
      <c r="AG364" s="13" t="s">
        <v>33</v>
      </c>
      <c r="AH364" s="6" t="b">
        <v>0</v>
      </c>
      <c r="AI364" s="13" t="s">
        <v>33</v>
      </c>
      <c r="AJ364" s="13" t="s">
        <v>33</v>
      </c>
      <c r="AK364" s="13" t="s">
        <v>33</v>
      </c>
      <c r="AL364" s="6">
        <v>0</v>
      </c>
      <c r="AM364" s="13" t="s">
        <v>33</v>
      </c>
    </row>
    <row r="365" spans="1:39" ht="15" customHeight="1" x14ac:dyDescent="0.3">
      <c r="A365" s="6" t="s">
        <v>293</v>
      </c>
      <c r="B365" s="7" t="str">
        <f>Odds_Input!C324</f>
        <v>Jalen Johnson</v>
      </c>
      <c r="C365" s="6" t="s">
        <v>33</v>
      </c>
      <c r="D365" s="7" t="str">
        <f>Odds_Input!D324</f>
        <v>YES</v>
      </c>
      <c r="E365" s="31" t="str">
        <f>Odds_Input!E324</f>
        <v>-</v>
      </c>
      <c r="F365" s="32">
        <f>Odds_Input!F324</f>
        <v>25000</v>
      </c>
      <c r="G365" s="36">
        <f>M_DeVig!H324</f>
        <v>251</v>
      </c>
      <c r="H365" s="7" t="str">
        <f>Odds_Input!G324</f>
        <v>-</v>
      </c>
      <c r="I365" s="42">
        <f>M_DeVig!Q324</f>
        <v>7.629516951347089E-4</v>
      </c>
      <c r="J365" s="13" t="s">
        <v>33</v>
      </c>
      <c r="K365" s="43">
        <f t="shared" si="114"/>
        <v>130969.89687249297</v>
      </c>
      <c r="L365" s="13" t="s">
        <v>33</v>
      </c>
      <c r="M365" s="13" t="s">
        <v>33</v>
      </c>
      <c r="N365" s="13" t="s">
        <v>33</v>
      </c>
      <c r="O365" s="13" t="s">
        <v>33</v>
      </c>
      <c r="P365" s="13" t="s">
        <v>33</v>
      </c>
      <c r="Q365" s="13" t="s">
        <v>33</v>
      </c>
      <c r="R365" s="13" t="s">
        <v>33</v>
      </c>
      <c r="S365" s="13" t="s">
        <v>33</v>
      </c>
      <c r="T365" s="13" t="s">
        <v>33</v>
      </c>
      <c r="U365" s="13" t="s">
        <v>33</v>
      </c>
      <c r="V365" s="13" t="s">
        <v>33</v>
      </c>
      <c r="W365" s="6" t="b">
        <v>0</v>
      </c>
      <c r="X365" s="6" t="s">
        <v>1301</v>
      </c>
      <c r="Y365" s="6" t="s">
        <v>1326</v>
      </c>
      <c r="Z365" s="6">
        <v>316</v>
      </c>
      <c r="AA365" s="7" t="str">
        <f t="shared" si="115"/>
        <v>OK - sims match current assumptions</v>
      </c>
      <c r="AB365" s="13" t="s">
        <v>33</v>
      </c>
      <c r="AC365" s="13" t="s">
        <v>33</v>
      </c>
      <c r="AD365" s="13" t="s">
        <v>33</v>
      </c>
      <c r="AE365" s="13" t="s">
        <v>33</v>
      </c>
      <c r="AF365" s="13" t="s">
        <v>33</v>
      </c>
      <c r="AG365" s="13" t="s">
        <v>33</v>
      </c>
      <c r="AH365" s="6" t="b">
        <v>0</v>
      </c>
      <c r="AI365" s="13" t="s">
        <v>33</v>
      </c>
      <c r="AJ365" s="13" t="s">
        <v>33</v>
      </c>
      <c r="AK365" s="13" t="s">
        <v>33</v>
      </c>
      <c r="AL365" s="6">
        <v>0</v>
      </c>
      <c r="AM365" s="13" t="s">
        <v>33</v>
      </c>
    </row>
    <row r="366" spans="1:39" ht="15" customHeight="1" x14ac:dyDescent="0.3">
      <c r="A366" s="6" t="s">
        <v>293</v>
      </c>
      <c r="B366" s="7" t="str">
        <f>Odds_Input!C325</f>
        <v>LeBron James</v>
      </c>
      <c r="C366" s="6" t="s">
        <v>33</v>
      </c>
      <c r="D366" s="7" t="str">
        <f>Odds_Input!D325</f>
        <v>YES</v>
      </c>
      <c r="E366" s="31" t="str">
        <f>Odds_Input!E325</f>
        <v>-</v>
      </c>
      <c r="F366" s="32">
        <f>Odds_Input!F325</f>
        <v>20000</v>
      </c>
      <c r="G366" s="36">
        <f>M_DeVig!H325</f>
        <v>201</v>
      </c>
      <c r="H366" s="7" t="str">
        <f>Odds_Input!G325</f>
        <v>-</v>
      </c>
      <c r="I366" s="42">
        <f>M_DeVig!Q325</f>
        <v>1.1617810734133806E-3</v>
      </c>
      <c r="J366" s="13" t="s">
        <v>33</v>
      </c>
      <c r="K366" s="43">
        <f t="shared" si="114"/>
        <v>85974.736702496069</v>
      </c>
      <c r="L366" s="13" t="s">
        <v>33</v>
      </c>
      <c r="M366" s="13" t="s">
        <v>33</v>
      </c>
      <c r="N366" s="13" t="s">
        <v>33</v>
      </c>
      <c r="O366" s="13" t="s">
        <v>33</v>
      </c>
      <c r="P366" s="13" t="s">
        <v>33</v>
      </c>
      <c r="Q366" s="13" t="s">
        <v>33</v>
      </c>
      <c r="R366" s="13" t="s">
        <v>33</v>
      </c>
      <c r="S366" s="13" t="s">
        <v>33</v>
      </c>
      <c r="T366" s="13" t="s">
        <v>33</v>
      </c>
      <c r="U366" s="13" t="s">
        <v>33</v>
      </c>
      <c r="V366" s="13" t="s">
        <v>33</v>
      </c>
      <c r="W366" s="6" t="b">
        <v>0</v>
      </c>
      <c r="X366" s="6" t="s">
        <v>1301</v>
      </c>
      <c r="Y366" s="6" t="s">
        <v>1326</v>
      </c>
      <c r="Z366" s="6">
        <v>317</v>
      </c>
      <c r="AA366" s="7" t="str">
        <f t="shared" si="115"/>
        <v>OK - sims match current assumptions</v>
      </c>
      <c r="AB366" s="13" t="s">
        <v>33</v>
      </c>
      <c r="AC366" s="13" t="s">
        <v>33</v>
      </c>
      <c r="AD366" s="13" t="s">
        <v>33</v>
      </c>
      <c r="AE366" s="13" t="s">
        <v>33</v>
      </c>
      <c r="AF366" s="13" t="s">
        <v>33</v>
      </c>
      <c r="AG366" s="13" t="s">
        <v>33</v>
      </c>
      <c r="AH366" s="6" t="b">
        <v>0</v>
      </c>
      <c r="AI366" s="13" t="s">
        <v>33</v>
      </c>
      <c r="AJ366" s="13" t="s">
        <v>33</v>
      </c>
      <c r="AK366" s="13" t="s">
        <v>33</v>
      </c>
      <c r="AL366" s="6">
        <v>0</v>
      </c>
      <c r="AM366" s="13" t="s">
        <v>33</v>
      </c>
    </row>
    <row r="367" spans="1:39" ht="15" customHeight="1" x14ac:dyDescent="0.3">
      <c r="A367" s="6" t="s">
        <v>293</v>
      </c>
      <c r="B367" s="7" t="str">
        <f>Odds_Input!C326</f>
        <v>Paolo Banchero</v>
      </c>
      <c r="C367" s="6" t="s">
        <v>33</v>
      </c>
      <c r="D367" s="7" t="str">
        <f>Odds_Input!D326</f>
        <v>YES</v>
      </c>
      <c r="E367" s="31" t="str">
        <f>Odds_Input!E326</f>
        <v>-</v>
      </c>
      <c r="F367" s="32">
        <f>Odds_Input!F326</f>
        <v>25000</v>
      </c>
      <c r="G367" s="36">
        <f>M_DeVig!H326</f>
        <v>251</v>
      </c>
      <c r="H367" s="7" t="str">
        <f>Odds_Input!G326</f>
        <v>-</v>
      </c>
      <c r="I367" s="42">
        <f>M_DeVig!Q326</f>
        <v>7.629516951347089E-4</v>
      </c>
      <c r="J367" s="13" t="s">
        <v>33</v>
      </c>
      <c r="K367" s="43">
        <f t="shared" si="114"/>
        <v>130969.89687249297</v>
      </c>
      <c r="L367" s="13" t="s">
        <v>33</v>
      </c>
      <c r="M367" s="13" t="s">
        <v>33</v>
      </c>
      <c r="N367" s="13" t="s">
        <v>33</v>
      </c>
      <c r="O367" s="13" t="s">
        <v>33</v>
      </c>
      <c r="P367" s="13" t="s">
        <v>33</v>
      </c>
      <c r="Q367" s="13" t="s">
        <v>33</v>
      </c>
      <c r="R367" s="13" t="s">
        <v>33</v>
      </c>
      <c r="S367" s="13" t="s">
        <v>33</v>
      </c>
      <c r="T367" s="13" t="s">
        <v>33</v>
      </c>
      <c r="U367" s="13" t="s">
        <v>33</v>
      </c>
      <c r="V367" s="13" t="s">
        <v>33</v>
      </c>
      <c r="W367" s="6" t="b">
        <v>0</v>
      </c>
      <c r="X367" s="6" t="s">
        <v>1301</v>
      </c>
      <c r="Y367" s="6" t="s">
        <v>1326</v>
      </c>
      <c r="Z367" s="6">
        <v>318</v>
      </c>
      <c r="AA367" s="7" t="str">
        <f t="shared" si="115"/>
        <v>OK - sims match current assumptions</v>
      </c>
      <c r="AB367" s="13" t="s">
        <v>33</v>
      </c>
      <c r="AC367" s="13" t="s">
        <v>33</v>
      </c>
      <c r="AD367" s="13" t="s">
        <v>33</v>
      </c>
      <c r="AE367" s="13" t="s">
        <v>33</v>
      </c>
      <c r="AF367" s="13" t="s">
        <v>33</v>
      </c>
      <c r="AG367" s="13" t="s">
        <v>33</v>
      </c>
      <c r="AH367" s="6" t="b">
        <v>0</v>
      </c>
      <c r="AI367" s="13" t="s">
        <v>33</v>
      </c>
      <c r="AJ367" s="13" t="s">
        <v>33</v>
      </c>
      <c r="AK367" s="13" t="s">
        <v>33</v>
      </c>
      <c r="AL367" s="6">
        <v>0</v>
      </c>
      <c r="AM367" s="13" t="s">
        <v>33</v>
      </c>
    </row>
    <row r="368" spans="1:39" ht="15" customHeight="1" x14ac:dyDescent="0.3">
      <c r="A368" s="6" t="s">
        <v>293</v>
      </c>
      <c r="B368" s="7" t="str">
        <f>Odds_Input!C327</f>
        <v>Zion Williamson</v>
      </c>
      <c r="C368" s="6" t="s">
        <v>33</v>
      </c>
      <c r="D368" s="7" t="str">
        <f>Odds_Input!D327</f>
        <v>YES</v>
      </c>
      <c r="E368" s="31" t="str">
        <f>Odds_Input!E327</f>
        <v>-</v>
      </c>
      <c r="F368" s="32">
        <f>Odds_Input!F327</f>
        <v>25000</v>
      </c>
      <c r="G368" s="36">
        <f>M_DeVig!H327</f>
        <v>251</v>
      </c>
      <c r="H368" s="7" t="str">
        <f>Odds_Input!G327</f>
        <v>-</v>
      </c>
      <c r="I368" s="42">
        <f>M_DeVig!Q327</f>
        <v>7.629516951347089E-4</v>
      </c>
      <c r="J368" s="13" t="s">
        <v>33</v>
      </c>
      <c r="K368" s="43">
        <f t="shared" si="114"/>
        <v>130969.89687249297</v>
      </c>
      <c r="L368" s="13" t="s">
        <v>33</v>
      </c>
      <c r="M368" s="13" t="s">
        <v>33</v>
      </c>
      <c r="N368" s="13" t="s">
        <v>33</v>
      </c>
      <c r="O368" s="13" t="s">
        <v>33</v>
      </c>
      <c r="P368" s="13" t="s">
        <v>33</v>
      </c>
      <c r="Q368" s="13" t="s">
        <v>33</v>
      </c>
      <c r="R368" s="13" t="s">
        <v>33</v>
      </c>
      <c r="S368" s="13" t="s">
        <v>33</v>
      </c>
      <c r="T368" s="13" t="s">
        <v>33</v>
      </c>
      <c r="U368" s="13" t="s">
        <v>33</v>
      </c>
      <c r="V368" s="13" t="s">
        <v>33</v>
      </c>
      <c r="W368" s="6" t="b">
        <v>0</v>
      </c>
      <c r="X368" s="6" t="s">
        <v>1301</v>
      </c>
      <c r="Y368" s="6" t="s">
        <v>1326</v>
      </c>
      <c r="Z368" s="6">
        <v>319</v>
      </c>
      <c r="AA368" s="7" t="str">
        <f t="shared" si="115"/>
        <v>OK - sims match current assumptions</v>
      </c>
      <c r="AB368" s="13" t="s">
        <v>33</v>
      </c>
      <c r="AC368" s="13" t="s">
        <v>33</v>
      </c>
      <c r="AD368" s="13" t="s">
        <v>33</v>
      </c>
      <c r="AE368" s="13" t="s">
        <v>33</v>
      </c>
      <c r="AF368" s="13" t="s">
        <v>33</v>
      </c>
      <c r="AG368" s="13" t="s">
        <v>33</v>
      </c>
      <c r="AH368" s="6" t="b">
        <v>0</v>
      </c>
      <c r="AI368" s="13" t="s">
        <v>33</v>
      </c>
      <c r="AJ368" s="13" t="s">
        <v>33</v>
      </c>
      <c r="AK368" s="13" t="s">
        <v>33</v>
      </c>
      <c r="AL368" s="6">
        <v>0</v>
      </c>
      <c r="AM368" s="13" t="s">
        <v>33</v>
      </c>
    </row>
    <row r="369" spans="1:39" ht="15" customHeight="1" x14ac:dyDescent="0.3">
      <c r="A369" s="6" t="s">
        <v>293</v>
      </c>
      <c r="B369" s="7" t="str">
        <f>Odds_Input!C328</f>
        <v>Jamal Murray</v>
      </c>
      <c r="C369" s="6" t="s">
        <v>33</v>
      </c>
      <c r="D369" s="7" t="str">
        <f>Odds_Input!D328</f>
        <v>YES</v>
      </c>
      <c r="E369" s="31" t="str">
        <f>Odds_Input!E328</f>
        <v>-</v>
      </c>
      <c r="F369" s="32">
        <f>Odds_Input!F328</f>
        <v>25000</v>
      </c>
      <c r="G369" s="36">
        <f>M_DeVig!H328</f>
        <v>251</v>
      </c>
      <c r="H369" s="7" t="str">
        <f>Odds_Input!G328</f>
        <v>-</v>
      </c>
      <c r="I369" s="42">
        <f>M_DeVig!Q328</f>
        <v>7.629516951347089E-4</v>
      </c>
      <c r="J369" s="13" t="s">
        <v>33</v>
      </c>
      <c r="K369" s="43">
        <f t="shared" si="114"/>
        <v>130969.89687249297</v>
      </c>
      <c r="L369" s="13" t="s">
        <v>33</v>
      </c>
      <c r="M369" s="13" t="s">
        <v>33</v>
      </c>
      <c r="N369" s="13" t="s">
        <v>33</v>
      </c>
      <c r="O369" s="13" t="s">
        <v>33</v>
      </c>
      <c r="P369" s="13" t="s">
        <v>33</v>
      </c>
      <c r="Q369" s="13" t="s">
        <v>33</v>
      </c>
      <c r="R369" s="13" t="s">
        <v>33</v>
      </c>
      <c r="S369" s="13" t="s">
        <v>33</v>
      </c>
      <c r="T369" s="13" t="s">
        <v>33</v>
      </c>
      <c r="U369" s="13" t="s">
        <v>33</v>
      </c>
      <c r="V369" s="13" t="s">
        <v>33</v>
      </c>
      <c r="W369" s="6" t="b">
        <v>0</v>
      </c>
      <c r="X369" s="6" t="s">
        <v>1301</v>
      </c>
      <c r="Y369" s="6" t="s">
        <v>1326</v>
      </c>
      <c r="Z369" s="6">
        <v>320</v>
      </c>
      <c r="AA369" s="7" t="str">
        <f t="shared" si="115"/>
        <v>OK - sims match current assumptions</v>
      </c>
      <c r="AB369" s="13" t="s">
        <v>33</v>
      </c>
      <c r="AC369" s="13" t="s">
        <v>33</v>
      </c>
      <c r="AD369" s="13" t="s">
        <v>33</v>
      </c>
      <c r="AE369" s="13" t="s">
        <v>33</v>
      </c>
      <c r="AF369" s="13" t="s">
        <v>33</v>
      </c>
      <c r="AG369" s="13" t="s">
        <v>33</v>
      </c>
      <c r="AH369" s="6" t="b">
        <v>0</v>
      </c>
      <c r="AI369" s="13" t="s">
        <v>33</v>
      </c>
      <c r="AJ369" s="13" t="s">
        <v>33</v>
      </c>
      <c r="AK369" s="13" t="s">
        <v>33</v>
      </c>
      <c r="AL369" s="6">
        <v>0</v>
      </c>
      <c r="AM369" s="13" t="s">
        <v>33</v>
      </c>
    </row>
    <row r="370" spans="1:39" ht="15" customHeight="1" x14ac:dyDescent="0.3">
      <c r="A370" s="6" t="s">
        <v>293</v>
      </c>
      <c r="B370" s="7" t="str">
        <f>Odds_Input!C329</f>
        <v>Anthony Davis</v>
      </c>
      <c r="C370" s="6" t="s">
        <v>33</v>
      </c>
      <c r="D370" s="7" t="str">
        <f>Odds_Input!D329</f>
        <v>YES</v>
      </c>
      <c r="E370" s="31" t="str">
        <f>Odds_Input!E329</f>
        <v>-</v>
      </c>
      <c r="F370" s="32">
        <f>Odds_Input!F329</f>
        <v>25000</v>
      </c>
      <c r="G370" s="36">
        <f>M_DeVig!H329</f>
        <v>251</v>
      </c>
      <c r="H370" s="7" t="str">
        <f>Odds_Input!G329</f>
        <v>-</v>
      </c>
      <c r="I370" s="42">
        <f>M_DeVig!Q329</f>
        <v>7.629516951347089E-4</v>
      </c>
      <c r="J370" s="13" t="s">
        <v>33</v>
      </c>
      <c r="K370" s="43">
        <f t="shared" si="114"/>
        <v>130969.89687249297</v>
      </c>
      <c r="L370" s="13" t="s">
        <v>33</v>
      </c>
      <c r="M370" s="13" t="s">
        <v>33</v>
      </c>
      <c r="N370" s="13" t="s">
        <v>33</v>
      </c>
      <c r="O370" s="13" t="s">
        <v>33</v>
      </c>
      <c r="P370" s="13" t="s">
        <v>33</v>
      </c>
      <c r="Q370" s="13" t="s">
        <v>33</v>
      </c>
      <c r="R370" s="13" t="s">
        <v>33</v>
      </c>
      <c r="S370" s="13" t="s">
        <v>33</v>
      </c>
      <c r="T370" s="13" t="s">
        <v>33</v>
      </c>
      <c r="U370" s="13" t="s">
        <v>33</v>
      </c>
      <c r="V370" s="13" t="s">
        <v>33</v>
      </c>
      <c r="W370" s="6" t="b">
        <v>0</v>
      </c>
      <c r="X370" s="6" t="s">
        <v>1301</v>
      </c>
      <c r="Y370" s="6" t="s">
        <v>1326</v>
      </c>
      <c r="Z370" s="6">
        <v>321</v>
      </c>
      <c r="AA370" s="7" t="str">
        <f t="shared" si="115"/>
        <v>OK - sims match current assumptions</v>
      </c>
      <c r="AB370" s="13" t="s">
        <v>33</v>
      </c>
      <c r="AC370" s="13" t="s">
        <v>33</v>
      </c>
      <c r="AD370" s="13" t="s">
        <v>33</v>
      </c>
      <c r="AE370" s="13" t="s">
        <v>33</v>
      </c>
      <c r="AF370" s="13" t="s">
        <v>33</v>
      </c>
      <c r="AG370" s="13" t="s">
        <v>33</v>
      </c>
      <c r="AH370" s="6" t="b">
        <v>0</v>
      </c>
      <c r="AI370" s="13" t="s">
        <v>33</v>
      </c>
      <c r="AJ370" s="13" t="s">
        <v>33</v>
      </c>
      <c r="AK370" s="13" t="s">
        <v>33</v>
      </c>
      <c r="AL370" s="6">
        <v>0</v>
      </c>
      <c r="AM370" s="13" t="s">
        <v>33</v>
      </c>
    </row>
    <row r="371" spans="1:39" ht="15" customHeight="1" x14ac:dyDescent="0.3"/>
    <row r="372" spans="1:39" ht="15" customHeight="1" x14ac:dyDescent="0.3">
      <c r="A372" s="48" t="s">
        <v>322</v>
      </c>
      <c r="B372" s="49" t="s">
        <v>1327</v>
      </c>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row>
    <row r="373" spans="1:39" ht="15" customHeight="1" x14ac:dyDescent="0.3">
      <c r="A373" s="6" t="s">
        <v>322</v>
      </c>
      <c r="B373" s="7" t="str">
        <f>Odds_Input!C330</f>
        <v>Victor Wembanyama</v>
      </c>
      <c r="C373" s="6" t="s">
        <v>33</v>
      </c>
      <c r="D373" s="7" t="str">
        <f>Odds_Input!D330</f>
        <v>YES</v>
      </c>
      <c r="E373" s="31" t="str">
        <f>Odds_Input!E330</f>
        <v>-</v>
      </c>
      <c r="F373" s="32">
        <f>Odds_Input!F330</f>
        <v>-360</v>
      </c>
      <c r="G373" s="36">
        <f>M_DeVig!H330</f>
        <v>1.2777777777777777</v>
      </c>
      <c r="H373" s="7" t="str">
        <f>Odds_Input!G330</f>
        <v>-</v>
      </c>
      <c r="I373" s="42">
        <f>M_DeVig!Q330</f>
        <v>0.74009713785409281</v>
      </c>
      <c r="J373" s="13" t="s">
        <v>33</v>
      </c>
      <c r="K373" s="43">
        <f t="shared" ref="K373:K389" si="116">IF(I373&gt;=0.5,-100*I373/(1-I373),100*(1-I373)/I373)</f>
        <v>-284.75913337137808</v>
      </c>
      <c r="L373" s="13" t="s">
        <v>33</v>
      </c>
      <c r="M373" s="13" t="s">
        <v>33</v>
      </c>
      <c r="N373" s="13" t="s">
        <v>33</v>
      </c>
      <c r="O373" s="13" t="s">
        <v>33</v>
      </c>
      <c r="P373" s="13" t="s">
        <v>33</v>
      </c>
      <c r="Q373" s="13" t="s">
        <v>33</v>
      </c>
      <c r="R373" s="13" t="s">
        <v>33</v>
      </c>
      <c r="S373" s="13" t="s">
        <v>33</v>
      </c>
      <c r="T373" s="13" t="s">
        <v>33</v>
      </c>
      <c r="U373" s="13" t="s">
        <v>33</v>
      </c>
      <c r="V373" s="13" t="s">
        <v>33</v>
      </c>
      <c r="W373" s="6" t="b">
        <v>0</v>
      </c>
      <c r="X373" s="6" t="s">
        <v>1301</v>
      </c>
      <c r="Y373" s="6" t="s">
        <v>1326</v>
      </c>
      <c r="Z373" s="6">
        <v>322</v>
      </c>
      <c r="AA373" s="7" t="str">
        <f t="shared" ref="AA373:AA389" si="117">Sim_Stale</f>
        <v>OK - sims match current assumptions</v>
      </c>
      <c r="AB373" s="13" t="s">
        <v>33</v>
      </c>
      <c r="AC373" s="13" t="s">
        <v>33</v>
      </c>
      <c r="AD373" s="13" t="s">
        <v>33</v>
      </c>
      <c r="AE373" s="13" t="s">
        <v>33</v>
      </c>
      <c r="AF373" s="13" t="s">
        <v>33</v>
      </c>
      <c r="AG373" s="13" t="s">
        <v>33</v>
      </c>
      <c r="AH373" s="6" t="b">
        <v>0</v>
      </c>
      <c r="AI373" s="13" t="s">
        <v>33</v>
      </c>
      <c r="AJ373" s="13" t="s">
        <v>33</v>
      </c>
      <c r="AK373" s="13" t="s">
        <v>33</v>
      </c>
      <c r="AL373" s="6">
        <v>0</v>
      </c>
      <c r="AM373" s="13" t="s">
        <v>33</v>
      </c>
    </row>
    <row r="374" spans="1:39" ht="15" customHeight="1" x14ac:dyDescent="0.3">
      <c r="A374" s="6" t="s">
        <v>322</v>
      </c>
      <c r="B374" s="7" t="str">
        <f>Odds_Input!C331</f>
        <v>Chet Holmgren</v>
      </c>
      <c r="C374" s="6" t="s">
        <v>33</v>
      </c>
      <c r="D374" s="7" t="str">
        <f>Odds_Input!D331</f>
        <v>YES</v>
      </c>
      <c r="E374" s="31" t="str">
        <f>Odds_Input!E331</f>
        <v>-</v>
      </c>
      <c r="F374" s="32">
        <f>Odds_Input!F331</f>
        <v>1100</v>
      </c>
      <c r="G374" s="36">
        <f>M_DeVig!H331</f>
        <v>12</v>
      </c>
      <c r="H374" s="7" t="str">
        <f>Odds_Input!G331</f>
        <v>-</v>
      </c>
      <c r="I374" s="42">
        <f>M_DeVig!Q331</f>
        <v>7.5194828771956129E-2</v>
      </c>
      <c r="J374" s="13" t="s">
        <v>33</v>
      </c>
      <c r="K374" s="43">
        <f t="shared" si="116"/>
        <v>1229.8786849195533</v>
      </c>
      <c r="L374" s="13" t="s">
        <v>33</v>
      </c>
      <c r="M374" s="13" t="s">
        <v>33</v>
      </c>
      <c r="N374" s="13" t="s">
        <v>33</v>
      </c>
      <c r="O374" s="13" t="s">
        <v>33</v>
      </c>
      <c r="P374" s="13" t="s">
        <v>33</v>
      </c>
      <c r="Q374" s="13" t="s">
        <v>33</v>
      </c>
      <c r="R374" s="13" t="s">
        <v>33</v>
      </c>
      <c r="S374" s="13" t="s">
        <v>33</v>
      </c>
      <c r="T374" s="13" t="s">
        <v>33</v>
      </c>
      <c r="U374" s="13" t="s">
        <v>33</v>
      </c>
      <c r="V374" s="13" t="s">
        <v>33</v>
      </c>
      <c r="W374" s="6" t="b">
        <v>0</v>
      </c>
      <c r="X374" s="6" t="s">
        <v>1301</v>
      </c>
      <c r="Y374" s="6" t="s">
        <v>1326</v>
      </c>
      <c r="Z374" s="6">
        <v>323</v>
      </c>
      <c r="AA374" s="7" t="str">
        <f t="shared" si="117"/>
        <v>OK - sims match current assumptions</v>
      </c>
      <c r="AB374" s="13" t="s">
        <v>33</v>
      </c>
      <c r="AC374" s="13" t="s">
        <v>33</v>
      </c>
      <c r="AD374" s="13" t="s">
        <v>33</v>
      </c>
      <c r="AE374" s="13" t="s">
        <v>33</v>
      </c>
      <c r="AF374" s="13" t="s">
        <v>33</v>
      </c>
      <c r="AG374" s="13" t="s">
        <v>33</v>
      </c>
      <c r="AH374" s="6" t="b">
        <v>0</v>
      </c>
      <c r="AI374" s="13" t="s">
        <v>33</v>
      </c>
      <c r="AJ374" s="13" t="s">
        <v>33</v>
      </c>
      <c r="AK374" s="13" t="s">
        <v>33</v>
      </c>
      <c r="AL374" s="6">
        <v>0</v>
      </c>
      <c r="AM374" s="13" t="s">
        <v>33</v>
      </c>
    </row>
    <row r="375" spans="1:39" ht="15" customHeight="1" x14ac:dyDescent="0.3">
      <c r="A375" s="6" t="s">
        <v>322</v>
      </c>
      <c r="B375" s="7" t="str">
        <f>Odds_Input!C332</f>
        <v>Ausar Thompson</v>
      </c>
      <c r="C375" s="6" t="s">
        <v>33</v>
      </c>
      <c r="D375" s="7" t="str">
        <f>Odds_Input!D332</f>
        <v>YES</v>
      </c>
      <c r="E375" s="31" t="str">
        <f>Odds_Input!E332</f>
        <v>-</v>
      </c>
      <c r="F375" s="32">
        <f>Odds_Input!F332</f>
        <v>2500</v>
      </c>
      <c r="G375" s="36">
        <f>M_DeVig!H332</f>
        <v>26</v>
      </c>
      <c r="H375" s="7" t="str">
        <f>Odds_Input!G332</f>
        <v>-</v>
      </c>
      <c r="I375" s="42">
        <f>M_DeVig!Q332</f>
        <v>3.2649341640528483E-2</v>
      </c>
      <c r="J375" s="13" t="s">
        <v>33</v>
      </c>
      <c r="K375" s="43">
        <f t="shared" si="116"/>
        <v>2962.8488960361574</v>
      </c>
      <c r="L375" s="13" t="s">
        <v>33</v>
      </c>
      <c r="M375" s="13" t="s">
        <v>33</v>
      </c>
      <c r="N375" s="13" t="s">
        <v>33</v>
      </c>
      <c r="O375" s="13" t="s">
        <v>33</v>
      </c>
      <c r="P375" s="13" t="s">
        <v>33</v>
      </c>
      <c r="Q375" s="13" t="s">
        <v>33</v>
      </c>
      <c r="R375" s="13" t="s">
        <v>33</v>
      </c>
      <c r="S375" s="13" t="s">
        <v>33</v>
      </c>
      <c r="T375" s="13" t="s">
        <v>33</v>
      </c>
      <c r="U375" s="13" t="s">
        <v>33</v>
      </c>
      <c r="V375" s="13" t="s">
        <v>33</v>
      </c>
      <c r="W375" s="6" t="b">
        <v>0</v>
      </c>
      <c r="X375" s="6" t="s">
        <v>1301</v>
      </c>
      <c r="Y375" s="6" t="s">
        <v>1326</v>
      </c>
      <c r="Z375" s="6">
        <v>324</v>
      </c>
      <c r="AA375" s="7" t="str">
        <f t="shared" si="117"/>
        <v>OK - sims match current assumptions</v>
      </c>
      <c r="AB375" s="13" t="s">
        <v>33</v>
      </c>
      <c r="AC375" s="13" t="s">
        <v>33</v>
      </c>
      <c r="AD375" s="13" t="s">
        <v>33</v>
      </c>
      <c r="AE375" s="13" t="s">
        <v>33</v>
      </c>
      <c r="AF375" s="13" t="s">
        <v>33</v>
      </c>
      <c r="AG375" s="13" t="s">
        <v>33</v>
      </c>
      <c r="AH375" s="6" t="b">
        <v>0</v>
      </c>
      <c r="AI375" s="13" t="s">
        <v>33</v>
      </c>
      <c r="AJ375" s="13" t="s">
        <v>33</v>
      </c>
      <c r="AK375" s="13" t="s">
        <v>33</v>
      </c>
      <c r="AL375" s="6">
        <v>0</v>
      </c>
      <c r="AM375" s="13" t="s">
        <v>33</v>
      </c>
    </row>
    <row r="376" spans="1:39" ht="15" customHeight="1" x14ac:dyDescent="0.3">
      <c r="A376" s="6" t="s">
        <v>322</v>
      </c>
      <c r="B376" s="7" t="str">
        <f>Odds_Input!C333</f>
        <v>Rudy Gobert</v>
      </c>
      <c r="C376" s="6" t="s">
        <v>33</v>
      </c>
      <c r="D376" s="7" t="str">
        <f>Odds_Input!D333</f>
        <v>YES</v>
      </c>
      <c r="E376" s="31" t="str">
        <f>Odds_Input!E333</f>
        <v>-</v>
      </c>
      <c r="F376" s="32">
        <f>Odds_Input!F333</f>
        <v>3000</v>
      </c>
      <c r="G376" s="36">
        <f>M_DeVig!H333</f>
        <v>31</v>
      </c>
      <c r="H376" s="7" t="str">
        <f>Odds_Input!G333</f>
        <v>-</v>
      </c>
      <c r="I376" s="42">
        <f>M_DeVig!Q333</f>
        <v>2.6794971189992536E-2</v>
      </c>
      <c r="J376" s="13" t="s">
        <v>33</v>
      </c>
      <c r="K376" s="43">
        <f t="shared" si="116"/>
        <v>3632.0435723158489</v>
      </c>
      <c r="L376" s="13" t="s">
        <v>33</v>
      </c>
      <c r="M376" s="13" t="s">
        <v>33</v>
      </c>
      <c r="N376" s="13" t="s">
        <v>33</v>
      </c>
      <c r="O376" s="13" t="s">
        <v>33</v>
      </c>
      <c r="P376" s="13" t="s">
        <v>33</v>
      </c>
      <c r="Q376" s="13" t="s">
        <v>33</v>
      </c>
      <c r="R376" s="13" t="s">
        <v>33</v>
      </c>
      <c r="S376" s="13" t="s">
        <v>33</v>
      </c>
      <c r="T376" s="13" t="s">
        <v>33</v>
      </c>
      <c r="U376" s="13" t="s">
        <v>33</v>
      </c>
      <c r="V376" s="13" t="s">
        <v>33</v>
      </c>
      <c r="W376" s="6" t="b">
        <v>0</v>
      </c>
      <c r="X376" s="6" t="s">
        <v>1301</v>
      </c>
      <c r="Y376" s="6" t="s">
        <v>1326</v>
      </c>
      <c r="Z376" s="6">
        <v>325</v>
      </c>
      <c r="AA376" s="7" t="str">
        <f t="shared" si="117"/>
        <v>OK - sims match current assumptions</v>
      </c>
      <c r="AB376" s="13" t="s">
        <v>33</v>
      </c>
      <c r="AC376" s="13" t="s">
        <v>33</v>
      </c>
      <c r="AD376" s="13" t="s">
        <v>33</v>
      </c>
      <c r="AE376" s="13" t="s">
        <v>33</v>
      </c>
      <c r="AF376" s="13" t="s">
        <v>33</v>
      </c>
      <c r="AG376" s="13" t="s">
        <v>33</v>
      </c>
      <c r="AH376" s="6" t="b">
        <v>0</v>
      </c>
      <c r="AI376" s="13" t="s">
        <v>33</v>
      </c>
      <c r="AJ376" s="13" t="s">
        <v>33</v>
      </c>
      <c r="AK376" s="13" t="s">
        <v>33</v>
      </c>
      <c r="AL376" s="6">
        <v>0</v>
      </c>
      <c r="AM376" s="13" t="s">
        <v>33</v>
      </c>
    </row>
    <row r="377" spans="1:39" ht="15" customHeight="1" x14ac:dyDescent="0.3">
      <c r="A377" s="6" t="s">
        <v>322</v>
      </c>
      <c r="B377" s="7" t="str">
        <f>Odds_Input!C334</f>
        <v>Evan Mobley</v>
      </c>
      <c r="C377" s="6" t="s">
        <v>33</v>
      </c>
      <c r="D377" s="7" t="str">
        <f>Odds_Input!D334</f>
        <v>YES</v>
      </c>
      <c r="E377" s="31" t="str">
        <f>Odds_Input!E334</f>
        <v>-</v>
      </c>
      <c r="F377" s="32">
        <f>Odds_Input!F334</f>
        <v>4000</v>
      </c>
      <c r="G377" s="36">
        <f>M_DeVig!H334</f>
        <v>41</v>
      </c>
      <c r="H377" s="7" t="str">
        <f>Odds_Input!G334</f>
        <v>-</v>
      </c>
      <c r="I377" s="42">
        <f>M_DeVig!Q334</f>
        <v>1.9402249449853571E-2</v>
      </c>
      <c r="J377" s="13" t="s">
        <v>33</v>
      </c>
      <c r="K377" s="43">
        <f t="shared" si="116"/>
        <v>5054.0415588644391</v>
      </c>
      <c r="L377" s="13" t="s">
        <v>33</v>
      </c>
      <c r="M377" s="13" t="s">
        <v>33</v>
      </c>
      <c r="N377" s="13" t="s">
        <v>33</v>
      </c>
      <c r="O377" s="13" t="s">
        <v>33</v>
      </c>
      <c r="P377" s="13" t="s">
        <v>33</v>
      </c>
      <c r="Q377" s="13" t="s">
        <v>33</v>
      </c>
      <c r="R377" s="13" t="s">
        <v>33</v>
      </c>
      <c r="S377" s="13" t="s">
        <v>33</v>
      </c>
      <c r="T377" s="13" t="s">
        <v>33</v>
      </c>
      <c r="U377" s="13" t="s">
        <v>33</v>
      </c>
      <c r="V377" s="13" t="s">
        <v>33</v>
      </c>
      <c r="W377" s="6" t="b">
        <v>0</v>
      </c>
      <c r="X377" s="6" t="s">
        <v>1301</v>
      </c>
      <c r="Y377" s="6" t="s">
        <v>1326</v>
      </c>
      <c r="Z377" s="6">
        <v>326</v>
      </c>
      <c r="AA377" s="7" t="str">
        <f t="shared" si="117"/>
        <v>OK - sims match current assumptions</v>
      </c>
      <c r="AB377" s="13" t="s">
        <v>33</v>
      </c>
      <c r="AC377" s="13" t="s">
        <v>33</v>
      </c>
      <c r="AD377" s="13" t="s">
        <v>33</v>
      </c>
      <c r="AE377" s="13" t="s">
        <v>33</v>
      </c>
      <c r="AF377" s="13" t="s">
        <v>33</v>
      </c>
      <c r="AG377" s="13" t="s">
        <v>33</v>
      </c>
      <c r="AH377" s="6" t="b">
        <v>0</v>
      </c>
      <c r="AI377" s="13" t="s">
        <v>33</v>
      </c>
      <c r="AJ377" s="13" t="s">
        <v>33</v>
      </c>
      <c r="AK377" s="13" t="s">
        <v>33</v>
      </c>
      <c r="AL377" s="6">
        <v>0</v>
      </c>
      <c r="AM377" s="13" t="s">
        <v>33</v>
      </c>
    </row>
    <row r="378" spans="1:39" ht="15" customHeight="1" x14ac:dyDescent="0.3">
      <c r="A378" s="6" t="s">
        <v>322</v>
      </c>
      <c r="B378" s="7" t="str">
        <f>Odds_Input!C335</f>
        <v>Scottie Barnes</v>
      </c>
      <c r="C378" s="6" t="s">
        <v>33</v>
      </c>
      <c r="D378" s="7" t="str">
        <f>Odds_Input!D335</f>
        <v>YES</v>
      </c>
      <c r="E378" s="31" t="str">
        <f>Odds_Input!E335</f>
        <v>-</v>
      </c>
      <c r="F378" s="32">
        <f>Odds_Input!F335</f>
        <v>5000</v>
      </c>
      <c r="G378" s="36">
        <f>M_DeVig!H335</f>
        <v>51</v>
      </c>
      <c r="H378" s="7" t="str">
        <f>Odds_Input!G335</f>
        <v>-</v>
      </c>
      <c r="I378" s="42">
        <f>M_DeVig!Q335</f>
        <v>1.4942696556262356E-2</v>
      </c>
      <c r="J378" s="13" t="s">
        <v>33</v>
      </c>
      <c r="K378" s="43">
        <f t="shared" si="116"/>
        <v>6592.2325313559859</v>
      </c>
      <c r="L378" s="13" t="s">
        <v>33</v>
      </c>
      <c r="M378" s="13" t="s">
        <v>33</v>
      </c>
      <c r="N378" s="13" t="s">
        <v>33</v>
      </c>
      <c r="O378" s="13" t="s">
        <v>33</v>
      </c>
      <c r="P378" s="13" t="s">
        <v>33</v>
      </c>
      <c r="Q378" s="13" t="s">
        <v>33</v>
      </c>
      <c r="R378" s="13" t="s">
        <v>33</v>
      </c>
      <c r="S378" s="13" t="s">
        <v>33</v>
      </c>
      <c r="T378" s="13" t="s">
        <v>33</v>
      </c>
      <c r="U378" s="13" t="s">
        <v>33</v>
      </c>
      <c r="V378" s="13" t="s">
        <v>33</v>
      </c>
      <c r="W378" s="6" t="b">
        <v>0</v>
      </c>
      <c r="X378" s="6" t="s">
        <v>1301</v>
      </c>
      <c r="Y378" s="6" t="s">
        <v>1326</v>
      </c>
      <c r="Z378" s="6">
        <v>327</v>
      </c>
      <c r="AA378" s="7" t="str">
        <f t="shared" si="117"/>
        <v>OK - sims match current assumptions</v>
      </c>
      <c r="AB378" s="13" t="s">
        <v>33</v>
      </c>
      <c r="AC378" s="13" t="s">
        <v>33</v>
      </c>
      <c r="AD378" s="13" t="s">
        <v>33</v>
      </c>
      <c r="AE378" s="13" t="s">
        <v>33</v>
      </c>
      <c r="AF378" s="13" t="s">
        <v>33</v>
      </c>
      <c r="AG378" s="13" t="s">
        <v>33</v>
      </c>
      <c r="AH378" s="6" t="b">
        <v>0</v>
      </c>
      <c r="AI378" s="13" t="s">
        <v>33</v>
      </c>
      <c r="AJ378" s="13" t="s">
        <v>33</v>
      </c>
      <c r="AK378" s="13" t="s">
        <v>33</v>
      </c>
      <c r="AL378" s="6">
        <v>0</v>
      </c>
      <c r="AM378" s="13" t="s">
        <v>33</v>
      </c>
    </row>
    <row r="379" spans="1:39" ht="15" customHeight="1" x14ac:dyDescent="0.3">
      <c r="A379" s="6" t="s">
        <v>322</v>
      </c>
      <c r="B379" s="7" t="str">
        <f>Odds_Input!C336</f>
        <v>Bam Adebayo</v>
      </c>
      <c r="C379" s="6" t="s">
        <v>33</v>
      </c>
      <c r="D379" s="7" t="str">
        <f>Odds_Input!D336</f>
        <v>YES</v>
      </c>
      <c r="E379" s="31" t="str">
        <f>Odds_Input!E336</f>
        <v>-</v>
      </c>
      <c r="F379" s="32">
        <f>Odds_Input!F336</f>
        <v>4000</v>
      </c>
      <c r="G379" s="36">
        <f>M_DeVig!H336</f>
        <v>41</v>
      </c>
      <c r="H379" s="7" t="str">
        <f>Odds_Input!G336</f>
        <v>-</v>
      </c>
      <c r="I379" s="42">
        <f>M_DeVig!Q336</f>
        <v>1.9402249449853571E-2</v>
      </c>
      <c r="J379" s="13" t="s">
        <v>33</v>
      </c>
      <c r="K379" s="43">
        <f t="shared" si="116"/>
        <v>5054.0415588644391</v>
      </c>
      <c r="L379" s="13" t="s">
        <v>33</v>
      </c>
      <c r="M379" s="13" t="s">
        <v>33</v>
      </c>
      <c r="N379" s="13" t="s">
        <v>33</v>
      </c>
      <c r="O379" s="13" t="s">
        <v>33</v>
      </c>
      <c r="P379" s="13" t="s">
        <v>33</v>
      </c>
      <c r="Q379" s="13" t="s">
        <v>33</v>
      </c>
      <c r="R379" s="13" t="s">
        <v>33</v>
      </c>
      <c r="S379" s="13" t="s">
        <v>33</v>
      </c>
      <c r="T379" s="13" t="s">
        <v>33</v>
      </c>
      <c r="U379" s="13" t="s">
        <v>33</v>
      </c>
      <c r="V379" s="13" t="s">
        <v>33</v>
      </c>
      <c r="W379" s="6" t="b">
        <v>0</v>
      </c>
      <c r="X379" s="6" t="s">
        <v>1301</v>
      </c>
      <c r="Y379" s="6" t="s">
        <v>1326</v>
      </c>
      <c r="Z379" s="6">
        <v>328</v>
      </c>
      <c r="AA379" s="7" t="str">
        <f t="shared" si="117"/>
        <v>OK - sims match current assumptions</v>
      </c>
      <c r="AB379" s="13" t="s">
        <v>33</v>
      </c>
      <c r="AC379" s="13" t="s">
        <v>33</v>
      </c>
      <c r="AD379" s="13" t="s">
        <v>33</v>
      </c>
      <c r="AE379" s="13" t="s">
        <v>33</v>
      </c>
      <c r="AF379" s="13" t="s">
        <v>33</v>
      </c>
      <c r="AG379" s="13" t="s">
        <v>33</v>
      </c>
      <c r="AH379" s="6" t="b">
        <v>0</v>
      </c>
      <c r="AI379" s="13" t="s">
        <v>33</v>
      </c>
      <c r="AJ379" s="13" t="s">
        <v>33</v>
      </c>
      <c r="AK379" s="13" t="s">
        <v>33</v>
      </c>
      <c r="AL379" s="6">
        <v>0</v>
      </c>
      <c r="AM379" s="13" t="s">
        <v>33</v>
      </c>
    </row>
    <row r="380" spans="1:39" ht="15" customHeight="1" x14ac:dyDescent="0.3">
      <c r="A380" s="6" t="s">
        <v>322</v>
      </c>
      <c r="B380" s="7" t="str">
        <f>Odds_Input!C337</f>
        <v>Giannis Antetokounmpo</v>
      </c>
      <c r="C380" s="6" t="s">
        <v>33</v>
      </c>
      <c r="D380" s="7" t="str">
        <f>Odds_Input!D337</f>
        <v>YES</v>
      </c>
      <c r="E380" s="31" t="str">
        <f>Odds_Input!E337</f>
        <v>-</v>
      </c>
      <c r="F380" s="32">
        <f>Odds_Input!F337</f>
        <v>7500</v>
      </c>
      <c r="G380" s="36">
        <f>M_DeVig!H337</f>
        <v>76</v>
      </c>
      <c r="H380" s="7" t="str">
        <f>Odds_Input!G337</f>
        <v>-</v>
      </c>
      <c r="I380" s="42">
        <f>M_DeVig!Q337</f>
        <v>9.0241886644980771E-3</v>
      </c>
      <c r="J380" s="13" t="s">
        <v>33</v>
      </c>
      <c r="K380" s="43">
        <f t="shared" si="116"/>
        <v>10981.328606682224</v>
      </c>
      <c r="L380" s="13" t="s">
        <v>33</v>
      </c>
      <c r="M380" s="13" t="s">
        <v>33</v>
      </c>
      <c r="N380" s="13" t="s">
        <v>33</v>
      </c>
      <c r="O380" s="13" t="s">
        <v>33</v>
      </c>
      <c r="P380" s="13" t="s">
        <v>33</v>
      </c>
      <c r="Q380" s="13" t="s">
        <v>33</v>
      </c>
      <c r="R380" s="13" t="s">
        <v>33</v>
      </c>
      <c r="S380" s="13" t="s">
        <v>33</v>
      </c>
      <c r="T380" s="13" t="s">
        <v>33</v>
      </c>
      <c r="U380" s="13" t="s">
        <v>33</v>
      </c>
      <c r="V380" s="13" t="s">
        <v>33</v>
      </c>
      <c r="W380" s="6" t="b">
        <v>0</v>
      </c>
      <c r="X380" s="6" t="s">
        <v>1301</v>
      </c>
      <c r="Y380" s="6" t="s">
        <v>1326</v>
      </c>
      <c r="Z380" s="6">
        <v>329</v>
      </c>
      <c r="AA380" s="7" t="str">
        <f t="shared" si="117"/>
        <v>OK - sims match current assumptions</v>
      </c>
      <c r="AB380" s="13" t="s">
        <v>33</v>
      </c>
      <c r="AC380" s="13" t="s">
        <v>33</v>
      </c>
      <c r="AD380" s="13" t="s">
        <v>33</v>
      </c>
      <c r="AE380" s="13" t="s">
        <v>33</v>
      </c>
      <c r="AF380" s="13" t="s">
        <v>33</v>
      </c>
      <c r="AG380" s="13" t="s">
        <v>33</v>
      </c>
      <c r="AH380" s="6" t="b">
        <v>0</v>
      </c>
      <c r="AI380" s="13" t="s">
        <v>33</v>
      </c>
      <c r="AJ380" s="13" t="s">
        <v>33</v>
      </c>
      <c r="AK380" s="13" t="s">
        <v>33</v>
      </c>
      <c r="AL380" s="6">
        <v>0</v>
      </c>
      <c r="AM380" s="13" t="s">
        <v>33</v>
      </c>
    </row>
    <row r="381" spans="1:39" ht="15" customHeight="1" x14ac:dyDescent="0.3">
      <c r="A381" s="6" t="s">
        <v>322</v>
      </c>
      <c r="B381" s="7" t="str">
        <f>Odds_Input!C338</f>
        <v>Amen Thompson</v>
      </c>
      <c r="C381" s="6" t="s">
        <v>33</v>
      </c>
      <c r="D381" s="7" t="str">
        <f>Odds_Input!D338</f>
        <v>YES</v>
      </c>
      <c r="E381" s="31" t="str">
        <f>Odds_Input!E338</f>
        <v>-</v>
      </c>
      <c r="F381" s="32">
        <f>Odds_Input!F338</f>
        <v>7500</v>
      </c>
      <c r="G381" s="36">
        <f>M_DeVig!H338</f>
        <v>76</v>
      </c>
      <c r="H381" s="7" t="str">
        <f>Odds_Input!G338</f>
        <v>-</v>
      </c>
      <c r="I381" s="42">
        <f>M_DeVig!Q338</f>
        <v>9.0241886644980771E-3</v>
      </c>
      <c r="J381" s="13" t="s">
        <v>33</v>
      </c>
      <c r="K381" s="43">
        <f t="shared" si="116"/>
        <v>10981.328606682224</v>
      </c>
      <c r="L381" s="13" t="s">
        <v>33</v>
      </c>
      <c r="M381" s="13" t="s">
        <v>33</v>
      </c>
      <c r="N381" s="13" t="s">
        <v>33</v>
      </c>
      <c r="O381" s="13" t="s">
        <v>33</v>
      </c>
      <c r="P381" s="13" t="s">
        <v>33</v>
      </c>
      <c r="Q381" s="13" t="s">
        <v>33</v>
      </c>
      <c r="R381" s="13" t="s">
        <v>33</v>
      </c>
      <c r="S381" s="13" t="s">
        <v>33</v>
      </c>
      <c r="T381" s="13" t="s">
        <v>33</v>
      </c>
      <c r="U381" s="13" t="s">
        <v>33</v>
      </c>
      <c r="V381" s="13" t="s">
        <v>33</v>
      </c>
      <c r="W381" s="6" t="b">
        <v>0</v>
      </c>
      <c r="X381" s="6" t="s">
        <v>1301</v>
      </c>
      <c r="Y381" s="6" t="s">
        <v>1326</v>
      </c>
      <c r="Z381" s="6">
        <v>330</v>
      </c>
      <c r="AA381" s="7" t="str">
        <f t="shared" si="117"/>
        <v>OK - sims match current assumptions</v>
      </c>
      <c r="AB381" s="13" t="s">
        <v>33</v>
      </c>
      <c r="AC381" s="13" t="s">
        <v>33</v>
      </c>
      <c r="AD381" s="13" t="s">
        <v>33</v>
      </c>
      <c r="AE381" s="13" t="s">
        <v>33</v>
      </c>
      <c r="AF381" s="13" t="s">
        <v>33</v>
      </c>
      <c r="AG381" s="13" t="s">
        <v>33</v>
      </c>
      <c r="AH381" s="6" t="b">
        <v>0</v>
      </c>
      <c r="AI381" s="13" t="s">
        <v>33</v>
      </c>
      <c r="AJ381" s="13" t="s">
        <v>33</v>
      </c>
      <c r="AK381" s="13" t="s">
        <v>33</v>
      </c>
      <c r="AL381" s="6">
        <v>0</v>
      </c>
      <c r="AM381" s="13" t="s">
        <v>33</v>
      </c>
    </row>
    <row r="382" spans="1:39" ht="15" customHeight="1" x14ac:dyDescent="0.3">
      <c r="A382" s="6" t="s">
        <v>322</v>
      </c>
      <c r="B382" s="7" t="str">
        <f>Odds_Input!C339</f>
        <v>Jaren Jackson Jr</v>
      </c>
      <c r="C382" s="6" t="s">
        <v>33</v>
      </c>
      <c r="D382" s="7" t="str">
        <f>Odds_Input!D339</f>
        <v>YES</v>
      </c>
      <c r="E382" s="31" t="str">
        <f>Odds_Input!E339</f>
        <v>-</v>
      </c>
      <c r="F382" s="32">
        <f>Odds_Input!F339</f>
        <v>7500</v>
      </c>
      <c r="G382" s="36">
        <f>M_DeVig!H339</f>
        <v>76</v>
      </c>
      <c r="H382" s="7" t="str">
        <f>Odds_Input!G339</f>
        <v>-</v>
      </c>
      <c r="I382" s="42">
        <f>M_DeVig!Q339</f>
        <v>9.0241886644980771E-3</v>
      </c>
      <c r="J382" s="13" t="s">
        <v>33</v>
      </c>
      <c r="K382" s="43">
        <f t="shared" si="116"/>
        <v>10981.328606682224</v>
      </c>
      <c r="L382" s="13" t="s">
        <v>33</v>
      </c>
      <c r="M382" s="13" t="s">
        <v>33</v>
      </c>
      <c r="N382" s="13" t="s">
        <v>33</v>
      </c>
      <c r="O382" s="13" t="s">
        <v>33</v>
      </c>
      <c r="P382" s="13" t="s">
        <v>33</v>
      </c>
      <c r="Q382" s="13" t="s">
        <v>33</v>
      </c>
      <c r="R382" s="13" t="s">
        <v>33</v>
      </c>
      <c r="S382" s="13" t="s">
        <v>33</v>
      </c>
      <c r="T382" s="13" t="s">
        <v>33</v>
      </c>
      <c r="U382" s="13" t="s">
        <v>33</v>
      </c>
      <c r="V382" s="13" t="s">
        <v>33</v>
      </c>
      <c r="W382" s="6" t="b">
        <v>0</v>
      </c>
      <c r="X382" s="6" t="s">
        <v>1301</v>
      </c>
      <c r="Y382" s="6" t="s">
        <v>1326</v>
      </c>
      <c r="Z382" s="6">
        <v>331</v>
      </c>
      <c r="AA382" s="7" t="str">
        <f t="shared" si="117"/>
        <v>OK - sims match current assumptions</v>
      </c>
      <c r="AB382" s="13" t="s">
        <v>33</v>
      </c>
      <c r="AC382" s="13" t="s">
        <v>33</v>
      </c>
      <c r="AD382" s="13" t="s">
        <v>33</v>
      </c>
      <c r="AE382" s="13" t="s">
        <v>33</v>
      </c>
      <c r="AF382" s="13" t="s">
        <v>33</v>
      </c>
      <c r="AG382" s="13" t="s">
        <v>33</v>
      </c>
      <c r="AH382" s="6" t="b">
        <v>0</v>
      </c>
      <c r="AI382" s="13" t="s">
        <v>33</v>
      </c>
      <c r="AJ382" s="13" t="s">
        <v>33</v>
      </c>
      <c r="AK382" s="13" t="s">
        <v>33</v>
      </c>
      <c r="AL382" s="6">
        <v>0</v>
      </c>
      <c r="AM382" s="13" t="s">
        <v>33</v>
      </c>
    </row>
    <row r="383" spans="1:39" ht="15" customHeight="1" x14ac:dyDescent="0.3">
      <c r="A383" s="6" t="s">
        <v>322</v>
      </c>
      <c r="B383" s="7" t="str">
        <f>Odds_Input!C340</f>
        <v>OG Anunoby</v>
      </c>
      <c r="C383" s="6" t="s">
        <v>33</v>
      </c>
      <c r="D383" s="7" t="str">
        <f>Odds_Input!D340</f>
        <v>YES</v>
      </c>
      <c r="E383" s="31" t="str">
        <f>Odds_Input!E340</f>
        <v>-</v>
      </c>
      <c r="F383" s="32">
        <f>Odds_Input!F340</f>
        <v>6500</v>
      </c>
      <c r="G383" s="36">
        <f>M_DeVig!H340</f>
        <v>66</v>
      </c>
      <c r="H383" s="7" t="str">
        <f>Odds_Input!G340</f>
        <v>-</v>
      </c>
      <c r="I383" s="42">
        <f>M_DeVig!Q340</f>
        <v>1.0835084082184906E-2</v>
      </c>
      <c r="J383" s="13" t="s">
        <v>33</v>
      </c>
      <c r="K383" s="43">
        <f t="shared" si="116"/>
        <v>9129.2777094753183</v>
      </c>
      <c r="L383" s="13" t="s">
        <v>33</v>
      </c>
      <c r="M383" s="13" t="s">
        <v>33</v>
      </c>
      <c r="N383" s="13" t="s">
        <v>33</v>
      </c>
      <c r="O383" s="13" t="s">
        <v>33</v>
      </c>
      <c r="P383" s="13" t="s">
        <v>33</v>
      </c>
      <c r="Q383" s="13" t="s">
        <v>33</v>
      </c>
      <c r="R383" s="13" t="s">
        <v>33</v>
      </c>
      <c r="S383" s="13" t="s">
        <v>33</v>
      </c>
      <c r="T383" s="13" t="s">
        <v>33</v>
      </c>
      <c r="U383" s="13" t="s">
        <v>33</v>
      </c>
      <c r="V383" s="13" t="s">
        <v>33</v>
      </c>
      <c r="W383" s="6" t="b">
        <v>0</v>
      </c>
      <c r="X383" s="6" t="s">
        <v>1301</v>
      </c>
      <c r="Y383" s="6" t="s">
        <v>1326</v>
      </c>
      <c r="Z383" s="6">
        <v>332</v>
      </c>
      <c r="AA383" s="7" t="str">
        <f t="shared" si="117"/>
        <v>OK - sims match current assumptions</v>
      </c>
      <c r="AB383" s="13" t="s">
        <v>33</v>
      </c>
      <c r="AC383" s="13" t="s">
        <v>33</v>
      </c>
      <c r="AD383" s="13" t="s">
        <v>33</v>
      </c>
      <c r="AE383" s="13" t="s">
        <v>33</v>
      </c>
      <c r="AF383" s="13" t="s">
        <v>33</v>
      </c>
      <c r="AG383" s="13" t="s">
        <v>33</v>
      </c>
      <c r="AH383" s="6" t="b">
        <v>0</v>
      </c>
      <c r="AI383" s="13" t="s">
        <v>33</v>
      </c>
      <c r="AJ383" s="13" t="s">
        <v>33</v>
      </c>
      <c r="AK383" s="13" t="s">
        <v>33</v>
      </c>
      <c r="AL383" s="6">
        <v>0</v>
      </c>
      <c r="AM383" s="13" t="s">
        <v>33</v>
      </c>
    </row>
    <row r="384" spans="1:39" ht="15" customHeight="1" x14ac:dyDescent="0.3">
      <c r="A384" s="6" t="s">
        <v>322</v>
      </c>
      <c r="B384" s="7" t="str">
        <f>Odds_Input!C341</f>
        <v>Jaden McDaniels</v>
      </c>
      <c r="C384" s="6" t="s">
        <v>33</v>
      </c>
      <c r="D384" s="7" t="str">
        <f>Odds_Input!D341</f>
        <v>YES</v>
      </c>
      <c r="E384" s="31" t="str">
        <f>Odds_Input!E341</f>
        <v>-</v>
      </c>
      <c r="F384" s="32">
        <f>Odds_Input!F341</f>
        <v>10000</v>
      </c>
      <c r="G384" s="36">
        <f>M_DeVig!H341</f>
        <v>101</v>
      </c>
      <c r="H384" s="7" t="str">
        <f>Odds_Input!G341</f>
        <v>-</v>
      </c>
      <c r="I384" s="42">
        <f>M_DeVig!Q341</f>
        <v>6.1318512515918296E-3</v>
      </c>
      <c r="J384" s="13" t="s">
        <v>33</v>
      </c>
      <c r="K384" s="43">
        <f t="shared" si="116"/>
        <v>16208.288622304721</v>
      </c>
      <c r="L384" s="13" t="s">
        <v>33</v>
      </c>
      <c r="M384" s="13" t="s">
        <v>33</v>
      </c>
      <c r="N384" s="13" t="s">
        <v>33</v>
      </c>
      <c r="O384" s="13" t="s">
        <v>33</v>
      </c>
      <c r="P384" s="13" t="s">
        <v>33</v>
      </c>
      <c r="Q384" s="13" t="s">
        <v>33</v>
      </c>
      <c r="R384" s="13" t="s">
        <v>33</v>
      </c>
      <c r="S384" s="13" t="s">
        <v>33</v>
      </c>
      <c r="T384" s="13" t="s">
        <v>33</v>
      </c>
      <c r="U384" s="13" t="s">
        <v>33</v>
      </c>
      <c r="V384" s="13" t="s">
        <v>33</v>
      </c>
      <c r="W384" s="6" t="b">
        <v>0</v>
      </c>
      <c r="X384" s="6" t="s">
        <v>1301</v>
      </c>
      <c r="Y384" s="6" t="s">
        <v>1326</v>
      </c>
      <c r="Z384" s="6">
        <v>333</v>
      </c>
      <c r="AA384" s="7" t="str">
        <f t="shared" si="117"/>
        <v>OK - sims match current assumptions</v>
      </c>
      <c r="AB384" s="13" t="s">
        <v>33</v>
      </c>
      <c r="AC384" s="13" t="s">
        <v>33</v>
      </c>
      <c r="AD384" s="13" t="s">
        <v>33</v>
      </c>
      <c r="AE384" s="13" t="s">
        <v>33</v>
      </c>
      <c r="AF384" s="13" t="s">
        <v>33</v>
      </c>
      <c r="AG384" s="13" t="s">
        <v>33</v>
      </c>
      <c r="AH384" s="6" t="b">
        <v>0</v>
      </c>
      <c r="AI384" s="13" t="s">
        <v>33</v>
      </c>
      <c r="AJ384" s="13" t="s">
        <v>33</v>
      </c>
      <c r="AK384" s="13" t="s">
        <v>33</v>
      </c>
      <c r="AL384" s="6">
        <v>0</v>
      </c>
      <c r="AM384" s="13" t="s">
        <v>33</v>
      </c>
    </row>
    <row r="385" spans="1:39" ht="15" customHeight="1" x14ac:dyDescent="0.3">
      <c r="A385" s="6" t="s">
        <v>322</v>
      </c>
      <c r="B385" s="7" t="str">
        <f>Odds_Input!C342</f>
        <v>Dyson Daniels</v>
      </c>
      <c r="C385" s="6" t="s">
        <v>33</v>
      </c>
      <c r="D385" s="7" t="str">
        <f>Odds_Input!D342</f>
        <v>YES</v>
      </c>
      <c r="E385" s="31" t="str">
        <f>Odds_Input!E342</f>
        <v>-</v>
      </c>
      <c r="F385" s="32">
        <f>Odds_Input!F342</f>
        <v>7500</v>
      </c>
      <c r="G385" s="36">
        <f>M_DeVig!H342</f>
        <v>76</v>
      </c>
      <c r="H385" s="7" t="str">
        <f>Odds_Input!G342</f>
        <v>-</v>
      </c>
      <c r="I385" s="42">
        <f>M_DeVig!Q342</f>
        <v>9.0241886644980771E-3</v>
      </c>
      <c r="J385" s="13" t="s">
        <v>33</v>
      </c>
      <c r="K385" s="43">
        <f t="shared" si="116"/>
        <v>10981.328606682224</v>
      </c>
      <c r="L385" s="13" t="s">
        <v>33</v>
      </c>
      <c r="M385" s="13" t="s">
        <v>33</v>
      </c>
      <c r="N385" s="13" t="s">
        <v>33</v>
      </c>
      <c r="O385" s="13" t="s">
        <v>33</v>
      </c>
      <c r="P385" s="13" t="s">
        <v>33</v>
      </c>
      <c r="Q385" s="13" t="s">
        <v>33</v>
      </c>
      <c r="R385" s="13" t="s">
        <v>33</v>
      </c>
      <c r="S385" s="13" t="s">
        <v>33</v>
      </c>
      <c r="T385" s="13" t="s">
        <v>33</v>
      </c>
      <c r="U385" s="13" t="s">
        <v>33</v>
      </c>
      <c r="V385" s="13" t="s">
        <v>33</v>
      </c>
      <c r="W385" s="6" t="b">
        <v>0</v>
      </c>
      <c r="X385" s="6" t="s">
        <v>1301</v>
      </c>
      <c r="Y385" s="6" t="s">
        <v>1326</v>
      </c>
      <c r="Z385" s="6">
        <v>334</v>
      </c>
      <c r="AA385" s="7" t="str">
        <f t="shared" si="117"/>
        <v>OK - sims match current assumptions</v>
      </c>
      <c r="AB385" s="13" t="s">
        <v>33</v>
      </c>
      <c r="AC385" s="13" t="s">
        <v>33</v>
      </c>
      <c r="AD385" s="13" t="s">
        <v>33</v>
      </c>
      <c r="AE385" s="13" t="s">
        <v>33</v>
      </c>
      <c r="AF385" s="13" t="s">
        <v>33</v>
      </c>
      <c r="AG385" s="13" t="s">
        <v>33</v>
      </c>
      <c r="AH385" s="6" t="b">
        <v>0</v>
      </c>
      <c r="AI385" s="13" t="s">
        <v>33</v>
      </c>
      <c r="AJ385" s="13" t="s">
        <v>33</v>
      </c>
      <c r="AK385" s="13" t="s">
        <v>33</v>
      </c>
      <c r="AL385" s="6">
        <v>0</v>
      </c>
      <c r="AM385" s="13" t="s">
        <v>33</v>
      </c>
    </row>
    <row r="386" spans="1:39" ht="15" customHeight="1" x14ac:dyDescent="0.3">
      <c r="A386" s="52" t="s">
        <v>322</v>
      </c>
      <c r="B386" s="53" t="str">
        <f>Odds_Input!C343</f>
        <v>Walker Kessler</v>
      </c>
      <c r="C386" s="52" t="s">
        <v>33</v>
      </c>
      <c r="D386" s="53" t="str">
        <f>Odds_Input!D343</f>
        <v>YES</v>
      </c>
      <c r="E386" s="54" t="str">
        <f>Odds_Input!E343</f>
        <v>-</v>
      </c>
      <c r="F386" s="55">
        <f>Odds_Input!F343</f>
        <v>8000</v>
      </c>
      <c r="G386" s="56">
        <f>M_DeVig!H343</f>
        <v>81</v>
      </c>
      <c r="H386" s="53" t="str">
        <f>Odds_Input!G343</f>
        <v>BACKFILL_PDF1</v>
      </c>
      <c r="I386" s="42">
        <f>M_DeVig!Q343</f>
        <v>8.293670646599291E-3</v>
      </c>
      <c r="J386" s="13" t="s">
        <v>33</v>
      </c>
      <c r="K386" s="43">
        <f t="shared" si="116"/>
        <v>11957.38740553963</v>
      </c>
      <c r="L386" s="13" t="s">
        <v>33</v>
      </c>
      <c r="M386" s="13" t="s">
        <v>33</v>
      </c>
      <c r="N386" s="13" t="s">
        <v>33</v>
      </c>
      <c r="O386" s="13" t="s">
        <v>33</v>
      </c>
      <c r="P386" s="13" t="s">
        <v>33</v>
      </c>
      <c r="Q386" s="13" t="s">
        <v>33</v>
      </c>
      <c r="R386" s="13" t="s">
        <v>33</v>
      </c>
      <c r="S386" s="13" t="s">
        <v>33</v>
      </c>
      <c r="T386" s="13" t="s">
        <v>33</v>
      </c>
      <c r="U386" s="13" t="s">
        <v>33</v>
      </c>
      <c r="V386" s="13" t="s">
        <v>33</v>
      </c>
      <c r="W386" s="6" t="b">
        <v>0</v>
      </c>
      <c r="X386" s="6" t="s">
        <v>1301</v>
      </c>
      <c r="Y386" s="6" t="s">
        <v>1326</v>
      </c>
      <c r="Z386" s="6">
        <v>335</v>
      </c>
      <c r="AA386" s="7" t="str">
        <f t="shared" si="117"/>
        <v>OK - sims match current assumptions</v>
      </c>
      <c r="AB386" s="13" t="s">
        <v>33</v>
      </c>
      <c r="AC386" s="13" t="s">
        <v>33</v>
      </c>
      <c r="AD386" s="13" t="s">
        <v>33</v>
      </c>
      <c r="AE386" s="13" t="s">
        <v>33</v>
      </c>
      <c r="AF386" s="13" t="s">
        <v>33</v>
      </c>
      <c r="AG386" s="13" t="s">
        <v>33</v>
      </c>
      <c r="AH386" s="6" t="b">
        <v>0</v>
      </c>
      <c r="AI386" s="13" t="s">
        <v>33</v>
      </c>
      <c r="AJ386" s="13" t="s">
        <v>33</v>
      </c>
      <c r="AK386" s="13" t="s">
        <v>33</v>
      </c>
      <c r="AL386" s="6">
        <v>0</v>
      </c>
      <c r="AM386" s="13" t="s">
        <v>33</v>
      </c>
    </row>
    <row r="387" spans="1:39" ht="15" customHeight="1" x14ac:dyDescent="0.3">
      <c r="A387" s="6" t="s">
        <v>322</v>
      </c>
      <c r="B387" s="7" t="str">
        <f>Odds_Input!C344</f>
        <v>Ivica Zubac</v>
      </c>
      <c r="C387" s="6" t="s">
        <v>33</v>
      </c>
      <c r="D387" s="7" t="str">
        <f>Odds_Input!D344</f>
        <v>YES</v>
      </c>
      <c r="E387" s="31" t="str">
        <f>Odds_Input!E344</f>
        <v>-</v>
      </c>
      <c r="F387" s="32">
        <f>Odds_Input!F344</f>
        <v>15000</v>
      </c>
      <c r="G387" s="36">
        <f>M_DeVig!H344</f>
        <v>151</v>
      </c>
      <c r="H387" s="7" t="str">
        <f>Odds_Input!G344</f>
        <v>-</v>
      </c>
      <c r="I387" s="42">
        <f>M_DeVig!Q344</f>
        <v>3.3863881308398695E-3</v>
      </c>
      <c r="J387" s="13" t="s">
        <v>33</v>
      </c>
      <c r="K387" s="43">
        <f t="shared" si="116"/>
        <v>29429.98774396208</v>
      </c>
      <c r="L387" s="13" t="s">
        <v>33</v>
      </c>
      <c r="M387" s="13" t="s">
        <v>33</v>
      </c>
      <c r="N387" s="13" t="s">
        <v>33</v>
      </c>
      <c r="O387" s="13" t="s">
        <v>33</v>
      </c>
      <c r="P387" s="13" t="s">
        <v>33</v>
      </c>
      <c r="Q387" s="13" t="s">
        <v>33</v>
      </c>
      <c r="R387" s="13" t="s">
        <v>33</v>
      </c>
      <c r="S387" s="13" t="s">
        <v>33</v>
      </c>
      <c r="T387" s="13" t="s">
        <v>33</v>
      </c>
      <c r="U387" s="13" t="s">
        <v>33</v>
      </c>
      <c r="V387" s="13" t="s">
        <v>33</v>
      </c>
      <c r="W387" s="6" t="b">
        <v>0</v>
      </c>
      <c r="X387" s="6" t="s">
        <v>1301</v>
      </c>
      <c r="Y387" s="6" t="s">
        <v>1326</v>
      </c>
      <c r="Z387" s="6">
        <v>336</v>
      </c>
      <c r="AA387" s="7" t="str">
        <f t="shared" si="117"/>
        <v>OK - sims match current assumptions</v>
      </c>
      <c r="AB387" s="13" t="s">
        <v>33</v>
      </c>
      <c r="AC387" s="13" t="s">
        <v>33</v>
      </c>
      <c r="AD387" s="13" t="s">
        <v>33</v>
      </c>
      <c r="AE387" s="13" t="s">
        <v>33</v>
      </c>
      <c r="AF387" s="13" t="s">
        <v>33</v>
      </c>
      <c r="AG387" s="13" t="s">
        <v>33</v>
      </c>
      <c r="AH387" s="6" t="b">
        <v>0</v>
      </c>
      <c r="AI387" s="13" t="s">
        <v>33</v>
      </c>
      <c r="AJ387" s="13" t="s">
        <v>33</v>
      </c>
      <c r="AK387" s="13" t="s">
        <v>33</v>
      </c>
      <c r="AL387" s="6">
        <v>0</v>
      </c>
      <c r="AM387" s="13" t="s">
        <v>33</v>
      </c>
    </row>
    <row r="388" spans="1:39" ht="15" customHeight="1" x14ac:dyDescent="0.3">
      <c r="A388" s="6" t="s">
        <v>322</v>
      </c>
      <c r="B388" s="7" t="str">
        <f>Odds_Input!C345</f>
        <v>Donovan Clingan</v>
      </c>
      <c r="C388" s="6" t="s">
        <v>33</v>
      </c>
      <c r="D388" s="7" t="str">
        <f>Odds_Input!D345</f>
        <v>YES</v>
      </c>
      <c r="E388" s="31" t="str">
        <f>Odds_Input!E345</f>
        <v>-</v>
      </c>
      <c r="F388" s="32">
        <f>Odds_Input!F345</f>
        <v>15000</v>
      </c>
      <c r="G388" s="36">
        <f>M_DeVig!H345</f>
        <v>151</v>
      </c>
      <c r="H388" s="7" t="str">
        <f>Odds_Input!G345</f>
        <v>-</v>
      </c>
      <c r="I388" s="42">
        <f>M_DeVig!Q345</f>
        <v>3.3863881308398695E-3</v>
      </c>
      <c r="J388" s="13" t="s">
        <v>33</v>
      </c>
      <c r="K388" s="43">
        <f t="shared" si="116"/>
        <v>29429.98774396208</v>
      </c>
      <c r="L388" s="13" t="s">
        <v>33</v>
      </c>
      <c r="M388" s="13" t="s">
        <v>33</v>
      </c>
      <c r="N388" s="13" t="s">
        <v>33</v>
      </c>
      <c r="O388" s="13" t="s">
        <v>33</v>
      </c>
      <c r="P388" s="13" t="s">
        <v>33</v>
      </c>
      <c r="Q388" s="13" t="s">
        <v>33</v>
      </c>
      <c r="R388" s="13" t="s">
        <v>33</v>
      </c>
      <c r="S388" s="13" t="s">
        <v>33</v>
      </c>
      <c r="T388" s="13" t="s">
        <v>33</v>
      </c>
      <c r="U388" s="13" t="s">
        <v>33</v>
      </c>
      <c r="V388" s="13" t="s">
        <v>33</v>
      </c>
      <c r="W388" s="6" t="b">
        <v>0</v>
      </c>
      <c r="X388" s="6" t="s">
        <v>1301</v>
      </c>
      <c r="Y388" s="6" t="s">
        <v>1326</v>
      </c>
      <c r="Z388" s="6">
        <v>337</v>
      </c>
      <c r="AA388" s="7" t="str">
        <f t="shared" si="117"/>
        <v>OK - sims match current assumptions</v>
      </c>
      <c r="AB388" s="13" t="s">
        <v>33</v>
      </c>
      <c r="AC388" s="13" t="s">
        <v>33</v>
      </c>
      <c r="AD388" s="13" t="s">
        <v>33</v>
      </c>
      <c r="AE388" s="13" t="s">
        <v>33</v>
      </c>
      <c r="AF388" s="13" t="s">
        <v>33</v>
      </c>
      <c r="AG388" s="13" t="s">
        <v>33</v>
      </c>
      <c r="AH388" s="6" t="b">
        <v>0</v>
      </c>
      <c r="AI388" s="13" t="s">
        <v>33</v>
      </c>
      <c r="AJ388" s="13" t="s">
        <v>33</v>
      </c>
      <c r="AK388" s="13" t="s">
        <v>33</v>
      </c>
      <c r="AL388" s="6">
        <v>0</v>
      </c>
      <c r="AM388" s="13" t="s">
        <v>33</v>
      </c>
    </row>
    <row r="389" spans="1:39" ht="15" customHeight="1" x14ac:dyDescent="0.3">
      <c r="A389" s="6" t="s">
        <v>322</v>
      </c>
      <c r="B389" s="7" t="str">
        <f>Odds_Input!C346</f>
        <v>Cason Wallace</v>
      </c>
      <c r="C389" s="6" t="s">
        <v>33</v>
      </c>
      <c r="D389" s="7" t="str">
        <f>Odds_Input!D346</f>
        <v>YES</v>
      </c>
      <c r="E389" s="31" t="str">
        <f>Odds_Input!E346</f>
        <v>-</v>
      </c>
      <c r="F389" s="32">
        <f>Odds_Input!F346</f>
        <v>15000</v>
      </c>
      <c r="G389" s="36">
        <f>M_DeVig!H346</f>
        <v>151</v>
      </c>
      <c r="H389" s="7" t="str">
        <f>Odds_Input!G346</f>
        <v>-</v>
      </c>
      <c r="I389" s="42">
        <f>M_DeVig!Q346</f>
        <v>3.3863881308398695E-3</v>
      </c>
      <c r="J389" s="13" t="s">
        <v>33</v>
      </c>
      <c r="K389" s="43">
        <f t="shared" si="116"/>
        <v>29429.98774396208</v>
      </c>
      <c r="L389" s="13" t="s">
        <v>33</v>
      </c>
      <c r="M389" s="13" t="s">
        <v>33</v>
      </c>
      <c r="N389" s="13" t="s">
        <v>33</v>
      </c>
      <c r="O389" s="13" t="s">
        <v>33</v>
      </c>
      <c r="P389" s="13" t="s">
        <v>33</v>
      </c>
      <c r="Q389" s="13" t="s">
        <v>33</v>
      </c>
      <c r="R389" s="13" t="s">
        <v>33</v>
      </c>
      <c r="S389" s="13" t="s">
        <v>33</v>
      </c>
      <c r="T389" s="13" t="s">
        <v>33</v>
      </c>
      <c r="U389" s="13" t="s">
        <v>33</v>
      </c>
      <c r="V389" s="13" t="s">
        <v>33</v>
      </c>
      <c r="W389" s="6" t="b">
        <v>0</v>
      </c>
      <c r="X389" s="6" t="s">
        <v>1301</v>
      </c>
      <c r="Y389" s="6" t="s">
        <v>1326</v>
      </c>
      <c r="Z389" s="6">
        <v>338</v>
      </c>
      <c r="AA389" s="7" t="str">
        <f t="shared" si="117"/>
        <v>OK - sims match current assumptions</v>
      </c>
      <c r="AB389" s="13" t="s">
        <v>33</v>
      </c>
      <c r="AC389" s="13" t="s">
        <v>33</v>
      </c>
      <c r="AD389" s="13" t="s">
        <v>33</v>
      </c>
      <c r="AE389" s="13" t="s">
        <v>33</v>
      </c>
      <c r="AF389" s="13" t="s">
        <v>33</v>
      </c>
      <c r="AG389" s="13" t="s">
        <v>33</v>
      </c>
      <c r="AH389" s="6" t="b">
        <v>0</v>
      </c>
      <c r="AI389" s="13" t="s">
        <v>33</v>
      </c>
      <c r="AJ389" s="13" t="s">
        <v>33</v>
      </c>
      <c r="AK389" s="13" t="s">
        <v>33</v>
      </c>
      <c r="AL389" s="6">
        <v>0</v>
      </c>
      <c r="AM389" s="13" t="s">
        <v>33</v>
      </c>
    </row>
    <row r="390" spans="1:39" ht="15" customHeight="1" x14ac:dyDescent="0.3"/>
    <row r="391" spans="1:39" ht="15" customHeight="1" x14ac:dyDescent="0.3">
      <c r="A391" s="48" t="s">
        <v>337</v>
      </c>
      <c r="B391" s="49" t="s">
        <v>1328</v>
      </c>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row>
    <row r="392" spans="1:39" ht="15" customHeight="1" x14ac:dyDescent="0.3">
      <c r="A392" s="6" t="s">
        <v>337</v>
      </c>
      <c r="B392" s="7" t="str">
        <f>Odds_Input!C347</f>
        <v>Cameron Boozer</v>
      </c>
      <c r="C392" s="6" t="s">
        <v>33</v>
      </c>
      <c r="D392" s="7" t="str">
        <f>Odds_Input!D347</f>
        <v>YES</v>
      </c>
      <c r="E392" s="31" t="str">
        <f>Odds_Input!E347</f>
        <v>-</v>
      </c>
      <c r="F392" s="32">
        <f>Odds_Input!F347</f>
        <v>300</v>
      </c>
      <c r="G392" s="36">
        <f>M_DeVig!H347</f>
        <v>4</v>
      </c>
      <c r="H392" s="7" t="str">
        <f>Odds_Input!G347</f>
        <v>-</v>
      </c>
      <c r="I392" s="42">
        <f>M_DeVig!Q347</f>
        <v>0.22316364545179956</v>
      </c>
      <c r="J392" s="13" t="s">
        <v>33</v>
      </c>
      <c r="K392" s="43">
        <f t="shared" ref="K392:K407" si="118">IF(I392&gt;=0.5,-100*I392/(1-I392),100*(1-I392)/I392)</f>
        <v>348.10166009588107</v>
      </c>
      <c r="L392" s="13" t="s">
        <v>33</v>
      </c>
      <c r="M392" s="13" t="s">
        <v>33</v>
      </c>
      <c r="N392" s="13" t="s">
        <v>33</v>
      </c>
      <c r="O392" s="13" t="s">
        <v>33</v>
      </c>
      <c r="P392" s="13" t="s">
        <v>33</v>
      </c>
      <c r="Q392" s="13" t="s">
        <v>33</v>
      </c>
      <c r="R392" s="13" t="s">
        <v>33</v>
      </c>
      <c r="S392" s="13" t="s">
        <v>33</v>
      </c>
      <c r="T392" s="13" t="s">
        <v>33</v>
      </c>
      <c r="U392" s="13" t="s">
        <v>33</v>
      </c>
      <c r="V392" s="13" t="s">
        <v>33</v>
      </c>
      <c r="W392" s="6" t="b">
        <v>0</v>
      </c>
      <c r="X392" s="6" t="s">
        <v>1301</v>
      </c>
      <c r="Y392" s="6" t="s">
        <v>1326</v>
      </c>
      <c r="Z392" s="6">
        <v>339</v>
      </c>
      <c r="AA392" s="7" t="str">
        <f t="shared" ref="AA392:AA407" si="119">Sim_Stale</f>
        <v>OK - sims match current assumptions</v>
      </c>
      <c r="AB392" s="13" t="s">
        <v>33</v>
      </c>
      <c r="AC392" s="13" t="s">
        <v>33</v>
      </c>
      <c r="AD392" s="13" t="s">
        <v>33</v>
      </c>
      <c r="AE392" s="13" t="s">
        <v>33</v>
      </c>
      <c r="AF392" s="13" t="s">
        <v>33</v>
      </c>
      <c r="AG392" s="13" t="s">
        <v>33</v>
      </c>
      <c r="AH392" s="6" t="b">
        <v>0</v>
      </c>
      <c r="AI392" s="13" t="s">
        <v>33</v>
      </c>
      <c r="AJ392" s="13" t="s">
        <v>33</v>
      </c>
      <c r="AK392" s="13" t="s">
        <v>33</v>
      </c>
      <c r="AL392" s="6">
        <v>0</v>
      </c>
      <c r="AM392" s="13" t="s">
        <v>33</v>
      </c>
    </row>
    <row r="393" spans="1:39" ht="15" customHeight="1" x14ac:dyDescent="0.3">
      <c r="A393" s="6" t="s">
        <v>337</v>
      </c>
      <c r="B393" s="7" t="str">
        <f>Odds_Input!C348</f>
        <v>Darryn Peterson</v>
      </c>
      <c r="C393" s="6" t="s">
        <v>33</v>
      </c>
      <c r="D393" s="7" t="str">
        <f>Odds_Input!D348</f>
        <v>YES</v>
      </c>
      <c r="E393" s="31" t="str">
        <f>Odds_Input!E348</f>
        <v>-</v>
      </c>
      <c r="F393" s="32">
        <f>Odds_Input!F348</f>
        <v>330</v>
      </c>
      <c r="G393" s="36">
        <f>M_DeVig!H348</f>
        <v>4.3</v>
      </c>
      <c r="H393" s="7" t="str">
        <f>Odds_Input!G348</f>
        <v>-</v>
      </c>
      <c r="I393" s="42">
        <f>M_DeVig!Q348</f>
        <v>0.20704826022518347</v>
      </c>
      <c r="J393" s="13" t="s">
        <v>33</v>
      </c>
      <c r="K393" s="43">
        <f t="shared" si="118"/>
        <v>382.97918510032912</v>
      </c>
      <c r="L393" s="13" t="s">
        <v>33</v>
      </c>
      <c r="M393" s="13" t="s">
        <v>33</v>
      </c>
      <c r="N393" s="13" t="s">
        <v>33</v>
      </c>
      <c r="O393" s="13" t="s">
        <v>33</v>
      </c>
      <c r="P393" s="13" t="s">
        <v>33</v>
      </c>
      <c r="Q393" s="13" t="s">
        <v>33</v>
      </c>
      <c r="R393" s="13" t="s">
        <v>33</v>
      </c>
      <c r="S393" s="13" t="s">
        <v>33</v>
      </c>
      <c r="T393" s="13" t="s">
        <v>33</v>
      </c>
      <c r="U393" s="13" t="s">
        <v>33</v>
      </c>
      <c r="V393" s="13" t="s">
        <v>33</v>
      </c>
      <c r="W393" s="6" t="b">
        <v>0</v>
      </c>
      <c r="X393" s="6" t="s">
        <v>1301</v>
      </c>
      <c r="Y393" s="6" t="s">
        <v>1326</v>
      </c>
      <c r="Z393" s="6">
        <v>340</v>
      </c>
      <c r="AA393" s="7" t="str">
        <f t="shared" si="119"/>
        <v>OK - sims match current assumptions</v>
      </c>
      <c r="AB393" s="13" t="s">
        <v>33</v>
      </c>
      <c r="AC393" s="13" t="s">
        <v>33</v>
      </c>
      <c r="AD393" s="13" t="s">
        <v>33</v>
      </c>
      <c r="AE393" s="13" t="s">
        <v>33</v>
      </c>
      <c r="AF393" s="13" t="s">
        <v>33</v>
      </c>
      <c r="AG393" s="13" t="s">
        <v>33</v>
      </c>
      <c r="AH393" s="6" t="b">
        <v>0</v>
      </c>
      <c r="AI393" s="13" t="s">
        <v>33</v>
      </c>
      <c r="AJ393" s="13" t="s">
        <v>33</v>
      </c>
      <c r="AK393" s="13" t="s">
        <v>33</v>
      </c>
      <c r="AL393" s="6">
        <v>0</v>
      </c>
      <c r="AM393" s="13" t="s">
        <v>33</v>
      </c>
    </row>
    <row r="394" spans="1:39" ht="15" customHeight="1" x14ac:dyDescent="0.3">
      <c r="A394" s="6" t="s">
        <v>337</v>
      </c>
      <c r="B394" s="7" t="str">
        <f>Odds_Input!C349</f>
        <v>Caleb Wilson</v>
      </c>
      <c r="C394" s="6" t="s">
        <v>33</v>
      </c>
      <c r="D394" s="7" t="str">
        <f>Odds_Input!D349</f>
        <v>YES</v>
      </c>
      <c r="E394" s="31" t="str">
        <f>Odds_Input!E349</f>
        <v>-</v>
      </c>
      <c r="F394" s="32">
        <f>Odds_Input!F349</f>
        <v>350</v>
      </c>
      <c r="G394" s="36">
        <f>M_DeVig!H349</f>
        <v>4.5</v>
      </c>
      <c r="H394" s="7" t="str">
        <f>Odds_Input!G349</f>
        <v>-</v>
      </c>
      <c r="I394" s="42">
        <f>M_DeVig!Q349</f>
        <v>0.19749919288006035</v>
      </c>
      <c r="J394" s="13" t="s">
        <v>33</v>
      </c>
      <c r="K394" s="43">
        <f t="shared" si="118"/>
        <v>406.33118313921</v>
      </c>
      <c r="L394" s="13" t="s">
        <v>33</v>
      </c>
      <c r="M394" s="13" t="s">
        <v>33</v>
      </c>
      <c r="N394" s="13" t="s">
        <v>33</v>
      </c>
      <c r="O394" s="13" t="s">
        <v>33</v>
      </c>
      <c r="P394" s="13" t="s">
        <v>33</v>
      </c>
      <c r="Q394" s="13" t="s">
        <v>33</v>
      </c>
      <c r="R394" s="13" t="s">
        <v>33</v>
      </c>
      <c r="S394" s="13" t="s">
        <v>33</v>
      </c>
      <c r="T394" s="13" t="s">
        <v>33</v>
      </c>
      <c r="U394" s="13" t="s">
        <v>33</v>
      </c>
      <c r="V394" s="13" t="s">
        <v>33</v>
      </c>
      <c r="W394" s="6" t="b">
        <v>0</v>
      </c>
      <c r="X394" s="6" t="s">
        <v>1301</v>
      </c>
      <c r="Y394" s="6" t="s">
        <v>1326</v>
      </c>
      <c r="Z394" s="6">
        <v>341</v>
      </c>
      <c r="AA394" s="7" t="str">
        <f t="shared" si="119"/>
        <v>OK - sims match current assumptions</v>
      </c>
      <c r="AB394" s="13" t="s">
        <v>33</v>
      </c>
      <c r="AC394" s="13" t="s">
        <v>33</v>
      </c>
      <c r="AD394" s="13" t="s">
        <v>33</v>
      </c>
      <c r="AE394" s="13" t="s">
        <v>33</v>
      </c>
      <c r="AF394" s="13" t="s">
        <v>33</v>
      </c>
      <c r="AG394" s="13" t="s">
        <v>33</v>
      </c>
      <c r="AH394" s="6" t="b">
        <v>0</v>
      </c>
      <c r="AI394" s="13" t="s">
        <v>33</v>
      </c>
      <c r="AJ394" s="13" t="s">
        <v>33</v>
      </c>
      <c r="AK394" s="13" t="s">
        <v>33</v>
      </c>
      <c r="AL394" s="6">
        <v>0</v>
      </c>
      <c r="AM394" s="13" t="s">
        <v>33</v>
      </c>
    </row>
    <row r="395" spans="1:39" ht="15" customHeight="1" x14ac:dyDescent="0.3">
      <c r="A395" s="6" t="s">
        <v>337</v>
      </c>
      <c r="B395" s="7" t="str">
        <f>Odds_Input!C350</f>
        <v>AJ Dybantsa</v>
      </c>
      <c r="C395" s="6" t="s">
        <v>33</v>
      </c>
      <c r="D395" s="7" t="str">
        <f>Odds_Input!D350</f>
        <v>YES</v>
      </c>
      <c r="E395" s="31" t="str">
        <f>Odds_Input!E350</f>
        <v>-</v>
      </c>
      <c r="F395" s="32">
        <f>Odds_Input!F350</f>
        <v>400</v>
      </c>
      <c r="G395" s="36">
        <f>M_DeVig!H350</f>
        <v>5</v>
      </c>
      <c r="H395" s="7" t="str">
        <f>Odds_Input!G350</f>
        <v>-</v>
      </c>
      <c r="I395" s="42">
        <f>M_DeVig!Q350</f>
        <v>0.17697118752078489</v>
      </c>
      <c r="J395" s="13" t="s">
        <v>33</v>
      </c>
      <c r="K395" s="43">
        <f t="shared" si="118"/>
        <v>465.06373382534491</v>
      </c>
      <c r="L395" s="13" t="s">
        <v>33</v>
      </c>
      <c r="M395" s="13" t="s">
        <v>33</v>
      </c>
      <c r="N395" s="13" t="s">
        <v>33</v>
      </c>
      <c r="O395" s="13" t="s">
        <v>33</v>
      </c>
      <c r="P395" s="13" t="s">
        <v>33</v>
      </c>
      <c r="Q395" s="13" t="s">
        <v>33</v>
      </c>
      <c r="R395" s="13" t="s">
        <v>33</v>
      </c>
      <c r="S395" s="13" t="s">
        <v>33</v>
      </c>
      <c r="T395" s="13" t="s">
        <v>33</v>
      </c>
      <c r="U395" s="13" t="s">
        <v>33</v>
      </c>
      <c r="V395" s="13" t="s">
        <v>33</v>
      </c>
      <c r="W395" s="6" t="b">
        <v>0</v>
      </c>
      <c r="X395" s="6" t="s">
        <v>1301</v>
      </c>
      <c r="Y395" s="6" t="s">
        <v>1326</v>
      </c>
      <c r="Z395" s="6">
        <v>342</v>
      </c>
      <c r="AA395" s="7" t="str">
        <f t="shared" si="119"/>
        <v>OK - sims match current assumptions</v>
      </c>
      <c r="AB395" s="13" t="s">
        <v>33</v>
      </c>
      <c r="AC395" s="13" t="s">
        <v>33</v>
      </c>
      <c r="AD395" s="13" t="s">
        <v>33</v>
      </c>
      <c r="AE395" s="13" t="s">
        <v>33</v>
      </c>
      <c r="AF395" s="13" t="s">
        <v>33</v>
      </c>
      <c r="AG395" s="13" t="s">
        <v>33</v>
      </c>
      <c r="AH395" s="6" t="b">
        <v>0</v>
      </c>
      <c r="AI395" s="13" t="s">
        <v>33</v>
      </c>
      <c r="AJ395" s="13" t="s">
        <v>33</v>
      </c>
      <c r="AK395" s="13" t="s">
        <v>33</v>
      </c>
      <c r="AL395" s="6">
        <v>0</v>
      </c>
      <c r="AM395" s="13" t="s">
        <v>33</v>
      </c>
    </row>
    <row r="396" spans="1:39" ht="15" customHeight="1" x14ac:dyDescent="0.3">
      <c r="A396" s="6" t="s">
        <v>337</v>
      </c>
      <c r="B396" s="7" t="str">
        <f>Odds_Input!C351</f>
        <v>Darius Acuff Jr</v>
      </c>
      <c r="C396" s="6" t="s">
        <v>33</v>
      </c>
      <c r="D396" s="7" t="str">
        <f>Odds_Input!D351</f>
        <v>YES</v>
      </c>
      <c r="E396" s="31" t="str">
        <f>Odds_Input!E351</f>
        <v>-</v>
      </c>
      <c r="F396" s="32">
        <f>Odds_Input!F351</f>
        <v>1200</v>
      </c>
      <c r="G396" s="36">
        <f>M_DeVig!H351</f>
        <v>13</v>
      </c>
      <c r="H396" s="7" t="str">
        <f>Odds_Input!G351</f>
        <v>-</v>
      </c>
      <c r="I396" s="42">
        <f>M_DeVig!Q351</f>
        <v>6.3462813205799412E-2</v>
      </c>
      <c r="J396" s="13" t="s">
        <v>33</v>
      </c>
      <c r="K396" s="43">
        <f t="shared" si="118"/>
        <v>1475.7259243411813</v>
      </c>
      <c r="L396" s="13" t="s">
        <v>33</v>
      </c>
      <c r="M396" s="13" t="s">
        <v>33</v>
      </c>
      <c r="N396" s="13" t="s">
        <v>33</v>
      </c>
      <c r="O396" s="13" t="s">
        <v>33</v>
      </c>
      <c r="P396" s="13" t="s">
        <v>33</v>
      </c>
      <c r="Q396" s="13" t="s">
        <v>33</v>
      </c>
      <c r="R396" s="13" t="s">
        <v>33</v>
      </c>
      <c r="S396" s="13" t="s">
        <v>33</v>
      </c>
      <c r="T396" s="13" t="s">
        <v>33</v>
      </c>
      <c r="U396" s="13" t="s">
        <v>33</v>
      </c>
      <c r="V396" s="13" t="s">
        <v>33</v>
      </c>
      <c r="W396" s="6" t="b">
        <v>0</v>
      </c>
      <c r="X396" s="6" t="s">
        <v>1301</v>
      </c>
      <c r="Y396" s="6" t="s">
        <v>1326</v>
      </c>
      <c r="Z396" s="6">
        <v>343</v>
      </c>
      <c r="AA396" s="7" t="str">
        <f t="shared" si="119"/>
        <v>OK - sims match current assumptions</v>
      </c>
      <c r="AB396" s="13" t="s">
        <v>33</v>
      </c>
      <c r="AC396" s="13" t="s">
        <v>33</v>
      </c>
      <c r="AD396" s="13" t="s">
        <v>33</v>
      </c>
      <c r="AE396" s="13" t="s">
        <v>33</v>
      </c>
      <c r="AF396" s="13" t="s">
        <v>33</v>
      </c>
      <c r="AG396" s="13" t="s">
        <v>33</v>
      </c>
      <c r="AH396" s="6" t="b">
        <v>0</v>
      </c>
      <c r="AI396" s="13" t="s">
        <v>33</v>
      </c>
      <c r="AJ396" s="13" t="s">
        <v>33</v>
      </c>
      <c r="AK396" s="13" t="s">
        <v>33</v>
      </c>
      <c r="AL396" s="6">
        <v>0</v>
      </c>
      <c r="AM396" s="13" t="s">
        <v>33</v>
      </c>
    </row>
    <row r="397" spans="1:39" ht="15" customHeight="1" x14ac:dyDescent="0.3">
      <c r="A397" s="6" t="s">
        <v>337</v>
      </c>
      <c r="B397" s="7" t="str">
        <f>Odds_Input!C352</f>
        <v>Yaxel Lendeborg</v>
      </c>
      <c r="C397" s="6" t="s">
        <v>33</v>
      </c>
      <c r="D397" s="7" t="str">
        <f>Odds_Input!D352</f>
        <v>YES</v>
      </c>
      <c r="E397" s="31" t="str">
        <f>Odds_Input!E352</f>
        <v>-</v>
      </c>
      <c r="F397" s="32">
        <f>Odds_Input!F352</f>
        <v>1500</v>
      </c>
      <c r="G397" s="36">
        <f>M_DeVig!H352</f>
        <v>16</v>
      </c>
      <c r="H397" s="7" t="str">
        <f>Odds_Input!G352</f>
        <v>-</v>
      </c>
      <c r="I397" s="42">
        <f>M_DeVig!Q352</f>
        <v>5.023345795392968E-2</v>
      </c>
      <c r="J397" s="13" t="s">
        <v>33</v>
      </c>
      <c r="K397" s="43">
        <f t="shared" si="118"/>
        <v>1890.7050812968603</v>
      </c>
      <c r="L397" s="13" t="s">
        <v>33</v>
      </c>
      <c r="M397" s="13" t="s">
        <v>33</v>
      </c>
      <c r="N397" s="13" t="s">
        <v>33</v>
      </c>
      <c r="O397" s="13" t="s">
        <v>33</v>
      </c>
      <c r="P397" s="13" t="s">
        <v>33</v>
      </c>
      <c r="Q397" s="13" t="s">
        <v>33</v>
      </c>
      <c r="R397" s="13" t="s">
        <v>33</v>
      </c>
      <c r="S397" s="13" t="s">
        <v>33</v>
      </c>
      <c r="T397" s="13" t="s">
        <v>33</v>
      </c>
      <c r="U397" s="13" t="s">
        <v>33</v>
      </c>
      <c r="V397" s="13" t="s">
        <v>33</v>
      </c>
      <c r="W397" s="6" t="b">
        <v>0</v>
      </c>
      <c r="X397" s="6" t="s">
        <v>1301</v>
      </c>
      <c r="Y397" s="6" t="s">
        <v>1326</v>
      </c>
      <c r="Z397" s="6">
        <v>344</v>
      </c>
      <c r="AA397" s="7" t="str">
        <f t="shared" si="119"/>
        <v>OK - sims match current assumptions</v>
      </c>
      <c r="AB397" s="13" t="s">
        <v>33</v>
      </c>
      <c r="AC397" s="13" t="s">
        <v>33</v>
      </c>
      <c r="AD397" s="13" t="s">
        <v>33</v>
      </c>
      <c r="AE397" s="13" t="s">
        <v>33</v>
      </c>
      <c r="AF397" s="13" t="s">
        <v>33</v>
      </c>
      <c r="AG397" s="13" t="s">
        <v>33</v>
      </c>
      <c r="AH397" s="6" t="b">
        <v>0</v>
      </c>
      <c r="AI397" s="13" t="s">
        <v>33</v>
      </c>
      <c r="AJ397" s="13" t="s">
        <v>33</v>
      </c>
      <c r="AK397" s="13" t="s">
        <v>33</v>
      </c>
      <c r="AL397" s="6">
        <v>0</v>
      </c>
      <c r="AM397" s="13" t="s">
        <v>33</v>
      </c>
    </row>
    <row r="398" spans="1:39" ht="15" customHeight="1" x14ac:dyDescent="0.3">
      <c r="A398" s="6" t="s">
        <v>337</v>
      </c>
      <c r="B398" s="7" t="str">
        <f>Odds_Input!C353</f>
        <v>Mikel Brown Jr</v>
      </c>
      <c r="C398" s="6" t="s">
        <v>33</v>
      </c>
      <c r="D398" s="7" t="str">
        <f>Odds_Input!D353</f>
        <v>YES</v>
      </c>
      <c r="E398" s="31" t="str">
        <f>Odds_Input!E353</f>
        <v>-</v>
      </c>
      <c r="F398" s="32">
        <f>Odds_Input!F353</f>
        <v>2000</v>
      </c>
      <c r="G398" s="36">
        <f>M_DeVig!H353</f>
        <v>21</v>
      </c>
      <c r="H398" s="7" t="str">
        <f>Odds_Input!G353</f>
        <v>-</v>
      </c>
      <c r="I398" s="42">
        <f>M_DeVig!Q353</f>
        <v>3.6649885786425043E-2</v>
      </c>
      <c r="J398" s="13" t="s">
        <v>33</v>
      </c>
      <c r="K398" s="43">
        <f t="shared" si="118"/>
        <v>2628.5214634158438</v>
      </c>
      <c r="L398" s="13" t="s">
        <v>33</v>
      </c>
      <c r="M398" s="13" t="s">
        <v>33</v>
      </c>
      <c r="N398" s="13" t="s">
        <v>33</v>
      </c>
      <c r="O398" s="13" t="s">
        <v>33</v>
      </c>
      <c r="P398" s="13" t="s">
        <v>33</v>
      </c>
      <c r="Q398" s="13" t="s">
        <v>33</v>
      </c>
      <c r="R398" s="13" t="s">
        <v>33</v>
      </c>
      <c r="S398" s="13" t="s">
        <v>33</v>
      </c>
      <c r="T398" s="13" t="s">
        <v>33</v>
      </c>
      <c r="U398" s="13" t="s">
        <v>33</v>
      </c>
      <c r="V398" s="13" t="s">
        <v>33</v>
      </c>
      <c r="W398" s="6" t="b">
        <v>0</v>
      </c>
      <c r="X398" s="6" t="s">
        <v>1301</v>
      </c>
      <c r="Y398" s="6" t="s">
        <v>1326</v>
      </c>
      <c r="Z398" s="6">
        <v>345</v>
      </c>
      <c r="AA398" s="7" t="str">
        <f t="shared" si="119"/>
        <v>OK - sims match current assumptions</v>
      </c>
      <c r="AB398" s="13" t="s">
        <v>33</v>
      </c>
      <c r="AC398" s="13" t="s">
        <v>33</v>
      </c>
      <c r="AD398" s="13" t="s">
        <v>33</v>
      </c>
      <c r="AE398" s="13" t="s">
        <v>33</v>
      </c>
      <c r="AF398" s="13" t="s">
        <v>33</v>
      </c>
      <c r="AG398" s="13" t="s">
        <v>33</v>
      </c>
      <c r="AH398" s="6" t="b">
        <v>0</v>
      </c>
      <c r="AI398" s="13" t="s">
        <v>33</v>
      </c>
      <c r="AJ398" s="13" t="s">
        <v>33</v>
      </c>
      <c r="AK398" s="13" t="s">
        <v>33</v>
      </c>
      <c r="AL398" s="6">
        <v>0</v>
      </c>
      <c r="AM398" s="13" t="s">
        <v>33</v>
      </c>
    </row>
    <row r="399" spans="1:39" ht="15" customHeight="1" x14ac:dyDescent="0.3">
      <c r="A399" s="6" t="s">
        <v>337</v>
      </c>
      <c r="B399" s="7" t="str">
        <f>Odds_Input!C354</f>
        <v>Keaton Wagler</v>
      </c>
      <c r="C399" s="6" t="s">
        <v>33</v>
      </c>
      <c r="D399" s="7" t="str">
        <f>Odds_Input!D354</f>
        <v>YES</v>
      </c>
      <c r="E399" s="31" t="str">
        <f>Odds_Input!E354</f>
        <v>-</v>
      </c>
      <c r="F399" s="32">
        <f>Odds_Input!F354</f>
        <v>4000</v>
      </c>
      <c r="G399" s="36">
        <f>M_DeVig!H354</f>
        <v>41</v>
      </c>
      <c r="H399" s="7" t="str">
        <f>Odds_Input!G354</f>
        <v>-</v>
      </c>
      <c r="I399" s="42">
        <f>M_DeVig!Q354</f>
        <v>1.5848172296996671E-2</v>
      </c>
      <c r="J399" s="13" t="s">
        <v>33</v>
      </c>
      <c r="K399" s="43">
        <f t="shared" si="118"/>
        <v>6209.8758724973377</v>
      </c>
      <c r="L399" s="13" t="s">
        <v>33</v>
      </c>
      <c r="M399" s="13" t="s">
        <v>33</v>
      </c>
      <c r="N399" s="13" t="s">
        <v>33</v>
      </c>
      <c r="O399" s="13" t="s">
        <v>33</v>
      </c>
      <c r="P399" s="13" t="s">
        <v>33</v>
      </c>
      <c r="Q399" s="13" t="s">
        <v>33</v>
      </c>
      <c r="R399" s="13" t="s">
        <v>33</v>
      </c>
      <c r="S399" s="13" t="s">
        <v>33</v>
      </c>
      <c r="T399" s="13" t="s">
        <v>33</v>
      </c>
      <c r="U399" s="13" t="s">
        <v>33</v>
      </c>
      <c r="V399" s="13" t="s">
        <v>33</v>
      </c>
      <c r="W399" s="6" t="b">
        <v>0</v>
      </c>
      <c r="X399" s="6" t="s">
        <v>1301</v>
      </c>
      <c r="Y399" s="6" t="s">
        <v>1326</v>
      </c>
      <c r="Z399" s="6">
        <v>346</v>
      </c>
      <c r="AA399" s="7" t="str">
        <f t="shared" si="119"/>
        <v>OK - sims match current assumptions</v>
      </c>
      <c r="AB399" s="13" t="s">
        <v>33</v>
      </c>
      <c r="AC399" s="13" t="s">
        <v>33</v>
      </c>
      <c r="AD399" s="13" t="s">
        <v>33</v>
      </c>
      <c r="AE399" s="13" t="s">
        <v>33</v>
      </c>
      <c r="AF399" s="13" t="s">
        <v>33</v>
      </c>
      <c r="AG399" s="13" t="s">
        <v>33</v>
      </c>
      <c r="AH399" s="6" t="b">
        <v>0</v>
      </c>
      <c r="AI399" s="13" t="s">
        <v>33</v>
      </c>
      <c r="AJ399" s="13" t="s">
        <v>33</v>
      </c>
      <c r="AK399" s="13" t="s">
        <v>33</v>
      </c>
      <c r="AL399" s="6">
        <v>0</v>
      </c>
      <c r="AM399" s="13" t="s">
        <v>33</v>
      </c>
    </row>
    <row r="400" spans="1:39" ht="15" customHeight="1" x14ac:dyDescent="0.3">
      <c r="A400" s="6" t="s">
        <v>337</v>
      </c>
      <c r="B400" s="7" t="str">
        <f>Odds_Input!C355</f>
        <v>Nate Ament</v>
      </c>
      <c r="C400" s="6" t="s">
        <v>33</v>
      </c>
      <c r="D400" s="7" t="str">
        <f>Odds_Input!D355</f>
        <v>YES</v>
      </c>
      <c r="E400" s="31" t="str">
        <f>Odds_Input!E355</f>
        <v>-</v>
      </c>
      <c r="F400" s="32">
        <f>Odds_Input!F355</f>
        <v>10000</v>
      </c>
      <c r="G400" s="36">
        <f>M_DeVig!H355</f>
        <v>101</v>
      </c>
      <c r="H400" s="7" t="str">
        <f>Odds_Input!G355</f>
        <v>-</v>
      </c>
      <c r="I400" s="42">
        <f>M_DeVig!Q355</f>
        <v>4.116733963707115E-3</v>
      </c>
      <c r="J400" s="13" t="s">
        <v>33</v>
      </c>
      <c r="K400" s="43">
        <f t="shared" si="118"/>
        <v>24191.100877927533</v>
      </c>
      <c r="L400" s="13" t="s">
        <v>33</v>
      </c>
      <c r="M400" s="13" t="s">
        <v>33</v>
      </c>
      <c r="N400" s="13" t="s">
        <v>33</v>
      </c>
      <c r="O400" s="13" t="s">
        <v>33</v>
      </c>
      <c r="P400" s="13" t="s">
        <v>33</v>
      </c>
      <c r="Q400" s="13" t="s">
        <v>33</v>
      </c>
      <c r="R400" s="13" t="s">
        <v>33</v>
      </c>
      <c r="S400" s="13" t="s">
        <v>33</v>
      </c>
      <c r="T400" s="13" t="s">
        <v>33</v>
      </c>
      <c r="U400" s="13" t="s">
        <v>33</v>
      </c>
      <c r="V400" s="13" t="s">
        <v>33</v>
      </c>
      <c r="W400" s="6" t="b">
        <v>0</v>
      </c>
      <c r="X400" s="6" t="s">
        <v>1301</v>
      </c>
      <c r="Y400" s="6" t="s">
        <v>1326</v>
      </c>
      <c r="Z400" s="6">
        <v>347</v>
      </c>
      <c r="AA400" s="7" t="str">
        <f t="shared" si="119"/>
        <v>OK - sims match current assumptions</v>
      </c>
      <c r="AB400" s="13" t="s">
        <v>33</v>
      </c>
      <c r="AC400" s="13" t="s">
        <v>33</v>
      </c>
      <c r="AD400" s="13" t="s">
        <v>33</v>
      </c>
      <c r="AE400" s="13" t="s">
        <v>33</v>
      </c>
      <c r="AF400" s="13" t="s">
        <v>33</v>
      </c>
      <c r="AG400" s="13" t="s">
        <v>33</v>
      </c>
      <c r="AH400" s="6" t="b">
        <v>0</v>
      </c>
      <c r="AI400" s="13" t="s">
        <v>33</v>
      </c>
      <c r="AJ400" s="13" t="s">
        <v>33</v>
      </c>
      <c r="AK400" s="13" t="s">
        <v>33</v>
      </c>
      <c r="AL400" s="6">
        <v>0</v>
      </c>
      <c r="AM400" s="13" t="s">
        <v>33</v>
      </c>
    </row>
    <row r="401" spans="1:39" ht="15" customHeight="1" x14ac:dyDescent="0.3">
      <c r="A401" s="6" t="s">
        <v>337</v>
      </c>
      <c r="B401" s="7" t="str">
        <f>Odds_Input!C356</f>
        <v>Kingston Flemings</v>
      </c>
      <c r="C401" s="6" t="s">
        <v>33</v>
      </c>
      <c r="D401" s="7" t="str">
        <f>Odds_Input!D356</f>
        <v>YES</v>
      </c>
      <c r="E401" s="31" t="str">
        <f>Odds_Input!E356</f>
        <v>-</v>
      </c>
      <c r="F401" s="32">
        <f>Odds_Input!F356</f>
        <v>10000</v>
      </c>
      <c r="G401" s="36">
        <f>M_DeVig!H356</f>
        <v>101</v>
      </c>
      <c r="H401" s="7" t="str">
        <f>Odds_Input!G356</f>
        <v>-</v>
      </c>
      <c r="I401" s="42">
        <f>M_DeVig!Q356</f>
        <v>4.116733963707115E-3</v>
      </c>
      <c r="J401" s="13" t="s">
        <v>33</v>
      </c>
      <c r="K401" s="43">
        <f t="shared" si="118"/>
        <v>24191.100877927533</v>
      </c>
      <c r="L401" s="13" t="s">
        <v>33</v>
      </c>
      <c r="M401" s="13" t="s">
        <v>33</v>
      </c>
      <c r="N401" s="13" t="s">
        <v>33</v>
      </c>
      <c r="O401" s="13" t="s">
        <v>33</v>
      </c>
      <c r="P401" s="13" t="s">
        <v>33</v>
      </c>
      <c r="Q401" s="13" t="s">
        <v>33</v>
      </c>
      <c r="R401" s="13" t="s">
        <v>33</v>
      </c>
      <c r="S401" s="13" t="s">
        <v>33</v>
      </c>
      <c r="T401" s="13" t="s">
        <v>33</v>
      </c>
      <c r="U401" s="13" t="s">
        <v>33</v>
      </c>
      <c r="V401" s="13" t="s">
        <v>33</v>
      </c>
      <c r="W401" s="6" t="b">
        <v>0</v>
      </c>
      <c r="X401" s="6" t="s">
        <v>1301</v>
      </c>
      <c r="Y401" s="6" t="s">
        <v>1326</v>
      </c>
      <c r="Z401" s="6">
        <v>348</v>
      </c>
      <c r="AA401" s="7" t="str">
        <f t="shared" si="119"/>
        <v>OK - sims match current assumptions</v>
      </c>
      <c r="AB401" s="13" t="s">
        <v>33</v>
      </c>
      <c r="AC401" s="13" t="s">
        <v>33</v>
      </c>
      <c r="AD401" s="13" t="s">
        <v>33</v>
      </c>
      <c r="AE401" s="13" t="s">
        <v>33</v>
      </c>
      <c r="AF401" s="13" t="s">
        <v>33</v>
      </c>
      <c r="AG401" s="13" t="s">
        <v>33</v>
      </c>
      <c r="AH401" s="6" t="b">
        <v>0</v>
      </c>
      <c r="AI401" s="13" t="s">
        <v>33</v>
      </c>
      <c r="AJ401" s="13" t="s">
        <v>33</v>
      </c>
      <c r="AK401" s="13" t="s">
        <v>33</v>
      </c>
      <c r="AL401" s="6">
        <v>0</v>
      </c>
      <c r="AM401" s="13" t="s">
        <v>33</v>
      </c>
    </row>
    <row r="402" spans="1:39" ht="15" customHeight="1" x14ac:dyDescent="0.3">
      <c r="A402" s="6" t="s">
        <v>337</v>
      </c>
      <c r="B402" s="7" t="str">
        <f>Odds_Input!C357</f>
        <v>Brayden Burries</v>
      </c>
      <c r="C402" s="6" t="s">
        <v>33</v>
      </c>
      <c r="D402" s="7" t="str">
        <f>Odds_Input!D357</f>
        <v>YES</v>
      </c>
      <c r="E402" s="31" t="str">
        <f>Odds_Input!E357</f>
        <v>-</v>
      </c>
      <c r="F402" s="32">
        <f>Odds_Input!F357</f>
        <v>7500</v>
      </c>
      <c r="G402" s="36">
        <f>M_DeVig!H357</f>
        <v>76</v>
      </c>
      <c r="H402" s="7" t="str">
        <f>Odds_Input!G357</f>
        <v>-</v>
      </c>
      <c r="I402" s="42">
        <f>M_DeVig!Q357</f>
        <v>6.5066289351597322E-3</v>
      </c>
      <c r="J402" s="13" t="s">
        <v>33</v>
      </c>
      <c r="K402" s="43">
        <f t="shared" si="118"/>
        <v>15268.941581966068</v>
      </c>
      <c r="L402" s="13" t="s">
        <v>33</v>
      </c>
      <c r="M402" s="13" t="s">
        <v>33</v>
      </c>
      <c r="N402" s="13" t="s">
        <v>33</v>
      </c>
      <c r="O402" s="13" t="s">
        <v>33</v>
      </c>
      <c r="P402" s="13" t="s">
        <v>33</v>
      </c>
      <c r="Q402" s="13" t="s">
        <v>33</v>
      </c>
      <c r="R402" s="13" t="s">
        <v>33</v>
      </c>
      <c r="S402" s="13" t="s">
        <v>33</v>
      </c>
      <c r="T402" s="13" t="s">
        <v>33</v>
      </c>
      <c r="U402" s="13" t="s">
        <v>33</v>
      </c>
      <c r="V402" s="13" t="s">
        <v>33</v>
      </c>
      <c r="W402" s="6" t="b">
        <v>0</v>
      </c>
      <c r="X402" s="6" t="s">
        <v>1301</v>
      </c>
      <c r="Y402" s="6" t="s">
        <v>1326</v>
      </c>
      <c r="Z402" s="6">
        <v>349</v>
      </c>
      <c r="AA402" s="7" t="str">
        <f t="shared" si="119"/>
        <v>OK - sims match current assumptions</v>
      </c>
      <c r="AB402" s="13" t="s">
        <v>33</v>
      </c>
      <c r="AC402" s="13" t="s">
        <v>33</v>
      </c>
      <c r="AD402" s="13" t="s">
        <v>33</v>
      </c>
      <c r="AE402" s="13" t="s">
        <v>33</v>
      </c>
      <c r="AF402" s="13" t="s">
        <v>33</v>
      </c>
      <c r="AG402" s="13" t="s">
        <v>33</v>
      </c>
      <c r="AH402" s="6" t="b">
        <v>0</v>
      </c>
      <c r="AI402" s="13" t="s">
        <v>33</v>
      </c>
      <c r="AJ402" s="13" t="s">
        <v>33</v>
      </c>
      <c r="AK402" s="13" t="s">
        <v>33</v>
      </c>
      <c r="AL402" s="6">
        <v>0</v>
      </c>
      <c r="AM402" s="13" t="s">
        <v>33</v>
      </c>
    </row>
    <row r="403" spans="1:39" ht="15" customHeight="1" x14ac:dyDescent="0.3">
      <c r="A403" s="6" t="s">
        <v>337</v>
      </c>
      <c r="B403" s="7" t="str">
        <f>Odds_Input!C358</f>
        <v>Morez Johnson Jr</v>
      </c>
      <c r="C403" s="6" t="s">
        <v>33</v>
      </c>
      <c r="D403" s="7" t="str">
        <f>Odds_Input!D358</f>
        <v>YES</v>
      </c>
      <c r="E403" s="31" t="str">
        <f>Odds_Input!E358</f>
        <v>-</v>
      </c>
      <c r="F403" s="32">
        <f>Odds_Input!F358</f>
        <v>10000</v>
      </c>
      <c r="G403" s="36">
        <f>M_DeVig!H358</f>
        <v>101</v>
      </c>
      <c r="H403" s="7" t="str">
        <f>Odds_Input!G358</f>
        <v>-</v>
      </c>
      <c r="I403" s="42">
        <f>M_DeVig!Q358</f>
        <v>4.116733963707115E-3</v>
      </c>
      <c r="J403" s="13" t="s">
        <v>33</v>
      </c>
      <c r="K403" s="43">
        <f t="shared" si="118"/>
        <v>24191.100877927533</v>
      </c>
      <c r="L403" s="13" t="s">
        <v>33</v>
      </c>
      <c r="M403" s="13" t="s">
        <v>33</v>
      </c>
      <c r="N403" s="13" t="s">
        <v>33</v>
      </c>
      <c r="O403" s="13" t="s">
        <v>33</v>
      </c>
      <c r="P403" s="13" t="s">
        <v>33</v>
      </c>
      <c r="Q403" s="13" t="s">
        <v>33</v>
      </c>
      <c r="R403" s="13" t="s">
        <v>33</v>
      </c>
      <c r="S403" s="13" t="s">
        <v>33</v>
      </c>
      <c r="T403" s="13" t="s">
        <v>33</v>
      </c>
      <c r="U403" s="13" t="s">
        <v>33</v>
      </c>
      <c r="V403" s="13" t="s">
        <v>33</v>
      </c>
      <c r="W403" s="6" t="b">
        <v>0</v>
      </c>
      <c r="X403" s="6" t="s">
        <v>1301</v>
      </c>
      <c r="Y403" s="6" t="s">
        <v>1326</v>
      </c>
      <c r="Z403" s="6">
        <v>350</v>
      </c>
      <c r="AA403" s="7" t="str">
        <f t="shared" si="119"/>
        <v>OK - sims match current assumptions</v>
      </c>
      <c r="AB403" s="13" t="s">
        <v>33</v>
      </c>
      <c r="AC403" s="13" t="s">
        <v>33</v>
      </c>
      <c r="AD403" s="13" t="s">
        <v>33</v>
      </c>
      <c r="AE403" s="13" t="s">
        <v>33</v>
      </c>
      <c r="AF403" s="13" t="s">
        <v>33</v>
      </c>
      <c r="AG403" s="13" t="s">
        <v>33</v>
      </c>
      <c r="AH403" s="6" t="b">
        <v>0</v>
      </c>
      <c r="AI403" s="13" t="s">
        <v>33</v>
      </c>
      <c r="AJ403" s="13" t="s">
        <v>33</v>
      </c>
      <c r="AK403" s="13" t="s">
        <v>33</v>
      </c>
      <c r="AL403" s="6">
        <v>0</v>
      </c>
      <c r="AM403" s="13" t="s">
        <v>33</v>
      </c>
    </row>
    <row r="404" spans="1:39" ht="15" customHeight="1" x14ac:dyDescent="0.3">
      <c r="A404" s="6" t="s">
        <v>337</v>
      </c>
      <c r="B404" s="7" t="str">
        <f>Odds_Input!C359</f>
        <v>Cameron Carr</v>
      </c>
      <c r="C404" s="6" t="s">
        <v>33</v>
      </c>
      <c r="D404" s="7" t="str">
        <f>Odds_Input!D359</f>
        <v>YES</v>
      </c>
      <c r="E404" s="31" t="str">
        <f>Odds_Input!E359</f>
        <v>-</v>
      </c>
      <c r="F404" s="32">
        <f>Odds_Input!F359</f>
        <v>10000</v>
      </c>
      <c r="G404" s="36">
        <f>M_DeVig!H359</f>
        <v>101</v>
      </c>
      <c r="H404" s="7" t="str">
        <f>Odds_Input!G359</f>
        <v>-</v>
      </c>
      <c r="I404" s="42">
        <f>M_DeVig!Q359</f>
        <v>4.116733963707115E-3</v>
      </c>
      <c r="J404" s="13" t="s">
        <v>33</v>
      </c>
      <c r="K404" s="43">
        <f t="shared" si="118"/>
        <v>24191.100877927533</v>
      </c>
      <c r="L404" s="13" t="s">
        <v>33</v>
      </c>
      <c r="M404" s="13" t="s">
        <v>33</v>
      </c>
      <c r="N404" s="13" t="s">
        <v>33</v>
      </c>
      <c r="O404" s="13" t="s">
        <v>33</v>
      </c>
      <c r="P404" s="13" t="s">
        <v>33</v>
      </c>
      <c r="Q404" s="13" t="s">
        <v>33</v>
      </c>
      <c r="R404" s="13" t="s">
        <v>33</v>
      </c>
      <c r="S404" s="13" t="s">
        <v>33</v>
      </c>
      <c r="T404" s="13" t="s">
        <v>33</v>
      </c>
      <c r="U404" s="13" t="s">
        <v>33</v>
      </c>
      <c r="V404" s="13" t="s">
        <v>33</v>
      </c>
      <c r="W404" s="6" t="b">
        <v>0</v>
      </c>
      <c r="X404" s="6" t="s">
        <v>1301</v>
      </c>
      <c r="Y404" s="6" t="s">
        <v>1326</v>
      </c>
      <c r="Z404" s="6">
        <v>351</v>
      </c>
      <c r="AA404" s="7" t="str">
        <f t="shared" si="119"/>
        <v>OK - sims match current assumptions</v>
      </c>
      <c r="AB404" s="13" t="s">
        <v>33</v>
      </c>
      <c r="AC404" s="13" t="s">
        <v>33</v>
      </c>
      <c r="AD404" s="13" t="s">
        <v>33</v>
      </c>
      <c r="AE404" s="13" t="s">
        <v>33</v>
      </c>
      <c r="AF404" s="13" t="s">
        <v>33</v>
      </c>
      <c r="AG404" s="13" t="s">
        <v>33</v>
      </c>
      <c r="AH404" s="6" t="b">
        <v>0</v>
      </c>
      <c r="AI404" s="13" t="s">
        <v>33</v>
      </c>
      <c r="AJ404" s="13" t="s">
        <v>33</v>
      </c>
      <c r="AK404" s="13" t="s">
        <v>33</v>
      </c>
      <c r="AL404" s="6">
        <v>0</v>
      </c>
      <c r="AM404" s="13" t="s">
        <v>33</v>
      </c>
    </row>
    <row r="405" spans="1:39" ht="15" customHeight="1" x14ac:dyDescent="0.3">
      <c r="A405" s="6" t="s">
        <v>337</v>
      </c>
      <c r="B405" s="7" t="str">
        <f>Odds_Input!C360</f>
        <v>Dailyn Swain</v>
      </c>
      <c r="C405" s="6" t="s">
        <v>33</v>
      </c>
      <c r="D405" s="7" t="str">
        <f>Odds_Input!D360</f>
        <v>YES</v>
      </c>
      <c r="E405" s="31" t="str">
        <f>Odds_Input!E360</f>
        <v>-</v>
      </c>
      <c r="F405" s="32">
        <f>Odds_Input!F360</f>
        <v>15000</v>
      </c>
      <c r="G405" s="36">
        <f>M_DeVig!H360</f>
        <v>151</v>
      </c>
      <c r="H405" s="7" t="str">
        <f>Odds_Input!G360</f>
        <v>-</v>
      </c>
      <c r="I405" s="42">
        <f>M_DeVig!Q360</f>
        <v>2.0499398498114345E-3</v>
      </c>
      <c r="J405" s="13" t="s">
        <v>33</v>
      </c>
      <c r="K405" s="43">
        <f t="shared" si="118"/>
        <v>48681.919142260973</v>
      </c>
      <c r="L405" s="13" t="s">
        <v>33</v>
      </c>
      <c r="M405" s="13" t="s">
        <v>33</v>
      </c>
      <c r="N405" s="13" t="s">
        <v>33</v>
      </c>
      <c r="O405" s="13" t="s">
        <v>33</v>
      </c>
      <c r="P405" s="13" t="s">
        <v>33</v>
      </c>
      <c r="Q405" s="13" t="s">
        <v>33</v>
      </c>
      <c r="R405" s="13" t="s">
        <v>33</v>
      </c>
      <c r="S405" s="13" t="s">
        <v>33</v>
      </c>
      <c r="T405" s="13" t="s">
        <v>33</v>
      </c>
      <c r="U405" s="13" t="s">
        <v>33</v>
      </c>
      <c r="V405" s="13" t="s">
        <v>33</v>
      </c>
      <c r="W405" s="6" t="b">
        <v>0</v>
      </c>
      <c r="X405" s="6" t="s">
        <v>1301</v>
      </c>
      <c r="Y405" s="6" t="s">
        <v>1326</v>
      </c>
      <c r="Z405" s="6">
        <v>352</v>
      </c>
      <c r="AA405" s="7" t="str">
        <f t="shared" si="119"/>
        <v>OK - sims match current assumptions</v>
      </c>
      <c r="AB405" s="13" t="s">
        <v>33</v>
      </c>
      <c r="AC405" s="13" t="s">
        <v>33</v>
      </c>
      <c r="AD405" s="13" t="s">
        <v>33</v>
      </c>
      <c r="AE405" s="13" t="s">
        <v>33</v>
      </c>
      <c r="AF405" s="13" t="s">
        <v>33</v>
      </c>
      <c r="AG405" s="13" t="s">
        <v>33</v>
      </c>
      <c r="AH405" s="6" t="b">
        <v>0</v>
      </c>
      <c r="AI405" s="13" t="s">
        <v>33</v>
      </c>
      <c r="AJ405" s="13" t="s">
        <v>33</v>
      </c>
      <c r="AK405" s="13" t="s">
        <v>33</v>
      </c>
      <c r="AL405" s="6">
        <v>0</v>
      </c>
      <c r="AM405" s="13" t="s">
        <v>33</v>
      </c>
    </row>
    <row r="406" spans="1:39" ht="15" customHeight="1" x14ac:dyDescent="0.3">
      <c r="A406" s="6" t="s">
        <v>337</v>
      </c>
      <c r="B406" s="7" t="str">
        <f>Odds_Input!C361</f>
        <v>Labaron Philon</v>
      </c>
      <c r="C406" s="6" t="s">
        <v>33</v>
      </c>
      <c r="D406" s="7" t="str">
        <f>Odds_Input!D361</f>
        <v>YES</v>
      </c>
      <c r="E406" s="31" t="str">
        <f>Odds_Input!E361</f>
        <v>-</v>
      </c>
      <c r="F406" s="32">
        <f>Odds_Input!F361</f>
        <v>15000</v>
      </c>
      <c r="G406" s="36">
        <f>M_DeVig!H361</f>
        <v>151</v>
      </c>
      <c r="H406" s="7" t="str">
        <f>Odds_Input!G361</f>
        <v>-</v>
      </c>
      <c r="I406" s="42">
        <f>M_DeVig!Q361</f>
        <v>2.0499398498114345E-3</v>
      </c>
      <c r="J406" s="13" t="s">
        <v>33</v>
      </c>
      <c r="K406" s="43">
        <f t="shared" si="118"/>
        <v>48681.919142260973</v>
      </c>
      <c r="L406" s="13" t="s">
        <v>33</v>
      </c>
      <c r="M406" s="13" t="s">
        <v>33</v>
      </c>
      <c r="N406" s="13" t="s">
        <v>33</v>
      </c>
      <c r="O406" s="13" t="s">
        <v>33</v>
      </c>
      <c r="P406" s="13" t="s">
        <v>33</v>
      </c>
      <c r="Q406" s="13" t="s">
        <v>33</v>
      </c>
      <c r="R406" s="13" t="s">
        <v>33</v>
      </c>
      <c r="S406" s="13" t="s">
        <v>33</v>
      </c>
      <c r="T406" s="13" t="s">
        <v>33</v>
      </c>
      <c r="U406" s="13" t="s">
        <v>33</v>
      </c>
      <c r="V406" s="13" t="s">
        <v>33</v>
      </c>
      <c r="W406" s="6" t="b">
        <v>0</v>
      </c>
      <c r="X406" s="6" t="s">
        <v>1301</v>
      </c>
      <c r="Y406" s="6" t="s">
        <v>1326</v>
      </c>
      <c r="Z406" s="6">
        <v>353</v>
      </c>
      <c r="AA406" s="7" t="str">
        <f t="shared" si="119"/>
        <v>OK - sims match current assumptions</v>
      </c>
      <c r="AB406" s="13" t="s">
        <v>33</v>
      </c>
      <c r="AC406" s="13" t="s">
        <v>33</v>
      </c>
      <c r="AD406" s="13" t="s">
        <v>33</v>
      </c>
      <c r="AE406" s="13" t="s">
        <v>33</v>
      </c>
      <c r="AF406" s="13" t="s">
        <v>33</v>
      </c>
      <c r="AG406" s="13" t="s">
        <v>33</v>
      </c>
      <c r="AH406" s="6" t="b">
        <v>0</v>
      </c>
      <c r="AI406" s="13" t="s">
        <v>33</v>
      </c>
      <c r="AJ406" s="13" t="s">
        <v>33</v>
      </c>
      <c r="AK406" s="13" t="s">
        <v>33</v>
      </c>
      <c r="AL406" s="6">
        <v>0</v>
      </c>
      <c r="AM406" s="13" t="s">
        <v>33</v>
      </c>
    </row>
    <row r="407" spans="1:39" ht="15" customHeight="1" x14ac:dyDescent="0.3">
      <c r="A407" s="52" t="s">
        <v>337</v>
      </c>
      <c r="B407" s="53" t="str">
        <f>Odds_Input!C362</f>
        <v>Ebuka Okorie</v>
      </c>
      <c r="C407" s="52" t="s">
        <v>33</v>
      </c>
      <c r="D407" s="53" t="str">
        <f>Odds_Input!D362</f>
        <v>YES</v>
      </c>
      <c r="E407" s="54" t="str">
        <f>Odds_Input!E362</f>
        <v>-</v>
      </c>
      <c r="F407" s="55">
        <f>Odds_Input!F362</f>
        <v>15000</v>
      </c>
      <c r="G407" s="56">
        <f>M_DeVig!H362</f>
        <v>151</v>
      </c>
      <c r="H407" s="53" t="str">
        <f>Odds_Input!G362</f>
        <v>BACKFILL_PDF1</v>
      </c>
      <c r="I407" s="42">
        <f>M_DeVig!Q362</f>
        <v>2.0499398498114345E-3</v>
      </c>
      <c r="J407" s="13" t="s">
        <v>33</v>
      </c>
      <c r="K407" s="43">
        <f t="shared" si="118"/>
        <v>48681.919142260973</v>
      </c>
      <c r="L407" s="13" t="s">
        <v>33</v>
      </c>
      <c r="M407" s="13" t="s">
        <v>33</v>
      </c>
      <c r="N407" s="13" t="s">
        <v>33</v>
      </c>
      <c r="O407" s="13" t="s">
        <v>33</v>
      </c>
      <c r="P407" s="13" t="s">
        <v>33</v>
      </c>
      <c r="Q407" s="13" t="s">
        <v>33</v>
      </c>
      <c r="R407" s="13" t="s">
        <v>33</v>
      </c>
      <c r="S407" s="13" t="s">
        <v>33</v>
      </c>
      <c r="T407" s="13" t="s">
        <v>33</v>
      </c>
      <c r="U407" s="13" t="s">
        <v>33</v>
      </c>
      <c r="V407" s="13" t="s">
        <v>33</v>
      </c>
      <c r="W407" s="6" t="b">
        <v>0</v>
      </c>
      <c r="X407" s="6" t="s">
        <v>1301</v>
      </c>
      <c r="Y407" s="6" t="s">
        <v>1326</v>
      </c>
      <c r="Z407" s="6">
        <v>354</v>
      </c>
      <c r="AA407" s="7" t="str">
        <f t="shared" si="119"/>
        <v>OK - sims match current assumptions</v>
      </c>
      <c r="AB407" s="13" t="s">
        <v>33</v>
      </c>
      <c r="AC407" s="13" t="s">
        <v>33</v>
      </c>
      <c r="AD407" s="13" t="s">
        <v>33</v>
      </c>
      <c r="AE407" s="13" t="s">
        <v>33</v>
      </c>
      <c r="AF407" s="13" t="s">
        <v>33</v>
      </c>
      <c r="AG407" s="13" t="s">
        <v>33</v>
      </c>
      <c r="AH407" s="6" t="b">
        <v>0</v>
      </c>
      <c r="AI407" s="13" t="s">
        <v>33</v>
      </c>
      <c r="AJ407" s="13" t="s">
        <v>33</v>
      </c>
      <c r="AK407" s="13" t="s">
        <v>33</v>
      </c>
      <c r="AL407" s="6">
        <v>0</v>
      </c>
      <c r="AM407" s="13" t="s">
        <v>33</v>
      </c>
    </row>
    <row r="408" spans="1:39" ht="15" customHeight="1" x14ac:dyDescent="0.3"/>
    <row r="409" spans="1:39" ht="15" customHeight="1" x14ac:dyDescent="0.3">
      <c r="A409" s="48" t="s">
        <v>456</v>
      </c>
      <c r="B409" s="49" t="s">
        <v>1329</v>
      </c>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row>
    <row r="410" spans="1:39" ht="15" customHeight="1" x14ac:dyDescent="0.3">
      <c r="A410" s="6" t="s">
        <v>456</v>
      </c>
      <c r="B410" s="7" t="str">
        <f>Odds_Input!C520</f>
        <v>Luka Doncic</v>
      </c>
      <c r="C410" s="6" t="s">
        <v>33</v>
      </c>
      <c r="D410" s="7" t="str">
        <f>Odds_Input!D520</f>
        <v>YES</v>
      </c>
      <c r="E410" s="31" t="str">
        <f>Odds_Input!E520</f>
        <v>-</v>
      </c>
      <c r="F410" s="32">
        <f>Odds_Input!F520</f>
        <v>-120</v>
      </c>
      <c r="G410" s="36">
        <f>M_DeVig!H520</f>
        <v>1.8333333333333335</v>
      </c>
      <c r="H410" s="7" t="str">
        <f>Odds_Input!G520</f>
        <v>-</v>
      </c>
      <c r="I410" s="42">
        <f>M_DeVig!Q520</f>
        <v>0.49777418345913887</v>
      </c>
      <c r="J410" s="13" t="s">
        <v>33</v>
      </c>
      <c r="K410" s="43">
        <f t="shared" ref="K410:K430" si="120">IF(I410&gt;=0.5,-100*I410/(1-I410),100*(1-I410)/I410)</f>
        <v>100.89430774629308</v>
      </c>
      <c r="L410" s="13" t="s">
        <v>33</v>
      </c>
      <c r="M410" s="13" t="s">
        <v>33</v>
      </c>
      <c r="N410" s="13" t="s">
        <v>33</v>
      </c>
      <c r="O410" s="13" t="s">
        <v>33</v>
      </c>
      <c r="P410" s="13" t="s">
        <v>33</v>
      </c>
      <c r="Q410" s="13" t="s">
        <v>33</v>
      </c>
      <c r="R410" s="13" t="s">
        <v>33</v>
      </c>
      <c r="S410" s="13" t="s">
        <v>33</v>
      </c>
      <c r="T410" s="13" t="s">
        <v>33</v>
      </c>
      <c r="U410" s="13" t="s">
        <v>33</v>
      </c>
      <c r="V410" s="13" t="s">
        <v>33</v>
      </c>
      <c r="W410" s="6" t="b">
        <v>0</v>
      </c>
      <c r="X410" s="6" t="s">
        <v>1301</v>
      </c>
      <c r="Y410" s="6" t="s">
        <v>1326</v>
      </c>
      <c r="Z410" s="6">
        <v>512</v>
      </c>
      <c r="AA410" s="7" t="str">
        <f t="shared" ref="AA410:AA430" si="121">Sim_Stale</f>
        <v>OK - sims match current assumptions</v>
      </c>
      <c r="AB410" s="13" t="s">
        <v>33</v>
      </c>
      <c r="AC410" s="13" t="s">
        <v>33</v>
      </c>
      <c r="AD410" s="13" t="s">
        <v>33</v>
      </c>
      <c r="AE410" s="13" t="s">
        <v>33</v>
      </c>
      <c r="AF410" s="13" t="s">
        <v>33</v>
      </c>
      <c r="AG410" s="13" t="s">
        <v>33</v>
      </c>
      <c r="AH410" s="6" t="b">
        <v>0</v>
      </c>
      <c r="AI410" s="13" t="s">
        <v>33</v>
      </c>
      <c r="AJ410" s="13" t="s">
        <v>33</v>
      </c>
      <c r="AK410" s="13" t="s">
        <v>33</v>
      </c>
      <c r="AL410" s="6">
        <v>0</v>
      </c>
      <c r="AM410" s="13" t="s">
        <v>33</v>
      </c>
    </row>
    <row r="411" spans="1:39" ht="15" customHeight="1" x14ac:dyDescent="0.3">
      <c r="A411" s="6" t="s">
        <v>456</v>
      </c>
      <c r="B411" s="7" t="str">
        <f>Odds_Input!C521</f>
        <v>Shai Gilgeous Alexander</v>
      </c>
      <c r="C411" s="6" t="s">
        <v>33</v>
      </c>
      <c r="D411" s="7" t="str">
        <f>Odds_Input!D521</f>
        <v>YES</v>
      </c>
      <c r="E411" s="31" t="str">
        <f>Odds_Input!E521</f>
        <v>-</v>
      </c>
      <c r="F411" s="32">
        <f>Odds_Input!F521</f>
        <v>250</v>
      </c>
      <c r="G411" s="36">
        <f>M_DeVig!H521</f>
        <v>3.5</v>
      </c>
      <c r="H411" s="7" t="str">
        <f>Odds_Input!G521</f>
        <v>-</v>
      </c>
      <c r="I411" s="42">
        <f>M_DeVig!Q521</f>
        <v>0.2576616264136013</v>
      </c>
      <c r="J411" s="13" t="s">
        <v>33</v>
      </c>
      <c r="K411" s="43">
        <f t="shared" si="120"/>
        <v>288.10591003364578</v>
      </c>
      <c r="L411" s="13" t="s">
        <v>33</v>
      </c>
      <c r="M411" s="13" t="s">
        <v>33</v>
      </c>
      <c r="N411" s="13" t="s">
        <v>33</v>
      </c>
      <c r="O411" s="13" t="s">
        <v>33</v>
      </c>
      <c r="P411" s="13" t="s">
        <v>33</v>
      </c>
      <c r="Q411" s="13" t="s">
        <v>33</v>
      </c>
      <c r="R411" s="13" t="s">
        <v>33</v>
      </c>
      <c r="S411" s="13" t="s">
        <v>33</v>
      </c>
      <c r="T411" s="13" t="s">
        <v>33</v>
      </c>
      <c r="U411" s="13" t="s">
        <v>33</v>
      </c>
      <c r="V411" s="13" t="s">
        <v>33</v>
      </c>
      <c r="W411" s="6" t="b">
        <v>0</v>
      </c>
      <c r="X411" s="6" t="s">
        <v>1301</v>
      </c>
      <c r="Y411" s="6" t="s">
        <v>1326</v>
      </c>
      <c r="Z411" s="6">
        <v>513</v>
      </c>
      <c r="AA411" s="7" t="str">
        <f t="shared" si="121"/>
        <v>OK - sims match current assumptions</v>
      </c>
      <c r="AB411" s="13" t="s">
        <v>33</v>
      </c>
      <c r="AC411" s="13" t="s">
        <v>33</v>
      </c>
      <c r="AD411" s="13" t="s">
        <v>33</v>
      </c>
      <c r="AE411" s="13" t="s">
        <v>33</v>
      </c>
      <c r="AF411" s="13" t="s">
        <v>33</v>
      </c>
      <c r="AG411" s="13" t="s">
        <v>33</v>
      </c>
      <c r="AH411" s="6" t="b">
        <v>0</v>
      </c>
      <c r="AI411" s="13" t="s">
        <v>33</v>
      </c>
      <c r="AJ411" s="13" t="s">
        <v>33</v>
      </c>
      <c r="AK411" s="13" t="s">
        <v>33</v>
      </c>
      <c r="AL411" s="6">
        <v>0</v>
      </c>
      <c r="AM411" s="13" t="s">
        <v>33</v>
      </c>
    </row>
    <row r="412" spans="1:39" ht="15" customHeight="1" x14ac:dyDescent="0.3">
      <c r="A412" s="6" t="s">
        <v>456</v>
      </c>
      <c r="B412" s="7" t="str">
        <f>Odds_Input!C522</f>
        <v>Anthony Edwards</v>
      </c>
      <c r="C412" s="6" t="s">
        <v>33</v>
      </c>
      <c r="D412" s="7" t="str">
        <f>Odds_Input!D522</f>
        <v>YES</v>
      </c>
      <c r="E412" s="31" t="str">
        <f>Odds_Input!E522</f>
        <v>-</v>
      </c>
      <c r="F412" s="32">
        <f>Odds_Input!F522</f>
        <v>1150</v>
      </c>
      <c r="G412" s="36">
        <f>M_DeVig!H522</f>
        <v>12.5</v>
      </c>
      <c r="H412" s="7" t="str">
        <f>Odds_Input!G522</f>
        <v>-</v>
      </c>
      <c r="I412" s="42">
        <f>M_DeVig!Q522</f>
        <v>6.7672142772614616E-2</v>
      </c>
      <c r="J412" s="13" t="s">
        <v>33</v>
      </c>
      <c r="K412" s="43">
        <f t="shared" si="120"/>
        <v>1377.7129244452969</v>
      </c>
      <c r="L412" s="13" t="s">
        <v>33</v>
      </c>
      <c r="M412" s="13" t="s">
        <v>33</v>
      </c>
      <c r="N412" s="13" t="s">
        <v>33</v>
      </c>
      <c r="O412" s="13" t="s">
        <v>33</v>
      </c>
      <c r="P412" s="13" t="s">
        <v>33</v>
      </c>
      <c r="Q412" s="13" t="s">
        <v>33</v>
      </c>
      <c r="R412" s="13" t="s">
        <v>33</v>
      </c>
      <c r="S412" s="13" t="s">
        <v>33</v>
      </c>
      <c r="T412" s="13" t="s">
        <v>33</v>
      </c>
      <c r="U412" s="13" t="s">
        <v>33</v>
      </c>
      <c r="V412" s="13" t="s">
        <v>33</v>
      </c>
      <c r="W412" s="6" t="b">
        <v>0</v>
      </c>
      <c r="X412" s="6" t="s">
        <v>1301</v>
      </c>
      <c r="Y412" s="6" t="s">
        <v>1326</v>
      </c>
      <c r="Z412" s="6">
        <v>514</v>
      </c>
      <c r="AA412" s="7" t="str">
        <f t="shared" si="121"/>
        <v>OK - sims match current assumptions</v>
      </c>
      <c r="AB412" s="13" t="s">
        <v>33</v>
      </c>
      <c r="AC412" s="13" t="s">
        <v>33</v>
      </c>
      <c r="AD412" s="13" t="s">
        <v>33</v>
      </c>
      <c r="AE412" s="13" t="s">
        <v>33</v>
      </c>
      <c r="AF412" s="13" t="s">
        <v>33</v>
      </c>
      <c r="AG412" s="13" t="s">
        <v>33</v>
      </c>
      <c r="AH412" s="6" t="b">
        <v>0</v>
      </c>
      <c r="AI412" s="13" t="s">
        <v>33</v>
      </c>
      <c r="AJ412" s="13" t="s">
        <v>33</v>
      </c>
      <c r="AK412" s="13" t="s">
        <v>33</v>
      </c>
      <c r="AL412" s="6">
        <v>0</v>
      </c>
      <c r="AM412" s="13" t="s">
        <v>33</v>
      </c>
    </row>
    <row r="413" spans="1:39" ht="15" customHeight="1" x14ac:dyDescent="0.3">
      <c r="A413" s="6" t="s">
        <v>456</v>
      </c>
      <c r="B413" s="7" t="str">
        <f>Odds_Input!C523</f>
        <v>Giannis Antetokounmpo</v>
      </c>
      <c r="C413" s="6" t="s">
        <v>33</v>
      </c>
      <c r="D413" s="7" t="str">
        <f>Odds_Input!D523</f>
        <v>YES</v>
      </c>
      <c r="E413" s="31" t="str">
        <f>Odds_Input!E523</f>
        <v>-</v>
      </c>
      <c r="F413" s="32">
        <f>Odds_Input!F523</f>
        <v>1400</v>
      </c>
      <c r="G413" s="36">
        <f>M_DeVig!H523</f>
        <v>15</v>
      </c>
      <c r="H413" s="7" t="str">
        <f>Odds_Input!G523</f>
        <v>-</v>
      </c>
      <c r="I413" s="42">
        <f>M_DeVig!Q523</f>
        <v>5.5402602922956595E-2</v>
      </c>
      <c r="J413" s="13" t="s">
        <v>33</v>
      </c>
      <c r="K413" s="43">
        <f t="shared" si="120"/>
        <v>1704.9693466399222</v>
      </c>
      <c r="L413" s="13" t="s">
        <v>33</v>
      </c>
      <c r="M413" s="13" t="s">
        <v>33</v>
      </c>
      <c r="N413" s="13" t="s">
        <v>33</v>
      </c>
      <c r="O413" s="13" t="s">
        <v>33</v>
      </c>
      <c r="P413" s="13" t="s">
        <v>33</v>
      </c>
      <c r="Q413" s="13" t="s">
        <v>33</v>
      </c>
      <c r="R413" s="13" t="s">
        <v>33</v>
      </c>
      <c r="S413" s="13" t="s">
        <v>33</v>
      </c>
      <c r="T413" s="13" t="s">
        <v>33</v>
      </c>
      <c r="U413" s="13" t="s">
        <v>33</v>
      </c>
      <c r="V413" s="13" t="s">
        <v>33</v>
      </c>
      <c r="W413" s="6" t="b">
        <v>0</v>
      </c>
      <c r="X413" s="6" t="s">
        <v>1301</v>
      </c>
      <c r="Y413" s="6" t="s">
        <v>1326</v>
      </c>
      <c r="Z413" s="6">
        <v>515</v>
      </c>
      <c r="AA413" s="7" t="str">
        <f t="shared" si="121"/>
        <v>OK - sims match current assumptions</v>
      </c>
      <c r="AB413" s="13" t="s">
        <v>33</v>
      </c>
      <c r="AC413" s="13" t="s">
        <v>33</v>
      </c>
      <c r="AD413" s="13" t="s">
        <v>33</v>
      </c>
      <c r="AE413" s="13" t="s">
        <v>33</v>
      </c>
      <c r="AF413" s="13" t="s">
        <v>33</v>
      </c>
      <c r="AG413" s="13" t="s">
        <v>33</v>
      </c>
      <c r="AH413" s="6" t="b">
        <v>0</v>
      </c>
      <c r="AI413" s="13" t="s">
        <v>33</v>
      </c>
      <c r="AJ413" s="13" t="s">
        <v>33</v>
      </c>
      <c r="AK413" s="13" t="s">
        <v>33</v>
      </c>
      <c r="AL413" s="6">
        <v>0</v>
      </c>
      <c r="AM413" s="13" t="s">
        <v>33</v>
      </c>
    </row>
    <row r="414" spans="1:39" ht="15" customHeight="1" x14ac:dyDescent="0.3">
      <c r="A414" s="6" t="s">
        <v>456</v>
      </c>
      <c r="B414" s="7" t="str">
        <f>Odds_Input!C524</f>
        <v>Jayson Tatum</v>
      </c>
      <c r="C414" s="6" t="s">
        <v>33</v>
      </c>
      <c r="D414" s="7" t="str">
        <f>Odds_Input!D524</f>
        <v>YES</v>
      </c>
      <c r="E414" s="31" t="str">
        <f>Odds_Input!E524</f>
        <v>-</v>
      </c>
      <c r="F414" s="32">
        <f>Odds_Input!F524</f>
        <v>2500</v>
      </c>
      <c r="G414" s="36">
        <f>M_DeVig!H524</f>
        <v>26</v>
      </c>
      <c r="H414" s="7" t="str">
        <f>Odds_Input!G524</f>
        <v>-</v>
      </c>
      <c r="I414" s="42">
        <f>M_DeVig!Q524</f>
        <v>2.9578576306262112E-2</v>
      </c>
      <c r="J414" s="13" t="s">
        <v>33</v>
      </c>
      <c r="K414" s="43">
        <f t="shared" si="120"/>
        <v>3280.8253299476378</v>
      </c>
      <c r="L414" s="13" t="s">
        <v>33</v>
      </c>
      <c r="M414" s="13" t="s">
        <v>33</v>
      </c>
      <c r="N414" s="13" t="s">
        <v>33</v>
      </c>
      <c r="O414" s="13" t="s">
        <v>33</v>
      </c>
      <c r="P414" s="13" t="s">
        <v>33</v>
      </c>
      <c r="Q414" s="13" t="s">
        <v>33</v>
      </c>
      <c r="R414" s="13" t="s">
        <v>33</v>
      </c>
      <c r="S414" s="13" t="s">
        <v>33</v>
      </c>
      <c r="T414" s="13" t="s">
        <v>33</v>
      </c>
      <c r="U414" s="13" t="s">
        <v>33</v>
      </c>
      <c r="V414" s="13" t="s">
        <v>33</v>
      </c>
      <c r="W414" s="6" t="b">
        <v>0</v>
      </c>
      <c r="X414" s="6" t="s">
        <v>1301</v>
      </c>
      <c r="Y414" s="6" t="s">
        <v>1326</v>
      </c>
      <c r="Z414" s="6">
        <v>516</v>
      </c>
      <c r="AA414" s="7" t="str">
        <f t="shared" si="121"/>
        <v>OK - sims match current assumptions</v>
      </c>
      <c r="AB414" s="13" t="s">
        <v>33</v>
      </c>
      <c r="AC414" s="13" t="s">
        <v>33</v>
      </c>
      <c r="AD414" s="13" t="s">
        <v>33</v>
      </c>
      <c r="AE414" s="13" t="s">
        <v>33</v>
      </c>
      <c r="AF414" s="13" t="s">
        <v>33</v>
      </c>
      <c r="AG414" s="13" t="s">
        <v>33</v>
      </c>
      <c r="AH414" s="6" t="b">
        <v>0</v>
      </c>
      <c r="AI414" s="13" t="s">
        <v>33</v>
      </c>
      <c r="AJ414" s="13" t="s">
        <v>33</v>
      </c>
      <c r="AK414" s="13" t="s">
        <v>33</v>
      </c>
      <c r="AL414" s="6">
        <v>0</v>
      </c>
      <c r="AM414" s="13" t="s">
        <v>33</v>
      </c>
    </row>
    <row r="415" spans="1:39" ht="15" customHeight="1" x14ac:dyDescent="0.3">
      <c r="A415" s="6" t="s">
        <v>456</v>
      </c>
      <c r="B415" s="7" t="str">
        <f>Odds_Input!C525</f>
        <v>Nikola Jokic</v>
      </c>
      <c r="C415" s="6" t="s">
        <v>33</v>
      </c>
      <c r="D415" s="7" t="str">
        <f>Odds_Input!D525</f>
        <v>YES</v>
      </c>
      <c r="E415" s="31" t="str">
        <f>Odds_Input!E525</f>
        <v>-</v>
      </c>
      <c r="F415" s="32">
        <f>Odds_Input!F525</f>
        <v>3400</v>
      </c>
      <c r="G415" s="36">
        <f>M_DeVig!H525</f>
        <v>35</v>
      </c>
      <c r="H415" s="7" t="str">
        <f>Odds_Input!G525</f>
        <v>-</v>
      </c>
      <c r="I415" s="42">
        <f>M_DeVig!Q525</f>
        <v>2.0638295377572235E-2</v>
      </c>
      <c r="J415" s="13" t="s">
        <v>33</v>
      </c>
      <c r="K415" s="43">
        <f t="shared" si="120"/>
        <v>4745.3614104520775</v>
      </c>
      <c r="L415" s="13" t="s">
        <v>33</v>
      </c>
      <c r="M415" s="13" t="s">
        <v>33</v>
      </c>
      <c r="N415" s="13" t="s">
        <v>33</v>
      </c>
      <c r="O415" s="13" t="s">
        <v>33</v>
      </c>
      <c r="P415" s="13" t="s">
        <v>33</v>
      </c>
      <c r="Q415" s="13" t="s">
        <v>33</v>
      </c>
      <c r="R415" s="13" t="s">
        <v>33</v>
      </c>
      <c r="S415" s="13" t="s">
        <v>33</v>
      </c>
      <c r="T415" s="13" t="s">
        <v>33</v>
      </c>
      <c r="U415" s="13" t="s">
        <v>33</v>
      </c>
      <c r="V415" s="13" t="s">
        <v>33</v>
      </c>
      <c r="W415" s="6" t="b">
        <v>0</v>
      </c>
      <c r="X415" s="6" t="s">
        <v>1301</v>
      </c>
      <c r="Y415" s="6" t="s">
        <v>1326</v>
      </c>
      <c r="Z415" s="6">
        <v>517</v>
      </c>
      <c r="AA415" s="7" t="str">
        <f t="shared" si="121"/>
        <v>OK - sims match current assumptions</v>
      </c>
      <c r="AB415" s="13" t="s">
        <v>33</v>
      </c>
      <c r="AC415" s="13" t="s">
        <v>33</v>
      </c>
      <c r="AD415" s="13" t="s">
        <v>33</v>
      </c>
      <c r="AE415" s="13" t="s">
        <v>33</v>
      </c>
      <c r="AF415" s="13" t="s">
        <v>33</v>
      </c>
      <c r="AG415" s="13" t="s">
        <v>33</v>
      </c>
      <c r="AH415" s="6" t="b">
        <v>0</v>
      </c>
      <c r="AI415" s="13" t="s">
        <v>33</v>
      </c>
      <c r="AJ415" s="13" t="s">
        <v>33</v>
      </c>
      <c r="AK415" s="13" t="s">
        <v>33</v>
      </c>
      <c r="AL415" s="6">
        <v>0</v>
      </c>
      <c r="AM415" s="13" t="s">
        <v>33</v>
      </c>
    </row>
    <row r="416" spans="1:39" ht="15" customHeight="1" x14ac:dyDescent="0.3">
      <c r="A416" s="6" t="s">
        <v>456</v>
      </c>
      <c r="B416" s="7" t="str">
        <f>Odds_Input!C526</f>
        <v>Victor Wembanyama</v>
      </c>
      <c r="C416" s="6" t="s">
        <v>33</v>
      </c>
      <c r="D416" s="7" t="str">
        <f>Odds_Input!D526</f>
        <v>YES</v>
      </c>
      <c r="E416" s="31" t="str">
        <f>Odds_Input!E526</f>
        <v>-</v>
      </c>
      <c r="F416" s="32">
        <f>Odds_Input!F526</f>
        <v>3900</v>
      </c>
      <c r="G416" s="36">
        <f>M_DeVig!H526</f>
        <v>40</v>
      </c>
      <c r="H416" s="7" t="str">
        <f>Odds_Input!G526</f>
        <v>-</v>
      </c>
      <c r="I416" s="42">
        <f>M_DeVig!Q526</f>
        <v>1.744760431297053E-2</v>
      </c>
      <c r="J416" s="13" t="s">
        <v>33</v>
      </c>
      <c r="K416" s="43">
        <f t="shared" si="120"/>
        <v>5631.4458882850813</v>
      </c>
      <c r="L416" s="13" t="s">
        <v>33</v>
      </c>
      <c r="M416" s="13" t="s">
        <v>33</v>
      </c>
      <c r="N416" s="13" t="s">
        <v>33</v>
      </c>
      <c r="O416" s="13" t="s">
        <v>33</v>
      </c>
      <c r="P416" s="13" t="s">
        <v>33</v>
      </c>
      <c r="Q416" s="13" t="s">
        <v>33</v>
      </c>
      <c r="R416" s="13" t="s">
        <v>33</v>
      </c>
      <c r="S416" s="13" t="s">
        <v>33</v>
      </c>
      <c r="T416" s="13" t="s">
        <v>33</v>
      </c>
      <c r="U416" s="13" t="s">
        <v>33</v>
      </c>
      <c r="V416" s="13" t="s">
        <v>33</v>
      </c>
      <c r="W416" s="6" t="b">
        <v>0</v>
      </c>
      <c r="X416" s="6" t="s">
        <v>1301</v>
      </c>
      <c r="Y416" s="6" t="s">
        <v>1326</v>
      </c>
      <c r="Z416" s="6">
        <v>518</v>
      </c>
      <c r="AA416" s="7" t="str">
        <f t="shared" si="121"/>
        <v>OK - sims match current assumptions</v>
      </c>
      <c r="AB416" s="13" t="s">
        <v>33</v>
      </c>
      <c r="AC416" s="13" t="s">
        <v>33</v>
      </c>
      <c r="AD416" s="13" t="s">
        <v>33</v>
      </c>
      <c r="AE416" s="13" t="s">
        <v>33</v>
      </c>
      <c r="AF416" s="13" t="s">
        <v>33</v>
      </c>
      <c r="AG416" s="13" t="s">
        <v>33</v>
      </c>
      <c r="AH416" s="6" t="b">
        <v>0</v>
      </c>
      <c r="AI416" s="13" t="s">
        <v>33</v>
      </c>
      <c r="AJ416" s="13" t="s">
        <v>33</v>
      </c>
      <c r="AK416" s="13" t="s">
        <v>33</v>
      </c>
      <c r="AL416" s="6">
        <v>0</v>
      </c>
      <c r="AM416" s="13" t="s">
        <v>33</v>
      </c>
    </row>
    <row r="417" spans="1:39" ht="15" customHeight="1" x14ac:dyDescent="0.3">
      <c r="A417" s="6" t="s">
        <v>456</v>
      </c>
      <c r="B417" s="7" t="str">
        <f>Odds_Input!C527</f>
        <v>Donovan Mitchell</v>
      </c>
      <c r="C417" s="6" t="s">
        <v>33</v>
      </c>
      <c r="D417" s="7" t="str">
        <f>Odds_Input!D527</f>
        <v>YES</v>
      </c>
      <c r="E417" s="31" t="str">
        <f>Odds_Input!E527</f>
        <v>-</v>
      </c>
      <c r="F417" s="32">
        <f>Odds_Input!F527</f>
        <v>4200</v>
      </c>
      <c r="G417" s="36">
        <f>M_DeVig!H527</f>
        <v>43</v>
      </c>
      <c r="H417" s="7" t="str">
        <f>Odds_Input!G527</f>
        <v>-</v>
      </c>
      <c r="I417" s="42">
        <f>M_DeVig!Q527</f>
        <v>1.5901051614187298E-2</v>
      </c>
      <c r="J417" s="13" t="s">
        <v>33</v>
      </c>
      <c r="K417" s="43">
        <f t="shared" si="120"/>
        <v>6188.8922334405615</v>
      </c>
      <c r="L417" s="13" t="s">
        <v>33</v>
      </c>
      <c r="M417" s="13" t="s">
        <v>33</v>
      </c>
      <c r="N417" s="13" t="s">
        <v>33</v>
      </c>
      <c r="O417" s="13" t="s">
        <v>33</v>
      </c>
      <c r="P417" s="13" t="s">
        <v>33</v>
      </c>
      <c r="Q417" s="13" t="s">
        <v>33</v>
      </c>
      <c r="R417" s="13" t="s">
        <v>33</v>
      </c>
      <c r="S417" s="13" t="s">
        <v>33</v>
      </c>
      <c r="T417" s="13" t="s">
        <v>33</v>
      </c>
      <c r="U417" s="13" t="s">
        <v>33</v>
      </c>
      <c r="V417" s="13" t="s">
        <v>33</v>
      </c>
      <c r="W417" s="6" t="b">
        <v>0</v>
      </c>
      <c r="X417" s="6" t="s">
        <v>1301</v>
      </c>
      <c r="Y417" s="6" t="s">
        <v>1326</v>
      </c>
      <c r="Z417" s="6">
        <v>519</v>
      </c>
      <c r="AA417" s="7" t="str">
        <f t="shared" si="121"/>
        <v>OK - sims match current assumptions</v>
      </c>
      <c r="AB417" s="13" t="s">
        <v>33</v>
      </c>
      <c r="AC417" s="13" t="s">
        <v>33</v>
      </c>
      <c r="AD417" s="13" t="s">
        <v>33</v>
      </c>
      <c r="AE417" s="13" t="s">
        <v>33</v>
      </c>
      <c r="AF417" s="13" t="s">
        <v>33</v>
      </c>
      <c r="AG417" s="13" t="s">
        <v>33</v>
      </c>
      <c r="AH417" s="6" t="b">
        <v>0</v>
      </c>
      <c r="AI417" s="13" t="s">
        <v>33</v>
      </c>
      <c r="AJ417" s="13" t="s">
        <v>33</v>
      </c>
      <c r="AK417" s="13" t="s">
        <v>33</v>
      </c>
      <c r="AL417" s="6">
        <v>0</v>
      </c>
      <c r="AM417" s="13" t="s">
        <v>33</v>
      </c>
    </row>
    <row r="418" spans="1:39" ht="15" customHeight="1" x14ac:dyDescent="0.3">
      <c r="A418" s="6" t="s">
        <v>456</v>
      </c>
      <c r="B418" s="7" t="str">
        <f>Odds_Input!C528</f>
        <v>Jalen Brunson</v>
      </c>
      <c r="C418" s="6" t="s">
        <v>33</v>
      </c>
      <c r="D418" s="7" t="str">
        <f>Odds_Input!D528</f>
        <v>YES</v>
      </c>
      <c r="E418" s="31" t="str">
        <f>Odds_Input!E528</f>
        <v>-</v>
      </c>
      <c r="F418" s="32">
        <f>Odds_Input!F528</f>
        <v>6900</v>
      </c>
      <c r="G418" s="36">
        <f>M_DeVig!H528</f>
        <v>70</v>
      </c>
      <c r="H418" s="7" t="str">
        <f>Odds_Input!G528</f>
        <v>-</v>
      </c>
      <c r="I418" s="42">
        <f>M_DeVig!Q528</f>
        <v>8.172529534534595E-3</v>
      </c>
      <c r="J418" s="13" t="s">
        <v>33</v>
      </c>
      <c r="K418" s="43">
        <f t="shared" si="120"/>
        <v>12136.113626439741</v>
      </c>
      <c r="L418" s="13" t="s">
        <v>33</v>
      </c>
      <c r="M418" s="13" t="s">
        <v>33</v>
      </c>
      <c r="N418" s="13" t="s">
        <v>33</v>
      </c>
      <c r="O418" s="13" t="s">
        <v>33</v>
      </c>
      <c r="P418" s="13" t="s">
        <v>33</v>
      </c>
      <c r="Q418" s="13" t="s">
        <v>33</v>
      </c>
      <c r="R418" s="13" t="s">
        <v>33</v>
      </c>
      <c r="S418" s="13" t="s">
        <v>33</v>
      </c>
      <c r="T418" s="13" t="s">
        <v>33</v>
      </c>
      <c r="U418" s="13" t="s">
        <v>33</v>
      </c>
      <c r="V418" s="13" t="s">
        <v>33</v>
      </c>
      <c r="W418" s="6" t="b">
        <v>0</v>
      </c>
      <c r="X418" s="6" t="s">
        <v>1301</v>
      </c>
      <c r="Y418" s="6" t="s">
        <v>1326</v>
      </c>
      <c r="Z418" s="6">
        <v>520</v>
      </c>
      <c r="AA418" s="7" t="str">
        <f t="shared" si="121"/>
        <v>OK - sims match current assumptions</v>
      </c>
      <c r="AB418" s="13" t="s">
        <v>33</v>
      </c>
      <c r="AC418" s="13" t="s">
        <v>33</v>
      </c>
      <c r="AD418" s="13" t="s">
        <v>33</v>
      </c>
      <c r="AE418" s="13" t="s">
        <v>33</v>
      </c>
      <c r="AF418" s="13" t="s">
        <v>33</v>
      </c>
      <c r="AG418" s="13" t="s">
        <v>33</v>
      </c>
      <c r="AH418" s="6" t="b">
        <v>0</v>
      </c>
      <c r="AI418" s="13" t="s">
        <v>33</v>
      </c>
      <c r="AJ418" s="13" t="s">
        <v>33</v>
      </c>
      <c r="AK418" s="13" t="s">
        <v>33</v>
      </c>
      <c r="AL418" s="6">
        <v>0</v>
      </c>
      <c r="AM418" s="13" t="s">
        <v>33</v>
      </c>
    </row>
    <row r="419" spans="1:39" ht="15" customHeight="1" x14ac:dyDescent="0.3">
      <c r="A419" s="6" t="s">
        <v>456</v>
      </c>
      <c r="B419" s="7" t="str">
        <f>Odds_Input!C529</f>
        <v>Devin Booker</v>
      </c>
      <c r="C419" s="6" t="s">
        <v>33</v>
      </c>
      <c r="D419" s="7" t="str">
        <f>Odds_Input!D529</f>
        <v>YES</v>
      </c>
      <c r="E419" s="31" t="str">
        <f>Odds_Input!E529</f>
        <v>-</v>
      </c>
      <c r="F419" s="32">
        <f>Odds_Input!F529</f>
        <v>8000</v>
      </c>
      <c r="G419" s="36">
        <f>M_DeVig!H529</f>
        <v>81</v>
      </c>
      <c r="H419" s="7" t="str">
        <f>Odds_Input!G529</f>
        <v>-</v>
      </c>
      <c r="I419" s="42">
        <f>M_DeVig!Q529</f>
        <v>6.5916904948634322E-3</v>
      </c>
      <c r="J419" s="13" t="s">
        <v>33</v>
      </c>
      <c r="K419" s="43">
        <f t="shared" si="120"/>
        <v>15070.615197713681</v>
      </c>
      <c r="L419" s="13" t="s">
        <v>33</v>
      </c>
      <c r="M419" s="13" t="s">
        <v>33</v>
      </c>
      <c r="N419" s="13" t="s">
        <v>33</v>
      </c>
      <c r="O419" s="13" t="s">
        <v>33</v>
      </c>
      <c r="P419" s="13" t="s">
        <v>33</v>
      </c>
      <c r="Q419" s="13" t="s">
        <v>33</v>
      </c>
      <c r="R419" s="13" t="s">
        <v>33</v>
      </c>
      <c r="S419" s="13" t="s">
        <v>33</v>
      </c>
      <c r="T419" s="13" t="s">
        <v>33</v>
      </c>
      <c r="U419" s="13" t="s">
        <v>33</v>
      </c>
      <c r="V419" s="13" t="s">
        <v>33</v>
      </c>
      <c r="W419" s="6" t="b">
        <v>0</v>
      </c>
      <c r="X419" s="6" t="s">
        <v>1301</v>
      </c>
      <c r="Y419" s="6" t="s">
        <v>1326</v>
      </c>
      <c r="Z419" s="6">
        <v>521</v>
      </c>
      <c r="AA419" s="7" t="str">
        <f t="shared" si="121"/>
        <v>OK - sims match current assumptions</v>
      </c>
      <c r="AB419" s="13" t="s">
        <v>33</v>
      </c>
      <c r="AC419" s="13" t="s">
        <v>33</v>
      </c>
      <c r="AD419" s="13" t="s">
        <v>33</v>
      </c>
      <c r="AE419" s="13" t="s">
        <v>33</v>
      </c>
      <c r="AF419" s="13" t="s">
        <v>33</v>
      </c>
      <c r="AG419" s="13" t="s">
        <v>33</v>
      </c>
      <c r="AH419" s="6" t="b">
        <v>0</v>
      </c>
      <c r="AI419" s="13" t="s">
        <v>33</v>
      </c>
      <c r="AJ419" s="13" t="s">
        <v>33</v>
      </c>
      <c r="AK419" s="13" t="s">
        <v>33</v>
      </c>
      <c r="AL419" s="6">
        <v>0</v>
      </c>
      <c r="AM419" s="13" t="s">
        <v>33</v>
      </c>
    </row>
    <row r="420" spans="1:39" ht="15" customHeight="1" x14ac:dyDescent="0.3">
      <c r="A420" s="6" t="s">
        <v>456</v>
      </c>
      <c r="B420" s="7" t="str">
        <f>Odds_Input!C530</f>
        <v>Tyrese Maxey</v>
      </c>
      <c r="C420" s="6" t="s">
        <v>33</v>
      </c>
      <c r="D420" s="7" t="str">
        <f>Odds_Input!D530</f>
        <v>YES</v>
      </c>
      <c r="E420" s="31" t="str">
        <f>Odds_Input!E530</f>
        <v>-</v>
      </c>
      <c r="F420" s="32">
        <f>Odds_Input!F530</f>
        <v>8500</v>
      </c>
      <c r="G420" s="36">
        <f>M_DeVig!H530</f>
        <v>86</v>
      </c>
      <c r="H420" s="7" t="str">
        <f>Odds_Input!G530</f>
        <v>-</v>
      </c>
      <c r="I420" s="42">
        <f>M_DeVig!Q530</f>
        <v>6.0212615162966651E-3</v>
      </c>
      <c r="J420" s="13" t="s">
        <v>33</v>
      </c>
      <c r="K420" s="43">
        <f t="shared" si="120"/>
        <v>16507.815443549163</v>
      </c>
      <c r="L420" s="13" t="s">
        <v>33</v>
      </c>
      <c r="M420" s="13" t="s">
        <v>33</v>
      </c>
      <c r="N420" s="13" t="s">
        <v>33</v>
      </c>
      <c r="O420" s="13" t="s">
        <v>33</v>
      </c>
      <c r="P420" s="13" t="s">
        <v>33</v>
      </c>
      <c r="Q420" s="13" t="s">
        <v>33</v>
      </c>
      <c r="R420" s="13" t="s">
        <v>33</v>
      </c>
      <c r="S420" s="13" t="s">
        <v>33</v>
      </c>
      <c r="T420" s="13" t="s">
        <v>33</v>
      </c>
      <c r="U420" s="13" t="s">
        <v>33</v>
      </c>
      <c r="V420" s="13" t="s">
        <v>33</v>
      </c>
      <c r="W420" s="6" t="b">
        <v>0</v>
      </c>
      <c r="X420" s="6" t="s">
        <v>1301</v>
      </c>
      <c r="Y420" s="6" t="s">
        <v>1326</v>
      </c>
      <c r="Z420" s="6">
        <v>522</v>
      </c>
      <c r="AA420" s="7" t="str">
        <f t="shared" si="121"/>
        <v>OK - sims match current assumptions</v>
      </c>
      <c r="AB420" s="13" t="s">
        <v>33</v>
      </c>
      <c r="AC420" s="13" t="s">
        <v>33</v>
      </c>
      <c r="AD420" s="13" t="s">
        <v>33</v>
      </c>
      <c r="AE420" s="13" t="s">
        <v>33</v>
      </c>
      <c r="AF420" s="13" t="s">
        <v>33</v>
      </c>
      <c r="AG420" s="13" t="s">
        <v>33</v>
      </c>
      <c r="AH420" s="6" t="b">
        <v>0</v>
      </c>
      <c r="AI420" s="13" t="s">
        <v>33</v>
      </c>
      <c r="AJ420" s="13" t="s">
        <v>33</v>
      </c>
      <c r="AK420" s="13" t="s">
        <v>33</v>
      </c>
      <c r="AL420" s="6">
        <v>0</v>
      </c>
      <c r="AM420" s="13" t="s">
        <v>33</v>
      </c>
    </row>
    <row r="421" spans="1:39" ht="15" customHeight="1" x14ac:dyDescent="0.3">
      <c r="A421" s="6" t="s">
        <v>456</v>
      </c>
      <c r="B421" s="7" t="str">
        <f>Odds_Input!C531</f>
        <v>Kevin Durant</v>
      </c>
      <c r="C421" s="6" t="s">
        <v>33</v>
      </c>
      <c r="D421" s="7" t="str">
        <f>Odds_Input!D531</f>
        <v>YES</v>
      </c>
      <c r="E421" s="31" t="str">
        <f>Odds_Input!E531</f>
        <v>-</v>
      </c>
      <c r="F421" s="32">
        <f>Odds_Input!F531</f>
        <v>13000</v>
      </c>
      <c r="G421" s="36">
        <f>M_DeVig!H531</f>
        <v>131</v>
      </c>
      <c r="H421" s="7" t="str">
        <f>Odds_Input!G531</f>
        <v>-</v>
      </c>
      <c r="I421" s="42">
        <f>M_DeVig!Q531</f>
        <v>3.0670398486278669E-3</v>
      </c>
      <c r="J421" s="13" t="s">
        <v>33</v>
      </c>
      <c r="K421" s="43">
        <f t="shared" si="120"/>
        <v>32504.727990325271</v>
      </c>
      <c r="L421" s="13" t="s">
        <v>33</v>
      </c>
      <c r="M421" s="13" t="s">
        <v>33</v>
      </c>
      <c r="N421" s="13" t="s">
        <v>33</v>
      </c>
      <c r="O421" s="13" t="s">
        <v>33</v>
      </c>
      <c r="P421" s="13" t="s">
        <v>33</v>
      </c>
      <c r="Q421" s="13" t="s">
        <v>33</v>
      </c>
      <c r="R421" s="13" t="s">
        <v>33</v>
      </c>
      <c r="S421" s="13" t="s">
        <v>33</v>
      </c>
      <c r="T421" s="13" t="s">
        <v>33</v>
      </c>
      <c r="U421" s="13" t="s">
        <v>33</v>
      </c>
      <c r="V421" s="13" t="s">
        <v>33</v>
      </c>
      <c r="W421" s="6" t="b">
        <v>0</v>
      </c>
      <c r="X421" s="6" t="s">
        <v>1301</v>
      </c>
      <c r="Y421" s="6" t="s">
        <v>1326</v>
      </c>
      <c r="Z421" s="6">
        <v>523</v>
      </c>
      <c r="AA421" s="7" t="str">
        <f t="shared" si="121"/>
        <v>OK - sims match current assumptions</v>
      </c>
      <c r="AB421" s="13" t="s">
        <v>33</v>
      </c>
      <c r="AC421" s="13" t="s">
        <v>33</v>
      </c>
      <c r="AD421" s="13" t="s">
        <v>33</v>
      </c>
      <c r="AE421" s="13" t="s">
        <v>33</v>
      </c>
      <c r="AF421" s="13" t="s">
        <v>33</v>
      </c>
      <c r="AG421" s="13" t="s">
        <v>33</v>
      </c>
      <c r="AH421" s="6" t="b">
        <v>0</v>
      </c>
      <c r="AI421" s="13" t="s">
        <v>33</v>
      </c>
      <c r="AJ421" s="13" t="s">
        <v>33</v>
      </c>
      <c r="AK421" s="13" t="s">
        <v>33</v>
      </c>
      <c r="AL421" s="6">
        <v>0</v>
      </c>
      <c r="AM421" s="13" t="s">
        <v>33</v>
      </c>
    </row>
    <row r="422" spans="1:39" ht="15" customHeight="1" x14ac:dyDescent="0.3">
      <c r="A422" s="6" t="s">
        <v>456</v>
      </c>
      <c r="B422" s="7" t="str">
        <f>Odds_Input!C532</f>
        <v>Stephen Curry</v>
      </c>
      <c r="C422" s="6" t="s">
        <v>33</v>
      </c>
      <c r="D422" s="7" t="str">
        <f>Odds_Input!D532</f>
        <v>YES</v>
      </c>
      <c r="E422" s="31" t="str">
        <f>Odds_Input!E532</f>
        <v>-</v>
      </c>
      <c r="F422" s="32">
        <f>Odds_Input!F532</f>
        <v>16000</v>
      </c>
      <c r="G422" s="36">
        <f>M_DeVig!H532</f>
        <v>161</v>
      </c>
      <c r="H422" s="7" t="str">
        <f>Odds_Input!G532</f>
        <v>-</v>
      </c>
      <c r="I422" s="42">
        <f>M_DeVig!Q532</f>
        <v>2.1517914418573672E-3</v>
      </c>
      <c r="J422" s="13" t="s">
        <v>33</v>
      </c>
      <c r="K422" s="43">
        <f t="shared" si="120"/>
        <v>46372.905345177292</v>
      </c>
      <c r="L422" s="13" t="s">
        <v>33</v>
      </c>
      <c r="M422" s="13" t="s">
        <v>33</v>
      </c>
      <c r="N422" s="13" t="s">
        <v>33</v>
      </c>
      <c r="O422" s="13" t="s">
        <v>33</v>
      </c>
      <c r="P422" s="13" t="s">
        <v>33</v>
      </c>
      <c r="Q422" s="13" t="s">
        <v>33</v>
      </c>
      <c r="R422" s="13" t="s">
        <v>33</v>
      </c>
      <c r="S422" s="13" t="s">
        <v>33</v>
      </c>
      <c r="T422" s="13" t="s">
        <v>33</v>
      </c>
      <c r="U422" s="13" t="s">
        <v>33</v>
      </c>
      <c r="V422" s="13" t="s">
        <v>33</v>
      </c>
      <c r="W422" s="6" t="b">
        <v>0</v>
      </c>
      <c r="X422" s="6" t="s">
        <v>1301</v>
      </c>
      <c r="Y422" s="6" t="s">
        <v>1326</v>
      </c>
      <c r="Z422" s="6">
        <v>524</v>
      </c>
      <c r="AA422" s="7" t="str">
        <f t="shared" si="121"/>
        <v>OK - sims match current assumptions</v>
      </c>
      <c r="AB422" s="13" t="s">
        <v>33</v>
      </c>
      <c r="AC422" s="13" t="s">
        <v>33</v>
      </c>
      <c r="AD422" s="13" t="s">
        <v>33</v>
      </c>
      <c r="AE422" s="13" t="s">
        <v>33</v>
      </c>
      <c r="AF422" s="13" t="s">
        <v>33</v>
      </c>
      <c r="AG422" s="13" t="s">
        <v>33</v>
      </c>
      <c r="AH422" s="6" t="b">
        <v>0</v>
      </c>
      <c r="AI422" s="13" t="s">
        <v>33</v>
      </c>
      <c r="AJ422" s="13" t="s">
        <v>33</v>
      </c>
      <c r="AK422" s="13" t="s">
        <v>33</v>
      </c>
      <c r="AL422" s="6">
        <v>0</v>
      </c>
      <c r="AM422" s="13" t="s">
        <v>33</v>
      </c>
    </row>
    <row r="423" spans="1:39" ht="15" customHeight="1" x14ac:dyDescent="0.3">
      <c r="A423" s="6" t="s">
        <v>456</v>
      </c>
      <c r="B423" s="7" t="str">
        <f>Odds_Input!C533</f>
        <v>Kawhi Leonard</v>
      </c>
      <c r="C423" s="6" t="s">
        <v>33</v>
      </c>
      <c r="D423" s="7" t="str">
        <f>Odds_Input!D533</f>
        <v>YES</v>
      </c>
      <c r="E423" s="31" t="str">
        <f>Odds_Input!E533</f>
        <v>-</v>
      </c>
      <c r="F423" s="32">
        <f>Odds_Input!F533</f>
        <v>16000</v>
      </c>
      <c r="G423" s="36">
        <f>M_DeVig!H533</f>
        <v>161</v>
      </c>
      <c r="H423" s="7" t="str">
        <f>Odds_Input!G533</f>
        <v>-</v>
      </c>
      <c r="I423" s="42">
        <f>M_DeVig!Q533</f>
        <v>2.1517914418573672E-3</v>
      </c>
      <c r="J423" s="13" t="s">
        <v>33</v>
      </c>
      <c r="K423" s="43">
        <f t="shared" si="120"/>
        <v>46372.905345177292</v>
      </c>
      <c r="L423" s="13" t="s">
        <v>33</v>
      </c>
      <c r="M423" s="13" t="s">
        <v>33</v>
      </c>
      <c r="N423" s="13" t="s">
        <v>33</v>
      </c>
      <c r="O423" s="13" t="s">
        <v>33</v>
      </c>
      <c r="P423" s="13" t="s">
        <v>33</v>
      </c>
      <c r="Q423" s="13" t="s">
        <v>33</v>
      </c>
      <c r="R423" s="13" t="s">
        <v>33</v>
      </c>
      <c r="S423" s="13" t="s">
        <v>33</v>
      </c>
      <c r="T423" s="13" t="s">
        <v>33</v>
      </c>
      <c r="U423" s="13" t="s">
        <v>33</v>
      </c>
      <c r="V423" s="13" t="s">
        <v>33</v>
      </c>
      <c r="W423" s="6" t="b">
        <v>0</v>
      </c>
      <c r="X423" s="6" t="s">
        <v>1301</v>
      </c>
      <c r="Y423" s="6" t="s">
        <v>1326</v>
      </c>
      <c r="Z423" s="6">
        <v>525</v>
      </c>
      <c r="AA423" s="7" t="str">
        <f t="shared" si="121"/>
        <v>OK - sims match current assumptions</v>
      </c>
      <c r="AB423" s="13" t="s">
        <v>33</v>
      </c>
      <c r="AC423" s="13" t="s">
        <v>33</v>
      </c>
      <c r="AD423" s="13" t="s">
        <v>33</v>
      </c>
      <c r="AE423" s="13" t="s">
        <v>33</v>
      </c>
      <c r="AF423" s="13" t="s">
        <v>33</v>
      </c>
      <c r="AG423" s="13" t="s">
        <v>33</v>
      </c>
      <c r="AH423" s="6" t="b">
        <v>0</v>
      </c>
      <c r="AI423" s="13" t="s">
        <v>33</v>
      </c>
      <c r="AJ423" s="13" t="s">
        <v>33</v>
      </c>
      <c r="AK423" s="13" t="s">
        <v>33</v>
      </c>
      <c r="AL423" s="6">
        <v>0</v>
      </c>
      <c r="AM423" s="13" t="s">
        <v>33</v>
      </c>
    </row>
    <row r="424" spans="1:39" ht="15" customHeight="1" x14ac:dyDescent="0.3">
      <c r="A424" s="6" t="s">
        <v>456</v>
      </c>
      <c r="B424" s="7" t="str">
        <f>Odds_Input!C534</f>
        <v>Jaylen Brown</v>
      </c>
      <c r="C424" s="6" t="s">
        <v>33</v>
      </c>
      <c r="D424" s="7" t="str">
        <f>Odds_Input!D534</f>
        <v>YES</v>
      </c>
      <c r="E424" s="31" t="str">
        <f>Odds_Input!E534</f>
        <v>-</v>
      </c>
      <c r="F424" s="32">
        <f>Odds_Input!F534</f>
        <v>15000</v>
      </c>
      <c r="G424" s="36">
        <f>M_DeVig!H534</f>
        <v>151</v>
      </c>
      <c r="H424" s="7" t="str">
        <f>Odds_Input!G534</f>
        <v>-</v>
      </c>
      <c r="I424" s="42">
        <f>M_DeVig!Q534</f>
        <v>2.4062791146506534E-3</v>
      </c>
      <c r="J424" s="13" t="s">
        <v>33</v>
      </c>
      <c r="K424" s="43">
        <f t="shared" si="120"/>
        <v>41457.93872421077</v>
      </c>
      <c r="L424" s="13" t="s">
        <v>33</v>
      </c>
      <c r="M424" s="13" t="s">
        <v>33</v>
      </c>
      <c r="N424" s="13" t="s">
        <v>33</v>
      </c>
      <c r="O424" s="13" t="s">
        <v>33</v>
      </c>
      <c r="P424" s="13" t="s">
        <v>33</v>
      </c>
      <c r="Q424" s="13" t="s">
        <v>33</v>
      </c>
      <c r="R424" s="13" t="s">
        <v>33</v>
      </c>
      <c r="S424" s="13" t="s">
        <v>33</v>
      </c>
      <c r="T424" s="13" t="s">
        <v>33</v>
      </c>
      <c r="U424" s="13" t="s">
        <v>33</v>
      </c>
      <c r="V424" s="13" t="s">
        <v>33</v>
      </c>
      <c r="W424" s="6" t="b">
        <v>0</v>
      </c>
      <c r="X424" s="6" t="s">
        <v>1301</v>
      </c>
      <c r="Y424" s="6" t="s">
        <v>1326</v>
      </c>
      <c r="Z424" s="6">
        <v>526</v>
      </c>
      <c r="AA424" s="7" t="str">
        <f t="shared" si="121"/>
        <v>OK - sims match current assumptions</v>
      </c>
      <c r="AB424" s="13" t="s">
        <v>33</v>
      </c>
      <c r="AC424" s="13" t="s">
        <v>33</v>
      </c>
      <c r="AD424" s="13" t="s">
        <v>33</v>
      </c>
      <c r="AE424" s="13" t="s">
        <v>33</v>
      </c>
      <c r="AF424" s="13" t="s">
        <v>33</v>
      </c>
      <c r="AG424" s="13" t="s">
        <v>33</v>
      </c>
      <c r="AH424" s="6" t="b">
        <v>0</v>
      </c>
      <c r="AI424" s="13" t="s">
        <v>33</v>
      </c>
      <c r="AJ424" s="13" t="s">
        <v>33</v>
      </c>
      <c r="AK424" s="13" t="s">
        <v>33</v>
      </c>
      <c r="AL424" s="6">
        <v>0</v>
      </c>
      <c r="AM424" s="13" t="s">
        <v>33</v>
      </c>
    </row>
    <row r="425" spans="1:39" ht="15" customHeight="1" x14ac:dyDescent="0.3">
      <c r="A425" s="6" t="s">
        <v>456</v>
      </c>
      <c r="B425" s="7" t="str">
        <f>Odds_Input!C535</f>
        <v>Joel Embiid</v>
      </c>
      <c r="C425" s="6" t="s">
        <v>33</v>
      </c>
      <c r="D425" s="7" t="str">
        <f>Odds_Input!D535</f>
        <v>YES</v>
      </c>
      <c r="E425" s="31" t="str">
        <f>Odds_Input!E535</f>
        <v>-</v>
      </c>
      <c r="F425" s="32">
        <f>Odds_Input!F535</f>
        <v>20000</v>
      </c>
      <c r="G425" s="36">
        <f>M_DeVig!H535</f>
        <v>201</v>
      </c>
      <c r="H425" s="7" t="str">
        <f>Odds_Input!G535</f>
        <v>-</v>
      </c>
      <c r="I425" s="42">
        <f>M_DeVig!Q535</f>
        <v>1.4471099325196323E-3</v>
      </c>
      <c r="J425" s="13" t="s">
        <v>33</v>
      </c>
      <c r="K425" s="43">
        <f t="shared" si="120"/>
        <v>69003.250383946448</v>
      </c>
      <c r="L425" s="13" t="s">
        <v>33</v>
      </c>
      <c r="M425" s="13" t="s">
        <v>33</v>
      </c>
      <c r="N425" s="13" t="s">
        <v>33</v>
      </c>
      <c r="O425" s="13" t="s">
        <v>33</v>
      </c>
      <c r="P425" s="13" t="s">
        <v>33</v>
      </c>
      <c r="Q425" s="13" t="s">
        <v>33</v>
      </c>
      <c r="R425" s="13" t="s">
        <v>33</v>
      </c>
      <c r="S425" s="13" t="s">
        <v>33</v>
      </c>
      <c r="T425" s="13" t="s">
        <v>33</v>
      </c>
      <c r="U425" s="13" t="s">
        <v>33</v>
      </c>
      <c r="V425" s="13" t="s">
        <v>33</v>
      </c>
      <c r="W425" s="6" t="b">
        <v>0</v>
      </c>
      <c r="X425" s="6" t="s">
        <v>1301</v>
      </c>
      <c r="Y425" s="6" t="s">
        <v>1326</v>
      </c>
      <c r="Z425" s="6">
        <v>527</v>
      </c>
      <c r="AA425" s="7" t="str">
        <f t="shared" si="121"/>
        <v>OK - sims match current assumptions</v>
      </c>
      <c r="AB425" s="13" t="s">
        <v>33</v>
      </c>
      <c r="AC425" s="13" t="s">
        <v>33</v>
      </c>
      <c r="AD425" s="13" t="s">
        <v>33</v>
      </c>
      <c r="AE425" s="13" t="s">
        <v>33</v>
      </c>
      <c r="AF425" s="13" t="s">
        <v>33</v>
      </c>
      <c r="AG425" s="13" t="s">
        <v>33</v>
      </c>
      <c r="AH425" s="6" t="b">
        <v>0</v>
      </c>
      <c r="AI425" s="13" t="s">
        <v>33</v>
      </c>
      <c r="AJ425" s="13" t="s">
        <v>33</v>
      </c>
      <c r="AK425" s="13" t="s">
        <v>33</v>
      </c>
      <c r="AL425" s="6">
        <v>0</v>
      </c>
      <c r="AM425" s="13" t="s">
        <v>33</v>
      </c>
    </row>
    <row r="426" spans="1:39" ht="15" customHeight="1" x14ac:dyDescent="0.3">
      <c r="A426" s="6" t="s">
        <v>456</v>
      </c>
      <c r="B426" s="7" t="str">
        <f>Odds_Input!C536</f>
        <v>Cade Cunningham</v>
      </c>
      <c r="C426" s="6" t="s">
        <v>33</v>
      </c>
      <c r="D426" s="7" t="str">
        <f>Odds_Input!D536</f>
        <v>YES</v>
      </c>
      <c r="E426" s="31" t="str">
        <f>Odds_Input!E536</f>
        <v>-</v>
      </c>
      <c r="F426" s="32">
        <f>Odds_Input!F536</f>
        <v>19000</v>
      </c>
      <c r="G426" s="36">
        <f>M_DeVig!H536</f>
        <v>191</v>
      </c>
      <c r="H426" s="7" t="str">
        <f>Odds_Input!G536</f>
        <v>-</v>
      </c>
      <c r="I426" s="42">
        <f>M_DeVig!Q536</f>
        <v>1.5873785476196124E-3</v>
      </c>
      <c r="J426" s="13" t="s">
        <v>33</v>
      </c>
      <c r="K426" s="43">
        <f t="shared" si="120"/>
        <v>62896.945593070508</v>
      </c>
      <c r="L426" s="13" t="s">
        <v>33</v>
      </c>
      <c r="M426" s="13" t="s">
        <v>33</v>
      </c>
      <c r="N426" s="13" t="s">
        <v>33</v>
      </c>
      <c r="O426" s="13" t="s">
        <v>33</v>
      </c>
      <c r="P426" s="13" t="s">
        <v>33</v>
      </c>
      <c r="Q426" s="13" t="s">
        <v>33</v>
      </c>
      <c r="R426" s="13" t="s">
        <v>33</v>
      </c>
      <c r="S426" s="13" t="s">
        <v>33</v>
      </c>
      <c r="T426" s="13" t="s">
        <v>33</v>
      </c>
      <c r="U426" s="13" t="s">
        <v>33</v>
      </c>
      <c r="V426" s="13" t="s">
        <v>33</v>
      </c>
      <c r="W426" s="6" t="b">
        <v>0</v>
      </c>
      <c r="X426" s="6" t="s">
        <v>1301</v>
      </c>
      <c r="Y426" s="6" t="s">
        <v>1326</v>
      </c>
      <c r="Z426" s="6">
        <v>528</v>
      </c>
      <c r="AA426" s="7" t="str">
        <f t="shared" si="121"/>
        <v>OK - sims match current assumptions</v>
      </c>
      <c r="AB426" s="13" t="s">
        <v>33</v>
      </c>
      <c r="AC426" s="13" t="s">
        <v>33</v>
      </c>
      <c r="AD426" s="13" t="s">
        <v>33</v>
      </c>
      <c r="AE426" s="13" t="s">
        <v>33</v>
      </c>
      <c r="AF426" s="13" t="s">
        <v>33</v>
      </c>
      <c r="AG426" s="13" t="s">
        <v>33</v>
      </c>
      <c r="AH426" s="6" t="b">
        <v>0</v>
      </c>
      <c r="AI426" s="13" t="s">
        <v>33</v>
      </c>
      <c r="AJ426" s="13" t="s">
        <v>33</v>
      </c>
      <c r="AK426" s="13" t="s">
        <v>33</v>
      </c>
      <c r="AL426" s="6">
        <v>0</v>
      </c>
      <c r="AM426" s="13" t="s">
        <v>33</v>
      </c>
    </row>
    <row r="427" spans="1:39" ht="15" customHeight="1" x14ac:dyDescent="0.3">
      <c r="A427" s="6" t="s">
        <v>456</v>
      </c>
      <c r="B427" s="7" t="str">
        <f>Odds_Input!C537</f>
        <v>Austin Reaves</v>
      </c>
      <c r="C427" s="6" t="s">
        <v>33</v>
      </c>
      <c r="D427" s="7" t="str">
        <f>Odds_Input!D537</f>
        <v>YES</v>
      </c>
      <c r="E427" s="31" t="str">
        <f>Odds_Input!E537</f>
        <v>-</v>
      </c>
      <c r="F427" s="32">
        <f>Odds_Input!F537</f>
        <v>20000</v>
      </c>
      <c r="G427" s="36">
        <f>M_DeVig!H537</f>
        <v>201</v>
      </c>
      <c r="H427" s="7" t="str">
        <f>Odds_Input!G537</f>
        <v>-</v>
      </c>
      <c r="I427" s="42">
        <f>M_DeVig!Q537</f>
        <v>1.4471099325196323E-3</v>
      </c>
      <c r="J427" s="13" t="s">
        <v>33</v>
      </c>
      <c r="K427" s="43">
        <f t="shared" si="120"/>
        <v>69003.250383946448</v>
      </c>
      <c r="L427" s="13" t="s">
        <v>33</v>
      </c>
      <c r="M427" s="13" t="s">
        <v>33</v>
      </c>
      <c r="N427" s="13" t="s">
        <v>33</v>
      </c>
      <c r="O427" s="13" t="s">
        <v>33</v>
      </c>
      <c r="P427" s="13" t="s">
        <v>33</v>
      </c>
      <c r="Q427" s="13" t="s">
        <v>33</v>
      </c>
      <c r="R427" s="13" t="s">
        <v>33</v>
      </c>
      <c r="S427" s="13" t="s">
        <v>33</v>
      </c>
      <c r="T427" s="13" t="s">
        <v>33</v>
      </c>
      <c r="U427" s="13" t="s">
        <v>33</v>
      </c>
      <c r="V427" s="13" t="s">
        <v>33</v>
      </c>
      <c r="W427" s="6" t="b">
        <v>0</v>
      </c>
      <c r="X427" s="6" t="s">
        <v>1301</v>
      </c>
      <c r="Y427" s="6" t="s">
        <v>1326</v>
      </c>
      <c r="Z427" s="6">
        <v>529</v>
      </c>
      <c r="AA427" s="7" t="str">
        <f t="shared" si="121"/>
        <v>OK - sims match current assumptions</v>
      </c>
      <c r="AB427" s="13" t="s">
        <v>33</v>
      </c>
      <c r="AC427" s="13" t="s">
        <v>33</v>
      </c>
      <c r="AD427" s="13" t="s">
        <v>33</v>
      </c>
      <c r="AE427" s="13" t="s">
        <v>33</v>
      </c>
      <c r="AF427" s="13" t="s">
        <v>33</v>
      </c>
      <c r="AG427" s="13" t="s">
        <v>33</v>
      </c>
      <c r="AH427" s="6" t="b">
        <v>0</v>
      </c>
      <c r="AI427" s="13" t="s">
        <v>33</v>
      </c>
      <c r="AJ427" s="13" t="s">
        <v>33</v>
      </c>
      <c r="AK427" s="13" t="s">
        <v>33</v>
      </c>
      <c r="AL427" s="6">
        <v>0</v>
      </c>
      <c r="AM427" s="13" t="s">
        <v>33</v>
      </c>
    </row>
    <row r="428" spans="1:39" ht="15" customHeight="1" x14ac:dyDescent="0.3">
      <c r="A428" s="6" t="s">
        <v>456</v>
      </c>
      <c r="B428" s="7" t="str">
        <f>Odds_Input!C538</f>
        <v>Michael Porter Jr</v>
      </c>
      <c r="C428" s="6" t="s">
        <v>33</v>
      </c>
      <c r="D428" s="7" t="str">
        <f>Odds_Input!D538</f>
        <v>YES</v>
      </c>
      <c r="E428" s="31" t="str">
        <f>Odds_Input!E538</f>
        <v>-</v>
      </c>
      <c r="F428" s="32">
        <f>Odds_Input!F538</f>
        <v>25000</v>
      </c>
      <c r="G428" s="36">
        <f>M_DeVig!H538</f>
        <v>251</v>
      </c>
      <c r="H428" s="7" t="str">
        <f>Odds_Input!G538</f>
        <v>-</v>
      </c>
      <c r="I428" s="42">
        <f>M_DeVig!Q538</f>
        <v>9.5997842364195811E-4</v>
      </c>
      <c r="J428" s="13" t="s">
        <v>33</v>
      </c>
      <c r="K428" s="43">
        <f t="shared" si="120"/>
        <v>104069.00790397021</v>
      </c>
      <c r="L428" s="13" t="s">
        <v>33</v>
      </c>
      <c r="M428" s="13" t="s">
        <v>33</v>
      </c>
      <c r="N428" s="13" t="s">
        <v>33</v>
      </c>
      <c r="O428" s="13" t="s">
        <v>33</v>
      </c>
      <c r="P428" s="13" t="s">
        <v>33</v>
      </c>
      <c r="Q428" s="13" t="s">
        <v>33</v>
      </c>
      <c r="R428" s="13" t="s">
        <v>33</v>
      </c>
      <c r="S428" s="13" t="s">
        <v>33</v>
      </c>
      <c r="T428" s="13" t="s">
        <v>33</v>
      </c>
      <c r="U428" s="13" t="s">
        <v>33</v>
      </c>
      <c r="V428" s="13" t="s">
        <v>33</v>
      </c>
      <c r="W428" s="6" t="b">
        <v>0</v>
      </c>
      <c r="X428" s="6" t="s">
        <v>1301</v>
      </c>
      <c r="Y428" s="6" t="s">
        <v>1326</v>
      </c>
      <c r="Z428" s="6">
        <v>530</v>
      </c>
      <c r="AA428" s="7" t="str">
        <f t="shared" si="121"/>
        <v>OK - sims match current assumptions</v>
      </c>
      <c r="AB428" s="13" t="s">
        <v>33</v>
      </c>
      <c r="AC428" s="13" t="s">
        <v>33</v>
      </c>
      <c r="AD428" s="13" t="s">
        <v>33</v>
      </c>
      <c r="AE428" s="13" t="s">
        <v>33</v>
      </c>
      <c r="AF428" s="13" t="s">
        <v>33</v>
      </c>
      <c r="AG428" s="13" t="s">
        <v>33</v>
      </c>
      <c r="AH428" s="6" t="b">
        <v>0</v>
      </c>
      <c r="AI428" s="13" t="s">
        <v>33</v>
      </c>
      <c r="AJ428" s="13" t="s">
        <v>33</v>
      </c>
      <c r="AK428" s="13" t="s">
        <v>33</v>
      </c>
      <c r="AL428" s="6">
        <v>0</v>
      </c>
      <c r="AM428" s="13" t="s">
        <v>33</v>
      </c>
    </row>
    <row r="429" spans="1:39" ht="15" customHeight="1" x14ac:dyDescent="0.3">
      <c r="A429" s="6" t="s">
        <v>456</v>
      </c>
      <c r="B429" s="7" t="str">
        <f>Odds_Input!C539</f>
        <v>Jamal Murray</v>
      </c>
      <c r="C429" s="6" t="s">
        <v>33</v>
      </c>
      <c r="D429" s="7" t="str">
        <f>Odds_Input!D539</f>
        <v>YES</v>
      </c>
      <c r="E429" s="31" t="str">
        <f>Odds_Input!E539</f>
        <v>-</v>
      </c>
      <c r="F429" s="32">
        <f>Odds_Input!F539</f>
        <v>25000</v>
      </c>
      <c r="G429" s="36">
        <f>M_DeVig!H539</f>
        <v>251</v>
      </c>
      <c r="H429" s="7" t="str">
        <f>Odds_Input!G539</f>
        <v>-</v>
      </c>
      <c r="I429" s="42">
        <f>M_DeVig!Q539</f>
        <v>9.5997842364195811E-4</v>
      </c>
      <c r="J429" s="13" t="s">
        <v>33</v>
      </c>
      <c r="K429" s="43">
        <f t="shared" si="120"/>
        <v>104069.00790397021</v>
      </c>
      <c r="L429" s="13" t="s">
        <v>33</v>
      </c>
      <c r="M429" s="13" t="s">
        <v>33</v>
      </c>
      <c r="N429" s="13" t="s">
        <v>33</v>
      </c>
      <c r="O429" s="13" t="s">
        <v>33</v>
      </c>
      <c r="P429" s="13" t="s">
        <v>33</v>
      </c>
      <c r="Q429" s="13" t="s">
        <v>33</v>
      </c>
      <c r="R429" s="13" t="s">
        <v>33</v>
      </c>
      <c r="S429" s="13" t="s">
        <v>33</v>
      </c>
      <c r="T429" s="13" t="s">
        <v>33</v>
      </c>
      <c r="U429" s="13" t="s">
        <v>33</v>
      </c>
      <c r="V429" s="13" t="s">
        <v>33</v>
      </c>
      <c r="W429" s="6" t="b">
        <v>0</v>
      </c>
      <c r="X429" s="6" t="s">
        <v>1301</v>
      </c>
      <c r="Y429" s="6" t="s">
        <v>1326</v>
      </c>
      <c r="Z429" s="6">
        <v>531</v>
      </c>
      <c r="AA429" s="7" t="str">
        <f t="shared" si="121"/>
        <v>OK - sims match current assumptions</v>
      </c>
      <c r="AB429" s="13" t="s">
        <v>33</v>
      </c>
      <c r="AC429" s="13" t="s">
        <v>33</v>
      </c>
      <c r="AD429" s="13" t="s">
        <v>33</v>
      </c>
      <c r="AE429" s="13" t="s">
        <v>33</v>
      </c>
      <c r="AF429" s="13" t="s">
        <v>33</v>
      </c>
      <c r="AG429" s="13" t="s">
        <v>33</v>
      </c>
      <c r="AH429" s="6" t="b">
        <v>0</v>
      </c>
      <c r="AI429" s="13" t="s">
        <v>33</v>
      </c>
      <c r="AJ429" s="13" t="s">
        <v>33</v>
      </c>
      <c r="AK429" s="13" t="s">
        <v>33</v>
      </c>
      <c r="AL429" s="6">
        <v>0</v>
      </c>
      <c r="AM429" s="13" t="s">
        <v>33</v>
      </c>
    </row>
    <row r="430" spans="1:39" ht="15" customHeight="1" x14ac:dyDescent="0.3">
      <c r="A430" s="6" t="s">
        <v>456</v>
      </c>
      <c r="B430" s="7" t="str">
        <f>Odds_Input!C540</f>
        <v>Deni Avdija</v>
      </c>
      <c r="C430" s="6" t="s">
        <v>33</v>
      </c>
      <c r="D430" s="7" t="str">
        <f>Odds_Input!D540</f>
        <v>YES</v>
      </c>
      <c r="E430" s="31" t="str">
        <f>Odds_Input!E540</f>
        <v>-</v>
      </c>
      <c r="F430" s="32">
        <f>Odds_Input!F540</f>
        <v>25000</v>
      </c>
      <c r="G430" s="36">
        <f>M_DeVig!H540</f>
        <v>251</v>
      </c>
      <c r="H430" s="7" t="str">
        <f>Odds_Input!G540</f>
        <v>-</v>
      </c>
      <c r="I430" s="42">
        <f>M_DeVig!Q540</f>
        <v>9.5997842364195811E-4</v>
      </c>
      <c r="J430" s="13" t="s">
        <v>33</v>
      </c>
      <c r="K430" s="43">
        <f t="shared" si="120"/>
        <v>104069.00790397021</v>
      </c>
      <c r="L430" s="13" t="s">
        <v>33</v>
      </c>
      <c r="M430" s="13" t="s">
        <v>33</v>
      </c>
      <c r="N430" s="13" t="s">
        <v>33</v>
      </c>
      <c r="O430" s="13" t="s">
        <v>33</v>
      </c>
      <c r="P430" s="13" t="s">
        <v>33</v>
      </c>
      <c r="Q430" s="13" t="s">
        <v>33</v>
      </c>
      <c r="R430" s="13" t="s">
        <v>33</v>
      </c>
      <c r="S430" s="13" t="s">
        <v>33</v>
      </c>
      <c r="T430" s="13" t="s">
        <v>33</v>
      </c>
      <c r="U430" s="13" t="s">
        <v>33</v>
      </c>
      <c r="V430" s="13" t="s">
        <v>33</v>
      </c>
      <c r="W430" s="6" t="b">
        <v>0</v>
      </c>
      <c r="X430" s="6" t="s">
        <v>1301</v>
      </c>
      <c r="Y430" s="6" t="s">
        <v>1326</v>
      </c>
      <c r="Z430" s="6">
        <v>532</v>
      </c>
      <c r="AA430" s="7" t="str">
        <f t="shared" si="121"/>
        <v>OK - sims match current assumptions</v>
      </c>
      <c r="AB430" s="13" t="s">
        <v>33</v>
      </c>
      <c r="AC430" s="13" t="s">
        <v>33</v>
      </c>
      <c r="AD430" s="13" t="s">
        <v>33</v>
      </c>
      <c r="AE430" s="13" t="s">
        <v>33</v>
      </c>
      <c r="AF430" s="13" t="s">
        <v>33</v>
      </c>
      <c r="AG430" s="13" t="s">
        <v>33</v>
      </c>
      <c r="AH430" s="6" t="b">
        <v>0</v>
      </c>
      <c r="AI430" s="13" t="s">
        <v>33</v>
      </c>
      <c r="AJ430" s="13" t="s">
        <v>33</v>
      </c>
      <c r="AK430" s="13" t="s">
        <v>33</v>
      </c>
      <c r="AL430" s="6">
        <v>0</v>
      </c>
      <c r="AM430" s="13" t="s">
        <v>33</v>
      </c>
    </row>
    <row r="431" spans="1:39" ht="15" customHeight="1" x14ac:dyDescent="0.3"/>
    <row r="432" spans="1:39" ht="15" customHeight="1" x14ac:dyDescent="0.3">
      <c r="A432" s="48" t="s">
        <v>458</v>
      </c>
      <c r="B432" s="49" t="s">
        <v>1330</v>
      </c>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row>
    <row r="433" spans="1:39" ht="15" customHeight="1" x14ac:dyDescent="0.3">
      <c r="A433" s="6" t="s">
        <v>458</v>
      </c>
      <c r="B433" s="7" t="str">
        <f>Odds_Input!C541</f>
        <v>Nikola Jokic</v>
      </c>
      <c r="C433" s="6" t="s">
        <v>33</v>
      </c>
      <c r="D433" s="7" t="str">
        <f>Odds_Input!D541</f>
        <v>YES</v>
      </c>
      <c r="E433" s="31" t="str">
        <f>Odds_Input!E541</f>
        <v>-</v>
      </c>
      <c r="F433" s="32">
        <f>Odds_Input!F541</f>
        <v>280</v>
      </c>
      <c r="G433" s="36">
        <f>M_DeVig!H541</f>
        <v>3.8</v>
      </c>
      <c r="H433" s="7" t="str">
        <f>Odds_Input!G541</f>
        <v>-</v>
      </c>
      <c r="I433" s="42">
        <f>M_DeVig!Q541</f>
        <v>0.2359293297703452</v>
      </c>
      <c r="J433" s="13" t="s">
        <v>33</v>
      </c>
      <c r="K433" s="43">
        <f t="shared" ref="K433:K456" si="122">IF(I433&gt;=0.5,-100*I433/(1-I433),100*(1-I433)/I433)</f>
        <v>323.85573721309049</v>
      </c>
      <c r="L433" s="13" t="s">
        <v>33</v>
      </c>
      <c r="M433" s="13" t="s">
        <v>33</v>
      </c>
      <c r="N433" s="13" t="s">
        <v>33</v>
      </c>
      <c r="O433" s="13" t="s">
        <v>33</v>
      </c>
      <c r="P433" s="13" t="s">
        <v>33</v>
      </c>
      <c r="Q433" s="13" t="s">
        <v>33</v>
      </c>
      <c r="R433" s="13" t="s">
        <v>33</v>
      </c>
      <c r="S433" s="13" t="s">
        <v>33</v>
      </c>
      <c r="T433" s="13" t="s">
        <v>33</v>
      </c>
      <c r="U433" s="13" t="s">
        <v>33</v>
      </c>
      <c r="V433" s="13" t="s">
        <v>33</v>
      </c>
      <c r="W433" s="6" t="b">
        <v>0</v>
      </c>
      <c r="X433" s="6" t="s">
        <v>1301</v>
      </c>
      <c r="Y433" s="6" t="s">
        <v>1326</v>
      </c>
      <c r="Z433" s="6">
        <v>533</v>
      </c>
      <c r="AA433" s="7" t="str">
        <f t="shared" ref="AA433:AA456" si="123">Sim_Stale</f>
        <v>OK - sims match current assumptions</v>
      </c>
      <c r="AB433" s="13" t="s">
        <v>33</v>
      </c>
      <c r="AC433" s="13" t="s">
        <v>33</v>
      </c>
      <c r="AD433" s="13" t="s">
        <v>33</v>
      </c>
      <c r="AE433" s="13" t="s">
        <v>33</v>
      </c>
      <c r="AF433" s="13" t="s">
        <v>33</v>
      </c>
      <c r="AG433" s="13" t="s">
        <v>33</v>
      </c>
      <c r="AH433" s="6" t="b">
        <v>0</v>
      </c>
      <c r="AI433" s="13" t="s">
        <v>33</v>
      </c>
      <c r="AJ433" s="13" t="s">
        <v>33</v>
      </c>
      <c r="AK433" s="13" t="s">
        <v>33</v>
      </c>
      <c r="AL433" s="6">
        <v>0</v>
      </c>
      <c r="AM433" s="13" t="s">
        <v>33</v>
      </c>
    </row>
    <row r="434" spans="1:39" ht="15" customHeight="1" x14ac:dyDescent="0.3">
      <c r="A434" s="6" t="s">
        <v>458</v>
      </c>
      <c r="B434" s="7" t="str">
        <f>Odds_Input!C542</f>
        <v>Victor Wembanyama</v>
      </c>
      <c r="C434" s="6" t="s">
        <v>33</v>
      </c>
      <c r="D434" s="7" t="str">
        <f>Odds_Input!D542</f>
        <v>YES</v>
      </c>
      <c r="E434" s="31" t="str">
        <f>Odds_Input!E542</f>
        <v>-</v>
      </c>
      <c r="F434" s="32">
        <f>Odds_Input!F542</f>
        <v>690</v>
      </c>
      <c r="G434" s="36">
        <f>M_DeVig!H542</f>
        <v>7.9</v>
      </c>
      <c r="H434" s="7" t="str">
        <f>Odds_Input!G542</f>
        <v>-</v>
      </c>
      <c r="I434" s="42">
        <f>M_DeVig!Q542</f>
        <v>0.11078805380953552</v>
      </c>
      <c r="J434" s="13" t="s">
        <v>33</v>
      </c>
      <c r="K434" s="43">
        <f t="shared" si="122"/>
        <v>802.62439461133499</v>
      </c>
      <c r="L434" s="13" t="s">
        <v>33</v>
      </c>
      <c r="M434" s="13" t="s">
        <v>33</v>
      </c>
      <c r="N434" s="13" t="s">
        <v>33</v>
      </c>
      <c r="O434" s="13" t="s">
        <v>33</v>
      </c>
      <c r="P434" s="13" t="s">
        <v>33</v>
      </c>
      <c r="Q434" s="13" t="s">
        <v>33</v>
      </c>
      <c r="R434" s="13" t="s">
        <v>33</v>
      </c>
      <c r="S434" s="13" t="s">
        <v>33</v>
      </c>
      <c r="T434" s="13" t="s">
        <v>33</v>
      </c>
      <c r="U434" s="13" t="s">
        <v>33</v>
      </c>
      <c r="V434" s="13" t="s">
        <v>33</v>
      </c>
      <c r="W434" s="6" t="b">
        <v>0</v>
      </c>
      <c r="X434" s="6" t="s">
        <v>1301</v>
      </c>
      <c r="Y434" s="6" t="s">
        <v>1326</v>
      </c>
      <c r="Z434" s="6">
        <v>534</v>
      </c>
      <c r="AA434" s="7" t="str">
        <f t="shared" si="123"/>
        <v>OK - sims match current assumptions</v>
      </c>
      <c r="AB434" s="13" t="s">
        <v>33</v>
      </c>
      <c r="AC434" s="13" t="s">
        <v>33</v>
      </c>
      <c r="AD434" s="13" t="s">
        <v>33</v>
      </c>
      <c r="AE434" s="13" t="s">
        <v>33</v>
      </c>
      <c r="AF434" s="13" t="s">
        <v>33</v>
      </c>
      <c r="AG434" s="13" t="s">
        <v>33</v>
      </c>
      <c r="AH434" s="6" t="b">
        <v>0</v>
      </c>
      <c r="AI434" s="13" t="s">
        <v>33</v>
      </c>
      <c r="AJ434" s="13" t="s">
        <v>33</v>
      </c>
      <c r="AK434" s="13" t="s">
        <v>33</v>
      </c>
      <c r="AL434" s="6">
        <v>0</v>
      </c>
      <c r="AM434" s="13" t="s">
        <v>33</v>
      </c>
    </row>
    <row r="435" spans="1:39" ht="15" customHeight="1" x14ac:dyDescent="0.3">
      <c r="A435" s="6" t="s">
        <v>458</v>
      </c>
      <c r="B435" s="7" t="str">
        <f>Odds_Input!C543</f>
        <v>Karl Anthony Towns</v>
      </c>
      <c r="C435" s="6" t="s">
        <v>33</v>
      </c>
      <c r="D435" s="7" t="str">
        <f>Odds_Input!D543</f>
        <v>YES</v>
      </c>
      <c r="E435" s="31" t="str">
        <f>Odds_Input!E543</f>
        <v>-</v>
      </c>
      <c r="F435" s="32">
        <f>Odds_Input!F543</f>
        <v>700</v>
      </c>
      <c r="G435" s="36">
        <f>M_DeVig!H543</f>
        <v>8</v>
      </c>
      <c r="H435" s="7" t="str">
        <f>Odds_Input!G543</f>
        <v>-</v>
      </c>
      <c r="I435" s="42">
        <f>M_DeVig!Q543</f>
        <v>0.10933907361550614</v>
      </c>
      <c r="J435" s="13" t="s">
        <v>33</v>
      </c>
      <c r="K435" s="43">
        <f t="shared" si="122"/>
        <v>814.58612820932387</v>
      </c>
      <c r="L435" s="13" t="s">
        <v>33</v>
      </c>
      <c r="M435" s="13" t="s">
        <v>33</v>
      </c>
      <c r="N435" s="13" t="s">
        <v>33</v>
      </c>
      <c r="O435" s="13" t="s">
        <v>33</v>
      </c>
      <c r="P435" s="13" t="s">
        <v>33</v>
      </c>
      <c r="Q435" s="13" t="s">
        <v>33</v>
      </c>
      <c r="R435" s="13" t="s">
        <v>33</v>
      </c>
      <c r="S435" s="13" t="s">
        <v>33</v>
      </c>
      <c r="T435" s="13" t="s">
        <v>33</v>
      </c>
      <c r="U435" s="13" t="s">
        <v>33</v>
      </c>
      <c r="V435" s="13" t="s">
        <v>33</v>
      </c>
      <c r="W435" s="6" t="b">
        <v>0</v>
      </c>
      <c r="X435" s="6" t="s">
        <v>1301</v>
      </c>
      <c r="Y435" s="6" t="s">
        <v>1326</v>
      </c>
      <c r="Z435" s="6">
        <v>535</v>
      </c>
      <c r="AA435" s="7" t="str">
        <f t="shared" si="123"/>
        <v>OK - sims match current assumptions</v>
      </c>
      <c r="AB435" s="13" t="s">
        <v>33</v>
      </c>
      <c r="AC435" s="13" t="s">
        <v>33</v>
      </c>
      <c r="AD435" s="13" t="s">
        <v>33</v>
      </c>
      <c r="AE435" s="13" t="s">
        <v>33</v>
      </c>
      <c r="AF435" s="13" t="s">
        <v>33</v>
      </c>
      <c r="AG435" s="13" t="s">
        <v>33</v>
      </c>
      <c r="AH435" s="6" t="b">
        <v>0</v>
      </c>
      <c r="AI435" s="13" t="s">
        <v>33</v>
      </c>
      <c r="AJ435" s="13" t="s">
        <v>33</v>
      </c>
      <c r="AK435" s="13" t="s">
        <v>33</v>
      </c>
      <c r="AL435" s="6">
        <v>0</v>
      </c>
      <c r="AM435" s="13" t="s">
        <v>33</v>
      </c>
    </row>
    <row r="436" spans="1:39" ht="15" customHeight="1" x14ac:dyDescent="0.3">
      <c r="A436" s="6" t="s">
        <v>458</v>
      </c>
      <c r="B436" s="7" t="str">
        <f>Odds_Input!C544</f>
        <v>Donovan Clingan</v>
      </c>
      <c r="C436" s="6" t="s">
        <v>33</v>
      </c>
      <c r="D436" s="7" t="str">
        <f>Odds_Input!D544</f>
        <v>YES</v>
      </c>
      <c r="E436" s="31" t="str">
        <f>Odds_Input!E544</f>
        <v>-</v>
      </c>
      <c r="F436" s="32">
        <f>Odds_Input!F544</f>
        <v>770</v>
      </c>
      <c r="G436" s="36">
        <f>M_DeVig!H544</f>
        <v>8.6999999999999993</v>
      </c>
      <c r="H436" s="7" t="str">
        <f>Odds_Input!G544</f>
        <v>-</v>
      </c>
      <c r="I436" s="42">
        <f>M_DeVig!Q544</f>
        <v>0.10012990222979223</v>
      </c>
      <c r="J436" s="13" t="s">
        <v>33</v>
      </c>
      <c r="K436" s="43">
        <f t="shared" si="122"/>
        <v>898.70266297180513</v>
      </c>
      <c r="L436" s="13" t="s">
        <v>33</v>
      </c>
      <c r="M436" s="13" t="s">
        <v>33</v>
      </c>
      <c r="N436" s="13" t="s">
        <v>33</v>
      </c>
      <c r="O436" s="13" t="s">
        <v>33</v>
      </c>
      <c r="P436" s="13" t="s">
        <v>33</v>
      </c>
      <c r="Q436" s="13" t="s">
        <v>33</v>
      </c>
      <c r="R436" s="13" t="s">
        <v>33</v>
      </c>
      <c r="S436" s="13" t="s">
        <v>33</v>
      </c>
      <c r="T436" s="13" t="s">
        <v>33</v>
      </c>
      <c r="U436" s="13" t="s">
        <v>33</v>
      </c>
      <c r="V436" s="13" t="s">
        <v>33</v>
      </c>
      <c r="W436" s="6" t="b">
        <v>0</v>
      </c>
      <c r="X436" s="6" t="s">
        <v>1301</v>
      </c>
      <c r="Y436" s="6" t="s">
        <v>1326</v>
      </c>
      <c r="Z436" s="6">
        <v>536</v>
      </c>
      <c r="AA436" s="7" t="str">
        <f t="shared" si="123"/>
        <v>OK - sims match current assumptions</v>
      </c>
      <c r="AB436" s="13" t="s">
        <v>33</v>
      </c>
      <c r="AC436" s="13" t="s">
        <v>33</v>
      </c>
      <c r="AD436" s="13" t="s">
        <v>33</v>
      </c>
      <c r="AE436" s="13" t="s">
        <v>33</v>
      </c>
      <c r="AF436" s="13" t="s">
        <v>33</v>
      </c>
      <c r="AG436" s="13" t="s">
        <v>33</v>
      </c>
      <c r="AH436" s="6" t="b">
        <v>0</v>
      </c>
      <c r="AI436" s="13" t="s">
        <v>33</v>
      </c>
      <c r="AJ436" s="13" t="s">
        <v>33</v>
      </c>
      <c r="AK436" s="13" t="s">
        <v>33</v>
      </c>
      <c r="AL436" s="6">
        <v>0</v>
      </c>
      <c r="AM436" s="13" t="s">
        <v>33</v>
      </c>
    </row>
    <row r="437" spans="1:39" ht="15" customHeight="1" x14ac:dyDescent="0.3">
      <c r="A437" s="52" t="s">
        <v>458</v>
      </c>
      <c r="B437" s="53" t="str">
        <f>Odds_Input!C545</f>
        <v>Domantas Sabonis</v>
      </c>
      <c r="C437" s="52" t="s">
        <v>33</v>
      </c>
      <c r="D437" s="53" t="str">
        <f>Odds_Input!D545</f>
        <v>YES</v>
      </c>
      <c r="E437" s="54" t="str">
        <f>Odds_Input!E545</f>
        <v>-</v>
      </c>
      <c r="F437" s="55">
        <f>Odds_Input!F545</f>
        <v>900</v>
      </c>
      <c r="G437" s="56">
        <f>M_DeVig!H545</f>
        <v>10</v>
      </c>
      <c r="H437" s="53" t="str">
        <f>Odds_Input!G545</f>
        <v>BACKFILL_PDF1</v>
      </c>
      <c r="I437" s="42">
        <f>M_DeVig!Q545</f>
        <v>8.6451794251962588E-2</v>
      </c>
      <c r="J437" s="13" t="s">
        <v>33</v>
      </c>
      <c r="K437" s="43">
        <f t="shared" si="122"/>
        <v>1056.713991482367</v>
      </c>
      <c r="L437" s="13" t="s">
        <v>33</v>
      </c>
      <c r="M437" s="13" t="s">
        <v>33</v>
      </c>
      <c r="N437" s="13" t="s">
        <v>33</v>
      </c>
      <c r="O437" s="13" t="s">
        <v>33</v>
      </c>
      <c r="P437" s="13" t="s">
        <v>33</v>
      </c>
      <c r="Q437" s="13" t="s">
        <v>33</v>
      </c>
      <c r="R437" s="13" t="s">
        <v>33</v>
      </c>
      <c r="S437" s="13" t="s">
        <v>33</v>
      </c>
      <c r="T437" s="13" t="s">
        <v>33</v>
      </c>
      <c r="U437" s="13" t="s">
        <v>33</v>
      </c>
      <c r="V437" s="13" t="s">
        <v>33</v>
      </c>
      <c r="W437" s="6" t="b">
        <v>0</v>
      </c>
      <c r="X437" s="6" t="s">
        <v>1301</v>
      </c>
      <c r="Y437" s="6" t="s">
        <v>1326</v>
      </c>
      <c r="Z437" s="6">
        <v>537</v>
      </c>
      <c r="AA437" s="7" t="str">
        <f t="shared" si="123"/>
        <v>OK - sims match current assumptions</v>
      </c>
      <c r="AB437" s="13" t="s">
        <v>33</v>
      </c>
      <c r="AC437" s="13" t="s">
        <v>33</v>
      </c>
      <c r="AD437" s="13" t="s">
        <v>33</v>
      </c>
      <c r="AE437" s="13" t="s">
        <v>33</v>
      </c>
      <c r="AF437" s="13" t="s">
        <v>33</v>
      </c>
      <c r="AG437" s="13" t="s">
        <v>33</v>
      </c>
      <c r="AH437" s="6" t="b">
        <v>0</v>
      </c>
      <c r="AI437" s="13" t="s">
        <v>33</v>
      </c>
      <c r="AJ437" s="13" t="s">
        <v>33</v>
      </c>
      <c r="AK437" s="13" t="s">
        <v>33</v>
      </c>
      <c r="AL437" s="6">
        <v>0</v>
      </c>
      <c r="AM437" s="13" t="s">
        <v>33</v>
      </c>
    </row>
    <row r="438" spans="1:39" ht="15" customHeight="1" x14ac:dyDescent="0.3">
      <c r="A438" s="6" t="s">
        <v>458</v>
      </c>
      <c r="B438" s="7" t="str">
        <f>Odds_Input!C546</f>
        <v>Rudy Gobert</v>
      </c>
      <c r="C438" s="6" t="s">
        <v>33</v>
      </c>
      <c r="D438" s="7" t="str">
        <f>Odds_Input!D546</f>
        <v>YES</v>
      </c>
      <c r="E438" s="31" t="str">
        <f>Odds_Input!E546</f>
        <v>-</v>
      </c>
      <c r="F438" s="32">
        <f>Odds_Input!F546</f>
        <v>990</v>
      </c>
      <c r="G438" s="36">
        <f>M_DeVig!H546</f>
        <v>10.9</v>
      </c>
      <c r="H438" s="7" t="str">
        <f>Odds_Input!G546</f>
        <v>-</v>
      </c>
      <c r="I438" s="42">
        <f>M_DeVig!Q546</f>
        <v>7.8896456410510268E-2</v>
      </c>
      <c r="J438" s="13" t="s">
        <v>33</v>
      </c>
      <c r="K438" s="43">
        <f t="shared" si="122"/>
        <v>1167.4840487091687</v>
      </c>
      <c r="L438" s="13" t="s">
        <v>33</v>
      </c>
      <c r="M438" s="13" t="s">
        <v>33</v>
      </c>
      <c r="N438" s="13" t="s">
        <v>33</v>
      </c>
      <c r="O438" s="13" t="s">
        <v>33</v>
      </c>
      <c r="P438" s="13" t="s">
        <v>33</v>
      </c>
      <c r="Q438" s="13" t="s">
        <v>33</v>
      </c>
      <c r="R438" s="13" t="s">
        <v>33</v>
      </c>
      <c r="S438" s="13" t="s">
        <v>33</v>
      </c>
      <c r="T438" s="13" t="s">
        <v>33</v>
      </c>
      <c r="U438" s="13" t="s">
        <v>33</v>
      </c>
      <c r="V438" s="13" t="s">
        <v>33</v>
      </c>
      <c r="W438" s="6" t="b">
        <v>0</v>
      </c>
      <c r="X438" s="6" t="s">
        <v>1301</v>
      </c>
      <c r="Y438" s="6" t="s">
        <v>1326</v>
      </c>
      <c r="Z438" s="6">
        <v>538</v>
      </c>
      <c r="AA438" s="7" t="str">
        <f t="shared" si="123"/>
        <v>OK - sims match current assumptions</v>
      </c>
      <c r="AB438" s="13" t="s">
        <v>33</v>
      </c>
      <c r="AC438" s="13" t="s">
        <v>33</v>
      </c>
      <c r="AD438" s="13" t="s">
        <v>33</v>
      </c>
      <c r="AE438" s="13" t="s">
        <v>33</v>
      </c>
      <c r="AF438" s="13" t="s">
        <v>33</v>
      </c>
      <c r="AG438" s="13" t="s">
        <v>33</v>
      </c>
      <c r="AH438" s="6" t="b">
        <v>0</v>
      </c>
      <c r="AI438" s="13" t="s">
        <v>33</v>
      </c>
      <c r="AJ438" s="13" t="s">
        <v>33</v>
      </c>
      <c r="AK438" s="13" t="s">
        <v>33</v>
      </c>
      <c r="AL438" s="6">
        <v>0</v>
      </c>
      <c r="AM438" s="13" t="s">
        <v>33</v>
      </c>
    </row>
    <row r="439" spans="1:39" ht="15" customHeight="1" x14ac:dyDescent="0.3">
      <c r="A439" s="6" t="s">
        <v>458</v>
      </c>
      <c r="B439" s="7" t="str">
        <f>Odds_Input!C547</f>
        <v>Zach Edey</v>
      </c>
      <c r="C439" s="6" t="s">
        <v>33</v>
      </c>
      <c r="D439" s="7" t="str">
        <f>Odds_Input!D547</f>
        <v>YES</v>
      </c>
      <c r="E439" s="31" t="str">
        <f>Odds_Input!E547</f>
        <v>-</v>
      </c>
      <c r="F439" s="32">
        <f>Odds_Input!F547</f>
        <v>1450</v>
      </c>
      <c r="G439" s="36">
        <f>M_DeVig!H547</f>
        <v>15.5</v>
      </c>
      <c r="H439" s="7" t="str">
        <f>Odds_Input!G547</f>
        <v>-</v>
      </c>
      <c r="I439" s="42">
        <f>M_DeVig!Q547</f>
        <v>5.4008379809212616E-2</v>
      </c>
      <c r="J439" s="13" t="s">
        <v>33</v>
      </c>
      <c r="K439" s="43">
        <f t="shared" si="122"/>
        <v>1751.5645230102284</v>
      </c>
      <c r="L439" s="13" t="s">
        <v>33</v>
      </c>
      <c r="M439" s="13" t="s">
        <v>33</v>
      </c>
      <c r="N439" s="13" t="s">
        <v>33</v>
      </c>
      <c r="O439" s="13" t="s">
        <v>33</v>
      </c>
      <c r="P439" s="13" t="s">
        <v>33</v>
      </c>
      <c r="Q439" s="13" t="s">
        <v>33</v>
      </c>
      <c r="R439" s="13" t="s">
        <v>33</v>
      </c>
      <c r="S439" s="13" t="s">
        <v>33</v>
      </c>
      <c r="T439" s="13" t="s">
        <v>33</v>
      </c>
      <c r="U439" s="13" t="s">
        <v>33</v>
      </c>
      <c r="V439" s="13" t="s">
        <v>33</v>
      </c>
      <c r="W439" s="6" t="b">
        <v>0</v>
      </c>
      <c r="X439" s="6" t="s">
        <v>1301</v>
      </c>
      <c r="Y439" s="6" t="s">
        <v>1326</v>
      </c>
      <c r="Z439" s="6">
        <v>539</v>
      </c>
      <c r="AA439" s="7" t="str">
        <f t="shared" si="123"/>
        <v>OK - sims match current assumptions</v>
      </c>
      <c r="AB439" s="13" t="s">
        <v>33</v>
      </c>
      <c r="AC439" s="13" t="s">
        <v>33</v>
      </c>
      <c r="AD439" s="13" t="s">
        <v>33</v>
      </c>
      <c r="AE439" s="13" t="s">
        <v>33</v>
      </c>
      <c r="AF439" s="13" t="s">
        <v>33</v>
      </c>
      <c r="AG439" s="13" t="s">
        <v>33</v>
      </c>
      <c r="AH439" s="6" t="b">
        <v>0</v>
      </c>
      <c r="AI439" s="13" t="s">
        <v>33</v>
      </c>
      <c r="AJ439" s="13" t="s">
        <v>33</v>
      </c>
      <c r="AK439" s="13" t="s">
        <v>33</v>
      </c>
      <c r="AL439" s="6">
        <v>0</v>
      </c>
      <c r="AM439" s="13" t="s">
        <v>33</v>
      </c>
    </row>
    <row r="440" spans="1:39" ht="15" customHeight="1" x14ac:dyDescent="0.3">
      <c r="A440" s="6" t="s">
        <v>458</v>
      </c>
      <c r="B440" s="7" t="str">
        <f>Odds_Input!C548</f>
        <v>Walker Kessler</v>
      </c>
      <c r="C440" s="6" t="s">
        <v>33</v>
      </c>
      <c r="D440" s="7" t="str">
        <f>Odds_Input!D548</f>
        <v>YES</v>
      </c>
      <c r="E440" s="31" t="str">
        <f>Odds_Input!E548</f>
        <v>-</v>
      </c>
      <c r="F440" s="32">
        <f>Odds_Input!F548</f>
        <v>1700</v>
      </c>
      <c r="G440" s="36">
        <f>M_DeVig!H548</f>
        <v>18</v>
      </c>
      <c r="H440" s="7" t="str">
        <f>Odds_Input!G548</f>
        <v>-</v>
      </c>
      <c r="I440" s="42">
        <f>M_DeVig!Q548</f>
        <v>4.5832955294996404E-2</v>
      </c>
      <c r="J440" s="13" t="s">
        <v>33</v>
      </c>
      <c r="K440" s="43">
        <f t="shared" si="122"/>
        <v>2081.8361778411663</v>
      </c>
      <c r="L440" s="13" t="s">
        <v>33</v>
      </c>
      <c r="M440" s="13" t="s">
        <v>33</v>
      </c>
      <c r="N440" s="13" t="s">
        <v>33</v>
      </c>
      <c r="O440" s="13" t="s">
        <v>33</v>
      </c>
      <c r="P440" s="13" t="s">
        <v>33</v>
      </c>
      <c r="Q440" s="13" t="s">
        <v>33</v>
      </c>
      <c r="R440" s="13" t="s">
        <v>33</v>
      </c>
      <c r="S440" s="13" t="s">
        <v>33</v>
      </c>
      <c r="T440" s="13" t="s">
        <v>33</v>
      </c>
      <c r="U440" s="13" t="s">
        <v>33</v>
      </c>
      <c r="V440" s="13" t="s">
        <v>33</v>
      </c>
      <c r="W440" s="6" t="b">
        <v>0</v>
      </c>
      <c r="X440" s="6" t="s">
        <v>1301</v>
      </c>
      <c r="Y440" s="6" t="s">
        <v>1326</v>
      </c>
      <c r="Z440" s="6">
        <v>540</v>
      </c>
      <c r="AA440" s="7" t="str">
        <f t="shared" si="123"/>
        <v>OK - sims match current assumptions</v>
      </c>
      <c r="AB440" s="13" t="s">
        <v>33</v>
      </c>
      <c r="AC440" s="13" t="s">
        <v>33</v>
      </c>
      <c r="AD440" s="13" t="s">
        <v>33</v>
      </c>
      <c r="AE440" s="13" t="s">
        <v>33</v>
      </c>
      <c r="AF440" s="13" t="s">
        <v>33</v>
      </c>
      <c r="AG440" s="13" t="s">
        <v>33</v>
      </c>
      <c r="AH440" s="6" t="b">
        <v>0</v>
      </c>
      <c r="AI440" s="13" t="s">
        <v>33</v>
      </c>
      <c r="AJ440" s="13" t="s">
        <v>33</v>
      </c>
      <c r="AK440" s="13" t="s">
        <v>33</v>
      </c>
      <c r="AL440" s="6">
        <v>0</v>
      </c>
      <c r="AM440" s="13" t="s">
        <v>33</v>
      </c>
    </row>
    <row r="441" spans="1:39" ht="15" customHeight="1" x14ac:dyDescent="0.3">
      <c r="A441" s="6" t="s">
        <v>458</v>
      </c>
      <c r="B441" s="7" t="str">
        <f>Odds_Input!C549</f>
        <v>Kelel Ware</v>
      </c>
      <c r="C441" s="6" t="s">
        <v>33</v>
      </c>
      <c r="D441" s="7" t="str">
        <f>Odds_Input!D549</f>
        <v>YES</v>
      </c>
      <c r="E441" s="31" t="str">
        <f>Odds_Input!E549</f>
        <v>-</v>
      </c>
      <c r="F441" s="32">
        <f>Odds_Input!F549</f>
        <v>2000</v>
      </c>
      <c r="G441" s="36">
        <f>M_DeVig!H549</f>
        <v>21</v>
      </c>
      <c r="H441" s="7" t="str">
        <f>Odds_Input!G549</f>
        <v>-</v>
      </c>
      <c r="I441" s="42">
        <f>M_DeVig!Q549</f>
        <v>3.8604064720212314E-2</v>
      </c>
      <c r="J441" s="13" t="s">
        <v>33</v>
      </c>
      <c r="K441" s="43">
        <f t="shared" si="122"/>
        <v>2490.4007965161763</v>
      </c>
      <c r="L441" s="13" t="s">
        <v>33</v>
      </c>
      <c r="M441" s="13" t="s">
        <v>33</v>
      </c>
      <c r="N441" s="13" t="s">
        <v>33</v>
      </c>
      <c r="O441" s="13" t="s">
        <v>33</v>
      </c>
      <c r="P441" s="13" t="s">
        <v>33</v>
      </c>
      <c r="Q441" s="13" t="s">
        <v>33</v>
      </c>
      <c r="R441" s="13" t="s">
        <v>33</v>
      </c>
      <c r="S441" s="13" t="s">
        <v>33</v>
      </c>
      <c r="T441" s="13" t="s">
        <v>33</v>
      </c>
      <c r="U441" s="13" t="s">
        <v>33</v>
      </c>
      <c r="V441" s="13" t="s">
        <v>33</v>
      </c>
      <c r="W441" s="6" t="b">
        <v>0</v>
      </c>
      <c r="X441" s="6" t="s">
        <v>1301</v>
      </c>
      <c r="Y441" s="6" t="s">
        <v>1326</v>
      </c>
      <c r="Z441" s="6">
        <v>541</v>
      </c>
      <c r="AA441" s="7" t="str">
        <f t="shared" si="123"/>
        <v>OK - sims match current assumptions</v>
      </c>
      <c r="AB441" s="13" t="s">
        <v>33</v>
      </c>
      <c r="AC441" s="13" t="s">
        <v>33</v>
      </c>
      <c r="AD441" s="13" t="s">
        <v>33</v>
      </c>
      <c r="AE441" s="13" t="s">
        <v>33</v>
      </c>
      <c r="AF441" s="13" t="s">
        <v>33</v>
      </c>
      <c r="AG441" s="13" t="s">
        <v>33</v>
      </c>
      <c r="AH441" s="6" t="b">
        <v>0</v>
      </c>
      <c r="AI441" s="13" t="s">
        <v>33</v>
      </c>
      <c r="AJ441" s="13" t="s">
        <v>33</v>
      </c>
      <c r="AK441" s="13" t="s">
        <v>33</v>
      </c>
      <c r="AL441" s="6">
        <v>0</v>
      </c>
      <c r="AM441" s="13" t="s">
        <v>33</v>
      </c>
    </row>
    <row r="442" spans="1:39" ht="15" customHeight="1" x14ac:dyDescent="0.3">
      <c r="A442" s="6" t="s">
        <v>458</v>
      </c>
      <c r="B442" s="7" t="str">
        <f>Odds_Input!C550</f>
        <v>Anthony Davis</v>
      </c>
      <c r="C442" s="6" t="s">
        <v>33</v>
      </c>
      <c r="D442" s="7" t="str">
        <f>Odds_Input!D550</f>
        <v>YES</v>
      </c>
      <c r="E442" s="31" t="str">
        <f>Odds_Input!E550</f>
        <v>-</v>
      </c>
      <c r="F442" s="32">
        <f>Odds_Input!F550</f>
        <v>1900</v>
      </c>
      <c r="G442" s="36">
        <f>M_DeVig!H550</f>
        <v>20</v>
      </c>
      <c r="H442" s="7" t="str">
        <f>Odds_Input!G550</f>
        <v>-</v>
      </c>
      <c r="I442" s="42">
        <f>M_DeVig!Q550</f>
        <v>4.0771183628736586E-2</v>
      </c>
      <c r="J442" s="13" t="s">
        <v>33</v>
      </c>
      <c r="K442" s="43">
        <f t="shared" si="122"/>
        <v>2352.7127029375088</v>
      </c>
      <c r="L442" s="13" t="s">
        <v>33</v>
      </c>
      <c r="M442" s="13" t="s">
        <v>33</v>
      </c>
      <c r="N442" s="13" t="s">
        <v>33</v>
      </c>
      <c r="O442" s="13" t="s">
        <v>33</v>
      </c>
      <c r="P442" s="13" t="s">
        <v>33</v>
      </c>
      <c r="Q442" s="13" t="s">
        <v>33</v>
      </c>
      <c r="R442" s="13" t="s">
        <v>33</v>
      </c>
      <c r="S442" s="13" t="s">
        <v>33</v>
      </c>
      <c r="T442" s="13" t="s">
        <v>33</v>
      </c>
      <c r="U442" s="13" t="s">
        <v>33</v>
      </c>
      <c r="V442" s="13" t="s">
        <v>33</v>
      </c>
      <c r="W442" s="6" t="b">
        <v>0</v>
      </c>
      <c r="X442" s="6" t="s">
        <v>1301</v>
      </c>
      <c r="Y442" s="6" t="s">
        <v>1326</v>
      </c>
      <c r="Z442" s="6">
        <v>542</v>
      </c>
      <c r="AA442" s="7" t="str">
        <f t="shared" si="123"/>
        <v>OK - sims match current assumptions</v>
      </c>
      <c r="AB442" s="13" t="s">
        <v>33</v>
      </c>
      <c r="AC442" s="13" t="s">
        <v>33</v>
      </c>
      <c r="AD442" s="13" t="s">
        <v>33</v>
      </c>
      <c r="AE442" s="13" t="s">
        <v>33</v>
      </c>
      <c r="AF442" s="13" t="s">
        <v>33</v>
      </c>
      <c r="AG442" s="13" t="s">
        <v>33</v>
      </c>
      <c r="AH442" s="6" t="b">
        <v>0</v>
      </c>
      <c r="AI442" s="13" t="s">
        <v>33</v>
      </c>
      <c r="AJ442" s="13" t="s">
        <v>33</v>
      </c>
      <c r="AK442" s="13" t="s">
        <v>33</v>
      </c>
      <c r="AL442" s="6">
        <v>0</v>
      </c>
      <c r="AM442" s="13" t="s">
        <v>33</v>
      </c>
    </row>
    <row r="443" spans="1:39" ht="15" customHeight="1" x14ac:dyDescent="0.3">
      <c r="A443" s="6" t="s">
        <v>458</v>
      </c>
      <c r="B443" s="7" t="str">
        <f>Odds_Input!C551</f>
        <v>Giannis Antetokounmpo</v>
      </c>
      <c r="C443" s="6" t="s">
        <v>33</v>
      </c>
      <c r="D443" s="7" t="str">
        <f>Odds_Input!D551</f>
        <v>YES</v>
      </c>
      <c r="E443" s="31" t="str">
        <f>Odds_Input!E551</f>
        <v>-</v>
      </c>
      <c r="F443" s="32">
        <f>Odds_Input!F551</f>
        <v>2250</v>
      </c>
      <c r="G443" s="36">
        <f>M_DeVig!H551</f>
        <v>23.5</v>
      </c>
      <c r="H443" s="7" t="str">
        <f>Odds_Input!G551</f>
        <v>-</v>
      </c>
      <c r="I443" s="42">
        <f>M_DeVig!Q551</f>
        <v>3.3998916079062351E-2</v>
      </c>
      <c r="J443" s="13" t="s">
        <v>33</v>
      </c>
      <c r="K443" s="43">
        <f t="shared" si="122"/>
        <v>2841.2702383645483</v>
      </c>
      <c r="L443" s="13" t="s">
        <v>33</v>
      </c>
      <c r="M443" s="13" t="s">
        <v>33</v>
      </c>
      <c r="N443" s="13" t="s">
        <v>33</v>
      </c>
      <c r="O443" s="13" t="s">
        <v>33</v>
      </c>
      <c r="P443" s="13" t="s">
        <v>33</v>
      </c>
      <c r="Q443" s="13" t="s">
        <v>33</v>
      </c>
      <c r="R443" s="13" t="s">
        <v>33</v>
      </c>
      <c r="S443" s="13" t="s">
        <v>33</v>
      </c>
      <c r="T443" s="13" t="s">
        <v>33</v>
      </c>
      <c r="U443" s="13" t="s">
        <v>33</v>
      </c>
      <c r="V443" s="13" t="s">
        <v>33</v>
      </c>
      <c r="W443" s="6" t="b">
        <v>0</v>
      </c>
      <c r="X443" s="6" t="s">
        <v>1301</v>
      </c>
      <c r="Y443" s="6" t="s">
        <v>1326</v>
      </c>
      <c r="Z443" s="6">
        <v>543</v>
      </c>
      <c r="AA443" s="7" t="str">
        <f t="shared" si="123"/>
        <v>OK - sims match current assumptions</v>
      </c>
      <c r="AB443" s="13" t="s">
        <v>33</v>
      </c>
      <c r="AC443" s="13" t="s">
        <v>33</v>
      </c>
      <c r="AD443" s="13" t="s">
        <v>33</v>
      </c>
      <c r="AE443" s="13" t="s">
        <v>33</v>
      </c>
      <c r="AF443" s="13" t="s">
        <v>33</v>
      </c>
      <c r="AG443" s="13" t="s">
        <v>33</v>
      </c>
      <c r="AH443" s="6" t="b">
        <v>0</v>
      </c>
      <c r="AI443" s="13" t="s">
        <v>33</v>
      </c>
      <c r="AJ443" s="13" t="s">
        <v>33</v>
      </c>
      <c r="AK443" s="13" t="s">
        <v>33</v>
      </c>
      <c r="AL443" s="6">
        <v>0</v>
      </c>
      <c r="AM443" s="13" t="s">
        <v>33</v>
      </c>
    </row>
    <row r="444" spans="1:39" ht="15" customHeight="1" x14ac:dyDescent="0.3">
      <c r="A444" s="6" t="s">
        <v>458</v>
      </c>
      <c r="B444" s="7" t="str">
        <f>Odds_Input!C552</f>
        <v>Ivica Zubac</v>
      </c>
      <c r="C444" s="6" t="s">
        <v>33</v>
      </c>
      <c r="D444" s="7" t="str">
        <f>Odds_Input!D552</f>
        <v>YES</v>
      </c>
      <c r="E444" s="31" t="str">
        <f>Odds_Input!E552</f>
        <v>-</v>
      </c>
      <c r="F444" s="32">
        <f>Odds_Input!F552</f>
        <v>3600</v>
      </c>
      <c r="G444" s="36">
        <f>M_DeVig!H552</f>
        <v>37</v>
      </c>
      <c r="H444" s="7" t="str">
        <f>Odds_Input!G552</f>
        <v>-</v>
      </c>
      <c r="I444" s="42">
        <f>M_DeVig!Q552</f>
        <v>1.997350126526171E-2</v>
      </c>
      <c r="J444" s="13" t="s">
        <v>33</v>
      </c>
      <c r="K444" s="43">
        <f t="shared" si="122"/>
        <v>4906.6334726161349</v>
      </c>
      <c r="L444" s="13" t="s">
        <v>33</v>
      </c>
      <c r="M444" s="13" t="s">
        <v>33</v>
      </c>
      <c r="N444" s="13" t="s">
        <v>33</v>
      </c>
      <c r="O444" s="13" t="s">
        <v>33</v>
      </c>
      <c r="P444" s="13" t="s">
        <v>33</v>
      </c>
      <c r="Q444" s="13" t="s">
        <v>33</v>
      </c>
      <c r="R444" s="13" t="s">
        <v>33</v>
      </c>
      <c r="S444" s="13" t="s">
        <v>33</v>
      </c>
      <c r="T444" s="13" t="s">
        <v>33</v>
      </c>
      <c r="U444" s="13" t="s">
        <v>33</v>
      </c>
      <c r="V444" s="13" t="s">
        <v>33</v>
      </c>
      <c r="W444" s="6" t="b">
        <v>0</v>
      </c>
      <c r="X444" s="6" t="s">
        <v>1301</v>
      </c>
      <c r="Y444" s="6" t="s">
        <v>1326</v>
      </c>
      <c r="Z444" s="6">
        <v>544</v>
      </c>
      <c r="AA444" s="7" t="str">
        <f t="shared" si="123"/>
        <v>OK - sims match current assumptions</v>
      </c>
      <c r="AB444" s="13" t="s">
        <v>33</v>
      </c>
      <c r="AC444" s="13" t="s">
        <v>33</v>
      </c>
      <c r="AD444" s="13" t="s">
        <v>33</v>
      </c>
      <c r="AE444" s="13" t="s">
        <v>33</v>
      </c>
      <c r="AF444" s="13" t="s">
        <v>33</v>
      </c>
      <c r="AG444" s="13" t="s">
        <v>33</v>
      </c>
      <c r="AH444" s="6" t="b">
        <v>0</v>
      </c>
      <c r="AI444" s="13" t="s">
        <v>33</v>
      </c>
      <c r="AJ444" s="13" t="s">
        <v>33</v>
      </c>
      <c r="AK444" s="13" t="s">
        <v>33</v>
      </c>
      <c r="AL444" s="6">
        <v>0</v>
      </c>
      <c r="AM444" s="13" t="s">
        <v>33</v>
      </c>
    </row>
    <row r="445" spans="1:39" ht="15" customHeight="1" x14ac:dyDescent="0.3">
      <c r="A445" s="6" t="s">
        <v>458</v>
      </c>
      <c r="B445" s="7" t="str">
        <f>Odds_Input!C553</f>
        <v>Jalen Duren</v>
      </c>
      <c r="C445" s="6" t="s">
        <v>33</v>
      </c>
      <c r="D445" s="7" t="str">
        <f>Odds_Input!D553</f>
        <v>YES</v>
      </c>
      <c r="E445" s="31" t="str">
        <f>Odds_Input!E553</f>
        <v>-</v>
      </c>
      <c r="F445" s="32">
        <f>Odds_Input!F553</f>
        <v>6500</v>
      </c>
      <c r="G445" s="36">
        <f>M_DeVig!H553</f>
        <v>66</v>
      </c>
      <c r="H445" s="7" t="str">
        <f>Odds_Input!G553</f>
        <v>-</v>
      </c>
      <c r="I445" s="42">
        <f>M_DeVig!Q553</f>
        <v>9.5149195051948878E-3</v>
      </c>
      <c r="J445" s="13" t="s">
        <v>33</v>
      </c>
      <c r="K445" s="43">
        <f t="shared" si="122"/>
        <v>10409.810403062551</v>
      </c>
      <c r="L445" s="13" t="s">
        <v>33</v>
      </c>
      <c r="M445" s="13" t="s">
        <v>33</v>
      </c>
      <c r="N445" s="13" t="s">
        <v>33</v>
      </c>
      <c r="O445" s="13" t="s">
        <v>33</v>
      </c>
      <c r="P445" s="13" t="s">
        <v>33</v>
      </c>
      <c r="Q445" s="13" t="s">
        <v>33</v>
      </c>
      <c r="R445" s="13" t="s">
        <v>33</v>
      </c>
      <c r="S445" s="13" t="s">
        <v>33</v>
      </c>
      <c r="T445" s="13" t="s">
        <v>33</v>
      </c>
      <c r="U445" s="13" t="s">
        <v>33</v>
      </c>
      <c r="V445" s="13" t="s">
        <v>33</v>
      </c>
      <c r="W445" s="6" t="b">
        <v>0</v>
      </c>
      <c r="X445" s="6" t="s">
        <v>1301</v>
      </c>
      <c r="Y445" s="6" t="s">
        <v>1326</v>
      </c>
      <c r="Z445" s="6">
        <v>545</v>
      </c>
      <c r="AA445" s="7" t="str">
        <f t="shared" si="123"/>
        <v>OK - sims match current assumptions</v>
      </c>
      <c r="AB445" s="13" t="s">
        <v>33</v>
      </c>
      <c r="AC445" s="13" t="s">
        <v>33</v>
      </c>
      <c r="AD445" s="13" t="s">
        <v>33</v>
      </c>
      <c r="AE445" s="13" t="s">
        <v>33</v>
      </c>
      <c r="AF445" s="13" t="s">
        <v>33</v>
      </c>
      <c r="AG445" s="13" t="s">
        <v>33</v>
      </c>
      <c r="AH445" s="6" t="b">
        <v>0</v>
      </c>
      <c r="AI445" s="13" t="s">
        <v>33</v>
      </c>
      <c r="AJ445" s="13" t="s">
        <v>33</v>
      </c>
      <c r="AK445" s="13" t="s">
        <v>33</v>
      </c>
      <c r="AL445" s="6">
        <v>0</v>
      </c>
      <c r="AM445" s="13" t="s">
        <v>33</v>
      </c>
    </row>
    <row r="446" spans="1:39" ht="15" customHeight="1" x14ac:dyDescent="0.3">
      <c r="A446" s="6" t="s">
        <v>458</v>
      </c>
      <c r="B446" s="7" t="str">
        <f>Odds_Input!C554</f>
        <v>Jalen Johnson</v>
      </c>
      <c r="C446" s="6" t="s">
        <v>33</v>
      </c>
      <c r="D446" s="7" t="str">
        <f>Odds_Input!D554</f>
        <v>YES</v>
      </c>
      <c r="E446" s="31" t="str">
        <f>Odds_Input!E554</f>
        <v>-</v>
      </c>
      <c r="F446" s="32">
        <f>Odds_Input!F554</f>
        <v>8100</v>
      </c>
      <c r="G446" s="36">
        <f>M_DeVig!H554</f>
        <v>82</v>
      </c>
      <c r="H446" s="7" t="str">
        <f>Odds_Input!G554</f>
        <v>-</v>
      </c>
      <c r="I446" s="42">
        <f>M_DeVig!Q554</f>
        <v>7.0263568459380176E-3</v>
      </c>
      <c r="J446" s="13" t="s">
        <v>33</v>
      </c>
      <c r="K446" s="43">
        <f t="shared" si="122"/>
        <v>14132.126576066323</v>
      </c>
      <c r="L446" s="13" t="s">
        <v>33</v>
      </c>
      <c r="M446" s="13" t="s">
        <v>33</v>
      </c>
      <c r="N446" s="13" t="s">
        <v>33</v>
      </c>
      <c r="O446" s="13" t="s">
        <v>33</v>
      </c>
      <c r="P446" s="13" t="s">
        <v>33</v>
      </c>
      <c r="Q446" s="13" t="s">
        <v>33</v>
      </c>
      <c r="R446" s="13" t="s">
        <v>33</v>
      </c>
      <c r="S446" s="13" t="s">
        <v>33</v>
      </c>
      <c r="T446" s="13" t="s">
        <v>33</v>
      </c>
      <c r="U446" s="13" t="s">
        <v>33</v>
      </c>
      <c r="V446" s="13" t="s">
        <v>33</v>
      </c>
      <c r="W446" s="6" t="b">
        <v>0</v>
      </c>
      <c r="X446" s="6" t="s">
        <v>1301</v>
      </c>
      <c r="Y446" s="6" t="s">
        <v>1326</v>
      </c>
      <c r="Z446" s="6">
        <v>546</v>
      </c>
      <c r="AA446" s="7" t="str">
        <f t="shared" si="123"/>
        <v>OK - sims match current assumptions</v>
      </c>
      <c r="AB446" s="13" t="s">
        <v>33</v>
      </c>
      <c r="AC446" s="13" t="s">
        <v>33</v>
      </c>
      <c r="AD446" s="13" t="s">
        <v>33</v>
      </c>
      <c r="AE446" s="13" t="s">
        <v>33</v>
      </c>
      <c r="AF446" s="13" t="s">
        <v>33</v>
      </c>
      <c r="AG446" s="13" t="s">
        <v>33</v>
      </c>
      <c r="AH446" s="6" t="b">
        <v>0</v>
      </c>
      <c r="AI446" s="13" t="s">
        <v>33</v>
      </c>
      <c r="AJ446" s="13" t="s">
        <v>33</v>
      </c>
      <c r="AK446" s="13" t="s">
        <v>33</v>
      </c>
      <c r="AL446" s="6">
        <v>0</v>
      </c>
      <c r="AM446" s="13" t="s">
        <v>33</v>
      </c>
    </row>
    <row r="447" spans="1:39" ht="15" customHeight="1" x14ac:dyDescent="0.3">
      <c r="A447" s="6" t="s">
        <v>458</v>
      </c>
      <c r="B447" s="7" t="str">
        <f>Odds_Input!C555</f>
        <v>Mitchell Robinson</v>
      </c>
      <c r="C447" s="6" t="s">
        <v>33</v>
      </c>
      <c r="D447" s="7" t="str">
        <f>Odds_Input!D555</f>
        <v>YES</v>
      </c>
      <c r="E447" s="31" t="str">
        <f>Odds_Input!E555</f>
        <v>-</v>
      </c>
      <c r="F447" s="32">
        <f>Odds_Input!F555</f>
        <v>9100</v>
      </c>
      <c r="G447" s="36">
        <f>M_DeVig!H555</f>
        <v>92</v>
      </c>
      <c r="H447" s="7" t="str">
        <f>Odds_Input!G555</f>
        <v>-</v>
      </c>
      <c r="I447" s="42">
        <f>M_DeVig!Q555</f>
        <v>5.9436584002989911E-3</v>
      </c>
      <c r="J447" s="13" t="s">
        <v>33</v>
      </c>
      <c r="K447" s="43">
        <f t="shared" si="122"/>
        <v>16724.654659657019</v>
      </c>
      <c r="L447" s="13" t="s">
        <v>33</v>
      </c>
      <c r="M447" s="13" t="s">
        <v>33</v>
      </c>
      <c r="N447" s="13" t="s">
        <v>33</v>
      </c>
      <c r="O447" s="13" t="s">
        <v>33</v>
      </c>
      <c r="P447" s="13" t="s">
        <v>33</v>
      </c>
      <c r="Q447" s="13" t="s">
        <v>33</v>
      </c>
      <c r="R447" s="13" t="s">
        <v>33</v>
      </c>
      <c r="S447" s="13" t="s">
        <v>33</v>
      </c>
      <c r="T447" s="13" t="s">
        <v>33</v>
      </c>
      <c r="U447" s="13" t="s">
        <v>33</v>
      </c>
      <c r="V447" s="13" t="s">
        <v>33</v>
      </c>
      <c r="W447" s="6" t="b">
        <v>0</v>
      </c>
      <c r="X447" s="6" t="s">
        <v>1301</v>
      </c>
      <c r="Y447" s="6" t="s">
        <v>1326</v>
      </c>
      <c r="Z447" s="6">
        <v>547</v>
      </c>
      <c r="AA447" s="7" t="str">
        <f t="shared" si="123"/>
        <v>OK - sims match current assumptions</v>
      </c>
      <c r="AB447" s="13" t="s">
        <v>33</v>
      </c>
      <c r="AC447" s="13" t="s">
        <v>33</v>
      </c>
      <c r="AD447" s="13" t="s">
        <v>33</v>
      </c>
      <c r="AE447" s="13" t="s">
        <v>33</v>
      </c>
      <c r="AF447" s="13" t="s">
        <v>33</v>
      </c>
      <c r="AG447" s="13" t="s">
        <v>33</v>
      </c>
      <c r="AH447" s="6" t="b">
        <v>0</v>
      </c>
      <c r="AI447" s="13" t="s">
        <v>33</v>
      </c>
      <c r="AJ447" s="13" t="s">
        <v>33</v>
      </c>
      <c r="AK447" s="13" t="s">
        <v>33</v>
      </c>
      <c r="AL447" s="6">
        <v>0</v>
      </c>
      <c r="AM447" s="13" t="s">
        <v>33</v>
      </c>
    </row>
    <row r="448" spans="1:39" ht="15" customHeight="1" x14ac:dyDescent="0.3">
      <c r="A448" s="6" t="s">
        <v>458</v>
      </c>
      <c r="B448" s="7" t="str">
        <f>Odds_Input!C556</f>
        <v>Alperen Sengun</v>
      </c>
      <c r="C448" s="6" t="s">
        <v>33</v>
      </c>
      <c r="D448" s="7" t="str">
        <f>Odds_Input!D556</f>
        <v>YES</v>
      </c>
      <c r="E448" s="31" t="str">
        <f>Odds_Input!E556</f>
        <v>-</v>
      </c>
      <c r="F448" s="32">
        <f>Odds_Input!F556</f>
        <v>10000</v>
      </c>
      <c r="G448" s="36">
        <f>M_DeVig!H556</f>
        <v>101</v>
      </c>
      <c r="H448" s="7" t="str">
        <f>Odds_Input!G556</f>
        <v>-</v>
      </c>
      <c r="I448" s="42">
        <f>M_DeVig!Q556</f>
        <v>5.1707998574741431E-3</v>
      </c>
      <c r="J448" s="13" t="s">
        <v>33</v>
      </c>
      <c r="K448" s="43">
        <f t="shared" si="122"/>
        <v>19239.36774896727</v>
      </c>
      <c r="L448" s="13" t="s">
        <v>33</v>
      </c>
      <c r="M448" s="13" t="s">
        <v>33</v>
      </c>
      <c r="N448" s="13" t="s">
        <v>33</v>
      </c>
      <c r="O448" s="13" t="s">
        <v>33</v>
      </c>
      <c r="P448" s="13" t="s">
        <v>33</v>
      </c>
      <c r="Q448" s="13" t="s">
        <v>33</v>
      </c>
      <c r="R448" s="13" t="s">
        <v>33</v>
      </c>
      <c r="S448" s="13" t="s">
        <v>33</v>
      </c>
      <c r="T448" s="13" t="s">
        <v>33</v>
      </c>
      <c r="U448" s="13" t="s">
        <v>33</v>
      </c>
      <c r="V448" s="13" t="s">
        <v>33</v>
      </c>
      <c r="W448" s="6" t="b">
        <v>0</v>
      </c>
      <c r="X448" s="6" t="s">
        <v>1301</v>
      </c>
      <c r="Y448" s="6" t="s">
        <v>1326</v>
      </c>
      <c r="Z448" s="6">
        <v>548</v>
      </c>
      <c r="AA448" s="7" t="str">
        <f t="shared" si="123"/>
        <v>OK - sims match current assumptions</v>
      </c>
      <c r="AB448" s="13" t="s">
        <v>33</v>
      </c>
      <c r="AC448" s="13" t="s">
        <v>33</v>
      </c>
      <c r="AD448" s="13" t="s">
        <v>33</v>
      </c>
      <c r="AE448" s="13" t="s">
        <v>33</v>
      </c>
      <c r="AF448" s="13" t="s">
        <v>33</v>
      </c>
      <c r="AG448" s="13" t="s">
        <v>33</v>
      </c>
      <c r="AH448" s="6" t="b">
        <v>0</v>
      </c>
      <c r="AI448" s="13" t="s">
        <v>33</v>
      </c>
      <c r="AJ448" s="13" t="s">
        <v>33</v>
      </c>
      <c r="AK448" s="13" t="s">
        <v>33</v>
      </c>
      <c r="AL448" s="6">
        <v>0</v>
      </c>
      <c r="AM448" s="13" t="s">
        <v>33</v>
      </c>
    </row>
    <row r="449" spans="1:39" ht="15" customHeight="1" x14ac:dyDescent="0.3">
      <c r="A449" s="6" t="s">
        <v>458</v>
      </c>
      <c r="B449" s="7" t="str">
        <f>Odds_Input!C557</f>
        <v>DayRon Sharpe</v>
      </c>
      <c r="C449" s="6" t="s">
        <v>33</v>
      </c>
      <c r="D449" s="7" t="str">
        <f>Odds_Input!D557</f>
        <v>YES</v>
      </c>
      <c r="E449" s="31" t="str">
        <f>Odds_Input!E557</f>
        <v>-</v>
      </c>
      <c r="F449" s="32">
        <f>Odds_Input!F557</f>
        <v>13000</v>
      </c>
      <c r="G449" s="36">
        <f>M_DeVig!H557</f>
        <v>131</v>
      </c>
      <c r="H449" s="7" t="str">
        <f>Odds_Input!G557</f>
        <v>-</v>
      </c>
      <c r="I449" s="42">
        <f>M_DeVig!Q557</f>
        <v>3.4466412551888573E-3</v>
      </c>
      <c r="J449" s="13" t="s">
        <v>33</v>
      </c>
      <c r="K449" s="43">
        <f t="shared" si="122"/>
        <v>28913.753563545892</v>
      </c>
      <c r="L449" s="13" t="s">
        <v>33</v>
      </c>
      <c r="M449" s="13" t="s">
        <v>33</v>
      </c>
      <c r="N449" s="13" t="s">
        <v>33</v>
      </c>
      <c r="O449" s="13" t="s">
        <v>33</v>
      </c>
      <c r="P449" s="13" t="s">
        <v>33</v>
      </c>
      <c r="Q449" s="13" t="s">
        <v>33</v>
      </c>
      <c r="R449" s="13" t="s">
        <v>33</v>
      </c>
      <c r="S449" s="13" t="s">
        <v>33</v>
      </c>
      <c r="T449" s="13" t="s">
        <v>33</v>
      </c>
      <c r="U449" s="13" t="s">
        <v>33</v>
      </c>
      <c r="V449" s="13" t="s">
        <v>33</v>
      </c>
      <c r="W449" s="6" t="b">
        <v>0</v>
      </c>
      <c r="X449" s="6" t="s">
        <v>1301</v>
      </c>
      <c r="Y449" s="6" t="s">
        <v>1326</v>
      </c>
      <c r="Z449" s="6">
        <v>549</v>
      </c>
      <c r="AA449" s="7" t="str">
        <f t="shared" si="123"/>
        <v>OK - sims match current assumptions</v>
      </c>
      <c r="AB449" s="13" t="s">
        <v>33</v>
      </c>
      <c r="AC449" s="13" t="s">
        <v>33</v>
      </c>
      <c r="AD449" s="13" t="s">
        <v>33</v>
      </c>
      <c r="AE449" s="13" t="s">
        <v>33</v>
      </c>
      <c r="AF449" s="13" t="s">
        <v>33</v>
      </c>
      <c r="AG449" s="13" t="s">
        <v>33</v>
      </c>
      <c r="AH449" s="6" t="b">
        <v>0</v>
      </c>
      <c r="AI449" s="13" t="s">
        <v>33</v>
      </c>
      <c r="AJ449" s="13" t="s">
        <v>33</v>
      </c>
      <c r="AK449" s="13" t="s">
        <v>33</v>
      </c>
      <c r="AL449" s="6">
        <v>0</v>
      </c>
      <c r="AM449" s="13" t="s">
        <v>33</v>
      </c>
    </row>
    <row r="450" spans="1:39" ht="15" customHeight="1" x14ac:dyDescent="0.3">
      <c r="A450" s="6" t="s">
        <v>458</v>
      </c>
      <c r="B450" s="7" t="str">
        <f>Odds_Input!C558</f>
        <v>Bam Adebayo</v>
      </c>
      <c r="C450" s="6" t="s">
        <v>33</v>
      </c>
      <c r="D450" s="7" t="str">
        <f>Odds_Input!D558</f>
        <v>YES</v>
      </c>
      <c r="E450" s="31" t="str">
        <f>Odds_Input!E558</f>
        <v>-</v>
      </c>
      <c r="F450" s="32">
        <f>Odds_Input!F558</f>
        <v>13000</v>
      </c>
      <c r="G450" s="36">
        <f>M_DeVig!H558</f>
        <v>131</v>
      </c>
      <c r="H450" s="7" t="str">
        <f>Odds_Input!G558</f>
        <v>-</v>
      </c>
      <c r="I450" s="42">
        <f>M_DeVig!Q558</f>
        <v>3.4466412551888573E-3</v>
      </c>
      <c r="J450" s="13" t="s">
        <v>33</v>
      </c>
      <c r="K450" s="43">
        <f t="shared" si="122"/>
        <v>28913.753563545892</v>
      </c>
      <c r="L450" s="13" t="s">
        <v>33</v>
      </c>
      <c r="M450" s="13" t="s">
        <v>33</v>
      </c>
      <c r="N450" s="13" t="s">
        <v>33</v>
      </c>
      <c r="O450" s="13" t="s">
        <v>33</v>
      </c>
      <c r="P450" s="13" t="s">
        <v>33</v>
      </c>
      <c r="Q450" s="13" t="s">
        <v>33</v>
      </c>
      <c r="R450" s="13" t="s">
        <v>33</v>
      </c>
      <c r="S450" s="13" t="s">
        <v>33</v>
      </c>
      <c r="T450" s="13" t="s">
        <v>33</v>
      </c>
      <c r="U450" s="13" t="s">
        <v>33</v>
      </c>
      <c r="V450" s="13" t="s">
        <v>33</v>
      </c>
      <c r="W450" s="6" t="b">
        <v>0</v>
      </c>
      <c r="X450" s="6" t="s">
        <v>1301</v>
      </c>
      <c r="Y450" s="6" t="s">
        <v>1326</v>
      </c>
      <c r="Z450" s="6">
        <v>550</v>
      </c>
      <c r="AA450" s="7" t="str">
        <f t="shared" si="123"/>
        <v>OK - sims match current assumptions</v>
      </c>
      <c r="AB450" s="13" t="s">
        <v>33</v>
      </c>
      <c r="AC450" s="13" t="s">
        <v>33</v>
      </c>
      <c r="AD450" s="13" t="s">
        <v>33</v>
      </c>
      <c r="AE450" s="13" t="s">
        <v>33</v>
      </c>
      <c r="AF450" s="13" t="s">
        <v>33</v>
      </c>
      <c r="AG450" s="13" t="s">
        <v>33</v>
      </c>
      <c r="AH450" s="6" t="b">
        <v>0</v>
      </c>
      <c r="AI450" s="13" t="s">
        <v>33</v>
      </c>
      <c r="AJ450" s="13" t="s">
        <v>33</v>
      </c>
      <c r="AK450" s="13" t="s">
        <v>33</v>
      </c>
      <c r="AL450" s="6">
        <v>0</v>
      </c>
      <c r="AM450" s="13" t="s">
        <v>33</v>
      </c>
    </row>
    <row r="451" spans="1:39" ht="15" customHeight="1" x14ac:dyDescent="0.3">
      <c r="A451" s="6" t="s">
        <v>458</v>
      </c>
      <c r="B451" s="7" t="str">
        <f>Odds_Input!C559</f>
        <v>Chet Holmgren</v>
      </c>
      <c r="C451" s="6" t="s">
        <v>33</v>
      </c>
      <c r="D451" s="7" t="str">
        <f>Odds_Input!D559</f>
        <v>YES</v>
      </c>
      <c r="E451" s="31" t="str">
        <f>Odds_Input!E559</f>
        <v>-</v>
      </c>
      <c r="F451" s="32">
        <f>Odds_Input!F559</f>
        <v>16000</v>
      </c>
      <c r="G451" s="36">
        <f>M_DeVig!H559</f>
        <v>161</v>
      </c>
      <c r="H451" s="7" t="str">
        <f>Odds_Input!G559</f>
        <v>-</v>
      </c>
      <c r="I451" s="42">
        <f>M_DeVig!Q559</f>
        <v>2.4533516701333476E-3</v>
      </c>
      <c r="J451" s="13" t="s">
        <v>33</v>
      </c>
      <c r="K451" s="43">
        <f t="shared" si="122"/>
        <v>40660.564911007918</v>
      </c>
      <c r="L451" s="13" t="s">
        <v>33</v>
      </c>
      <c r="M451" s="13" t="s">
        <v>33</v>
      </c>
      <c r="N451" s="13" t="s">
        <v>33</v>
      </c>
      <c r="O451" s="13" t="s">
        <v>33</v>
      </c>
      <c r="P451" s="13" t="s">
        <v>33</v>
      </c>
      <c r="Q451" s="13" t="s">
        <v>33</v>
      </c>
      <c r="R451" s="13" t="s">
        <v>33</v>
      </c>
      <c r="S451" s="13" t="s">
        <v>33</v>
      </c>
      <c r="T451" s="13" t="s">
        <v>33</v>
      </c>
      <c r="U451" s="13" t="s">
        <v>33</v>
      </c>
      <c r="V451" s="13" t="s">
        <v>33</v>
      </c>
      <c r="W451" s="6" t="b">
        <v>0</v>
      </c>
      <c r="X451" s="6" t="s">
        <v>1301</v>
      </c>
      <c r="Y451" s="6" t="s">
        <v>1326</v>
      </c>
      <c r="Z451" s="6">
        <v>551</v>
      </c>
      <c r="AA451" s="7" t="str">
        <f t="shared" si="123"/>
        <v>OK - sims match current assumptions</v>
      </c>
      <c r="AB451" s="13" t="s">
        <v>33</v>
      </c>
      <c r="AC451" s="13" t="s">
        <v>33</v>
      </c>
      <c r="AD451" s="13" t="s">
        <v>33</v>
      </c>
      <c r="AE451" s="13" t="s">
        <v>33</v>
      </c>
      <c r="AF451" s="13" t="s">
        <v>33</v>
      </c>
      <c r="AG451" s="13" t="s">
        <v>33</v>
      </c>
      <c r="AH451" s="6" t="b">
        <v>0</v>
      </c>
      <c r="AI451" s="13" t="s">
        <v>33</v>
      </c>
      <c r="AJ451" s="13" t="s">
        <v>33</v>
      </c>
      <c r="AK451" s="13" t="s">
        <v>33</v>
      </c>
      <c r="AL451" s="6">
        <v>0</v>
      </c>
      <c r="AM451" s="13" t="s">
        <v>33</v>
      </c>
    </row>
    <row r="452" spans="1:39" ht="15" customHeight="1" x14ac:dyDescent="0.3">
      <c r="A452" s="6" t="s">
        <v>458</v>
      </c>
      <c r="B452" s="7" t="str">
        <f>Odds_Input!C560</f>
        <v>Isaiah Hartenstein</v>
      </c>
      <c r="C452" s="6" t="s">
        <v>33</v>
      </c>
      <c r="D452" s="7" t="str">
        <f>Odds_Input!D560</f>
        <v>YES</v>
      </c>
      <c r="E452" s="31" t="str">
        <f>Odds_Input!E560</f>
        <v>-</v>
      </c>
      <c r="F452" s="32">
        <f>Odds_Input!F560</f>
        <v>16000</v>
      </c>
      <c r="G452" s="36">
        <f>M_DeVig!H560</f>
        <v>161</v>
      </c>
      <c r="H452" s="7" t="str">
        <f>Odds_Input!G560</f>
        <v>-</v>
      </c>
      <c r="I452" s="42">
        <f>M_DeVig!Q560</f>
        <v>2.4533516701333476E-3</v>
      </c>
      <c r="J452" s="13" t="s">
        <v>33</v>
      </c>
      <c r="K452" s="43">
        <f t="shared" si="122"/>
        <v>40660.564911007918</v>
      </c>
      <c r="L452" s="13" t="s">
        <v>33</v>
      </c>
      <c r="M452" s="13" t="s">
        <v>33</v>
      </c>
      <c r="N452" s="13" t="s">
        <v>33</v>
      </c>
      <c r="O452" s="13" t="s">
        <v>33</v>
      </c>
      <c r="P452" s="13" t="s">
        <v>33</v>
      </c>
      <c r="Q452" s="13" t="s">
        <v>33</v>
      </c>
      <c r="R452" s="13" t="s">
        <v>33</v>
      </c>
      <c r="S452" s="13" t="s">
        <v>33</v>
      </c>
      <c r="T452" s="13" t="s">
        <v>33</v>
      </c>
      <c r="U452" s="13" t="s">
        <v>33</v>
      </c>
      <c r="V452" s="13" t="s">
        <v>33</v>
      </c>
      <c r="W452" s="6" t="b">
        <v>0</v>
      </c>
      <c r="X452" s="6" t="s">
        <v>1301</v>
      </c>
      <c r="Y452" s="6" t="s">
        <v>1326</v>
      </c>
      <c r="Z452" s="6">
        <v>552</v>
      </c>
      <c r="AA452" s="7" t="str">
        <f t="shared" si="123"/>
        <v>OK - sims match current assumptions</v>
      </c>
      <c r="AB452" s="13" t="s">
        <v>33</v>
      </c>
      <c r="AC452" s="13" t="s">
        <v>33</v>
      </c>
      <c r="AD452" s="13" t="s">
        <v>33</v>
      </c>
      <c r="AE452" s="13" t="s">
        <v>33</v>
      </c>
      <c r="AF452" s="13" t="s">
        <v>33</v>
      </c>
      <c r="AG452" s="13" t="s">
        <v>33</v>
      </c>
      <c r="AH452" s="6" t="b">
        <v>0</v>
      </c>
      <c r="AI452" s="13" t="s">
        <v>33</v>
      </c>
      <c r="AJ452" s="13" t="s">
        <v>33</v>
      </c>
      <c r="AK452" s="13" t="s">
        <v>33</v>
      </c>
      <c r="AL452" s="6">
        <v>0</v>
      </c>
      <c r="AM452" s="13" t="s">
        <v>33</v>
      </c>
    </row>
    <row r="453" spans="1:39" ht="15" customHeight="1" x14ac:dyDescent="0.3">
      <c r="A453" s="6" t="s">
        <v>458</v>
      </c>
      <c r="B453" s="7" t="str">
        <f>Odds_Input!C561</f>
        <v>Evan Mobley</v>
      </c>
      <c r="C453" s="6" t="s">
        <v>33</v>
      </c>
      <c r="D453" s="7" t="str">
        <f>Odds_Input!D561</f>
        <v>YES</v>
      </c>
      <c r="E453" s="31" t="str">
        <f>Odds_Input!E561</f>
        <v>-</v>
      </c>
      <c r="F453" s="32">
        <f>Odds_Input!F561</f>
        <v>16000</v>
      </c>
      <c r="G453" s="36">
        <f>M_DeVig!H561</f>
        <v>161</v>
      </c>
      <c r="H453" s="7" t="str">
        <f>Odds_Input!G561</f>
        <v>-</v>
      </c>
      <c r="I453" s="42">
        <f>M_DeVig!Q561</f>
        <v>2.4533516701333476E-3</v>
      </c>
      <c r="J453" s="13" t="s">
        <v>33</v>
      </c>
      <c r="K453" s="43">
        <f t="shared" si="122"/>
        <v>40660.564911007918</v>
      </c>
      <c r="L453" s="13" t="s">
        <v>33</v>
      </c>
      <c r="M453" s="13" t="s">
        <v>33</v>
      </c>
      <c r="N453" s="13" t="s">
        <v>33</v>
      </c>
      <c r="O453" s="13" t="s">
        <v>33</v>
      </c>
      <c r="P453" s="13" t="s">
        <v>33</v>
      </c>
      <c r="Q453" s="13" t="s">
        <v>33</v>
      </c>
      <c r="R453" s="13" t="s">
        <v>33</v>
      </c>
      <c r="S453" s="13" t="s">
        <v>33</v>
      </c>
      <c r="T453" s="13" t="s">
        <v>33</v>
      </c>
      <c r="U453" s="13" t="s">
        <v>33</v>
      </c>
      <c r="V453" s="13" t="s">
        <v>33</v>
      </c>
      <c r="W453" s="6" t="b">
        <v>0</v>
      </c>
      <c r="X453" s="6" t="s">
        <v>1301</v>
      </c>
      <c r="Y453" s="6" t="s">
        <v>1326</v>
      </c>
      <c r="Z453" s="6">
        <v>553</v>
      </c>
      <c r="AA453" s="7" t="str">
        <f t="shared" si="123"/>
        <v>OK - sims match current assumptions</v>
      </c>
      <c r="AB453" s="13" t="s">
        <v>33</v>
      </c>
      <c r="AC453" s="13" t="s">
        <v>33</v>
      </c>
      <c r="AD453" s="13" t="s">
        <v>33</v>
      </c>
      <c r="AE453" s="13" t="s">
        <v>33</v>
      </c>
      <c r="AF453" s="13" t="s">
        <v>33</v>
      </c>
      <c r="AG453" s="13" t="s">
        <v>33</v>
      </c>
      <c r="AH453" s="6" t="b">
        <v>0</v>
      </c>
      <c r="AI453" s="13" t="s">
        <v>33</v>
      </c>
      <c r="AJ453" s="13" t="s">
        <v>33</v>
      </c>
      <c r="AK453" s="13" t="s">
        <v>33</v>
      </c>
      <c r="AL453" s="6">
        <v>0</v>
      </c>
      <c r="AM453" s="13" t="s">
        <v>33</v>
      </c>
    </row>
    <row r="454" spans="1:39" ht="15" customHeight="1" x14ac:dyDescent="0.3">
      <c r="A454" s="6" t="s">
        <v>458</v>
      </c>
      <c r="B454" s="7" t="str">
        <f>Odds_Input!C562</f>
        <v>Moussa Diabate</v>
      </c>
      <c r="C454" s="6" t="s">
        <v>33</v>
      </c>
      <c r="D454" s="7" t="str">
        <f>Odds_Input!D562</f>
        <v>YES</v>
      </c>
      <c r="E454" s="31" t="str">
        <f>Odds_Input!E562</f>
        <v>-</v>
      </c>
      <c r="F454" s="32">
        <f>Odds_Input!F562</f>
        <v>25000</v>
      </c>
      <c r="G454" s="36">
        <f>M_DeVig!H562</f>
        <v>251</v>
      </c>
      <c r="H454" s="7" t="str">
        <f>Odds_Input!G562</f>
        <v>-</v>
      </c>
      <c r="I454" s="42">
        <f>M_DeVig!Q562</f>
        <v>1.122438761056685E-3</v>
      </c>
      <c r="J454" s="13" t="s">
        <v>33</v>
      </c>
      <c r="K454" s="43">
        <f t="shared" si="122"/>
        <v>88991.720162851576</v>
      </c>
      <c r="L454" s="13" t="s">
        <v>33</v>
      </c>
      <c r="M454" s="13" t="s">
        <v>33</v>
      </c>
      <c r="N454" s="13" t="s">
        <v>33</v>
      </c>
      <c r="O454" s="13" t="s">
        <v>33</v>
      </c>
      <c r="P454" s="13" t="s">
        <v>33</v>
      </c>
      <c r="Q454" s="13" t="s">
        <v>33</v>
      </c>
      <c r="R454" s="13" t="s">
        <v>33</v>
      </c>
      <c r="S454" s="13" t="s">
        <v>33</v>
      </c>
      <c r="T454" s="13" t="s">
        <v>33</v>
      </c>
      <c r="U454" s="13" t="s">
        <v>33</v>
      </c>
      <c r="V454" s="13" t="s">
        <v>33</v>
      </c>
      <c r="W454" s="6" t="b">
        <v>0</v>
      </c>
      <c r="X454" s="6" t="s">
        <v>1301</v>
      </c>
      <c r="Y454" s="6" t="s">
        <v>1326</v>
      </c>
      <c r="Z454" s="6">
        <v>554</v>
      </c>
      <c r="AA454" s="7" t="str">
        <f t="shared" si="123"/>
        <v>OK - sims match current assumptions</v>
      </c>
      <c r="AB454" s="13" t="s">
        <v>33</v>
      </c>
      <c r="AC454" s="13" t="s">
        <v>33</v>
      </c>
      <c r="AD454" s="13" t="s">
        <v>33</v>
      </c>
      <c r="AE454" s="13" t="s">
        <v>33</v>
      </c>
      <c r="AF454" s="13" t="s">
        <v>33</v>
      </c>
      <c r="AG454" s="13" t="s">
        <v>33</v>
      </c>
      <c r="AH454" s="6" t="b">
        <v>0</v>
      </c>
      <c r="AI454" s="13" t="s">
        <v>33</v>
      </c>
      <c r="AJ454" s="13" t="s">
        <v>33</v>
      </c>
      <c r="AK454" s="13" t="s">
        <v>33</v>
      </c>
      <c r="AL454" s="6">
        <v>0</v>
      </c>
      <c r="AM454" s="13" t="s">
        <v>33</v>
      </c>
    </row>
    <row r="455" spans="1:39" ht="15" customHeight="1" x14ac:dyDescent="0.3">
      <c r="A455" s="6" t="s">
        <v>458</v>
      </c>
      <c r="B455" s="7" t="str">
        <f>Odds_Input!C563</f>
        <v>Jusuf Nurkic</v>
      </c>
      <c r="C455" s="6" t="s">
        <v>33</v>
      </c>
      <c r="D455" s="7" t="str">
        <f>Odds_Input!D563</f>
        <v>YES</v>
      </c>
      <c r="E455" s="31" t="str">
        <f>Odds_Input!E563</f>
        <v>-</v>
      </c>
      <c r="F455" s="32">
        <f>Odds_Input!F563</f>
        <v>25000</v>
      </c>
      <c r="G455" s="36">
        <f>M_DeVig!H563</f>
        <v>251</v>
      </c>
      <c r="H455" s="7" t="str">
        <f>Odds_Input!G563</f>
        <v>-</v>
      </c>
      <c r="I455" s="42">
        <f>M_DeVig!Q563</f>
        <v>1.122438761056685E-3</v>
      </c>
      <c r="J455" s="13" t="s">
        <v>33</v>
      </c>
      <c r="K455" s="43">
        <f t="shared" si="122"/>
        <v>88991.720162851576</v>
      </c>
      <c r="L455" s="13" t="s">
        <v>33</v>
      </c>
      <c r="M455" s="13" t="s">
        <v>33</v>
      </c>
      <c r="N455" s="13" t="s">
        <v>33</v>
      </c>
      <c r="O455" s="13" t="s">
        <v>33</v>
      </c>
      <c r="P455" s="13" t="s">
        <v>33</v>
      </c>
      <c r="Q455" s="13" t="s">
        <v>33</v>
      </c>
      <c r="R455" s="13" t="s">
        <v>33</v>
      </c>
      <c r="S455" s="13" t="s">
        <v>33</v>
      </c>
      <c r="T455" s="13" t="s">
        <v>33</v>
      </c>
      <c r="U455" s="13" t="s">
        <v>33</v>
      </c>
      <c r="V455" s="13" t="s">
        <v>33</v>
      </c>
      <c r="W455" s="6" t="b">
        <v>0</v>
      </c>
      <c r="X455" s="6" t="s">
        <v>1301</v>
      </c>
      <c r="Y455" s="6" t="s">
        <v>1326</v>
      </c>
      <c r="Z455" s="6">
        <v>555</v>
      </c>
      <c r="AA455" s="7" t="str">
        <f t="shared" si="123"/>
        <v>OK - sims match current assumptions</v>
      </c>
      <c r="AB455" s="13" t="s">
        <v>33</v>
      </c>
      <c r="AC455" s="13" t="s">
        <v>33</v>
      </c>
      <c r="AD455" s="13" t="s">
        <v>33</v>
      </c>
      <c r="AE455" s="13" t="s">
        <v>33</v>
      </c>
      <c r="AF455" s="13" t="s">
        <v>33</v>
      </c>
      <c r="AG455" s="13" t="s">
        <v>33</v>
      </c>
      <c r="AH455" s="6" t="b">
        <v>0</v>
      </c>
      <c r="AI455" s="13" t="s">
        <v>33</v>
      </c>
      <c r="AJ455" s="13" t="s">
        <v>33</v>
      </c>
      <c r="AK455" s="13" t="s">
        <v>33</v>
      </c>
      <c r="AL455" s="6">
        <v>0</v>
      </c>
      <c r="AM455" s="13" t="s">
        <v>33</v>
      </c>
    </row>
    <row r="456" spans="1:39" ht="15" customHeight="1" x14ac:dyDescent="0.3">
      <c r="A456" s="6" t="s">
        <v>458</v>
      </c>
      <c r="B456" s="7" t="str">
        <f>Odds_Input!C564</f>
        <v>Julius Randle</v>
      </c>
      <c r="C456" s="6" t="s">
        <v>33</v>
      </c>
      <c r="D456" s="7" t="str">
        <f>Odds_Input!D564</f>
        <v>YES</v>
      </c>
      <c r="E456" s="31" t="str">
        <f>Odds_Input!E564</f>
        <v>-</v>
      </c>
      <c r="F456" s="32">
        <f>Odds_Input!F564</f>
        <v>25000</v>
      </c>
      <c r="G456" s="36">
        <f>M_DeVig!H564</f>
        <v>251</v>
      </c>
      <c r="H456" s="7" t="str">
        <f>Odds_Input!G564</f>
        <v>-</v>
      </c>
      <c r="I456" s="42">
        <f>M_DeVig!Q564</f>
        <v>1.122438761056685E-3</v>
      </c>
      <c r="J456" s="13" t="s">
        <v>33</v>
      </c>
      <c r="K456" s="43">
        <f t="shared" si="122"/>
        <v>88991.720162851576</v>
      </c>
      <c r="L456" s="13" t="s">
        <v>33</v>
      </c>
      <c r="M456" s="13" t="s">
        <v>33</v>
      </c>
      <c r="N456" s="13" t="s">
        <v>33</v>
      </c>
      <c r="O456" s="13" t="s">
        <v>33</v>
      </c>
      <c r="P456" s="13" t="s">
        <v>33</v>
      </c>
      <c r="Q456" s="13" t="s">
        <v>33</v>
      </c>
      <c r="R456" s="13" t="s">
        <v>33</v>
      </c>
      <c r="S456" s="13" t="s">
        <v>33</v>
      </c>
      <c r="T456" s="13" t="s">
        <v>33</v>
      </c>
      <c r="U456" s="13" t="s">
        <v>33</v>
      </c>
      <c r="V456" s="13" t="s">
        <v>33</v>
      </c>
      <c r="W456" s="6" t="b">
        <v>0</v>
      </c>
      <c r="X456" s="6" t="s">
        <v>1301</v>
      </c>
      <c r="Y456" s="6" t="s">
        <v>1326</v>
      </c>
      <c r="Z456" s="6">
        <v>556</v>
      </c>
      <c r="AA456" s="7" t="str">
        <f t="shared" si="123"/>
        <v>OK - sims match current assumptions</v>
      </c>
      <c r="AB456" s="13" t="s">
        <v>33</v>
      </c>
      <c r="AC456" s="13" t="s">
        <v>33</v>
      </c>
      <c r="AD456" s="13" t="s">
        <v>33</v>
      </c>
      <c r="AE456" s="13" t="s">
        <v>33</v>
      </c>
      <c r="AF456" s="13" t="s">
        <v>33</v>
      </c>
      <c r="AG456" s="13" t="s">
        <v>33</v>
      </c>
      <c r="AH456" s="6" t="b">
        <v>0</v>
      </c>
      <c r="AI456" s="13" t="s">
        <v>33</v>
      </c>
      <c r="AJ456" s="13" t="s">
        <v>33</v>
      </c>
      <c r="AK456" s="13" t="s">
        <v>33</v>
      </c>
      <c r="AL456" s="6">
        <v>0</v>
      </c>
      <c r="AM456" s="13" t="s">
        <v>33</v>
      </c>
    </row>
    <row r="457" spans="1:39" ht="15" customHeight="1" x14ac:dyDescent="0.3"/>
    <row r="458" spans="1:39" ht="15" customHeight="1" x14ac:dyDescent="0.3">
      <c r="A458" s="48" t="s">
        <v>467</v>
      </c>
      <c r="B458" s="49" t="s">
        <v>1331</v>
      </c>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row>
    <row r="459" spans="1:39" ht="15" customHeight="1" x14ac:dyDescent="0.3">
      <c r="A459" s="6" t="s">
        <v>467</v>
      </c>
      <c r="B459" s="7" t="str">
        <f>Odds_Input!C565</f>
        <v>Nikola Jokic</v>
      </c>
      <c r="C459" s="6" t="s">
        <v>33</v>
      </c>
      <c r="D459" s="7" t="str">
        <f>Odds_Input!D565</f>
        <v>YES</v>
      </c>
      <c r="E459" s="31" t="str">
        <f>Odds_Input!E565</f>
        <v>-</v>
      </c>
      <c r="F459" s="32">
        <f>Odds_Input!F565</f>
        <v>200</v>
      </c>
      <c r="G459" s="36">
        <f>M_DeVig!H565</f>
        <v>3</v>
      </c>
      <c r="H459" s="7" t="str">
        <f>Odds_Input!G565</f>
        <v>-</v>
      </c>
      <c r="I459" s="42">
        <f>M_DeVig!Q565</f>
        <v>0.30365009812415161</v>
      </c>
      <c r="J459" s="13" t="s">
        <v>33</v>
      </c>
      <c r="K459" s="43">
        <f t="shared" ref="K459:K476" si="124">IF(I459&gt;=0.5,-100*I459/(1-I459),100*(1-I459)/I459)</f>
        <v>229.32642083031234</v>
      </c>
      <c r="L459" s="13" t="s">
        <v>33</v>
      </c>
      <c r="M459" s="13" t="s">
        <v>33</v>
      </c>
      <c r="N459" s="13" t="s">
        <v>33</v>
      </c>
      <c r="O459" s="13" t="s">
        <v>33</v>
      </c>
      <c r="P459" s="13" t="s">
        <v>33</v>
      </c>
      <c r="Q459" s="13" t="s">
        <v>33</v>
      </c>
      <c r="R459" s="13" t="s">
        <v>33</v>
      </c>
      <c r="S459" s="13" t="s">
        <v>33</v>
      </c>
      <c r="T459" s="13" t="s">
        <v>33</v>
      </c>
      <c r="U459" s="13" t="s">
        <v>33</v>
      </c>
      <c r="V459" s="13" t="s">
        <v>33</v>
      </c>
      <c r="W459" s="6" t="b">
        <v>0</v>
      </c>
      <c r="X459" s="6" t="s">
        <v>1301</v>
      </c>
      <c r="Y459" s="6" t="s">
        <v>1326</v>
      </c>
      <c r="Z459" s="6">
        <v>557</v>
      </c>
      <c r="AA459" s="7" t="str">
        <f t="shared" ref="AA459:AA476" si="125">Sim_Stale</f>
        <v>OK - sims match current assumptions</v>
      </c>
      <c r="AB459" s="13" t="s">
        <v>33</v>
      </c>
      <c r="AC459" s="13" t="s">
        <v>33</v>
      </c>
      <c r="AD459" s="13" t="s">
        <v>33</v>
      </c>
      <c r="AE459" s="13" t="s">
        <v>33</v>
      </c>
      <c r="AF459" s="13" t="s">
        <v>33</v>
      </c>
      <c r="AG459" s="13" t="s">
        <v>33</v>
      </c>
      <c r="AH459" s="6" t="b">
        <v>0</v>
      </c>
      <c r="AI459" s="13" t="s">
        <v>33</v>
      </c>
      <c r="AJ459" s="13" t="s">
        <v>33</v>
      </c>
      <c r="AK459" s="13" t="s">
        <v>33</v>
      </c>
      <c r="AL459" s="6">
        <v>0</v>
      </c>
      <c r="AM459" s="13" t="s">
        <v>33</v>
      </c>
    </row>
    <row r="460" spans="1:39" ht="15" customHeight="1" x14ac:dyDescent="0.3">
      <c r="A460" s="6" t="s">
        <v>467</v>
      </c>
      <c r="B460" s="7" t="str">
        <f>Odds_Input!C566</f>
        <v>Trae Young</v>
      </c>
      <c r="C460" s="6" t="s">
        <v>33</v>
      </c>
      <c r="D460" s="7" t="str">
        <f>Odds_Input!D566</f>
        <v>YES</v>
      </c>
      <c r="E460" s="31" t="str">
        <f>Odds_Input!E566</f>
        <v>-</v>
      </c>
      <c r="F460" s="32">
        <f>Odds_Input!F566</f>
        <v>280</v>
      </c>
      <c r="G460" s="36">
        <f>M_DeVig!H566</f>
        <v>3.8</v>
      </c>
      <c r="H460" s="7" t="str">
        <f>Odds_Input!G566</f>
        <v>-</v>
      </c>
      <c r="I460" s="42">
        <f>M_DeVig!Q566</f>
        <v>0.23827551019636811</v>
      </c>
      <c r="J460" s="13" t="s">
        <v>33</v>
      </c>
      <c r="K460" s="43">
        <f t="shared" si="124"/>
        <v>319.68224060285422</v>
      </c>
      <c r="L460" s="13" t="s">
        <v>33</v>
      </c>
      <c r="M460" s="13" t="s">
        <v>33</v>
      </c>
      <c r="N460" s="13" t="s">
        <v>33</v>
      </c>
      <c r="O460" s="13" t="s">
        <v>33</v>
      </c>
      <c r="P460" s="13" t="s">
        <v>33</v>
      </c>
      <c r="Q460" s="13" t="s">
        <v>33</v>
      </c>
      <c r="R460" s="13" t="s">
        <v>33</v>
      </c>
      <c r="S460" s="13" t="s">
        <v>33</v>
      </c>
      <c r="T460" s="13" t="s">
        <v>33</v>
      </c>
      <c r="U460" s="13" t="s">
        <v>33</v>
      </c>
      <c r="V460" s="13" t="s">
        <v>33</v>
      </c>
      <c r="W460" s="6" t="b">
        <v>0</v>
      </c>
      <c r="X460" s="6" t="s">
        <v>1301</v>
      </c>
      <c r="Y460" s="6" t="s">
        <v>1326</v>
      </c>
      <c r="Z460" s="6">
        <v>558</v>
      </c>
      <c r="AA460" s="7" t="str">
        <f t="shared" si="125"/>
        <v>OK - sims match current assumptions</v>
      </c>
      <c r="AB460" s="13" t="s">
        <v>33</v>
      </c>
      <c r="AC460" s="13" t="s">
        <v>33</v>
      </c>
      <c r="AD460" s="13" t="s">
        <v>33</v>
      </c>
      <c r="AE460" s="13" t="s">
        <v>33</v>
      </c>
      <c r="AF460" s="13" t="s">
        <v>33</v>
      </c>
      <c r="AG460" s="13" t="s">
        <v>33</v>
      </c>
      <c r="AH460" s="6" t="b">
        <v>0</v>
      </c>
      <c r="AI460" s="13" t="s">
        <v>33</v>
      </c>
      <c r="AJ460" s="13" t="s">
        <v>33</v>
      </c>
      <c r="AK460" s="13" t="s">
        <v>33</v>
      </c>
      <c r="AL460" s="6">
        <v>0</v>
      </c>
      <c r="AM460" s="13" t="s">
        <v>33</v>
      </c>
    </row>
    <row r="461" spans="1:39" ht="15" customHeight="1" x14ac:dyDescent="0.3">
      <c r="A461" s="6" t="s">
        <v>467</v>
      </c>
      <c r="B461" s="7" t="str">
        <f>Odds_Input!C567</f>
        <v>Cade Cunningham</v>
      </c>
      <c r="C461" s="6" t="s">
        <v>33</v>
      </c>
      <c r="D461" s="7" t="str">
        <f>Odds_Input!D567</f>
        <v>YES</v>
      </c>
      <c r="E461" s="31" t="str">
        <f>Odds_Input!E567</f>
        <v>-</v>
      </c>
      <c r="F461" s="32">
        <f>Odds_Input!F567</f>
        <v>360</v>
      </c>
      <c r="G461" s="36">
        <f>M_DeVig!H567</f>
        <v>4.5999999999999996</v>
      </c>
      <c r="H461" s="7" t="str">
        <f>Odds_Input!G567</f>
        <v>-</v>
      </c>
      <c r="I461" s="42">
        <f>M_DeVig!Q567</f>
        <v>0.19564734384138638</v>
      </c>
      <c r="J461" s="13" t="s">
        <v>33</v>
      </c>
      <c r="K461" s="43">
        <f t="shared" si="124"/>
        <v>411.12372923943803</v>
      </c>
      <c r="L461" s="13" t="s">
        <v>33</v>
      </c>
      <c r="M461" s="13" t="s">
        <v>33</v>
      </c>
      <c r="N461" s="13" t="s">
        <v>33</v>
      </c>
      <c r="O461" s="13" t="s">
        <v>33</v>
      </c>
      <c r="P461" s="13" t="s">
        <v>33</v>
      </c>
      <c r="Q461" s="13" t="s">
        <v>33</v>
      </c>
      <c r="R461" s="13" t="s">
        <v>33</v>
      </c>
      <c r="S461" s="13" t="s">
        <v>33</v>
      </c>
      <c r="T461" s="13" t="s">
        <v>33</v>
      </c>
      <c r="U461" s="13" t="s">
        <v>33</v>
      </c>
      <c r="V461" s="13" t="s">
        <v>33</v>
      </c>
      <c r="W461" s="6" t="b">
        <v>0</v>
      </c>
      <c r="X461" s="6" t="s">
        <v>1301</v>
      </c>
      <c r="Y461" s="6" t="s">
        <v>1326</v>
      </c>
      <c r="Z461" s="6">
        <v>559</v>
      </c>
      <c r="AA461" s="7" t="str">
        <f t="shared" si="125"/>
        <v>OK - sims match current assumptions</v>
      </c>
      <c r="AB461" s="13" t="s">
        <v>33</v>
      </c>
      <c r="AC461" s="13" t="s">
        <v>33</v>
      </c>
      <c r="AD461" s="13" t="s">
        <v>33</v>
      </c>
      <c r="AE461" s="13" t="s">
        <v>33</v>
      </c>
      <c r="AF461" s="13" t="s">
        <v>33</v>
      </c>
      <c r="AG461" s="13" t="s">
        <v>33</v>
      </c>
      <c r="AH461" s="6" t="b">
        <v>0</v>
      </c>
      <c r="AI461" s="13" t="s">
        <v>33</v>
      </c>
      <c r="AJ461" s="13" t="s">
        <v>33</v>
      </c>
      <c r="AK461" s="13" t="s">
        <v>33</v>
      </c>
      <c r="AL461" s="6">
        <v>0</v>
      </c>
      <c r="AM461" s="13" t="s">
        <v>33</v>
      </c>
    </row>
    <row r="462" spans="1:39" ht="15" customHeight="1" x14ac:dyDescent="0.3">
      <c r="A462" s="6" t="s">
        <v>467</v>
      </c>
      <c r="B462" s="7" t="str">
        <f>Odds_Input!C568</f>
        <v>Tyrese Haliburton</v>
      </c>
      <c r="C462" s="6" t="s">
        <v>33</v>
      </c>
      <c r="D462" s="7" t="str">
        <f>Odds_Input!D568</f>
        <v>YES</v>
      </c>
      <c r="E462" s="31" t="str">
        <f>Odds_Input!E568</f>
        <v>-</v>
      </c>
      <c r="F462" s="32">
        <f>Odds_Input!F568</f>
        <v>780</v>
      </c>
      <c r="G462" s="36">
        <f>M_DeVig!H568</f>
        <v>8.8000000000000007</v>
      </c>
      <c r="H462" s="7" t="str">
        <f>Odds_Input!G568</f>
        <v>-</v>
      </c>
      <c r="I462" s="42">
        <f>M_DeVig!Q568</f>
        <v>9.9071004111257355E-2</v>
      </c>
      <c r="J462" s="13" t="s">
        <v>33</v>
      </c>
      <c r="K462" s="43">
        <f t="shared" si="124"/>
        <v>909.37707149610969</v>
      </c>
      <c r="L462" s="13" t="s">
        <v>33</v>
      </c>
      <c r="M462" s="13" t="s">
        <v>33</v>
      </c>
      <c r="N462" s="13" t="s">
        <v>33</v>
      </c>
      <c r="O462" s="13" t="s">
        <v>33</v>
      </c>
      <c r="P462" s="13" t="s">
        <v>33</v>
      </c>
      <c r="Q462" s="13" t="s">
        <v>33</v>
      </c>
      <c r="R462" s="13" t="s">
        <v>33</v>
      </c>
      <c r="S462" s="13" t="s">
        <v>33</v>
      </c>
      <c r="T462" s="13" t="s">
        <v>33</v>
      </c>
      <c r="U462" s="13" t="s">
        <v>33</v>
      </c>
      <c r="V462" s="13" t="s">
        <v>33</v>
      </c>
      <c r="W462" s="6" t="b">
        <v>0</v>
      </c>
      <c r="X462" s="6" t="s">
        <v>1301</v>
      </c>
      <c r="Y462" s="6" t="s">
        <v>1326</v>
      </c>
      <c r="Z462" s="6">
        <v>560</v>
      </c>
      <c r="AA462" s="7" t="str">
        <f t="shared" si="125"/>
        <v>OK - sims match current assumptions</v>
      </c>
      <c r="AB462" s="13" t="s">
        <v>33</v>
      </c>
      <c r="AC462" s="13" t="s">
        <v>33</v>
      </c>
      <c r="AD462" s="13" t="s">
        <v>33</v>
      </c>
      <c r="AE462" s="13" t="s">
        <v>33</v>
      </c>
      <c r="AF462" s="13" t="s">
        <v>33</v>
      </c>
      <c r="AG462" s="13" t="s">
        <v>33</v>
      </c>
      <c r="AH462" s="6" t="b">
        <v>0</v>
      </c>
      <c r="AI462" s="13" t="s">
        <v>33</v>
      </c>
      <c r="AJ462" s="13" t="s">
        <v>33</v>
      </c>
      <c r="AK462" s="13" t="s">
        <v>33</v>
      </c>
      <c r="AL462" s="6">
        <v>0</v>
      </c>
      <c r="AM462" s="13" t="s">
        <v>33</v>
      </c>
    </row>
    <row r="463" spans="1:39" ht="15" customHeight="1" x14ac:dyDescent="0.3">
      <c r="A463" s="6" t="s">
        <v>467</v>
      </c>
      <c r="B463" s="7" t="str">
        <f>Odds_Input!C569</f>
        <v>Josh Giddey</v>
      </c>
      <c r="C463" s="6" t="s">
        <v>33</v>
      </c>
      <c r="D463" s="7" t="str">
        <f>Odds_Input!D569</f>
        <v>YES</v>
      </c>
      <c r="E463" s="31" t="str">
        <f>Odds_Input!E569</f>
        <v>-</v>
      </c>
      <c r="F463" s="32">
        <f>Odds_Input!F569</f>
        <v>900</v>
      </c>
      <c r="G463" s="36">
        <f>M_DeVig!H569</f>
        <v>10</v>
      </c>
      <c r="H463" s="7" t="str">
        <f>Odds_Input!G569</f>
        <v>-</v>
      </c>
      <c r="I463" s="42">
        <f>M_DeVig!Q569</f>
        <v>8.6395356075555083E-2</v>
      </c>
      <c r="J463" s="13" t="s">
        <v>33</v>
      </c>
      <c r="K463" s="43">
        <f t="shared" si="124"/>
        <v>1057.4696203873191</v>
      </c>
      <c r="L463" s="13" t="s">
        <v>33</v>
      </c>
      <c r="M463" s="13" t="s">
        <v>33</v>
      </c>
      <c r="N463" s="13" t="s">
        <v>33</v>
      </c>
      <c r="O463" s="13" t="s">
        <v>33</v>
      </c>
      <c r="P463" s="13" t="s">
        <v>33</v>
      </c>
      <c r="Q463" s="13" t="s">
        <v>33</v>
      </c>
      <c r="R463" s="13" t="s">
        <v>33</v>
      </c>
      <c r="S463" s="13" t="s">
        <v>33</v>
      </c>
      <c r="T463" s="13" t="s">
        <v>33</v>
      </c>
      <c r="U463" s="13" t="s">
        <v>33</v>
      </c>
      <c r="V463" s="13" t="s">
        <v>33</v>
      </c>
      <c r="W463" s="6" t="b">
        <v>0</v>
      </c>
      <c r="X463" s="6" t="s">
        <v>1301</v>
      </c>
      <c r="Y463" s="6" t="s">
        <v>1326</v>
      </c>
      <c r="Z463" s="6">
        <v>561</v>
      </c>
      <c r="AA463" s="7" t="str">
        <f t="shared" si="125"/>
        <v>OK - sims match current assumptions</v>
      </c>
      <c r="AB463" s="13" t="s">
        <v>33</v>
      </c>
      <c r="AC463" s="13" t="s">
        <v>33</v>
      </c>
      <c r="AD463" s="13" t="s">
        <v>33</v>
      </c>
      <c r="AE463" s="13" t="s">
        <v>33</v>
      </c>
      <c r="AF463" s="13" t="s">
        <v>33</v>
      </c>
      <c r="AG463" s="13" t="s">
        <v>33</v>
      </c>
      <c r="AH463" s="6" t="b">
        <v>0</v>
      </c>
      <c r="AI463" s="13" t="s">
        <v>33</v>
      </c>
      <c r="AJ463" s="13" t="s">
        <v>33</v>
      </c>
      <c r="AK463" s="13" t="s">
        <v>33</v>
      </c>
      <c r="AL463" s="6">
        <v>0</v>
      </c>
      <c r="AM463" s="13" t="s">
        <v>33</v>
      </c>
    </row>
    <row r="464" spans="1:39" ht="15" customHeight="1" x14ac:dyDescent="0.3">
      <c r="A464" s="6" t="s">
        <v>467</v>
      </c>
      <c r="B464" s="7" t="str">
        <f>Odds_Input!C570</f>
        <v>Luka Doncic</v>
      </c>
      <c r="C464" s="6" t="s">
        <v>33</v>
      </c>
      <c r="D464" s="7" t="str">
        <f>Odds_Input!D570</f>
        <v>YES</v>
      </c>
      <c r="E464" s="31" t="str">
        <f>Odds_Input!E570</f>
        <v>-</v>
      </c>
      <c r="F464" s="32">
        <f>Odds_Input!F570</f>
        <v>2100</v>
      </c>
      <c r="G464" s="36">
        <f>M_DeVig!H570</f>
        <v>22</v>
      </c>
      <c r="H464" s="7" t="str">
        <f>Odds_Input!G570</f>
        <v>-</v>
      </c>
      <c r="I464" s="42">
        <f>M_DeVig!Q570</f>
        <v>3.5882209225123134E-2</v>
      </c>
      <c r="J464" s="13" t="s">
        <v>33</v>
      </c>
      <c r="K464" s="43">
        <f t="shared" si="124"/>
        <v>2686.8964079832754</v>
      </c>
      <c r="L464" s="13" t="s">
        <v>33</v>
      </c>
      <c r="M464" s="13" t="s">
        <v>33</v>
      </c>
      <c r="N464" s="13" t="s">
        <v>33</v>
      </c>
      <c r="O464" s="13" t="s">
        <v>33</v>
      </c>
      <c r="P464" s="13" t="s">
        <v>33</v>
      </c>
      <c r="Q464" s="13" t="s">
        <v>33</v>
      </c>
      <c r="R464" s="13" t="s">
        <v>33</v>
      </c>
      <c r="S464" s="13" t="s">
        <v>33</v>
      </c>
      <c r="T464" s="13" t="s">
        <v>33</v>
      </c>
      <c r="U464" s="13" t="s">
        <v>33</v>
      </c>
      <c r="V464" s="13" t="s">
        <v>33</v>
      </c>
      <c r="W464" s="6" t="b">
        <v>0</v>
      </c>
      <c r="X464" s="6" t="s">
        <v>1301</v>
      </c>
      <c r="Y464" s="6" t="s">
        <v>1326</v>
      </c>
      <c r="Z464" s="6">
        <v>562</v>
      </c>
      <c r="AA464" s="7" t="str">
        <f t="shared" si="125"/>
        <v>OK - sims match current assumptions</v>
      </c>
      <c r="AB464" s="13" t="s">
        <v>33</v>
      </c>
      <c r="AC464" s="13" t="s">
        <v>33</v>
      </c>
      <c r="AD464" s="13" t="s">
        <v>33</v>
      </c>
      <c r="AE464" s="13" t="s">
        <v>33</v>
      </c>
      <c r="AF464" s="13" t="s">
        <v>33</v>
      </c>
      <c r="AG464" s="13" t="s">
        <v>33</v>
      </c>
      <c r="AH464" s="6" t="b">
        <v>0</v>
      </c>
      <c r="AI464" s="13" t="s">
        <v>33</v>
      </c>
      <c r="AJ464" s="13" t="s">
        <v>33</v>
      </c>
      <c r="AK464" s="13" t="s">
        <v>33</v>
      </c>
      <c r="AL464" s="6">
        <v>0</v>
      </c>
      <c r="AM464" s="13" t="s">
        <v>33</v>
      </c>
    </row>
    <row r="465" spans="1:39" ht="15" customHeight="1" x14ac:dyDescent="0.3">
      <c r="A465" s="6" t="s">
        <v>467</v>
      </c>
      <c r="B465" s="7" t="str">
        <f>Odds_Input!C571</f>
        <v>James Harden</v>
      </c>
      <c r="C465" s="6" t="s">
        <v>33</v>
      </c>
      <c r="D465" s="7" t="str">
        <f>Odds_Input!D571</f>
        <v>YES</v>
      </c>
      <c r="E465" s="31" t="str">
        <f>Odds_Input!E571</f>
        <v>-</v>
      </c>
      <c r="F465" s="32">
        <f>Odds_Input!F571</f>
        <v>6000</v>
      </c>
      <c r="G465" s="36">
        <f>M_DeVig!H571</f>
        <v>61</v>
      </c>
      <c r="H465" s="7" t="str">
        <f>Odds_Input!G571</f>
        <v>-</v>
      </c>
      <c r="I465" s="42">
        <f>M_DeVig!Q571</f>
        <v>9.7687799465577818E-3</v>
      </c>
      <c r="J465" s="13" t="s">
        <v>33</v>
      </c>
      <c r="K465" s="43">
        <f t="shared" si="124"/>
        <v>10136.692867182142</v>
      </c>
      <c r="L465" s="13" t="s">
        <v>33</v>
      </c>
      <c r="M465" s="13" t="s">
        <v>33</v>
      </c>
      <c r="N465" s="13" t="s">
        <v>33</v>
      </c>
      <c r="O465" s="13" t="s">
        <v>33</v>
      </c>
      <c r="P465" s="13" t="s">
        <v>33</v>
      </c>
      <c r="Q465" s="13" t="s">
        <v>33</v>
      </c>
      <c r="R465" s="13" t="s">
        <v>33</v>
      </c>
      <c r="S465" s="13" t="s">
        <v>33</v>
      </c>
      <c r="T465" s="13" t="s">
        <v>33</v>
      </c>
      <c r="U465" s="13" t="s">
        <v>33</v>
      </c>
      <c r="V465" s="13" t="s">
        <v>33</v>
      </c>
      <c r="W465" s="6" t="b">
        <v>0</v>
      </c>
      <c r="X465" s="6" t="s">
        <v>1301</v>
      </c>
      <c r="Y465" s="6" t="s">
        <v>1326</v>
      </c>
      <c r="Z465" s="6">
        <v>563</v>
      </c>
      <c r="AA465" s="7" t="str">
        <f t="shared" si="125"/>
        <v>OK - sims match current assumptions</v>
      </c>
      <c r="AB465" s="13" t="s">
        <v>33</v>
      </c>
      <c r="AC465" s="13" t="s">
        <v>33</v>
      </c>
      <c r="AD465" s="13" t="s">
        <v>33</v>
      </c>
      <c r="AE465" s="13" t="s">
        <v>33</v>
      </c>
      <c r="AF465" s="13" t="s">
        <v>33</v>
      </c>
      <c r="AG465" s="13" t="s">
        <v>33</v>
      </c>
      <c r="AH465" s="6" t="b">
        <v>0</v>
      </c>
      <c r="AI465" s="13" t="s">
        <v>33</v>
      </c>
      <c r="AJ465" s="13" t="s">
        <v>33</v>
      </c>
      <c r="AK465" s="13" t="s">
        <v>33</v>
      </c>
      <c r="AL465" s="6">
        <v>0</v>
      </c>
      <c r="AM465" s="13" t="s">
        <v>33</v>
      </c>
    </row>
    <row r="466" spans="1:39" ht="15" customHeight="1" x14ac:dyDescent="0.3">
      <c r="A466" s="6" t="s">
        <v>467</v>
      </c>
      <c r="B466" s="7" t="str">
        <f>Odds_Input!C572</f>
        <v>LeBron James</v>
      </c>
      <c r="C466" s="6" t="s">
        <v>33</v>
      </c>
      <c r="D466" s="7" t="str">
        <f>Odds_Input!D572</f>
        <v>YES</v>
      </c>
      <c r="E466" s="31" t="str">
        <f>Odds_Input!E572</f>
        <v>-</v>
      </c>
      <c r="F466" s="32">
        <f>Odds_Input!F572</f>
        <v>7000</v>
      </c>
      <c r="G466" s="36">
        <f>M_DeVig!H572</f>
        <v>71</v>
      </c>
      <c r="H466" s="7" t="str">
        <f>Odds_Input!G572</f>
        <v>-</v>
      </c>
      <c r="I466" s="42">
        <f>M_DeVig!Q572</f>
        <v>7.8430009945373441E-3</v>
      </c>
      <c r="J466" s="13" t="s">
        <v>33</v>
      </c>
      <c r="K466" s="43">
        <f t="shared" si="124"/>
        <v>12650.221512103602</v>
      </c>
      <c r="L466" s="13" t="s">
        <v>33</v>
      </c>
      <c r="M466" s="13" t="s">
        <v>33</v>
      </c>
      <c r="N466" s="13" t="s">
        <v>33</v>
      </c>
      <c r="O466" s="13" t="s">
        <v>33</v>
      </c>
      <c r="P466" s="13" t="s">
        <v>33</v>
      </c>
      <c r="Q466" s="13" t="s">
        <v>33</v>
      </c>
      <c r="R466" s="13" t="s">
        <v>33</v>
      </c>
      <c r="S466" s="13" t="s">
        <v>33</v>
      </c>
      <c r="T466" s="13" t="s">
        <v>33</v>
      </c>
      <c r="U466" s="13" t="s">
        <v>33</v>
      </c>
      <c r="V466" s="13" t="s">
        <v>33</v>
      </c>
      <c r="W466" s="6" t="b">
        <v>0</v>
      </c>
      <c r="X466" s="6" t="s">
        <v>1301</v>
      </c>
      <c r="Y466" s="6" t="s">
        <v>1326</v>
      </c>
      <c r="Z466" s="6">
        <v>564</v>
      </c>
      <c r="AA466" s="7" t="str">
        <f t="shared" si="125"/>
        <v>OK - sims match current assumptions</v>
      </c>
      <c r="AB466" s="13" t="s">
        <v>33</v>
      </c>
      <c r="AC466" s="13" t="s">
        <v>33</v>
      </c>
      <c r="AD466" s="13" t="s">
        <v>33</v>
      </c>
      <c r="AE466" s="13" t="s">
        <v>33</v>
      </c>
      <c r="AF466" s="13" t="s">
        <v>33</v>
      </c>
      <c r="AG466" s="13" t="s">
        <v>33</v>
      </c>
      <c r="AH466" s="6" t="b">
        <v>0</v>
      </c>
      <c r="AI466" s="13" t="s">
        <v>33</v>
      </c>
      <c r="AJ466" s="13" t="s">
        <v>33</v>
      </c>
      <c r="AK466" s="13" t="s">
        <v>33</v>
      </c>
      <c r="AL466" s="6">
        <v>0</v>
      </c>
      <c r="AM466" s="13" t="s">
        <v>33</v>
      </c>
    </row>
    <row r="467" spans="1:39" ht="15" customHeight="1" x14ac:dyDescent="0.3">
      <c r="A467" s="6" t="s">
        <v>467</v>
      </c>
      <c r="B467" s="7" t="str">
        <f>Odds_Input!C573</f>
        <v>LaMelo Ball</v>
      </c>
      <c r="C467" s="6" t="s">
        <v>33</v>
      </c>
      <c r="D467" s="7" t="str">
        <f>Odds_Input!D573</f>
        <v>YES</v>
      </c>
      <c r="E467" s="31" t="str">
        <f>Odds_Input!E573</f>
        <v>-</v>
      </c>
      <c r="F467" s="32">
        <f>Odds_Input!F573</f>
        <v>7000</v>
      </c>
      <c r="G467" s="36">
        <f>M_DeVig!H573</f>
        <v>71</v>
      </c>
      <c r="H467" s="7" t="str">
        <f>Odds_Input!G573</f>
        <v>-</v>
      </c>
      <c r="I467" s="42">
        <f>M_DeVig!Q573</f>
        <v>7.8430009945373441E-3</v>
      </c>
      <c r="J467" s="13" t="s">
        <v>33</v>
      </c>
      <c r="K467" s="43">
        <f t="shared" si="124"/>
        <v>12650.221512103602</v>
      </c>
      <c r="L467" s="13" t="s">
        <v>33</v>
      </c>
      <c r="M467" s="13" t="s">
        <v>33</v>
      </c>
      <c r="N467" s="13" t="s">
        <v>33</v>
      </c>
      <c r="O467" s="13" t="s">
        <v>33</v>
      </c>
      <c r="P467" s="13" t="s">
        <v>33</v>
      </c>
      <c r="Q467" s="13" t="s">
        <v>33</v>
      </c>
      <c r="R467" s="13" t="s">
        <v>33</v>
      </c>
      <c r="S467" s="13" t="s">
        <v>33</v>
      </c>
      <c r="T467" s="13" t="s">
        <v>33</v>
      </c>
      <c r="U467" s="13" t="s">
        <v>33</v>
      </c>
      <c r="V467" s="13" t="s">
        <v>33</v>
      </c>
      <c r="W467" s="6" t="b">
        <v>0</v>
      </c>
      <c r="X467" s="6" t="s">
        <v>1301</v>
      </c>
      <c r="Y467" s="6" t="s">
        <v>1326</v>
      </c>
      <c r="Z467" s="6">
        <v>565</v>
      </c>
      <c r="AA467" s="7" t="str">
        <f t="shared" si="125"/>
        <v>OK - sims match current assumptions</v>
      </c>
      <c r="AB467" s="13" t="s">
        <v>33</v>
      </c>
      <c r="AC467" s="13" t="s">
        <v>33</v>
      </c>
      <c r="AD467" s="13" t="s">
        <v>33</v>
      </c>
      <c r="AE467" s="13" t="s">
        <v>33</v>
      </c>
      <c r="AF467" s="13" t="s">
        <v>33</v>
      </c>
      <c r="AG467" s="13" t="s">
        <v>33</v>
      </c>
      <c r="AH467" s="6" t="b">
        <v>0</v>
      </c>
      <c r="AI467" s="13" t="s">
        <v>33</v>
      </c>
      <c r="AJ467" s="13" t="s">
        <v>33</v>
      </c>
      <c r="AK467" s="13" t="s">
        <v>33</v>
      </c>
      <c r="AL467" s="6">
        <v>0</v>
      </c>
      <c r="AM467" s="13" t="s">
        <v>33</v>
      </c>
    </row>
    <row r="468" spans="1:39" ht="15" customHeight="1" x14ac:dyDescent="0.3">
      <c r="A468" s="6" t="s">
        <v>467</v>
      </c>
      <c r="B468" s="7" t="str">
        <f>Odds_Input!C574</f>
        <v>Jalen Johnson</v>
      </c>
      <c r="C468" s="6" t="s">
        <v>33</v>
      </c>
      <c r="D468" s="7" t="str">
        <f>Odds_Input!D574</f>
        <v>YES</v>
      </c>
      <c r="E468" s="31" t="str">
        <f>Odds_Input!E574</f>
        <v>-</v>
      </c>
      <c r="F468" s="32">
        <f>Odds_Input!F574</f>
        <v>15000</v>
      </c>
      <c r="G468" s="36">
        <f>M_DeVig!H574</f>
        <v>151</v>
      </c>
      <c r="H468" s="7" t="str">
        <f>Odds_Input!G574</f>
        <v>-</v>
      </c>
      <c r="I468" s="42">
        <f>M_DeVig!Q574</f>
        <v>2.3168799625226813E-3</v>
      </c>
      <c r="J468" s="13" t="s">
        <v>33</v>
      </c>
      <c r="K468" s="43">
        <f t="shared" si="124"/>
        <v>43061.493740537728</v>
      </c>
      <c r="L468" s="13" t="s">
        <v>33</v>
      </c>
      <c r="M468" s="13" t="s">
        <v>33</v>
      </c>
      <c r="N468" s="13" t="s">
        <v>33</v>
      </c>
      <c r="O468" s="13" t="s">
        <v>33</v>
      </c>
      <c r="P468" s="13" t="s">
        <v>33</v>
      </c>
      <c r="Q468" s="13" t="s">
        <v>33</v>
      </c>
      <c r="R468" s="13" t="s">
        <v>33</v>
      </c>
      <c r="S468" s="13" t="s">
        <v>33</v>
      </c>
      <c r="T468" s="13" t="s">
        <v>33</v>
      </c>
      <c r="U468" s="13" t="s">
        <v>33</v>
      </c>
      <c r="V468" s="13" t="s">
        <v>33</v>
      </c>
      <c r="W468" s="6" t="b">
        <v>0</v>
      </c>
      <c r="X468" s="6" t="s">
        <v>1301</v>
      </c>
      <c r="Y468" s="6" t="s">
        <v>1326</v>
      </c>
      <c r="Z468" s="6">
        <v>566</v>
      </c>
      <c r="AA468" s="7" t="str">
        <f t="shared" si="125"/>
        <v>OK - sims match current assumptions</v>
      </c>
      <c r="AB468" s="13" t="s">
        <v>33</v>
      </c>
      <c r="AC468" s="13" t="s">
        <v>33</v>
      </c>
      <c r="AD468" s="13" t="s">
        <v>33</v>
      </c>
      <c r="AE468" s="13" t="s">
        <v>33</v>
      </c>
      <c r="AF468" s="13" t="s">
        <v>33</v>
      </c>
      <c r="AG468" s="13" t="s">
        <v>33</v>
      </c>
      <c r="AH468" s="6" t="b">
        <v>0</v>
      </c>
      <c r="AI468" s="13" t="s">
        <v>33</v>
      </c>
      <c r="AJ468" s="13" t="s">
        <v>33</v>
      </c>
      <c r="AK468" s="13" t="s">
        <v>33</v>
      </c>
      <c r="AL468" s="6">
        <v>0</v>
      </c>
      <c r="AM468" s="13" t="s">
        <v>33</v>
      </c>
    </row>
    <row r="469" spans="1:39" ht="15" customHeight="1" x14ac:dyDescent="0.3">
      <c r="A469" s="6" t="s">
        <v>467</v>
      </c>
      <c r="B469" s="7" t="str">
        <f>Odds_Input!C575</f>
        <v>Jamal Murray</v>
      </c>
      <c r="C469" s="6" t="s">
        <v>33</v>
      </c>
      <c r="D469" s="7" t="str">
        <f>Odds_Input!D575</f>
        <v>YES</v>
      </c>
      <c r="E469" s="31" t="str">
        <f>Odds_Input!E575</f>
        <v>-</v>
      </c>
      <c r="F469" s="32">
        <f>Odds_Input!F575</f>
        <v>15000</v>
      </c>
      <c r="G469" s="36">
        <f>M_DeVig!H575</f>
        <v>151</v>
      </c>
      <c r="H469" s="7" t="str">
        <f>Odds_Input!G575</f>
        <v>-</v>
      </c>
      <c r="I469" s="42">
        <f>M_DeVig!Q575</f>
        <v>2.3168799625226813E-3</v>
      </c>
      <c r="J469" s="13" t="s">
        <v>33</v>
      </c>
      <c r="K469" s="43">
        <f t="shared" si="124"/>
        <v>43061.493740537728</v>
      </c>
      <c r="L469" s="13" t="s">
        <v>33</v>
      </c>
      <c r="M469" s="13" t="s">
        <v>33</v>
      </c>
      <c r="N469" s="13" t="s">
        <v>33</v>
      </c>
      <c r="O469" s="13" t="s">
        <v>33</v>
      </c>
      <c r="P469" s="13" t="s">
        <v>33</v>
      </c>
      <c r="Q469" s="13" t="s">
        <v>33</v>
      </c>
      <c r="R469" s="13" t="s">
        <v>33</v>
      </c>
      <c r="S469" s="13" t="s">
        <v>33</v>
      </c>
      <c r="T469" s="13" t="s">
        <v>33</v>
      </c>
      <c r="U469" s="13" t="s">
        <v>33</v>
      </c>
      <c r="V469" s="13" t="s">
        <v>33</v>
      </c>
      <c r="W469" s="6" t="b">
        <v>0</v>
      </c>
      <c r="X469" s="6" t="s">
        <v>1301</v>
      </c>
      <c r="Y469" s="6" t="s">
        <v>1326</v>
      </c>
      <c r="Z469" s="6">
        <v>567</v>
      </c>
      <c r="AA469" s="7" t="str">
        <f t="shared" si="125"/>
        <v>OK - sims match current assumptions</v>
      </c>
      <c r="AB469" s="13" t="s">
        <v>33</v>
      </c>
      <c r="AC469" s="13" t="s">
        <v>33</v>
      </c>
      <c r="AD469" s="13" t="s">
        <v>33</v>
      </c>
      <c r="AE469" s="13" t="s">
        <v>33</v>
      </c>
      <c r="AF469" s="13" t="s">
        <v>33</v>
      </c>
      <c r="AG469" s="13" t="s">
        <v>33</v>
      </c>
      <c r="AH469" s="6" t="b">
        <v>0</v>
      </c>
      <c r="AI469" s="13" t="s">
        <v>33</v>
      </c>
      <c r="AJ469" s="13" t="s">
        <v>33</v>
      </c>
      <c r="AK469" s="13" t="s">
        <v>33</v>
      </c>
      <c r="AL469" s="6">
        <v>0</v>
      </c>
      <c r="AM469" s="13" t="s">
        <v>33</v>
      </c>
    </row>
    <row r="470" spans="1:39" ht="15" customHeight="1" x14ac:dyDescent="0.3">
      <c r="A470" s="6" t="s">
        <v>467</v>
      </c>
      <c r="B470" s="7" t="str">
        <f>Odds_Input!C576</f>
        <v>Darius Garland</v>
      </c>
      <c r="C470" s="6" t="s">
        <v>33</v>
      </c>
      <c r="D470" s="7" t="str">
        <f>Odds_Input!D576</f>
        <v>YES</v>
      </c>
      <c r="E470" s="31" t="str">
        <f>Odds_Input!E576</f>
        <v>-</v>
      </c>
      <c r="F470" s="32">
        <f>Odds_Input!F576</f>
        <v>17000</v>
      </c>
      <c r="G470" s="36">
        <f>M_DeVig!H576</f>
        <v>171</v>
      </c>
      <c r="H470" s="7" t="str">
        <f>Odds_Input!G576</f>
        <v>-</v>
      </c>
      <c r="I470" s="42">
        <f>M_DeVig!Q576</f>
        <v>1.8584403546776001E-3</v>
      </c>
      <c r="J470" s="13" t="s">
        <v>33</v>
      </c>
      <c r="K470" s="43">
        <f t="shared" si="124"/>
        <v>53708.560359930343</v>
      </c>
      <c r="L470" s="13" t="s">
        <v>33</v>
      </c>
      <c r="M470" s="13" t="s">
        <v>33</v>
      </c>
      <c r="N470" s="13" t="s">
        <v>33</v>
      </c>
      <c r="O470" s="13" t="s">
        <v>33</v>
      </c>
      <c r="P470" s="13" t="s">
        <v>33</v>
      </c>
      <c r="Q470" s="13" t="s">
        <v>33</v>
      </c>
      <c r="R470" s="13" t="s">
        <v>33</v>
      </c>
      <c r="S470" s="13" t="s">
        <v>33</v>
      </c>
      <c r="T470" s="13" t="s">
        <v>33</v>
      </c>
      <c r="U470" s="13" t="s">
        <v>33</v>
      </c>
      <c r="V470" s="13" t="s">
        <v>33</v>
      </c>
      <c r="W470" s="6" t="b">
        <v>0</v>
      </c>
      <c r="X470" s="6" t="s">
        <v>1301</v>
      </c>
      <c r="Y470" s="6" t="s">
        <v>1326</v>
      </c>
      <c r="Z470" s="6">
        <v>568</v>
      </c>
      <c r="AA470" s="7" t="str">
        <f t="shared" si="125"/>
        <v>OK - sims match current assumptions</v>
      </c>
      <c r="AB470" s="13" t="s">
        <v>33</v>
      </c>
      <c r="AC470" s="13" t="s">
        <v>33</v>
      </c>
      <c r="AD470" s="13" t="s">
        <v>33</v>
      </c>
      <c r="AE470" s="13" t="s">
        <v>33</v>
      </c>
      <c r="AF470" s="13" t="s">
        <v>33</v>
      </c>
      <c r="AG470" s="13" t="s">
        <v>33</v>
      </c>
      <c r="AH470" s="6" t="b">
        <v>0</v>
      </c>
      <c r="AI470" s="13" t="s">
        <v>33</v>
      </c>
      <c r="AJ470" s="13" t="s">
        <v>33</v>
      </c>
      <c r="AK470" s="13" t="s">
        <v>33</v>
      </c>
      <c r="AL470" s="6">
        <v>0</v>
      </c>
      <c r="AM470" s="13" t="s">
        <v>33</v>
      </c>
    </row>
    <row r="471" spans="1:39" ht="15" customHeight="1" x14ac:dyDescent="0.3">
      <c r="A471" s="6" t="s">
        <v>467</v>
      </c>
      <c r="B471" s="7" t="str">
        <f>Odds_Input!C577</f>
        <v>Stephon Castle</v>
      </c>
      <c r="C471" s="6" t="s">
        <v>33</v>
      </c>
      <c r="D471" s="7" t="str">
        <f>Odds_Input!D577</f>
        <v>YES</v>
      </c>
      <c r="E471" s="31" t="str">
        <f>Odds_Input!E577</f>
        <v>-</v>
      </c>
      <c r="F471" s="32">
        <f>Odds_Input!F577</f>
        <v>17000</v>
      </c>
      <c r="G471" s="36">
        <f>M_DeVig!H577</f>
        <v>171</v>
      </c>
      <c r="H471" s="7" t="str">
        <f>Odds_Input!G577</f>
        <v>-</v>
      </c>
      <c r="I471" s="42">
        <f>M_DeVig!Q577</f>
        <v>1.8584403546776001E-3</v>
      </c>
      <c r="J471" s="13" t="s">
        <v>33</v>
      </c>
      <c r="K471" s="43">
        <f t="shared" si="124"/>
        <v>53708.560359930343</v>
      </c>
      <c r="L471" s="13" t="s">
        <v>33</v>
      </c>
      <c r="M471" s="13" t="s">
        <v>33</v>
      </c>
      <c r="N471" s="13" t="s">
        <v>33</v>
      </c>
      <c r="O471" s="13" t="s">
        <v>33</v>
      </c>
      <c r="P471" s="13" t="s">
        <v>33</v>
      </c>
      <c r="Q471" s="13" t="s">
        <v>33</v>
      </c>
      <c r="R471" s="13" t="s">
        <v>33</v>
      </c>
      <c r="S471" s="13" t="s">
        <v>33</v>
      </c>
      <c r="T471" s="13" t="s">
        <v>33</v>
      </c>
      <c r="U471" s="13" t="s">
        <v>33</v>
      </c>
      <c r="V471" s="13" t="s">
        <v>33</v>
      </c>
      <c r="W471" s="6" t="b">
        <v>0</v>
      </c>
      <c r="X471" s="6" t="s">
        <v>1301</v>
      </c>
      <c r="Y471" s="6" t="s">
        <v>1326</v>
      </c>
      <c r="Z471" s="6">
        <v>569</v>
      </c>
      <c r="AA471" s="7" t="str">
        <f t="shared" si="125"/>
        <v>OK - sims match current assumptions</v>
      </c>
      <c r="AB471" s="13" t="s">
        <v>33</v>
      </c>
      <c r="AC471" s="13" t="s">
        <v>33</v>
      </c>
      <c r="AD471" s="13" t="s">
        <v>33</v>
      </c>
      <c r="AE471" s="13" t="s">
        <v>33</v>
      </c>
      <c r="AF471" s="13" t="s">
        <v>33</v>
      </c>
      <c r="AG471" s="13" t="s">
        <v>33</v>
      </c>
      <c r="AH471" s="6" t="b">
        <v>0</v>
      </c>
      <c r="AI471" s="13" t="s">
        <v>33</v>
      </c>
      <c r="AJ471" s="13" t="s">
        <v>33</v>
      </c>
      <c r="AK471" s="13" t="s">
        <v>33</v>
      </c>
      <c r="AL471" s="6">
        <v>0</v>
      </c>
      <c r="AM471" s="13" t="s">
        <v>33</v>
      </c>
    </row>
    <row r="472" spans="1:39" ht="15" customHeight="1" x14ac:dyDescent="0.3">
      <c r="A472" s="6" t="s">
        <v>467</v>
      </c>
      <c r="B472" s="7" t="str">
        <f>Odds_Input!C578</f>
        <v>Shai Gilgeous Alexander</v>
      </c>
      <c r="C472" s="6" t="s">
        <v>33</v>
      </c>
      <c r="D472" s="7" t="str">
        <f>Odds_Input!D578</f>
        <v>YES</v>
      </c>
      <c r="E472" s="31" t="str">
        <f>Odds_Input!E578</f>
        <v>-</v>
      </c>
      <c r="F472" s="32">
        <f>Odds_Input!F578</f>
        <v>15000</v>
      </c>
      <c r="G472" s="36">
        <f>M_DeVig!H578</f>
        <v>151</v>
      </c>
      <c r="H472" s="7" t="str">
        <f>Odds_Input!G578</f>
        <v>-</v>
      </c>
      <c r="I472" s="42">
        <f>M_DeVig!Q578</f>
        <v>2.3168799625226813E-3</v>
      </c>
      <c r="J472" s="13" t="s">
        <v>33</v>
      </c>
      <c r="K472" s="43">
        <f t="shared" si="124"/>
        <v>43061.493740537728</v>
      </c>
      <c r="L472" s="13" t="s">
        <v>33</v>
      </c>
      <c r="M472" s="13" t="s">
        <v>33</v>
      </c>
      <c r="N472" s="13" t="s">
        <v>33</v>
      </c>
      <c r="O472" s="13" t="s">
        <v>33</v>
      </c>
      <c r="P472" s="13" t="s">
        <v>33</v>
      </c>
      <c r="Q472" s="13" t="s">
        <v>33</v>
      </c>
      <c r="R472" s="13" t="s">
        <v>33</v>
      </c>
      <c r="S472" s="13" t="s">
        <v>33</v>
      </c>
      <c r="T472" s="13" t="s">
        <v>33</v>
      </c>
      <c r="U472" s="13" t="s">
        <v>33</v>
      </c>
      <c r="V472" s="13" t="s">
        <v>33</v>
      </c>
      <c r="W472" s="6" t="b">
        <v>0</v>
      </c>
      <c r="X472" s="6" t="s">
        <v>1301</v>
      </c>
      <c r="Y472" s="6" t="s">
        <v>1326</v>
      </c>
      <c r="Z472" s="6">
        <v>570</v>
      </c>
      <c r="AA472" s="7" t="str">
        <f t="shared" si="125"/>
        <v>OK - sims match current assumptions</v>
      </c>
      <c r="AB472" s="13" t="s">
        <v>33</v>
      </c>
      <c r="AC472" s="13" t="s">
        <v>33</v>
      </c>
      <c r="AD472" s="13" t="s">
        <v>33</v>
      </c>
      <c r="AE472" s="13" t="s">
        <v>33</v>
      </c>
      <c r="AF472" s="13" t="s">
        <v>33</v>
      </c>
      <c r="AG472" s="13" t="s">
        <v>33</v>
      </c>
      <c r="AH472" s="6" t="b">
        <v>0</v>
      </c>
      <c r="AI472" s="13" t="s">
        <v>33</v>
      </c>
      <c r="AJ472" s="13" t="s">
        <v>33</v>
      </c>
      <c r="AK472" s="13" t="s">
        <v>33</v>
      </c>
      <c r="AL472" s="6">
        <v>0</v>
      </c>
      <c r="AM472" s="13" t="s">
        <v>33</v>
      </c>
    </row>
    <row r="473" spans="1:39" ht="15" customHeight="1" x14ac:dyDescent="0.3">
      <c r="A473" s="6" t="s">
        <v>467</v>
      </c>
      <c r="B473" s="7" t="str">
        <f>Odds_Input!C579</f>
        <v>Ja Morant</v>
      </c>
      <c r="C473" s="6" t="s">
        <v>33</v>
      </c>
      <c r="D473" s="7" t="str">
        <f>Odds_Input!D579</f>
        <v>YES</v>
      </c>
      <c r="E473" s="31" t="str">
        <f>Odds_Input!E579</f>
        <v>-</v>
      </c>
      <c r="F473" s="32">
        <f>Odds_Input!F579</f>
        <v>20000</v>
      </c>
      <c r="G473" s="36">
        <f>M_DeVig!H579</f>
        <v>201</v>
      </c>
      <c r="H473" s="7" t="str">
        <f>Odds_Input!G579</f>
        <v>-</v>
      </c>
      <c r="I473" s="42">
        <f>M_DeVig!Q579</f>
        <v>1.386053862553153E-3</v>
      </c>
      <c r="J473" s="13" t="s">
        <v>33</v>
      </c>
      <c r="K473" s="43">
        <f t="shared" si="124"/>
        <v>72047.268372238424</v>
      </c>
      <c r="L473" s="13" t="s">
        <v>33</v>
      </c>
      <c r="M473" s="13" t="s">
        <v>33</v>
      </c>
      <c r="N473" s="13" t="s">
        <v>33</v>
      </c>
      <c r="O473" s="13" t="s">
        <v>33</v>
      </c>
      <c r="P473" s="13" t="s">
        <v>33</v>
      </c>
      <c r="Q473" s="13" t="s">
        <v>33</v>
      </c>
      <c r="R473" s="13" t="s">
        <v>33</v>
      </c>
      <c r="S473" s="13" t="s">
        <v>33</v>
      </c>
      <c r="T473" s="13" t="s">
        <v>33</v>
      </c>
      <c r="U473" s="13" t="s">
        <v>33</v>
      </c>
      <c r="V473" s="13" t="s">
        <v>33</v>
      </c>
      <c r="W473" s="6" t="b">
        <v>0</v>
      </c>
      <c r="X473" s="6" t="s">
        <v>1301</v>
      </c>
      <c r="Y473" s="6" t="s">
        <v>1326</v>
      </c>
      <c r="Z473" s="6">
        <v>571</v>
      </c>
      <c r="AA473" s="7" t="str">
        <f t="shared" si="125"/>
        <v>OK - sims match current assumptions</v>
      </c>
      <c r="AB473" s="13" t="s">
        <v>33</v>
      </c>
      <c r="AC473" s="13" t="s">
        <v>33</v>
      </c>
      <c r="AD473" s="13" t="s">
        <v>33</v>
      </c>
      <c r="AE473" s="13" t="s">
        <v>33</v>
      </c>
      <c r="AF473" s="13" t="s">
        <v>33</v>
      </c>
      <c r="AG473" s="13" t="s">
        <v>33</v>
      </c>
      <c r="AH473" s="6" t="b">
        <v>0</v>
      </c>
      <c r="AI473" s="13" t="s">
        <v>33</v>
      </c>
      <c r="AJ473" s="13" t="s">
        <v>33</v>
      </c>
      <c r="AK473" s="13" t="s">
        <v>33</v>
      </c>
      <c r="AL473" s="6">
        <v>0</v>
      </c>
      <c r="AM473" s="13" t="s">
        <v>33</v>
      </c>
    </row>
    <row r="474" spans="1:39" ht="15" customHeight="1" x14ac:dyDescent="0.3">
      <c r="A474" s="6" t="s">
        <v>467</v>
      </c>
      <c r="B474" s="7" t="str">
        <f>Odds_Input!C580</f>
        <v>DeAaron Fox</v>
      </c>
      <c r="C474" s="6" t="s">
        <v>33</v>
      </c>
      <c r="D474" s="7" t="str">
        <f>Odds_Input!D580</f>
        <v>YES</v>
      </c>
      <c r="E474" s="31" t="str">
        <f>Odds_Input!E580</f>
        <v>-</v>
      </c>
      <c r="F474" s="32">
        <f>Odds_Input!F580</f>
        <v>21000</v>
      </c>
      <c r="G474" s="36">
        <f>M_DeVig!H580</f>
        <v>211</v>
      </c>
      <c r="H474" s="7" t="str">
        <f>Odds_Input!G580</f>
        <v>-</v>
      </c>
      <c r="I474" s="42">
        <f>M_DeVig!Q580</f>
        <v>1.2674787436558295E-3</v>
      </c>
      <c r="J474" s="13" t="s">
        <v>33</v>
      </c>
      <c r="K474" s="43">
        <f t="shared" si="124"/>
        <v>78796.786632939344</v>
      </c>
      <c r="L474" s="13" t="s">
        <v>33</v>
      </c>
      <c r="M474" s="13" t="s">
        <v>33</v>
      </c>
      <c r="N474" s="13" t="s">
        <v>33</v>
      </c>
      <c r="O474" s="13" t="s">
        <v>33</v>
      </c>
      <c r="P474" s="13" t="s">
        <v>33</v>
      </c>
      <c r="Q474" s="13" t="s">
        <v>33</v>
      </c>
      <c r="R474" s="13" t="s">
        <v>33</v>
      </c>
      <c r="S474" s="13" t="s">
        <v>33</v>
      </c>
      <c r="T474" s="13" t="s">
        <v>33</v>
      </c>
      <c r="U474" s="13" t="s">
        <v>33</v>
      </c>
      <c r="V474" s="13" t="s">
        <v>33</v>
      </c>
      <c r="W474" s="6" t="b">
        <v>0</v>
      </c>
      <c r="X474" s="6" t="s">
        <v>1301</v>
      </c>
      <c r="Y474" s="6" t="s">
        <v>1326</v>
      </c>
      <c r="Z474" s="6">
        <v>572</v>
      </c>
      <c r="AA474" s="7" t="str">
        <f t="shared" si="125"/>
        <v>OK - sims match current assumptions</v>
      </c>
      <c r="AB474" s="13" t="s">
        <v>33</v>
      </c>
      <c r="AC474" s="13" t="s">
        <v>33</v>
      </c>
      <c r="AD474" s="13" t="s">
        <v>33</v>
      </c>
      <c r="AE474" s="13" t="s">
        <v>33</v>
      </c>
      <c r="AF474" s="13" t="s">
        <v>33</v>
      </c>
      <c r="AG474" s="13" t="s">
        <v>33</v>
      </c>
      <c r="AH474" s="6" t="b">
        <v>0</v>
      </c>
      <c r="AI474" s="13" t="s">
        <v>33</v>
      </c>
      <c r="AJ474" s="13" t="s">
        <v>33</v>
      </c>
      <c r="AK474" s="13" t="s">
        <v>33</v>
      </c>
      <c r="AL474" s="6">
        <v>0</v>
      </c>
      <c r="AM474" s="13" t="s">
        <v>33</v>
      </c>
    </row>
    <row r="475" spans="1:39" ht="15" customHeight="1" x14ac:dyDescent="0.3">
      <c r="A475" s="6" t="s">
        <v>467</v>
      </c>
      <c r="B475" s="7" t="str">
        <f>Odds_Input!C581</f>
        <v>Tyrese Maxey</v>
      </c>
      <c r="C475" s="6" t="s">
        <v>33</v>
      </c>
      <c r="D475" s="7" t="str">
        <f>Odds_Input!D581</f>
        <v>YES</v>
      </c>
      <c r="E475" s="31" t="str">
        <f>Odds_Input!E581</f>
        <v>-</v>
      </c>
      <c r="F475" s="32">
        <f>Odds_Input!F581</f>
        <v>20000</v>
      </c>
      <c r="G475" s="36">
        <f>M_DeVig!H581</f>
        <v>201</v>
      </c>
      <c r="H475" s="7" t="str">
        <f>Odds_Input!G581</f>
        <v>-</v>
      </c>
      <c r="I475" s="42">
        <f>M_DeVig!Q581</f>
        <v>1.386053862553153E-3</v>
      </c>
      <c r="J475" s="13" t="s">
        <v>33</v>
      </c>
      <c r="K475" s="43">
        <f t="shared" si="124"/>
        <v>72047.268372238424</v>
      </c>
      <c r="L475" s="13" t="s">
        <v>33</v>
      </c>
      <c r="M475" s="13" t="s">
        <v>33</v>
      </c>
      <c r="N475" s="13" t="s">
        <v>33</v>
      </c>
      <c r="O475" s="13" t="s">
        <v>33</v>
      </c>
      <c r="P475" s="13" t="s">
        <v>33</v>
      </c>
      <c r="Q475" s="13" t="s">
        <v>33</v>
      </c>
      <c r="R475" s="13" t="s">
        <v>33</v>
      </c>
      <c r="S475" s="13" t="s">
        <v>33</v>
      </c>
      <c r="T475" s="13" t="s">
        <v>33</v>
      </c>
      <c r="U475" s="13" t="s">
        <v>33</v>
      </c>
      <c r="V475" s="13" t="s">
        <v>33</v>
      </c>
      <c r="W475" s="6" t="b">
        <v>0</v>
      </c>
      <c r="X475" s="6" t="s">
        <v>1301</v>
      </c>
      <c r="Y475" s="6" t="s">
        <v>1326</v>
      </c>
      <c r="Z475" s="6">
        <v>573</v>
      </c>
      <c r="AA475" s="7" t="str">
        <f t="shared" si="125"/>
        <v>OK - sims match current assumptions</v>
      </c>
      <c r="AB475" s="13" t="s">
        <v>33</v>
      </c>
      <c r="AC475" s="13" t="s">
        <v>33</v>
      </c>
      <c r="AD475" s="13" t="s">
        <v>33</v>
      </c>
      <c r="AE475" s="13" t="s">
        <v>33</v>
      </c>
      <c r="AF475" s="13" t="s">
        <v>33</v>
      </c>
      <c r="AG475" s="13" t="s">
        <v>33</v>
      </c>
      <c r="AH475" s="6" t="b">
        <v>0</v>
      </c>
      <c r="AI475" s="13" t="s">
        <v>33</v>
      </c>
      <c r="AJ475" s="13" t="s">
        <v>33</v>
      </c>
      <c r="AK475" s="13" t="s">
        <v>33</v>
      </c>
      <c r="AL475" s="6">
        <v>0</v>
      </c>
      <c r="AM475" s="13" t="s">
        <v>33</v>
      </c>
    </row>
    <row r="476" spans="1:39" ht="15" customHeight="1" x14ac:dyDescent="0.3">
      <c r="A476" s="6" t="s">
        <v>467</v>
      </c>
      <c r="B476" s="7" t="str">
        <f>Odds_Input!C582</f>
        <v>Dejounte Murray</v>
      </c>
      <c r="C476" s="6" t="s">
        <v>33</v>
      </c>
      <c r="D476" s="7" t="str">
        <f>Odds_Input!D582</f>
        <v>YES</v>
      </c>
      <c r="E476" s="31" t="str">
        <f>Odds_Input!E582</f>
        <v>-</v>
      </c>
      <c r="F476" s="32">
        <f>Odds_Input!F582</f>
        <v>25000</v>
      </c>
      <c r="G476" s="36">
        <f>M_DeVig!H582</f>
        <v>251</v>
      </c>
      <c r="H476" s="7" t="str">
        <f>Odds_Input!G582</f>
        <v>-</v>
      </c>
      <c r="I476" s="42">
        <f>M_DeVig!Q582</f>
        <v>9.1658955180338693E-4</v>
      </c>
      <c r="J476" s="13" t="s">
        <v>33</v>
      </c>
      <c r="K476" s="43">
        <f t="shared" si="124"/>
        <v>109000.08716906093</v>
      </c>
      <c r="L476" s="13" t="s">
        <v>33</v>
      </c>
      <c r="M476" s="13" t="s">
        <v>33</v>
      </c>
      <c r="N476" s="13" t="s">
        <v>33</v>
      </c>
      <c r="O476" s="13" t="s">
        <v>33</v>
      </c>
      <c r="P476" s="13" t="s">
        <v>33</v>
      </c>
      <c r="Q476" s="13" t="s">
        <v>33</v>
      </c>
      <c r="R476" s="13" t="s">
        <v>33</v>
      </c>
      <c r="S476" s="13" t="s">
        <v>33</v>
      </c>
      <c r="T476" s="13" t="s">
        <v>33</v>
      </c>
      <c r="U476" s="13" t="s">
        <v>33</v>
      </c>
      <c r="V476" s="13" t="s">
        <v>33</v>
      </c>
      <c r="W476" s="6" t="b">
        <v>0</v>
      </c>
      <c r="X476" s="6" t="s">
        <v>1301</v>
      </c>
      <c r="Y476" s="6" t="s">
        <v>1326</v>
      </c>
      <c r="Z476" s="6">
        <v>574</v>
      </c>
      <c r="AA476" s="7" t="str">
        <f t="shared" si="125"/>
        <v>OK - sims match current assumptions</v>
      </c>
      <c r="AB476" s="13" t="s">
        <v>33</v>
      </c>
      <c r="AC476" s="13" t="s">
        <v>33</v>
      </c>
      <c r="AD476" s="13" t="s">
        <v>33</v>
      </c>
      <c r="AE476" s="13" t="s">
        <v>33</v>
      </c>
      <c r="AF476" s="13" t="s">
        <v>33</v>
      </c>
      <c r="AG476" s="13" t="s">
        <v>33</v>
      </c>
      <c r="AH476" s="6" t="b">
        <v>0</v>
      </c>
      <c r="AI476" s="13" t="s">
        <v>33</v>
      </c>
      <c r="AJ476" s="13" t="s">
        <v>33</v>
      </c>
      <c r="AK476" s="13" t="s">
        <v>33</v>
      </c>
      <c r="AL476" s="6">
        <v>0</v>
      </c>
      <c r="AM476" s="13" t="s">
        <v>33</v>
      </c>
    </row>
    <row r="477" spans="1:39" ht="15" customHeight="1" x14ac:dyDescent="0.3"/>
    <row r="478" spans="1:39" ht="15" customHeight="1" x14ac:dyDescent="0.3">
      <c r="A478" s="48" t="s">
        <v>472</v>
      </c>
      <c r="B478" s="49" t="s">
        <v>1332</v>
      </c>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row>
    <row r="479" spans="1:39" ht="15" customHeight="1" x14ac:dyDescent="0.3">
      <c r="A479" s="6" t="s">
        <v>472</v>
      </c>
      <c r="B479" s="7" t="str">
        <f>Odds_Input!C583</f>
        <v>Ausar Thompson</v>
      </c>
      <c r="C479" s="6" t="s">
        <v>33</v>
      </c>
      <c r="D479" s="7" t="str">
        <f>Odds_Input!D583</f>
        <v>YES</v>
      </c>
      <c r="E479" s="31" t="str">
        <f>Odds_Input!E583</f>
        <v>-</v>
      </c>
      <c r="F479" s="32">
        <f>Odds_Input!F583</f>
        <v>300</v>
      </c>
      <c r="G479" s="36">
        <f>M_DeVig!H583</f>
        <v>4</v>
      </c>
      <c r="H479" s="7" t="str">
        <f>Odds_Input!G583</f>
        <v>-</v>
      </c>
      <c r="I479" s="42">
        <f>M_DeVig!Q583</f>
        <v>0.21562701658884445</v>
      </c>
      <c r="J479" s="13" t="s">
        <v>33</v>
      </c>
      <c r="K479" s="43">
        <f t="shared" ref="K479:K526" si="126">IF(I479&gt;=0.5,-100*I479/(1-I479),100*(1-I479)/I479)</f>
        <v>363.76377868585485</v>
      </c>
      <c r="L479" s="13" t="s">
        <v>33</v>
      </c>
      <c r="M479" s="13" t="s">
        <v>33</v>
      </c>
      <c r="N479" s="13" t="s">
        <v>33</v>
      </c>
      <c r="O479" s="13" t="s">
        <v>33</v>
      </c>
      <c r="P479" s="13" t="s">
        <v>33</v>
      </c>
      <c r="Q479" s="13" t="s">
        <v>33</v>
      </c>
      <c r="R479" s="13" t="s">
        <v>33</v>
      </c>
      <c r="S479" s="13" t="s">
        <v>33</v>
      </c>
      <c r="T479" s="13" t="s">
        <v>33</v>
      </c>
      <c r="U479" s="13" t="s">
        <v>33</v>
      </c>
      <c r="V479" s="13" t="s">
        <v>33</v>
      </c>
      <c r="W479" s="6" t="b">
        <v>0</v>
      </c>
      <c r="X479" s="6" t="s">
        <v>1301</v>
      </c>
      <c r="Y479" s="6" t="s">
        <v>1326</v>
      </c>
      <c r="Z479" s="6">
        <v>575</v>
      </c>
      <c r="AA479" s="7" t="str">
        <f t="shared" ref="AA479:AA526" si="127">Sim_Stale</f>
        <v>OK - sims match current assumptions</v>
      </c>
      <c r="AB479" s="13" t="s">
        <v>33</v>
      </c>
      <c r="AC479" s="13" t="s">
        <v>33</v>
      </c>
      <c r="AD479" s="13" t="s">
        <v>33</v>
      </c>
      <c r="AE479" s="13" t="s">
        <v>33</v>
      </c>
      <c r="AF479" s="13" t="s">
        <v>33</v>
      </c>
      <c r="AG479" s="13" t="s">
        <v>33</v>
      </c>
      <c r="AH479" s="6" t="b">
        <v>0</v>
      </c>
      <c r="AI479" s="13" t="s">
        <v>33</v>
      </c>
      <c r="AJ479" s="13" t="s">
        <v>33</v>
      </c>
      <c r="AK479" s="13" t="s">
        <v>33</v>
      </c>
      <c r="AL479" s="6">
        <v>0</v>
      </c>
      <c r="AM479" s="13" t="s">
        <v>33</v>
      </c>
    </row>
    <row r="480" spans="1:39" ht="15" customHeight="1" x14ac:dyDescent="0.3">
      <c r="A480" s="6" t="s">
        <v>472</v>
      </c>
      <c r="B480" s="7" t="str">
        <f>Odds_Input!C584</f>
        <v>Cason Wallace</v>
      </c>
      <c r="C480" s="6" t="s">
        <v>33</v>
      </c>
      <c r="D480" s="7" t="str">
        <f>Odds_Input!D584</f>
        <v>YES</v>
      </c>
      <c r="E480" s="31" t="str">
        <f>Odds_Input!E584</f>
        <v>-</v>
      </c>
      <c r="F480" s="32">
        <f>Odds_Input!F584</f>
        <v>400</v>
      </c>
      <c r="G480" s="36">
        <f>M_DeVig!H584</f>
        <v>5</v>
      </c>
      <c r="H480" s="7" t="str">
        <f>Odds_Input!G584</f>
        <v>-</v>
      </c>
      <c r="I480" s="42">
        <f>M_DeVig!Q584</f>
        <v>0.17172390622681938</v>
      </c>
      <c r="J480" s="13" t="s">
        <v>33</v>
      </c>
      <c r="K480" s="43">
        <f t="shared" si="126"/>
        <v>482.33010299635419</v>
      </c>
      <c r="L480" s="13" t="s">
        <v>33</v>
      </c>
      <c r="M480" s="13" t="s">
        <v>33</v>
      </c>
      <c r="N480" s="13" t="s">
        <v>33</v>
      </c>
      <c r="O480" s="13" t="s">
        <v>33</v>
      </c>
      <c r="P480" s="13" t="s">
        <v>33</v>
      </c>
      <c r="Q480" s="13" t="s">
        <v>33</v>
      </c>
      <c r="R480" s="13" t="s">
        <v>33</v>
      </c>
      <c r="S480" s="13" t="s">
        <v>33</v>
      </c>
      <c r="T480" s="13" t="s">
        <v>33</v>
      </c>
      <c r="U480" s="13" t="s">
        <v>33</v>
      </c>
      <c r="V480" s="13" t="s">
        <v>33</v>
      </c>
      <c r="W480" s="6" t="b">
        <v>0</v>
      </c>
      <c r="X480" s="6" t="s">
        <v>1301</v>
      </c>
      <c r="Y480" s="6" t="s">
        <v>1326</v>
      </c>
      <c r="Z480" s="6">
        <v>576</v>
      </c>
      <c r="AA480" s="7" t="str">
        <f t="shared" si="127"/>
        <v>OK - sims match current assumptions</v>
      </c>
      <c r="AB480" s="13" t="s">
        <v>33</v>
      </c>
      <c r="AC480" s="13" t="s">
        <v>33</v>
      </c>
      <c r="AD480" s="13" t="s">
        <v>33</v>
      </c>
      <c r="AE480" s="13" t="s">
        <v>33</v>
      </c>
      <c r="AF480" s="13" t="s">
        <v>33</v>
      </c>
      <c r="AG480" s="13" t="s">
        <v>33</v>
      </c>
      <c r="AH480" s="6" t="b">
        <v>0</v>
      </c>
      <c r="AI480" s="13" t="s">
        <v>33</v>
      </c>
      <c r="AJ480" s="13" t="s">
        <v>33</v>
      </c>
      <c r="AK480" s="13" t="s">
        <v>33</v>
      </c>
      <c r="AL480" s="6">
        <v>0</v>
      </c>
      <c r="AM480" s="13" t="s">
        <v>33</v>
      </c>
    </row>
    <row r="481" spans="1:39" ht="15" customHeight="1" x14ac:dyDescent="0.3">
      <c r="A481" s="6" t="s">
        <v>472</v>
      </c>
      <c r="B481" s="7" t="str">
        <f>Odds_Input!C585</f>
        <v>Dyson Daniels</v>
      </c>
      <c r="C481" s="6" t="s">
        <v>33</v>
      </c>
      <c r="D481" s="7" t="str">
        <f>Odds_Input!D585</f>
        <v>YES</v>
      </c>
      <c r="E481" s="31" t="str">
        <f>Odds_Input!E585</f>
        <v>-</v>
      </c>
      <c r="F481" s="32">
        <f>Odds_Input!F585</f>
        <v>560</v>
      </c>
      <c r="G481" s="36">
        <f>M_DeVig!H585</f>
        <v>6.6</v>
      </c>
      <c r="H481" s="7" t="str">
        <f>Odds_Input!G585</f>
        <v>-</v>
      </c>
      <c r="I481" s="42">
        <f>M_DeVig!Q585</f>
        <v>0.12915684196686603</v>
      </c>
      <c r="J481" s="13" t="s">
        <v>33</v>
      </c>
      <c r="K481" s="43">
        <f t="shared" si="126"/>
        <v>674.25243972482735</v>
      </c>
      <c r="L481" s="13" t="s">
        <v>33</v>
      </c>
      <c r="M481" s="13" t="s">
        <v>33</v>
      </c>
      <c r="N481" s="13" t="s">
        <v>33</v>
      </c>
      <c r="O481" s="13" t="s">
        <v>33</v>
      </c>
      <c r="P481" s="13" t="s">
        <v>33</v>
      </c>
      <c r="Q481" s="13" t="s">
        <v>33</v>
      </c>
      <c r="R481" s="13" t="s">
        <v>33</v>
      </c>
      <c r="S481" s="13" t="s">
        <v>33</v>
      </c>
      <c r="T481" s="13" t="s">
        <v>33</v>
      </c>
      <c r="U481" s="13" t="s">
        <v>33</v>
      </c>
      <c r="V481" s="13" t="s">
        <v>33</v>
      </c>
      <c r="W481" s="6" t="b">
        <v>0</v>
      </c>
      <c r="X481" s="6" t="s">
        <v>1301</v>
      </c>
      <c r="Y481" s="6" t="s">
        <v>1326</v>
      </c>
      <c r="Z481" s="6">
        <v>577</v>
      </c>
      <c r="AA481" s="7" t="str">
        <f t="shared" si="127"/>
        <v>OK - sims match current assumptions</v>
      </c>
      <c r="AB481" s="13" t="s">
        <v>33</v>
      </c>
      <c r="AC481" s="13" t="s">
        <v>33</v>
      </c>
      <c r="AD481" s="13" t="s">
        <v>33</v>
      </c>
      <c r="AE481" s="13" t="s">
        <v>33</v>
      </c>
      <c r="AF481" s="13" t="s">
        <v>33</v>
      </c>
      <c r="AG481" s="13" t="s">
        <v>33</v>
      </c>
      <c r="AH481" s="6" t="b">
        <v>0</v>
      </c>
      <c r="AI481" s="13" t="s">
        <v>33</v>
      </c>
      <c r="AJ481" s="13" t="s">
        <v>33</v>
      </c>
      <c r="AK481" s="13" t="s">
        <v>33</v>
      </c>
      <c r="AL481" s="6">
        <v>0</v>
      </c>
      <c r="AM481" s="13" t="s">
        <v>33</v>
      </c>
    </row>
    <row r="482" spans="1:39" ht="15" customHeight="1" x14ac:dyDescent="0.3">
      <c r="A482" s="6" t="s">
        <v>472</v>
      </c>
      <c r="B482" s="7" t="str">
        <f>Odds_Input!C586</f>
        <v>Matisse Thybulle</v>
      </c>
      <c r="C482" s="6" t="s">
        <v>33</v>
      </c>
      <c r="D482" s="7" t="str">
        <f>Odds_Input!D586</f>
        <v>YES</v>
      </c>
      <c r="E482" s="31" t="str">
        <f>Odds_Input!E586</f>
        <v>-</v>
      </c>
      <c r="F482" s="32">
        <f>Odds_Input!F586</f>
        <v>600</v>
      </c>
      <c r="G482" s="36">
        <f>M_DeVig!H586</f>
        <v>7</v>
      </c>
      <c r="H482" s="7" t="str">
        <f>Odds_Input!G586</f>
        <v>-</v>
      </c>
      <c r="I482" s="42">
        <f>M_DeVig!Q586</f>
        <v>0.12155660437385429</v>
      </c>
      <c r="J482" s="13" t="s">
        <v>33</v>
      </c>
      <c r="K482" s="43">
        <f t="shared" si="126"/>
        <v>722.66200602679123</v>
      </c>
      <c r="L482" s="13" t="s">
        <v>33</v>
      </c>
      <c r="M482" s="13" t="s">
        <v>33</v>
      </c>
      <c r="N482" s="13" t="s">
        <v>33</v>
      </c>
      <c r="O482" s="13" t="s">
        <v>33</v>
      </c>
      <c r="P482" s="13" t="s">
        <v>33</v>
      </c>
      <c r="Q482" s="13" t="s">
        <v>33</v>
      </c>
      <c r="R482" s="13" t="s">
        <v>33</v>
      </c>
      <c r="S482" s="13" t="s">
        <v>33</v>
      </c>
      <c r="T482" s="13" t="s">
        <v>33</v>
      </c>
      <c r="U482" s="13" t="s">
        <v>33</v>
      </c>
      <c r="V482" s="13" t="s">
        <v>33</v>
      </c>
      <c r="W482" s="6" t="b">
        <v>0</v>
      </c>
      <c r="X482" s="6" t="s">
        <v>1301</v>
      </c>
      <c r="Y482" s="6" t="s">
        <v>1326</v>
      </c>
      <c r="Z482" s="6">
        <v>578</v>
      </c>
      <c r="AA482" s="7" t="str">
        <f t="shared" si="127"/>
        <v>OK - sims match current assumptions</v>
      </c>
      <c r="AB482" s="13" t="s">
        <v>33</v>
      </c>
      <c r="AC482" s="13" t="s">
        <v>33</v>
      </c>
      <c r="AD482" s="13" t="s">
        <v>33</v>
      </c>
      <c r="AE482" s="13" t="s">
        <v>33</v>
      </c>
      <c r="AF482" s="13" t="s">
        <v>33</v>
      </c>
      <c r="AG482" s="13" t="s">
        <v>33</v>
      </c>
      <c r="AH482" s="6" t="b">
        <v>0</v>
      </c>
      <c r="AI482" s="13" t="s">
        <v>33</v>
      </c>
      <c r="AJ482" s="13" t="s">
        <v>33</v>
      </c>
      <c r="AK482" s="13" t="s">
        <v>33</v>
      </c>
      <c r="AL482" s="6">
        <v>0</v>
      </c>
      <c r="AM482" s="13" t="s">
        <v>33</v>
      </c>
    </row>
    <row r="483" spans="1:39" ht="15" customHeight="1" x14ac:dyDescent="0.3">
      <c r="A483" s="6" t="s">
        <v>472</v>
      </c>
      <c r="B483" s="7" t="str">
        <f>Odds_Input!C587</f>
        <v>Tyrese Maxey</v>
      </c>
      <c r="C483" s="6" t="s">
        <v>33</v>
      </c>
      <c r="D483" s="7" t="str">
        <f>Odds_Input!D587</f>
        <v>YES</v>
      </c>
      <c r="E483" s="31" t="str">
        <f>Odds_Input!E587</f>
        <v>-</v>
      </c>
      <c r="F483" s="32">
        <f>Odds_Input!F587</f>
        <v>1850</v>
      </c>
      <c r="G483" s="36">
        <f>M_DeVig!H587</f>
        <v>19.5</v>
      </c>
      <c r="H483" s="7" t="str">
        <f>Odds_Input!G587</f>
        <v>-</v>
      </c>
      <c r="I483" s="42">
        <f>M_DeVig!Q587</f>
        <v>4.1243351703746184E-2</v>
      </c>
      <c r="J483" s="13" t="s">
        <v>33</v>
      </c>
      <c r="K483" s="43">
        <f t="shared" si="126"/>
        <v>2324.6332043599859</v>
      </c>
      <c r="L483" s="13" t="s">
        <v>33</v>
      </c>
      <c r="M483" s="13" t="s">
        <v>33</v>
      </c>
      <c r="N483" s="13" t="s">
        <v>33</v>
      </c>
      <c r="O483" s="13" t="s">
        <v>33</v>
      </c>
      <c r="P483" s="13" t="s">
        <v>33</v>
      </c>
      <c r="Q483" s="13" t="s">
        <v>33</v>
      </c>
      <c r="R483" s="13" t="s">
        <v>33</v>
      </c>
      <c r="S483" s="13" t="s">
        <v>33</v>
      </c>
      <c r="T483" s="13" t="s">
        <v>33</v>
      </c>
      <c r="U483" s="13" t="s">
        <v>33</v>
      </c>
      <c r="V483" s="13" t="s">
        <v>33</v>
      </c>
      <c r="W483" s="6" t="b">
        <v>0</v>
      </c>
      <c r="X483" s="6" t="s">
        <v>1301</v>
      </c>
      <c r="Y483" s="6" t="s">
        <v>1326</v>
      </c>
      <c r="Z483" s="6">
        <v>579</v>
      </c>
      <c r="AA483" s="7" t="str">
        <f t="shared" si="127"/>
        <v>OK - sims match current assumptions</v>
      </c>
      <c r="AB483" s="13" t="s">
        <v>33</v>
      </c>
      <c r="AC483" s="13" t="s">
        <v>33</v>
      </c>
      <c r="AD483" s="13" t="s">
        <v>33</v>
      </c>
      <c r="AE483" s="13" t="s">
        <v>33</v>
      </c>
      <c r="AF483" s="13" t="s">
        <v>33</v>
      </c>
      <c r="AG483" s="13" t="s">
        <v>33</v>
      </c>
      <c r="AH483" s="6" t="b">
        <v>0</v>
      </c>
      <c r="AI483" s="13" t="s">
        <v>33</v>
      </c>
      <c r="AJ483" s="13" t="s">
        <v>33</v>
      </c>
      <c r="AK483" s="13" t="s">
        <v>33</v>
      </c>
      <c r="AL483" s="6">
        <v>0</v>
      </c>
      <c r="AM483" s="13" t="s">
        <v>33</v>
      </c>
    </row>
    <row r="484" spans="1:39" ht="15" customHeight="1" x14ac:dyDescent="0.3">
      <c r="A484" s="6" t="s">
        <v>472</v>
      </c>
      <c r="B484" s="7" t="str">
        <f>Odds_Input!C588</f>
        <v>Jalen Suggs</v>
      </c>
      <c r="C484" s="6" t="s">
        <v>33</v>
      </c>
      <c r="D484" s="7" t="str">
        <f>Odds_Input!D588</f>
        <v>YES</v>
      </c>
      <c r="E484" s="31" t="str">
        <f>Odds_Input!E588</f>
        <v>-</v>
      </c>
      <c r="F484" s="32">
        <f>Odds_Input!F588</f>
        <v>2250</v>
      </c>
      <c r="G484" s="36">
        <f>M_DeVig!H588</f>
        <v>23.5</v>
      </c>
      <c r="H484" s="7" t="str">
        <f>Odds_Input!G588</f>
        <v>-</v>
      </c>
      <c r="I484" s="42">
        <f>M_DeVig!Q588</f>
        <v>3.3612929912101054E-2</v>
      </c>
      <c r="J484" s="13" t="s">
        <v>33</v>
      </c>
      <c r="K484" s="43">
        <f t="shared" si="126"/>
        <v>2875.0456226667347</v>
      </c>
      <c r="L484" s="13" t="s">
        <v>33</v>
      </c>
      <c r="M484" s="13" t="s">
        <v>33</v>
      </c>
      <c r="N484" s="13" t="s">
        <v>33</v>
      </c>
      <c r="O484" s="13" t="s">
        <v>33</v>
      </c>
      <c r="P484" s="13" t="s">
        <v>33</v>
      </c>
      <c r="Q484" s="13" t="s">
        <v>33</v>
      </c>
      <c r="R484" s="13" t="s">
        <v>33</v>
      </c>
      <c r="S484" s="13" t="s">
        <v>33</v>
      </c>
      <c r="T484" s="13" t="s">
        <v>33</v>
      </c>
      <c r="U484" s="13" t="s">
        <v>33</v>
      </c>
      <c r="V484" s="13" t="s">
        <v>33</v>
      </c>
      <c r="W484" s="6" t="b">
        <v>0</v>
      </c>
      <c r="X484" s="6" t="s">
        <v>1301</v>
      </c>
      <c r="Y484" s="6" t="s">
        <v>1326</v>
      </c>
      <c r="Z484" s="6">
        <v>580</v>
      </c>
      <c r="AA484" s="7" t="str">
        <f t="shared" si="127"/>
        <v>OK - sims match current assumptions</v>
      </c>
      <c r="AB484" s="13" t="s">
        <v>33</v>
      </c>
      <c r="AC484" s="13" t="s">
        <v>33</v>
      </c>
      <c r="AD484" s="13" t="s">
        <v>33</v>
      </c>
      <c r="AE484" s="13" t="s">
        <v>33</v>
      </c>
      <c r="AF484" s="13" t="s">
        <v>33</v>
      </c>
      <c r="AG484" s="13" t="s">
        <v>33</v>
      </c>
      <c r="AH484" s="6" t="b">
        <v>0</v>
      </c>
      <c r="AI484" s="13" t="s">
        <v>33</v>
      </c>
      <c r="AJ484" s="13" t="s">
        <v>33</v>
      </c>
      <c r="AK484" s="13" t="s">
        <v>33</v>
      </c>
      <c r="AL484" s="6">
        <v>0</v>
      </c>
      <c r="AM484" s="13" t="s">
        <v>33</v>
      </c>
    </row>
    <row r="485" spans="1:39" ht="15" customHeight="1" x14ac:dyDescent="0.3">
      <c r="A485" s="6" t="s">
        <v>472</v>
      </c>
      <c r="B485" s="7" t="str">
        <f>Odds_Input!C589</f>
        <v>Scotty Pippen Jr</v>
      </c>
      <c r="C485" s="6" t="s">
        <v>33</v>
      </c>
      <c r="D485" s="7" t="str">
        <f>Odds_Input!D589</f>
        <v>YES</v>
      </c>
      <c r="E485" s="31" t="str">
        <f>Odds_Input!E589</f>
        <v>-</v>
      </c>
      <c r="F485" s="32">
        <f>Odds_Input!F589</f>
        <v>2150</v>
      </c>
      <c r="G485" s="36">
        <f>M_DeVig!H589</f>
        <v>22.5</v>
      </c>
      <c r="H485" s="7" t="str">
        <f>Odds_Input!G589</f>
        <v>-</v>
      </c>
      <c r="I485" s="42">
        <f>M_DeVig!Q589</f>
        <v>3.5265009305852933E-2</v>
      </c>
      <c r="J485" s="13" t="s">
        <v>33</v>
      </c>
      <c r="K485" s="43">
        <f t="shared" si="126"/>
        <v>2735.6720150759465</v>
      </c>
      <c r="L485" s="13" t="s">
        <v>33</v>
      </c>
      <c r="M485" s="13" t="s">
        <v>33</v>
      </c>
      <c r="N485" s="13" t="s">
        <v>33</v>
      </c>
      <c r="O485" s="13" t="s">
        <v>33</v>
      </c>
      <c r="P485" s="13" t="s">
        <v>33</v>
      </c>
      <c r="Q485" s="13" t="s">
        <v>33</v>
      </c>
      <c r="R485" s="13" t="s">
        <v>33</v>
      </c>
      <c r="S485" s="13" t="s">
        <v>33</v>
      </c>
      <c r="T485" s="13" t="s">
        <v>33</v>
      </c>
      <c r="U485" s="13" t="s">
        <v>33</v>
      </c>
      <c r="V485" s="13" t="s">
        <v>33</v>
      </c>
      <c r="W485" s="6" t="b">
        <v>0</v>
      </c>
      <c r="X485" s="6" t="s">
        <v>1301</v>
      </c>
      <c r="Y485" s="6" t="s">
        <v>1326</v>
      </c>
      <c r="Z485" s="6">
        <v>581</v>
      </c>
      <c r="AA485" s="7" t="str">
        <f t="shared" si="127"/>
        <v>OK - sims match current assumptions</v>
      </c>
      <c r="AB485" s="13" t="s">
        <v>33</v>
      </c>
      <c r="AC485" s="13" t="s">
        <v>33</v>
      </c>
      <c r="AD485" s="13" t="s">
        <v>33</v>
      </c>
      <c r="AE485" s="13" t="s">
        <v>33</v>
      </c>
      <c r="AF485" s="13" t="s">
        <v>33</v>
      </c>
      <c r="AG485" s="13" t="s">
        <v>33</v>
      </c>
      <c r="AH485" s="6" t="b">
        <v>0</v>
      </c>
      <c r="AI485" s="13" t="s">
        <v>33</v>
      </c>
      <c r="AJ485" s="13" t="s">
        <v>33</v>
      </c>
      <c r="AK485" s="13" t="s">
        <v>33</v>
      </c>
      <c r="AL485" s="6">
        <v>0</v>
      </c>
      <c r="AM485" s="13" t="s">
        <v>33</v>
      </c>
    </row>
    <row r="486" spans="1:39" ht="15" customHeight="1" x14ac:dyDescent="0.3">
      <c r="A486" s="6" t="s">
        <v>472</v>
      </c>
      <c r="B486" s="7" t="str">
        <f>Odds_Input!C590</f>
        <v>Kris Dunn</v>
      </c>
      <c r="C486" s="6" t="s">
        <v>33</v>
      </c>
      <c r="D486" s="7" t="str">
        <f>Odds_Input!D590</f>
        <v>YES</v>
      </c>
      <c r="E486" s="31" t="str">
        <f>Odds_Input!E590</f>
        <v>-</v>
      </c>
      <c r="F486" s="32">
        <f>Odds_Input!F590</f>
        <v>2600</v>
      </c>
      <c r="G486" s="36">
        <f>M_DeVig!H590</f>
        <v>27</v>
      </c>
      <c r="H486" s="7" t="str">
        <f>Odds_Input!G590</f>
        <v>-</v>
      </c>
      <c r="I486" s="42">
        <f>M_DeVig!Q590</f>
        <v>2.8799503620345664E-2</v>
      </c>
      <c r="J486" s="13" t="s">
        <v>33</v>
      </c>
      <c r="K486" s="43">
        <f t="shared" si="126"/>
        <v>3372.2820684087806</v>
      </c>
      <c r="L486" s="13" t="s">
        <v>33</v>
      </c>
      <c r="M486" s="13" t="s">
        <v>33</v>
      </c>
      <c r="N486" s="13" t="s">
        <v>33</v>
      </c>
      <c r="O486" s="13" t="s">
        <v>33</v>
      </c>
      <c r="P486" s="13" t="s">
        <v>33</v>
      </c>
      <c r="Q486" s="13" t="s">
        <v>33</v>
      </c>
      <c r="R486" s="13" t="s">
        <v>33</v>
      </c>
      <c r="S486" s="13" t="s">
        <v>33</v>
      </c>
      <c r="T486" s="13" t="s">
        <v>33</v>
      </c>
      <c r="U486" s="13" t="s">
        <v>33</v>
      </c>
      <c r="V486" s="13" t="s">
        <v>33</v>
      </c>
      <c r="W486" s="6" t="b">
        <v>0</v>
      </c>
      <c r="X486" s="6" t="s">
        <v>1301</v>
      </c>
      <c r="Y486" s="6" t="s">
        <v>1326</v>
      </c>
      <c r="Z486" s="6">
        <v>582</v>
      </c>
      <c r="AA486" s="7" t="str">
        <f t="shared" si="127"/>
        <v>OK - sims match current assumptions</v>
      </c>
      <c r="AB486" s="13" t="s">
        <v>33</v>
      </c>
      <c r="AC486" s="13" t="s">
        <v>33</v>
      </c>
      <c r="AD486" s="13" t="s">
        <v>33</v>
      </c>
      <c r="AE486" s="13" t="s">
        <v>33</v>
      </c>
      <c r="AF486" s="13" t="s">
        <v>33</v>
      </c>
      <c r="AG486" s="13" t="s">
        <v>33</v>
      </c>
      <c r="AH486" s="6" t="b">
        <v>0</v>
      </c>
      <c r="AI486" s="13" t="s">
        <v>33</v>
      </c>
      <c r="AJ486" s="13" t="s">
        <v>33</v>
      </c>
      <c r="AK486" s="13" t="s">
        <v>33</v>
      </c>
      <c r="AL486" s="6">
        <v>0</v>
      </c>
      <c r="AM486" s="13" t="s">
        <v>33</v>
      </c>
    </row>
    <row r="487" spans="1:39" ht="15" customHeight="1" x14ac:dyDescent="0.3">
      <c r="A487" s="6" t="s">
        <v>472</v>
      </c>
      <c r="B487" s="7" t="str">
        <f>Odds_Input!C591</f>
        <v>OG Anunoby</v>
      </c>
      <c r="C487" s="6" t="s">
        <v>33</v>
      </c>
      <c r="D487" s="7" t="str">
        <f>Odds_Input!D591</f>
        <v>YES</v>
      </c>
      <c r="E487" s="31" t="str">
        <f>Odds_Input!E591</f>
        <v>-</v>
      </c>
      <c r="F487" s="32">
        <f>Odds_Input!F591</f>
        <v>4100</v>
      </c>
      <c r="G487" s="36">
        <f>M_DeVig!H591</f>
        <v>42</v>
      </c>
      <c r="H487" s="7" t="str">
        <f>Odds_Input!G591</f>
        <v>-</v>
      </c>
      <c r="I487" s="42">
        <f>M_DeVig!Q591</f>
        <v>1.7314656776674296E-2</v>
      </c>
      <c r="J487" s="13" t="s">
        <v>33</v>
      </c>
      <c r="K487" s="43">
        <f t="shared" si="126"/>
        <v>5675.4537840286002</v>
      </c>
      <c r="L487" s="13" t="s">
        <v>33</v>
      </c>
      <c r="M487" s="13" t="s">
        <v>33</v>
      </c>
      <c r="N487" s="13" t="s">
        <v>33</v>
      </c>
      <c r="O487" s="13" t="s">
        <v>33</v>
      </c>
      <c r="P487" s="13" t="s">
        <v>33</v>
      </c>
      <c r="Q487" s="13" t="s">
        <v>33</v>
      </c>
      <c r="R487" s="13" t="s">
        <v>33</v>
      </c>
      <c r="S487" s="13" t="s">
        <v>33</v>
      </c>
      <c r="T487" s="13" t="s">
        <v>33</v>
      </c>
      <c r="U487" s="13" t="s">
        <v>33</v>
      </c>
      <c r="V487" s="13" t="s">
        <v>33</v>
      </c>
      <c r="W487" s="6" t="b">
        <v>0</v>
      </c>
      <c r="X487" s="6" t="s">
        <v>1301</v>
      </c>
      <c r="Y487" s="6" t="s">
        <v>1326</v>
      </c>
      <c r="Z487" s="6">
        <v>583</v>
      </c>
      <c r="AA487" s="7" t="str">
        <f t="shared" si="127"/>
        <v>OK - sims match current assumptions</v>
      </c>
      <c r="AB487" s="13" t="s">
        <v>33</v>
      </c>
      <c r="AC487" s="13" t="s">
        <v>33</v>
      </c>
      <c r="AD487" s="13" t="s">
        <v>33</v>
      </c>
      <c r="AE487" s="13" t="s">
        <v>33</v>
      </c>
      <c r="AF487" s="13" t="s">
        <v>33</v>
      </c>
      <c r="AG487" s="13" t="s">
        <v>33</v>
      </c>
      <c r="AH487" s="6" t="b">
        <v>0</v>
      </c>
      <c r="AI487" s="13" t="s">
        <v>33</v>
      </c>
      <c r="AJ487" s="13" t="s">
        <v>33</v>
      </c>
      <c r="AK487" s="13" t="s">
        <v>33</v>
      </c>
      <c r="AL487" s="6">
        <v>0</v>
      </c>
      <c r="AM487" s="13" t="s">
        <v>33</v>
      </c>
    </row>
    <row r="488" spans="1:39" ht="15" customHeight="1" x14ac:dyDescent="0.3">
      <c r="A488" s="6" t="s">
        <v>472</v>
      </c>
      <c r="B488" s="7" t="str">
        <f>Odds_Input!C592</f>
        <v>Amen Thompson</v>
      </c>
      <c r="C488" s="6" t="s">
        <v>33</v>
      </c>
      <c r="D488" s="7" t="str">
        <f>Odds_Input!D592</f>
        <v>YES</v>
      </c>
      <c r="E488" s="31" t="str">
        <f>Odds_Input!E592</f>
        <v>-</v>
      </c>
      <c r="F488" s="32">
        <f>Odds_Input!F592</f>
        <v>4100</v>
      </c>
      <c r="G488" s="36">
        <f>M_DeVig!H592</f>
        <v>42</v>
      </c>
      <c r="H488" s="7" t="str">
        <f>Odds_Input!G592</f>
        <v>-</v>
      </c>
      <c r="I488" s="42">
        <f>M_DeVig!Q592</f>
        <v>1.7314656776674296E-2</v>
      </c>
      <c r="J488" s="13" t="s">
        <v>33</v>
      </c>
      <c r="K488" s="43">
        <f t="shared" si="126"/>
        <v>5675.4537840286002</v>
      </c>
      <c r="L488" s="13" t="s">
        <v>33</v>
      </c>
      <c r="M488" s="13" t="s">
        <v>33</v>
      </c>
      <c r="N488" s="13" t="s">
        <v>33</v>
      </c>
      <c r="O488" s="13" t="s">
        <v>33</v>
      </c>
      <c r="P488" s="13" t="s">
        <v>33</v>
      </c>
      <c r="Q488" s="13" t="s">
        <v>33</v>
      </c>
      <c r="R488" s="13" t="s">
        <v>33</v>
      </c>
      <c r="S488" s="13" t="s">
        <v>33</v>
      </c>
      <c r="T488" s="13" t="s">
        <v>33</v>
      </c>
      <c r="U488" s="13" t="s">
        <v>33</v>
      </c>
      <c r="V488" s="13" t="s">
        <v>33</v>
      </c>
      <c r="W488" s="6" t="b">
        <v>0</v>
      </c>
      <c r="X488" s="6" t="s">
        <v>1301</v>
      </c>
      <c r="Y488" s="6" t="s">
        <v>1326</v>
      </c>
      <c r="Z488" s="6">
        <v>584</v>
      </c>
      <c r="AA488" s="7" t="str">
        <f t="shared" si="127"/>
        <v>OK - sims match current assumptions</v>
      </c>
      <c r="AB488" s="13" t="s">
        <v>33</v>
      </c>
      <c r="AC488" s="13" t="s">
        <v>33</v>
      </c>
      <c r="AD488" s="13" t="s">
        <v>33</v>
      </c>
      <c r="AE488" s="13" t="s">
        <v>33</v>
      </c>
      <c r="AF488" s="13" t="s">
        <v>33</v>
      </c>
      <c r="AG488" s="13" t="s">
        <v>33</v>
      </c>
      <c r="AH488" s="6" t="b">
        <v>0</v>
      </c>
      <c r="AI488" s="13" t="s">
        <v>33</v>
      </c>
      <c r="AJ488" s="13" t="s">
        <v>33</v>
      </c>
      <c r="AK488" s="13" t="s">
        <v>33</v>
      </c>
      <c r="AL488" s="6">
        <v>0</v>
      </c>
      <c r="AM488" s="13" t="s">
        <v>33</v>
      </c>
    </row>
    <row r="489" spans="1:39" ht="15" customHeight="1" x14ac:dyDescent="0.3">
      <c r="A489" s="6" t="s">
        <v>472</v>
      </c>
      <c r="B489" s="7" t="str">
        <f>Odds_Input!C593</f>
        <v>Kawhi Leonard</v>
      </c>
      <c r="C489" s="6" t="s">
        <v>33</v>
      </c>
      <c r="D489" s="7" t="str">
        <f>Odds_Input!D593</f>
        <v>YES</v>
      </c>
      <c r="E489" s="31" t="str">
        <f>Odds_Input!E593</f>
        <v>-</v>
      </c>
      <c r="F489" s="32">
        <f>Odds_Input!F593</f>
        <v>5100</v>
      </c>
      <c r="G489" s="36">
        <f>M_DeVig!H593</f>
        <v>52</v>
      </c>
      <c r="H489" s="7" t="str">
        <f>Odds_Input!G593</f>
        <v>-</v>
      </c>
      <c r="I489" s="42">
        <f>M_DeVig!Q593</f>
        <v>1.3380165310291636E-2</v>
      </c>
      <c r="J489" s="13" t="s">
        <v>33</v>
      </c>
      <c r="K489" s="43">
        <f t="shared" si="126"/>
        <v>7373.7492161687187</v>
      </c>
      <c r="L489" s="13" t="s">
        <v>33</v>
      </c>
      <c r="M489" s="13" t="s">
        <v>33</v>
      </c>
      <c r="N489" s="13" t="s">
        <v>33</v>
      </c>
      <c r="O489" s="13" t="s">
        <v>33</v>
      </c>
      <c r="P489" s="13" t="s">
        <v>33</v>
      </c>
      <c r="Q489" s="13" t="s">
        <v>33</v>
      </c>
      <c r="R489" s="13" t="s">
        <v>33</v>
      </c>
      <c r="S489" s="13" t="s">
        <v>33</v>
      </c>
      <c r="T489" s="13" t="s">
        <v>33</v>
      </c>
      <c r="U489" s="13" t="s">
        <v>33</v>
      </c>
      <c r="V489" s="13" t="s">
        <v>33</v>
      </c>
      <c r="W489" s="6" t="b">
        <v>0</v>
      </c>
      <c r="X489" s="6" t="s">
        <v>1301</v>
      </c>
      <c r="Y489" s="6" t="s">
        <v>1326</v>
      </c>
      <c r="Z489" s="6">
        <v>585</v>
      </c>
      <c r="AA489" s="7" t="str">
        <f t="shared" si="127"/>
        <v>OK - sims match current assumptions</v>
      </c>
      <c r="AB489" s="13" t="s">
        <v>33</v>
      </c>
      <c r="AC489" s="13" t="s">
        <v>33</v>
      </c>
      <c r="AD489" s="13" t="s">
        <v>33</v>
      </c>
      <c r="AE489" s="13" t="s">
        <v>33</v>
      </c>
      <c r="AF489" s="13" t="s">
        <v>33</v>
      </c>
      <c r="AG489" s="13" t="s">
        <v>33</v>
      </c>
      <c r="AH489" s="6" t="b">
        <v>0</v>
      </c>
      <c r="AI489" s="13" t="s">
        <v>33</v>
      </c>
      <c r="AJ489" s="13" t="s">
        <v>33</v>
      </c>
      <c r="AK489" s="13" t="s">
        <v>33</v>
      </c>
      <c r="AL489" s="6">
        <v>0</v>
      </c>
      <c r="AM489" s="13" t="s">
        <v>33</v>
      </c>
    </row>
    <row r="490" spans="1:39" ht="15" customHeight="1" x14ac:dyDescent="0.3">
      <c r="A490" s="6" t="s">
        <v>472</v>
      </c>
      <c r="B490" s="7" t="str">
        <f>Odds_Input!C594</f>
        <v>Dejounte Murray</v>
      </c>
      <c r="C490" s="6" t="s">
        <v>33</v>
      </c>
      <c r="D490" s="7" t="str">
        <f>Odds_Input!D594</f>
        <v>YES</v>
      </c>
      <c r="E490" s="31" t="str">
        <f>Odds_Input!E594</f>
        <v>-</v>
      </c>
      <c r="F490" s="32">
        <f>Odds_Input!F594</f>
        <v>5200</v>
      </c>
      <c r="G490" s="36">
        <f>M_DeVig!H594</f>
        <v>53</v>
      </c>
      <c r="H490" s="7" t="str">
        <f>Odds_Input!G594</f>
        <v>-</v>
      </c>
      <c r="I490" s="42">
        <f>M_DeVig!Q594</f>
        <v>1.3070107780004524E-2</v>
      </c>
      <c r="J490" s="13" t="s">
        <v>33</v>
      </c>
      <c r="K490" s="43">
        <f t="shared" si="126"/>
        <v>7551.0463175358291</v>
      </c>
      <c r="L490" s="13" t="s">
        <v>33</v>
      </c>
      <c r="M490" s="13" t="s">
        <v>33</v>
      </c>
      <c r="N490" s="13" t="s">
        <v>33</v>
      </c>
      <c r="O490" s="13" t="s">
        <v>33</v>
      </c>
      <c r="P490" s="13" t="s">
        <v>33</v>
      </c>
      <c r="Q490" s="13" t="s">
        <v>33</v>
      </c>
      <c r="R490" s="13" t="s">
        <v>33</v>
      </c>
      <c r="S490" s="13" t="s">
        <v>33</v>
      </c>
      <c r="T490" s="13" t="s">
        <v>33</v>
      </c>
      <c r="U490" s="13" t="s">
        <v>33</v>
      </c>
      <c r="V490" s="13" t="s">
        <v>33</v>
      </c>
      <c r="W490" s="6" t="b">
        <v>0</v>
      </c>
      <c r="X490" s="6" t="s">
        <v>1301</v>
      </c>
      <c r="Y490" s="6" t="s">
        <v>1326</v>
      </c>
      <c r="Z490" s="6">
        <v>586</v>
      </c>
      <c r="AA490" s="7" t="str">
        <f t="shared" si="127"/>
        <v>OK - sims match current assumptions</v>
      </c>
      <c r="AB490" s="13" t="s">
        <v>33</v>
      </c>
      <c r="AC490" s="13" t="s">
        <v>33</v>
      </c>
      <c r="AD490" s="13" t="s">
        <v>33</v>
      </c>
      <c r="AE490" s="13" t="s">
        <v>33</v>
      </c>
      <c r="AF490" s="13" t="s">
        <v>33</v>
      </c>
      <c r="AG490" s="13" t="s">
        <v>33</v>
      </c>
      <c r="AH490" s="6" t="b">
        <v>0</v>
      </c>
      <c r="AI490" s="13" t="s">
        <v>33</v>
      </c>
      <c r="AJ490" s="13" t="s">
        <v>33</v>
      </c>
      <c r="AK490" s="13" t="s">
        <v>33</v>
      </c>
      <c r="AL490" s="6">
        <v>0</v>
      </c>
      <c r="AM490" s="13" t="s">
        <v>33</v>
      </c>
    </row>
    <row r="491" spans="1:39" ht="15" customHeight="1" x14ac:dyDescent="0.3">
      <c r="A491" s="6" t="s">
        <v>472</v>
      </c>
      <c r="B491" s="7" t="str">
        <f>Odds_Input!C595</f>
        <v>Reed Sheppard</v>
      </c>
      <c r="C491" s="6" t="s">
        <v>33</v>
      </c>
      <c r="D491" s="7" t="str">
        <f>Odds_Input!D595</f>
        <v>YES</v>
      </c>
      <c r="E491" s="31" t="str">
        <f>Odds_Input!E595</f>
        <v>-</v>
      </c>
      <c r="F491" s="32">
        <f>Odds_Input!F595</f>
        <v>6600</v>
      </c>
      <c r="G491" s="36">
        <f>M_DeVig!H595</f>
        <v>67</v>
      </c>
      <c r="H491" s="7" t="str">
        <f>Odds_Input!G595</f>
        <v>-</v>
      </c>
      <c r="I491" s="42">
        <f>M_DeVig!Q595</f>
        <v>9.7266211252920939E-3</v>
      </c>
      <c r="J491" s="13" t="s">
        <v>33</v>
      </c>
      <c r="K491" s="43">
        <f t="shared" si="126"/>
        <v>10181.062530540066</v>
      </c>
      <c r="L491" s="13" t="s">
        <v>33</v>
      </c>
      <c r="M491" s="13" t="s">
        <v>33</v>
      </c>
      <c r="N491" s="13" t="s">
        <v>33</v>
      </c>
      <c r="O491" s="13" t="s">
        <v>33</v>
      </c>
      <c r="P491" s="13" t="s">
        <v>33</v>
      </c>
      <c r="Q491" s="13" t="s">
        <v>33</v>
      </c>
      <c r="R491" s="13" t="s">
        <v>33</v>
      </c>
      <c r="S491" s="13" t="s">
        <v>33</v>
      </c>
      <c r="T491" s="13" t="s">
        <v>33</v>
      </c>
      <c r="U491" s="13" t="s">
        <v>33</v>
      </c>
      <c r="V491" s="13" t="s">
        <v>33</v>
      </c>
      <c r="W491" s="6" t="b">
        <v>0</v>
      </c>
      <c r="X491" s="6" t="s">
        <v>1301</v>
      </c>
      <c r="Y491" s="6" t="s">
        <v>1326</v>
      </c>
      <c r="Z491" s="6">
        <v>587</v>
      </c>
      <c r="AA491" s="7" t="str">
        <f t="shared" si="127"/>
        <v>OK - sims match current assumptions</v>
      </c>
      <c r="AB491" s="13" t="s">
        <v>33</v>
      </c>
      <c r="AC491" s="13" t="s">
        <v>33</v>
      </c>
      <c r="AD491" s="13" t="s">
        <v>33</v>
      </c>
      <c r="AE491" s="13" t="s">
        <v>33</v>
      </c>
      <c r="AF491" s="13" t="s">
        <v>33</v>
      </c>
      <c r="AG491" s="13" t="s">
        <v>33</v>
      </c>
      <c r="AH491" s="6" t="b">
        <v>0</v>
      </c>
      <c r="AI491" s="13" t="s">
        <v>33</v>
      </c>
      <c r="AJ491" s="13" t="s">
        <v>33</v>
      </c>
      <c r="AK491" s="13" t="s">
        <v>33</v>
      </c>
      <c r="AL491" s="6">
        <v>0</v>
      </c>
      <c r="AM491" s="13" t="s">
        <v>33</v>
      </c>
    </row>
    <row r="492" spans="1:39" ht="15" customHeight="1" x14ac:dyDescent="0.3">
      <c r="A492" s="6" t="s">
        <v>472</v>
      </c>
      <c r="B492" s="7" t="str">
        <f>Odds_Input!C596</f>
        <v>Shai Gilgeous Alexander</v>
      </c>
      <c r="C492" s="6" t="s">
        <v>33</v>
      </c>
      <c r="D492" s="7" t="str">
        <f>Odds_Input!D596</f>
        <v>YES</v>
      </c>
      <c r="E492" s="31" t="str">
        <f>Odds_Input!E596</f>
        <v>-</v>
      </c>
      <c r="F492" s="32">
        <f>Odds_Input!F596</f>
        <v>7100</v>
      </c>
      <c r="G492" s="36">
        <f>M_DeVig!H596</f>
        <v>72</v>
      </c>
      <c r="H492" s="7" t="str">
        <f>Odds_Input!G596</f>
        <v>-</v>
      </c>
      <c r="I492" s="42">
        <f>M_DeVig!Q596</f>
        <v>8.8581171860811613E-3</v>
      </c>
      <c r="J492" s="13" t="s">
        <v>33</v>
      </c>
      <c r="K492" s="43">
        <f t="shared" si="126"/>
        <v>11189.080726673032</v>
      </c>
      <c r="L492" s="13" t="s">
        <v>33</v>
      </c>
      <c r="M492" s="13" t="s">
        <v>33</v>
      </c>
      <c r="N492" s="13" t="s">
        <v>33</v>
      </c>
      <c r="O492" s="13" t="s">
        <v>33</v>
      </c>
      <c r="P492" s="13" t="s">
        <v>33</v>
      </c>
      <c r="Q492" s="13" t="s">
        <v>33</v>
      </c>
      <c r="R492" s="13" t="s">
        <v>33</v>
      </c>
      <c r="S492" s="13" t="s">
        <v>33</v>
      </c>
      <c r="T492" s="13" t="s">
        <v>33</v>
      </c>
      <c r="U492" s="13" t="s">
        <v>33</v>
      </c>
      <c r="V492" s="13" t="s">
        <v>33</v>
      </c>
      <c r="W492" s="6" t="b">
        <v>0</v>
      </c>
      <c r="X492" s="6" t="s">
        <v>1301</v>
      </c>
      <c r="Y492" s="6" t="s">
        <v>1326</v>
      </c>
      <c r="Z492" s="6">
        <v>588</v>
      </c>
      <c r="AA492" s="7" t="str">
        <f t="shared" si="127"/>
        <v>OK - sims match current assumptions</v>
      </c>
      <c r="AB492" s="13" t="s">
        <v>33</v>
      </c>
      <c r="AC492" s="13" t="s">
        <v>33</v>
      </c>
      <c r="AD492" s="13" t="s">
        <v>33</v>
      </c>
      <c r="AE492" s="13" t="s">
        <v>33</v>
      </c>
      <c r="AF492" s="13" t="s">
        <v>33</v>
      </c>
      <c r="AG492" s="13" t="s">
        <v>33</v>
      </c>
      <c r="AH492" s="6" t="b">
        <v>0</v>
      </c>
      <c r="AI492" s="13" t="s">
        <v>33</v>
      </c>
      <c r="AJ492" s="13" t="s">
        <v>33</v>
      </c>
      <c r="AK492" s="13" t="s">
        <v>33</v>
      </c>
      <c r="AL492" s="6">
        <v>0</v>
      </c>
      <c r="AM492" s="13" t="s">
        <v>33</v>
      </c>
    </row>
    <row r="493" spans="1:39" ht="15" customHeight="1" x14ac:dyDescent="0.3">
      <c r="A493" s="6" t="s">
        <v>472</v>
      </c>
      <c r="B493" s="7" t="str">
        <f>Odds_Input!C597</f>
        <v>Herbert Jones</v>
      </c>
      <c r="C493" s="6" t="s">
        <v>33</v>
      </c>
      <c r="D493" s="7" t="str">
        <f>Odds_Input!D597</f>
        <v>YES</v>
      </c>
      <c r="E493" s="31" t="str">
        <f>Odds_Input!E597</f>
        <v>-</v>
      </c>
      <c r="F493" s="32">
        <f>Odds_Input!F597</f>
        <v>7200</v>
      </c>
      <c r="G493" s="36">
        <f>M_DeVig!H597</f>
        <v>73</v>
      </c>
      <c r="H493" s="7" t="str">
        <f>Odds_Input!G597</f>
        <v>-</v>
      </c>
      <c r="I493" s="42">
        <f>M_DeVig!Q597</f>
        <v>8.6993304316420814E-3</v>
      </c>
      <c r="J493" s="13" t="s">
        <v>33</v>
      </c>
      <c r="K493" s="43">
        <f t="shared" si="126"/>
        <v>11395.137560963303</v>
      </c>
      <c r="L493" s="13" t="s">
        <v>33</v>
      </c>
      <c r="M493" s="13" t="s">
        <v>33</v>
      </c>
      <c r="N493" s="13" t="s">
        <v>33</v>
      </c>
      <c r="O493" s="13" t="s">
        <v>33</v>
      </c>
      <c r="P493" s="13" t="s">
        <v>33</v>
      </c>
      <c r="Q493" s="13" t="s">
        <v>33</v>
      </c>
      <c r="R493" s="13" t="s">
        <v>33</v>
      </c>
      <c r="S493" s="13" t="s">
        <v>33</v>
      </c>
      <c r="T493" s="13" t="s">
        <v>33</v>
      </c>
      <c r="U493" s="13" t="s">
        <v>33</v>
      </c>
      <c r="V493" s="13" t="s">
        <v>33</v>
      </c>
      <c r="W493" s="6" t="b">
        <v>0</v>
      </c>
      <c r="X493" s="6" t="s">
        <v>1301</v>
      </c>
      <c r="Y493" s="6" t="s">
        <v>1326</v>
      </c>
      <c r="Z493" s="6">
        <v>589</v>
      </c>
      <c r="AA493" s="7" t="str">
        <f t="shared" si="127"/>
        <v>OK - sims match current assumptions</v>
      </c>
      <c r="AB493" s="13" t="s">
        <v>33</v>
      </c>
      <c r="AC493" s="13" t="s">
        <v>33</v>
      </c>
      <c r="AD493" s="13" t="s">
        <v>33</v>
      </c>
      <c r="AE493" s="13" t="s">
        <v>33</v>
      </c>
      <c r="AF493" s="13" t="s">
        <v>33</v>
      </c>
      <c r="AG493" s="13" t="s">
        <v>33</v>
      </c>
      <c r="AH493" s="6" t="b">
        <v>0</v>
      </c>
      <c r="AI493" s="13" t="s">
        <v>33</v>
      </c>
      <c r="AJ493" s="13" t="s">
        <v>33</v>
      </c>
      <c r="AK493" s="13" t="s">
        <v>33</v>
      </c>
      <c r="AL493" s="6">
        <v>0</v>
      </c>
      <c r="AM493" s="13" t="s">
        <v>33</v>
      </c>
    </row>
    <row r="494" spans="1:39" ht="15" customHeight="1" x14ac:dyDescent="0.3">
      <c r="A494" s="6" t="s">
        <v>472</v>
      </c>
      <c r="B494" s="7" t="str">
        <f>Odds_Input!C598</f>
        <v>Josh Hart</v>
      </c>
      <c r="C494" s="6" t="s">
        <v>33</v>
      </c>
      <c r="D494" s="7" t="str">
        <f>Odds_Input!D598</f>
        <v>YES</v>
      </c>
      <c r="E494" s="31" t="str">
        <f>Odds_Input!E598</f>
        <v>-</v>
      </c>
      <c r="F494" s="32">
        <f>Odds_Input!F598</f>
        <v>7100</v>
      </c>
      <c r="G494" s="36">
        <f>M_DeVig!H598</f>
        <v>72</v>
      </c>
      <c r="H494" s="7" t="str">
        <f>Odds_Input!G598</f>
        <v>-</v>
      </c>
      <c r="I494" s="42">
        <f>M_DeVig!Q598</f>
        <v>8.8581171860811613E-3</v>
      </c>
      <c r="J494" s="13" t="s">
        <v>33</v>
      </c>
      <c r="K494" s="43">
        <f t="shared" si="126"/>
        <v>11189.080726673032</v>
      </c>
      <c r="L494" s="13" t="s">
        <v>33</v>
      </c>
      <c r="M494" s="13" t="s">
        <v>33</v>
      </c>
      <c r="N494" s="13" t="s">
        <v>33</v>
      </c>
      <c r="O494" s="13" t="s">
        <v>33</v>
      </c>
      <c r="P494" s="13" t="s">
        <v>33</v>
      </c>
      <c r="Q494" s="13" t="s">
        <v>33</v>
      </c>
      <c r="R494" s="13" t="s">
        <v>33</v>
      </c>
      <c r="S494" s="13" t="s">
        <v>33</v>
      </c>
      <c r="T494" s="13" t="s">
        <v>33</v>
      </c>
      <c r="U494" s="13" t="s">
        <v>33</v>
      </c>
      <c r="V494" s="13" t="s">
        <v>33</v>
      </c>
      <c r="W494" s="6" t="b">
        <v>0</v>
      </c>
      <c r="X494" s="6" t="s">
        <v>1301</v>
      </c>
      <c r="Y494" s="6" t="s">
        <v>1326</v>
      </c>
      <c r="Z494" s="6">
        <v>590</v>
      </c>
      <c r="AA494" s="7" t="str">
        <f t="shared" si="127"/>
        <v>OK - sims match current assumptions</v>
      </c>
      <c r="AB494" s="13" t="s">
        <v>33</v>
      </c>
      <c r="AC494" s="13" t="s">
        <v>33</v>
      </c>
      <c r="AD494" s="13" t="s">
        <v>33</v>
      </c>
      <c r="AE494" s="13" t="s">
        <v>33</v>
      </c>
      <c r="AF494" s="13" t="s">
        <v>33</v>
      </c>
      <c r="AG494" s="13" t="s">
        <v>33</v>
      </c>
      <c r="AH494" s="6" t="b">
        <v>0</v>
      </c>
      <c r="AI494" s="13" t="s">
        <v>33</v>
      </c>
      <c r="AJ494" s="13" t="s">
        <v>33</v>
      </c>
      <c r="AK494" s="13" t="s">
        <v>33</v>
      </c>
      <c r="AL494" s="6">
        <v>0</v>
      </c>
      <c r="AM494" s="13" t="s">
        <v>33</v>
      </c>
    </row>
    <row r="495" spans="1:39" ht="15" customHeight="1" x14ac:dyDescent="0.3">
      <c r="A495" s="6" t="s">
        <v>472</v>
      </c>
      <c r="B495" s="7" t="str">
        <f>Odds_Input!C599</f>
        <v>Mikal Bridges</v>
      </c>
      <c r="C495" s="6" t="s">
        <v>33</v>
      </c>
      <c r="D495" s="7" t="str">
        <f>Odds_Input!D599</f>
        <v>YES</v>
      </c>
      <c r="E495" s="31" t="str">
        <f>Odds_Input!E599</f>
        <v>-</v>
      </c>
      <c r="F495" s="32">
        <f>Odds_Input!F599</f>
        <v>7600</v>
      </c>
      <c r="G495" s="36">
        <f>M_DeVig!H599</f>
        <v>77</v>
      </c>
      <c r="H495" s="7" t="str">
        <f>Odds_Input!G599</f>
        <v>-</v>
      </c>
      <c r="I495" s="42">
        <f>M_DeVig!Q599</f>
        <v>8.1074138851885639E-3</v>
      </c>
      <c r="J495" s="13" t="s">
        <v>33</v>
      </c>
      <c r="K495" s="43">
        <f t="shared" si="126"/>
        <v>12234.389413952336</v>
      </c>
      <c r="L495" s="13" t="s">
        <v>33</v>
      </c>
      <c r="M495" s="13" t="s">
        <v>33</v>
      </c>
      <c r="N495" s="13" t="s">
        <v>33</v>
      </c>
      <c r="O495" s="13" t="s">
        <v>33</v>
      </c>
      <c r="P495" s="13" t="s">
        <v>33</v>
      </c>
      <c r="Q495" s="13" t="s">
        <v>33</v>
      </c>
      <c r="R495" s="13" t="s">
        <v>33</v>
      </c>
      <c r="S495" s="13" t="s">
        <v>33</v>
      </c>
      <c r="T495" s="13" t="s">
        <v>33</v>
      </c>
      <c r="U495" s="13" t="s">
        <v>33</v>
      </c>
      <c r="V495" s="13" t="s">
        <v>33</v>
      </c>
      <c r="W495" s="6" t="b">
        <v>0</v>
      </c>
      <c r="X495" s="6" t="s">
        <v>1301</v>
      </c>
      <c r="Y495" s="6" t="s">
        <v>1326</v>
      </c>
      <c r="Z495" s="6">
        <v>591</v>
      </c>
      <c r="AA495" s="7" t="str">
        <f t="shared" si="127"/>
        <v>OK - sims match current assumptions</v>
      </c>
      <c r="AB495" s="13" t="s">
        <v>33</v>
      </c>
      <c r="AC495" s="13" t="s">
        <v>33</v>
      </c>
      <c r="AD495" s="13" t="s">
        <v>33</v>
      </c>
      <c r="AE495" s="13" t="s">
        <v>33</v>
      </c>
      <c r="AF495" s="13" t="s">
        <v>33</v>
      </c>
      <c r="AG495" s="13" t="s">
        <v>33</v>
      </c>
      <c r="AH495" s="6" t="b">
        <v>0</v>
      </c>
      <c r="AI495" s="13" t="s">
        <v>33</v>
      </c>
      <c r="AJ495" s="13" t="s">
        <v>33</v>
      </c>
      <c r="AK495" s="13" t="s">
        <v>33</v>
      </c>
      <c r="AL495" s="6">
        <v>0</v>
      </c>
      <c r="AM495" s="13" t="s">
        <v>33</v>
      </c>
    </row>
    <row r="496" spans="1:39" ht="15" customHeight="1" x14ac:dyDescent="0.3">
      <c r="A496" s="6" t="s">
        <v>472</v>
      </c>
      <c r="B496" s="7" t="str">
        <f>Odds_Input!C600</f>
        <v>Luka Doncic</v>
      </c>
      <c r="C496" s="6" t="s">
        <v>33</v>
      </c>
      <c r="D496" s="7" t="str">
        <f>Odds_Input!D600</f>
        <v>YES</v>
      </c>
      <c r="E496" s="31" t="str">
        <f>Odds_Input!E600</f>
        <v>-</v>
      </c>
      <c r="F496" s="32">
        <f>Odds_Input!F600</f>
        <v>7600</v>
      </c>
      <c r="G496" s="36">
        <f>M_DeVig!H600</f>
        <v>77</v>
      </c>
      <c r="H496" s="7" t="str">
        <f>Odds_Input!G600</f>
        <v>-</v>
      </c>
      <c r="I496" s="42">
        <f>M_DeVig!Q600</f>
        <v>8.1074138851885639E-3</v>
      </c>
      <c r="J496" s="13" t="s">
        <v>33</v>
      </c>
      <c r="K496" s="43">
        <f t="shared" si="126"/>
        <v>12234.389413952336</v>
      </c>
      <c r="L496" s="13" t="s">
        <v>33</v>
      </c>
      <c r="M496" s="13" t="s">
        <v>33</v>
      </c>
      <c r="N496" s="13" t="s">
        <v>33</v>
      </c>
      <c r="O496" s="13" t="s">
        <v>33</v>
      </c>
      <c r="P496" s="13" t="s">
        <v>33</v>
      </c>
      <c r="Q496" s="13" t="s">
        <v>33</v>
      </c>
      <c r="R496" s="13" t="s">
        <v>33</v>
      </c>
      <c r="S496" s="13" t="s">
        <v>33</v>
      </c>
      <c r="T496" s="13" t="s">
        <v>33</v>
      </c>
      <c r="U496" s="13" t="s">
        <v>33</v>
      </c>
      <c r="V496" s="13" t="s">
        <v>33</v>
      </c>
      <c r="W496" s="6" t="b">
        <v>0</v>
      </c>
      <c r="X496" s="6" t="s">
        <v>1301</v>
      </c>
      <c r="Y496" s="6" t="s">
        <v>1326</v>
      </c>
      <c r="Z496" s="6">
        <v>592</v>
      </c>
      <c r="AA496" s="7" t="str">
        <f t="shared" si="127"/>
        <v>OK - sims match current assumptions</v>
      </c>
      <c r="AB496" s="13" t="s">
        <v>33</v>
      </c>
      <c r="AC496" s="13" t="s">
        <v>33</v>
      </c>
      <c r="AD496" s="13" t="s">
        <v>33</v>
      </c>
      <c r="AE496" s="13" t="s">
        <v>33</v>
      </c>
      <c r="AF496" s="13" t="s">
        <v>33</v>
      </c>
      <c r="AG496" s="13" t="s">
        <v>33</v>
      </c>
      <c r="AH496" s="6" t="b">
        <v>0</v>
      </c>
      <c r="AI496" s="13" t="s">
        <v>33</v>
      </c>
      <c r="AJ496" s="13" t="s">
        <v>33</v>
      </c>
      <c r="AK496" s="13" t="s">
        <v>33</v>
      </c>
      <c r="AL496" s="6">
        <v>0</v>
      </c>
      <c r="AM496" s="13" t="s">
        <v>33</v>
      </c>
    </row>
    <row r="497" spans="1:39" ht="15" customHeight="1" x14ac:dyDescent="0.3">
      <c r="A497" s="6" t="s">
        <v>472</v>
      </c>
      <c r="B497" s="7" t="str">
        <f>Odds_Input!C601</f>
        <v>Nikola Jokic</v>
      </c>
      <c r="C497" s="6" t="s">
        <v>33</v>
      </c>
      <c r="D497" s="7" t="str">
        <f>Odds_Input!D601</f>
        <v>YES</v>
      </c>
      <c r="E497" s="31" t="str">
        <f>Odds_Input!E601</f>
        <v>-</v>
      </c>
      <c r="F497" s="32">
        <f>Odds_Input!F601</f>
        <v>8500</v>
      </c>
      <c r="G497" s="36">
        <f>M_DeVig!H601</f>
        <v>86</v>
      </c>
      <c r="H497" s="7" t="str">
        <f>Odds_Input!G601</f>
        <v>-</v>
      </c>
      <c r="I497" s="42">
        <f>M_DeVig!Q601</f>
        <v>6.9871286491685241E-3</v>
      </c>
      <c r="J497" s="13" t="s">
        <v>33</v>
      </c>
      <c r="K497" s="43">
        <f t="shared" si="126"/>
        <v>14212.030738392101</v>
      </c>
      <c r="L497" s="13" t="s">
        <v>33</v>
      </c>
      <c r="M497" s="13" t="s">
        <v>33</v>
      </c>
      <c r="N497" s="13" t="s">
        <v>33</v>
      </c>
      <c r="O497" s="13" t="s">
        <v>33</v>
      </c>
      <c r="P497" s="13" t="s">
        <v>33</v>
      </c>
      <c r="Q497" s="13" t="s">
        <v>33</v>
      </c>
      <c r="R497" s="13" t="s">
        <v>33</v>
      </c>
      <c r="S497" s="13" t="s">
        <v>33</v>
      </c>
      <c r="T497" s="13" t="s">
        <v>33</v>
      </c>
      <c r="U497" s="13" t="s">
        <v>33</v>
      </c>
      <c r="V497" s="13" t="s">
        <v>33</v>
      </c>
      <c r="W497" s="6" t="b">
        <v>0</v>
      </c>
      <c r="X497" s="6" t="s">
        <v>1301</v>
      </c>
      <c r="Y497" s="6" t="s">
        <v>1326</v>
      </c>
      <c r="Z497" s="6">
        <v>593</v>
      </c>
      <c r="AA497" s="7" t="str">
        <f t="shared" si="127"/>
        <v>OK - sims match current assumptions</v>
      </c>
      <c r="AB497" s="13" t="s">
        <v>33</v>
      </c>
      <c r="AC497" s="13" t="s">
        <v>33</v>
      </c>
      <c r="AD497" s="13" t="s">
        <v>33</v>
      </c>
      <c r="AE497" s="13" t="s">
        <v>33</v>
      </c>
      <c r="AF497" s="13" t="s">
        <v>33</v>
      </c>
      <c r="AG497" s="13" t="s">
        <v>33</v>
      </c>
      <c r="AH497" s="6" t="b">
        <v>0</v>
      </c>
      <c r="AI497" s="13" t="s">
        <v>33</v>
      </c>
      <c r="AJ497" s="13" t="s">
        <v>33</v>
      </c>
      <c r="AK497" s="13" t="s">
        <v>33</v>
      </c>
      <c r="AL497" s="6">
        <v>0</v>
      </c>
      <c r="AM497" s="13" t="s">
        <v>33</v>
      </c>
    </row>
    <row r="498" spans="1:39" ht="15" customHeight="1" x14ac:dyDescent="0.3">
      <c r="A498" s="6" t="s">
        <v>472</v>
      </c>
      <c r="B498" s="7" t="str">
        <f>Odds_Input!C602</f>
        <v>Alex Caruso</v>
      </c>
      <c r="C498" s="6" t="s">
        <v>33</v>
      </c>
      <c r="D498" s="7" t="str">
        <f>Odds_Input!D602</f>
        <v>YES</v>
      </c>
      <c r="E498" s="31" t="str">
        <f>Odds_Input!E602</f>
        <v>-</v>
      </c>
      <c r="F498" s="32">
        <f>Odds_Input!F602</f>
        <v>8100</v>
      </c>
      <c r="G498" s="36">
        <f>M_DeVig!H602</f>
        <v>82</v>
      </c>
      <c r="H498" s="7" t="str">
        <f>Odds_Input!G602</f>
        <v>-</v>
      </c>
      <c r="I498" s="42">
        <f>M_DeVig!Q602</f>
        <v>7.4528669405706377E-3</v>
      </c>
      <c r="J498" s="13" t="s">
        <v>33</v>
      </c>
      <c r="K498" s="43">
        <f t="shared" si="126"/>
        <v>13317.655352953796</v>
      </c>
      <c r="L498" s="13" t="s">
        <v>33</v>
      </c>
      <c r="M498" s="13" t="s">
        <v>33</v>
      </c>
      <c r="N498" s="13" t="s">
        <v>33</v>
      </c>
      <c r="O498" s="13" t="s">
        <v>33</v>
      </c>
      <c r="P498" s="13" t="s">
        <v>33</v>
      </c>
      <c r="Q498" s="13" t="s">
        <v>33</v>
      </c>
      <c r="R498" s="13" t="s">
        <v>33</v>
      </c>
      <c r="S498" s="13" t="s">
        <v>33</v>
      </c>
      <c r="T498" s="13" t="s">
        <v>33</v>
      </c>
      <c r="U498" s="13" t="s">
        <v>33</v>
      </c>
      <c r="V498" s="13" t="s">
        <v>33</v>
      </c>
      <c r="W498" s="6" t="b">
        <v>0</v>
      </c>
      <c r="X498" s="6" t="s">
        <v>1301</v>
      </c>
      <c r="Y498" s="6" t="s">
        <v>1326</v>
      </c>
      <c r="Z498" s="6">
        <v>594</v>
      </c>
      <c r="AA498" s="7" t="str">
        <f t="shared" si="127"/>
        <v>OK - sims match current assumptions</v>
      </c>
      <c r="AB498" s="13" t="s">
        <v>33</v>
      </c>
      <c r="AC498" s="13" t="s">
        <v>33</v>
      </c>
      <c r="AD498" s="13" t="s">
        <v>33</v>
      </c>
      <c r="AE498" s="13" t="s">
        <v>33</v>
      </c>
      <c r="AF498" s="13" t="s">
        <v>33</v>
      </c>
      <c r="AG498" s="13" t="s">
        <v>33</v>
      </c>
      <c r="AH498" s="6" t="b">
        <v>0</v>
      </c>
      <c r="AI498" s="13" t="s">
        <v>33</v>
      </c>
      <c r="AJ498" s="13" t="s">
        <v>33</v>
      </c>
      <c r="AK498" s="13" t="s">
        <v>33</v>
      </c>
      <c r="AL498" s="6">
        <v>0</v>
      </c>
      <c r="AM498" s="13" t="s">
        <v>33</v>
      </c>
    </row>
    <row r="499" spans="1:39" ht="15" customHeight="1" x14ac:dyDescent="0.3">
      <c r="A499" s="6" t="s">
        <v>472</v>
      </c>
      <c r="B499" s="7" t="str">
        <f>Odds_Input!C603</f>
        <v>Jordan Goodwin</v>
      </c>
      <c r="C499" s="6" t="s">
        <v>33</v>
      </c>
      <c r="D499" s="7" t="str">
        <f>Odds_Input!D603</f>
        <v>YES</v>
      </c>
      <c r="E499" s="31" t="str">
        <f>Odds_Input!E603</f>
        <v>-</v>
      </c>
      <c r="F499" s="32">
        <f>Odds_Input!F603</f>
        <v>8500</v>
      </c>
      <c r="G499" s="36">
        <f>M_DeVig!H603</f>
        <v>86</v>
      </c>
      <c r="H499" s="7" t="str">
        <f>Odds_Input!G603</f>
        <v>-</v>
      </c>
      <c r="I499" s="42">
        <f>M_DeVig!Q603</f>
        <v>6.9871286491685241E-3</v>
      </c>
      <c r="J499" s="13" t="s">
        <v>33</v>
      </c>
      <c r="K499" s="43">
        <f t="shared" si="126"/>
        <v>14212.030738392101</v>
      </c>
      <c r="L499" s="13" t="s">
        <v>33</v>
      </c>
      <c r="M499" s="13" t="s">
        <v>33</v>
      </c>
      <c r="N499" s="13" t="s">
        <v>33</v>
      </c>
      <c r="O499" s="13" t="s">
        <v>33</v>
      </c>
      <c r="P499" s="13" t="s">
        <v>33</v>
      </c>
      <c r="Q499" s="13" t="s">
        <v>33</v>
      </c>
      <c r="R499" s="13" t="s">
        <v>33</v>
      </c>
      <c r="S499" s="13" t="s">
        <v>33</v>
      </c>
      <c r="T499" s="13" t="s">
        <v>33</v>
      </c>
      <c r="U499" s="13" t="s">
        <v>33</v>
      </c>
      <c r="V499" s="13" t="s">
        <v>33</v>
      </c>
      <c r="W499" s="6" t="b">
        <v>0</v>
      </c>
      <c r="X499" s="6" t="s">
        <v>1301</v>
      </c>
      <c r="Y499" s="6" t="s">
        <v>1326</v>
      </c>
      <c r="Z499" s="6">
        <v>595</v>
      </c>
      <c r="AA499" s="7" t="str">
        <f t="shared" si="127"/>
        <v>OK - sims match current assumptions</v>
      </c>
      <c r="AB499" s="13" t="s">
        <v>33</v>
      </c>
      <c r="AC499" s="13" t="s">
        <v>33</v>
      </c>
      <c r="AD499" s="13" t="s">
        <v>33</v>
      </c>
      <c r="AE499" s="13" t="s">
        <v>33</v>
      </c>
      <c r="AF499" s="13" t="s">
        <v>33</v>
      </c>
      <c r="AG499" s="13" t="s">
        <v>33</v>
      </c>
      <c r="AH499" s="6" t="b">
        <v>0</v>
      </c>
      <c r="AI499" s="13" t="s">
        <v>33</v>
      </c>
      <c r="AJ499" s="13" t="s">
        <v>33</v>
      </c>
      <c r="AK499" s="13" t="s">
        <v>33</v>
      </c>
      <c r="AL499" s="6">
        <v>0</v>
      </c>
      <c r="AM499" s="13" t="s">
        <v>33</v>
      </c>
    </row>
    <row r="500" spans="1:39" ht="15" customHeight="1" x14ac:dyDescent="0.3">
      <c r="A500" s="6" t="s">
        <v>472</v>
      </c>
      <c r="B500" s="7" t="str">
        <f>Odds_Input!C604</f>
        <v>Ryan Rollins</v>
      </c>
      <c r="C500" s="6" t="s">
        <v>33</v>
      </c>
      <c r="D500" s="7" t="str">
        <f>Odds_Input!D604</f>
        <v>YES</v>
      </c>
      <c r="E500" s="31" t="str">
        <f>Odds_Input!E604</f>
        <v>-</v>
      </c>
      <c r="F500" s="32">
        <f>Odds_Input!F604</f>
        <v>9500</v>
      </c>
      <c r="G500" s="36">
        <f>M_DeVig!H604</f>
        <v>96</v>
      </c>
      <c r="H500" s="7" t="str">
        <f>Odds_Input!G604</f>
        <v>-</v>
      </c>
      <c r="I500" s="42">
        <f>M_DeVig!Q604</f>
        <v>6.0030771472518729E-3</v>
      </c>
      <c r="J500" s="13" t="s">
        <v>33</v>
      </c>
      <c r="K500" s="43">
        <f t="shared" si="126"/>
        <v>16558.123416884395</v>
      </c>
      <c r="L500" s="13" t="s">
        <v>33</v>
      </c>
      <c r="M500" s="13" t="s">
        <v>33</v>
      </c>
      <c r="N500" s="13" t="s">
        <v>33</v>
      </c>
      <c r="O500" s="13" t="s">
        <v>33</v>
      </c>
      <c r="P500" s="13" t="s">
        <v>33</v>
      </c>
      <c r="Q500" s="13" t="s">
        <v>33</v>
      </c>
      <c r="R500" s="13" t="s">
        <v>33</v>
      </c>
      <c r="S500" s="13" t="s">
        <v>33</v>
      </c>
      <c r="T500" s="13" t="s">
        <v>33</v>
      </c>
      <c r="U500" s="13" t="s">
        <v>33</v>
      </c>
      <c r="V500" s="13" t="s">
        <v>33</v>
      </c>
      <c r="W500" s="6" t="b">
        <v>0</v>
      </c>
      <c r="X500" s="6" t="s">
        <v>1301</v>
      </c>
      <c r="Y500" s="6" t="s">
        <v>1326</v>
      </c>
      <c r="Z500" s="6">
        <v>596</v>
      </c>
      <c r="AA500" s="7" t="str">
        <f t="shared" si="127"/>
        <v>OK - sims match current assumptions</v>
      </c>
      <c r="AB500" s="13" t="s">
        <v>33</v>
      </c>
      <c r="AC500" s="13" t="s">
        <v>33</v>
      </c>
      <c r="AD500" s="13" t="s">
        <v>33</v>
      </c>
      <c r="AE500" s="13" t="s">
        <v>33</v>
      </c>
      <c r="AF500" s="13" t="s">
        <v>33</v>
      </c>
      <c r="AG500" s="13" t="s">
        <v>33</v>
      </c>
      <c r="AH500" s="6" t="b">
        <v>0</v>
      </c>
      <c r="AI500" s="13" t="s">
        <v>33</v>
      </c>
      <c r="AJ500" s="13" t="s">
        <v>33</v>
      </c>
      <c r="AK500" s="13" t="s">
        <v>33</v>
      </c>
      <c r="AL500" s="6">
        <v>0</v>
      </c>
      <c r="AM500" s="13" t="s">
        <v>33</v>
      </c>
    </row>
    <row r="501" spans="1:39" ht="15" customHeight="1" x14ac:dyDescent="0.3">
      <c r="A501" s="6" t="s">
        <v>472</v>
      </c>
      <c r="B501" s="7" t="str">
        <f>Odds_Input!C605</f>
        <v>Jalen Williams</v>
      </c>
      <c r="C501" s="6" t="s">
        <v>33</v>
      </c>
      <c r="D501" s="7" t="str">
        <f>Odds_Input!D605</f>
        <v>YES</v>
      </c>
      <c r="E501" s="31" t="str">
        <f>Odds_Input!E605</f>
        <v>-</v>
      </c>
      <c r="F501" s="32">
        <f>Odds_Input!F605</f>
        <v>9100</v>
      </c>
      <c r="G501" s="36">
        <f>M_DeVig!H605</f>
        <v>92</v>
      </c>
      <c r="H501" s="7" t="str">
        <f>Odds_Input!G605</f>
        <v>-</v>
      </c>
      <c r="I501" s="42">
        <f>M_DeVig!Q605</f>
        <v>6.3691789090143027E-3</v>
      </c>
      <c r="J501" s="13" t="s">
        <v>33</v>
      </c>
      <c r="K501" s="43">
        <f t="shared" si="126"/>
        <v>15600.610930942754</v>
      </c>
      <c r="L501" s="13" t="s">
        <v>33</v>
      </c>
      <c r="M501" s="13" t="s">
        <v>33</v>
      </c>
      <c r="N501" s="13" t="s">
        <v>33</v>
      </c>
      <c r="O501" s="13" t="s">
        <v>33</v>
      </c>
      <c r="P501" s="13" t="s">
        <v>33</v>
      </c>
      <c r="Q501" s="13" t="s">
        <v>33</v>
      </c>
      <c r="R501" s="13" t="s">
        <v>33</v>
      </c>
      <c r="S501" s="13" t="s">
        <v>33</v>
      </c>
      <c r="T501" s="13" t="s">
        <v>33</v>
      </c>
      <c r="U501" s="13" t="s">
        <v>33</v>
      </c>
      <c r="V501" s="13" t="s">
        <v>33</v>
      </c>
      <c r="W501" s="6" t="b">
        <v>0</v>
      </c>
      <c r="X501" s="6" t="s">
        <v>1301</v>
      </c>
      <c r="Y501" s="6" t="s">
        <v>1326</v>
      </c>
      <c r="Z501" s="6">
        <v>597</v>
      </c>
      <c r="AA501" s="7" t="str">
        <f t="shared" si="127"/>
        <v>OK - sims match current assumptions</v>
      </c>
      <c r="AB501" s="13" t="s">
        <v>33</v>
      </c>
      <c r="AC501" s="13" t="s">
        <v>33</v>
      </c>
      <c r="AD501" s="13" t="s">
        <v>33</v>
      </c>
      <c r="AE501" s="13" t="s">
        <v>33</v>
      </c>
      <c r="AF501" s="13" t="s">
        <v>33</v>
      </c>
      <c r="AG501" s="13" t="s">
        <v>33</v>
      </c>
      <c r="AH501" s="6" t="b">
        <v>0</v>
      </c>
      <c r="AI501" s="13" t="s">
        <v>33</v>
      </c>
      <c r="AJ501" s="13" t="s">
        <v>33</v>
      </c>
      <c r="AK501" s="13" t="s">
        <v>33</v>
      </c>
      <c r="AL501" s="6">
        <v>0</v>
      </c>
      <c r="AM501" s="13" t="s">
        <v>33</v>
      </c>
    </row>
    <row r="502" spans="1:39" ht="15" customHeight="1" x14ac:dyDescent="0.3">
      <c r="A502" s="6" t="s">
        <v>472</v>
      </c>
      <c r="B502" s="7" t="str">
        <f>Odds_Input!C606</f>
        <v>Anthony Black</v>
      </c>
      <c r="C502" s="6" t="s">
        <v>33</v>
      </c>
      <c r="D502" s="7" t="str">
        <f>Odds_Input!D606</f>
        <v>YES</v>
      </c>
      <c r="E502" s="31" t="str">
        <f>Odds_Input!E606</f>
        <v>-</v>
      </c>
      <c r="F502" s="32">
        <f>Odds_Input!F606</f>
        <v>9500</v>
      </c>
      <c r="G502" s="36">
        <f>M_DeVig!H606</f>
        <v>96</v>
      </c>
      <c r="H502" s="7" t="str">
        <f>Odds_Input!G606</f>
        <v>-</v>
      </c>
      <c r="I502" s="42">
        <f>M_DeVig!Q606</f>
        <v>6.0030771472518729E-3</v>
      </c>
      <c r="J502" s="13" t="s">
        <v>33</v>
      </c>
      <c r="K502" s="43">
        <f t="shared" si="126"/>
        <v>16558.123416884395</v>
      </c>
      <c r="L502" s="13" t="s">
        <v>33</v>
      </c>
      <c r="M502" s="13" t="s">
        <v>33</v>
      </c>
      <c r="N502" s="13" t="s">
        <v>33</v>
      </c>
      <c r="O502" s="13" t="s">
        <v>33</v>
      </c>
      <c r="P502" s="13" t="s">
        <v>33</v>
      </c>
      <c r="Q502" s="13" t="s">
        <v>33</v>
      </c>
      <c r="R502" s="13" t="s">
        <v>33</v>
      </c>
      <c r="S502" s="13" t="s">
        <v>33</v>
      </c>
      <c r="T502" s="13" t="s">
        <v>33</v>
      </c>
      <c r="U502" s="13" t="s">
        <v>33</v>
      </c>
      <c r="V502" s="13" t="s">
        <v>33</v>
      </c>
      <c r="W502" s="6" t="b">
        <v>0</v>
      </c>
      <c r="X502" s="6" t="s">
        <v>1301</v>
      </c>
      <c r="Y502" s="6" t="s">
        <v>1326</v>
      </c>
      <c r="Z502" s="6">
        <v>598</v>
      </c>
      <c r="AA502" s="7" t="str">
        <f t="shared" si="127"/>
        <v>OK - sims match current assumptions</v>
      </c>
      <c r="AB502" s="13" t="s">
        <v>33</v>
      </c>
      <c r="AC502" s="13" t="s">
        <v>33</v>
      </c>
      <c r="AD502" s="13" t="s">
        <v>33</v>
      </c>
      <c r="AE502" s="13" t="s">
        <v>33</v>
      </c>
      <c r="AF502" s="13" t="s">
        <v>33</v>
      </c>
      <c r="AG502" s="13" t="s">
        <v>33</v>
      </c>
      <c r="AH502" s="6" t="b">
        <v>0</v>
      </c>
      <c r="AI502" s="13" t="s">
        <v>33</v>
      </c>
      <c r="AJ502" s="13" t="s">
        <v>33</v>
      </c>
      <c r="AK502" s="13" t="s">
        <v>33</v>
      </c>
      <c r="AL502" s="6">
        <v>0</v>
      </c>
      <c r="AM502" s="13" t="s">
        <v>33</v>
      </c>
    </row>
    <row r="503" spans="1:39" ht="15" customHeight="1" x14ac:dyDescent="0.3">
      <c r="A503" s="6" t="s">
        <v>472</v>
      </c>
      <c r="B503" s="7" t="str">
        <f>Odds_Input!C607</f>
        <v>Scottie Barnes</v>
      </c>
      <c r="C503" s="6" t="s">
        <v>33</v>
      </c>
      <c r="D503" s="7" t="str">
        <f>Odds_Input!D607</f>
        <v>YES</v>
      </c>
      <c r="E503" s="31" t="str">
        <f>Odds_Input!E607</f>
        <v>-</v>
      </c>
      <c r="F503" s="32">
        <f>Odds_Input!F607</f>
        <v>10000</v>
      </c>
      <c r="G503" s="36">
        <f>M_DeVig!H607</f>
        <v>101</v>
      </c>
      <c r="H503" s="7" t="str">
        <f>Odds_Input!G607</f>
        <v>-</v>
      </c>
      <c r="I503" s="42">
        <f>M_DeVig!Q607</f>
        <v>5.5893087933824651E-3</v>
      </c>
      <c r="J503" s="13" t="s">
        <v>33</v>
      </c>
      <c r="K503" s="43">
        <f t="shared" si="126"/>
        <v>17791.299925743286</v>
      </c>
      <c r="L503" s="13" t="s">
        <v>33</v>
      </c>
      <c r="M503" s="13" t="s">
        <v>33</v>
      </c>
      <c r="N503" s="13" t="s">
        <v>33</v>
      </c>
      <c r="O503" s="13" t="s">
        <v>33</v>
      </c>
      <c r="P503" s="13" t="s">
        <v>33</v>
      </c>
      <c r="Q503" s="13" t="s">
        <v>33</v>
      </c>
      <c r="R503" s="13" t="s">
        <v>33</v>
      </c>
      <c r="S503" s="13" t="s">
        <v>33</v>
      </c>
      <c r="T503" s="13" t="s">
        <v>33</v>
      </c>
      <c r="U503" s="13" t="s">
        <v>33</v>
      </c>
      <c r="V503" s="13" t="s">
        <v>33</v>
      </c>
      <c r="W503" s="6" t="b">
        <v>0</v>
      </c>
      <c r="X503" s="6" t="s">
        <v>1301</v>
      </c>
      <c r="Y503" s="6" t="s">
        <v>1326</v>
      </c>
      <c r="Z503" s="6">
        <v>599</v>
      </c>
      <c r="AA503" s="7" t="str">
        <f t="shared" si="127"/>
        <v>OK - sims match current assumptions</v>
      </c>
      <c r="AB503" s="13" t="s">
        <v>33</v>
      </c>
      <c r="AC503" s="13" t="s">
        <v>33</v>
      </c>
      <c r="AD503" s="13" t="s">
        <v>33</v>
      </c>
      <c r="AE503" s="13" t="s">
        <v>33</v>
      </c>
      <c r="AF503" s="13" t="s">
        <v>33</v>
      </c>
      <c r="AG503" s="13" t="s">
        <v>33</v>
      </c>
      <c r="AH503" s="6" t="b">
        <v>0</v>
      </c>
      <c r="AI503" s="13" t="s">
        <v>33</v>
      </c>
      <c r="AJ503" s="13" t="s">
        <v>33</v>
      </c>
      <c r="AK503" s="13" t="s">
        <v>33</v>
      </c>
      <c r="AL503" s="6">
        <v>0</v>
      </c>
      <c r="AM503" s="13" t="s">
        <v>33</v>
      </c>
    </row>
    <row r="504" spans="1:39" ht="15" customHeight="1" x14ac:dyDescent="0.3">
      <c r="A504" s="6" t="s">
        <v>472</v>
      </c>
      <c r="B504" s="7" t="str">
        <f>Odds_Input!C608</f>
        <v>Jalen Johnson</v>
      </c>
      <c r="C504" s="6" t="s">
        <v>33</v>
      </c>
      <c r="D504" s="7" t="str">
        <f>Odds_Input!D608</f>
        <v>YES</v>
      </c>
      <c r="E504" s="31" t="str">
        <f>Odds_Input!E608</f>
        <v>-</v>
      </c>
      <c r="F504" s="32">
        <f>Odds_Input!F608</f>
        <v>12000</v>
      </c>
      <c r="G504" s="36">
        <f>M_DeVig!H608</f>
        <v>121</v>
      </c>
      <c r="H504" s="7" t="str">
        <f>Odds_Input!G608</f>
        <v>-</v>
      </c>
      <c r="I504" s="42">
        <f>M_DeVig!Q608</f>
        <v>4.3033784529472908E-3</v>
      </c>
      <c r="J504" s="13" t="s">
        <v>33</v>
      </c>
      <c r="K504" s="43">
        <f t="shared" si="126"/>
        <v>23137.556513653166</v>
      </c>
      <c r="L504" s="13" t="s">
        <v>33</v>
      </c>
      <c r="M504" s="13" t="s">
        <v>33</v>
      </c>
      <c r="N504" s="13" t="s">
        <v>33</v>
      </c>
      <c r="O504" s="13" t="s">
        <v>33</v>
      </c>
      <c r="P504" s="13" t="s">
        <v>33</v>
      </c>
      <c r="Q504" s="13" t="s">
        <v>33</v>
      </c>
      <c r="R504" s="13" t="s">
        <v>33</v>
      </c>
      <c r="S504" s="13" t="s">
        <v>33</v>
      </c>
      <c r="T504" s="13" t="s">
        <v>33</v>
      </c>
      <c r="U504" s="13" t="s">
        <v>33</v>
      </c>
      <c r="V504" s="13" t="s">
        <v>33</v>
      </c>
      <c r="W504" s="6" t="b">
        <v>0</v>
      </c>
      <c r="X504" s="6" t="s">
        <v>1301</v>
      </c>
      <c r="Y504" s="6" t="s">
        <v>1326</v>
      </c>
      <c r="Z504" s="6">
        <v>600</v>
      </c>
      <c r="AA504" s="7" t="str">
        <f t="shared" si="127"/>
        <v>OK - sims match current assumptions</v>
      </c>
      <c r="AB504" s="13" t="s">
        <v>33</v>
      </c>
      <c r="AC504" s="13" t="s">
        <v>33</v>
      </c>
      <c r="AD504" s="13" t="s">
        <v>33</v>
      </c>
      <c r="AE504" s="13" t="s">
        <v>33</v>
      </c>
      <c r="AF504" s="13" t="s">
        <v>33</v>
      </c>
      <c r="AG504" s="13" t="s">
        <v>33</v>
      </c>
      <c r="AH504" s="6" t="b">
        <v>0</v>
      </c>
      <c r="AI504" s="13" t="s">
        <v>33</v>
      </c>
      <c r="AJ504" s="13" t="s">
        <v>33</v>
      </c>
      <c r="AK504" s="13" t="s">
        <v>33</v>
      </c>
      <c r="AL504" s="6">
        <v>0</v>
      </c>
      <c r="AM504" s="13" t="s">
        <v>33</v>
      </c>
    </row>
    <row r="505" spans="1:39" ht="15" customHeight="1" x14ac:dyDescent="0.3">
      <c r="A505" s="6" t="s">
        <v>472</v>
      </c>
      <c r="B505" s="7" t="str">
        <f>Odds_Input!C609</f>
        <v>Jaden McDaniels</v>
      </c>
      <c r="C505" s="6" t="s">
        <v>33</v>
      </c>
      <c r="D505" s="7" t="str">
        <f>Odds_Input!D609</f>
        <v>YES</v>
      </c>
      <c r="E505" s="31" t="str">
        <f>Odds_Input!E609</f>
        <v>-</v>
      </c>
      <c r="F505" s="32">
        <f>Odds_Input!F609</f>
        <v>13000</v>
      </c>
      <c r="G505" s="36">
        <f>M_DeVig!H609</f>
        <v>131</v>
      </c>
      <c r="H505" s="7" t="str">
        <f>Odds_Input!G609</f>
        <v>-</v>
      </c>
      <c r="I505" s="42">
        <f>M_DeVig!Q609</f>
        <v>3.8217961008662786E-3</v>
      </c>
      <c r="J505" s="13" t="s">
        <v>33</v>
      </c>
      <c r="K505" s="43">
        <f t="shared" si="126"/>
        <v>26065.707787846979</v>
      </c>
      <c r="L505" s="13" t="s">
        <v>33</v>
      </c>
      <c r="M505" s="13" t="s">
        <v>33</v>
      </c>
      <c r="N505" s="13" t="s">
        <v>33</v>
      </c>
      <c r="O505" s="13" t="s">
        <v>33</v>
      </c>
      <c r="P505" s="13" t="s">
        <v>33</v>
      </c>
      <c r="Q505" s="13" t="s">
        <v>33</v>
      </c>
      <c r="R505" s="13" t="s">
        <v>33</v>
      </c>
      <c r="S505" s="13" t="s">
        <v>33</v>
      </c>
      <c r="T505" s="13" t="s">
        <v>33</v>
      </c>
      <c r="U505" s="13" t="s">
        <v>33</v>
      </c>
      <c r="V505" s="13" t="s">
        <v>33</v>
      </c>
      <c r="W505" s="6" t="b">
        <v>0</v>
      </c>
      <c r="X505" s="6" t="s">
        <v>1301</v>
      </c>
      <c r="Y505" s="6" t="s">
        <v>1326</v>
      </c>
      <c r="Z505" s="6">
        <v>601</v>
      </c>
      <c r="AA505" s="7" t="str">
        <f t="shared" si="127"/>
        <v>OK - sims match current assumptions</v>
      </c>
      <c r="AB505" s="13" t="s">
        <v>33</v>
      </c>
      <c r="AC505" s="13" t="s">
        <v>33</v>
      </c>
      <c r="AD505" s="13" t="s">
        <v>33</v>
      </c>
      <c r="AE505" s="13" t="s">
        <v>33</v>
      </c>
      <c r="AF505" s="13" t="s">
        <v>33</v>
      </c>
      <c r="AG505" s="13" t="s">
        <v>33</v>
      </c>
      <c r="AH505" s="6" t="b">
        <v>0</v>
      </c>
      <c r="AI505" s="13" t="s">
        <v>33</v>
      </c>
      <c r="AJ505" s="13" t="s">
        <v>33</v>
      </c>
      <c r="AK505" s="13" t="s">
        <v>33</v>
      </c>
      <c r="AL505" s="6">
        <v>0</v>
      </c>
      <c r="AM505" s="13" t="s">
        <v>33</v>
      </c>
    </row>
    <row r="506" spans="1:39" ht="15" customHeight="1" x14ac:dyDescent="0.3">
      <c r="A506" s="6" t="s">
        <v>472</v>
      </c>
      <c r="B506" s="7" t="str">
        <f>Odds_Input!C610</f>
        <v>Donovan Mitchell</v>
      </c>
      <c r="C506" s="6" t="s">
        <v>33</v>
      </c>
      <c r="D506" s="7" t="str">
        <f>Odds_Input!D610</f>
        <v>YES</v>
      </c>
      <c r="E506" s="31" t="str">
        <f>Odds_Input!E610</f>
        <v>-</v>
      </c>
      <c r="F506" s="32">
        <f>Odds_Input!F610</f>
        <v>11000</v>
      </c>
      <c r="G506" s="36">
        <f>M_DeVig!H610</f>
        <v>111</v>
      </c>
      <c r="H506" s="7" t="str">
        <f>Odds_Input!G610</f>
        <v>-</v>
      </c>
      <c r="I506" s="42">
        <f>M_DeVig!Q610</f>
        <v>4.8826483242334568E-3</v>
      </c>
      <c r="J506" s="13" t="s">
        <v>33</v>
      </c>
      <c r="K506" s="43">
        <f t="shared" si="126"/>
        <v>20380.688626228133</v>
      </c>
      <c r="L506" s="13" t="s">
        <v>33</v>
      </c>
      <c r="M506" s="13" t="s">
        <v>33</v>
      </c>
      <c r="N506" s="13" t="s">
        <v>33</v>
      </c>
      <c r="O506" s="13" t="s">
        <v>33</v>
      </c>
      <c r="P506" s="13" t="s">
        <v>33</v>
      </c>
      <c r="Q506" s="13" t="s">
        <v>33</v>
      </c>
      <c r="R506" s="13" t="s">
        <v>33</v>
      </c>
      <c r="S506" s="13" t="s">
        <v>33</v>
      </c>
      <c r="T506" s="13" t="s">
        <v>33</v>
      </c>
      <c r="U506" s="13" t="s">
        <v>33</v>
      </c>
      <c r="V506" s="13" t="s">
        <v>33</v>
      </c>
      <c r="W506" s="6" t="b">
        <v>0</v>
      </c>
      <c r="X506" s="6" t="s">
        <v>1301</v>
      </c>
      <c r="Y506" s="6" t="s">
        <v>1326</v>
      </c>
      <c r="Z506" s="6">
        <v>602</v>
      </c>
      <c r="AA506" s="7" t="str">
        <f t="shared" si="127"/>
        <v>OK - sims match current assumptions</v>
      </c>
      <c r="AB506" s="13" t="s">
        <v>33</v>
      </c>
      <c r="AC506" s="13" t="s">
        <v>33</v>
      </c>
      <c r="AD506" s="13" t="s">
        <v>33</v>
      </c>
      <c r="AE506" s="13" t="s">
        <v>33</v>
      </c>
      <c r="AF506" s="13" t="s">
        <v>33</v>
      </c>
      <c r="AG506" s="13" t="s">
        <v>33</v>
      </c>
      <c r="AH506" s="6" t="b">
        <v>0</v>
      </c>
      <c r="AI506" s="13" t="s">
        <v>33</v>
      </c>
      <c r="AJ506" s="13" t="s">
        <v>33</v>
      </c>
      <c r="AK506" s="13" t="s">
        <v>33</v>
      </c>
      <c r="AL506" s="6">
        <v>0</v>
      </c>
      <c r="AM506" s="13" t="s">
        <v>33</v>
      </c>
    </row>
    <row r="507" spans="1:39" ht="15" customHeight="1" x14ac:dyDescent="0.3">
      <c r="A507" s="6" t="s">
        <v>472</v>
      </c>
      <c r="B507" s="7" t="str">
        <f>Odds_Input!C611</f>
        <v>Anthony Edwards</v>
      </c>
      <c r="C507" s="6" t="s">
        <v>33</v>
      </c>
      <c r="D507" s="7" t="str">
        <f>Odds_Input!D611</f>
        <v>YES</v>
      </c>
      <c r="E507" s="31" t="str">
        <f>Odds_Input!E611</f>
        <v>-</v>
      </c>
      <c r="F507" s="32">
        <f>Odds_Input!F611</f>
        <v>10000</v>
      </c>
      <c r="G507" s="36">
        <f>M_DeVig!H611</f>
        <v>101</v>
      </c>
      <c r="H507" s="7" t="str">
        <f>Odds_Input!G611</f>
        <v>-</v>
      </c>
      <c r="I507" s="42">
        <f>M_DeVig!Q611</f>
        <v>5.5893087933824651E-3</v>
      </c>
      <c r="J507" s="13" t="s">
        <v>33</v>
      </c>
      <c r="K507" s="43">
        <f t="shared" si="126"/>
        <v>17791.299925743286</v>
      </c>
      <c r="L507" s="13" t="s">
        <v>33</v>
      </c>
      <c r="M507" s="13" t="s">
        <v>33</v>
      </c>
      <c r="N507" s="13" t="s">
        <v>33</v>
      </c>
      <c r="O507" s="13" t="s">
        <v>33</v>
      </c>
      <c r="P507" s="13" t="s">
        <v>33</v>
      </c>
      <c r="Q507" s="13" t="s">
        <v>33</v>
      </c>
      <c r="R507" s="13" t="s">
        <v>33</v>
      </c>
      <c r="S507" s="13" t="s">
        <v>33</v>
      </c>
      <c r="T507" s="13" t="s">
        <v>33</v>
      </c>
      <c r="U507" s="13" t="s">
        <v>33</v>
      </c>
      <c r="V507" s="13" t="s">
        <v>33</v>
      </c>
      <c r="W507" s="6" t="b">
        <v>0</v>
      </c>
      <c r="X507" s="6" t="s">
        <v>1301</v>
      </c>
      <c r="Y507" s="6" t="s">
        <v>1326</v>
      </c>
      <c r="Z507" s="6">
        <v>603</v>
      </c>
      <c r="AA507" s="7" t="str">
        <f t="shared" si="127"/>
        <v>OK - sims match current assumptions</v>
      </c>
      <c r="AB507" s="13" t="s">
        <v>33</v>
      </c>
      <c r="AC507" s="13" t="s">
        <v>33</v>
      </c>
      <c r="AD507" s="13" t="s">
        <v>33</v>
      </c>
      <c r="AE507" s="13" t="s">
        <v>33</v>
      </c>
      <c r="AF507" s="13" t="s">
        <v>33</v>
      </c>
      <c r="AG507" s="13" t="s">
        <v>33</v>
      </c>
      <c r="AH507" s="6" t="b">
        <v>0</v>
      </c>
      <c r="AI507" s="13" t="s">
        <v>33</v>
      </c>
      <c r="AJ507" s="13" t="s">
        <v>33</v>
      </c>
      <c r="AK507" s="13" t="s">
        <v>33</v>
      </c>
      <c r="AL507" s="6">
        <v>0</v>
      </c>
      <c r="AM507" s="13" t="s">
        <v>33</v>
      </c>
    </row>
    <row r="508" spans="1:39" ht="15" customHeight="1" x14ac:dyDescent="0.3">
      <c r="A508" s="6" t="s">
        <v>472</v>
      </c>
      <c r="B508" s="7" t="str">
        <f>Odds_Input!C612</f>
        <v>Trey Murphy III</v>
      </c>
      <c r="C508" s="6" t="s">
        <v>33</v>
      </c>
      <c r="D508" s="7" t="str">
        <f>Odds_Input!D612</f>
        <v>YES</v>
      </c>
      <c r="E508" s="31" t="str">
        <f>Odds_Input!E612</f>
        <v>-</v>
      </c>
      <c r="F508" s="32">
        <f>Odds_Input!F612</f>
        <v>15000</v>
      </c>
      <c r="G508" s="36">
        <f>M_DeVig!H612</f>
        <v>151</v>
      </c>
      <c r="H508" s="7" t="str">
        <f>Odds_Input!G612</f>
        <v>-</v>
      </c>
      <c r="I508" s="42">
        <f>M_DeVig!Q612</f>
        <v>3.0722557472069702E-3</v>
      </c>
      <c r="J508" s="13" t="s">
        <v>33</v>
      </c>
      <c r="K508" s="43">
        <f t="shared" si="126"/>
        <v>32449.373564004683</v>
      </c>
      <c r="L508" s="13" t="s">
        <v>33</v>
      </c>
      <c r="M508" s="13" t="s">
        <v>33</v>
      </c>
      <c r="N508" s="13" t="s">
        <v>33</v>
      </c>
      <c r="O508" s="13" t="s">
        <v>33</v>
      </c>
      <c r="P508" s="13" t="s">
        <v>33</v>
      </c>
      <c r="Q508" s="13" t="s">
        <v>33</v>
      </c>
      <c r="R508" s="13" t="s">
        <v>33</v>
      </c>
      <c r="S508" s="13" t="s">
        <v>33</v>
      </c>
      <c r="T508" s="13" t="s">
        <v>33</v>
      </c>
      <c r="U508" s="13" t="s">
        <v>33</v>
      </c>
      <c r="V508" s="13" t="s">
        <v>33</v>
      </c>
      <c r="W508" s="6" t="b">
        <v>0</v>
      </c>
      <c r="X508" s="6" t="s">
        <v>1301</v>
      </c>
      <c r="Y508" s="6" t="s">
        <v>1326</v>
      </c>
      <c r="Z508" s="6">
        <v>604</v>
      </c>
      <c r="AA508" s="7" t="str">
        <f t="shared" si="127"/>
        <v>OK - sims match current assumptions</v>
      </c>
      <c r="AB508" s="13" t="s">
        <v>33</v>
      </c>
      <c r="AC508" s="13" t="s">
        <v>33</v>
      </c>
      <c r="AD508" s="13" t="s">
        <v>33</v>
      </c>
      <c r="AE508" s="13" t="s">
        <v>33</v>
      </c>
      <c r="AF508" s="13" t="s">
        <v>33</v>
      </c>
      <c r="AG508" s="13" t="s">
        <v>33</v>
      </c>
      <c r="AH508" s="6" t="b">
        <v>0</v>
      </c>
      <c r="AI508" s="13" t="s">
        <v>33</v>
      </c>
      <c r="AJ508" s="13" t="s">
        <v>33</v>
      </c>
      <c r="AK508" s="13" t="s">
        <v>33</v>
      </c>
      <c r="AL508" s="6">
        <v>0</v>
      </c>
      <c r="AM508" s="13" t="s">
        <v>33</v>
      </c>
    </row>
    <row r="509" spans="1:39" ht="15" customHeight="1" x14ac:dyDescent="0.3">
      <c r="A509" s="6" t="s">
        <v>472</v>
      </c>
      <c r="B509" s="7" t="str">
        <f>Odds_Input!C613</f>
        <v>Tari Eason</v>
      </c>
      <c r="C509" s="6" t="s">
        <v>33</v>
      </c>
      <c r="D509" s="7" t="str">
        <f>Odds_Input!D613</f>
        <v>YES</v>
      </c>
      <c r="E509" s="31" t="str">
        <f>Odds_Input!E613</f>
        <v>-</v>
      </c>
      <c r="F509" s="32">
        <f>Odds_Input!F613</f>
        <v>16000</v>
      </c>
      <c r="G509" s="36">
        <f>M_DeVig!H613</f>
        <v>161</v>
      </c>
      <c r="H509" s="7" t="str">
        <f>Odds_Input!G613</f>
        <v>-</v>
      </c>
      <c r="I509" s="42">
        <f>M_DeVig!Q613</f>
        <v>2.7769407286719694E-3</v>
      </c>
      <c r="J509" s="13" t="s">
        <v>33</v>
      </c>
      <c r="K509" s="43">
        <f t="shared" si="126"/>
        <v>35910.8514263549</v>
      </c>
      <c r="L509" s="13" t="s">
        <v>33</v>
      </c>
      <c r="M509" s="13" t="s">
        <v>33</v>
      </c>
      <c r="N509" s="13" t="s">
        <v>33</v>
      </c>
      <c r="O509" s="13" t="s">
        <v>33</v>
      </c>
      <c r="P509" s="13" t="s">
        <v>33</v>
      </c>
      <c r="Q509" s="13" t="s">
        <v>33</v>
      </c>
      <c r="R509" s="13" t="s">
        <v>33</v>
      </c>
      <c r="S509" s="13" t="s">
        <v>33</v>
      </c>
      <c r="T509" s="13" t="s">
        <v>33</v>
      </c>
      <c r="U509" s="13" t="s">
        <v>33</v>
      </c>
      <c r="V509" s="13" t="s">
        <v>33</v>
      </c>
      <c r="W509" s="6" t="b">
        <v>0</v>
      </c>
      <c r="X509" s="6" t="s">
        <v>1301</v>
      </c>
      <c r="Y509" s="6" t="s">
        <v>1326</v>
      </c>
      <c r="Z509" s="6">
        <v>605</v>
      </c>
      <c r="AA509" s="7" t="str">
        <f t="shared" si="127"/>
        <v>OK - sims match current assumptions</v>
      </c>
      <c r="AB509" s="13" t="s">
        <v>33</v>
      </c>
      <c r="AC509" s="13" t="s">
        <v>33</v>
      </c>
      <c r="AD509" s="13" t="s">
        <v>33</v>
      </c>
      <c r="AE509" s="13" t="s">
        <v>33</v>
      </c>
      <c r="AF509" s="13" t="s">
        <v>33</v>
      </c>
      <c r="AG509" s="13" t="s">
        <v>33</v>
      </c>
      <c r="AH509" s="6" t="b">
        <v>0</v>
      </c>
      <c r="AI509" s="13" t="s">
        <v>33</v>
      </c>
      <c r="AJ509" s="13" t="s">
        <v>33</v>
      </c>
      <c r="AK509" s="13" t="s">
        <v>33</v>
      </c>
      <c r="AL509" s="6">
        <v>0</v>
      </c>
      <c r="AM509" s="13" t="s">
        <v>33</v>
      </c>
    </row>
    <row r="510" spans="1:39" ht="15" customHeight="1" x14ac:dyDescent="0.3">
      <c r="A510" s="6" t="s">
        <v>472</v>
      </c>
      <c r="B510" s="7" t="str">
        <f>Odds_Input!C614</f>
        <v>Nickeil Alexander Walker</v>
      </c>
      <c r="C510" s="6" t="s">
        <v>33</v>
      </c>
      <c r="D510" s="7" t="str">
        <f>Odds_Input!D614</f>
        <v>YES</v>
      </c>
      <c r="E510" s="31" t="str">
        <f>Odds_Input!E614</f>
        <v>-</v>
      </c>
      <c r="F510" s="32">
        <f>Odds_Input!F614</f>
        <v>15000</v>
      </c>
      <c r="G510" s="36">
        <f>M_DeVig!H614</f>
        <v>151</v>
      </c>
      <c r="H510" s="7" t="str">
        <f>Odds_Input!G614</f>
        <v>-</v>
      </c>
      <c r="I510" s="42">
        <f>M_DeVig!Q614</f>
        <v>3.0722557472069702E-3</v>
      </c>
      <c r="J510" s="13" t="s">
        <v>33</v>
      </c>
      <c r="K510" s="43">
        <f t="shared" si="126"/>
        <v>32449.373564004683</v>
      </c>
      <c r="L510" s="13" t="s">
        <v>33</v>
      </c>
      <c r="M510" s="13" t="s">
        <v>33</v>
      </c>
      <c r="N510" s="13" t="s">
        <v>33</v>
      </c>
      <c r="O510" s="13" t="s">
        <v>33</v>
      </c>
      <c r="P510" s="13" t="s">
        <v>33</v>
      </c>
      <c r="Q510" s="13" t="s">
        <v>33</v>
      </c>
      <c r="R510" s="13" t="s">
        <v>33</v>
      </c>
      <c r="S510" s="13" t="s">
        <v>33</v>
      </c>
      <c r="T510" s="13" t="s">
        <v>33</v>
      </c>
      <c r="U510" s="13" t="s">
        <v>33</v>
      </c>
      <c r="V510" s="13" t="s">
        <v>33</v>
      </c>
      <c r="W510" s="6" t="b">
        <v>0</v>
      </c>
      <c r="X510" s="6" t="s">
        <v>1301</v>
      </c>
      <c r="Y510" s="6" t="s">
        <v>1326</v>
      </c>
      <c r="Z510" s="6">
        <v>606</v>
      </c>
      <c r="AA510" s="7" t="str">
        <f t="shared" si="127"/>
        <v>OK - sims match current assumptions</v>
      </c>
      <c r="AB510" s="13" t="s">
        <v>33</v>
      </c>
      <c r="AC510" s="13" t="s">
        <v>33</v>
      </c>
      <c r="AD510" s="13" t="s">
        <v>33</v>
      </c>
      <c r="AE510" s="13" t="s">
        <v>33</v>
      </c>
      <c r="AF510" s="13" t="s">
        <v>33</v>
      </c>
      <c r="AG510" s="13" t="s">
        <v>33</v>
      </c>
      <c r="AH510" s="6" t="b">
        <v>0</v>
      </c>
      <c r="AI510" s="13" t="s">
        <v>33</v>
      </c>
      <c r="AJ510" s="13" t="s">
        <v>33</v>
      </c>
      <c r="AK510" s="13" t="s">
        <v>33</v>
      </c>
      <c r="AL510" s="6">
        <v>0</v>
      </c>
      <c r="AM510" s="13" t="s">
        <v>33</v>
      </c>
    </row>
    <row r="511" spans="1:39" ht="15" customHeight="1" x14ac:dyDescent="0.3">
      <c r="A511" s="6" t="s">
        <v>472</v>
      </c>
      <c r="B511" s="7" t="str">
        <f>Odds_Input!C615</f>
        <v>Fred VanVleet</v>
      </c>
      <c r="C511" s="6" t="s">
        <v>33</v>
      </c>
      <c r="D511" s="7" t="str">
        <f>Odds_Input!D615</f>
        <v>YES</v>
      </c>
      <c r="E511" s="31" t="str">
        <f>Odds_Input!E615</f>
        <v>-</v>
      </c>
      <c r="F511" s="32">
        <f>Odds_Input!F615</f>
        <v>15000</v>
      </c>
      <c r="G511" s="36">
        <f>M_DeVig!H615</f>
        <v>151</v>
      </c>
      <c r="H511" s="7" t="str">
        <f>Odds_Input!G615</f>
        <v>-</v>
      </c>
      <c r="I511" s="42">
        <f>M_DeVig!Q615</f>
        <v>3.0722557472069702E-3</v>
      </c>
      <c r="J511" s="13" t="s">
        <v>33</v>
      </c>
      <c r="K511" s="43">
        <f t="shared" si="126"/>
        <v>32449.373564004683</v>
      </c>
      <c r="L511" s="13" t="s">
        <v>33</v>
      </c>
      <c r="M511" s="13" t="s">
        <v>33</v>
      </c>
      <c r="N511" s="13" t="s">
        <v>33</v>
      </c>
      <c r="O511" s="13" t="s">
        <v>33</v>
      </c>
      <c r="P511" s="13" t="s">
        <v>33</v>
      </c>
      <c r="Q511" s="13" t="s">
        <v>33</v>
      </c>
      <c r="R511" s="13" t="s">
        <v>33</v>
      </c>
      <c r="S511" s="13" t="s">
        <v>33</v>
      </c>
      <c r="T511" s="13" t="s">
        <v>33</v>
      </c>
      <c r="U511" s="13" t="s">
        <v>33</v>
      </c>
      <c r="V511" s="13" t="s">
        <v>33</v>
      </c>
      <c r="W511" s="6" t="b">
        <v>0</v>
      </c>
      <c r="X511" s="6" t="s">
        <v>1301</v>
      </c>
      <c r="Y511" s="6" t="s">
        <v>1326</v>
      </c>
      <c r="Z511" s="6">
        <v>607</v>
      </c>
      <c r="AA511" s="7" t="str">
        <f t="shared" si="127"/>
        <v>OK - sims match current assumptions</v>
      </c>
      <c r="AB511" s="13" t="s">
        <v>33</v>
      </c>
      <c r="AC511" s="13" t="s">
        <v>33</v>
      </c>
      <c r="AD511" s="13" t="s">
        <v>33</v>
      </c>
      <c r="AE511" s="13" t="s">
        <v>33</v>
      </c>
      <c r="AF511" s="13" t="s">
        <v>33</v>
      </c>
      <c r="AG511" s="13" t="s">
        <v>33</v>
      </c>
      <c r="AH511" s="6" t="b">
        <v>0</v>
      </c>
      <c r="AI511" s="13" t="s">
        <v>33</v>
      </c>
      <c r="AJ511" s="13" t="s">
        <v>33</v>
      </c>
      <c r="AK511" s="13" t="s">
        <v>33</v>
      </c>
      <c r="AL511" s="6">
        <v>0</v>
      </c>
      <c r="AM511" s="13" t="s">
        <v>33</v>
      </c>
    </row>
    <row r="512" spans="1:39" ht="15" customHeight="1" x14ac:dyDescent="0.3">
      <c r="A512" s="6" t="s">
        <v>472</v>
      </c>
      <c r="B512" s="7" t="str">
        <f>Odds_Input!C616</f>
        <v>Toumani Camara</v>
      </c>
      <c r="C512" s="6" t="s">
        <v>33</v>
      </c>
      <c r="D512" s="7" t="str">
        <f>Odds_Input!D616</f>
        <v>YES</v>
      </c>
      <c r="E512" s="31" t="str">
        <f>Odds_Input!E616</f>
        <v>-</v>
      </c>
      <c r="F512" s="32">
        <f>Odds_Input!F616</f>
        <v>15000</v>
      </c>
      <c r="G512" s="36">
        <f>M_DeVig!H616</f>
        <v>151</v>
      </c>
      <c r="H512" s="7" t="str">
        <f>Odds_Input!G616</f>
        <v>-</v>
      </c>
      <c r="I512" s="42">
        <f>M_DeVig!Q616</f>
        <v>3.0722557472069702E-3</v>
      </c>
      <c r="J512" s="13" t="s">
        <v>33</v>
      </c>
      <c r="K512" s="43">
        <f t="shared" si="126"/>
        <v>32449.373564004683</v>
      </c>
      <c r="L512" s="13" t="s">
        <v>33</v>
      </c>
      <c r="M512" s="13" t="s">
        <v>33</v>
      </c>
      <c r="N512" s="13" t="s">
        <v>33</v>
      </c>
      <c r="O512" s="13" t="s">
        <v>33</v>
      </c>
      <c r="P512" s="13" t="s">
        <v>33</v>
      </c>
      <c r="Q512" s="13" t="s">
        <v>33</v>
      </c>
      <c r="R512" s="13" t="s">
        <v>33</v>
      </c>
      <c r="S512" s="13" t="s">
        <v>33</v>
      </c>
      <c r="T512" s="13" t="s">
        <v>33</v>
      </c>
      <c r="U512" s="13" t="s">
        <v>33</v>
      </c>
      <c r="V512" s="13" t="s">
        <v>33</v>
      </c>
      <c r="W512" s="6" t="b">
        <v>0</v>
      </c>
      <c r="X512" s="6" t="s">
        <v>1301</v>
      </c>
      <c r="Y512" s="6" t="s">
        <v>1326</v>
      </c>
      <c r="Z512" s="6">
        <v>608</v>
      </c>
      <c r="AA512" s="7" t="str">
        <f t="shared" si="127"/>
        <v>OK - sims match current assumptions</v>
      </c>
      <c r="AB512" s="13" t="s">
        <v>33</v>
      </c>
      <c r="AC512" s="13" t="s">
        <v>33</v>
      </c>
      <c r="AD512" s="13" t="s">
        <v>33</v>
      </c>
      <c r="AE512" s="13" t="s">
        <v>33</v>
      </c>
      <c r="AF512" s="13" t="s">
        <v>33</v>
      </c>
      <c r="AG512" s="13" t="s">
        <v>33</v>
      </c>
      <c r="AH512" s="6" t="b">
        <v>0</v>
      </c>
      <c r="AI512" s="13" t="s">
        <v>33</v>
      </c>
      <c r="AJ512" s="13" t="s">
        <v>33</v>
      </c>
      <c r="AK512" s="13" t="s">
        <v>33</v>
      </c>
      <c r="AL512" s="6">
        <v>0</v>
      </c>
      <c r="AM512" s="13" t="s">
        <v>33</v>
      </c>
    </row>
    <row r="513" spans="1:39" ht="15" customHeight="1" x14ac:dyDescent="0.3">
      <c r="A513" s="6" t="s">
        <v>472</v>
      </c>
      <c r="B513" s="7" t="str">
        <f>Odds_Input!C617</f>
        <v>Davion Mitchell</v>
      </c>
      <c r="C513" s="6" t="s">
        <v>33</v>
      </c>
      <c r="D513" s="7" t="str">
        <f>Odds_Input!D617</f>
        <v>YES</v>
      </c>
      <c r="E513" s="31" t="str">
        <f>Odds_Input!E617</f>
        <v>-</v>
      </c>
      <c r="F513" s="32">
        <f>Odds_Input!F617</f>
        <v>16000</v>
      </c>
      <c r="G513" s="36">
        <f>M_DeVig!H617</f>
        <v>161</v>
      </c>
      <c r="H513" s="7" t="str">
        <f>Odds_Input!G617</f>
        <v>-</v>
      </c>
      <c r="I513" s="42">
        <f>M_DeVig!Q617</f>
        <v>2.7769407286719694E-3</v>
      </c>
      <c r="J513" s="13" t="s">
        <v>33</v>
      </c>
      <c r="K513" s="43">
        <f t="shared" si="126"/>
        <v>35910.8514263549</v>
      </c>
      <c r="L513" s="13" t="s">
        <v>33</v>
      </c>
      <c r="M513" s="13" t="s">
        <v>33</v>
      </c>
      <c r="N513" s="13" t="s">
        <v>33</v>
      </c>
      <c r="O513" s="13" t="s">
        <v>33</v>
      </c>
      <c r="P513" s="13" t="s">
        <v>33</v>
      </c>
      <c r="Q513" s="13" t="s">
        <v>33</v>
      </c>
      <c r="R513" s="13" t="s">
        <v>33</v>
      </c>
      <c r="S513" s="13" t="s">
        <v>33</v>
      </c>
      <c r="T513" s="13" t="s">
        <v>33</v>
      </c>
      <c r="U513" s="13" t="s">
        <v>33</v>
      </c>
      <c r="V513" s="13" t="s">
        <v>33</v>
      </c>
      <c r="W513" s="6" t="b">
        <v>0</v>
      </c>
      <c r="X513" s="6" t="s">
        <v>1301</v>
      </c>
      <c r="Y513" s="6" t="s">
        <v>1326</v>
      </c>
      <c r="Z513" s="6">
        <v>609</v>
      </c>
      <c r="AA513" s="7" t="str">
        <f t="shared" si="127"/>
        <v>OK - sims match current assumptions</v>
      </c>
      <c r="AB513" s="13" t="s">
        <v>33</v>
      </c>
      <c r="AC513" s="13" t="s">
        <v>33</v>
      </c>
      <c r="AD513" s="13" t="s">
        <v>33</v>
      </c>
      <c r="AE513" s="13" t="s">
        <v>33</v>
      </c>
      <c r="AF513" s="13" t="s">
        <v>33</v>
      </c>
      <c r="AG513" s="13" t="s">
        <v>33</v>
      </c>
      <c r="AH513" s="6" t="b">
        <v>0</v>
      </c>
      <c r="AI513" s="13" t="s">
        <v>33</v>
      </c>
      <c r="AJ513" s="13" t="s">
        <v>33</v>
      </c>
      <c r="AK513" s="13" t="s">
        <v>33</v>
      </c>
      <c r="AL513" s="6">
        <v>0</v>
      </c>
      <c r="AM513" s="13" t="s">
        <v>33</v>
      </c>
    </row>
    <row r="514" spans="1:39" ht="15" customHeight="1" x14ac:dyDescent="0.3">
      <c r="A514" s="6" t="s">
        <v>472</v>
      </c>
      <c r="B514" s="7" t="str">
        <f>Odds_Input!C618</f>
        <v>Tyrese Haliburton</v>
      </c>
      <c r="C514" s="6" t="s">
        <v>33</v>
      </c>
      <c r="D514" s="7" t="str">
        <f>Odds_Input!D618</f>
        <v>YES</v>
      </c>
      <c r="E514" s="31" t="str">
        <f>Odds_Input!E618</f>
        <v>-</v>
      </c>
      <c r="F514" s="32">
        <f>Odds_Input!F618</f>
        <v>13000</v>
      </c>
      <c r="G514" s="36">
        <f>M_DeVig!H618</f>
        <v>131</v>
      </c>
      <c r="H514" s="7" t="str">
        <f>Odds_Input!G618</f>
        <v>-</v>
      </c>
      <c r="I514" s="42">
        <f>M_DeVig!Q618</f>
        <v>3.8217961008662786E-3</v>
      </c>
      <c r="J514" s="13" t="s">
        <v>33</v>
      </c>
      <c r="K514" s="43">
        <f t="shared" si="126"/>
        <v>26065.707787846979</v>
      </c>
      <c r="L514" s="13" t="s">
        <v>33</v>
      </c>
      <c r="M514" s="13" t="s">
        <v>33</v>
      </c>
      <c r="N514" s="13" t="s">
        <v>33</v>
      </c>
      <c r="O514" s="13" t="s">
        <v>33</v>
      </c>
      <c r="P514" s="13" t="s">
        <v>33</v>
      </c>
      <c r="Q514" s="13" t="s">
        <v>33</v>
      </c>
      <c r="R514" s="13" t="s">
        <v>33</v>
      </c>
      <c r="S514" s="13" t="s">
        <v>33</v>
      </c>
      <c r="T514" s="13" t="s">
        <v>33</v>
      </c>
      <c r="U514" s="13" t="s">
        <v>33</v>
      </c>
      <c r="V514" s="13" t="s">
        <v>33</v>
      </c>
      <c r="W514" s="6" t="b">
        <v>0</v>
      </c>
      <c r="X514" s="6" t="s">
        <v>1301</v>
      </c>
      <c r="Y514" s="6" t="s">
        <v>1326</v>
      </c>
      <c r="Z514" s="6">
        <v>610</v>
      </c>
      <c r="AA514" s="7" t="str">
        <f t="shared" si="127"/>
        <v>OK - sims match current assumptions</v>
      </c>
      <c r="AB514" s="13" t="s">
        <v>33</v>
      </c>
      <c r="AC514" s="13" t="s">
        <v>33</v>
      </c>
      <c r="AD514" s="13" t="s">
        <v>33</v>
      </c>
      <c r="AE514" s="13" t="s">
        <v>33</v>
      </c>
      <c r="AF514" s="13" t="s">
        <v>33</v>
      </c>
      <c r="AG514" s="13" t="s">
        <v>33</v>
      </c>
      <c r="AH514" s="6" t="b">
        <v>0</v>
      </c>
      <c r="AI514" s="13" t="s">
        <v>33</v>
      </c>
      <c r="AJ514" s="13" t="s">
        <v>33</v>
      </c>
      <c r="AK514" s="13" t="s">
        <v>33</v>
      </c>
      <c r="AL514" s="6">
        <v>0</v>
      </c>
      <c r="AM514" s="13" t="s">
        <v>33</v>
      </c>
    </row>
    <row r="515" spans="1:39" ht="15" customHeight="1" x14ac:dyDescent="0.3">
      <c r="A515" s="6" t="s">
        <v>472</v>
      </c>
      <c r="B515" s="7" t="str">
        <f>Odds_Input!C619</f>
        <v>Luguentz Dort</v>
      </c>
      <c r="C515" s="6" t="s">
        <v>33</v>
      </c>
      <c r="D515" s="7" t="str">
        <f>Odds_Input!D619</f>
        <v>YES</v>
      </c>
      <c r="E515" s="31" t="str">
        <f>Odds_Input!E619</f>
        <v>-</v>
      </c>
      <c r="F515" s="32">
        <f>Odds_Input!F619</f>
        <v>16000</v>
      </c>
      <c r="G515" s="36">
        <f>M_DeVig!H619</f>
        <v>161</v>
      </c>
      <c r="H515" s="7" t="str">
        <f>Odds_Input!G619</f>
        <v>-</v>
      </c>
      <c r="I515" s="42">
        <f>M_DeVig!Q619</f>
        <v>2.7769407286719694E-3</v>
      </c>
      <c r="J515" s="13" t="s">
        <v>33</v>
      </c>
      <c r="K515" s="43">
        <f t="shared" si="126"/>
        <v>35910.8514263549</v>
      </c>
      <c r="L515" s="13" t="s">
        <v>33</v>
      </c>
      <c r="M515" s="13" t="s">
        <v>33</v>
      </c>
      <c r="N515" s="13" t="s">
        <v>33</v>
      </c>
      <c r="O515" s="13" t="s">
        <v>33</v>
      </c>
      <c r="P515" s="13" t="s">
        <v>33</v>
      </c>
      <c r="Q515" s="13" t="s">
        <v>33</v>
      </c>
      <c r="R515" s="13" t="s">
        <v>33</v>
      </c>
      <c r="S515" s="13" t="s">
        <v>33</v>
      </c>
      <c r="T515" s="13" t="s">
        <v>33</v>
      </c>
      <c r="U515" s="13" t="s">
        <v>33</v>
      </c>
      <c r="V515" s="13" t="s">
        <v>33</v>
      </c>
      <c r="W515" s="6" t="b">
        <v>0</v>
      </c>
      <c r="X515" s="6" t="s">
        <v>1301</v>
      </c>
      <c r="Y515" s="6" t="s">
        <v>1326</v>
      </c>
      <c r="Z515" s="6">
        <v>611</v>
      </c>
      <c r="AA515" s="7" t="str">
        <f t="shared" si="127"/>
        <v>OK - sims match current assumptions</v>
      </c>
      <c r="AB515" s="13" t="s">
        <v>33</v>
      </c>
      <c r="AC515" s="13" t="s">
        <v>33</v>
      </c>
      <c r="AD515" s="13" t="s">
        <v>33</v>
      </c>
      <c r="AE515" s="13" t="s">
        <v>33</v>
      </c>
      <c r="AF515" s="13" t="s">
        <v>33</v>
      </c>
      <c r="AG515" s="13" t="s">
        <v>33</v>
      </c>
      <c r="AH515" s="6" t="b">
        <v>0</v>
      </c>
      <c r="AI515" s="13" t="s">
        <v>33</v>
      </c>
      <c r="AJ515" s="13" t="s">
        <v>33</v>
      </c>
      <c r="AK515" s="13" t="s">
        <v>33</v>
      </c>
      <c r="AL515" s="6">
        <v>0</v>
      </c>
      <c r="AM515" s="13" t="s">
        <v>33</v>
      </c>
    </row>
    <row r="516" spans="1:39" ht="15" customHeight="1" x14ac:dyDescent="0.3">
      <c r="A516" s="6" t="s">
        <v>472</v>
      </c>
      <c r="B516" s="7" t="str">
        <f>Odds_Input!C620</f>
        <v>Paul George</v>
      </c>
      <c r="C516" s="6" t="s">
        <v>33</v>
      </c>
      <c r="D516" s="7" t="str">
        <f>Odds_Input!D620</f>
        <v>YES</v>
      </c>
      <c r="E516" s="31" t="str">
        <f>Odds_Input!E620</f>
        <v>-</v>
      </c>
      <c r="F516" s="32">
        <f>Odds_Input!F620</f>
        <v>16000</v>
      </c>
      <c r="G516" s="36">
        <f>M_DeVig!H620</f>
        <v>161</v>
      </c>
      <c r="H516" s="7" t="str">
        <f>Odds_Input!G620</f>
        <v>-</v>
      </c>
      <c r="I516" s="42">
        <f>M_DeVig!Q620</f>
        <v>2.7769407286719694E-3</v>
      </c>
      <c r="J516" s="13" t="s">
        <v>33</v>
      </c>
      <c r="K516" s="43">
        <f t="shared" si="126"/>
        <v>35910.8514263549</v>
      </c>
      <c r="L516" s="13" t="s">
        <v>33</v>
      </c>
      <c r="M516" s="13" t="s">
        <v>33</v>
      </c>
      <c r="N516" s="13" t="s">
        <v>33</v>
      </c>
      <c r="O516" s="13" t="s">
        <v>33</v>
      </c>
      <c r="P516" s="13" t="s">
        <v>33</v>
      </c>
      <c r="Q516" s="13" t="s">
        <v>33</v>
      </c>
      <c r="R516" s="13" t="s">
        <v>33</v>
      </c>
      <c r="S516" s="13" t="s">
        <v>33</v>
      </c>
      <c r="T516" s="13" t="s">
        <v>33</v>
      </c>
      <c r="U516" s="13" t="s">
        <v>33</v>
      </c>
      <c r="V516" s="13" t="s">
        <v>33</v>
      </c>
      <c r="W516" s="6" t="b">
        <v>0</v>
      </c>
      <c r="X516" s="6" t="s">
        <v>1301</v>
      </c>
      <c r="Y516" s="6" t="s">
        <v>1326</v>
      </c>
      <c r="Z516" s="6">
        <v>612</v>
      </c>
      <c r="AA516" s="7" t="str">
        <f t="shared" si="127"/>
        <v>OK - sims match current assumptions</v>
      </c>
      <c r="AB516" s="13" t="s">
        <v>33</v>
      </c>
      <c r="AC516" s="13" t="s">
        <v>33</v>
      </c>
      <c r="AD516" s="13" t="s">
        <v>33</v>
      </c>
      <c r="AE516" s="13" t="s">
        <v>33</v>
      </c>
      <c r="AF516" s="13" t="s">
        <v>33</v>
      </c>
      <c r="AG516" s="13" t="s">
        <v>33</v>
      </c>
      <c r="AH516" s="6" t="b">
        <v>0</v>
      </c>
      <c r="AI516" s="13" t="s">
        <v>33</v>
      </c>
      <c r="AJ516" s="13" t="s">
        <v>33</v>
      </c>
      <c r="AK516" s="13" t="s">
        <v>33</v>
      </c>
      <c r="AL516" s="6">
        <v>0</v>
      </c>
      <c r="AM516" s="13" t="s">
        <v>33</v>
      </c>
    </row>
    <row r="517" spans="1:39" ht="15" customHeight="1" x14ac:dyDescent="0.3">
      <c r="A517" s="6" t="s">
        <v>472</v>
      </c>
      <c r="B517" s="7" t="str">
        <f>Odds_Input!C621</f>
        <v>Jaren Jackson Jr</v>
      </c>
      <c r="C517" s="6" t="s">
        <v>33</v>
      </c>
      <c r="D517" s="7" t="str">
        <f>Odds_Input!D621</f>
        <v>YES</v>
      </c>
      <c r="E517" s="31" t="str">
        <f>Odds_Input!E621</f>
        <v>-</v>
      </c>
      <c r="F517" s="32">
        <f>Odds_Input!F621</f>
        <v>20000</v>
      </c>
      <c r="G517" s="36">
        <f>M_DeVig!H621</f>
        <v>201</v>
      </c>
      <c r="H517" s="7" t="str">
        <f>Odds_Input!G621</f>
        <v>-</v>
      </c>
      <c r="I517" s="42">
        <f>M_DeVig!Q621</f>
        <v>1.9338239189524652E-3</v>
      </c>
      <c r="J517" s="13" t="s">
        <v>33</v>
      </c>
      <c r="K517" s="43">
        <f t="shared" si="126"/>
        <v>51611.016199535421</v>
      </c>
      <c r="L517" s="13" t="s">
        <v>33</v>
      </c>
      <c r="M517" s="13" t="s">
        <v>33</v>
      </c>
      <c r="N517" s="13" t="s">
        <v>33</v>
      </c>
      <c r="O517" s="13" t="s">
        <v>33</v>
      </c>
      <c r="P517" s="13" t="s">
        <v>33</v>
      </c>
      <c r="Q517" s="13" t="s">
        <v>33</v>
      </c>
      <c r="R517" s="13" t="s">
        <v>33</v>
      </c>
      <c r="S517" s="13" t="s">
        <v>33</v>
      </c>
      <c r="T517" s="13" t="s">
        <v>33</v>
      </c>
      <c r="U517" s="13" t="s">
        <v>33</v>
      </c>
      <c r="V517" s="13" t="s">
        <v>33</v>
      </c>
      <c r="W517" s="6" t="b">
        <v>0</v>
      </c>
      <c r="X517" s="6" t="s">
        <v>1301</v>
      </c>
      <c r="Y517" s="6" t="s">
        <v>1326</v>
      </c>
      <c r="Z517" s="6">
        <v>613</v>
      </c>
      <c r="AA517" s="7" t="str">
        <f t="shared" si="127"/>
        <v>OK - sims match current assumptions</v>
      </c>
      <c r="AB517" s="13" t="s">
        <v>33</v>
      </c>
      <c r="AC517" s="13" t="s">
        <v>33</v>
      </c>
      <c r="AD517" s="13" t="s">
        <v>33</v>
      </c>
      <c r="AE517" s="13" t="s">
        <v>33</v>
      </c>
      <c r="AF517" s="13" t="s">
        <v>33</v>
      </c>
      <c r="AG517" s="13" t="s">
        <v>33</v>
      </c>
      <c r="AH517" s="6" t="b">
        <v>0</v>
      </c>
      <c r="AI517" s="13" t="s">
        <v>33</v>
      </c>
      <c r="AJ517" s="13" t="s">
        <v>33</v>
      </c>
      <c r="AK517" s="13" t="s">
        <v>33</v>
      </c>
      <c r="AL517" s="6">
        <v>0</v>
      </c>
      <c r="AM517" s="13" t="s">
        <v>33</v>
      </c>
    </row>
    <row r="518" spans="1:39" ht="15" customHeight="1" x14ac:dyDescent="0.3">
      <c r="A518" s="6" t="s">
        <v>472</v>
      </c>
      <c r="B518" s="7" t="str">
        <f>Odds_Input!C622</f>
        <v>VJ Edgecombe</v>
      </c>
      <c r="C518" s="6" t="s">
        <v>33</v>
      </c>
      <c r="D518" s="7" t="str">
        <f>Odds_Input!D622</f>
        <v>YES</v>
      </c>
      <c r="E518" s="31" t="str">
        <f>Odds_Input!E622</f>
        <v>-</v>
      </c>
      <c r="F518" s="32">
        <f>Odds_Input!F622</f>
        <v>18000</v>
      </c>
      <c r="G518" s="36">
        <f>M_DeVig!H622</f>
        <v>181</v>
      </c>
      <c r="H518" s="7" t="str">
        <f>Odds_Input!G622</f>
        <v>-</v>
      </c>
      <c r="I518" s="42">
        <f>M_DeVig!Q622</f>
        <v>2.2995982906093304E-3</v>
      </c>
      <c r="J518" s="13" t="s">
        <v>33</v>
      </c>
      <c r="K518" s="43">
        <f t="shared" si="126"/>
        <v>43385.855946389122</v>
      </c>
      <c r="L518" s="13" t="s">
        <v>33</v>
      </c>
      <c r="M518" s="13" t="s">
        <v>33</v>
      </c>
      <c r="N518" s="13" t="s">
        <v>33</v>
      </c>
      <c r="O518" s="13" t="s">
        <v>33</v>
      </c>
      <c r="P518" s="13" t="s">
        <v>33</v>
      </c>
      <c r="Q518" s="13" t="s">
        <v>33</v>
      </c>
      <c r="R518" s="13" t="s">
        <v>33</v>
      </c>
      <c r="S518" s="13" t="s">
        <v>33</v>
      </c>
      <c r="T518" s="13" t="s">
        <v>33</v>
      </c>
      <c r="U518" s="13" t="s">
        <v>33</v>
      </c>
      <c r="V518" s="13" t="s">
        <v>33</v>
      </c>
      <c r="W518" s="6" t="b">
        <v>0</v>
      </c>
      <c r="X518" s="6" t="s">
        <v>1301</v>
      </c>
      <c r="Y518" s="6" t="s">
        <v>1326</v>
      </c>
      <c r="Z518" s="6">
        <v>614</v>
      </c>
      <c r="AA518" s="7" t="str">
        <f t="shared" si="127"/>
        <v>OK - sims match current assumptions</v>
      </c>
      <c r="AB518" s="13" t="s">
        <v>33</v>
      </c>
      <c r="AC518" s="13" t="s">
        <v>33</v>
      </c>
      <c r="AD518" s="13" t="s">
        <v>33</v>
      </c>
      <c r="AE518" s="13" t="s">
        <v>33</v>
      </c>
      <c r="AF518" s="13" t="s">
        <v>33</v>
      </c>
      <c r="AG518" s="13" t="s">
        <v>33</v>
      </c>
      <c r="AH518" s="6" t="b">
        <v>0</v>
      </c>
      <c r="AI518" s="13" t="s">
        <v>33</v>
      </c>
      <c r="AJ518" s="13" t="s">
        <v>33</v>
      </c>
      <c r="AK518" s="13" t="s">
        <v>33</v>
      </c>
      <c r="AL518" s="6">
        <v>0</v>
      </c>
      <c r="AM518" s="13" t="s">
        <v>33</v>
      </c>
    </row>
    <row r="519" spans="1:39" ht="15" customHeight="1" x14ac:dyDescent="0.3">
      <c r="A519" s="6" t="s">
        <v>472</v>
      </c>
      <c r="B519" s="7" t="str">
        <f>Odds_Input!C623</f>
        <v>Marcus Smart</v>
      </c>
      <c r="C519" s="6" t="s">
        <v>33</v>
      </c>
      <c r="D519" s="7" t="str">
        <f>Odds_Input!D623</f>
        <v>YES</v>
      </c>
      <c r="E519" s="31" t="str">
        <f>Odds_Input!E623</f>
        <v>-</v>
      </c>
      <c r="F519" s="32">
        <f>Odds_Input!F623</f>
        <v>19000</v>
      </c>
      <c r="G519" s="36">
        <f>M_DeVig!H623</f>
        <v>191</v>
      </c>
      <c r="H519" s="7" t="str">
        <f>Odds_Input!G623</f>
        <v>-</v>
      </c>
      <c r="I519" s="42">
        <f>M_DeVig!Q623</f>
        <v>2.1050982242490548E-3</v>
      </c>
      <c r="J519" s="13" t="s">
        <v>33</v>
      </c>
      <c r="K519" s="43">
        <f t="shared" si="126"/>
        <v>47403.721606944346</v>
      </c>
      <c r="L519" s="13" t="s">
        <v>33</v>
      </c>
      <c r="M519" s="13" t="s">
        <v>33</v>
      </c>
      <c r="N519" s="13" t="s">
        <v>33</v>
      </c>
      <c r="O519" s="13" t="s">
        <v>33</v>
      </c>
      <c r="P519" s="13" t="s">
        <v>33</v>
      </c>
      <c r="Q519" s="13" t="s">
        <v>33</v>
      </c>
      <c r="R519" s="13" t="s">
        <v>33</v>
      </c>
      <c r="S519" s="13" t="s">
        <v>33</v>
      </c>
      <c r="T519" s="13" t="s">
        <v>33</v>
      </c>
      <c r="U519" s="13" t="s">
        <v>33</v>
      </c>
      <c r="V519" s="13" t="s">
        <v>33</v>
      </c>
      <c r="W519" s="6" t="b">
        <v>0</v>
      </c>
      <c r="X519" s="6" t="s">
        <v>1301</v>
      </c>
      <c r="Y519" s="6" t="s">
        <v>1326</v>
      </c>
      <c r="Z519" s="6">
        <v>615</v>
      </c>
      <c r="AA519" s="7" t="str">
        <f t="shared" si="127"/>
        <v>OK - sims match current assumptions</v>
      </c>
      <c r="AB519" s="13" t="s">
        <v>33</v>
      </c>
      <c r="AC519" s="13" t="s">
        <v>33</v>
      </c>
      <c r="AD519" s="13" t="s">
        <v>33</v>
      </c>
      <c r="AE519" s="13" t="s">
        <v>33</v>
      </c>
      <c r="AF519" s="13" t="s">
        <v>33</v>
      </c>
      <c r="AG519" s="13" t="s">
        <v>33</v>
      </c>
      <c r="AH519" s="6" t="b">
        <v>0</v>
      </c>
      <c r="AI519" s="13" t="s">
        <v>33</v>
      </c>
      <c r="AJ519" s="13" t="s">
        <v>33</v>
      </c>
      <c r="AK519" s="13" t="s">
        <v>33</v>
      </c>
      <c r="AL519" s="6">
        <v>0</v>
      </c>
      <c r="AM519" s="13" t="s">
        <v>33</v>
      </c>
    </row>
    <row r="520" spans="1:39" ht="15" customHeight="1" x14ac:dyDescent="0.3">
      <c r="A520" s="6" t="s">
        <v>472</v>
      </c>
      <c r="B520" s="7" t="str">
        <f>Odds_Input!C624</f>
        <v>LaMelo Ball</v>
      </c>
      <c r="C520" s="6" t="s">
        <v>33</v>
      </c>
      <c r="D520" s="7" t="str">
        <f>Odds_Input!D624</f>
        <v>YES</v>
      </c>
      <c r="E520" s="31" t="str">
        <f>Odds_Input!E624</f>
        <v>-</v>
      </c>
      <c r="F520" s="32">
        <f>Odds_Input!F624</f>
        <v>20000</v>
      </c>
      <c r="G520" s="36">
        <f>M_DeVig!H624</f>
        <v>201</v>
      </c>
      <c r="H520" s="7" t="str">
        <f>Odds_Input!G624</f>
        <v>-</v>
      </c>
      <c r="I520" s="42">
        <f>M_DeVig!Q624</f>
        <v>1.9338239189524652E-3</v>
      </c>
      <c r="J520" s="13" t="s">
        <v>33</v>
      </c>
      <c r="K520" s="43">
        <f t="shared" si="126"/>
        <v>51611.016199535421</v>
      </c>
      <c r="L520" s="13" t="s">
        <v>33</v>
      </c>
      <c r="M520" s="13" t="s">
        <v>33</v>
      </c>
      <c r="N520" s="13" t="s">
        <v>33</v>
      </c>
      <c r="O520" s="13" t="s">
        <v>33</v>
      </c>
      <c r="P520" s="13" t="s">
        <v>33</v>
      </c>
      <c r="Q520" s="13" t="s">
        <v>33</v>
      </c>
      <c r="R520" s="13" t="s">
        <v>33</v>
      </c>
      <c r="S520" s="13" t="s">
        <v>33</v>
      </c>
      <c r="T520" s="13" t="s">
        <v>33</v>
      </c>
      <c r="U520" s="13" t="s">
        <v>33</v>
      </c>
      <c r="V520" s="13" t="s">
        <v>33</v>
      </c>
      <c r="W520" s="6" t="b">
        <v>0</v>
      </c>
      <c r="X520" s="6" t="s">
        <v>1301</v>
      </c>
      <c r="Y520" s="6" t="s">
        <v>1326</v>
      </c>
      <c r="Z520" s="6">
        <v>616</v>
      </c>
      <c r="AA520" s="7" t="str">
        <f t="shared" si="127"/>
        <v>OK - sims match current assumptions</v>
      </c>
      <c r="AB520" s="13" t="s">
        <v>33</v>
      </c>
      <c r="AC520" s="13" t="s">
        <v>33</v>
      </c>
      <c r="AD520" s="13" t="s">
        <v>33</v>
      </c>
      <c r="AE520" s="13" t="s">
        <v>33</v>
      </c>
      <c r="AF520" s="13" t="s">
        <v>33</v>
      </c>
      <c r="AG520" s="13" t="s">
        <v>33</v>
      </c>
      <c r="AH520" s="6" t="b">
        <v>0</v>
      </c>
      <c r="AI520" s="13" t="s">
        <v>33</v>
      </c>
      <c r="AJ520" s="13" t="s">
        <v>33</v>
      </c>
      <c r="AK520" s="13" t="s">
        <v>33</v>
      </c>
      <c r="AL520" s="6">
        <v>0</v>
      </c>
      <c r="AM520" s="13" t="s">
        <v>33</v>
      </c>
    </row>
    <row r="521" spans="1:39" ht="15" customHeight="1" x14ac:dyDescent="0.3">
      <c r="A521" s="6" t="s">
        <v>472</v>
      </c>
      <c r="B521" s="7" t="str">
        <f>Odds_Input!C625</f>
        <v>Cade Cunningham</v>
      </c>
      <c r="C521" s="6" t="s">
        <v>33</v>
      </c>
      <c r="D521" s="7" t="str">
        <f>Odds_Input!D625</f>
        <v>YES</v>
      </c>
      <c r="E521" s="31" t="str">
        <f>Odds_Input!E625</f>
        <v>-</v>
      </c>
      <c r="F521" s="32">
        <f>Odds_Input!F625</f>
        <v>21000</v>
      </c>
      <c r="G521" s="36">
        <f>M_DeVig!H625</f>
        <v>211</v>
      </c>
      <c r="H521" s="7" t="str">
        <f>Odds_Input!G625</f>
        <v>-</v>
      </c>
      <c r="I521" s="42">
        <f>M_DeVig!Q625</f>
        <v>1.782233140663508E-3</v>
      </c>
      <c r="J521" s="13" t="s">
        <v>33</v>
      </c>
      <c r="K521" s="43">
        <f t="shared" si="126"/>
        <v>56009.38194246067</v>
      </c>
      <c r="L521" s="13" t="s">
        <v>33</v>
      </c>
      <c r="M521" s="13" t="s">
        <v>33</v>
      </c>
      <c r="N521" s="13" t="s">
        <v>33</v>
      </c>
      <c r="O521" s="13" t="s">
        <v>33</v>
      </c>
      <c r="P521" s="13" t="s">
        <v>33</v>
      </c>
      <c r="Q521" s="13" t="s">
        <v>33</v>
      </c>
      <c r="R521" s="13" t="s">
        <v>33</v>
      </c>
      <c r="S521" s="13" t="s">
        <v>33</v>
      </c>
      <c r="T521" s="13" t="s">
        <v>33</v>
      </c>
      <c r="U521" s="13" t="s">
        <v>33</v>
      </c>
      <c r="V521" s="13" t="s">
        <v>33</v>
      </c>
      <c r="W521" s="6" t="b">
        <v>0</v>
      </c>
      <c r="X521" s="6" t="s">
        <v>1301</v>
      </c>
      <c r="Y521" s="6" t="s">
        <v>1326</v>
      </c>
      <c r="Z521" s="6">
        <v>617</v>
      </c>
      <c r="AA521" s="7" t="str">
        <f t="shared" si="127"/>
        <v>OK - sims match current assumptions</v>
      </c>
      <c r="AB521" s="13" t="s">
        <v>33</v>
      </c>
      <c r="AC521" s="13" t="s">
        <v>33</v>
      </c>
      <c r="AD521" s="13" t="s">
        <v>33</v>
      </c>
      <c r="AE521" s="13" t="s">
        <v>33</v>
      </c>
      <c r="AF521" s="13" t="s">
        <v>33</v>
      </c>
      <c r="AG521" s="13" t="s">
        <v>33</v>
      </c>
      <c r="AH521" s="6" t="b">
        <v>0</v>
      </c>
      <c r="AI521" s="13" t="s">
        <v>33</v>
      </c>
      <c r="AJ521" s="13" t="s">
        <v>33</v>
      </c>
      <c r="AK521" s="13" t="s">
        <v>33</v>
      </c>
      <c r="AL521" s="6">
        <v>0</v>
      </c>
      <c r="AM521" s="13" t="s">
        <v>33</v>
      </c>
    </row>
    <row r="522" spans="1:39" ht="15" customHeight="1" x14ac:dyDescent="0.3">
      <c r="A522" s="6" t="s">
        <v>472</v>
      </c>
      <c r="B522" s="7" t="str">
        <f>Odds_Input!C626</f>
        <v>Kevin Porter Jr</v>
      </c>
      <c r="C522" s="6" t="s">
        <v>33</v>
      </c>
      <c r="D522" s="7" t="str">
        <f>Odds_Input!D626</f>
        <v>YES</v>
      </c>
      <c r="E522" s="31" t="str">
        <f>Odds_Input!E626</f>
        <v>-</v>
      </c>
      <c r="F522" s="32">
        <f>Odds_Input!F626</f>
        <v>21000</v>
      </c>
      <c r="G522" s="36">
        <f>M_DeVig!H626</f>
        <v>211</v>
      </c>
      <c r="H522" s="7" t="str">
        <f>Odds_Input!G626</f>
        <v>-</v>
      </c>
      <c r="I522" s="42">
        <f>M_DeVig!Q626</f>
        <v>1.782233140663508E-3</v>
      </c>
      <c r="J522" s="13" t="s">
        <v>33</v>
      </c>
      <c r="K522" s="43">
        <f t="shared" si="126"/>
        <v>56009.38194246067</v>
      </c>
      <c r="L522" s="13" t="s">
        <v>33</v>
      </c>
      <c r="M522" s="13" t="s">
        <v>33</v>
      </c>
      <c r="N522" s="13" t="s">
        <v>33</v>
      </c>
      <c r="O522" s="13" t="s">
        <v>33</v>
      </c>
      <c r="P522" s="13" t="s">
        <v>33</v>
      </c>
      <c r="Q522" s="13" t="s">
        <v>33</v>
      </c>
      <c r="R522" s="13" t="s">
        <v>33</v>
      </c>
      <c r="S522" s="13" t="s">
        <v>33</v>
      </c>
      <c r="T522" s="13" t="s">
        <v>33</v>
      </c>
      <c r="U522" s="13" t="s">
        <v>33</v>
      </c>
      <c r="V522" s="13" t="s">
        <v>33</v>
      </c>
      <c r="W522" s="6" t="b">
        <v>0</v>
      </c>
      <c r="X522" s="6" t="s">
        <v>1301</v>
      </c>
      <c r="Y522" s="6" t="s">
        <v>1326</v>
      </c>
      <c r="Z522" s="6">
        <v>618</v>
      </c>
      <c r="AA522" s="7" t="str">
        <f t="shared" si="127"/>
        <v>OK - sims match current assumptions</v>
      </c>
      <c r="AB522" s="13" t="s">
        <v>33</v>
      </c>
      <c r="AC522" s="13" t="s">
        <v>33</v>
      </c>
      <c r="AD522" s="13" t="s">
        <v>33</v>
      </c>
      <c r="AE522" s="13" t="s">
        <v>33</v>
      </c>
      <c r="AF522" s="13" t="s">
        <v>33</v>
      </c>
      <c r="AG522" s="13" t="s">
        <v>33</v>
      </c>
      <c r="AH522" s="6" t="b">
        <v>0</v>
      </c>
      <c r="AI522" s="13" t="s">
        <v>33</v>
      </c>
      <c r="AJ522" s="13" t="s">
        <v>33</v>
      </c>
      <c r="AK522" s="13" t="s">
        <v>33</v>
      </c>
      <c r="AL522" s="6">
        <v>0</v>
      </c>
      <c r="AM522" s="13" t="s">
        <v>33</v>
      </c>
    </row>
    <row r="523" spans="1:39" ht="15" customHeight="1" x14ac:dyDescent="0.3">
      <c r="A523" s="6" t="s">
        <v>472</v>
      </c>
      <c r="B523" s="7" t="str">
        <f>Odds_Input!C627</f>
        <v>Franz Wagner</v>
      </c>
      <c r="C523" s="6" t="s">
        <v>33</v>
      </c>
      <c r="D523" s="7" t="str">
        <f>Odds_Input!D627</f>
        <v>YES</v>
      </c>
      <c r="E523" s="31" t="str">
        <f>Odds_Input!E627</f>
        <v>-</v>
      </c>
      <c r="F523" s="32">
        <f>Odds_Input!F627</f>
        <v>25000</v>
      </c>
      <c r="G523" s="36">
        <f>M_DeVig!H627</f>
        <v>251</v>
      </c>
      <c r="H523" s="7" t="str">
        <f>Odds_Input!G627</f>
        <v>-</v>
      </c>
      <c r="I523" s="42">
        <f>M_DeVig!Q627</f>
        <v>1.3220403213235524E-3</v>
      </c>
      <c r="J523" s="13" t="s">
        <v>33</v>
      </c>
      <c r="K523" s="43">
        <f t="shared" si="126"/>
        <v>75540.658145649926</v>
      </c>
      <c r="L523" s="13" t="s">
        <v>33</v>
      </c>
      <c r="M523" s="13" t="s">
        <v>33</v>
      </c>
      <c r="N523" s="13" t="s">
        <v>33</v>
      </c>
      <c r="O523" s="13" t="s">
        <v>33</v>
      </c>
      <c r="P523" s="13" t="s">
        <v>33</v>
      </c>
      <c r="Q523" s="13" t="s">
        <v>33</v>
      </c>
      <c r="R523" s="13" t="s">
        <v>33</v>
      </c>
      <c r="S523" s="13" t="s">
        <v>33</v>
      </c>
      <c r="T523" s="13" t="s">
        <v>33</v>
      </c>
      <c r="U523" s="13" t="s">
        <v>33</v>
      </c>
      <c r="V523" s="13" t="s">
        <v>33</v>
      </c>
      <c r="W523" s="6" t="b">
        <v>0</v>
      </c>
      <c r="X523" s="6" t="s">
        <v>1301</v>
      </c>
      <c r="Y523" s="6" t="s">
        <v>1326</v>
      </c>
      <c r="Z523" s="6">
        <v>619</v>
      </c>
      <c r="AA523" s="7" t="str">
        <f t="shared" si="127"/>
        <v>OK - sims match current assumptions</v>
      </c>
      <c r="AB523" s="13" t="s">
        <v>33</v>
      </c>
      <c r="AC523" s="13" t="s">
        <v>33</v>
      </c>
      <c r="AD523" s="13" t="s">
        <v>33</v>
      </c>
      <c r="AE523" s="13" t="s">
        <v>33</v>
      </c>
      <c r="AF523" s="13" t="s">
        <v>33</v>
      </c>
      <c r="AG523" s="13" t="s">
        <v>33</v>
      </c>
      <c r="AH523" s="6" t="b">
        <v>0</v>
      </c>
      <c r="AI523" s="13" t="s">
        <v>33</v>
      </c>
      <c r="AJ523" s="13" t="s">
        <v>33</v>
      </c>
      <c r="AK523" s="13" t="s">
        <v>33</v>
      </c>
      <c r="AL523" s="6">
        <v>0</v>
      </c>
      <c r="AM523" s="13" t="s">
        <v>33</v>
      </c>
    </row>
    <row r="524" spans="1:39" ht="15" customHeight="1" x14ac:dyDescent="0.3">
      <c r="A524" s="6" t="s">
        <v>472</v>
      </c>
      <c r="B524" s="7" t="str">
        <f>Odds_Input!C628</f>
        <v>James Harden</v>
      </c>
      <c r="C524" s="6" t="s">
        <v>33</v>
      </c>
      <c r="D524" s="7" t="str">
        <f>Odds_Input!D628</f>
        <v>YES</v>
      </c>
      <c r="E524" s="31" t="str">
        <f>Odds_Input!E628</f>
        <v>-</v>
      </c>
      <c r="F524" s="32">
        <f>Odds_Input!F628</f>
        <v>21000</v>
      </c>
      <c r="G524" s="36">
        <f>M_DeVig!H628</f>
        <v>211</v>
      </c>
      <c r="H524" s="7" t="str">
        <f>Odds_Input!G628</f>
        <v>-</v>
      </c>
      <c r="I524" s="42">
        <f>M_DeVig!Q628</f>
        <v>1.782233140663508E-3</v>
      </c>
      <c r="J524" s="13" t="s">
        <v>33</v>
      </c>
      <c r="K524" s="43">
        <f t="shared" si="126"/>
        <v>56009.38194246067</v>
      </c>
      <c r="L524" s="13" t="s">
        <v>33</v>
      </c>
      <c r="M524" s="13" t="s">
        <v>33</v>
      </c>
      <c r="N524" s="13" t="s">
        <v>33</v>
      </c>
      <c r="O524" s="13" t="s">
        <v>33</v>
      </c>
      <c r="P524" s="13" t="s">
        <v>33</v>
      </c>
      <c r="Q524" s="13" t="s">
        <v>33</v>
      </c>
      <c r="R524" s="13" t="s">
        <v>33</v>
      </c>
      <c r="S524" s="13" t="s">
        <v>33</v>
      </c>
      <c r="T524" s="13" t="s">
        <v>33</v>
      </c>
      <c r="U524" s="13" t="s">
        <v>33</v>
      </c>
      <c r="V524" s="13" t="s">
        <v>33</v>
      </c>
      <c r="W524" s="6" t="b">
        <v>0</v>
      </c>
      <c r="X524" s="6" t="s">
        <v>1301</v>
      </c>
      <c r="Y524" s="6" t="s">
        <v>1326</v>
      </c>
      <c r="Z524" s="6">
        <v>620</v>
      </c>
      <c r="AA524" s="7" t="str">
        <f t="shared" si="127"/>
        <v>OK - sims match current assumptions</v>
      </c>
      <c r="AB524" s="13" t="s">
        <v>33</v>
      </c>
      <c r="AC524" s="13" t="s">
        <v>33</v>
      </c>
      <c r="AD524" s="13" t="s">
        <v>33</v>
      </c>
      <c r="AE524" s="13" t="s">
        <v>33</v>
      </c>
      <c r="AF524" s="13" t="s">
        <v>33</v>
      </c>
      <c r="AG524" s="13" t="s">
        <v>33</v>
      </c>
      <c r="AH524" s="6" t="b">
        <v>0</v>
      </c>
      <c r="AI524" s="13" t="s">
        <v>33</v>
      </c>
      <c r="AJ524" s="13" t="s">
        <v>33</v>
      </c>
      <c r="AK524" s="13" t="s">
        <v>33</v>
      </c>
      <c r="AL524" s="6">
        <v>0</v>
      </c>
      <c r="AM524" s="13" t="s">
        <v>33</v>
      </c>
    </row>
    <row r="525" spans="1:39" ht="15" customHeight="1" x14ac:dyDescent="0.3">
      <c r="A525" s="6" t="s">
        <v>472</v>
      </c>
      <c r="B525" s="7" t="str">
        <f>Odds_Input!C629</f>
        <v>Jayson Tatum</v>
      </c>
      <c r="C525" s="6" t="s">
        <v>33</v>
      </c>
      <c r="D525" s="7" t="str">
        <f>Odds_Input!D629</f>
        <v>YES</v>
      </c>
      <c r="E525" s="31" t="str">
        <f>Odds_Input!E629</f>
        <v>-</v>
      </c>
      <c r="F525" s="32">
        <f>Odds_Input!F629</f>
        <v>22000</v>
      </c>
      <c r="G525" s="36">
        <f>M_DeVig!H629</f>
        <v>221</v>
      </c>
      <c r="H525" s="7" t="str">
        <f>Odds_Input!G629</f>
        <v>-</v>
      </c>
      <c r="I525" s="42">
        <f>M_DeVig!Q629</f>
        <v>1.6474386833134401E-3</v>
      </c>
      <c r="J525" s="13" t="s">
        <v>33</v>
      </c>
      <c r="K525" s="43">
        <f t="shared" si="126"/>
        <v>60600.286458536495</v>
      </c>
      <c r="L525" s="13" t="s">
        <v>33</v>
      </c>
      <c r="M525" s="13" t="s">
        <v>33</v>
      </c>
      <c r="N525" s="13" t="s">
        <v>33</v>
      </c>
      <c r="O525" s="13" t="s">
        <v>33</v>
      </c>
      <c r="P525" s="13" t="s">
        <v>33</v>
      </c>
      <c r="Q525" s="13" t="s">
        <v>33</v>
      </c>
      <c r="R525" s="13" t="s">
        <v>33</v>
      </c>
      <c r="S525" s="13" t="s">
        <v>33</v>
      </c>
      <c r="T525" s="13" t="s">
        <v>33</v>
      </c>
      <c r="U525" s="13" t="s">
        <v>33</v>
      </c>
      <c r="V525" s="13" t="s">
        <v>33</v>
      </c>
      <c r="W525" s="6" t="b">
        <v>0</v>
      </c>
      <c r="X525" s="6" t="s">
        <v>1301</v>
      </c>
      <c r="Y525" s="6" t="s">
        <v>1326</v>
      </c>
      <c r="Z525" s="6">
        <v>621</v>
      </c>
      <c r="AA525" s="7" t="str">
        <f t="shared" si="127"/>
        <v>OK - sims match current assumptions</v>
      </c>
      <c r="AB525" s="13" t="s">
        <v>33</v>
      </c>
      <c r="AC525" s="13" t="s">
        <v>33</v>
      </c>
      <c r="AD525" s="13" t="s">
        <v>33</v>
      </c>
      <c r="AE525" s="13" t="s">
        <v>33</v>
      </c>
      <c r="AF525" s="13" t="s">
        <v>33</v>
      </c>
      <c r="AG525" s="13" t="s">
        <v>33</v>
      </c>
      <c r="AH525" s="6" t="b">
        <v>0</v>
      </c>
      <c r="AI525" s="13" t="s">
        <v>33</v>
      </c>
      <c r="AJ525" s="13" t="s">
        <v>33</v>
      </c>
      <c r="AK525" s="13" t="s">
        <v>33</v>
      </c>
      <c r="AL525" s="6">
        <v>0</v>
      </c>
      <c r="AM525" s="13" t="s">
        <v>33</v>
      </c>
    </row>
    <row r="526" spans="1:39" ht="15" customHeight="1" x14ac:dyDescent="0.3">
      <c r="A526" s="6" t="s">
        <v>472</v>
      </c>
      <c r="B526" s="7" t="str">
        <f>Odds_Input!C630</f>
        <v>Victor Wembanyama</v>
      </c>
      <c r="C526" s="6" t="s">
        <v>33</v>
      </c>
      <c r="D526" s="7" t="str">
        <f>Odds_Input!D630</f>
        <v>YES</v>
      </c>
      <c r="E526" s="31" t="str">
        <f>Odds_Input!E630</f>
        <v>-</v>
      </c>
      <c r="F526" s="32">
        <f>Odds_Input!F630</f>
        <v>21000</v>
      </c>
      <c r="G526" s="36">
        <f>M_DeVig!H630</f>
        <v>211</v>
      </c>
      <c r="H526" s="7" t="str">
        <f>Odds_Input!G630</f>
        <v>-</v>
      </c>
      <c r="I526" s="42">
        <f>M_DeVig!Q630</f>
        <v>1.782233140663508E-3</v>
      </c>
      <c r="J526" s="13" t="s">
        <v>33</v>
      </c>
      <c r="K526" s="43">
        <f t="shared" si="126"/>
        <v>56009.38194246067</v>
      </c>
      <c r="L526" s="13" t="s">
        <v>33</v>
      </c>
      <c r="M526" s="13" t="s">
        <v>33</v>
      </c>
      <c r="N526" s="13" t="s">
        <v>33</v>
      </c>
      <c r="O526" s="13" t="s">
        <v>33</v>
      </c>
      <c r="P526" s="13" t="s">
        <v>33</v>
      </c>
      <c r="Q526" s="13" t="s">
        <v>33</v>
      </c>
      <c r="R526" s="13" t="s">
        <v>33</v>
      </c>
      <c r="S526" s="13" t="s">
        <v>33</v>
      </c>
      <c r="T526" s="13" t="s">
        <v>33</v>
      </c>
      <c r="U526" s="13" t="s">
        <v>33</v>
      </c>
      <c r="V526" s="13" t="s">
        <v>33</v>
      </c>
      <c r="W526" s="6" t="b">
        <v>0</v>
      </c>
      <c r="X526" s="6" t="s">
        <v>1301</v>
      </c>
      <c r="Y526" s="6" t="s">
        <v>1326</v>
      </c>
      <c r="Z526" s="6">
        <v>622</v>
      </c>
      <c r="AA526" s="7" t="str">
        <f t="shared" si="127"/>
        <v>OK - sims match current assumptions</v>
      </c>
      <c r="AB526" s="13" t="s">
        <v>33</v>
      </c>
      <c r="AC526" s="13" t="s">
        <v>33</v>
      </c>
      <c r="AD526" s="13" t="s">
        <v>33</v>
      </c>
      <c r="AE526" s="13" t="s">
        <v>33</v>
      </c>
      <c r="AF526" s="13" t="s">
        <v>33</v>
      </c>
      <c r="AG526" s="13" t="s">
        <v>33</v>
      </c>
      <c r="AH526" s="6" t="b">
        <v>0</v>
      </c>
      <c r="AI526" s="13" t="s">
        <v>33</v>
      </c>
      <c r="AJ526" s="13" t="s">
        <v>33</v>
      </c>
      <c r="AK526" s="13" t="s">
        <v>33</v>
      </c>
      <c r="AL526" s="6">
        <v>0</v>
      </c>
      <c r="AM526" s="13" t="s">
        <v>33</v>
      </c>
    </row>
    <row r="527" spans="1:39" ht="15" customHeight="1" x14ac:dyDescent="0.3"/>
    <row r="528" spans="1:39" ht="15" customHeight="1" x14ac:dyDescent="0.3">
      <c r="A528" s="48" t="s">
        <v>490</v>
      </c>
      <c r="B528" s="49" t="s">
        <v>1333</v>
      </c>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row>
    <row r="529" spans="1:39" ht="15" customHeight="1" x14ac:dyDescent="0.3">
      <c r="A529" s="6" t="s">
        <v>490</v>
      </c>
      <c r="B529" s="7" t="str">
        <f>Odds_Input!C631</f>
        <v>Victor Wembanyama</v>
      </c>
      <c r="C529" s="6" t="s">
        <v>33</v>
      </c>
      <c r="D529" s="7" t="str">
        <f>Odds_Input!D631</f>
        <v>YES</v>
      </c>
      <c r="E529" s="31" t="str">
        <f>Odds_Input!E631</f>
        <v>-</v>
      </c>
      <c r="F529" s="32">
        <f>Odds_Input!F631</f>
        <v>-600</v>
      </c>
      <c r="G529" s="36">
        <f>M_DeVig!H631</f>
        <v>1.1666666666666667</v>
      </c>
      <c r="H529" s="7" t="str">
        <f>Odds_Input!G631</f>
        <v>-</v>
      </c>
      <c r="I529" s="42">
        <f>M_DeVig!Q631</f>
        <v>0.78346567210198903</v>
      </c>
      <c r="J529" s="13" t="s">
        <v>33</v>
      </c>
      <c r="K529" s="43">
        <f t="shared" ref="K529:K559" si="128">IF(I529&gt;=0.5,-100*I529/(1-I529),100*(1-I529)/I529)</f>
        <v>-361.82053889903602</v>
      </c>
      <c r="L529" s="13" t="s">
        <v>33</v>
      </c>
      <c r="M529" s="13" t="s">
        <v>33</v>
      </c>
      <c r="N529" s="13" t="s">
        <v>33</v>
      </c>
      <c r="O529" s="13" t="s">
        <v>33</v>
      </c>
      <c r="P529" s="13" t="s">
        <v>33</v>
      </c>
      <c r="Q529" s="13" t="s">
        <v>33</v>
      </c>
      <c r="R529" s="13" t="s">
        <v>33</v>
      </c>
      <c r="S529" s="13" t="s">
        <v>33</v>
      </c>
      <c r="T529" s="13" t="s">
        <v>33</v>
      </c>
      <c r="U529" s="13" t="s">
        <v>33</v>
      </c>
      <c r="V529" s="13" t="s">
        <v>33</v>
      </c>
      <c r="W529" s="6" t="b">
        <v>0</v>
      </c>
      <c r="X529" s="6" t="s">
        <v>1301</v>
      </c>
      <c r="Y529" s="6" t="s">
        <v>1326</v>
      </c>
      <c r="Z529" s="6">
        <v>623</v>
      </c>
      <c r="AA529" s="7" t="str">
        <f t="shared" ref="AA529:AA559" si="129">Sim_Stale</f>
        <v>OK - sims match current assumptions</v>
      </c>
      <c r="AB529" s="13" t="s">
        <v>33</v>
      </c>
      <c r="AC529" s="13" t="s">
        <v>33</v>
      </c>
      <c r="AD529" s="13" t="s">
        <v>33</v>
      </c>
      <c r="AE529" s="13" t="s">
        <v>33</v>
      </c>
      <c r="AF529" s="13" t="s">
        <v>33</v>
      </c>
      <c r="AG529" s="13" t="s">
        <v>33</v>
      </c>
      <c r="AH529" s="6" t="b">
        <v>0</v>
      </c>
      <c r="AI529" s="13" t="s">
        <v>33</v>
      </c>
      <c r="AJ529" s="13" t="s">
        <v>33</v>
      </c>
      <c r="AK529" s="13" t="s">
        <v>33</v>
      </c>
      <c r="AL529" s="6">
        <v>0</v>
      </c>
      <c r="AM529" s="13" t="s">
        <v>33</v>
      </c>
    </row>
    <row r="530" spans="1:39" ht="15" customHeight="1" x14ac:dyDescent="0.3">
      <c r="A530" s="6" t="s">
        <v>490</v>
      </c>
      <c r="B530" s="7" t="str">
        <f>Odds_Input!C632</f>
        <v>Walker Kessler</v>
      </c>
      <c r="C530" s="6" t="s">
        <v>33</v>
      </c>
      <c r="D530" s="7" t="str">
        <f>Odds_Input!D632</f>
        <v>YES</v>
      </c>
      <c r="E530" s="31" t="str">
        <f>Odds_Input!E632</f>
        <v>-</v>
      </c>
      <c r="F530" s="32">
        <f>Odds_Input!F632</f>
        <v>1200</v>
      </c>
      <c r="G530" s="36">
        <f>M_DeVig!H632</f>
        <v>13</v>
      </c>
      <c r="H530" s="7" t="str">
        <f>Odds_Input!G632</f>
        <v>-</v>
      </c>
      <c r="I530" s="42">
        <f>M_DeVig!Q632</f>
        <v>6.6238805404577744E-2</v>
      </c>
      <c r="J530" s="13" t="s">
        <v>33</v>
      </c>
      <c r="K530" s="43">
        <f t="shared" si="128"/>
        <v>1409.6890620115112</v>
      </c>
      <c r="L530" s="13" t="s">
        <v>33</v>
      </c>
      <c r="M530" s="13" t="s">
        <v>33</v>
      </c>
      <c r="N530" s="13" t="s">
        <v>33</v>
      </c>
      <c r="O530" s="13" t="s">
        <v>33</v>
      </c>
      <c r="P530" s="13" t="s">
        <v>33</v>
      </c>
      <c r="Q530" s="13" t="s">
        <v>33</v>
      </c>
      <c r="R530" s="13" t="s">
        <v>33</v>
      </c>
      <c r="S530" s="13" t="s">
        <v>33</v>
      </c>
      <c r="T530" s="13" t="s">
        <v>33</v>
      </c>
      <c r="U530" s="13" t="s">
        <v>33</v>
      </c>
      <c r="V530" s="13" t="s">
        <v>33</v>
      </c>
      <c r="W530" s="6" t="b">
        <v>0</v>
      </c>
      <c r="X530" s="6" t="s">
        <v>1301</v>
      </c>
      <c r="Y530" s="6" t="s">
        <v>1326</v>
      </c>
      <c r="Z530" s="6">
        <v>624</v>
      </c>
      <c r="AA530" s="7" t="str">
        <f t="shared" si="129"/>
        <v>OK - sims match current assumptions</v>
      </c>
      <c r="AB530" s="13" t="s">
        <v>33</v>
      </c>
      <c r="AC530" s="13" t="s">
        <v>33</v>
      </c>
      <c r="AD530" s="13" t="s">
        <v>33</v>
      </c>
      <c r="AE530" s="13" t="s">
        <v>33</v>
      </c>
      <c r="AF530" s="13" t="s">
        <v>33</v>
      </c>
      <c r="AG530" s="13" t="s">
        <v>33</v>
      </c>
      <c r="AH530" s="6" t="b">
        <v>0</v>
      </c>
      <c r="AI530" s="13" t="s">
        <v>33</v>
      </c>
      <c r="AJ530" s="13" t="s">
        <v>33</v>
      </c>
      <c r="AK530" s="13" t="s">
        <v>33</v>
      </c>
      <c r="AL530" s="6">
        <v>0</v>
      </c>
      <c r="AM530" s="13" t="s">
        <v>33</v>
      </c>
    </row>
    <row r="531" spans="1:39" ht="15" customHeight="1" x14ac:dyDescent="0.3">
      <c r="A531" s="6" t="s">
        <v>490</v>
      </c>
      <c r="B531" s="7" t="str">
        <f>Odds_Input!C633</f>
        <v>Chet Holmgren</v>
      </c>
      <c r="C531" s="6" t="s">
        <v>33</v>
      </c>
      <c r="D531" s="7" t="str">
        <f>Odds_Input!D633</f>
        <v>YES</v>
      </c>
      <c r="E531" s="31" t="str">
        <f>Odds_Input!E633</f>
        <v>-</v>
      </c>
      <c r="F531" s="32">
        <f>Odds_Input!F633</f>
        <v>3100</v>
      </c>
      <c r="G531" s="36">
        <f>M_DeVig!H633</f>
        <v>32</v>
      </c>
      <c r="H531" s="7" t="str">
        <f>Odds_Input!G633</f>
        <v>-</v>
      </c>
      <c r="I531" s="42">
        <f>M_DeVig!Q633</f>
        <v>2.4465297399685539E-2</v>
      </c>
      <c r="J531" s="13" t="s">
        <v>33</v>
      </c>
      <c r="K531" s="43">
        <f t="shared" si="128"/>
        <v>3987.422211400763</v>
      </c>
      <c r="L531" s="13" t="s">
        <v>33</v>
      </c>
      <c r="M531" s="13" t="s">
        <v>33</v>
      </c>
      <c r="N531" s="13" t="s">
        <v>33</v>
      </c>
      <c r="O531" s="13" t="s">
        <v>33</v>
      </c>
      <c r="P531" s="13" t="s">
        <v>33</v>
      </c>
      <c r="Q531" s="13" t="s">
        <v>33</v>
      </c>
      <c r="R531" s="13" t="s">
        <v>33</v>
      </c>
      <c r="S531" s="13" t="s">
        <v>33</v>
      </c>
      <c r="T531" s="13" t="s">
        <v>33</v>
      </c>
      <c r="U531" s="13" t="s">
        <v>33</v>
      </c>
      <c r="V531" s="13" t="s">
        <v>33</v>
      </c>
      <c r="W531" s="6" t="b">
        <v>0</v>
      </c>
      <c r="X531" s="6" t="s">
        <v>1301</v>
      </c>
      <c r="Y531" s="6" t="s">
        <v>1326</v>
      </c>
      <c r="Z531" s="6">
        <v>625</v>
      </c>
      <c r="AA531" s="7" t="str">
        <f t="shared" si="129"/>
        <v>OK - sims match current assumptions</v>
      </c>
      <c r="AB531" s="13" t="s">
        <v>33</v>
      </c>
      <c r="AC531" s="13" t="s">
        <v>33</v>
      </c>
      <c r="AD531" s="13" t="s">
        <v>33</v>
      </c>
      <c r="AE531" s="13" t="s">
        <v>33</v>
      </c>
      <c r="AF531" s="13" t="s">
        <v>33</v>
      </c>
      <c r="AG531" s="13" t="s">
        <v>33</v>
      </c>
      <c r="AH531" s="6" t="b">
        <v>0</v>
      </c>
      <c r="AI531" s="13" t="s">
        <v>33</v>
      </c>
      <c r="AJ531" s="13" t="s">
        <v>33</v>
      </c>
      <c r="AK531" s="13" t="s">
        <v>33</v>
      </c>
      <c r="AL531" s="6">
        <v>0</v>
      </c>
      <c r="AM531" s="13" t="s">
        <v>33</v>
      </c>
    </row>
    <row r="532" spans="1:39" ht="15" customHeight="1" x14ac:dyDescent="0.3">
      <c r="A532" s="6" t="s">
        <v>490</v>
      </c>
      <c r="B532" s="7" t="str">
        <f>Odds_Input!C634</f>
        <v>Alex Sarr</v>
      </c>
      <c r="C532" s="6" t="s">
        <v>33</v>
      </c>
      <c r="D532" s="7" t="str">
        <f>Odds_Input!D634</f>
        <v>YES</v>
      </c>
      <c r="E532" s="31" t="str">
        <f>Odds_Input!E634</f>
        <v>-</v>
      </c>
      <c r="F532" s="32">
        <f>Odds_Input!F634</f>
        <v>3600</v>
      </c>
      <c r="G532" s="36">
        <f>M_DeVig!H634</f>
        <v>37</v>
      </c>
      <c r="H532" s="7" t="str">
        <f>Odds_Input!G634</f>
        <v>-</v>
      </c>
      <c r="I532" s="42">
        <f>M_DeVig!Q634</f>
        <v>2.0639751397474614E-2</v>
      </c>
      <c r="J532" s="13" t="s">
        <v>33</v>
      </c>
      <c r="K532" s="43">
        <f t="shared" si="128"/>
        <v>4745.0195970982259</v>
      </c>
      <c r="L532" s="13" t="s">
        <v>33</v>
      </c>
      <c r="M532" s="13" t="s">
        <v>33</v>
      </c>
      <c r="N532" s="13" t="s">
        <v>33</v>
      </c>
      <c r="O532" s="13" t="s">
        <v>33</v>
      </c>
      <c r="P532" s="13" t="s">
        <v>33</v>
      </c>
      <c r="Q532" s="13" t="s">
        <v>33</v>
      </c>
      <c r="R532" s="13" t="s">
        <v>33</v>
      </c>
      <c r="S532" s="13" t="s">
        <v>33</v>
      </c>
      <c r="T532" s="13" t="s">
        <v>33</v>
      </c>
      <c r="U532" s="13" t="s">
        <v>33</v>
      </c>
      <c r="V532" s="13" t="s">
        <v>33</v>
      </c>
      <c r="W532" s="6" t="b">
        <v>0</v>
      </c>
      <c r="X532" s="6" t="s">
        <v>1301</v>
      </c>
      <c r="Y532" s="6" t="s">
        <v>1326</v>
      </c>
      <c r="Z532" s="6">
        <v>626</v>
      </c>
      <c r="AA532" s="7" t="str">
        <f t="shared" si="129"/>
        <v>OK - sims match current assumptions</v>
      </c>
      <c r="AB532" s="13" t="s">
        <v>33</v>
      </c>
      <c r="AC532" s="13" t="s">
        <v>33</v>
      </c>
      <c r="AD532" s="13" t="s">
        <v>33</v>
      </c>
      <c r="AE532" s="13" t="s">
        <v>33</v>
      </c>
      <c r="AF532" s="13" t="s">
        <v>33</v>
      </c>
      <c r="AG532" s="13" t="s">
        <v>33</v>
      </c>
      <c r="AH532" s="6" t="b">
        <v>0</v>
      </c>
      <c r="AI532" s="13" t="s">
        <v>33</v>
      </c>
      <c r="AJ532" s="13" t="s">
        <v>33</v>
      </c>
      <c r="AK532" s="13" t="s">
        <v>33</v>
      </c>
      <c r="AL532" s="6">
        <v>0</v>
      </c>
      <c r="AM532" s="13" t="s">
        <v>33</v>
      </c>
    </row>
    <row r="533" spans="1:39" ht="15" customHeight="1" x14ac:dyDescent="0.3">
      <c r="A533" s="6" t="s">
        <v>490</v>
      </c>
      <c r="B533" s="7" t="str">
        <f>Odds_Input!C635</f>
        <v>Zach Edey</v>
      </c>
      <c r="C533" s="6" t="s">
        <v>33</v>
      </c>
      <c r="D533" s="7" t="str">
        <f>Odds_Input!D635</f>
        <v>YES</v>
      </c>
      <c r="E533" s="31" t="str">
        <f>Odds_Input!E635</f>
        <v>-</v>
      </c>
      <c r="F533" s="32">
        <f>Odds_Input!F635</f>
        <v>4100</v>
      </c>
      <c r="G533" s="36">
        <f>M_DeVig!H635</f>
        <v>42</v>
      </c>
      <c r="H533" s="7" t="str">
        <f>Odds_Input!G635</f>
        <v>-</v>
      </c>
      <c r="I533" s="42">
        <f>M_DeVig!Q635</f>
        <v>1.7738284093286833E-2</v>
      </c>
      <c r="J533" s="13" t="s">
        <v>33</v>
      </c>
      <c r="K533" s="43">
        <f t="shared" si="128"/>
        <v>5537.5238706344562</v>
      </c>
      <c r="L533" s="13" t="s">
        <v>33</v>
      </c>
      <c r="M533" s="13" t="s">
        <v>33</v>
      </c>
      <c r="N533" s="13" t="s">
        <v>33</v>
      </c>
      <c r="O533" s="13" t="s">
        <v>33</v>
      </c>
      <c r="P533" s="13" t="s">
        <v>33</v>
      </c>
      <c r="Q533" s="13" t="s">
        <v>33</v>
      </c>
      <c r="R533" s="13" t="s">
        <v>33</v>
      </c>
      <c r="S533" s="13" t="s">
        <v>33</v>
      </c>
      <c r="T533" s="13" t="s">
        <v>33</v>
      </c>
      <c r="U533" s="13" t="s">
        <v>33</v>
      </c>
      <c r="V533" s="13" t="s">
        <v>33</v>
      </c>
      <c r="W533" s="6" t="b">
        <v>0</v>
      </c>
      <c r="X533" s="6" t="s">
        <v>1301</v>
      </c>
      <c r="Y533" s="6" t="s">
        <v>1326</v>
      </c>
      <c r="Z533" s="6">
        <v>627</v>
      </c>
      <c r="AA533" s="7" t="str">
        <f t="shared" si="129"/>
        <v>OK - sims match current assumptions</v>
      </c>
      <c r="AB533" s="13" t="s">
        <v>33</v>
      </c>
      <c r="AC533" s="13" t="s">
        <v>33</v>
      </c>
      <c r="AD533" s="13" t="s">
        <v>33</v>
      </c>
      <c r="AE533" s="13" t="s">
        <v>33</v>
      </c>
      <c r="AF533" s="13" t="s">
        <v>33</v>
      </c>
      <c r="AG533" s="13" t="s">
        <v>33</v>
      </c>
      <c r="AH533" s="6" t="b">
        <v>0</v>
      </c>
      <c r="AI533" s="13" t="s">
        <v>33</v>
      </c>
      <c r="AJ533" s="13" t="s">
        <v>33</v>
      </c>
      <c r="AK533" s="13" t="s">
        <v>33</v>
      </c>
      <c r="AL533" s="6">
        <v>0</v>
      </c>
      <c r="AM533" s="13" t="s">
        <v>33</v>
      </c>
    </row>
    <row r="534" spans="1:39" ht="15" customHeight="1" x14ac:dyDescent="0.3">
      <c r="A534" s="6" t="s">
        <v>490</v>
      </c>
      <c r="B534" s="7" t="str">
        <f>Odds_Input!C636</f>
        <v>Anthony Davis</v>
      </c>
      <c r="C534" s="6" t="s">
        <v>33</v>
      </c>
      <c r="D534" s="7" t="str">
        <f>Odds_Input!D636</f>
        <v>YES</v>
      </c>
      <c r="E534" s="31" t="str">
        <f>Odds_Input!E636</f>
        <v>-</v>
      </c>
      <c r="F534" s="32">
        <f>Odds_Input!F636</f>
        <v>5200</v>
      </c>
      <c r="G534" s="36">
        <f>M_DeVig!H636</f>
        <v>53</v>
      </c>
      <c r="H534" s="7" t="str">
        <f>Odds_Input!G636</f>
        <v>-</v>
      </c>
      <c r="I534" s="42">
        <f>M_DeVig!Q636</f>
        <v>1.3318219035488072E-2</v>
      </c>
      <c r="J534" s="13" t="s">
        <v>33</v>
      </c>
      <c r="K534" s="43">
        <f t="shared" si="128"/>
        <v>7408.5114408718928</v>
      </c>
      <c r="L534" s="13" t="s">
        <v>33</v>
      </c>
      <c r="M534" s="13" t="s">
        <v>33</v>
      </c>
      <c r="N534" s="13" t="s">
        <v>33</v>
      </c>
      <c r="O534" s="13" t="s">
        <v>33</v>
      </c>
      <c r="P534" s="13" t="s">
        <v>33</v>
      </c>
      <c r="Q534" s="13" t="s">
        <v>33</v>
      </c>
      <c r="R534" s="13" t="s">
        <v>33</v>
      </c>
      <c r="S534" s="13" t="s">
        <v>33</v>
      </c>
      <c r="T534" s="13" t="s">
        <v>33</v>
      </c>
      <c r="U534" s="13" t="s">
        <v>33</v>
      </c>
      <c r="V534" s="13" t="s">
        <v>33</v>
      </c>
      <c r="W534" s="6" t="b">
        <v>0</v>
      </c>
      <c r="X534" s="6" t="s">
        <v>1301</v>
      </c>
      <c r="Y534" s="6" t="s">
        <v>1326</v>
      </c>
      <c r="Z534" s="6">
        <v>628</v>
      </c>
      <c r="AA534" s="7" t="str">
        <f t="shared" si="129"/>
        <v>OK - sims match current assumptions</v>
      </c>
      <c r="AB534" s="13" t="s">
        <v>33</v>
      </c>
      <c r="AC534" s="13" t="s">
        <v>33</v>
      </c>
      <c r="AD534" s="13" t="s">
        <v>33</v>
      </c>
      <c r="AE534" s="13" t="s">
        <v>33</v>
      </c>
      <c r="AF534" s="13" t="s">
        <v>33</v>
      </c>
      <c r="AG534" s="13" t="s">
        <v>33</v>
      </c>
      <c r="AH534" s="6" t="b">
        <v>0</v>
      </c>
      <c r="AI534" s="13" t="s">
        <v>33</v>
      </c>
      <c r="AJ534" s="13" t="s">
        <v>33</v>
      </c>
      <c r="AK534" s="13" t="s">
        <v>33</v>
      </c>
      <c r="AL534" s="6">
        <v>0</v>
      </c>
      <c r="AM534" s="13" t="s">
        <v>33</v>
      </c>
    </row>
    <row r="535" spans="1:39" ht="15" customHeight="1" x14ac:dyDescent="0.3">
      <c r="A535" s="6" t="s">
        <v>490</v>
      </c>
      <c r="B535" s="7" t="str">
        <f>Odds_Input!C637</f>
        <v>Donovan Clingan</v>
      </c>
      <c r="C535" s="6" t="s">
        <v>33</v>
      </c>
      <c r="D535" s="7" t="str">
        <f>Odds_Input!D637</f>
        <v>YES</v>
      </c>
      <c r="E535" s="31" t="str">
        <f>Odds_Input!E637</f>
        <v>-</v>
      </c>
      <c r="F535" s="32">
        <f>Odds_Input!F637</f>
        <v>6500</v>
      </c>
      <c r="G535" s="36">
        <f>M_DeVig!H637</f>
        <v>66</v>
      </c>
      <c r="H535" s="7" t="str">
        <f>Odds_Input!G637</f>
        <v>-</v>
      </c>
      <c r="I535" s="42">
        <f>M_DeVig!Q637</f>
        <v>1.0043768789602862E-2</v>
      </c>
      <c r="J535" s="13" t="s">
        <v>33</v>
      </c>
      <c r="K535" s="43">
        <f t="shared" si="128"/>
        <v>9856.4219462636665</v>
      </c>
      <c r="L535" s="13" t="s">
        <v>33</v>
      </c>
      <c r="M535" s="13" t="s">
        <v>33</v>
      </c>
      <c r="N535" s="13" t="s">
        <v>33</v>
      </c>
      <c r="O535" s="13" t="s">
        <v>33</v>
      </c>
      <c r="P535" s="13" t="s">
        <v>33</v>
      </c>
      <c r="Q535" s="13" t="s">
        <v>33</v>
      </c>
      <c r="R535" s="13" t="s">
        <v>33</v>
      </c>
      <c r="S535" s="13" t="s">
        <v>33</v>
      </c>
      <c r="T535" s="13" t="s">
        <v>33</v>
      </c>
      <c r="U535" s="13" t="s">
        <v>33</v>
      </c>
      <c r="V535" s="13" t="s">
        <v>33</v>
      </c>
      <c r="W535" s="6" t="b">
        <v>0</v>
      </c>
      <c r="X535" s="6" t="s">
        <v>1301</v>
      </c>
      <c r="Y535" s="6" t="s">
        <v>1326</v>
      </c>
      <c r="Z535" s="6">
        <v>629</v>
      </c>
      <c r="AA535" s="7" t="str">
        <f t="shared" si="129"/>
        <v>OK - sims match current assumptions</v>
      </c>
      <c r="AB535" s="13" t="s">
        <v>33</v>
      </c>
      <c r="AC535" s="13" t="s">
        <v>33</v>
      </c>
      <c r="AD535" s="13" t="s">
        <v>33</v>
      </c>
      <c r="AE535" s="13" t="s">
        <v>33</v>
      </c>
      <c r="AF535" s="13" t="s">
        <v>33</v>
      </c>
      <c r="AG535" s="13" t="s">
        <v>33</v>
      </c>
      <c r="AH535" s="6" t="b">
        <v>0</v>
      </c>
      <c r="AI535" s="13" t="s">
        <v>33</v>
      </c>
      <c r="AJ535" s="13" t="s">
        <v>33</v>
      </c>
      <c r="AK535" s="13" t="s">
        <v>33</v>
      </c>
      <c r="AL535" s="6">
        <v>0</v>
      </c>
      <c r="AM535" s="13" t="s">
        <v>33</v>
      </c>
    </row>
    <row r="536" spans="1:39" ht="15" customHeight="1" x14ac:dyDescent="0.3">
      <c r="A536" s="6" t="s">
        <v>490</v>
      </c>
      <c r="B536" s="7" t="str">
        <f>Odds_Input!C638</f>
        <v>Jaren Jackson Jr</v>
      </c>
      <c r="C536" s="6" t="s">
        <v>33</v>
      </c>
      <c r="D536" s="7" t="str">
        <f>Odds_Input!D638</f>
        <v>YES</v>
      </c>
      <c r="E536" s="31" t="str">
        <f>Odds_Input!E638</f>
        <v>-</v>
      </c>
      <c r="F536" s="32">
        <f>Odds_Input!F638</f>
        <v>8500</v>
      </c>
      <c r="G536" s="36">
        <f>M_DeVig!H638</f>
        <v>86</v>
      </c>
      <c r="H536" s="7" t="str">
        <f>Odds_Input!G638</f>
        <v>-</v>
      </c>
      <c r="I536" s="42">
        <f>M_DeVig!Q638</f>
        <v>7.0150337451579184E-3</v>
      </c>
      <c r="J536" s="13" t="s">
        <v>33</v>
      </c>
      <c r="K536" s="43">
        <f t="shared" si="128"/>
        <v>14155.098925079918</v>
      </c>
      <c r="L536" s="13" t="s">
        <v>33</v>
      </c>
      <c r="M536" s="13" t="s">
        <v>33</v>
      </c>
      <c r="N536" s="13" t="s">
        <v>33</v>
      </c>
      <c r="O536" s="13" t="s">
        <v>33</v>
      </c>
      <c r="P536" s="13" t="s">
        <v>33</v>
      </c>
      <c r="Q536" s="13" t="s">
        <v>33</v>
      </c>
      <c r="R536" s="13" t="s">
        <v>33</v>
      </c>
      <c r="S536" s="13" t="s">
        <v>33</v>
      </c>
      <c r="T536" s="13" t="s">
        <v>33</v>
      </c>
      <c r="U536" s="13" t="s">
        <v>33</v>
      </c>
      <c r="V536" s="13" t="s">
        <v>33</v>
      </c>
      <c r="W536" s="6" t="b">
        <v>0</v>
      </c>
      <c r="X536" s="6" t="s">
        <v>1301</v>
      </c>
      <c r="Y536" s="6" t="s">
        <v>1326</v>
      </c>
      <c r="Z536" s="6">
        <v>630</v>
      </c>
      <c r="AA536" s="7" t="str">
        <f t="shared" si="129"/>
        <v>OK - sims match current assumptions</v>
      </c>
      <c r="AB536" s="13" t="s">
        <v>33</v>
      </c>
      <c r="AC536" s="13" t="s">
        <v>33</v>
      </c>
      <c r="AD536" s="13" t="s">
        <v>33</v>
      </c>
      <c r="AE536" s="13" t="s">
        <v>33</v>
      </c>
      <c r="AF536" s="13" t="s">
        <v>33</v>
      </c>
      <c r="AG536" s="13" t="s">
        <v>33</v>
      </c>
      <c r="AH536" s="6" t="b">
        <v>0</v>
      </c>
      <c r="AI536" s="13" t="s">
        <v>33</v>
      </c>
      <c r="AJ536" s="13" t="s">
        <v>33</v>
      </c>
      <c r="AK536" s="13" t="s">
        <v>33</v>
      </c>
      <c r="AL536" s="6">
        <v>0</v>
      </c>
      <c r="AM536" s="13" t="s">
        <v>33</v>
      </c>
    </row>
    <row r="537" spans="1:39" ht="15" customHeight="1" x14ac:dyDescent="0.3">
      <c r="A537" s="6" t="s">
        <v>490</v>
      </c>
      <c r="B537" s="7" t="str">
        <f>Odds_Input!C639</f>
        <v>Rudy Gobert</v>
      </c>
      <c r="C537" s="6" t="s">
        <v>33</v>
      </c>
      <c r="D537" s="7" t="str">
        <f>Odds_Input!D639</f>
        <v>YES</v>
      </c>
      <c r="E537" s="31" t="str">
        <f>Odds_Input!E639</f>
        <v>-</v>
      </c>
      <c r="F537" s="32">
        <f>Odds_Input!F639</f>
        <v>9500</v>
      </c>
      <c r="G537" s="36">
        <f>M_DeVig!H639</f>
        <v>96</v>
      </c>
      <c r="H537" s="7" t="str">
        <f>Odds_Input!G639</f>
        <v>-</v>
      </c>
      <c r="I537" s="42">
        <f>M_DeVig!Q639</f>
        <v>6.0026510917005121E-3</v>
      </c>
      <c r="J537" s="13" t="s">
        <v>33</v>
      </c>
      <c r="K537" s="43">
        <f t="shared" si="128"/>
        <v>16559.305775453733</v>
      </c>
      <c r="L537" s="13" t="s">
        <v>33</v>
      </c>
      <c r="M537" s="13" t="s">
        <v>33</v>
      </c>
      <c r="N537" s="13" t="s">
        <v>33</v>
      </c>
      <c r="O537" s="13" t="s">
        <v>33</v>
      </c>
      <c r="P537" s="13" t="s">
        <v>33</v>
      </c>
      <c r="Q537" s="13" t="s">
        <v>33</v>
      </c>
      <c r="R537" s="13" t="s">
        <v>33</v>
      </c>
      <c r="S537" s="13" t="s">
        <v>33</v>
      </c>
      <c r="T537" s="13" t="s">
        <v>33</v>
      </c>
      <c r="U537" s="13" t="s">
        <v>33</v>
      </c>
      <c r="V537" s="13" t="s">
        <v>33</v>
      </c>
      <c r="W537" s="6" t="b">
        <v>0</v>
      </c>
      <c r="X537" s="6" t="s">
        <v>1301</v>
      </c>
      <c r="Y537" s="6" t="s">
        <v>1326</v>
      </c>
      <c r="Z537" s="6">
        <v>631</v>
      </c>
      <c r="AA537" s="7" t="str">
        <f t="shared" si="129"/>
        <v>OK - sims match current assumptions</v>
      </c>
      <c r="AB537" s="13" t="s">
        <v>33</v>
      </c>
      <c r="AC537" s="13" t="s">
        <v>33</v>
      </c>
      <c r="AD537" s="13" t="s">
        <v>33</v>
      </c>
      <c r="AE537" s="13" t="s">
        <v>33</v>
      </c>
      <c r="AF537" s="13" t="s">
        <v>33</v>
      </c>
      <c r="AG537" s="13" t="s">
        <v>33</v>
      </c>
      <c r="AH537" s="6" t="b">
        <v>0</v>
      </c>
      <c r="AI537" s="13" t="s">
        <v>33</v>
      </c>
      <c r="AJ537" s="13" t="s">
        <v>33</v>
      </c>
      <c r="AK537" s="13" t="s">
        <v>33</v>
      </c>
      <c r="AL537" s="6">
        <v>0</v>
      </c>
      <c r="AM537" s="13" t="s">
        <v>33</v>
      </c>
    </row>
    <row r="538" spans="1:39" ht="15" customHeight="1" x14ac:dyDescent="0.3">
      <c r="A538" s="6" t="s">
        <v>490</v>
      </c>
      <c r="B538" s="7" t="str">
        <f>Odds_Input!C640</f>
        <v>Evan Mobley</v>
      </c>
      <c r="C538" s="6" t="s">
        <v>33</v>
      </c>
      <c r="D538" s="7" t="str">
        <f>Odds_Input!D640</f>
        <v>YES</v>
      </c>
      <c r="E538" s="31" t="str">
        <f>Odds_Input!E640</f>
        <v>-</v>
      </c>
      <c r="F538" s="32">
        <f>Odds_Input!F640</f>
        <v>10000</v>
      </c>
      <c r="G538" s="36">
        <f>M_DeVig!H640</f>
        <v>101</v>
      </c>
      <c r="H538" s="7" t="str">
        <f>Odds_Input!G640</f>
        <v>-</v>
      </c>
      <c r="I538" s="42">
        <f>M_DeVig!Q640</f>
        <v>5.5780347983926731E-3</v>
      </c>
      <c r="J538" s="13" t="s">
        <v>33</v>
      </c>
      <c r="K538" s="43">
        <f t="shared" si="128"/>
        <v>17827.460766077562</v>
      </c>
      <c r="L538" s="13" t="s">
        <v>33</v>
      </c>
      <c r="M538" s="13" t="s">
        <v>33</v>
      </c>
      <c r="N538" s="13" t="s">
        <v>33</v>
      </c>
      <c r="O538" s="13" t="s">
        <v>33</v>
      </c>
      <c r="P538" s="13" t="s">
        <v>33</v>
      </c>
      <c r="Q538" s="13" t="s">
        <v>33</v>
      </c>
      <c r="R538" s="13" t="s">
        <v>33</v>
      </c>
      <c r="S538" s="13" t="s">
        <v>33</v>
      </c>
      <c r="T538" s="13" t="s">
        <v>33</v>
      </c>
      <c r="U538" s="13" t="s">
        <v>33</v>
      </c>
      <c r="V538" s="13" t="s">
        <v>33</v>
      </c>
      <c r="W538" s="6" t="b">
        <v>0</v>
      </c>
      <c r="X538" s="6" t="s">
        <v>1301</v>
      </c>
      <c r="Y538" s="6" t="s">
        <v>1326</v>
      </c>
      <c r="Z538" s="6">
        <v>632</v>
      </c>
      <c r="AA538" s="7" t="str">
        <f t="shared" si="129"/>
        <v>OK - sims match current assumptions</v>
      </c>
      <c r="AB538" s="13" t="s">
        <v>33</v>
      </c>
      <c r="AC538" s="13" t="s">
        <v>33</v>
      </c>
      <c r="AD538" s="13" t="s">
        <v>33</v>
      </c>
      <c r="AE538" s="13" t="s">
        <v>33</v>
      </c>
      <c r="AF538" s="13" t="s">
        <v>33</v>
      </c>
      <c r="AG538" s="13" t="s">
        <v>33</v>
      </c>
      <c r="AH538" s="6" t="b">
        <v>0</v>
      </c>
      <c r="AI538" s="13" t="s">
        <v>33</v>
      </c>
      <c r="AJ538" s="13" t="s">
        <v>33</v>
      </c>
      <c r="AK538" s="13" t="s">
        <v>33</v>
      </c>
      <c r="AL538" s="6">
        <v>0</v>
      </c>
      <c r="AM538" s="13" t="s">
        <v>33</v>
      </c>
    </row>
    <row r="539" spans="1:39" ht="15" customHeight="1" x14ac:dyDescent="0.3">
      <c r="A539" s="6" t="s">
        <v>490</v>
      </c>
      <c r="B539" s="7" t="str">
        <f>Odds_Input!C641</f>
        <v>Dereck Lively II</v>
      </c>
      <c r="C539" s="6" t="s">
        <v>33</v>
      </c>
      <c r="D539" s="7" t="str">
        <f>Odds_Input!D641</f>
        <v>YES</v>
      </c>
      <c r="E539" s="31" t="str">
        <f>Odds_Input!E641</f>
        <v>-</v>
      </c>
      <c r="F539" s="32">
        <f>Odds_Input!F641</f>
        <v>12500</v>
      </c>
      <c r="G539" s="36">
        <f>M_DeVig!H641</f>
        <v>126</v>
      </c>
      <c r="H539" s="7" t="str">
        <f>Odds_Input!G641</f>
        <v>-</v>
      </c>
      <c r="I539" s="42">
        <f>M_DeVig!Q641</f>
        <v>4.0077269006929114E-3</v>
      </c>
      <c r="J539" s="13" t="s">
        <v>33</v>
      </c>
      <c r="K539" s="43">
        <f t="shared" si="128"/>
        <v>24851.799979861556</v>
      </c>
      <c r="L539" s="13" t="s">
        <v>33</v>
      </c>
      <c r="M539" s="13" t="s">
        <v>33</v>
      </c>
      <c r="N539" s="13" t="s">
        <v>33</v>
      </c>
      <c r="O539" s="13" t="s">
        <v>33</v>
      </c>
      <c r="P539" s="13" t="s">
        <v>33</v>
      </c>
      <c r="Q539" s="13" t="s">
        <v>33</v>
      </c>
      <c r="R539" s="13" t="s">
        <v>33</v>
      </c>
      <c r="S539" s="13" t="s">
        <v>33</v>
      </c>
      <c r="T539" s="13" t="s">
        <v>33</v>
      </c>
      <c r="U539" s="13" t="s">
        <v>33</v>
      </c>
      <c r="V539" s="13" t="s">
        <v>33</v>
      </c>
      <c r="W539" s="6" t="b">
        <v>0</v>
      </c>
      <c r="X539" s="6" t="s">
        <v>1301</v>
      </c>
      <c r="Y539" s="6" t="s">
        <v>1326</v>
      </c>
      <c r="Z539" s="6">
        <v>633</v>
      </c>
      <c r="AA539" s="7" t="str">
        <f t="shared" si="129"/>
        <v>OK - sims match current assumptions</v>
      </c>
      <c r="AB539" s="13" t="s">
        <v>33</v>
      </c>
      <c r="AC539" s="13" t="s">
        <v>33</v>
      </c>
      <c r="AD539" s="13" t="s">
        <v>33</v>
      </c>
      <c r="AE539" s="13" t="s">
        <v>33</v>
      </c>
      <c r="AF539" s="13" t="s">
        <v>33</v>
      </c>
      <c r="AG539" s="13" t="s">
        <v>33</v>
      </c>
      <c r="AH539" s="6" t="b">
        <v>0</v>
      </c>
      <c r="AI539" s="13" t="s">
        <v>33</v>
      </c>
      <c r="AJ539" s="13" t="s">
        <v>33</v>
      </c>
      <c r="AK539" s="13" t="s">
        <v>33</v>
      </c>
      <c r="AL539" s="6">
        <v>0</v>
      </c>
      <c r="AM539" s="13" t="s">
        <v>33</v>
      </c>
    </row>
    <row r="540" spans="1:39" ht="15" customHeight="1" x14ac:dyDescent="0.3">
      <c r="A540" s="6" t="s">
        <v>490</v>
      </c>
      <c r="B540" s="7" t="str">
        <f>Odds_Input!C642</f>
        <v>Yves Missi</v>
      </c>
      <c r="C540" s="6" t="s">
        <v>33</v>
      </c>
      <c r="D540" s="7" t="str">
        <f>Odds_Input!D642</f>
        <v>YES</v>
      </c>
      <c r="E540" s="31" t="str">
        <f>Odds_Input!E642</f>
        <v>-</v>
      </c>
      <c r="F540" s="32">
        <f>Odds_Input!F642</f>
        <v>13000</v>
      </c>
      <c r="G540" s="36">
        <f>M_DeVig!H642</f>
        <v>131</v>
      </c>
      <c r="H540" s="7" t="str">
        <f>Odds_Input!G642</f>
        <v>-</v>
      </c>
      <c r="I540" s="42">
        <f>M_DeVig!Q642</f>
        <v>3.7740174012189211E-3</v>
      </c>
      <c r="J540" s="13" t="s">
        <v>33</v>
      </c>
      <c r="K540" s="43">
        <f t="shared" si="128"/>
        <v>26396.963147997751</v>
      </c>
      <c r="L540" s="13" t="s">
        <v>33</v>
      </c>
      <c r="M540" s="13" t="s">
        <v>33</v>
      </c>
      <c r="N540" s="13" t="s">
        <v>33</v>
      </c>
      <c r="O540" s="13" t="s">
        <v>33</v>
      </c>
      <c r="P540" s="13" t="s">
        <v>33</v>
      </c>
      <c r="Q540" s="13" t="s">
        <v>33</v>
      </c>
      <c r="R540" s="13" t="s">
        <v>33</v>
      </c>
      <c r="S540" s="13" t="s">
        <v>33</v>
      </c>
      <c r="T540" s="13" t="s">
        <v>33</v>
      </c>
      <c r="U540" s="13" t="s">
        <v>33</v>
      </c>
      <c r="V540" s="13" t="s">
        <v>33</v>
      </c>
      <c r="W540" s="6" t="b">
        <v>0</v>
      </c>
      <c r="X540" s="6" t="s">
        <v>1301</v>
      </c>
      <c r="Y540" s="6" t="s">
        <v>1326</v>
      </c>
      <c r="Z540" s="6">
        <v>634</v>
      </c>
      <c r="AA540" s="7" t="str">
        <f t="shared" si="129"/>
        <v>OK - sims match current assumptions</v>
      </c>
      <c r="AB540" s="13" t="s">
        <v>33</v>
      </c>
      <c r="AC540" s="13" t="s">
        <v>33</v>
      </c>
      <c r="AD540" s="13" t="s">
        <v>33</v>
      </c>
      <c r="AE540" s="13" t="s">
        <v>33</v>
      </c>
      <c r="AF540" s="13" t="s">
        <v>33</v>
      </c>
      <c r="AG540" s="13" t="s">
        <v>33</v>
      </c>
      <c r="AH540" s="6" t="b">
        <v>0</v>
      </c>
      <c r="AI540" s="13" t="s">
        <v>33</v>
      </c>
      <c r="AJ540" s="13" t="s">
        <v>33</v>
      </c>
      <c r="AK540" s="13" t="s">
        <v>33</v>
      </c>
      <c r="AL540" s="6">
        <v>0</v>
      </c>
      <c r="AM540" s="13" t="s">
        <v>33</v>
      </c>
    </row>
    <row r="541" spans="1:39" ht="15" customHeight="1" x14ac:dyDescent="0.3">
      <c r="A541" s="6" t="s">
        <v>490</v>
      </c>
      <c r="B541" s="7" t="str">
        <f>Odds_Input!C643</f>
        <v>Myles Turner</v>
      </c>
      <c r="C541" s="6" t="s">
        <v>33</v>
      </c>
      <c r="D541" s="7" t="str">
        <f>Odds_Input!D643</f>
        <v>YES</v>
      </c>
      <c r="E541" s="31" t="str">
        <f>Odds_Input!E643</f>
        <v>-</v>
      </c>
      <c r="F541" s="32">
        <f>Odds_Input!F643</f>
        <v>12000</v>
      </c>
      <c r="G541" s="36">
        <f>M_DeVig!H643</f>
        <v>121</v>
      </c>
      <c r="H541" s="7" t="str">
        <f>Odds_Input!G643</f>
        <v>-</v>
      </c>
      <c r="I541" s="42">
        <f>M_DeVig!Q643</f>
        <v>4.2636580487581477E-3</v>
      </c>
      <c r="J541" s="13" t="s">
        <v>33</v>
      </c>
      <c r="K541" s="43">
        <f t="shared" si="128"/>
        <v>23354.038493806147</v>
      </c>
      <c r="L541" s="13" t="s">
        <v>33</v>
      </c>
      <c r="M541" s="13" t="s">
        <v>33</v>
      </c>
      <c r="N541" s="13" t="s">
        <v>33</v>
      </c>
      <c r="O541" s="13" t="s">
        <v>33</v>
      </c>
      <c r="P541" s="13" t="s">
        <v>33</v>
      </c>
      <c r="Q541" s="13" t="s">
        <v>33</v>
      </c>
      <c r="R541" s="13" t="s">
        <v>33</v>
      </c>
      <c r="S541" s="13" t="s">
        <v>33</v>
      </c>
      <c r="T541" s="13" t="s">
        <v>33</v>
      </c>
      <c r="U541" s="13" t="s">
        <v>33</v>
      </c>
      <c r="V541" s="13" t="s">
        <v>33</v>
      </c>
      <c r="W541" s="6" t="b">
        <v>0</v>
      </c>
      <c r="X541" s="6" t="s">
        <v>1301</v>
      </c>
      <c r="Y541" s="6" t="s">
        <v>1326</v>
      </c>
      <c r="Z541" s="6">
        <v>635</v>
      </c>
      <c r="AA541" s="7" t="str">
        <f t="shared" si="129"/>
        <v>OK - sims match current assumptions</v>
      </c>
      <c r="AB541" s="13" t="s">
        <v>33</v>
      </c>
      <c r="AC541" s="13" t="s">
        <v>33</v>
      </c>
      <c r="AD541" s="13" t="s">
        <v>33</v>
      </c>
      <c r="AE541" s="13" t="s">
        <v>33</v>
      </c>
      <c r="AF541" s="13" t="s">
        <v>33</v>
      </c>
      <c r="AG541" s="13" t="s">
        <v>33</v>
      </c>
      <c r="AH541" s="6" t="b">
        <v>0</v>
      </c>
      <c r="AI541" s="13" t="s">
        <v>33</v>
      </c>
      <c r="AJ541" s="13" t="s">
        <v>33</v>
      </c>
      <c r="AK541" s="13" t="s">
        <v>33</v>
      </c>
      <c r="AL541" s="6">
        <v>0</v>
      </c>
      <c r="AM541" s="13" t="s">
        <v>33</v>
      </c>
    </row>
    <row r="542" spans="1:39" ht="15" customHeight="1" x14ac:dyDescent="0.3">
      <c r="A542" s="6" t="s">
        <v>490</v>
      </c>
      <c r="B542" s="7" t="str">
        <f>Odds_Input!C644</f>
        <v>Kelel Ware</v>
      </c>
      <c r="C542" s="6" t="s">
        <v>33</v>
      </c>
      <c r="D542" s="7" t="str">
        <f>Odds_Input!D644</f>
        <v>YES</v>
      </c>
      <c r="E542" s="31" t="str">
        <f>Odds_Input!E644</f>
        <v>-</v>
      </c>
      <c r="F542" s="32">
        <f>Odds_Input!F644</f>
        <v>13000</v>
      </c>
      <c r="G542" s="36">
        <f>M_DeVig!H644</f>
        <v>131</v>
      </c>
      <c r="H542" s="7" t="str">
        <f>Odds_Input!G644</f>
        <v>-</v>
      </c>
      <c r="I542" s="42">
        <f>M_DeVig!Q644</f>
        <v>3.7740174012189211E-3</v>
      </c>
      <c r="J542" s="13" t="s">
        <v>33</v>
      </c>
      <c r="K542" s="43">
        <f t="shared" si="128"/>
        <v>26396.963147997751</v>
      </c>
      <c r="L542" s="13" t="s">
        <v>33</v>
      </c>
      <c r="M542" s="13" t="s">
        <v>33</v>
      </c>
      <c r="N542" s="13" t="s">
        <v>33</v>
      </c>
      <c r="O542" s="13" t="s">
        <v>33</v>
      </c>
      <c r="P542" s="13" t="s">
        <v>33</v>
      </c>
      <c r="Q542" s="13" t="s">
        <v>33</v>
      </c>
      <c r="R542" s="13" t="s">
        <v>33</v>
      </c>
      <c r="S542" s="13" t="s">
        <v>33</v>
      </c>
      <c r="T542" s="13" t="s">
        <v>33</v>
      </c>
      <c r="U542" s="13" t="s">
        <v>33</v>
      </c>
      <c r="V542" s="13" t="s">
        <v>33</v>
      </c>
      <c r="W542" s="6" t="b">
        <v>0</v>
      </c>
      <c r="X542" s="6" t="s">
        <v>1301</v>
      </c>
      <c r="Y542" s="6" t="s">
        <v>1326</v>
      </c>
      <c r="Z542" s="6">
        <v>636</v>
      </c>
      <c r="AA542" s="7" t="str">
        <f t="shared" si="129"/>
        <v>OK - sims match current assumptions</v>
      </c>
      <c r="AB542" s="13" t="s">
        <v>33</v>
      </c>
      <c r="AC542" s="13" t="s">
        <v>33</v>
      </c>
      <c r="AD542" s="13" t="s">
        <v>33</v>
      </c>
      <c r="AE542" s="13" t="s">
        <v>33</v>
      </c>
      <c r="AF542" s="13" t="s">
        <v>33</v>
      </c>
      <c r="AG542" s="13" t="s">
        <v>33</v>
      </c>
      <c r="AH542" s="6" t="b">
        <v>0</v>
      </c>
      <c r="AI542" s="13" t="s">
        <v>33</v>
      </c>
      <c r="AJ542" s="13" t="s">
        <v>33</v>
      </c>
      <c r="AK542" s="13" t="s">
        <v>33</v>
      </c>
      <c r="AL542" s="6">
        <v>0</v>
      </c>
      <c r="AM542" s="13" t="s">
        <v>33</v>
      </c>
    </row>
    <row r="543" spans="1:39" ht="15" customHeight="1" x14ac:dyDescent="0.3">
      <c r="A543" s="6" t="s">
        <v>490</v>
      </c>
      <c r="B543" s="7" t="str">
        <f>Odds_Input!C645</f>
        <v>Ryan Kalkbrenner</v>
      </c>
      <c r="C543" s="6" t="s">
        <v>33</v>
      </c>
      <c r="D543" s="7" t="str">
        <f>Odds_Input!D645</f>
        <v>YES</v>
      </c>
      <c r="E543" s="31" t="str">
        <f>Odds_Input!E645</f>
        <v>-</v>
      </c>
      <c r="F543" s="32">
        <f>Odds_Input!F645</f>
        <v>14000</v>
      </c>
      <c r="G543" s="36">
        <f>M_DeVig!H645</f>
        <v>141</v>
      </c>
      <c r="H543" s="7" t="str">
        <f>Odds_Input!G645</f>
        <v>-</v>
      </c>
      <c r="I543" s="42">
        <f>M_DeVig!Q645</f>
        <v>3.3634702358117563E-3</v>
      </c>
      <c r="J543" s="13" t="s">
        <v>33</v>
      </c>
      <c r="K543" s="43">
        <f t="shared" si="128"/>
        <v>29631.198134377282</v>
      </c>
      <c r="L543" s="13" t="s">
        <v>33</v>
      </c>
      <c r="M543" s="13" t="s">
        <v>33</v>
      </c>
      <c r="N543" s="13" t="s">
        <v>33</v>
      </c>
      <c r="O543" s="13" t="s">
        <v>33</v>
      </c>
      <c r="P543" s="13" t="s">
        <v>33</v>
      </c>
      <c r="Q543" s="13" t="s">
        <v>33</v>
      </c>
      <c r="R543" s="13" t="s">
        <v>33</v>
      </c>
      <c r="S543" s="13" t="s">
        <v>33</v>
      </c>
      <c r="T543" s="13" t="s">
        <v>33</v>
      </c>
      <c r="U543" s="13" t="s">
        <v>33</v>
      </c>
      <c r="V543" s="13" t="s">
        <v>33</v>
      </c>
      <c r="W543" s="6" t="b">
        <v>0</v>
      </c>
      <c r="X543" s="6" t="s">
        <v>1301</v>
      </c>
      <c r="Y543" s="6" t="s">
        <v>1326</v>
      </c>
      <c r="Z543" s="6">
        <v>637</v>
      </c>
      <c r="AA543" s="7" t="str">
        <f t="shared" si="129"/>
        <v>OK - sims match current assumptions</v>
      </c>
      <c r="AB543" s="13" t="s">
        <v>33</v>
      </c>
      <c r="AC543" s="13" t="s">
        <v>33</v>
      </c>
      <c r="AD543" s="13" t="s">
        <v>33</v>
      </c>
      <c r="AE543" s="13" t="s">
        <v>33</v>
      </c>
      <c r="AF543" s="13" t="s">
        <v>33</v>
      </c>
      <c r="AG543" s="13" t="s">
        <v>33</v>
      </c>
      <c r="AH543" s="6" t="b">
        <v>0</v>
      </c>
      <c r="AI543" s="13" t="s">
        <v>33</v>
      </c>
      <c r="AJ543" s="13" t="s">
        <v>33</v>
      </c>
      <c r="AK543" s="13" t="s">
        <v>33</v>
      </c>
      <c r="AL543" s="6">
        <v>0</v>
      </c>
      <c r="AM543" s="13" t="s">
        <v>33</v>
      </c>
    </row>
    <row r="544" spans="1:39" ht="15" customHeight="1" x14ac:dyDescent="0.3">
      <c r="A544" s="6" t="s">
        <v>490</v>
      </c>
      <c r="B544" s="7" t="str">
        <f>Odds_Input!C646</f>
        <v>Daniel Gafford</v>
      </c>
      <c r="C544" s="6" t="s">
        <v>33</v>
      </c>
      <c r="D544" s="7" t="str">
        <f>Odds_Input!D646</f>
        <v>YES</v>
      </c>
      <c r="E544" s="31" t="str">
        <f>Odds_Input!E646</f>
        <v>-</v>
      </c>
      <c r="F544" s="32">
        <f>Odds_Input!F646</f>
        <v>16000</v>
      </c>
      <c r="G544" s="36">
        <f>M_DeVig!H646</f>
        <v>161</v>
      </c>
      <c r="H544" s="7" t="str">
        <f>Odds_Input!G646</f>
        <v>-</v>
      </c>
      <c r="I544" s="42">
        <f>M_DeVig!Q646</f>
        <v>2.7184311066609729E-3</v>
      </c>
      <c r="J544" s="13" t="s">
        <v>33</v>
      </c>
      <c r="K544" s="43">
        <f t="shared" si="128"/>
        <v>36685.92396730966</v>
      </c>
      <c r="L544" s="13" t="s">
        <v>33</v>
      </c>
      <c r="M544" s="13" t="s">
        <v>33</v>
      </c>
      <c r="N544" s="13" t="s">
        <v>33</v>
      </c>
      <c r="O544" s="13" t="s">
        <v>33</v>
      </c>
      <c r="P544" s="13" t="s">
        <v>33</v>
      </c>
      <c r="Q544" s="13" t="s">
        <v>33</v>
      </c>
      <c r="R544" s="13" t="s">
        <v>33</v>
      </c>
      <c r="S544" s="13" t="s">
        <v>33</v>
      </c>
      <c r="T544" s="13" t="s">
        <v>33</v>
      </c>
      <c r="U544" s="13" t="s">
        <v>33</v>
      </c>
      <c r="V544" s="13" t="s">
        <v>33</v>
      </c>
      <c r="W544" s="6" t="b">
        <v>0</v>
      </c>
      <c r="X544" s="6" t="s">
        <v>1301</v>
      </c>
      <c r="Y544" s="6" t="s">
        <v>1326</v>
      </c>
      <c r="Z544" s="6">
        <v>638</v>
      </c>
      <c r="AA544" s="7" t="str">
        <f t="shared" si="129"/>
        <v>OK - sims match current assumptions</v>
      </c>
      <c r="AB544" s="13" t="s">
        <v>33</v>
      </c>
      <c r="AC544" s="13" t="s">
        <v>33</v>
      </c>
      <c r="AD544" s="13" t="s">
        <v>33</v>
      </c>
      <c r="AE544" s="13" t="s">
        <v>33</v>
      </c>
      <c r="AF544" s="13" t="s">
        <v>33</v>
      </c>
      <c r="AG544" s="13" t="s">
        <v>33</v>
      </c>
      <c r="AH544" s="6" t="b">
        <v>0</v>
      </c>
      <c r="AI544" s="13" t="s">
        <v>33</v>
      </c>
      <c r="AJ544" s="13" t="s">
        <v>33</v>
      </c>
      <c r="AK544" s="13" t="s">
        <v>33</v>
      </c>
      <c r="AL544" s="6">
        <v>0</v>
      </c>
      <c r="AM544" s="13" t="s">
        <v>33</v>
      </c>
    </row>
    <row r="545" spans="1:39" ht="15" customHeight="1" x14ac:dyDescent="0.3">
      <c r="A545" s="6" t="s">
        <v>490</v>
      </c>
      <c r="B545" s="7" t="str">
        <f>Odds_Input!C647</f>
        <v>Nic Claxton</v>
      </c>
      <c r="C545" s="6" t="s">
        <v>33</v>
      </c>
      <c r="D545" s="7" t="str">
        <f>Odds_Input!D647</f>
        <v>YES</v>
      </c>
      <c r="E545" s="31" t="str">
        <f>Odds_Input!E647</f>
        <v>-</v>
      </c>
      <c r="F545" s="32">
        <f>Odds_Input!F647</f>
        <v>17000</v>
      </c>
      <c r="G545" s="36">
        <f>M_DeVig!H647</f>
        <v>171</v>
      </c>
      <c r="H545" s="7" t="str">
        <f>Odds_Input!G647</f>
        <v>-</v>
      </c>
      <c r="I545" s="42">
        <f>M_DeVig!Q647</f>
        <v>2.4623432648126333E-3</v>
      </c>
      <c r="J545" s="13" t="s">
        <v>33</v>
      </c>
      <c r="K545" s="43">
        <f t="shared" si="128"/>
        <v>40511.721943491611</v>
      </c>
      <c r="L545" s="13" t="s">
        <v>33</v>
      </c>
      <c r="M545" s="13" t="s">
        <v>33</v>
      </c>
      <c r="N545" s="13" t="s">
        <v>33</v>
      </c>
      <c r="O545" s="13" t="s">
        <v>33</v>
      </c>
      <c r="P545" s="13" t="s">
        <v>33</v>
      </c>
      <c r="Q545" s="13" t="s">
        <v>33</v>
      </c>
      <c r="R545" s="13" t="s">
        <v>33</v>
      </c>
      <c r="S545" s="13" t="s">
        <v>33</v>
      </c>
      <c r="T545" s="13" t="s">
        <v>33</v>
      </c>
      <c r="U545" s="13" t="s">
        <v>33</v>
      </c>
      <c r="V545" s="13" t="s">
        <v>33</v>
      </c>
      <c r="W545" s="6" t="b">
        <v>0</v>
      </c>
      <c r="X545" s="6" t="s">
        <v>1301</v>
      </c>
      <c r="Y545" s="6" t="s">
        <v>1326</v>
      </c>
      <c r="Z545" s="6">
        <v>639</v>
      </c>
      <c r="AA545" s="7" t="str">
        <f t="shared" si="129"/>
        <v>OK - sims match current assumptions</v>
      </c>
      <c r="AB545" s="13" t="s">
        <v>33</v>
      </c>
      <c r="AC545" s="13" t="s">
        <v>33</v>
      </c>
      <c r="AD545" s="13" t="s">
        <v>33</v>
      </c>
      <c r="AE545" s="13" t="s">
        <v>33</v>
      </c>
      <c r="AF545" s="13" t="s">
        <v>33</v>
      </c>
      <c r="AG545" s="13" t="s">
        <v>33</v>
      </c>
      <c r="AH545" s="6" t="b">
        <v>0</v>
      </c>
      <c r="AI545" s="13" t="s">
        <v>33</v>
      </c>
      <c r="AJ545" s="13" t="s">
        <v>33</v>
      </c>
      <c r="AK545" s="13" t="s">
        <v>33</v>
      </c>
      <c r="AL545" s="6">
        <v>0</v>
      </c>
      <c r="AM545" s="13" t="s">
        <v>33</v>
      </c>
    </row>
    <row r="546" spans="1:39" ht="15" customHeight="1" x14ac:dyDescent="0.3">
      <c r="A546" s="6" t="s">
        <v>490</v>
      </c>
      <c r="B546" s="7" t="str">
        <f>Odds_Input!C648</f>
        <v>Mitchell Robinson</v>
      </c>
      <c r="C546" s="6" t="s">
        <v>33</v>
      </c>
      <c r="D546" s="7" t="str">
        <f>Odds_Input!D648</f>
        <v>YES</v>
      </c>
      <c r="E546" s="31" t="str">
        <f>Odds_Input!E648</f>
        <v>-</v>
      </c>
      <c r="F546" s="32">
        <f>Odds_Input!F648</f>
        <v>17000</v>
      </c>
      <c r="G546" s="36">
        <f>M_DeVig!H648</f>
        <v>171</v>
      </c>
      <c r="H546" s="7" t="str">
        <f>Odds_Input!G648</f>
        <v>-</v>
      </c>
      <c r="I546" s="42">
        <f>M_DeVig!Q648</f>
        <v>2.4623432648126333E-3</v>
      </c>
      <c r="J546" s="13" t="s">
        <v>33</v>
      </c>
      <c r="K546" s="43">
        <f t="shared" si="128"/>
        <v>40511.721943491611</v>
      </c>
      <c r="L546" s="13" t="s">
        <v>33</v>
      </c>
      <c r="M546" s="13" t="s">
        <v>33</v>
      </c>
      <c r="N546" s="13" t="s">
        <v>33</v>
      </c>
      <c r="O546" s="13" t="s">
        <v>33</v>
      </c>
      <c r="P546" s="13" t="s">
        <v>33</v>
      </c>
      <c r="Q546" s="13" t="s">
        <v>33</v>
      </c>
      <c r="R546" s="13" t="s">
        <v>33</v>
      </c>
      <c r="S546" s="13" t="s">
        <v>33</v>
      </c>
      <c r="T546" s="13" t="s">
        <v>33</v>
      </c>
      <c r="U546" s="13" t="s">
        <v>33</v>
      </c>
      <c r="V546" s="13" t="s">
        <v>33</v>
      </c>
      <c r="W546" s="6" t="b">
        <v>0</v>
      </c>
      <c r="X546" s="6" t="s">
        <v>1301</v>
      </c>
      <c r="Y546" s="6" t="s">
        <v>1326</v>
      </c>
      <c r="Z546" s="6">
        <v>640</v>
      </c>
      <c r="AA546" s="7" t="str">
        <f t="shared" si="129"/>
        <v>OK - sims match current assumptions</v>
      </c>
      <c r="AB546" s="13" t="s">
        <v>33</v>
      </c>
      <c r="AC546" s="13" t="s">
        <v>33</v>
      </c>
      <c r="AD546" s="13" t="s">
        <v>33</v>
      </c>
      <c r="AE546" s="13" t="s">
        <v>33</v>
      </c>
      <c r="AF546" s="13" t="s">
        <v>33</v>
      </c>
      <c r="AG546" s="13" t="s">
        <v>33</v>
      </c>
      <c r="AH546" s="6" t="b">
        <v>0</v>
      </c>
      <c r="AI546" s="13" t="s">
        <v>33</v>
      </c>
      <c r="AJ546" s="13" t="s">
        <v>33</v>
      </c>
      <c r="AK546" s="13" t="s">
        <v>33</v>
      </c>
      <c r="AL546" s="6">
        <v>0</v>
      </c>
      <c r="AM546" s="13" t="s">
        <v>33</v>
      </c>
    </row>
    <row r="547" spans="1:39" ht="15" customHeight="1" x14ac:dyDescent="0.3">
      <c r="A547" s="6" t="s">
        <v>490</v>
      </c>
      <c r="B547" s="7" t="str">
        <f>Odds_Input!C649</f>
        <v>Ivica Zubac</v>
      </c>
      <c r="C547" s="6" t="s">
        <v>33</v>
      </c>
      <c r="D547" s="7" t="str">
        <f>Odds_Input!D649</f>
        <v>YES</v>
      </c>
      <c r="E547" s="31" t="str">
        <f>Odds_Input!E649</f>
        <v>-</v>
      </c>
      <c r="F547" s="32">
        <f>Odds_Input!F649</f>
        <v>18000</v>
      </c>
      <c r="G547" s="36">
        <f>M_DeVig!H649</f>
        <v>181</v>
      </c>
      <c r="H547" s="7" t="str">
        <f>Odds_Input!G649</f>
        <v>-</v>
      </c>
      <c r="I547" s="42">
        <f>M_DeVig!Q649</f>
        <v>2.2401679139264453E-3</v>
      </c>
      <c r="J547" s="13" t="s">
        <v>33</v>
      </c>
      <c r="K547" s="43">
        <f t="shared" si="128"/>
        <v>44539.510894844221</v>
      </c>
      <c r="L547" s="13" t="s">
        <v>33</v>
      </c>
      <c r="M547" s="13" t="s">
        <v>33</v>
      </c>
      <c r="N547" s="13" t="s">
        <v>33</v>
      </c>
      <c r="O547" s="13" t="s">
        <v>33</v>
      </c>
      <c r="P547" s="13" t="s">
        <v>33</v>
      </c>
      <c r="Q547" s="13" t="s">
        <v>33</v>
      </c>
      <c r="R547" s="13" t="s">
        <v>33</v>
      </c>
      <c r="S547" s="13" t="s">
        <v>33</v>
      </c>
      <c r="T547" s="13" t="s">
        <v>33</v>
      </c>
      <c r="U547" s="13" t="s">
        <v>33</v>
      </c>
      <c r="V547" s="13" t="s">
        <v>33</v>
      </c>
      <c r="W547" s="6" t="b">
        <v>0</v>
      </c>
      <c r="X547" s="6" t="s">
        <v>1301</v>
      </c>
      <c r="Y547" s="6" t="s">
        <v>1326</v>
      </c>
      <c r="Z547" s="6">
        <v>641</v>
      </c>
      <c r="AA547" s="7" t="str">
        <f t="shared" si="129"/>
        <v>OK - sims match current assumptions</v>
      </c>
      <c r="AB547" s="13" t="s">
        <v>33</v>
      </c>
      <c r="AC547" s="13" t="s">
        <v>33</v>
      </c>
      <c r="AD547" s="13" t="s">
        <v>33</v>
      </c>
      <c r="AE547" s="13" t="s">
        <v>33</v>
      </c>
      <c r="AF547" s="13" t="s">
        <v>33</v>
      </c>
      <c r="AG547" s="13" t="s">
        <v>33</v>
      </c>
      <c r="AH547" s="6" t="b">
        <v>0</v>
      </c>
      <c r="AI547" s="13" t="s">
        <v>33</v>
      </c>
      <c r="AJ547" s="13" t="s">
        <v>33</v>
      </c>
      <c r="AK547" s="13" t="s">
        <v>33</v>
      </c>
      <c r="AL547" s="6">
        <v>0</v>
      </c>
      <c r="AM547" s="13" t="s">
        <v>33</v>
      </c>
    </row>
    <row r="548" spans="1:39" ht="15" customHeight="1" x14ac:dyDescent="0.3">
      <c r="A548" s="6" t="s">
        <v>490</v>
      </c>
      <c r="B548" s="7" t="str">
        <f>Odds_Input!C650</f>
        <v>Jay Huff</v>
      </c>
      <c r="C548" s="6" t="s">
        <v>33</v>
      </c>
      <c r="D548" s="7" t="str">
        <f>Odds_Input!D650</f>
        <v>YES</v>
      </c>
      <c r="E548" s="31" t="str">
        <f>Odds_Input!E650</f>
        <v>-</v>
      </c>
      <c r="F548" s="32">
        <f>Odds_Input!F650</f>
        <v>21000</v>
      </c>
      <c r="G548" s="36">
        <f>M_DeVig!H650</f>
        <v>211</v>
      </c>
      <c r="H548" s="7" t="str">
        <f>Odds_Input!G650</f>
        <v>-</v>
      </c>
      <c r="I548" s="42">
        <f>M_DeVig!Q650</f>
        <v>1.7255316301283527E-3</v>
      </c>
      <c r="J548" s="13" t="s">
        <v>33</v>
      </c>
      <c r="K548" s="43">
        <f t="shared" si="128"/>
        <v>57853.153830371426</v>
      </c>
      <c r="L548" s="13" t="s">
        <v>33</v>
      </c>
      <c r="M548" s="13" t="s">
        <v>33</v>
      </c>
      <c r="N548" s="13" t="s">
        <v>33</v>
      </c>
      <c r="O548" s="13" t="s">
        <v>33</v>
      </c>
      <c r="P548" s="13" t="s">
        <v>33</v>
      </c>
      <c r="Q548" s="13" t="s">
        <v>33</v>
      </c>
      <c r="R548" s="13" t="s">
        <v>33</v>
      </c>
      <c r="S548" s="13" t="s">
        <v>33</v>
      </c>
      <c r="T548" s="13" t="s">
        <v>33</v>
      </c>
      <c r="U548" s="13" t="s">
        <v>33</v>
      </c>
      <c r="V548" s="13" t="s">
        <v>33</v>
      </c>
      <c r="W548" s="6" t="b">
        <v>0</v>
      </c>
      <c r="X548" s="6" t="s">
        <v>1301</v>
      </c>
      <c r="Y548" s="6" t="s">
        <v>1326</v>
      </c>
      <c r="Z548" s="6">
        <v>642</v>
      </c>
      <c r="AA548" s="7" t="str">
        <f t="shared" si="129"/>
        <v>OK - sims match current assumptions</v>
      </c>
      <c r="AB548" s="13" t="s">
        <v>33</v>
      </c>
      <c r="AC548" s="13" t="s">
        <v>33</v>
      </c>
      <c r="AD548" s="13" t="s">
        <v>33</v>
      </c>
      <c r="AE548" s="13" t="s">
        <v>33</v>
      </c>
      <c r="AF548" s="13" t="s">
        <v>33</v>
      </c>
      <c r="AG548" s="13" t="s">
        <v>33</v>
      </c>
      <c r="AH548" s="6" t="b">
        <v>0</v>
      </c>
      <c r="AI548" s="13" t="s">
        <v>33</v>
      </c>
      <c r="AJ548" s="13" t="s">
        <v>33</v>
      </c>
      <c r="AK548" s="13" t="s">
        <v>33</v>
      </c>
      <c r="AL548" s="6">
        <v>0</v>
      </c>
      <c r="AM548" s="13" t="s">
        <v>33</v>
      </c>
    </row>
    <row r="549" spans="1:39" ht="15" customHeight="1" x14ac:dyDescent="0.3">
      <c r="A549" s="6" t="s">
        <v>490</v>
      </c>
      <c r="B549" s="7" t="str">
        <f>Odds_Input!C651</f>
        <v>Isaiah Stewart</v>
      </c>
      <c r="C549" s="6" t="s">
        <v>33</v>
      </c>
      <c r="D549" s="7" t="str">
        <f>Odds_Input!D651</f>
        <v>YES</v>
      </c>
      <c r="E549" s="31" t="str">
        <f>Odds_Input!E651</f>
        <v>-</v>
      </c>
      <c r="F549" s="32">
        <f>Odds_Input!F651</f>
        <v>22000</v>
      </c>
      <c r="G549" s="36">
        <f>M_DeVig!H651</f>
        <v>221</v>
      </c>
      <c r="H549" s="7" t="str">
        <f>Odds_Input!G651</f>
        <v>-</v>
      </c>
      <c r="I549" s="42">
        <f>M_DeVig!Q651</f>
        <v>1.5921996843831594E-3</v>
      </c>
      <c r="J549" s="13" t="s">
        <v>33</v>
      </c>
      <c r="K549" s="43">
        <f t="shared" si="128"/>
        <v>62706.192578000293</v>
      </c>
      <c r="L549" s="13" t="s">
        <v>33</v>
      </c>
      <c r="M549" s="13" t="s">
        <v>33</v>
      </c>
      <c r="N549" s="13" t="s">
        <v>33</v>
      </c>
      <c r="O549" s="13" t="s">
        <v>33</v>
      </c>
      <c r="P549" s="13" t="s">
        <v>33</v>
      </c>
      <c r="Q549" s="13" t="s">
        <v>33</v>
      </c>
      <c r="R549" s="13" t="s">
        <v>33</v>
      </c>
      <c r="S549" s="13" t="s">
        <v>33</v>
      </c>
      <c r="T549" s="13" t="s">
        <v>33</v>
      </c>
      <c r="U549" s="13" t="s">
        <v>33</v>
      </c>
      <c r="V549" s="13" t="s">
        <v>33</v>
      </c>
      <c r="W549" s="6" t="b">
        <v>0</v>
      </c>
      <c r="X549" s="6" t="s">
        <v>1301</v>
      </c>
      <c r="Y549" s="6" t="s">
        <v>1326</v>
      </c>
      <c r="Z549" s="6">
        <v>643</v>
      </c>
      <c r="AA549" s="7" t="str">
        <f t="shared" si="129"/>
        <v>OK - sims match current assumptions</v>
      </c>
      <c r="AB549" s="13" t="s">
        <v>33</v>
      </c>
      <c r="AC549" s="13" t="s">
        <v>33</v>
      </c>
      <c r="AD549" s="13" t="s">
        <v>33</v>
      </c>
      <c r="AE549" s="13" t="s">
        <v>33</v>
      </c>
      <c r="AF549" s="13" t="s">
        <v>33</v>
      </c>
      <c r="AG549" s="13" t="s">
        <v>33</v>
      </c>
      <c r="AH549" s="6" t="b">
        <v>0</v>
      </c>
      <c r="AI549" s="13" t="s">
        <v>33</v>
      </c>
      <c r="AJ549" s="13" t="s">
        <v>33</v>
      </c>
      <c r="AK549" s="13" t="s">
        <v>33</v>
      </c>
      <c r="AL549" s="6">
        <v>0</v>
      </c>
      <c r="AM549" s="13" t="s">
        <v>33</v>
      </c>
    </row>
    <row r="550" spans="1:39" ht="15" customHeight="1" x14ac:dyDescent="0.3">
      <c r="A550" s="6" t="s">
        <v>490</v>
      </c>
      <c r="B550" s="7" t="str">
        <f>Odds_Input!C652</f>
        <v>Scottie Barnes</v>
      </c>
      <c r="C550" s="6" t="s">
        <v>33</v>
      </c>
      <c r="D550" s="7" t="str">
        <f>Odds_Input!D652</f>
        <v>YES</v>
      </c>
      <c r="E550" s="31" t="str">
        <f>Odds_Input!E652</f>
        <v>-</v>
      </c>
      <c r="F550" s="32">
        <f>Odds_Input!F652</f>
        <v>23000</v>
      </c>
      <c r="G550" s="36">
        <f>M_DeVig!H652</f>
        <v>231</v>
      </c>
      <c r="H550" s="7" t="str">
        <f>Odds_Input!G652</f>
        <v>-</v>
      </c>
      <c r="I550" s="42">
        <f>M_DeVig!Q652</f>
        <v>1.473428818316268E-3</v>
      </c>
      <c r="J550" s="13" t="s">
        <v>33</v>
      </c>
      <c r="K550" s="43">
        <f t="shared" si="128"/>
        <v>67768.904664341404</v>
      </c>
      <c r="L550" s="13" t="s">
        <v>33</v>
      </c>
      <c r="M550" s="13" t="s">
        <v>33</v>
      </c>
      <c r="N550" s="13" t="s">
        <v>33</v>
      </c>
      <c r="O550" s="13" t="s">
        <v>33</v>
      </c>
      <c r="P550" s="13" t="s">
        <v>33</v>
      </c>
      <c r="Q550" s="13" t="s">
        <v>33</v>
      </c>
      <c r="R550" s="13" t="s">
        <v>33</v>
      </c>
      <c r="S550" s="13" t="s">
        <v>33</v>
      </c>
      <c r="T550" s="13" t="s">
        <v>33</v>
      </c>
      <c r="U550" s="13" t="s">
        <v>33</v>
      </c>
      <c r="V550" s="13" t="s">
        <v>33</v>
      </c>
      <c r="W550" s="6" t="b">
        <v>0</v>
      </c>
      <c r="X550" s="6" t="s">
        <v>1301</v>
      </c>
      <c r="Y550" s="6" t="s">
        <v>1326</v>
      </c>
      <c r="Z550" s="6">
        <v>644</v>
      </c>
      <c r="AA550" s="7" t="str">
        <f t="shared" si="129"/>
        <v>OK - sims match current assumptions</v>
      </c>
      <c r="AB550" s="13" t="s">
        <v>33</v>
      </c>
      <c r="AC550" s="13" t="s">
        <v>33</v>
      </c>
      <c r="AD550" s="13" t="s">
        <v>33</v>
      </c>
      <c r="AE550" s="13" t="s">
        <v>33</v>
      </c>
      <c r="AF550" s="13" t="s">
        <v>33</v>
      </c>
      <c r="AG550" s="13" t="s">
        <v>33</v>
      </c>
      <c r="AH550" s="6" t="b">
        <v>0</v>
      </c>
      <c r="AI550" s="13" t="s">
        <v>33</v>
      </c>
      <c r="AJ550" s="13" t="s">
        <v>33</v>
      </c>
      <c r="AK550" s="13" t="s">
        <v>33</v>
      </c>
      <c r="AL550" s="6">
        <v>0</v>
      </c>
      <c r="AM550" s="13" t="s">
        <v>33</v>
      </c>
    </row>
    <row r="551" spans="1:39" ht="15" customHeight="1" x14ac:dyDescent="0.3">
      <c r="A551" s="6" t="s">
        <v>490</v>
      </c>
      <c r="B551" s="7" t="str">
        <f>Odds_Input!C653</f>
        <v>Dylan Cardwell</v>
      </c>
      <c r="C551" s="6" t="s">
        <v>33</v>
      </c>
      <c r="D551" s="7" t="str">
        <f>Odds_Input!D653</f>
        <v>YES</v>
      </c>
      <c r="E551" s="31" t="str">
        <f>Odds_Input!E653</f>
        <v>-</v>
      </c>
      <c r="F551" s="32">
        <f>Odds_Input!F653</f>
        <v>24000</v>
      </c>
      <c r="G551" s="36">
        <f>M_DeVig!H653</f>
        <v>241</v>
      </c>
      <c r="H551" s="7" t="str">
        <f>Odds_Input!G653</f>
        <v>-</v>
      </c>
      <c r="I551" s="42">
        <f>M_DeVig!Q653</f>
        <v>1.3671974053165552E-3</v>
      </c>
      <c r="J551" s="13" t="s">
        <v>33</v>
      </c>
      <c r="K551" s="43">
        <f t="shared" si="128"/>
        <v>73042.327224389679</v>
      </c>
      <c r="L551" s="13" t="s">
        <v>33</v>
      </c>
      <c r="M551" s="13" t="s">
        <v>33</v>
      </c>
      <c r="N551" s="13" t="s">
        <v>33</v>
      </c>
      <c r="O551" s="13" t="s">
        <v>33</v>
      </c>
      <c r="P551" s="13" t="s">
        <v>33</v>
      </c>
      <c r="Q551" s="13" t="s">
        <v>33</v>
      </c>
      <c r="R551" s="13" t="s">
        <v>33</v>
      </c>
      <c r="S551" s="13" t="s">
        <v>33</v>
      </c>
      <c r="T551" s="13" t="s">
        <v>33</v>
      </c>
      <c r="U551" s="13" t="s">
        <v>33</v>
      </c>
      <c r="V551" s="13" t="s">
        <v>33</v>
      </c>
      <c r="W551" s="6" t="b">
        <v>0</v>
      </c>
      <c r="X551" s="6" t="s">
        <v>1301</v>
      </c>
      <c r="Y551" s="6" t="s">
        <v>1326</v>
      </c>
      <c r="Z551" s="6">
        <v>645</v>
      </c>
      <c r="AA551" s="7" t="str">
        <f t="shared" si="129"/>
        <v>OK - sims match current assumptions</v>
      </c>
      <c r="AB551" s="13" t="s">
        <v>33</v>
      </c>
      <c r="AC551" s="13" t="s">
        <v>33</v>
      </c>
      <c r="AD551" s="13" t="s">
        <v>33</v>
      </c>
      <c r="AE551" s="13" t="s">
        <v>33</v>
      </c>
      <c r="AF551" s="13" t="s">
        <v>33</v>
      </c>
      <c r="AG551" s="13" t="s">
        <v>33</v>
      </c>
      <c r="AH551" s="6" t="b">
        <v>0</v>
      </c>
      <c r="AI551" s="13" t="s">
        <v>33</v>
      </c>
      <c r="AJ551" s="13" t="s">
        <v>33</v>
      </c>
      <c r="AK551" s="13" t="s">
        <v>33</v>
      </c>
      <c r="AL551" s="6">
        <v>0</v>
      </c>
      <c r="AM551" s="13" t="s">
        <v>33</v>
      </c>
    </row>
    <row r="552" spans="1:39" ht="15" customHeight="1" x14ac:dyDescent="0.3">
      <c r="A552" s="6" t="s">
        <v>490</v>
      </c>
      <c r="B552" s="7" t="str">
        <f>Odds_Input!C654</f>
        <v>Khaman Maluach</v>
      </c>
      <c r="C552" s="6" t="s">
        <v>33</v>
      </c>
      <c r="D552" s="7" t="str">
        <f>Odds_Input!D654</f>
        <v>YES</v>
      </c>
      <c r="E552" s="31" t="str">
        <f>Odds_Input!E654</f>
        <v>-</v>
      </c>
      <c r="F552" s="32">
        <f>Odds_Input!F654</f>
        <v>24000</v>
      </c>
      <c r="G552" s="36">
        <f>M_DeVig!H654</f>
        <v>241</v>
      </c>
      <c r="H552" s="7" t="str">
        <f>Odds_Input!G654</f>
        <v>-</v>
      </c>
      <c r="I552" s="42">
        <f>M_DeVig!Q654</f>
        <v>1.3671974053165552E-3</v>
      </c>
      <c r="J552" s="13" t="s">
        <v>33</v>
      </c>
      <c r="K552" s="43">
        <f t="shared" si="128"/>
        <v>73042.327224389679</v>
      </c>
      <c r="L552" s="13" t="s">
        <v>33</v>
      </c>
      <c r="M552" s="13" t="s">
        <v>33</v>
      </c>
      <c r="N552" s="13" t="s">
        <v>33</v>
      </c>
      <c r="O552" s="13" t="s">
        <v>33</v>
      </c>
      <c r="P552" s="13" t="s">
        <v>33</v>
      </c>
      <c r="Q552" s="13" t="s">
        <v>33</v>
      </c>
      <c r="R552" s="13" t="s">
        <v>33</v>
      </c>
      <c r="S552" s="13" t="s">
        <v>33</v>
      </c>
      <c r="T552" s="13" t="s">
        <v>33</v>
      </c>
      <c r="U552" s="13" t="s">
        <v>33</v>
      </c>
      <c r="V552" s="13" t="s">
        <v>33</v>
      </c>
      <c r="W552" s="6" t="b">
        <v>0</v>
      </c>
      <c r="X552" s="6" t="s">
        <v>1301</v>
      </c>
      <c r="Y552" s="6" t="s">
        <v>1326</v>
      </c>
      <c r="Z552" s="6">
        <v>646</v>
      </c>
      <c r="AA552" s="7" t="str">
        <f t="shared" si="129"/>
        <v>OK - sims match current assumptions</v>
      </c>
      <c r="AB552" s="13" t="s">
        <v>33</v>
      </c>
      <c r="AC552" s="13" t="s">
        <v>33</v>
      </c>
      <c r="AD552" s="13" t="s">
        <v>33</v>
      </c>
      <c r="AE552" s="13" t="s">
        <v>33</v>
      </c>
      <c r="AF552" s="13" t="s">
        <v>33</v>
      </c>
      <c r="AG552" s="13" t="s">
        <v>33</v>
      </c>
      <c r="AH552" s="6" t="b">
        <v>0</v>
      </c>
      <c r="AI552" s="13" t="s">
        <v>33</v>
      </c>
      <c r="AJ552" s="13" t="s">
        <v>33</v>
      </c>
      <c r="AK552" s="13" t="s">
        <v>33</v>
      </c>
      <c r="AL552" s="6">
        <v>0</v>
      </c>
      <c r="AM552" s="13" t="s">
        <v>33</v>
      </c>
    </row>
    <row r="553" spans="1:39" ht="15" customHeight="1" x14ac:dyDescent="0.3">
      <c r="A553" s="6" t="s">
        <v>490</v>
      </c>
      <c r="B553" s="7" t="str">
        <f>Odds_Input!C655</f>
        <v>Robert Williams</v>
      </c>
      <c r="C553" s="6" t="s">
        <v>33</v>
      </c>
      <c r="D553" s="7" t="str">
        <f>Odds_Input!D655</f>
        <v>YES</v>
      </c>
      <c r="E553" s="31" t="str">
        <f>Odds_Input!E655</f>
        <v>-</v>
      </c>
      <c r="F553" s="32">
        <f>Odds_Input!F655</f>
        <v>25000</v>
      </c>
      <c r="G553" s="36">
        <f>M_DeVig!H655</f>
        <v>251</v>
      </c>
      <c r="H553" s="7" t="str">
        <f>Odds_Input!G655</f>
        <v>-</v>
      </c>
      <c r="I553" s="42">
        <f>M_DeVig!Q655</f>
        <v>1.2718216645289675E-3</v>
      </c>
      <c r="J553" s="13" t="s">
        <v>33</v>
      </c>
      <c r="K553" s="43">
        <f t="shared" si="128"/>
        <v>78527.375825553376</v>
      </c>
      <c r="L553" s="13" t="s">
        <v>33</v>
      </c>
      <c r="M553" s="13" t="s">
        <v>33</v>
      </c>
      <c r="N553" s="13" t="s">
        <v>33</v>
      </c>
      <c r="O553" s="13" t="s">
        <v>33</v>
      </c>
      <c r="P553" s="13" t="s">
        <v>33</v>
      </c>
      <c r="Q553" s="13" t="s">
        <v>33</v>
      </c>
      <c r="R553" s="13" t="s">
        <v>33</v>
      </c>
      <c r="S553" s="13" t="s">
        <v>33</v>
      </c>
      <c r="T553" s="13" t="s">
        <v>33</v>
      </c>
      <c r="U553" s="13" t="s">
        <v>33</v>
      </c>
      <c r="V553" s="13" t="s">
        <v>33</v>
      </c>
      <c r="W553" s="6" t="b">
        <v>0</v>
      </c>
      <c r="X553" s="6" t="s">
        <v>1301</v>
      </c>
      <c r="Y553" s="6" t="s">
        <v>1326</v>
      </c>
      <c r="Z553" s="6">
        <v>647</v>
      </c>
      <c r="AA553" s="7" t="str">
        <f t="shared" si="129"/>
        <v>OK - sims match current assumptions</v>
      </c>
      <c r="AB553" s="13" t="s">
        <v>33</v>
      </c>
      <c r="AC553" s="13" t="s">
        <v>33</v>
      </c>
      <c r="AD553" s="13" t="s">
        <v>33</v>
      </c>
      <c r="AE553" s="13" t="s">
        <v>33</v>
      </c>
      <c r="AF553" s="13" t="s">
        <v>33</v>
      </c>
      <c r="AG553" s="13" t="s">
        <v>33</v>
      </c>
      <c r="AH553" s="6" t="b">
        <v>0</v>
      </c>
      <c r="AI553" s="13" t="s">
        <v>33</v>
      </c>
      <c r="AJ553" s="13" t="s">
        <v>33</v>
      </c>
      <c r="AK553" s="13" t="s">
        <v>33</v>
      </c>
      <c r="AL553" s="6">
        <v>0</v>
      </c>
      <c r="AM553" s="13" t="s">
        <v>33</v>
      </c>
    </row>
    <row r="554" spans="1:39" ht="15" customHeight="1" x14ac:dyDescent="0.3">
      <c r="A554" s="6" t="s">
        <v>490</v>
      </c>
      <c r="B554" s="7" t="str">
        <f>Odds_Input!C656</f>
        <v>Giannis Antetokounmpo</v>
      </c>
      <c r="C554" s="6" t="s">
        <v>33</v>
      </c>
      <c r="D554" s="7" t="str">
        <f>Odds_Input!D656</f>
        <v>YES</v>
      </c>
      <c r="E554" s="31" t="str">
        <f>Odds_Input!E656</f>
        <v>-</v>
      </c>
      <c r="F554" s="32">
        <f>Odds_Input!F656</f>
        <v>25000</v>
      </c>
      <c r="G554" s="36">
        <f>M_DeVig!H656</f>
        <v>251</v>
      </c>
      <c r="H554" s="7" t="str">
        <f>Odds_Input!G656</f>
        <v>-</v>
      </c>
      <c r="I554" s="42">
        <f>M_DeVig!Q656</f>
        <v>1.2718216645289675E-3</v>
      </c>
      <c r="J554" s="13" t="s">
        <v>33</v>
      </c>
      <c r="K554" s="43">
        <f t="shared" si="128"/>
        <v>78527.375825553376</v>
      </c>
      <c r="L554" s="13" t="s">
        <v>33</v>
      </c>
      <c r="M554" s="13" t="s">
        <v>33</v>
      </c>
      <c r="N554" s="13" t="s">
        <v>33</v>
      </c>
      <c r="O554" s="13" t="s">
        <v>33</v>
      </c>
      <c r="P554" s="13" t="s">
        <v>33</v>
      </c>
      <c r="Q554" s="13" t="s">
        <v>33</v>
      </c>
      <c r="R554" s="13" t="s">
        <v>33</v>
      </c>
      <c r="S554" s="13" t="s">
        <v>33</v>
      </c>
      <c r="T554" s="13" t="s">
        <v>33</v>
      </c>
      <c r="U554" s="13" t="s">
        <v>33</v>
      </c>
      <c r="V554" s="13" t="s">
        <v>33</v>
      </c>
      <c r="W554" s="6" t="b">
        <v>0</v>
      </c>
      <c r="X554" s="6" t="s">
        <v>1301</v>
      </c>
      <c r="Y554" s="6" t="s">
        <v>1326</v>
      </c>
      <c r="Z554" s="6">
        <v>648</v>
      </c>
      <c r="AA554" s="7" t="str">
        <f t="shared" si="129"/>
        <v>OK - sims match current assumptions</v>
      </c>
      <c r="AB554" s="13" t="s">
        <v>33</v>
      </c>
      <c r="AC554" s="13" t="s">
        <v>33</v>
      </c>
      <c r="AD554" s="13" t="s">
        <v>33</v>
      </c>
      <c r="AE554" s="13" t="s">
        <v>33</v>
      </c>
      <c r="AF554" s="13" t="s">
        <v>33</v>
      </c>
      <c r="AG554" s="13" t="s">
        <v>33</v>
      </c>
      <c r="AH554" s="6" t="b">
        <v>0</v>
      </c>
      <c r="AI554" s="13" t="s">
        <v>33</v>
      </c>
      <c r="AJ554" s="13" t="s">
        <v>33</v>
      </c>
      <c r="AK554" s="13" t="s">
        <v>33</v>
      </c>
      <c r="AL554" s="6">
        <v>0</v>
      </c>
      <c r="AM554" s="13" t="s">
        <v>33</v>
      </c>
    </row>
    <row r="555" spans="1:39" ht="15" customHeight="1" x14ac:dyDescent="0.3">
      <c r="A555" s="6" t="s">
        <v>490</v>
      </c>
      <c r="B555" s="7" t="str">
        <f>Odds_Input!C657</f>
        <v>Kristaps Porzingis</v>
      </c>
      <c r="C555" s="6" t="s">
        <v>33</v>
      </c>
      <c r="D555" s="7" t="str">
        <f>Odds_Input!D657</f>
        <v>YES</v>
      </c>
      <c r="E555" s="31" t="str">
        <f>Odds_Input!E657</f>
        <v>-</v>
      </c>
      <c r="F555" s="32">
        <f>Odds_Input!F657</f>
        <v>25000</v>
      </c>
      <c r="G555" s="36">
        <f>M_DeVig!H657</f>
        <v>251</v>
      </c>
      <c r="H555" s="7" t="str">
        <f>Odds_Input!G657</f>
        <v>-</v>
      </c>
      <c r="I555" s="42">
        <f>M_DeVig!Q657</f>
        <v>1.2718216645289675E-3</v>
      </c>
      <c r="J555" s="13" t="s">
        <v>33</v>
      </c>
      <c r="K555" s="43">
        <f t="shared" si="128"/>
        <v>78527.375825553376</v>
      </c>
      <c r="L555" s="13" t="s">
        <v>33</v>
      </c>
      <c r="M555" s="13" t="s">
        <v>33</v>
      </c>
      <c r="N555" s="13" t="s">
        <v>33</v>
      </c>
      <c r="O555" s="13" t="s">
        <v>33</v>
      </c>
      <c r="P555" s="13" t="s">
        <v>33</v>
      </c>
      <c r="Q555" s="13" t="s">
        <v>33</v>
      </c>
      <c r="R555" s="13" t="s">
        <v>33</v>
      </c>
      <c r="S555" s="13" t="s">
        <v>33</v>
      </c>
      <c r="T555" s="13" t="s">
        <v>33</v>
      </c>
      <c r="U555" s="13" t="s">
        <v>33</v>
      </c>
      <c r="V555" s="13" t="s">
        <v>33</v>
      </c>
      <c r="W555" s="6" t="b">
        <v>0</v>
      </c>
      <c r="X555" s="6" t="s">
        <v>1301</v>
      </c>
      <c r="Y555" s="6" t="s">
        <v>1326</v>
      </c>
      <c r="Z555" s="6">
        <v>649</v>
      </c>
      <c r="AA555" s="7" t="str">
        <f t="shared" si="129"/>
        <v>OK - sims match current assumptions</v>
      </c>
      <c r="AB555" s="13" t="s">
        <v>33</v>
      </c>
      <c r="AC555" s="13" t="s">
        <v>33</v>
      </c>
      <c r="AD555" s="13" t="s">
        <v>33</v>
      </c>
      <c r="AE555" s="13" t="s">
        <v>33</v>
      </c>
      <c r="AF555" s="13" t="s">
        <v>33</v>
      </c>
      <c r="AG555" s="13" t="s">
        <v>33</v>
      </c>
      <c r="AH555" s="6" t="b">
        <v>0</v>
      </c>
      <c r="AI555" s="13" t="s">
        <v>33</v>
      </c>
      <c r="AJ555" s="13" t="s">
        <v>33</v>
      </c>
      <c r="AK555" s="13" t="s">
        <v>33</v>
      </c>
      <c r="AL555" s="6">
        <v>0</v>
      </c>
      <c r="AM555" s="13" t="s">
        <v>33</v>
      </c>
    </row>
    <row r="556" spans="1:39" ht="15" customHeight="1" x14ac:dyDescent="0.3">
      <c r="A556" s="6" t="s">
        <v>490</v>
      </c>
      <c r="B556" s="7" t="str">
        <f>Odds_Input!C658</f>
        <v>Collin Murray Boyles</v>
      </c>
      <c r="C556" s="6" t="s">
        <v>33</v>
      </c>
      <c r="D556" s="7" t="str">
        <f>Odds_Input!D658</f>
        <v>YES</v>
      </c>
      <c r="E556" s="31" t="str">
        <f>Odds_Input!E658</f>
        <v>-</v>
      </c>
      <c r="F556" s="32">
        <f>Odds_Input!F658</f>
        <v>25000</v>
      </c>
      <c r="G556" s="36">
        <f>M_DeVig!H658</f>
        <v>251</v>
      </c>
      <c r="H556" s="7" t="str">
        <f>Odds_Input!G658</f>
        <v>-</v>
      </c>
      <c r="I556" s="42">
        <f>M_DeVig!Q658</f>
        <v>1.2718216645289675E-3</v>
      </c>
      <c r="J556" s="13" t="s">
        <v>33</v>
      </c>
      <c r="K556" s="43">
        <f t="shared" si="128"/>
        <v>78527.375825553376</v>
      </c>
      <c r="L556" s="13" t="s">
        <v>33</v>
      </c>
      <c r="M556" s="13" t="s">
        <v>33</v>
      </c>
      <c r="N556" s="13" t="s">
        <v>33</v>
      </c>
      <c r="O556" s="13" t="s">
        <v>33</v>
      </c>
      <c r="P556" s="13" t="s">
        <v>33</v>
      </c>
      <c r="Q556" s="13" t="s">
        <v>33</v>
      </c>
      <c r="R556" s="13" t="s">
        <v>33</v>
      </c>
      <c r="S556" s="13" t="s">
        <v>33</v>
      </c>
      <c r="T556" s="13" t="s">
        <v>33</v>
      </c>
      <c r="U556" s="13" t="s">
        <v>33</v>
      </c>
      <c r="V556" s="13" t="s">
        <v>33</v>
      </c>
      <c r="W556" s="6" t="b">
        <v>0</v>
      </c>
      <c r="X556" s="6" t="s">
        <v>1301</v>
      </c>
      <c r="Y556" s="6" t="s">
        <v>1326</v>
      </c>
      <c r="Z556" s="6">
        <v>650</v>
      </c>
      <c r="AA556" s="7" t="str">
        <f t="shared" si="129"/>
        <v>OK - sims match current assumptions</v>
      </c>
      <c r="AB556" s="13" t="s">
        <v>33</v>
      </c>
      <c r="AC556" s="13" t="s">
        <v>33</v>
      </c>
      <c r="AD556" s="13" t="s">
        <v>33</v>
      </c>
      <c r="AE556" s="13" t="s">
        <v>33</v>
      </c>
      <c r="AF556" s="13" t="s">
        <v>33</v>
      </c>
      <c r="AG556" s="13" t="s">
        <v>33</v>
      </c>
      <c r="AH556" s="6" t="b">
        <v>0</v>
      </c>
      <c r="AI556" s="13" t="s">
        <v>33</v>
      </c>
      <c r="AJ556" s="13" t="s">
        <v>33</v>
      </c>
      <c r="AK556" s="13" t="s">
        <v>33</v>
      </c>
      <c r="AL556" s="6">
        <v>0</v>
      </c>
      <c r="AM556" s="13" t="s">
        <v>33</v>
      </c>
    </row>
    <row r="557" spans="1:39" ht="15" customHeight="1" x14ac:dyDescent="0.3">
      <c r="A557" s="6" t="s">
        <v>490</v>
      </c>
      <c r="B557" s="7" t="str">
        <f>Odds_Input!C659</f>
        <v>Neemias Queta</v>
      </c>
      <c r="C557" s="6" t="s">
        <v>33</v>
      </c>
      <c r="D557" s="7" t="str">
        <f>Odds_Input!D659</f>
        <v>YES</v>
      </c>
      <c r="E557" s="31" t="str">
        <f>Odds_Input!E659</f>
        <v>-</v>
      </c>
      <c r="F557" s="32">
        <f>Odds_Input!F659</f>
        <v>25000</v>
      </c>
      <c r="G557" s="36">
        <f>M_DeVig!H659</f>
        <v>251</v>
      </c>
      <c r="H557" s="7" t="str">
        <f>Odds_Input!G659</f>
        <v>-</v>
      </c>
      <c r="I557" s="42">
        <f>M_DeVig!Q659</f>
        <v>1.2718216645289675E-3</v>
      </c>
      <c r="J557" s="13" t="s">
        <v>33</v>
      </c>
      <c r="K557" s="43">
        <f t="shared" si="128"/>
        <v>78527.375825553376</v>
      </c>
      <c r="L557" s="13" t="s">
        <v>33</v>
      </c>
      <c r="M557" s="13" t="s">
        <v>33</v>
      </c>
      <c r="N557" s="13" t="s">
        <v>33</v>
      </c>
      <c r="O557" s="13" t="s">
        <v>33</v>
      </c>
      <c r="P557" s="13" t="s">
        <v>33</v>
      </c>
      <c r="Q557" s="13" t="s">
        <v>33</v>
      </c>
      <c r="R557" s="13" t="s">
        <v>33</v>
      </c>
      <c r="S557" s="13" t="s">
        <v>33</v>
      </c>
      <c r="T557" s="13" t="s">
        <v>33</v>
      </c>
      <c r="U557" s="13" t="s">
        <v>33</v>
      </c>
      <c r="V557" s="13" t="s">
        <v>33</v>
      </c>
      <c r="W557" s="6" t="b">
        <v>0</v>
      </c>
      <c r="X557" s="6" t="s">
        <v>1301</v>
      </c>
      <c r="Y557" s="6" t="s">
        <v>1326</v>
      </c>
      <c r="Z557" s="6">
        <v>651</v>
      </c>
      <c r="AA557" s="7" t="str">
        <f t="shared" si="129"/>
        <v>OK - sims match current assumptions</v>
      </c>
      <c r="AB557" s="13" t="s">
        <v>33</v>
      </c>
      <c r="AC557" s="13" t="s">
        <v>33</v>
      </c>
      <c r="AD557" s="13" t="s">
        <v>33</v>
      </c>
      <c r="AE557" s="13" t="s">
        <v>33</v>
      </c>
      <c r="AF557" s="13" t="s">
        <v>33</v>
      </c>
      <c r="AG557" s="13" t="s">
        <v>33</v>
      </c>
      <c r="AH557" s="6" t="b">
        <v>0</v>
      </c>
      <c r="AI557" s="13" t="s">
        <v>33</v>
      </c>
      <c r="AJ557" s="13" t="s">
        <v>33</v>
      </c>
      <c r="AK557" s="13" t="s">
        <v>33</v>
      </c>
      <c r="AL557" s="6">
        <v>0</v>
      </c>
      <c r="AM557" s="13" t="s">
        <v>33</v>
      </c>
    </row>
    <row r="558" spans="1:39" ht="15" customHeight="1" x14ac:dyDescent="0.3">
      <c r="A558" s="6" t="s">
        <v>490</v>
      </c>
      <c r="B558" s="7" t="str">
        <f>Odds_Input!C660</f>
        <v>Joel Embiid</v>
      </c>
      <c r="C558" s="6" t="s">
        <v>33</v>
      </c>
      <c r="D558" s="7" t="str">
        <f>Odds_Input!D660</f>
        <v>YES</v>
      </c>
      <c r="E558" s="31" t="str">
        <f>Odds_Input!E660</f>
        <v>-</v>
      </c>
      <c r="F558" s="32">
        <f>Odds_Input!F660</f>
        <v>25000</v>
      </c>
      <c r="G558" s="36">
        <f>M_DeVig!H660</f>
        <v>251</v>
      </c>
      <c r="H558" s="7" t="str">
        <f>Odds_Input!G660</f>
        <v>-</v>
      </c>
      <c r="I558" s="42">
        <f>M_DeVig!Q660</f>
        <v>1.2718216645289675E-3</v>
      </c>
      <c r="J558" s="13" t="s">
        <v>33</v>
      </c>
      <c r="K558" s="43">
        <f t="shared" si="128"/>
        <v>78527.375825553376</v>
      </c>
      <c r="L558" s="13" t="s">
        <v>33</v>
      </c>
      <c r="M558" s="13" t="s">
        <v>33</v>
      </c>
      <c r="N558" s="13" t="s">
        <v>33</v>
      </c>
      <c r="O558" s="13" t="s">
        <v>33</v>
      </c>
      <c r="P558" s="13" t="s">
        <v>33</v>
      </c>
      <c r="Q558" s="13" t="s">
        <v>33</v>
      </c>
      <c r="R558" s="13" t="s">
        <v>33</v>
      </c>
      <c r="S558" s="13" t="s">
        <v>33</v>
      </c>
      <c r="T558" s="13" t="s">
        <v>33</v>
      </c>
      <c r="U558" s="13" t="s">
        <v>33</v>
      </c>
      <c r="V558" s="13" t="s">
        <v>33</v>
      </c>
      <c r="W558" s="6" t="b">
        <v>0</v>
      </c>
      <c r="X558" s="6" t="s">
        <v>1301</v>
      </c>
      <c r="Y558" s="6" t="s">
        <v>1326</v>
      </c>
      <c r="Z558" s="6">
        <v>652</v>
      </c>
      <c r="AA558" s="7" t="str">
        <f t="shared" si="129"/>
        <v>OK - sims match current assumptions</v>
      </c>
      <c r="AB558" s="13" t="s">
        <v>33</v>
      </c>
      <c r="AC558" s="13" t="s">
        <v>33</v>
      </c>
      <c r="AD558" s="13" t="s">
        <v>33</v>
      </c>
      <c r="AE558" s="13" t="s">
        <v>33</v>
      </c>
      <c r="AF558" s="13" t="s">
        <v>33</v>
      </c>
      <c r="AG558" s="13" t="s">
        <v>33</v>
      </c>
      <c r="AH558" s="6" t="b">
        <v>0</v>
      </c>
      <c r="AI558" s="13" t="s">
        <v>33</v>
      </c>
      <c r="AJ558" s="13" t="s">
        <v>33</v>
      </c>
      <c r="AK558" s="13" t="s">
        <v>33</v>
      </c>
      <c r="AL558" s="6">
        <v>0</v>
      </c>
      <c r="AM558" s="13" t="s">
        <v>33</v>
      </c>
    </row>
    <row r="559" spans="1:39" ht="15" customHeight="1" x14ac:dyDescent="0.3">
      <c r="A559" s="6" t="s">
        <v>490</v>
      </c>
      <c r="B559" s="7" t="str">
        <f>Odds_Input!C661</f>
        <v>Matas Buzelis</v>
      </c>
      <c r="C559" s="6" t="s">
        <v>33</v>
      </c>
      <c r="D559" s="7" t="str">
        <f>Odds_Input!D661</f>
        <v>YES</v>
      </c>
      <c r="E559" s="31" t="str">
        <f>Odds_Input!E661</f>
        <v>-</v>
      </c>
      <c r="F559" s="32">
        <f>Odds_Input!F661</f>
        <v>25000</v>
      </c>
      <c r="G559" s="36">
        <f>M_DeVig!H661</f>
        <v>251</v>
      </c>
      <c r="H559" s="7" t="str">
        <f>Odds_Input!G661</f>
        <v>-</v>
      </c>
      <c r="I559" s="42">
        <f>M_DeVig!Q661</f>
        <v>1.2718216645289675E-3</v>
      </c>
      <c r="J559" s="13" t="s">
        <v>33</v>
      </c>
      <c r="K559" s="43">
        <f t="shared" si="128"/>
        <v>78527.375825553376</v>
      </c>
      <c r="L559" s="13" t="s">
        <v>33</v>
      </c>
      <c r="M559" s="13" t="s">
        <v>33</v>
      </c>
      <c r="N559" s="13" t="s">
        <v>33</v>
      </c>
      <c r="O559" s="13" t="s">
        <v>33</v>
      </c>
      <c r="P559" s="13" t="s">
        <v>33</v>
      </c>
      <c r="Q559" s="13" t="s">
        <v>33</v>
      </c>
      <c r="R559" s="13" t="s">
        <v>33</v>
      </c>
      <c r="S559" s="13" t="s">
        <v>33</v>
      </c>
      <c r="T559" s="13" t="s">
        <v>33</v>
      </c>
      <c r="U559" s="13" t="s">
        <v>33</v>
      </c>
      <c r="V559" s="13" t="s">
        <v>33</v>
      </c>
      <c r="W559" s="6" t="b">
        <v>0</v>
      </c>
      <c r="X559" s="6" t="s">
        <v>1301</v>
      </c>
      <c r="Y559" s="6" t="s">
        <v>1326</v>
      </c>
      <c r="Z559" s="6">
        <v>653</v>
      </c>
      <c r="AA559" s="7" t="str">
        <f t="shared" si="129"/>
        <v>OK - sims match current assumptions</v>
      </c>
      <c r="AB559" s="13" t="s">
        <v>33</v>
      </c>
      <c r="AC559" s="13" t="s">
        <v>33</v>
      </c>
      <c r="AD559" s="13" t="s">
        <v>33</v>
      </c>
      <c r="AE559" s="13" t="s">
        <v>33</v>
      </c>
      <c r="AF559" s="13" t="s">
        <v>33</v>
      </c>
      <c r="AG559" s="13" t="s">
        <v>33</v>
      </c>
      <c r="AH559" s="6" t="b">
        <v>0</v>
      </c>
      <c r="AI559" s="13" t="s">
        <v>33</v>
      </c>
      <c r="AJ559" s="13" t="s">
        <v>33</v>
      </c>
      <c r="AK559" s="13" t="s">
        <v>33</v>
      </c>
      <c r="AL559" s="6">
        <v>0</v>
      </c>
      <c r="AM559" s="13" t="s">
        <v>33</v>
      </c>
    </row>
    <row r="560" spans="1:39" ht="15" customHeight="1" x14ac:dyDescent="0.3"/>
    <row r="561" spans="1:39" ht="15" customHeight="1" x14ac:dyDescent="0.3">
      <c r="A561" s="48" t="s">
        <v>502</v>
      </c>
      <c r="B561" s="49" t="s">
        <v>1334</v>
      </c>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row>
    <row r="562" spans="1:39" ht="15" customHeight="1" x14ac:dyDescent="0.3">
      <c r="A562" s="6" t="s">
        <v>502</v>
      </c>
      <c r="B562" s="7" t="str">
        <f>Odds_Input!C662</f>
        <v>Stephen Curry</v>
      </c>
      <c r="C562" s="6" t="s">
        <v>33</v>
      </c>
      <c r="D562" s="7" t="str">
        <f>Odds_Input!D662</f>
        <v>YES</v>
      </c>
      <c r="E562" s="31" t="str">
        <f>Odds_Input!E662</f>
        <v>-</v>
      </c>
      <c r="F562" s="32">
        <f>Odds_Input!F662</f>
        <v>-125</v>
      </c>
      <c r="G562" s="36">
        <f>M_DeVig!H662</f>
        <v>1.8</v>
      </c>
      <c r="H562" s="7" t="str">
        <f>Odds_Input!G662</f>
        <v>-</v>
      </c>
      <c r="I562" s="42">
        <f>M_DeVig!Q662</f>
        <v>0.50033643325526311</v>
      </c>
      <c r="J562" s="13" t="s">
        <v>33</v>
      </c>
      <c r="K562" s="43">
        <f t="shared" ref="K562:K594" si="130">IF(I562&gt;=0.5,-100*I562/(1-I562),100*(1-I562)/I562)</f>
        <v>-100.13466391294244</v>
      </c>
      <c r="L562" s="13" t="s">
        <v>33</v>
      </c>
      <c r="M562" s="13" t="s">
        <v>33</v>
      </c>
      <c r="N562" s="13" t="s">
        <v>33</v>
      </c>
      <c r="O562" s="13" t="s">
        <v>33</v>
      </c>
      <c r="P562" s="13" t="s">
        <v>33</v>
      </c>
      <c r="Q562" s="13" t="s">
        <v>33</v>
      </c>
      <c r="R562" s="13" t="s">
        <v>33</v>
      </c>
      <c r="S562" s="13" t="s">
        <v>33</v>
      </c>
      <c r="T562" s="13" t="s">
        <v>33</v>
      </c>
      <c r="U562" s="13" t="s">
        <v>33</v>
      </c>
      <c r="V562" s="13" t="s">
        <v>33</v>
      </c>
      <c r="W562" s="6" t="b">
        <v>0</v>
      </c>
      <c r="X562" s="6" t="s">
        <v>1301</v>
      </c>
      <c r="Y562" s="6" t="s">
        <v>1326</v>
      </c>
      <c r="Z562" s="6">
        <v>654</v>
      </c>
      <c r="AA562" s="7" t="str">
        <f t="shared" ref="AA562:AA594" si="131">Sim_Stale</f>
        <v>OK - sims match current assumptions</v>
      </c>
      <c r="AB562" s="13" t="s">
        <v>33</v>
      </c>
      <c r="AC562" s="13" t="s">
        <v>33</v>
      </c>
      <c r="AD562" s="13" t="s">
        <v>33</v>
      </c>
      <c r="AE562" s="13" t="s">
        <v>33</v>
      </c>
      <c r="AF562" s="13" t="s">
        <v>33</v>
      </c>
      <c r="AG562" s="13" t="s">
        <v>33</v>
      </c>
      <c r="AH562" s="6" t="b">
        <v>0</v>
      </c>
      <c r="AI562" s="13" t="s">
        <v>33</v>
      </c>
      <c r="AJ562" s="13" t="s">
        <v>33</v>
      </c>
      <c r="AK562" s="13" t="s">
        <v>33</v>
      </c>
      <c r="AL562" s="6">
        <v>0</v>
      </c>
      <c r="AM562" s="13" t="s">
        <v>33</v>
      </c>
    </row>
    <row r="563" spans="1:39" ht="15" customHeight="1" x14ac:dyDescent="0.3">
      <c r="A563" s="6" t="s">
        <v>502</v>
      </c>
      <c r="B563" s="7" t="str">
        <f>Odds_Input!C663</f>
        <v>Luka Doncic</v>
      </c>
      <c r="C563" s="6" t="s">
        <v>33</v>
      </c>
      <c r="D563" s="7" t="str">
        <f>Odds_Input!D663</f>
        <v>YES</v>
      </c>
      <c r="E563" s="31" t="str">
        <f>Odds_Input!E663</f>
        <v>-</v>
      </c>
      <c r="F563" s="32">
        <f>Odds_Input!F663</f>
        <v>350</v>
      </c>
      <c r="G563" s="36">
        <f>M_DeVig!H663</f>
        <v>4.5</v>
      </c>
      <c r="H563" s="7" t="str">
        <f>Odds_Input!G663</f>
        <v>-</v>
      </c>
      <c r="I563" s="42">
        <f>M_DeVig!Q663</f>
        <v>0.19747107247302162</v>
      </c>
      <c r="J563" s="13" t="s">
        <v>33</v>
      </c>
      <c r="K563" s="43">
        <f t="shared" si="130"/>
        <v>406.40328604921075</v>
      </c>
      <c r="L563" s="13" t="s">
        <v>33</v>
      </c>
      <c r="M563" s="13" t="s">
        <v>33</v>
      </c>
      <c r="N563" s="13" t="s">
        <v>33</v>
      </c>
      <c r="O563" s="13" t="s">
        <v>33</v>
      </c>
      <c r="P563" s="13" t="s">
        <v>33</v>
      </c>
      <c r="Q563" s="13" t="s">
        <v>33</v>
      </c>
      <c r="R563" s="13" t="s">
        <v>33</v>
      </c>
      <c r="S563" s="13" t="s">
        <v>33</v>
      </c>
      <c r="T563" s="13" t="s">
        <v>33</v>
      </c>
      <c r="U563" s="13" t="s">
        <v>33</v>
      </c>
      <c r="V563" s="13" t="s">
        <v>33</v>
      </c>
      <c r="W563" s="6" t="b">
        <v>0</v>
      </c>
      <c r="X563" s="6" t="s">
        <v>1301</v>
      </c>
      <c r="Y563" s="6" t="s">
        <v>1326</v>
      </c>
      <c r="Z563" s="6">
        <v>655</v>
      </c>
      <c r="AA563" s="7" t="str">
        <f t="shared" si="131"/>
        <v>OK - sims match current assumptions</v>
      </c>
      <c r="AB563" s="13" t="s">
        <v>33</v>
      </c>
      <c r="AC563" s="13" t="s">
        <v>33</v>
      </c>
      <c r="AD563" s="13" t="s">
        <v>33</v>
      </c>
      <c r="AE563" s="13" t="s">
        <v>33</v>
      </c>
      <c r="AF563" s="13" t="s">
        <v>33</v>
      </c>
      <c r="AG563" s="13" t="s">
        <v>33</v>
      </c>
      <c r="AH563" s="6" t="b">
        <v>0</v>
      </c>
      <c r="AI563" s="13" t="s">
        <v>33</v>
      </c>
      <c r="AJ563" s="13" t="s">
        <v>33</v>
      </c>
      <c r="AK563" s="13" t="s">
        <v>33</v>
      </c>
      <c r="AL563" s="6">
        <v>0</v>
      </c>
      <c r="AM563" s="13" t="s">
        <v>33</v>
      </c>
    </row>
    <row r="564" spans="1:39" ht="15" customHeight="1" x14ac:dyDescent="0.3">
      <c r="A564" s="6" t="s">
        <v>502</v>
      </c>
      <c r="B564" s="7" t="str">
        <f>Odds_Input!C664</f>
        <v>LaMelo Ball</v>
      </c>
      <c r="C564" s="6" t="s">
        <v>33</v>
      </c>
      <c r="D564" s="7" t="str">
        <f>Odds_Input!D664</f>
        <v>YES</v>
      </c>
      <c r="E564" s="31" t="str">
        <f>Odds_Input!E664</f>
        <v>-</v>
      </c>
      <c r="F564" s="32">
        <f>Odds_Input!F664</f>
        <v>1100</v>
      </c>
      <c r="G564" s="36">
        <f>M_DeVig!H664</f>
        <v>12</v>
      </c>
      <c r="H564" s="7" t="str">
        <f>Odds_Input!G664</f>
        <v>-</v>
      </c>
      <c r="I564" s="42">
        <f>M_DeVig!Q664</f>
        <v>7.1348400362280837E-2</v>
      </c>
      <c r="J564" s="13" t="s">
        <v>33</v>
      </c>
      <c r="K564" s="43">
        <f t="shared" si="130"/>
        <v>1301.5731185595882</v>
      </c>
      <c r="L564" s="13" t="s">
        <v>33</v>
      </c>
      <c r="M564" s="13" t="s">
        <v>33</v>
      </c>
      <c r="N564" s="13" t="s">
        <v>33</v>
      </c>
      <c r="O564" s="13" t="s">
        <v>33</v>
      </c>
      <c r="P564" s="13" t="s">
        <v>33</v>
      </c>
      <c r="Q564" s="13" t="s">
        <v>33</v>
      </c>
      <c r="R564" s="13" t="s">
        <v>33</v>
      </c>
      <c r="S564" s="13" t="s">
        <v>33</v>
      </c>
      <c r="T564" s="13" t="s">
        <v>33</v>
      </c>
      <c r="U564" s="13" t="s">
        <v>33</v>
      </c>
      <c r="V564" s="13" t="s">
        <v>33</v>
      </c>
      <c r="W564" s="6" t="b">
        <v>0</v>
      </c>
      <c r="X564" s="6" t="s">
        <v>1301</v>
      </c>
      <c r="Y564" s="6" t="s">
        <v>1326</v>
      </c>
      <c r="Z564" s="6">
        <v>656</v>
      </c>
      <c r="AA564" s="7" t="str">
        <f t="shared" si="131"/>
        <v>OK - sims match current assumptions</v>
      </c>
      <c r="AB564" s="13" t="s">
        <v>33</v>
      </c>
      <c r="AC564" s="13" t="s">
        <v>33</v>
      </c>
      <c r="AD564" s="13" t="s">
        <v>33</v>
      </c>
      <c r="AE564" s="13" t="s">
        <v>33</v>
      </c>
      <c r="AF564" s="13" t="s">
        <v>33</v>
      </c>
      <c r="AG564" s="13" t="s">
        <v>33</v>
      </c>
      <c r="AH564" s="6" t="b">
        <v>0</v>
      </c>
      <c r="AI564" s="13" t="s">
        <v>33</v>
      </c>
      <c r="AJ564" s="13" t="s">
        <v>33</v>
      </c>
      <c r="AK564" s="13" t="s">
        <v>33</v>
      </c>
      <c r="AL564" s="6">
        <v>0</v>
      </c>
      <c r="AM564" s="13" t="s">
        <v>33</v>
      </c>
    </row>
    <row r="565" spans="1:39" ht="15" customHeight="1" x14ac:dyDescent="0.3">
      <c r="A565" s="6" t="s">
        <v>502</v>
      </c>
      <c r="B565" s="7" t="str">
        <f>Odds_Input!C665</f>
        <v>Kon Knueppel</v>
      </c>
      <c r="C565" s="6" t="s">
        <v>33</v>
      </c>
      <c r="D565" s="7" t="str">
        <f>Odds_Input!D665</f>
        <v>YES</v>
      </c>
      <c r="E565" s="31" t="str">
        <f>Odds_Input!E665</f>
        <v>-</v>
      </c>
      <c r="F565" s="32">
        <f>Odds_Input!F665</f>
        <v>2000</v>
      </c>
      <c r="G565" s="36">
        <f>M_DeVig!H665</f>
        <v>21</v>
      </c>
      <c r="H565" s="7" t="str">
        <f>Odds_Input!G665</f>
        <v>-</v>
      </c>
      <c r="I565" s="42">
        <f>M_DeVig!Q665</f>
        <v>3.8995500843826275E-2</v>
      </c>
      <c r="J565" s="13" t="s">
        <v>33</v>
      </c>
      <c r="K565" s="43">
        <f t="shared" si="130"/>
        <v>2464.3984007409381</v>
      </c>
      <c r="L565" s="13" t="s">
        <v>33</v>
      </c>
      <c r="M565" s="13" t="s">
        <v>33</v>
      </c>
      <c r="N565" s="13" t="s">
        <v>33</v>
      </c>
      <c r="O565" s="13" t="s">
        <v>33</v>
      </c>
      <c r="P565" s="13" t="s">
        <v>33</v>
      </c>
      <c r="Q565" s="13" t="s">
        <v>33</v>
      </c>
      <c r="R565" s="13" t="s">
        <v>33</v>
      </c>
      <c r="S565" s="13" t="s">
        <v>33</v>
      </c>
      <c r="T565" s="13" t="s">
        <v>33</v>
      </c>
      <c r="U565" s="13" t="s">
        <v>33</v>
      </c>
      <c r="V565" s="13" t="s">
        <v>33</v>
      </c>
      <c r="W565" s="6" t="b">
        <v>0</v>
      </c>
      <c r="X565" s="6" t="s">
        <v>1301</v>
      </c>
      <c r="Y565" s="6" t="s">
        <v>1326</v>
      </c>
      <c r="Z565" s="6">
        <v>657</v>
      </c>
      <c r="AA565" s="7" t="str">
        <f t="shared" si="131"/>
        <v>OK - sims match current assumptions</v>
      </c>
      <c r="AB565" s="13" t="s">
        <v>33</v>
      </c>
      <c r="AC565" s="13" t="s">
        <v>33</v>
      </c>
      <c r="AD565" s="13" t="s">
        <v>33</v>
      </c>
      <c r="AE565" s="13" t="s">
        <v>33</v>
      </c>
      <c r="AF565" s="13" t="s">
        <v>33</v>
      </c>
      <c r="AG565" s="13" t="s">
        <v>33</v>
      </c>
      <c r="AH565" s="6" t="b">
        <v>0</v>
      </c>
      <c r="AI565" s="13" t="s">
        <v>33</v>
      </c>
      <c r="AJ565" s="13" t="s">
        <v>33</v>
      </c>
      <c r="AK565" s="13" t="s">
        <v>33</v>
      </c>
      <c r="AL565" s="6">
        <v>0</v>
      </c>
      <c r="AM565" s="13" t="s">
        <v>33</v>
      </c>
    </row>
    <row r="566" spans="1:39" ht="15" customHeight="1" x14ac:dyDescent="0.3">
      <c r="A566" s="6" t="s">
        <v>502</v>
      </c>
      <c r="B566" s="7" t="str">
        <f>Odds_Input!C666</f>
        <v>Anthony Edwards</v>
      </c>
      <c r="C566" s="6" t="s">
        <v>33</v>
      </c>
      <c r="D566" s="7" t="str">
        <f>Odds_Input!D666</f>
        <v>YES</v>
      </c>
      <c r="E566" s="31" t="str">
        <f>Odds_Input!E666</f>
        <v>-</v>
      </c>
      <c r="F566" s="32">
        <f>Odds_Input!F666</f>
        <v>1900</v>
      </c>
      <c r="G566" s="36">
        <f>M_DeVig!H666</f>
        <v>20</v>
      </c>
      <c r="H566" s="7" t="str">
        <f>Odds_Input!G666</f>
        <v>-</v>
      </c>
      <c r="I566" s="42">
        <f>M_DeVig!Q666</f>
        <v>4.1147936436293088E-2</v>
      </c>
      <c r="J566" s="13" t="s">
        <v>33</v>
      </c>
      <c r="K566" s="43">
        <f t="shared" si="130"/>
        <v>2330.2555282407434</v>
      </c>
      <c r="L566" s="13" t="s">
        <v>33</v>
      </c>
      <c r="M566" s="13" t="s">
        <v>33</v>
      </c>
      <c r="N566" s="13" t="s">
        <v>33</v>
      </c>
      <c r="O566" s="13" t="s">
        <v>33</v>
      </c>
      <c r="P566" s="13" t="s">
        <v>33</v>
      </c>
      <c r="Q566" s="13" t="s">
        <v>33</v>
      </c>
      <c r="R566" s="13" t="s">
        <v>33</v>
      </c>
      <c r="S566" s="13" t="s">
        <v>33</v>
      </c>
      <c r="T566" s="13" t="s">
        <v>33</v>
      </c>
      <c r="U566" s="13" t="s">
        <v>33</v>
      </c>
      <c r="V566" s="13" t="s">
        <v>33</v>
      </c>
      <c r="W566" s="6" t="b">
        <v>0</v>
      </c>
      <c r="X566" s="6" t="s">
        <v>1301</v>
      </c>
      <c r="Y566" s="6" t="s">
        <v>1326</v>
      </c>
      <c r="Z566" s="6">
        <v>658</v>
      </c>
      <c r="AA566" s="7" t="str">
        <f t="shared" si="131"/>
        <v>OK - sims match current assumptions</v>
      </c>
      <c r="AB566" s="13" t="s">
        <v>33</v>
      </c>
      <c r="AC566" s="13" t="s">
        <v>33</v>
      </c>
      <c r="AD566" s="13" t="s">
        <v>33</v>
      </c>
      <c r="AE566" s="13" t="s">
        <v>33</v>
      </c>
      <c r="AF566" s="13" t="s">
        <v>33</v>
      </c>
      <c r="AG566" s="13" t="s">
        <v>33</v>
      </c>
      <c r="AH566" s="6" t="b">
        <v>0</v>
      </c>
      <c r="AI566" s="13" t="s">
        <v>33</v>
      </c>
      <c r="AJ566" s="13" t="s">
        <v>33</v>
      </c>
      <c r="AK566" s="13" t="s">
        <v>33</v>
      </c>
      <c r="AL566" s="6">
        <v>0</v>
      </c>
      <c r="AM566" s="13" t="s">
        <v>33</v>
      </c>
    </row>
    <row r="567" spans="1:39" ht="15" customHeight="1" x14ac:dyDescent="0.3">
      <c r="A567" s="6" t="s">
        <v>502</v>
      </c>
      <c r="B567" s="7" t="str">
        <f>Odds_Input!C667</f>
        <v>Brandon Miller</v>
      </c>
      <c r="C567" s="6" t="s">
        <v>33</v>
      </c>
      <c r="D567" s="7" t="str">
        <f>Odds_Input!D667</f>
        <v>YES</v>
      </c>
      <c r="E567" s="31" t="str">
        <f>Odds_Input!E667</f>
        <v>-</v>
      </c>
      <c r="F567" s="32">
        <f>Odds_Input!F667</f>
        <v>3500</v>
      </c>
      <c r="G567" s="36">
        <f>M_DeVig!H667</f>
        <v>36</v>
      </c>
      <c r="H567" s="7" t="str">
        <f>Odds_Input!G667</f>
        <v>-</v>
      </c>
      <c r="I567" s="42">
        <f>M_DeVig!Q667</f>
        <v>2.1131327846072922E-2</v>
      </c>
      <c r="J567" s="13" t="s">
        <v>33</v>
      </c>
      <c r="K567" s="43">
        <f t="shared" si="130"/>
        <v>4632.3102801882915</v>
      </c>
      <c r="L567" s="13" t="s">
        <v>33</v>
      </c>
      <c r="M567" s="13" t="s">
        <v>33</v>
      </c>
      <c r="N567" s="13" t="s">
        <v>33</v>
      </c>
      <c r="O567" s="13" t="s">
        <v>33</v>
      </c>
      <c r="P567" s="13" t="s">
        <v>33</v>
      </c>
      <c r="Q567" s="13" t="s">
        <v>33</v>
      </c>
      <c r="R567" s="13" t="s">
        <v>33</v>
      </c>
      <c r="S567" s="13" t="s">
        <v>33</v>
      </c>
      <c r="T567" s="13" t="s">
        <v>33</v>
      </c>
      <c r="U567" s="13" t="s">
        <v>33</v>
      </c>
      <c r="V567" s="13" t="s">
        <v>33</v>
      </c>
      <c r="W567" s="6" t="b">
        <v>0</v>
      </c>
      <c r="X567" s="6" t="s">
        <v>1301</v>
      </c>
      <c r="Y567" s="6" t="s">
        <v>1326</v>
      </c>
      <c r="Z567" s="6">
        <v>659</v>
      </c>
      <c r="AA567" s="7" t="str">
        <f t="shared" si="131"/>
        <v>OK - sims match current assumptions</v>
      </c>
      <c r="AB567" s="13" t="s">
        <v>33</v>
      </c>
      <c r="AC567" s="13" t="s">
        <v>33</v>
      </c>
      <c r="AD567" s="13" t="s">
        <v>33</v>
      </c>
      <c r="AE567" s="13" t="s">
        <v>33</v>
      </c>
      <c r="AF567" s="13" t="s">
        <v>33</v>
      </c>
      <c r="AG567" s="13" t="s">
        <v>33</v>
      </c>
      <c r="AH567" s="6" t="b">
        <v>0</v>
      </c>
      <c r="AI567" s="13" t="s">
        <v>33</v>
      </c>
      <c r="AJ567" s="13" t="s">
        <v>33</v>
      </c>
      <c r="AK567" s="13" t="s">
        <v>33</v>
      </c>
      <c r="AL567" s="6">
        <v>0</v>
      </c>
      <c r="AM567" s="13" t="s">
        <v>33</v>
      </c>
    </row>
    <row r="568" spans="1:39" ht="15" customHeight="1" x14ac:dyDescent="0.3">
      <c r="A568" s="6" t="s">
        <v>502</v>
      </c>
      <c r="B568" s="7" t="str">
        <f>Odds_Input!C668</f>
        <v>Michael Porter Jr</v>
      </c>
      <c r="C568" s="6" t="s">
        <v>33</v>
      </c>
      <c r="D568" s="7" t="str">
        <f>Odds_Input!D668</f>
        <v>YES</v>
      </c>
      <c r="E568" s="31" t="str">
        <f>Odds_Input!E668</f>
        <v>-</v>
      </c>
      <c r="F568" s="32">
        <f>Odds_Input!F668</f>
        <v>3800</v>
      </c>
      <c r="G568" s="36">
        <f>M_DeVig!H668</f>
        <v>39</v>
      </c>
      <c r="H568" s="7" t="str">
        <f>Odds_Input!G668</f>
        <v>-</v>
      </c>
      <c r="I568" s="42">
        <f>M_DeVig!Q668</f>
        <v>1.9222412549950295E-2</v>
      </c>
      <c r="J568" s="13" t="s">
        <v>33</v>
      </c>
      <c r="K568" s="43">
        <f t="shared" si="130"/>
        <v>5102.2606288438328</v>
      </c>
      <c r="L568" s="13" t="s">
        <v>33</v>
      </c>
      <c r="M568" s="13" t="s">
        <v>33</v>
      </c>
      <c r="N568" s="13" t="s">
        <v>33</v>
      </c>
      <c r="O568" s="13" t="s">
        <v>33</v>
      </c>
      <c r="P568" s="13" t="s">
        <v>33</v>
      </c>
      <c r="Q568" s="13" t="s">
        <v>33</v>
      </c>
      <c r="R568" s="13" t="s">
        <v>33</v>
      </c>
      <c r="S568" s="13" t="s">
        <v>33</v>
      </c>
      <c r="T568" s="13" t="s">
        <v>33</v>
      </c>
      <c r="U568" s="13" t="s">
        <v>33</v>
      </c>
      <c r="V568" s="13" t="s">
        <v>33</v>
      </c>
      <c r="W568" s="6" t="b">
        <v>0</v>
      </c>
      <c r="X568" s="6" t="s">
        <v>1301</v>
      </c>
      <c r="Y568" s="6" t="s">
        <v>1326</v>
      </c>
      <c r="Z568" s="6">
        <v>660</v>
      </c>
      <c r="AA568" s="7" t="str">
        <f t="shared" si="131"/>
        <v>OK - sims match current assumptions</v>
      </c>
      <c r="AB568" s="13" t="s">
        <v>33</v>
      </c>
      <c r="AC568" s="13" t="s">
        <v>33</v>
      </c>
      <c r="AD568" s="13" t="s">
        <v>33</v>
      </c>
      <c r="AE568" s="13" t="s">
        <v>33</v>
      </c>
      <c r="AF568" s="13" t="s">
        <v>33</v>
      </c>
      <c r="AG568" s="13" t="s">
        <v>33</v>
      </c>
      <c r="AH568" s="6" t="b">
        <v>0</v>
      </c>
      <c r="AI568" s="13" t="s">
        <v>33</v>
      </c>
      <c r="AJ568" s="13" t="s">
        <v>33</v>
      </c>
      <c r="AK568" s="13" t="s">
        <v>33</v>
      </c>
      <c r="AL568" s="6">
        <v>0</v>
      </c>
      <c r="AM568" s="13" t="s">
        <v>33</v>
      </c>
    </row>
    <row r="569" spans="1:39" ht="15" customHeight="1" x14ac:dyDescent="0.3">
      <c r="A569" s="6" t="s">
        <v>502</v>
      </c>
      <c r="B569" s="7" t="str">
        <f>Odds_Input!C669</f>
        <v>Jayson Tatum</v>
      </c>
      <c r="C569" s="6" t="s">
        <v>33</v>
      </c>
      <c r="D569" s="7" t="str">
        <f>Odds_Input!D669</f>
        <v>YES</v>
      </c>
      <c r="E569" s="31" t="str">
        <f>Odds_Input!E669</f>
        <v>-</v>
      </c>
      <c r="F569" s="32">
        <f>Odds_Input!F669</f>
        <v>6500</v>
      </c>
      <c r="G569" s="36">
        <f>M_DeVig!H669</f>
        <v>66</v>
      </c>
      <c r="H569" s="7" t="str">
        <f>Odds_Input!G669</f>
        <v>-</v>
      </c>
      <c r="I569" s="42">
        <f>M_DeVig!Q669</f>
        <v>9.9780720166622455E-3</v>
      </c>
      <c r="J569" s="13" t="s">
        <v>33</v>
      </c>
      <c r="K569" s="43">
        <f t="shared" si="130"/>
        <v>9921.9761726525303</v>
      </c>
      <c r="L569" s="13" t="s">
        <v>33</v>
      </c>
      <c r="M569" s="13" t="s">
        <v>33</v>
      </c>
      <c r="N569" s="13" t="s">
        <v>33</v>
      </c>
      <c r="O569" s="13" t="s">
        <v>33</v>
      </c>
      <c r="P569" s="13" t="s">
        <v>33</v>
      </c>
      <c r="Q569" s="13" t="s">
        <v>33</v>
      </c>
      <c r="R569" s="13" t="s">
        <v>33</v>
      </c>
      <c r="S569" s="13" t="s">
        <v>33</v>
      </c>
      <c r="T569" s="13" t="s">
        <v>33</v>
      </c>
      <c r="U569" s="13" t="s">
        <v>33</v>
      </c>
      <c r="V569" s="13" t="s">
        <v>33</v>
      </c>
      <c r="W569" s="6" t="b">
        <v>0</v>
      </c>
      <c r="X569" s="6" t="s">
        <v>1301</v>
      </c>
      <c r="Y569" s="6" t="s">
        <v>1326</v>
      </c>
      <c r="Z569" s="6">
        <v>661</v>
      </c>
      <c r="AA569" s="7" t="str">
        <f t="shared" si="131"/>
        <v>OK - sims match current assumptions</v>
      </c>
      <c r="AB569" s="13" t="s">
        <v>33</v>
      </c>
      <c r="AC569" s="13" t="s">
        <v>33</v>
      </c>
      <c r="AD569" s="13" t="s">
        <v>33</v>
      </c>
      <c r="AE569" s="13" t="s">
        <v>33</v>
      </c>
      <c r="AF569" s="13" t="s">
        <v>33</v>
      </c>
      <c r="AG569" s="13" t="s">
        <v>33</v>
      </c>
      <c r="AH569" s="6" t="b">
        <v>0</v>
      </c>
      <c r="AI569" s="13" t="s">
        <v>33</v>
      </c>
      <c r="AJ569" s="13" t="s">
        <v>33</v>
      </c>
      <c r="AK569" s="13" t="s">
        <v>33</v>
      </c>
      <c r="AL569" s="6">
        <v>0</v>
      </c>
      <c r="AM569" s="13" t="s">
        <v>33</v>
      </c>
    </row>
    <row r="570" spans="1:39" ht="15" customHeight="1" x14ac:dyDescent="0.3">
      <c r="A570" s="6" t="s">
        <v>502</v>
      </c>
      <c r="B570" s="7" t="str">
        <f>Odds_Input!C670</f>
        <v>Trey Murphy III</v>
      </c>
      <c r="C570" s="6" t="s">
        <v>33</v>
      </c>
      <c r="D570" s="7" t="str">
        <f>Odds_Input!D670</f>
        <v>YES</v>
      </c>
      <c r="E570" s="31" t="str">
        <f>Odds_Input!E670</f>
        <v>-</v>
      </c>
      <c r="F570" s="32">
        <f>Odds_Input!F670</f>
        <v>8000</v>
      </c>
      <c r="G570" s="36">
        <f>M_DeVig!H670</f>
        <v>81</v>
      </c>
      <c r="H570" s="7" t="str">
        <f>Odds_Input!G670</f>
        <v>-</v>
      </c>
      <c r="I570" s="42">
        <f>M_DeVig!Q670</f>
        <v>7.581185933724293E-3</v>
      </c>
      <c r="J570" s="13" t="s">
        <v>33</v>
      </c>
      <c r="K570" s="43">
        <f t="shared" si="130"/>
        <v>13090.548401557873</v>
      </c>
      <c r="L570" s="13" t="s">
        <v>33</v>
      </c>
      <c r="M570" s="13" t="s">
        <v>33</v>
      </c>
      <c r="N570" s="13" t="s">
        <v>33</v>
      </c>
      <c r="O570" s="13" t="s">
        <v>33</v>
      </c>
      <c r="P570" s="13" t="s">
        <v>33</v>
      </c>
      <c r="Q570" s="13" t="s">
        <v>33</v>
      </c>
      <c r="R570" s="13" t="s">
        <v>33</v>
      </c>
      <c r="S570" s="13" t="s">
        <v>33</v>
      </c>
      <c r="T570" s="13" t="s">
        <v>33</v>
      </c>
      <c r="U570" s="13" t="s">
        <v>33</v>
      </c>
      <c r="V570" s="13" t="s">
        <v>33</v>
      </c>
      <c r="W570" s="6" t="b">
        <v>0</v>
      </c>
      <c r="X570" s="6" t="s">
        <v>1301</v>
      </c>
      <c r="Y570" s="6" t="s">
        <v>1326</v>
      </c>
      <c r="Z570" s="6">
        <v>662</v>
      </c>
      <c r="AA570" s="7" t="str">
        <f t="shared" si="131"/>
        <v>OK - sims match current assumptions</v>
      </c>
      <c r="AB570" s="13" t="s">
        <v>33</v>
      </c>
      <c r="AC570" s="13" t="s">
        <v>33</v>
      </c>
      <c r="AD570" s="13" t="s">
        <v>33</v>
      </c>
      <c r="AE570" s="13" t="s">
        <v>33</v>
      </c>
      <c r="AF570" s="13" t="s">
        <v>33</v>
      </c>
      <c r="AG570" s="13" t="s">
        <v>33</v>
      </c>
      <c r="AH570" s="6" t="b">
        <v>0</v>
      </c>
      <c r="AI570" s="13" t="s">
        <v>33</v>
      </c>
      <c r="AJ570" s="13" t="s">
        <v>33</v>
      </c>
      <c r="AK570" s="13" t="s">
        <v>33</v>
      </c>
      <c r="AL570" s="6">
        <v>0</v>
      </c>
      <c r="AM570" s="13" t="s">
        <v>33</v>
      </c>
    </row>
    <row r="571" spans="1:39" ht="15" customHeight="1" x14ac:dyDescent="0.3">
      <c r="A571" s="6" t="s">
        <v>502</v>
      </c>
      <c r="B571" s="7" t="str">
        <f>Odds_Input!C671</f>
        <v>Jamal Murray</v>
      </c>
      <c r="C571" s="6" t="s">
        <v>33</v>
      </c>
      <c r="D571" s="7" t="str">
        <f>Odds_Input!D671</f>
        <v>YES</v>
      </c>
      <c r="E571" s="31" t="str">
        <f>Odds_Input!E671</f>
        <v>-</v>
      </c>
      <c r="F571" s="32">
        <f>Odds_Input!F671</f>
        <v>8500</v>
      </c>
      <c r="G571" s="36">
        <f>M_DeVig!H671</f>
        <v>86</v>
      </c>
      <c r="H571" s="7" t="str">
        <f>Odds_Input!G671</f>
        <v>-</v>
      </c>
      <c r="I571" s="42">
        <f>M_DeVig!Q671</f>
        <v>6.9785976156981986E-3</v>
      </c>
      <c r="J571" s="13" t="s">
        <v>33</v>
      </c>
      <c r="K571" s="43">
        <f t="shared" si="130"/>
        <v>14229.526576378648</v>
      </c>
      <c r="L571" s="13" t="s">
        <v>33</v>
      </c>
      <c r="M571" s="13" t="s">
        <v>33</v>
      </c>
      <c r="N571" s="13" t="s">
        <v>33</v>
      </c>
      <c r="O571" s="13" t="s">
        <v>33</v>
      </c>
      <c r="P571" s="13" t="s">
        <v>33</v>
      </c>
      <c r="Q571" s="13" t="s">
        <v>33</v>
      </c>
      <c r="R571" s="13" t="s">
        <v>33</v>
      </c>
      <c r="S571" s="13" t="s">
        <v>33</v>
      </c>
      <c r="T571" s="13" t="s">
        <v>33</v>
      </c>
      <c r="U571" s="13" t="s">
        <v>33</v>
      </c>
      <c r="V571" s="13" t="s">
        <v>33</v>
      </c>
      <c r="W571" s="6" t="b">
        <v>0</v>
      </c>
      <c r="X571" s="6" t="s">
        <v>1301</v>
      </c>
      <c r="Y571" s="6" t="s">
        <v>1326</v>
      </c>
      <c r="Z571" s="6">
        <v>663</v>
      </c>
      <c r="AA571" s="7" t="str">
        <f t="shared" si="131"/>
        <v>OK - sims match current assumptions</v>
      </c>
      <c r="AB571" s="13" t="s">
        <v>33</v>
      </c>
      <c r="AC571" s="13" t="s">
        <v>33</v>
      </c>
      <c r="AD571" s="13" t="s">
        <v>33</v>
      </c>
      <c r="AE571" s="13" t="s">
        <v>33</v>
      </c>
      <c r="AF571" s="13" t="s">
        <v>33</v>
      </c>
      <c r="AG571" s="13" t="s">
        <v>33</v>
      </c>
      <c r="AH571" s="6" t="b">
        <v>0</v>
      </c>
      <c r="AI571" s="13" t="s">
        <v>33</v>
      </c>
      <c r="AJ571" s="13" t="s">
        <v>33</v>
      </c>
      <c r="AK571" s="13" t="s">
        <v>33</v>
      </c>
      <c r="AL571" s="6">
        <v>0</v>
      </c>
      <c r="AM571" s="13" t="s">
        <v>33</v>
      </c>
    </row>
    <row r="572" spans="1:39" ht="15" customHeight="1" x14ac:dyDescent="0.3">
      <c r="A572" s="6" t="s">
        <v>502</v>
      </c>
      <c r="B572" s="7" t="str">
        <f>Odds_Input!C672</f>
        <v>Donovan Mitchell</v>
      </c>
      <c r="C572" s="6" t="s">
        <v>33</v>
      </c>
      <c r="D572" s="7" t="str">
        <f>Odds_Input!D672</f>
        <v>YES</v>
      </c>
      <c r="E572" s="31" t="str">
        <f>Odds_Input!E672</f>
        <v>-</v>
      </c>
      <c r="F572" s="32">
        <f>Odds_Input!F672</f>
        <v>6900</v>
      </c>
      <c r="G572" s="36">
        <f>M_DeVig!H672</f>
        <v>70</v>
      </c>
      <c r="H572" s="7" t="str">
        <f>Odds_Input!G672</f>
        <v>-</v>
      </c>
      <c r="I572" s="42">
        <f>M_DeVig!Q672</f>
        <v>9.2325977231209107E-3</v>
      </c>
      <c r="J572" s="13" t="s">
        <v>33</v>
      </c>
      <c r="K572" s="43">
        <f t="shared" si="130"/>
        <v>10731.187819390536</v>
      </c>
      <c r="L572" s="13" t="s">
        <v>33</v>
      </c>
      <c r="M572" s="13" t="s">
        <v>33</v>
      </c>
      <c r="N572" s="13" t="s">
        <v>33</v>
      </c>
      <c r="O572" s="13" t="s">
        <v>33</v>
      </c>
      <c r="P572" s="13" t="s">
        <v>33</v>
      </c>
      <c r="Q572" s="13" t="s">
        <v>33</v>
      </c>
      <c r="R572" s="13" t="s">
        <v>33</v>
      </c>
      <c r="S572" s="13" t="s">
        <v>33</v>
      </c>
      <c r="T572" s="13" t="s">
        <v>33</v>
      </c>
      <c r="U572" s="13" t="s">
        <v>33</v>
      </c>
      <c r="V572" s="13" t="s">
        <v>33</v>
      </c>
      <c r="W572" s="6" t="b">
        <v>0</v>
      </c>
      <c r="X572" s="6" t="s">
        <v>1301</v>
      </c>
      <c r="Y572" s="6" t="s">
        <v>1326</v>
      </c>
      <c r="Z572" s="6">
        <v>664</v>
      </c>
      <c r="AA572" s="7" t="str">
        <f t="shared" si="131"/>
        <v>OK - sims match current assumptions</v>
      </c>
      <c r="AB572" s="13" t="s">
        <v>33</v>
      </c>
      <c r="AC572" s="13" t="s">
        <v>33</v>
      </c>
      <c r="AD572" s="13" t="s">
        <v>33</v>
      </c>
      <c r="AE572" s="13" t="s">
        <v>33</v>
      </c>
      <c r="AF572" s="13" t="s">
        <v>33</v>
      </c>
      <c r="AG572" s="13" t="s">
        <v>33</v>
      </c>
      <c r="AH572" s="6" t="b">
        <v>0</v>
      </c>
      <c r="AI572" s="13" t="s">
        <v>33</v>
      </c>
      <c r="AJ572" s="13" t="s">
        <v>33</v>
      </c>
      <c r="AK572" s="13" t="s">
        <v>33</v>
      </c>
      <c r="AL572" s="6">
        <v>0</v>
      </c>
      <c r="AM572" s="13" t="s">
        <v>33</v>
      </c>
    </row>
    <row r="573" spans="1:39" ht="15" customHeight="1" x14ac:dyDescent="0.3">
      <c r="A573" s="6" t="s">
        <v>502</v>
      </c>
      <c r="B573" s="7" t="str">
        <f>Odds_Input!C673</f>
        <v>Tyler Herro</v>
      </c>
      <c r="C573" s="6" t="s">
        <v>33</v>
      </c>
      <c r="D573" s="7" t="str">
        <f>Odds_Input!D673</f>
        <v>YES</v>
      </c>
      <c r="E573" s="31" t="str">
        <f>Odds_Input!E673</f>
        <v>-</v>
      </c>
      <c r="F573" s="32">
        <f>Odds_Input!F673</f>
        <v>7900</v>
      </c>
      <c r="G573" s="36">
        <f>M_DeVig!H673</f>
        <v>80</v>
      </c>
      <c r="H573" s="7" t="str">
        <f>Odds_Input!G673</f>
        <v>-</v>
      </c>
      <c r="I573" s="42">
        <f>M_DeVig!Q673</f>
        <v>7.7114081764393652E-3</v>
      </c>
      <c r="J573" s="13" t="s">
        <v>33</v>
      </c>
      <c r="K573" s="43">
        <f t="shared" si="130"/>
        <v>12867.800136106087</v>
      </c>
      <c r="L573" s="13" t="s">
        <v>33</v>
      </c>
      <c r="M573" s="13" t="s">
        <v>33</v>
      </c>
      <c r="N573" s="13" t="s">
        <v>33</v>
      </c>
      <c r="O573" s="13" t="s">
        <v>33</v>
      </c>
      <c r="P573" s="13" t="s">
        <v>33</v>
      </c>
      <c r="Q573" s="13" t="s">
        <v>33</v>
      </c>
      <c r="R573" s="13" t="s">
        <v>33</v>
      </c>
      <c r="S573" s="13" t="s">
        <v>33</v>
      </c>
      <c r="T573" s="13" t="s">
        <v>33</v>
      </c>
      <c r="U573" s="13" t="s">
        <v>33</v>
      </c>
      <c r="V573" s="13" t="s">
        <v>33</v>
      </c>
      <c r="W573" s="6" t="b">
        <v>0</v>
      </c>
      <c r="X573" s="6" t="s">
        <v>1301</v>
      </c>
      <c r="Y573" s="6" t="s">
        <v>1326</v>
      </c>
      <c r="Z573" s="6">
        <v>665</v>
      </c>
      <c r="AA573" s="7" t="str">
        <f t="shared" si="131"/>
        <v>OK - sims match current assumptions</v>
      </c>
      <c r="AB573" s="13" t="s">
        <v>33</v>
      </c>
      <c r="AC573" s="13" t="s">
        <v>33</v>
      </c>
      <c r="AD573" s="13" t="s">
        <v>33</v>
      </c>
      <c r="AE573" s="13" t="s">
        <v>33</v>
      </c>
      <c r="AF573" s="13" t="s">
        <v>33</v>
      </c>
      <c r="AG573" s="13" t="s">
        <v>33</v>
      </c>
      <c r="AH573" s="6" t="b">
        <v>0</v>
      </c>
      <c r="AI573" s="13" t="s">
        <v>33</v>
      </c>
      <c r="AJ573" s="13" t="s">
        <v>33</v>
      </c>
      <c r="AK573" s="13" t="s">
        <v>33</v>
      </c>
      <c r="AL573" s="6">
        <v>0</v>
      </c>
      <c r="AM573" s="13" t="s">
        <v>33</v>
      </c>
    </row>
    <row r="574" spans="1:39" ht="15" customHeight="1" x14ac:dyDescent="0.3">
      <c r="A574" s="6" t="s">
        <v>502</v>
      </c>
      <c r="B574" s="7" t="str">
        <f>Odds_Input!C674</f>
        <v>Damian Lillard</v>
      </c>
      <c r="C574" s="6" t="s">
        <v>33</v>
      </c>
      <c r="D574" s="7" t="str">
        <f>Odds_Input!D674</f>
        <v>YES</v>
      </c>
      <c r="E574" s="31" t="str">
        <f>Odds_Input!E674</f>
        <v>-</v>
      </c>
      <c r="F574" s="32">
        <f>Odds_Input!F674</f>
        <v>7950</v>
      </c>
      <c r="G574" s="36">
        <f>M_DeVig!H674</f>
        <v>80.5</v>
      </c>
      <c r="H574" s="7" t="str">
        <f>Odds_Input!G674</f>
        <v>-</v>
      </c>
      <c r="I574" s="42">
        <f>M_DeVig!Q674</f>
        <v>7.6458648076887653E-3</v>
      </c>
      <c r="J574" s="13" t="s">
        <v>33</v>
      </c>
      <c r="K574" s="43">
        <f t="shared" si="130"/>
        <v>12978.965233525827</v>
      </c>
      <c r="L574" s="13" t="s">
        <v>33</v>
      </c>
      <c r="M574" s="13" t="s">
        <v>33</v>
      </c>
      <c r="N574" s="13" t="s">
        <v>33</v>
      </c>
      <c r="O574" s="13" t="s">
        <v>33</v>
      </c>
      <c r="P574" s="13" t="s">
        <v>33</v>
      </c>
      <c r="Q574" s="13" t="s">
        <v>33</v>
      </c>
      <c r="R574" s="13" t="s">
        <v>33</v>
      </c>
      <c r="S574" s="13" t="s">
        <v>33</v>
      </c>
      <c r="T574" s="13" t="s">
        <v>33</v>
      </c>
      <c r="U574" s="13" t="s">
        <v>33</v>
      </c>
      <c r="V574" s="13" t="s">
        <v>33</v>
      </c>
      <c r="W574" s="6" t="b">
        <v>0</v>
      </c>
      <c r="X574" s="6" t="s">
        <v>1301</v>
      </c>
      <c r="Y574" s="6" t="s">
        <v>1326</v>
      </c>
      <c r="Z574" s="6">
        <v>666</v>
      </c>
      <c r="AA574" s="7" t="str">
        <f t="shared" si="131"/>
        <v>OK - sims match current assumptions</v>
      </c>
      <c r="AB574" s="13" t="s">
        <v>33</v>
      </c>
      <c r="AC574" s="13" t="s">
        <v>33</v>
      </c>
      <c r="AD574" s="13" t="s">
        <v>33</v>
      </c>
      <c r="AE574" s="13" t="s">
        <v>33</v>
      </c>
      <c r="AF574" s="13" t="s">
        <v>33</v>
      </c>
      <c r="AG574" s="13" t="s">
        <v>33</v>
      </c>
      <c r="AH574" s="6" t="b">
        <v>0</v>
      </c>
      <c r="AI574" s="13" t="s">
        <v>33</v>
      </c>
      <c r="AJ574" s="13" t="s">
        <v>33</v>
      </c>
      <c r="AK574" s="13" t="s">
        <v>33</v>
      </c>
      <c r="AL574" s="6">
        <v>0</v>
      </c>
      <c r="AM574" s="13" t="s">
        <v>33</v>
      </c>
    </row>
    <row r="575" spans="1:39" ht="15" customHeight="1" x14ac:dyDescent="0.3">
      <c r="A575" s="52" t="s">
        <v>502</v>
      </c>
      <c r="B575" s="53" t="str">
        <f>Odds_Input!C675</f>
        <v>Trae Young</v>
      </c>
      <c r="C575" s="52" t="s">
        <v>33</v>
      </c>
      <c r="D575" s="53" t="str">
        <f>Odds_Input!D675</f>
        <v>YES</v>
      </c>
      <c r="E575" s="54" t="str">
        <f>Odds_Input!E675</f>
        <v>-</v>
      </c>
      <c r="F575" s="55">
        <f>Odds_Input!F675</f>
        <v>9100</v>
      </c>
      <c r="G575" s="56">
        <f>M_DeVig!H675</f>
        <v>92</v>
      </c>
      <c r="H575" s="53" t="str">
        <f>Odds_Input!G675</f>
        <v>BACKFILL_PDF1</v>
      </c>
      <c r="I575" s="42">
        <f>M_DeVig!Q675</f>
        <v>6.3481842831409939E-3</v>
      </c>
      <c r="J575" s="13" t="s">
        <v>33</v>
      </c>
      <c r="K575" s="43">
        <f t="shared" si="130"/>
        <v>15652.535770830109</v>
      </c>
      <c r="L575" s="13" t="s">
        <v>33</v>
      </c>
      <c r="M575" s="13" t="s">
        <v>33</v>
      </c>
      <c r="N575" s="13" t="s">
        <v>33</v>
      </c>
      <c r="O575" s="13" t="s">
        <v>33</v>
      </c>
      <c r="P575" s="13" t="s">
        <v>33</v>
      </c>
      <c r="Q575" s="13" t="s">
        <v>33</v>
      </c>
      <c r="R575" s="13" t="s">
        <v>33</v>
      </c>
      <c r="S575" s="13" t="s">
        <v>33</v>
      </c>
      <c r="T575" s="13" t="s">
        <v>33</v>
      </c>
      <c r="U575" s="13" t="s">
        <v>33</v>
      </c>
      <c r="V575" s="13" t="s">
        <v>33</v>
      </c>
      <c r="W575" s="6" t="b">
        <v>0</v>
      </c>
      <c r="X575" s="6" t="s">
        <v>1301</v>
      </c>
      <c r="Y575" s="6" t="s">
        <v>1326</v>
      </c>
      <c r="Z575" s="6">
        <v>667</v>
      </c>
      <c r="AA575" s="7" t="str">
        <f t="shared" si="131"/>
        <v>OK - sims match current assumptions</v>
      </c>
      <c r="AB575" s="13" t="s">
        <v>33</v>
      </c>
      <c r="AC575" s="13" t="s">
        <v>33</v>
      </c>
      <c r="AD575" s="13" t="s">
        <v>33</v>
      </c>
      <c r="AE575" s="13" t="s">
        <v>33</v>
      </c>
      <c r="AF575" s="13" t="s">
        <v>33</v>
      </c>
      <c r="AG575" s="13" t="s">
        <v>33</v>
      </c>
      <c r="AH575" s="6" t="b">
        <v>0</v>
      </c>
      <c r="AI575" s="13" t="s">
        <v>33</v>
      </c>
      <c r="AJ575" s="13" t="s">
        <v>33</v>
      </c>
      <c r="AK575" s="13" t="s">
        <v>33</v>
      </c>
      <c r="AL575" s="6">
        <v>0</v>
      </c>
      <c r="AM575" s="13" t="s">
        <v>33</v>
      </c>
    </row>
    <row r="576" spans="1:39" ht="15" customHeight="1" x14ac:dyDescent="0.3">
      <c r="A576" s="6" t="s">
        <v>502</v>
      </c>
      <c r="B576" s="7" t="str">
        <f>Odds_Input!C676</f>
        <v>Tyrese Maxey</v>
      </c>
      <c r="C576" s="6" t="s">
        <v>33</v>
      </c>
      <c r="D576" s="7" t="str">
        <f>Odds_Input!D676</f>
        <v>YES</v>
      </c>
      <c r="E576" s="31" t="str">
        <f>Odds_Input!E676</f>
        <v>-</v>
      </c>
      <c r="F576" s="32">
        <f>Odds_Input!F676</f>
        <v>15000</v>
      </c>
      <c r="G576" s="36">
        <f>M_DeVig!H676</f>
        <v>151</v>
      </c>
      <c r="H576" s="7" t="str">
        <f>Odds_Input!G676</f>
        <v>-</v>
      </c>
      <c r="I576" s="42">
        <f>M_DeVig!Q676</f>
        <v>3.0103720150381425E-3</v>
      </c>
      <c r="J576" s="13" t="s">
        <v>33</v>
      </c>
      <c r="K576" s="43">
        <f t="shared" si="130"/>
        <v>33118.485788618709</v>
      </c>
      <c r="L576" s="13" t="s">
        <v>33</v>
      </c>
      <c r="M576" s="13" t="s">
        <v>33</v>
      </c>
      <c r="N576" s="13" t="s">
        <v>33</v>
      </c>
      <c r="O576" s="13" t="s">
        <v>33</v>
      </c>
      <c r="P576" s="13" t="s">
        <v>33</v>
      </c>
      <c r="Q576" s="13" t="s">
        <v>33</v>
      </c>
      <c r="R576" s="13" t="s">
        <v>33</v>
      </c>
      <c r="S576" s="13" t="s">
        <v>33</v>
      </c>
      <c r="T576" s="13" t="s">
        <v>33</v>
      </c>
      <c r="U576" s="13" t="s">
        <v>33</v>
      </c>
      <c r="V576" s="13" t="s">
        <v>33</v>
      </c>
      <c r="W576" s="6" t="b">
        <v>0</v>
      </c>
      <c r="X576" s="6" t="s">
        <v>1301</v>
      </c>
      <c r="Y576" s="6" t="s">
        <v>1326</v>
      </c>
      <c r="Z576" s="6">
        <v>668</v>
      </c>
      <c r="AA576" s="7" t="str">
        <f t="shared" si="131"/>
        <v>OK - sims match current assumptions</v>
      </c>
      <c r="AB576" s="13" t="s">
        <v>33</v>
      </c>
      <c r="AC576" s="13" t="s">
        <v>33</v>
      </c>
      <c r="AD576" s="13" t="s">
        <v>33</v>
      </c>
      <c r="AE576" s="13" t="s">
        <v>33</v>
      </c>
      <c r="AF576" s="13" t="s">
        <v>33</v>
      </c>
      <c r="AG576" s="13" t="s">
        <v>33</v>
      </c>
      <c r="AH576" s="6" t="b">
        <v>0</v>
      </c>
      <c r="AI576" s="13" t="s">
        <v>33</v>
      </c>
      <c r="AJ576" s="13" t="s">
        <v>33</v>
      </c>
      <c r="AK576" s="13" t="s">
        <v>33</v>
      </c>
      <c r="AL576" s="6">
        <v>0</v>
      </c>
      <c r="AM576" s="13" t="s">
        <v>33</v>
      </c>
    </row>
    <row r="577" spans="1:39" ht="15" customHeight="1" x14ac:dyDescent="0.3">
      <c r="A577" s="6" t="s">
        <v>502</v>
      </c>
      <c r="B577" s="7" t="str">
        <f>Odds_Input!C677</f>
        <v>Tyrese Haliburton</v>
      </c>
      <c r="C577" s="6" t="s">
        <v>33</v>
      </c>
      <c r="D577" s="7" t="str">
        <f>Odds_Input!D677</f>
        <v>YES</v>
      </c>
      <c r="E577" s="31" t="str">
        <f>Odds_Input!E677</f>
        <v>-</v>
      </c>
      <c r="F577" s="32">
        <f>Odds_Input!F677</f>
        <v>11000</v>
      </c>
      <c r="G577" s="36">
        <f>M_DeVig!H677</f>
        <v>111</v>
      </c>
      <c r="H577" s="7" t="str">
        <f>Odds_Input!G677</f>
        <v>-</v>
      </c>
      <c r="I577" s="42">
        <f>M_DeVig!Q677</f>
        <v>4.8366581634564912E-3</v>
      </c>
      <c r="J577" s="13" t="s">
        <v>33</v>
      </c>
      <c r="K577" s="43">
        <f t="shared" si="130"/>
        <v>20575.432627336133</v>
      </c>
      <c r="L577" s="13" t="s">
        <v>33</v>
      </c>
      <c r="M577" s="13" t="s">
        <v>33</v>
      </c>
      <c r="N577" s="13" t="s">
        <v>33</v>
      </c>
      <c r="O577" s="13" t="s">
        <v>33</v>
      </c>
      <c r="P577" s="13" t="s">
        <v>33</v>
      </c>
      <c r="Q577" s="13" t="s">
        <v>33</v>
      </c>
      <c r="R577" s="13" t="s">
        <v>33</v>
      </c>
      <c r="S577" s="13" t="s">
        <v>33</v>
      </c>
      <c r="T577" s="13" t="s">
        <v>33</v>
      </c>
      <c r="U577" s="13" t="s">
        <v>33</v>
      </c>
      <c r="V577" s="13" t="s">
        <v>33</v>
      </c>
      <c r="W577" s="6" t="b">
        <v>0</v>
      </c>
      <c r="X577" s="6" t="s">
        <v>1301</v>
      </c>
      <c r="Y577" s="6" t="s">
        <v>1326</v>
      </c>
      <c r="Z577" s="6">
        <v>669</v>
      </c>
      <c r="AA577" s="7" t="str">
        <f t="shared" si="131"/>
        <v>OK - sims match current assumptions</v>
      </c>
      <c r="AB577" s="13" t="s">
        <v>33</v>
      </c>
      <c r="AC577" s="13" t="s">
        <v>33</v>
      </c>
      <c r="AD577" s="13" t="s">
        <v>33</v>
      </c>
      <c r="AE577" s="13" t="s">
        <v>33</v>
      </c>
      <c r="AF577" s="13" t="s">
        <v>33</v>
      </c>
      <c r="AG577" s="13" t="s">
        <v>33</v>
      </c>
      <c r="AH577" s="6" t="b">
        <v>0</v>
      </c>
      <c r="AI577" s="13" t="s">
        <v>33</v>
      </c>
      <c r="AJ577" s="13" t="s">
        <v>33</v>
      </c>
      <c r="AK577" s="13" t="s">
        <v>33</v>
      </c>
      <c r="AL577" s="6">
        <v>0</v>
      </c>
      <c r="AM577" s="13" t="s">
        <v>33</v>
      </c>
    </row>
    <row r="578" spans="1:39" ht="15" customHeight="1" x14ac:dyDescent="0.3">
      <c r="A578" s="6" t="s">
        <v>502</v>
      </c>
      <c r="B578" s="7" t="str">
        <f>Odds_Input!C678</f>
        <v>Ty Jerome</v>
      </c>
      <c r="C578" s="6" t="s">
        <v>33</v>
      </c>
      <c r="D578" s="7" t="str">
        <f>Odds_Input!D678</f>
        <v>YES</v>
      </c>
      <c r="E578" s="31" t="str">
        <f>Odds_Input!E678</f>
        <v>-</v>
      </c>
      <c r="F578" s="32">
        <f>Odds_Input!F678</f>
        <v>13000</v>
      </c>
      <c r="G578" s="36">
        <f>M_DeVig!H678</f>
        <v>131</v>
      </c>
      <c r="H578" s="7" t="str">
        <f>Odds_Input!G678</f>
        <v>-</v>
      </c>
      <c r="I578" s="42">
        <f>M_DeVig!Q678</f>
        <v>3.7639510666591619E-3</v>
      </c>
      <c r="J578" s="13" t="s">
        <v>33</v>
      </c>
      <c r="K578" s="43">
        <f t="shared" si="130"/>
        <v>26467.826793975517</v>
      </c>
      <c r="L578" s="13" t="s">
        <v>33</v>
      </c>
      <c r="M578" s="13" t="s">
        <v>33</v>
      </c>
      <c r="N578" s="13" t="s">
        <v>33</v>
      </c>
      <c r="O578" s="13" t="s">
        <v>33</v>
      </c>
      <c r="P578" s="13" t="s">
        <v>33</v>
      </c>
      <c r="Q578" s="13" t="s">
        <v>33</v>
      </c>
      <c r="R578" s="13" t="s">
        <v>33</v>
      </c>
      <c r="S578" s="13" t="s">
        <v>33</v>
      </c>
      <c r="T578" s="13" t="s">
        <v>33</v>
      </c>
      <c r="U578" s="13" t="s">
        <v>33</v>
      </c>
      <c r="V578" s="13" t="s">
        <v>33</v>
      </c>
      <c r="W578" s="6" t="b">
        <v>0</v>
      </c>
      <c r="X578" s="6" t="s">
        <v>1301</v>
      </c>
      <c r="Y578" s="6" t="s">
        <v>1326</v>
      </c>
      <c r="Z578" s="6">
        <v>670</v>
      </c>
      <c r="AA578" s="7" t="str">
        <f t="shared" si="131"/>
        <v>OK - sims match current assumptions</v>
      </c>
      <c r="AB578" s="13" t="s">
        <v>33</v>
      </c>
      <c r="AC578" s="13" t="s">
        <v>33</v>
      </c>
      <c r="AD578" s="13" t="s">
        <v>33</v>
      </c>
      <c r="AE578" s="13" t="s">
        <v>33</v>
      </c>
      <c r="AF578" s="13" t="s">
        <v>33</v>
      </c>
      <c r="AG578" s="13" t="s">
        <v>33</v>
      </c>
      <c r="AH578" s="6" t="b">
        <v>0</v>
      </c>
      <c r="AI578" s="13" t="s">
        <v>33</v>
      </c>
      <c r="AJ578" s="13" t="s">
        <v>33</v>
      </c>
      <c r="AK578" s="13" t="s">
        <v>33</v>
      </c>
      <c r="AL578" s="6">
        <v>0</v>
      </c>
      <c r="AM578" s="13" t="s">
        <v>33</v>
      </c>
    </row>
    <row r="579" spans="1:39" ht="15" customHeight="1" x14ac:dyDescent="0.3">
      <c r="A579" s="6" t="s">
        <v>502</v>
      </c>
      <c r="B579" s="7" t="str">
        <f>Odds_Input!C679</f>
        <v>Payton Pritchard</v>
      </c>
      <c r="C579" s="6" t="s">
        <v>33</v>
      </c>
      <c r="D579" s="7" t="str">
        <f>Odds_Input!D679</f>
        <v>YES</v>
      </c>
      <c r="E579" s="31" t="str">
        <f>Odds_Input!E679</f>
        <v>-</v>
      </c>
      <c r="F579" s="32">
        <f>Odds_Input!F679</f>
        <v>10000</v>
      </c>
      <c r="G579" s="36">
        <f>M_DeVig!H679</f>
        <v>101</v>
      </c>
      <c r="H579" s="7" t="str">
        <f>Odds_Input!G679</f>
        <v>-</v>
      </c>
      <c r="I579" s="42">
        <f>M_DeVig!Q679</f>
        <v>5.5541982362832948E-3</v>
      </c>
      <c r="J579" s="13" t="s">
        <v>33</v>
      </c>
      <c r="K579" s="43">
        <f t="shared" si="130"/>
        <v>17904.398789143157</v>
      </c>
      <c r="L579" s="13" t="s">
        <v>33</v>
      </c>
      <c r="M579" s="13" t="s">
        <v>33</v>
      </c>
      <c r="N579" s="13" t="s">
        <v>33</v>
      </c>
      <c r="O579" s="13" t="s">
        <v>33</v>
      </c>
      <c r="P579" s="13" t="s">
        <v>33</v>
      </c>
      <c r="Q579" s="13" t="s">
        <v>33</v>
      </c>
      <c r="R579" s="13" t="s">
        <v>33</v>
      </c>
      <c r="S579" s="13" t="s">
        <v>33</v>
      </c>
      <c r="T579" s="13" t="s">
        <v>33</v>
      </c>
      <c r="U579" s="13" t="s">
        <v>33</v>
      </c>
      <c r="V579" s="13" t="s">
        <v>33</v>
      </c>
      <c r="W579" s="6" t="b">
        <v>0</v>
      </c>
      <c r="X579" s="6" t="s">
        <v>1301</v>
      </c>
      <c r="Y579" s="6" t="s">
        <v>1326</v>
      </c>
      <c r="Z579" s="6">
        <v>671</v>
      </c>
      <c r="AA579" s="7" t="str">
        <f t="shared" si="131"/>
        <v>OK - sims match current assumptions</v>
      </c>
      <c r="AB579" s="13" t="s">
        <v>33</v>
      </c>
      <c r="AC579" s="13" t="s">
        <v>33</v>
      </c>
      <c r="AD579" s="13" t="s">
        <v>33</v>
      </c>
      <c r="AE579" s="13" t="s">
        <v>33</v>
      </c>
      <c r="AF579" s="13" t="s">
        <v>33</v>
      </c>
      <c r="AG579" s="13" t="s">
        <v>33</v>
      </c>
      <c r="AH579" s="6" t="b">
        <v>0</v>
      </c>
      <c r="AI579" s="13" t="s">
        <v>33</v>
      </c>
      <c r="AJ579" s="13" t="s">
        <v>33</v>
      </c>
      <c r="AK579" s="13" t="s">
        <v>33</v>
      </c>
      <c r="AL579" s="6">
        <v>0</v>
      </c>
      <c r="AM579" s="13" t="s">
        <v>33</v>
      </c>
    </row>
    <row r="580" spans="1:39" ht="15" customHeight="1" x14ac:dyDescent="0.3">
      <c r="A580" s="6" t="s">
        <v>502</v>
      </c>
      <c r="B580" s="7" t="str">
        <f>Odds_Input!C680</f>
        <v>Derrick White</v>
      </c>
      <c r="C580" s="6" t="s">
        <v>33</v>
      </c>
      <c r="D580" s="7" t="str">
        <f>Odds_Input!D680</f>
        <v>YES</v>
      </c>
      <c r="E580" s="31" t="str">
        <f>Odds_Input!E680</f>
        <v>-</v>
      </c>
      <c r="F580" s="32">
        <f>Odds_Input!F680</f>
        <v>10000</v>
      </c>
      <c r="G580" s="36">
        <f>M_DeVig!H680</f>
        <v>101</v>
      </c>
      <c r="H580" s="7" t="str">
        <f>Odds_Input!G680</f>
        <v>-</v>
      </c>
      <c r="I580" s="42">
        <f>M_DeVig!Q680</f>
        <v>5.5541982362832948E-3</v>
      </c>
      <c r="J580" s="13" t="s">
        <v>33</v>
      </c>
      <c r="K580" s="43">
        <f t="shared" si="130"/>
        <v>17904.398789143157</v>
      </c>
      <c r="L580" s="13" t="s">
        <v>33</v>
      </c>
      <c r="M580" s="13" t="s">
        <v>33</v>
      </c>
      <c r="N580" s="13" t="s">
        <v>33</v>
      </c>
      <c r="O580" s="13" t="s">
        <v>33</v>
      </c>
      <c r="P580" s="13" t="s">
        <v>33</v>
      </c>
      <c r="Q580" s="13" t="s">
        <v>33</v>
      </c>
      <c r="R580" s="13" t="s">
        <v>33</v>
      </c>
      <c r="S580" s="13" t="s">
        <v>33</v>
      </c>
      <c r="T580" s="13" t="s">
        <v>33</v>
      </c>
      <c r="U580" s="13" t="s">
        <v>33</v>
      </c>
      <c r="V580" s="13" t="s">
        <v>33</v>
      </c>
      <c r="W580" s="6" t="b">
        <v>0</v>
      </c>
      <c r="X580" s="6" t="s">
        <v>1301</v>
      </c>
      <c r="Y580" s="6" t="s">
        <v>1326</v>
      </c>
      <c r="Z580" s="6">
        <v>672</v>
      </c>
      <c r="AA580" s="7" t="str">
        <f t="shared" si="131"/>
        <v>OK - sims match current assumptions</v>
      </c>
      <c r="AB580" s="13" t="s">
        <v>33</v>
      </c>
      <c r="AC580" s="13" t="s">
        <v>33</v>
      </c>
      <c r="AD580" s="13" t="s">
        <v>33</v>
      </c>
      <c r="AE580" s="13" t="s">
        <v>33</v>
      </c>
      <c r="AF580" s="13" t="s">
        <v>33</v>
      </c>
      <c r="AG580" s="13" t="s">
        <v>33</v>
      </c>
      <c r="AH580" s="6" t="b">
        <v>0</v>
      </c>
      <c r="AI580" s="13" t="s">
        <v>33</v>
      </c>
      <c r="AJ580" s="13" t="s">
        <v>33</v>
      </c>
      <c r="AK580" s="13" t="s">
        <v>33</v>
      </c>
      <c r="AL580" s="6">
        <v>0</v>
      </c>
      <c r="AM580" s="13" t="s">
        <v>33</v>
      </c>
    </row>
    <row r="581" spans="1:39" ht="15" customHeight="1" x14ac:dyDescent="0.3">
      <c r="A581" s="6" t="s">
        <v>502</v>
      </c>
      <c r="B581" s="7" t="str">
        <f>Odds_Input!C681</f>
        <v>Darius Garland</v>
      </c>
      <c r="C581" s="6" t="s">
        <v>33</v>
      </c>
      <c r="D581" s="7" t="str">
        <f>Odds_Input!D681</f>
        <v>YES</v>
      </c>
      <c r="E581" s="31" t="str">
        <f>Odds_Input!E681</f>
        <v>-</v>
      </c>
      <c r="F581" s="32">
        <f>Odds_Input!F681</f>
        <v>12000</v>
      </c>
      <c r="G581" s="36">
        <f>M_DeVig!H681</f>
        <v>121</v>
      </c>
      <c r="H581" s="7" t="str">
        <f>Odds_Input!G681</f>
        <v>-</v>
      </c>
      <c r="I581" s="42">
        <f>M_DeVig!Q681</f>
        <v>4.2501498158719698E-3</v>
      </c>
      <c r="J581" s="13" t="s">
        <v>33</v>
      </c>
      <c r="K581" s="43">
        <f t="shared" si="130"/>
        <v>23428.582363509882</v>
      </c>
      <c r="L581" s="13" t="s">
        <v>33</v>
      </c>
      <c r="M581" s="13" t="s">
        <v>33</v>
      </c>
      <c r="N581" s="13" t="s">
        <v>33</v>
      </c>
      <c r="O581" s="13" t="s">
        <v>33</v>
      </c>
      <c r="P581" s="13" t="s">
        <v>33</v>
      </c>
      <c r="Q581" s="13" t="s">
        <v>33</v>
      </c>
      <c r="R581" s="13" t="s">
        <v>33</v>
      </c>
      <c r="S581" s="13" t="s">
        <v>33</v>
      </c>
      <c r="T581" s="13" t="s">
        <v>33</v>
      </c>
      <c r="U581" s="13" t="s">
        <v>33</v>
      </c>
      <c r="V581" s="13" t="s">
        <v>33</v>
      </c>
      <c r="W581" s="6" t="b">
        <v>0</v>
      </c>
      <c r="X581" s="6" t="s">
        <v>1301</v>
      </c>
      <c r="Y581" s="6" t="s">
        <v>1326</v>
      </c>
      <c r="Z581" s="6">
        <v>673</v>
      </c>
      <c r="AA581" s="7" t="str">
        <f t="shared" si="131"/>
        <v>OK - sims match current assumptions</v>
      </c>
      <c r="AB581" s="13" t="s">
        <v>33</v>
      </c>
      <c r="AC581" s="13" t="s">
        <v>33</v>
      </c>
      <c r="AD581" s="13" t="s">
        <v>33</v>
      </c>
      <c r="AE581" s="13" t="s">
        <v>33</v>
      </c>
      <c r="AF581" s="13" t="s">
        <v>33</v>
      </c>
      <c r="AG581" s="13" t="s">
        <v>33</v>
      </c>
      <c r="AH581" s="6" t="b">
        <v>0</v>
      </c>
      <c r="AI581" s="13" t="s">
        <v>33</v>
      </c>
      <c r="AJ581" s="13" t="s">
        <v>33</v>
      </c>
      <c r="AK581" s="13" t="s">
        <v>33</v>
      </c>
      <c r="AL581" s="6">
        <v>0</v>
      </c>
      <c r="AM581" s="13" t="s">
        <v>33</v>
      </c>
    </row>
    <row r="582" spans="1:39" ht="15" customHeight="1" x14ac:dyDescent="0.3">
      <c r="A582" s="6" t="s">
        <v>502</v>
      </c>
      <c r="B582" s="7" t="str">
        <f>Odds_Input!C682</f>
        <v>Reed Sheppard</v>
      </c>
      <c r="C582" s="6" t="s">
        <v>33</v>
      </c>
      <c r="D582" s="7" t="str">
        <f>Odds_Input!D682</f>
        <v>YES</v>
      </c>
      <c r="E582" s="31" t="str">
        <f>Odds_Input!E682</f>
        <v>-</v>
      </c>
      <c r="F582" s="32">
        <f>Odds_Input!F682</f>
        <v>15000</v>
      </c>
      <c r="G582" s="36">
        <f>M_DeVig!H682</f>
        <v>151</v>
      </c>
      <c r="H582" s="7" t="str">
        <f>Odds_Input!G682</f>
        <v>-</v>
      </c>
      <c r="I582" s="42">
        <f>M_DeVig!Q682</f>
        <v>3.0103720150381425E-3</v>
      </c>
      <c r="J582" s="13" t="s">
        <v>33</v>
      </c>
      <c r="K582" s="43">
        <f t="shared" si="130"/>
        <v>33118.485788618709</v>
      </c>
      <c r="L582" s="13" t="s">
        <v>33</v>
      </c>
      <c r="M582" s="13" t="s">
        <v>33</v>
      </c>
      <c r="N582" s="13" t="s">
        <v>33</v>
      </c>
      <c r="O582" s="13" t="s">
        <v>33</v>
      </c>
      <c r="P582" s="13" t="s">
        <v>33</v>
      </c>
      <c r="Q582" s="13" t="s">
        <v>33</v>
      </c>
      <c r="R582" s="13" t="s">
        <v>33</v>
      </c>
      <c r="S582" s="13" t="s">
        <v>33</v>
      </c>
      <c r="T582" s="13" t="s">
        <v>33</v>
      </c>
      <c r="U582" s="13" t="s">
        <v>33</v>
      </c>
      <c r="V582" s="13" t="s">
        <v>33</v>
      </c>
      <c r="W582" s="6" t="b">
        <v>0</v>
      </c>
      <c r="X582" s="6" t="s">
        <v>1301</v>
      </c>
      <c r="Y582" s="6" t="s">
        <v>1326</v>
      </c>
      <c r="Z582" s="6">
        <v>674</v>
      </c>
      <c r="AA582" s="7" t="str">
        <f t="shared" si="131"/>
        <v>OK - sims match current assumptions</v>
      </c>
      <c r="AB582" s="13" t="s">
        <v>33</v>
      </c>
      <c r="AC582" s="13" t="s">
        <v>33</v>
      </c>
      <c r="AD582" s="13" t="s">
        <v>33</v>
      </c>
      <c r="AE582" s="13" t="s">
        <v>33</v>
      </c>
      <c r="AF582" s="13" t="s">
        <v>33</v>
      </c>
      <c r="AG582" s="13" t="s">
        <v>33</v>
      </c>
      <c r="AH582" s="6" t="b">
        <v>0</v>
      </c>
      <c r="AI582" s="13" t="s">
        <v>33</v>
      </c>
      <c r="AJ582" s="13" t="s">
        <v>33</v>
      </c>
      <c r="AK582" s="13" t="s">
        <v>33</v>
      </c>
      <c r="AL582" s="6">
        <v>0</v>
      </c>
      <c r="AM582" s="13" t="s">
        <v>33</v>
      </c>
    </row>
    <row r="583" spans="1:39" ht="15" customHeight="1" x14ac:dyDescent="0.3">
      <c r="A583" s="6" t="s">
        <v>502</v>
      </c>
      <c r="B583" s="7" t="str">
        <f>Odds_Input!C683</f>
        <v>Nickeil Alexander Walker</v>
      </c>
      <c r="C583" s="6" t="s">
        <v>33</v>
      </c>
      <c r="D583" s="7" t="str">
        <f>Odds_Input!D683</f>
        <v>YES</v>
      </c>
      <c r="E583" s="31" t="str">
        <f>Odds_Input!E683</f>
        <v>-</v>
      </c>
      <c r="F583" s="32">
        <f>Odds_Input!F683</f>
        <v>16000</v>
      </c>
      <c r="G583" s="36">
        <f>M_DeVig!H683</f>
        <v>161</v>
      </c>
      <c r="H583" s="7" t="str">
        <f>Odds_Input!G683</f>
        <v>-</v>
      </c>
      <c r="I583" s="42">
        <f>M_DeVig!Q683</f>
        <v>2.7147414122927834E-3</v>
      </c>
      <c r="J583" s="13" t="s">
        <v>33</v>
      </c>
      <c r="K583" s="43">
        <f t="shared" si="130"/>
        <v>36735.920926827137</v>
      </c>
      <c r="L583" s="13" t="s">
        <v>33</v>
      </c>
      <c r="M583" s="13" t="s">
        <v>33</v>
      </c>
      <c r="N583" s="13" t="s">
        <v>33</v>
      </c>
      <c r="O583" s="13" t="s">
        <v>33</v>
      </c>
      <c r="P583" s="13" t="s">
        <v>33</v>
      </c>
      <c r="Q583" s="13" t="s">
        <v>33</v>
      </c>
      <c r="R583" s="13" t="s">
        <v>33</v>
      </c>
      <c r="S583" s="13" t="s">
        <v>33</v>
      </c>
      <c r="T583" s="13" t="s">
        <v>33</v>
      </c>
      <c r="U583" s="13" t="s">
        <v>33</v>
      </c>
      <c r="V583" s="13" t="s">
        <v>33</v>
      </c>
      <c r="W583" s="6" t="b">
        <v>0</v>
      </c>
      <c r="X583" s="6" t="s">
        <v>1301</v>
      </c>
      <c r="Y583" s="6" t="s">
        <v>1326</v>
      </c>
      <c r="Z583" s="6">
        <v>675</v>
      </c>
      <c r="AA583" s="7" t="str">
        <f t="shared" si="131"/>
        <v>OK - sims match current assumptions</v>
      </c>
      <c r="AB583" s="13" t="s">
        <v>33</v>
      </c>
      <c r="AC583" s="13" t="s">
        <v>33</v>
      </c>
      <c r="AD583" s="13" t="s">
        <v>33</v>
      </c>
      <c r="AE583" s="13" t="s">
        <v>33</v>
      </c>
      <c r="AF583" s="13" t="s">
        <v>33</v>
      </c>
      <c r="AG583" s="13" t="s">
        <v>33</v>
      </c>
      <c r="AH583" s="6" t="b">
        <v>0</v>
      </c>
      <c r="AI583" s="13" t="s">
        <v>33</v>
      </c>
      <c r="AJ583" s="13" t="s">
        <v>33</v>
      </c>
      <c r="AK583" s="13" t="s">
        <v>33</v>
      </c>
      <c r="AL583" s="6">
        <v>0</v>
      </c>
      <c r="AM583" s="13" t="s">
        <v>33</v>
      </c>
    </row>
    <row r="584" spans="1:39" ht="15" customHeight="1" x14ac:dyDescent="0.3">
      <c r="A584" s="6" t="s">
        <v>502</v>
      </c>
      <c r="B584" s="7" t="str">
        <f>Odds_Input!C684</f>
        <v>Kyrie Irving</v>
      </c>
      <c r="C584" s="6" t="s">
        <v>33</v>
      </c>
      <c r="D584" s="7" t="str">
        <f>Odds_Input!D684</f>
        <v>YES</v>
      </c>
      <c r="E584" s="31" t="str">
        <f>Odds_Input!E684</f>
        <v>-</v>
      </c>
      <c r="F584" s="32">
        <f>Odds_Input!F684</f>
        <v>16000</v>
      </c>
      <c r="G584" s="36">
        <f>M_DeVig!H684</f>
        <v>161</v>
      </c>
      <c r="H584" s="7" t="str">
        <f>Odds_Input!G684</f>
        <v>-</v>
      </c>
      <c r="I584" s="42">
        <f>M_DeVig!Q684</f>
        <v>2.7147414122927834E-3</v>
      </c>
      <c r="J584" s="13" t="s">
        <v>33</v>
      </c>
      <c r="K584" s="43">
        <f t="shared" si="130"/>
        <v>36735.920926827137</v>
      </c>
      <c r="L584" s="13" t="s">
        <v>33</v>
      </c>
      <c r="M584" s="13" t="s">
        <v>33</v>
      </c>
      <c r="N584" s="13" t="s">
        <v>33</v>
      </c>
      <c r="O584" s="13" t="s">
        <v>33</v>
      </c>
      <c r="P584" s="13" t="s">
        <v>33</v>
      </c>
      <c r="Q584" s="13" t="s">
        <v>33</v>
      </c>
      <c r="R584" s="13" t="s">
        <v>33</v>
      </c>
      <c r="S584" s="13" t="s">
        <v>33</v>
      </c>
      <c r="T584" s="13" t="s">
        <v>33</v>
      </c>
      <c r="U584" s="13" t="s">
        <v>33</v>
      </c>
      <c r="V584" s="13" t="s">
        <v>33</v>
      </c>
      <c r="W584" s="6" t="b">
        <v>0</v>
      </c>
      <c r="X584" s="6" t="s">
        <v>1301</v>
      </c>
      <c r="Y584" s="6" t="s">
        <v>1326</v>
      </c>
      <c r="Z584" s="6">
        <v>676</v>
      </c>
      <c r="AA584" s="7" t="str">
        <f t="shared" si="131"/>
        <v>OK - sims match current assumptions</v>
      </c>
      <c r="AB584" s="13" t="s">
        <v>33</v>
      </c>
      <c r="AC584" s="13" t="s">
        <v>33</v>
      </c>
      <c r="AD584" s="13" t="s">
        <v>33</v>
      </c>
      <c r="AE584" s="13" t="s">
        <v>33</v>
      </c>
      <c r="AF584" s="13" t="s">
        <v>33</v>
      </c>
      <c r="AG584" s="13" t="s">
        <v>33</v>
      </c>
      <c r="AH584" s="6" t="b">
        <v>0</v>
      </c>
      <c r="AI584" s="13" t="s">
        <v>33</v>
      </c>
      <c r="AJ584" s="13" t="s">
        <v>33</v>
      </c>
      <c r="AK584" s="13" t="s">
        <v>33</v>
      </c>
      <c r="AL584" s="6">
        <v>0</v>
      </c>
      <c r="AM584" s="13" t="s">
        <v>33</v>
      </c>
    </row>
    <row r="585" spans="1:39" ht="15" customHeight="1" x14ac:dyDescent="0.3">
      <c r="A585" s="6" t="s">
        <v>502</v>
      </c>
      <c r="B585" s="7" t="str">
        <f>Odds_Input!C685</f>
        <v>Norman Powell</v>
      </c>
      <c r="C585" s="6" t="s">
        <v>33</v>
      </c>
      <c r="D585" s="7" t="str">
        <f>Odds_Input!D685</f>
        <v>YES</v>
      </c>
      <c r="E585" s="31" t="str">
        <f>Odds_Input!E685</f>
        <v>-</v>
      </c>
      <c r="F585" s="32">
        <f>Odds_Input!F685</f>
        <v>17000</v>
      </c>
      <c r="G585" s="36">
        <f>M_DeVig!H685</f>
        <v>171</v>
      </c>
      <c r="H585" s="7" t="str">
        <f>Odds_Input!G685</f>
        <v>-</v>
      </c>
      <c r="I585" s="42">
        <f>M_DeVig!Q685</f>
        <v>2.4599304569283761E-3</v>
      </c>
      <c r="J585" s="13" t="s">
        <v>33</v>
      </c>
      <c r="K585" s="43">
        <f t="shared" si="130"/>
        <v>40551.555704898376</v>
      </c>
      <c r="L585" s="13" t="s">
        <v>33</v>
      </c>
      <c r="M585" s="13" t="s">
        <v>33</v>
      </c>
      <c r="N585" s="13" t="s">
        <v>33</v>
      </c>
      <c r="O585" s="13" t="s">
        <v>33</v>
      </c>
      <c r="P585" s="13" t="s">
        <v>33</v>
      </c>
      <c r="Q585" s="13" t="s">
        <v>33</v>
      </c>
      <c r="R585" s="13" t="s">
        <v>33</v>
      </c>
      <c r="S585" s="13" t="s">
        <v>33</v>
      </c>
      <c r="T585" s="13" t="s">
        <v>33</v>
      </c>
      <c r="U585" s="13" t="s">
        <v>33</v>
      </c>
      <c r="V585" s="13" t="s">
        <v>33</v>
      </c>
      <c r="W585" s="6" t="b">
        <v>0</v>
      </c>
      <c r="X585" s="6" t="s">
        <v>1301</v>
      </c>
      <c r="Y585" s="6" t="s">
        <v>1326</v>
      </c>
      <c r="Z585" s="6">
        <v>677</v>
      </c>
      <c r="AA585" s="7" t="str">
        <f t="shared" si="131"/>
        <v>OK - sims match current assumptions</v>
      </c>
      <c r="AB585" s="13" t="s">
        <v>33</v>
      </c>
      <c r="AC585" s="13" t="s">
        <v>33</v>
      </c>
      <c r="AD585" s="13" t="s">
        <v>33</v>
      </c>
      <c r="AE585" s="13" t="s">
        <v>33</v>
      </c>
      <c r="AF585" s="13" t="s">
        <v>33</v>
      </c>
      <c r="AG585" s="13" t="s">
        <v>33</v>
      </c>
      <c r="AH585" s="6" t="b">
        <v>0</v>
      </c>
      <c r="AI585" s="13" t="s">
        <v>33</v>
      </c>
      <c r="AJ585" s="13" t="s">
        <v>33</v>
      </c>
      <c r="AK585" s="13" t="s">
        <v>33</v>
      </c>
      <c r="AL585" s="6">
        <v>0</v>
      </c>
      <c r="AM585" s="13" t="s">
        <v>33</v>
      </c>
    </row>
    <row r="586" spans="1:39" ht="15" customHeight="1" x14ac:dyDescent="0.3">
      <c r="A586" s="6" t="s">
        <v>502</v>
      </c>
      <c r="B586" s="7" t="str">
        <f>Odds_Input!C686</f>
        <v>Lauri Markkanen</v>
      </c>
      <c r="C586" s="6" t="s">
        <v>33</v>
      </c>
      <c r="D586" s="7" t="str">
        <f>Odds_Input!D686</f>
        <v>YES</v>
      </c>
      <c r="E586" s="31" t="str">
        <f>Odds_Input!E686</f>
        <v>-</v>
      </c>
      <c r="F586" s="32">
        <f>Odds_Input!F686</f>
        <v>20000</v>
      </c>
      <c r="G586" s="36">
        <f>M_DeVig!H686</f>
        <v>201</v>
      </c>
      <c r="H586" s="7" t="str">
        <f>Odds_Input!G686</f>
        <v>-</v>
      </c>
      <c r="I586" s="42">
        <f>M_DeVig!Q686</f>
        <v>1.8758660694661402E-3</v>
      </c>
      <c r="J586" s="13" t="s">
        <v>33</v>
      </c>
      <c r="K586" s="43">
        <f t="shared" si="130"/>
        <v>53208.709842200718</v>
      </c>
      <c r="L586" s="13" t="s">
        <v>33</v>
      </c>
      <c r="M586" s="13" t="s">
        <v>33</v>
      </c>
      <c r="N586" s="13" t="s">
        <v>33</v>
      </c>
      <c r="O586" s="13" t="s">
        <v>33</v>
      </c>
      <c r="P586" s="13" t="s">
        <v>33</v>
      </c>
      <c r="Q586" s="13" t="s">
        <v>33</v>
      </c>
      <c r="R586" s="13" t="s">
        <v>33</v>
      </c>
      <c r="S586" s="13" t="s">
        <v>33</v>
      </c>
      <c r="T586" s="13" t="s">
        <v>33</v>
      </c>
      <c r="U586" s="13" t="s">
        <v>33</v>
      </c>
      <c r="V586" s="13" t="s">
        <v>33</v>
      </c>
      <c r="W586" s="6" t="b">
        <v>0</v>
      </c>
      <c r="X586" s="6" t="s">
        <v>1301</v>
      </c>
      <c r="Y586" s="6" t="s">
        <v>1326</v>
      </c>
      <c r="Z586" s="6">
        <v>678</v>
      </c>
      <c r="AA586" s="7" t="str">
        <f t="shared" si="131"/>
        <v>OK - sims match current assumptions</v>
      </c>
      <c r="AB586" s="13" t="s">
        <v>33</v>
      </c>
      <c r="AC586" s="13" t="s">
        <v>33</v>
      </c>
      <c r="AD586" s="13" t="s">
        <v>33</v>
      </c>
      <c r="AE586" s="13" t="s">
        <v>33</v>
      </c>
      <c r="AF586" s="13" t="s">
        <v>33</v>
      </c>
      <c r="AG586" s="13" t="s">
        <v>33</v>
      </c>
      <c r="AH586" s="6" t="b">
        <v>0</v>
      </c>
      <c r="AI586" s="13" t="s">
        <v>33</v>
      </c>
      <c r="AJ586" s="13" t="s">
        <v>33</v>
      </c>
      <c r="AK586" s="13" t="s">
        <v>33</v>
      </c>
      <c r="AL586" s="6">
        <v>0</v>
      </c>
      <c r="AM586" s="13" t="s">
        <v>33</v>
      </c>
    </row>
    <row r="587" spans="1:39" ht="15" customHeight="1" x14ac:dyDescent="0.3">
      <c r="A587" s="6" t="s">
        <v>502</v>
      </c>
      <c r="B587" s="7" t="str">
        <f>Odds_Input!C687</f>
        <v>Klay Thompson</v>
      </c>
      <c r="C587" s="6" t="s">
        <v>33</v>
      </c>
      <c r="D587" s="7" t="str">
        <f>Odds_Input!D687</f>
        <v>YES</v>
      </c>
      <c r="E587" s="31" t="str">
        <f>Odds_Input!E687</f>
        <v>-</v>
      </c>
      <c r="F587" s="32">
        <f>Odds_Input!F687</f>
        <v>14000</v>
      </c>
      <c r="G587" s="36">
        <f>M_DeVig!H687</f>
        <v>141</v>
      </c>
      <c r="H587" s="7" t="str">
        <f>Odds_Input!G687</f>
        <v>-</v>
      </c>
      <c r="I587" s="42">
        <f>M_DeVig!Q687</f>
        <v>3.3560726436286164E-3</v>
      </c>
      <c r="J587" s="13" t="s">
        <v>33</v>
      </c>
      <c r="K587" s="43">
        <f t="shared" si="130"/>
        <v>29696.732853755835</v>
      </c>
      <c r="L587" s="13" t="s">
        <v>33</v>
      </c>
      <c r="M587" s="13" t="s">
        <v>33</v>
      </c>
      <c r="N587" s="13" t="s">
        <v>33</v>
      </c>
      <c r="O587" s="13" t="s">
        <v>33</v>
      </c>
      <c r="P587" s="13" t="s">
        <v>33</v>
      </c>
      <c r="Q587" s="13" t="s">
        <v>33</v>
      </c>
      <c r="R587" s="13" t="s">
        <v>33</v>
      </c>
      <c r="S587" s="13" t="s">
        <v>33</v>
      </c>
      <c r="T587" s="13" t="s">
        <v>33</v>
      </c>
      <c r="U587" s="13" t="s">
        <v>33</v>
      </c>
      <c r="V587" s="13" t="s">
        <v>33</v>
      </c>
      <c r="W587" s="6" t="b">
        <v>0</v>
      </c>
      <c r="X587" s="6" t="s">
        <v>1301</v>
      </c>
      <c r="Y587" s="6" t="s">
        <v>1326</v>
      </c>
      <c r="Z587" s="6">
        <v>679</v>
      </c>
      <c r="AA587" s="7" t="str">
        <f t="shared" si="131"/>
        <v>OK - sims match current assumptions</v>
      </c>
      <c r="AB587" s="13" t="s">
        <v>33</v>
      </c>
      <c r="AC587" s="13" t="s">
        <v>33</v>
      </c>
      <c r="AD587" s="13" t="s">
        <v>33</v>
      </c>
      <c r="AE587" s="13" t="s">
        <v>33</v>
      </c>
      <c r="AF587" s="13" t="s">
        <v>33</v>
      </c>
      <c r="AG587" s="13" t="s">
        <v>33</v>
      </c>
      <c r="AH587" s="6" t="b">
        <v>0</v>
      </c>
      <c r="AI587" s="13" t="s">
        <v>33</v>
      </c>
      <c r="AJ587" s="13" t="s">
        <v>33</v>
      </c>
      <c r="AK587" s="13" t="s">
        <v>33</v>
      </c>
      <c r="AL587" s="6">
        <v>0</v>
      </c>
      <c r="AM587" s="13" t="s">
        <v>33</v>
      </c>
    </row>
    <row r="588" spans="1:39" ht="15" customHeight="1" x14ac:dyDescent="0.3">
      <c r="A588" s="6" t="s">
        <v>502</v>
      </c>
      <c r="B588" s="7" t="str">
        <f>Odds_Input!C688</f>
        <v>James Harden</v>
      </c>
      <c r="C588" s="6" t="s">
        <v>33</v>
      </c>
      <c r="D588" s="7" t="str">
        <f>Odds_Input!D688</f>
        <v>YES</v>
      </c>
      <c r="E588" s="31" t="str">
        <f>Odds_Input!E688</f>
        <v>-</v>
      </c>
      <c r="F588" s="32">
        <f>Odds_Input!F688</f>
        <v>15000</v>
      </c>
      <c r="G588" s="36">
        <f>M_DeVig!H688</f>
        <v>151</v>
      </c>
      <c r="H588" s="7" t="str">
        <f>Odds_Input!G688</f>
        <v>-</v>
      </c>
      <c r="I588" s="42">
        <f>M_DeVig!Q688</f>
        <v>3.0103720150381425E-3</v>
      </c>
      <c r="J588" s="13" t="s">
        <v>33</v>
      </c>
      <c r="K588" s="43">
        <f t="shared" si="130"/>
        <v>33118.485788618709</v>
      </c>
      <c r="L588" s="13" t="s">
        <v>33</v>
      </c>
      <c r="M588" s="13" t="s">
        <v>33</v>
      </c>
      <c r="N588" s="13" t="s">
        <v>33</v>
      </c>
      <c r="O588" s="13" t="s">
        <v>33</v>
      </c>
      <c r="P588" s="13" t="s">
        <v>33</v>
      </c>
      <c r="Q588" s="13" t="s">
        <v>33</v>
      </c>
      <c r="R588" s="13" t="s">
        <v>33</v>
      </c>
      <c r="S588" s="13" t="s">
        <v>33</v>
      </c>
      <c r="T588" s="13" t="s">
        <v>33</v>
      </c>
      <c r="U588" s="13" t="s">
        <v>33</v>
      </c>
      <c r="V588" s="13" t="s">
        <v>33</v>
      </c>
      <c r="W588" s="6" t="b">
        <v>0</v>
      </c>
      <c r="X588" s="6" t="s">
        <v>1301</v>
      </c>
      <c r="Y588" s="6" t="s">
        <v>1326</v>
      </c>
      <c r="Z588" s="6">
        <v>680</v>
      </c>
      <c r="AA588" s="7" t="str">
        <f t="shared" si="131"/>
        <v>OK - sims match current assumptions</v>
      </c>
      <c r="AB588" s="13" t="s">
        <v>33</v>
      </c>
      <c r="AC588" s="13" t="s">
        <v>33</v>
      </c>
      <c r="AD588" s="13" t="s">
        <v>33</v>
      </c>
      <c r="AE588" s="13" t="s">
        <v>33</v>
      </c>
      <c r="AF588" s="13" t="s">
        <v>33</v>
      </c>
      <c r="AG588" s="13" t="s">
        <v>33</v>
      </c>
      <c r="AH588" s="6" t="b">
        <v>0</v>
      </c>
      <c r="AI588" s="13" t="s">
        <v>33</v>
      </c>
      <c r="AJ588" s="13" t="s">
        <v>33</v>
      </c>
      <c r="AK588" s="13" t="s">
        <v>33</v>
      </c>
      <c r="AL588" s="6">
        <v>0</v>
      </c>
      <c r="AM588" s="13" t="s">
        <v>33</v>
      </c>
    </row>
    <row r="589" spans="1:39" ht="15" customHeight="1" x14ac:dyDescent="0.3">
      <c r="A589" s="6" t="s">
        <v>502</v>
      </c>
      <c r="B589" s="7" t="str">
        <f>Odds_Input!C689</f>
        <v>Grayson Allen</v>
      </c>
      <c r="C589" s="6" t="s">
        <v>33</v>
      </c>
      <c r="D589" s="7" t="str">
        <f>Odds_Input!D689</f>
        <v>YES</v>
      </c>
      <c r="E589" s="31" t="str">
        <f>Odds_Input!E689</f>
        <v>-</v>
      </c>
      <c r="F589" s="32">
        <f>Odds_Input!F689</f>
        <v>20000</v>
      </c>
      <c r="G589" s="36">
        <f>M_DeVig!H689</f>
        <v>201</v>
      </c>
      <c r="H589" s="7" t="str">
        <f>Odds_Input!G689</f>
        <v>-</v>
      </c>
      <c r="I589" s="42">
        <f>M_DeVig!Q689</f>
        <v>1.8758660694661402E-3</v>
      </c>
      <c r="J589" s="13" t="s">
        <v>33</v>
      </c>
      <c r="K589" s="43">
        <f t="shared" si="130"/>
        <v>53208.709842200718</v>
      </c>
      <c r="L589" s="13" t="s">
        <v>33</v>
      </c>
      <c r="M589" s="13" t="s">
        <v>33</v>
      </c>
      <c r="N589" s="13" t="s">
        <v>33</v>
      </c>
      <c r="O589" s="13" t="s">
        <v>33</v>
      </c>
      <c r="P589" s="13" t="s">
        <v>33</v>
      </c>
      <c r="Q589" s="13" t="s">
        <v>33</v>
      </c>
      <c r="R589" s="13" t="s">
        <v>33</v>
      </c>
      <c r="S589" s="13" t="s">
        <v>33</v>
      </c>
      <c r="T589" s="13" t="s">
        <v>33</v>
      </c>
      <c r="U589" s="13" t="s">
        <v>33</v>
      </c>
      <c r="V589" s="13" t="s">
        <v>33</v>
      </c>
      <c r="W589" s="6" t="b">
        <v>0</v>
      </c>
      <c r="X589" s="6" t="s">
        <v>1301</v>
      </c>
      <c r="Y589" s="6" t="s">
        <v>1326</v>
      </c>
      <c r="Z589" s="6">
        <v>681</v>
      </c>
      <c r="AA589" s="7" t="str">
        <f t="shared" si="131"/>
        <v>OK - sims match current assumptions</v>
      </c>
      <c r="AB589" s="13" t="s">
        <v>33</v>
      </c>
      <c r="AC589" s="13" t="s">
        <v>33</v>
      </c>
      <c r="AD589" s="13" t="s">
        <v>33</v>
      </c>
      <c r="AE589" s="13" t="s">
        <v>33</v>
      </c>
      <c r="AF589" s="13" t="s">
        <v>33</v>
      </c>
      <c r="AG589" s="13" t="s">
        <v>33</v>
      </c>
      <c r="AH589" s="6" t="b">
        <v>0</v>
      </c>
      <c r="AI589" s="13" t="s">
        <v>33</v>
      </c>
      <c r="AJ589" s="13" t="s">
        <v>33</v>
      </c>
      <c r="AK589" s="13" t="s">
        <v>33</v>
      </c>
      <c r="AL589" s="6">
        <v>0</v>
      </c>
      <c r="AM589" s="13" t="s">
        <v>33</v>
      </c>
    </row>
    <row r="590" spans="1:39" ht="15" customHeight="1" x14ac:dyDescent="0.3">
      <c r="A590" s="6" t="s">
        <v>502</v>
      </c>
      <c r="B590" s="7" t="str">
        <f>Odds_Input!C690</f>
        <v>Duncan Robinson</v>
      </c>
      <c r="C590" s="6" t="s">
        <v>33</v>
      </c>
      <c r="D590" s="7" t="str">
        <f>Odds_Input!D690</f>
        <v>YES</v>
      </c>
      <c r="E590" s="31" t="str">
        <f>Odds_Input!E690</f>
        <v>-</v>
      </c>
      <c r="F590" s="32">
        <f>Odds_Input!F690</f>
        <v>20000</v>
      </c>
      <c r="G590" s="36">
        <f>M_DeVig!H690</f>
        <v>201</v>
      </c>
      <c r="H590" s="7" t="str">
        <f>Odds_Input!G690</f>
        <v>-</v>
      </c>
      <c r="I590" s="42">
        <f>M_DeVig!Q690</f>
        <v>1.8758660694661402E-3</v>
      </c>
      <c r="J590" s="13" t="s">
        <v>33</v>
      </c>
      <c r="K590" s="43">
        <f t="shared" si="130"/>
        <v>53208.709842200718</v>
      </c>
      <c r="L590" s="13" t="s">
        <v>33</v>
      </c>
      <c r="M590" s="13" t="s">
        <v>33</v>
      </c>
      <c r="N590" s="13" t="s">
        <v>33</v>
      </c>
      <c r="O590" s="13" t="s">
        <v>33</v>
      </c>
      <c r="P590" s="13" t="s">
        <v>33</v>
      </c>
      <c r="Q590" s="13" t="s">
        <v>33</v>
      </c>
      <c r="R590" s="13" t="s">
        <v>33</v>
      </c>
      <c r="S590" s="13" t="s">
        <v>33</v>
      </c>
      <c r="T590" s="13" t="s">
        <v>33</v>
      </c>
      <c r="U590" s="13" t="s">
        <v>33</v>
      </c>
      <c r="V590" s="13" t="s">
        <v>33</v>
      </c>
      <c r="W590" s="6" t="b">
        <v>0</v>
      </c>
      <c r="X590" s="6" t="s">
        <v>1301</v>
      </c>
      <c r="Y590" s="6" t="s">
        <v>1326</v>
      </c>
      <c r="Z590" s="6">
        <v>682</v>
      </c>
      <c r="AA590" s="7" t="str">
        <f t="shared" si="131"/>
        <v>OK - sims match current assumptions</v>
      </c>
      <c r="AB590" s="13" t="s">
        <v>33</v>
      </c>
      <c r="AC590" s="13" t="s">
        <v>33</v>
      </c>
      <c r="AD590" s="13" t="s">
        <v>33</v>
      </c>
      <c r="AE590" s="13" t="s">
        <v>33</v>
      </c>
      <c r="AF590" s="13" t="s">
        <v>33</v>
      </c>
      <c r="AG590" s="13" t="s">
        <v>33</v>
      </c>
      <c r="AH590" s="6" t="b">
        <v>0</v>
      </c>
      <c r="AI590" s="13" t="s">
        <v>33</v>
      </c>
      <c r="AJ590" s="13" t="s">
        <v>33</v>
      </c>
      <c r="AK590" s="13" t="s">
        <v>33</v>
      </c>
      <c r="AL590" s="6">
        <v>0</v>
      </c>
      <c r="AM590" s="13" t="s">
        <v>33</v>
      </c>
    </row>
    <row r="591" spans="1:39" ht="15" customHeight="1" x14ac:dyDescent="0.3">
      <c r="A591" s="6" t="s">
        <v>502</v>
      </c>
      <c r="B591" s="7" t="str">
        <f>Odds_Input!C691</f>
        <v>AJ Green</v>
      </c>
      <c r="C591" s="6" t="s">
        <v>33</v>
      </c>
      <c r="D591" s="7" t="str">
        <f>Odds_Input!D691</f>
        <v>YES</v>
      </c>
      <c r="E591" s="31" t="str">
        <f>Odds_Input!E691</f>
        <v>-</v>
      </c>
      <c r="F591" s="32">
        <f>Odds_Input!F691</f>
        <v>25000</v>
      </c>
      <c r="G591" s="36">
        <f>M_DeVig!H691</f>
        <v>251</v>
      </c>
      <c r="H591" s="7" t="str">
        <f>Odds_Input!G691</f>
        <v>-</v>
      </c>
      <c r="I591" s="42">
        <f>M_DeVig!Q691</f>
        <v>1.2733638924063654E-3</v>
      </c>
      <c r="J591" s="13" t="s">
        <v>33</v>
      </c>
      <c r="K591" s="43">
        <f t="shared" si="130"/>
        <v>78432.146699262026</v>
      </c>
      <c r="L591" s="13" t="s">
        <v>33</v>
      </c>
      <c r="M591" s="13" t="s">
        <v>33</v>
      </c>
      <c r="N591" s="13" t="s">
        <v>33</v>
      </c>
      <c r="O591" s="13" t="s">
        <v>33</v>
      </c>
      <c r="P591" s="13" t="s">
        <v>33</v>
      </c>
      <c r="Q591" s="13" t="s">
        <v>33</v>
      </c>
      <c r="R591" s="13" t="s">
        <v>33</v>
      </c>
      <c r="S591" s="13" t="s">
        <v>33</v>
      </c>
      <c r="T591" s="13" t="s">
        <v>33</v>
      </c>
      <c r="U591" s="13" t="s">
        <v>33</v>
      </c>
      <c r="V591" s="13" t="s">
        <v>33</v>
      </c>
      <c r="W591" s="6" t="b">
        <v>0</v>
      </c>
      <c r="X591" s="6" t="s">
        <v>1301</v>
      </c>
      <c r="Y591" s="6" t="s">
        <v>1326</v>
      </c>
      <c r="Z591" s="6">
        <v>683</v>
      </c>
      <c r="AA591" s="7" t="str">
        <f t="shared" si="131"/>
        <v>OK - sims match current assumptions</v>
      </c>
      <c r="AB591" s="13" t="s">
        <v>33</v>
      </c>
      <c r="AC591" s="13" t="s">
        <v>33</v>
      </c>
      <c r="AD591" s="13" t="s">
        <v>33</v>
      </c>
      <c r="AE591" s="13" t="s">
        <v>33</v>
      </c>
      <c r="AF591" s="13" t="s">
        <v>33</v>
      </c>
      <c r="AG591" s="13" t="s">
        <v>33</v>
      </c>
      <c r="AH591" s="6" t="b">
        <v>0</v>
      </c>
      <c r="AI591" s="13" t="s">
        <v>33</v>
      </c>
      <c r="AJ591" s="13" t="s">
        <v>33</v>
      </c>
      <c r="AK591" s="13" t="s">
        <v>33</v>
      </c>
      <c r="AL591" s="6">
        <v>0</v>
      </c>
      <c r="AM591" s="13" t="s">
        <v>33</v>
      </c>
    </row>
    <row r="592" spans="1:39" ht="15" customHeight="1" x14ac:dyDescent="0.3">
      <c r="A592" s="6" t="s">
        <v>502</v>
      </c>
      <c r="B592" s="7" t="str">
        <f>Odds_Input!C692</f>
        <v>Tim Hardaway Jr</v>
      </c>
      <c r="C592" s="6" t="s">
        <v>33</v>
      </c>
      <c r="D592" s="7" t="str">
        <f>Odds_Input!D692</f>
        <v>YES</v>
      </c>
      <c r="E592" s="31" t="str">
        <f>Odds_Input!E692</f>
        <v>-</v>
      </c>
      <c r="F592" s="32">
        <f>Odds_Input!F692</f>
        <v>26000</v>
      </c>
      <c r="G592" s="36">
        <f>M_DeVig!H692</f>
        <v>261</v>
      </c>
      <c r="H592" s="7" t="str">
        <f>Odds_Input!G692</f>
        <v>-</v>
      </c>
      <c r="I592" s="42">
        <f>M_DeVig!Q692</f>
        <v>1.1875576150295617E-3</v>
      </c>
      <c r="J592" s="13" t="s">
        <v>33</v>
      </c>
      <c r="K592" s="43">
        <f t="shared" si="130"/>
        <v>84106.440794462615</v>
      </c>
      <c r="L592" s="13" t="s">
        <v>33</v>
      </c>
      <c r="M592" s="13" t="s">
        <v>33</v>
      </c>
      <c r="N592" s="13" t="s">
        <v>33</v>
      </c>
      <c r="O592" s="13" t="s">
        <v>33</v>
      </c>
      <c r="P592" s="13" t="s">
        <v>33</v>
      </c>
      <c r="Q592" s="13" t="s">
        <v>33</v>
      </c>
      <c r="R592" s="13" t="s">
        <v>33</v>
      </c>
      <c r="S592" s="13" t="s">
        <v>33</v>
      </c>
      <c r="T592" s="13" t="s">
        <v>33</v>
      </c>
      <c r="U592" s="13" t="s">
        <v>33</v>
      </c>
      <c r="V592" s="13" t="s">
        <v>33</v>
      </c>
      <c r="W592" s="6" t="b">
        <v>0</v>
      </c>
      <c r="X592" s="6" t="s">
        <v>1301</v>
      </c>
      <c r="Y592" s="6" t="s">
        <v>1326</v>
      </c>
      <c r="Z592" s="6">
        <v>684</v>
      </c>
      <c r="AA592" s="7" t="str">
        <f t="shared" si="131"/>
        <v>OK - sims match current assumptions</v>
      </c>
      <c r="AB592" s="13" t="s">
        <v>33</v>
      </c>
      <c r="AC592" s="13" t="s">
        <v>33</v>
      </c>
      <c r="AD592" s="13" t="s">
        <v>33</v>
      </c>
      <c r="AE592" s="13" t="s">
        <v>33</v>
      </c>
      <c r="AF592" s="13" t="s">
        <v>33</v>
      </c>
      <c r="AG592" s="13" t="s">
        <v>33</v>
      </c>
      <c r="AH592" s="6" t="b">
        <v>0</v>
      </c>
      <c r="AI592" s="13" t="s">
        <v>33</v>
      </c>
      <c r="AJ592" s="13" t="s">
        <v>33</v>
      </c>
      <c r="AK592" s="13" t="s">
        <v>33</v>
      </c>
      <c r="AL592" s="6">
        <v>0</v>
      </c>
      <c r="AM592" s="13" t="s">
        <v>33</v>
      </c>
    </row>
    <row r="593" spans="1:39" ht="15" customHeight="1" x14ac:dyDescent="0.3">
      <c r="A593" s="6" t="s">
        <v>502</v>
      </c>
      <c r="B593" s="7" t="str">
        <f>Odds_Input!C693</f>
        <v>Sam Merrill</v>
      </c>
      <c r="C593" s="6" t="s">
        <v>33</v>
      </c>
      <c r="D593" s="7" t="str">
        <f>Odds_Input!D693</f>
        <v>YES</v>
      </c>
      <c r="E593" s="31" t="str">
        <f>Odds_Input!E693</f>
        <v>-</v>
      </c>
      <c r="F593" s="32">
        <f>Odds_Input!F693</f>
        <v>25000</v>
      </c>
      <c r="G593" s="36">
        <f>M_DeVig!H693</f>
        <v>251</v>
      </c>
      <c r="H593" s="7" t="str">
        <f>Odds_Input!G693</f>
        <v>-</v>
      </c>
      <c r="I593" s="42">
        <f>M_DeVig!Q693</f>
        <v>1.2733638924063654E-3</v>
      </c>
      <c r="J593" s="13" t="s">
        <v>33</v>
      </c>
      <c r="K593" s="43">
        <f t="shared" si="130"/>
        <v>78432.146699262026</v>
      </c>
      <c r="L593" s="13" t="s">
        <v>33</v>
      </c>
      <c r="M593" s="13" t="s">
        <v>33</v>
      </c>
      <c r="N593" s="13" t="s">
        <v>33</v>
      </c>
      <c r="O593" s="13" t="s">
        <v>33</v>
      </c>
      <c r="P593" s="13" t="s">
        <v>33</v>
      </c>
      <c r="Q593" s="13" t="s">
        <v>33</v>
      </c>
      <c r="R593" s="13" t="s">
        <v>33</v>
      </c>
      <c r="S593" s="13" t="s">
        <v>33</v>
      </c>
      <c r="T593" s="13" t="s">
        <v>33</v>
      </c>
      <c r="U593" s="13" t="s">
        <v>33</v>
      </c>
      <c r="V593" s="13" t="s">
        <v>33</v>
      </c>
      <c r="W593" s="6" t="b">
        <v>0</v>
      </c>
      <c r="X593" s="6" t="s">
        <v>1301</v>
      </c>
      <c r="Y593" s="6" t="s">
        <v>1326</v>
      </c>
      <c r="Z593" s="6">
        <v>685</v>
      </c>
      <c r="AA593" s="7" t="str">
        <f t="shared" si="131"/>
        <v>OK - sims match current assumptions</v>
      </c>
      <c r="AB593" s="13" t="s">
        <v>33</v>
      </c>
      <c r="AC593" s="13" t="s">
        <v>33</v>
      </c>
      <c r="AD593" s="13" t="s">
        <v>33</v>
      </c>
      <c r="AE593" s="13" t="s">
        <v>33</v>
      </c>
      <c r="AF593" s="13" t="s">
        <v>33</v>
      </c>
      <c r="AG593" s="13" t="s">
        <v>33</v>
      </c>
      <c r="AH593" s="6" t="b">
        <v>0</v>
      </c>
      <c r="AI593" s="13" t="s">
        <v>33</v>
      </c>
      <c r="AJ593" s="13" t="s">
        <v>33</v>
      </c>
      <c r="AK593" s="13" t="s">
        <v>33</v>
      </c>
      <c r="AL593" s="6">
        <v>0</v>
      </c>
      <c r="AM593" s="13" t="s">
        <v>33</v>
      </c>
    </row>
    <row r="594" spans="1:39" ht="15" customHeight="1" x14ac:dyDescent="0.3">
      <c r="A594" s="6" t="s">
        <v>502</v>
      </c>
      <c r="B594" s="7" t="str">
        <f>Odds_Input!C694</f>
        <v>Coby White</v>
      </c>
      <c r="C594" s="6" t="s">
        <v>33</v>
      </c>
      <c r="D594" s="7" t="str">
        <f>Odds_Input!D694</f>
        <v>YES</v>
      </c>
      <c r="E594" s="31" t="str">
        <f>Odds_Input!E694</f>
        <v>-</v>
      </c>
      <c r="F594" s="32">
        <f>Odds_Input!F694</f>
        <v>25000</v>
      </c>
      <c r="G594" s="36">
        <f>M_DeVig!H694</f>
        <v>251</v>
      </c>
      <c r="H594" s="7" t="str">
        <f>Odds_Input!G694</f>
        <v>-</v>
      </c>
      <c r="I594" s="42">
        <f>M_DeVig!Q694</f>
        <v>1.2733638924063654E-3</v>
      </c>
      <c r="J594" s="13" t="s">
        <v>33</v>
      </c>
      <c r="K594" s="43">
        <f t="shared" si="130"/>
        <v>78432.146699262026</v>
      </c>
      <c r="L594" s="13" t="s">
        <v>33</v>
      </c>
      <c r="M594" s="13" t="s">
        <v>33</v>
      </c>
      <c r="N594" s="13" t="s">
        <v>33</v>
      </c>
      <c r="O594" s="13" t="s">
        <v>33</v>
      </c>
      <c r="P594" s="13" t="s">
        <v>33</v>
      </c>
      <c r="Q594" s="13" t="s">
        <v>33</v>
      </c>
      <c r="R594" s="13" t="s">
        <v>33</v>
      </c>
      <c r="S594" s="13" t="s">
        <v>33</v>
      </c>
      <c r="T594" s="13" t="s">
        <v>33</v>
      </c>
      <c r="U594" s="13" t="s">
        <v>33</v>
      </c>
      <c r="V594" s="13" t="s">
        <v>33</v>
      </c>
      <c r="W594" s="6" t="b">
        <v>0</v>
      </c>
      <c r="X594" s="6" t="s">
        <v>1301</v>
      </c>
      <c r="Y594" s="6" t="s">
        <v>1326</v>
      </c>
      <c r="Z594" s="6">
        <v>686</v>
      </c>
      <c r="AA594" s="7" t="str">
        <f t="shared" si="131"/>
        <v>OK - sims match current assumptions</v>
      </c>
      <c r="AB594" s="13" t="s">
        <v>33</v>
      </c>
      <c r="AC594" s="13" t="s">
        <v>33</v>
      </c>
      <c r="AD594" s="13" t="s">
        <v>33</v>
      </c>
      <c r="AE594" s="13" t="s">
        <v>33</v>
      </c>
      <c r="AF594" s="13" t="s">
        <v>33</v>
      </c>
      <c r="AG594" s="13" t="s">
        <v>33</v>
      </c>
      <c r="AH594" s="6" t="b">
        <v>0</v>
      </c>
      <c r="AI594" s="13" t="s">
        <v>33</v>
      </c>
      <c r="AJ594" s="13" t="s">
        <v>33</v>
      </c>
      <c r="AK594" s="13" t="s">
        <v>33</v>
      </c>
      <c r="AL594" s="6">
        <v>0</v>
      </c>
      <c r="AM594" s="13" t="s">
        <v>33</v>
      </c>
    </row>
    <row r="595" spans="1:39" ht="15" customHeight="1" x14ac:dyDescent="0.3"/>
    <row r="596" spans="1:39" ht="15" customHeight="1" x14ac:dyDescent="0.3">
      <c r="A596" s="48" t="s">
        <v>382</v>
      </c>
      <c r="B596" s="49" t="s">
        <v>1335</v>
      </c>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row>
    <row r="597" spans="1:39" ht="15" customHeight="1" x14ac:dyDescent="0.3">
      <c r="A597" s="6" t="s">
        <v>382</v>
      </c>
      <c r="B597" s="7" t="str">
        <f>Odds_Input!C390</f>
        <v>Dylan Harper</v>
      </c>
      <c r="C597" s="6" t="s">
        <v>33</v>
      </c>
      <c r="D597" s="7" t="str">
        <f>Odds_Input!D390</f>
        <v>YES</v>
      </c>
      <c r="E597" s="31" t="str">
        <f>Odds_Input!E390</f>
        <v>-</v>
      </c>
      <c r="F597" s="32">
        <f>Odds_Input!F390</f>
        <v>900</v>
      </c>
      <c r="G597" s="36">
        <f>M_DeVig!H390</f>
        <v>10</v>
      </c>
      <c r="H597" s="7" t="str">
        <f>Odds_Input!G390</f>
        <v>-</v>
      </c>
      <c r="I597" s="42">
        <f>M_DeVig!Q390</f>
        <v>8.5471605783800406E-2</v>
      </c>
      <c r="J597" s="13" t="s">
        <v>33</v>
      </c>
      <c r="K597" s="43">
        <f t="shared" ref="K597:K636" si="132">IF(I597&gt;=0.5,-100*I597/(1-I597),100*(1-I597)/I597)</f>
        <v>1069.979188795739</v>
      </c>
      <c r="L597" s="13" t="s">
        <v>33</v>
      </c>
      <c r="M597" s="13" t="s">
        <v>33</v>
      </c>
      <c r="N597" s="13" t="s">
        <v>33</v>
      </c>
      <c r="O597" s="13" t="s">
        <v>33</v>
      </c>
      <c r="P597" s="13" t="s">
        <v>33</v>
      </c>
      <c r="Q597" s="13" t="s">
        <v>33</v>
      </c>
      <c r="R597" s="13" t="s">
        <v>33</v>
      </c>
      <c r="S597" s="13" t="s">
        <v>33</v>
      </c>
      <c r="T597" s="13" t="s">
        <v>33</v>
      </c>
      <c r="U597" s="13" t="s">
        <v>33</v>
      </c>
      <c r="V597" s="13" t="s">
        <v>33</v>
      </c>
      <c r="W597" s="6" t="b">
        <v>0</v>
      </c>
      <c r="X597" s="6" t="s">
        <v>1301</v>
      </c>
      <c r="Y597" s="6" t="s">
        <v>1326</v>
      </c>
      <c r="Z597" s="6">
        <v>382</v>
      </c>
      <c r="AA597" s="7" t="str">
        <f t="shared" ref="AA597:AA636" si="133">Sim_Stale</f>
        <v>OK - sims match current assumptions</v>
      </c>
      <c r="AB597" s="13" t="s">
        <v>33</v>
      </c>
      <c r="AC597" s="13" t="s">
        <v>33</v>
      </c>
      <c r="AD597" s="13" t="s">
        <v>33</v>
      </c>
      <c r="AE597" s="13" t="s">
        <v>33</v>
      </c>
      <c r="AF597" s="13" t="s">
        <v>33</v>
      </c>
      <c r="AG597" s="13" t="s">
        <v>33</v>
      </c>
      <c r="AH597" s="6" t="b">
        <v>0</v>
      </c>
      <c r="AI597" s="13" t="s">
        <v>33</v>
      </c>
      <c r="AJ597" s="13" t="s">
        <v>33</v>
      </c>
      <c r="AK597" s="13" t="s">
        <v>33</v>
      </c>
      <c r="AL597" s="6">
        <v>0</v>
      </c>
      <c r="AM597" s="13" t="s">
        <v>33</v>
      </c>
    </row>
    <row r="598" spans="1:39" ht="15" customHeight="1" x14ac:dyDescent="0.3">
      <c r="A598" s="6" t="s">
        <v>382</v>
      </c>
      <c r="B598" s="7" t="str">
        <f>Odds_Input!C391</f>
        <v>Brandon Miller</v>
      </c>
      <c r="C598" s="6" t="s">
        <v>33</v>
      </c>
      <c r="D598" s="7" t="str">
        <f>Odds_Input!D391</f>
        <v>YES</v>
      </c>
      <c r="E598" s="31" t="str">
        <f>Odds_Input!E391</f>
        <v>-</v>
      </c>
      <c r="F598" s="32">
        <f>Odds_Input!F391</f>
        <v>900</v>
      </c>
      <c r="G598" s="36">
        <f>M_DeVig!H391</f>
        <v>10</v>
      </c>
      <c r="H598" s="7" t="str">
        <f>Odds_Input!G391</f>
        <v>-</v>
      </c>
      <c r="I598" s="42">
        <f>M_DeVig!Q391</f>
        <v>8.5471605783800406E-2</v>
      </c>
      <c r="J598" s="13" t="s">
        <v>33</v>
      </c>
      <c r="K598" s="43">
        <f t="shared" si="132"/>
        <v>1069.979188795739</v>
      </c>
      <c r="L598" s="13" t="s">
        <v>33</v>
      </c>
      <c r="M598" s="13" t="s">
        <v>33</v>
      </c>
      <c r="N598" s="13" t="s">
        <v>33</v>
      </c>
      <c r="O598" s="13" t="s">
        <v>33</v>
      </c>
      <c r="P598" s="13" t="s">
        <v>33</v>
      </c>
      <c r="Q598" s="13" t="s">
        <v>33</v>
      </c>
      <c r="R598" s="13" t="s">
        <v>33</v>
      </c>
      <c r="S598" s="13" t="s">
        <v>33</v>
      </c>
      <c r="T598" s="13" t="s">
        <v>33</v>
      </c>
      <c r="U598" s="13" t="s">
        <v>33</v>
      </c>
      <c r="V598" s="13" t="s">
        <v>33</v>
      </c>
      <c r="W598" s="6" t="b">
        <v>0</v>
      </c>
      <c r="X598" s="6" t="s">
        <v>1301</v>
      </c>
      <c r="Y598" s="6" t="s">
        <v>1326</v>
      </c>
      <c r="Z598" s="6">
        <v>383</v>
      </c>
      <c r="AA598" s="7" t="str">
        <f t="shared" si="133"/>
        <v>OK - sims match current assumptions</v>
      </c>
      <c r="AB598" s="13" t="s">
        <v>33</v>
      </c>
      <c r="AC598" s="13" t="s">
        <v>33</v>
      </c>
      <c r="AD598" s="13" t="s">
        <v>33</v>
      </c>
      <c r="AE598" s="13" t="s">
        <v>33</v>
      </c>
      <c r="AF598" s="13" t="s">
        <v>33</v>
      </c>
      <c r="AG598" s="13" t="s">
        <v>33</v>
      </c>
      <c r="AH598" s="6" t="b">
        <v>0</v>
      </c>
      <c r="AI598" s="13" t="s">
        <v>33</v>
      </c>
      <c r="AJ598" s="13" t="s">
        <v>33</v>
      </c>
      <c r="AK598" s="13" t="s">
        <v>33</v>
      </c>
      <c r="AL598" s="6">
        <v>0</v>
      </c>
      <c r="AM598" s="13" t="s">
        <v>33</v>
      </c>
    </row>
    <row r="599" spans="1:39" ht="15" customHeight="1" x14ac:dyDescent="0.3">
      <c r="A599" s="6" t="s">
        <v>382</v>
      </c>
      <c r="B599" s="7" t="str">
        <f>Odds_Input!C392</f>
        <v>Payton Pritchard</v>
      </c>
      <c r="C599" s="6" t="s">
        <v>33</v>
      </c>
      <c r="D599" s="7" t="str">
        <f>Odds_Input!D392</f>
        <v>YES</v>
      </c>
      <c r="E599" s="31" t="str">
        <f>Odds_Input!E392</f>
        <v>-</v>
      </c>
      <c r="F599" s="32">
        <f>Odds_Input!F392</f>
        <v>1400</v>
      </c>
      <c r="G599" s="36">
        <f>M_DeVig!H392</f>
        <v>15</v>
      </c>
      <c r="H599" s="7" t="str">
        <f>Odds_Input!G392</f>
        <v>-</v>
      </c>
      <c r="I599" s="42">
        <f>M_DeVig!Q392</f>
        <v>5.5846237319298928E-2</v>
      </c>
      <c r="J599" s="13" t="s">
        <v>33</v>
      </c>
      <c r="K599" s="43">
        <f t="shared" si="132"/>
        <v>1690.6309323626131</v>
      </c>
      <c r="L599" s="13" t="s">
        <v>33</v>
      </c>
      <c r="M599" s="13" t="s">
        <v>33</v>
      </c>
      <c r="N599" s="13" t="s">
        <v>33</v>
      </c>
      <c r="O599" s="13" t="s">
        <v>33</v>
      </c>
      <c r="P599" s="13" t="s">
        <v>33</v>
      </c>
      <c r="Q599" s="13" t="s">
        <v>33</v>
      </c>
      <c r="R599" s="13" t="s">
        <v>33</v>
      </c>
      <c r="S599" s="13" t="s">
        <v>33</v>
      </c>
      <c r="T599" s="13" t="s">
        <v>33</v>
      </c>
      <c r="U599" s="13" t="s">
        <v>33</v>
      </c>
      <c r="V599" s="13" t="s">
        <v>33</v>
      </c>
      <c r="W599" s="6" t="b">
        <v>0</v>
      </c>
      <c r="X599" s="6" t="s">
        <v>1301</v>
      </c>
      <c r="Y599" s="6" t="s">
        <v>1326</v>
      </c>
      <c r="Z599" s="6">
        <v>384</v>
      </c>
      <c r="AA599" s="7" t="str">
        <f t="shared" si="133"/>
        <v>OK - sims match current assumptions</v>
      </c>
      <c r="AB599" s="13" t="s">
        <v>33</v>
      </c>
      <c r="AC599" s="13" t="s">
        <v>33</v>
      </c>
      <c r="AD599" s="13" t="s">
        <v>33</v>
      </c>
      <c r="AE599" s="13" t="s">
        <v>33</v>
      </c>
      <c r="AF599" s="13" t="s">
        <v>33</v>
      </c>
      <c r="AG599" s="13" t="s">
        <v>33</v>
      </c>
      <c r="AH599" s="6" t="b">
        <v>0</v>
      </c>
      <c r="AI599" s="13" t="s">
        <v>33</v>
      </c>
      <c r="AJ599" s="13" t="s">
        <v>33</v>
      </c>
      <c r="AK599" s="13" t="s">
        <v>33</v>
      </c>
      <c r="AL599" s="6">
        <v>0</v>
      </c>
      <c r="AM599" s="13" t="s">
        <v>33</v>
      </c>
    </row>
    <row r="600" spans="1:39" ht="15" customHeight="1" x14ac:dyDescent="0.3">
      <c r="A600" s="6" t="s">
        <v>382</v>
      </c>
      <c r="B600" s="7" t="str">
        <f>Odds_Input!C393</f>
        <v>Kelel Ware</v>
      </c>
      <c r="C600" s="6" t="s">
        <v>33</v>
      </c>
      <c r="D600" s="7" t="str">
        <f>Odds_Input!D393</f>
        <v>YES</v>
      </c>
      <c r="E600" s="31" t="str">
        <f>Odds_Input!E393</f>
        <v>-</v>
      </c>
      <c r="F600" s="32">
        <f>Odds_Input!F393</f>
        <v>1600</v>
      </c>
      <c r="G600" s="36">
        <f>M_DeVig!H393</f>
        <v>17</v>
      </c>
      <c r="H600" s="7" t="str">
        <f>Odds_Input!G393</f>
        <v>-</v>
      </c>
      <c r="I600" s="42">
        <f>M_DeVig!Q393</f>
        <v>4.888148031880226E-2</v>
      </c>
      <c r="J600" s="13" t="s">
        <v>33</v>
      </c>
      <c r="K600" s="43">
        <f t="shared" si="132"/>
        <v>1945.7645584341071</v>
      </c>
      <c r="L600" s="13" t="s">
        <v>33</v>
      </c>
      <c r="M600" s="13" t="s">
        <v>33</v>
      </c>
      <c r="N600" s="13" t="s">
        <v>33</v>
      </c>
      <c r="O600" s="13" t="s">
        <v>33</v>
      </c>
      <c r="P600" s="13" t="s">
        <v>33</v>
      </c>
      <c r="Q600" s="13" t="s">
        <v>33</v>
      </c>
      <c r="R600" s="13" t="s">
        <v>33</v>
      </c>
      <c r="S600" s="13" t="s">
        <v>33</v>
      </c>
      <c r="T600" s="13" t="s">
        <v>33</v>
      </c>
      <c r="U600" s="13" t="s">
        <v>33</v>
      </c>
      <c r="V600" s="13" t="s">
        <v>33</v>
      </c>
      <c r="W600" s="6" t="b">
        <v>0</v>
      </c>
      <c r="X600" s="6" t="s">
        <v>1301</v>
      </c>
      <c r="Y600" s="6" t="s">
        <v>1326</v>
      </c>
      <c r="Z600" s="6">
        <v>385</v>
      </c>
      <c r="AA600" s="7" t="str">
        <f t="shared" si="133"/>
        <v>OK - sims match current assumptions</v>
      </c>
      <c r="AB600" s="13" t="s">
        <v>33</v>
      </c>
      <c r="AC600" s="13" t="s">
        <v>33</v>
      </c>
      <c r="AD600" s="13" t="s">
        <v>33</v>
      </c>
      <c r="AE600" s="13" t="s">
        <v>33</v>
      </c>
      <c r="AF600" s="13" t="s">
        <v>33</v>
      </c>
      <c r="AG600" s="13" t="s">
        <v>33</v>
      </c>
      <c r="AH600" s="6" t="b">
        <v>0</v>
      </c>
      <c r="AI600" s="13" t="s">
        <v>33</v>
      </c>
      <c r="AJ600" s="13" t="s">
        <v>33</v>
      </c>
      <c r="AK600" s="13" t="s">
        <v>33</v>
      </c>
      <c r="AL600" s="6">
        <v>0</v>
      </c>
      <c r="AM600" s="13" t="s">
        <v>33</v>
      </c>
    </row>
    <row r="601" spans="1:39" ht="15" customHeight="1" x14ac:dyDescent="0.3">
      <c r="A601" s="6" t="s">
        <v>382</v>
      </c>
      <c r="B601" s="7" t="str">
        <f>Odds_Input!C394</f>
        <v>Collin Murray Boyles</v>
      </c>
      <c r="C601" s="6" t="s">
        <v>33</v>
      </c>
      <c r="D601" s="7" t="str">
        <f>Odds_Input!D394</f>
        <v>YES</v>
      </c>
      <c r="E601" s="31" t="str">
        <f>Odds_Input!E394</f>
        <v>-</v>
      </c>
      <c r="F601" s="32">
        <f>Odds_Input!F394</f>
        <v>2200</v>
      </c>
      <c r="G601" s="36">
        <f>M_DeVig!H394</f>
        <v>23</v>
      </c>
      <c r="H601" s="7" t="str">
        <f>Odds_Input!G394</f>
        <v>-</v>
      </c>
      <c r="I601" s="42">
        <f>M_DeVig!Q394</f>
        <v>3.5269727747451587E-2</v>
      </c>
      <c r="J601" s="13" t="s">
        <v>33</v>
      </c>
      <c r="K601" s="43">
        <f t="shared" si="132"/>
        <v>2735.2926542571763</v>
      </c>
      <c r="L601" s="13" t="s">
        <v>33</v>
      </c>
      <c r="M601" s="13" t="s">
        <v>33</v>
      </c>
      <c r="N601" s="13" t="s">
        <v>33</v>
      </c>
      <c r="O601" s="13" t="s">
        <v>33</v>
      </c>
      <c r="P601" s="13" t="s">
        <v>33</v>
      </c>
      <c r="Q601" s="13" t="s">
        <v>33</v>
      </c>
      <c r="R601" s="13" t="s">
        <v>33</v>
      </c>
      <c r="S601" s="13" t="s">
        <v>33</v>
      </c>
      <c r="T601" s="13" t="s">
        <v>33</v>
      </c>
      <c r="U601" s="13" t="s">
        <v>33</v>
      </c>
      <c r="V601" s="13" t="s">
        <v>33</v>
      </c>
      <c r="W601" s="6" t="b">
        <v>0</v>
      </c>
      <c r="X601" s="6" t="s">
        <v>1301</v>
      </c>
      <c r="Y601" s="6" t="s">
        <v>1326</v>
      </c>
      <c r="Z601" s="6">
        <v>386</v>
      </c>
      <c r="AA601" s="7" t="str">
        <f t="shared" si="133"/>
        <v>OK - sims match current assumptions</v>
      </c>
      <c r="AB601" s="13" t="s">
        <v>33</v>
      </c>
      <c r="AC601" s="13" t="s">
        <v>33</v>
      </c>
      <c r="AD601" s="13" t="s">
        <v>33</v>
      </c>
      <c r="AE601" s="13" t="s">
        <v>33</v>
      </c>
      <c r="AF601" s="13" t="s">
        <v>33</v>
      </c>
      <c r="AG601" s="13" t="s">
        <v>33</v>
      </c>
      <c r="AH601" s="6" t="b">
        <v>0</v>
      </c>
      <c r="AI601" s="13" t="s">
        <v>33</v>
      </c>
      <c r="AJ601" s="13" t="s">
        <v>33</v>
      </c>
      <c r="AK601" s="13" t="s">
        <v>33</v>
      </c>
      <c r="AL601" s="6">
        <v>0</v>
      </c>
      <c r="AM601" s="13" t="s">
        <v>33</v>
      </c>
    </row>
    <row r="602" spans="1:39" ht="15" customHeight="1" x14ac:dyDescent="0.3">
      <c r="A602" s="6" t="s">
        <v>382</v>
      </c>
      <c r="B602" s="7" t="str">
        <f>Odds_Input!C395</f>
        <v>Stephon Castle</v>
      </c>
      <c r="C602" s="6" t="s">
        <v>33</v>
      </c>
      <c r="D602" s="7" t="str">
        <f>Odds_Input!D395</f>
        <v>YES</v>
      </c>
      <c r="E602" s="31" t="str">
        <f>Odds_Input!E395</f>
        <v>-</v>
      </c>
      <c r="F602" s="32">
        <f>Odds_Input!F395</f>
        <v>2800</v>
      </c>
      <c r="G602" s="36">
        <f>M_DeVig!H395</f>
        <v>29</v>
      </c>
      <c r="H602" s="7" t="str">
        <f>Odds_Input!G395</f>
        <v>-</v>
      </c>
      <c r="I602" s="42">
        <f>M_DeVig!Q395</f>
        <v>2.7308121025755201E-2</v>
      </c>
      <c r="J602" s="13" t="s">
        <v>33</v>
      </c>
      <c r="K602" s="43">
        <f t="shared" si="132"/>
        <v>3561.9143406346657</v>
      </c>
      <c r="L602" s="13" t="s">
        <v>33</v>
      </c>
      <c r="M602" s="13" t="s">
        <v>33</v>
      </c>
      <c r="N602" s="13" t="s">
        <v>33</v>
      </c>
      <c r="O602" s="13" t="s">
        <v>33</v>
      </c>
      <c r="P602" s="13" t="s">
        <v>33</v>
      </c>
      <c r="Q602" s="13" t="s">
        <v>33</v>
      </c>
      <c r="R602" s="13" t="s">
        <v>33</v>
      </c>
      <c r="S602" s="13" t="s">
        <v>33</v>
      </c>
      <c r="T602" s="13" t="s">
        <v>33</v>
      </c>
      <c r="U602" s="13" t="s">
        <v>33</v>
      </c>
      <c r="V602" s="13" t="s">
        <v>33</v>
      </c>
      <c r="W602" s="6" t="b">
        <v>0</v>
      </c>
      <c r="X602" s="6" t="s">
        <v>1301</v>
      </c>
      <c r="Y602" s="6" t="s">
        <v>1326</v>
      </c>
      <c r="Z602" s="6">
        <v>387</v>
      </c>
      <c r="AA602" s="7" t="str">
        <f t="shared" si="133"/>
        <v>OK - sims match current assumptions</v>
      </c>
      <c r="AB602" s="13" t="s">
        <v>33</v>
      </c>
      <c r="AC602" s="13" t="s">
        <v>33</v>
      </c>
      <c r="AD602" s="13" t="s">
        <v>33</v>
      </c>
      <c r="AE602" s="13" t="s">
        <v>33</v>
      </c>
      <c r="AF602" s="13" t="s">
        <v>33</v>
      </c>
      <c r="AG602" s="13" t="s">
        <v>33</v>
      </c>
      <c r="AH602" s="6" t="b">
        <v>0</v>
      </c>
      <c r="AI602" s="13" t="s">
        <v>33</v>
      </c>
      <c r="AJ602" s="13" t="s">
        <v>33</v>
      </c>
      <c r="AK602" s="13" t="s">
        <v>33</v>
      </c>
      <c r="AL602" s="6">
        <v>0</v>
      </c>
      <c r="AM602" s="13" t="s">
        <v>33</v>
      </c>
    </row>
    <row r="603" spans="1:39" ht="15" customHeight="1" x14ac:dyDescent="0.3">
      <c r="A603" s="6" t="s">
        <v>382</v>
      </c>
      <c r="B603" s="7" t="str">
        <f>Odds_Input!C396</f>
        <v>Peyton Watson</v>
      </c>
      <c r="C603" s="6" t="s">
        <v>33</v>
      </c>
      <c r="D603" s="7" t="str">
        <f>Odds_Input!D396</f>
        <v>YES</v>
      </c>
      <c r="E603" s="31" t="str">
        <f>Odds_Input!E396</f>
        <v>-</v>
      </c>
      <c r="F603" s="32">
        <f>Odds_Input!F396</f>
        <v>1800</v>
      </c>
      <c r="G603" s="36">
        <f>M_DeVig!H396</f>
        <v>19</v>
      </c>
      <c r="H603" s="7" t="str">
        <f>Odds_Input!G396</f>
        <v>-</v>
      </c>
      <c r="I603" s="42">
        <f>M_DeVig!Q396</f>
        <v>4.3386006952802543E-2</v>
      </c>
      <c r="J603" s="13" t="s">
        <v>33</v>
      </c>
      <c r="K603" s="43">
        <f t="shared" si="132"/>
        <v>2204.8906092875745</v>
      </c>
      <c r="L603" s="13" t="s">
        <v>33</v>
      </c>
      <c r="M603" s="13" t="s">
        <v>33</v>
      </c>
      <c r="N603" s="13" t="s">
        <v>33</v>
      </c>
      <c r="O603" s="13" t="s">
        <v>33</v>
      </c>
      <c r="P603" s="13" t="s">
        <v>33</v>
      </c>
      <c r="Q603" s="13" t="s">
        <v>33</v>
      </c>
      <c r="R603" s="13" t="s">
        <v>33</v>
      </c>
      <c r="S603" s="13" t="s">
        <v>33</v>
      </c>
      <c r="T603" s="13" t="s">
        <v>33</v>
      </c>
      <c r="U603" s="13" t="s">
        <v>33</v>
      </c>
      <c r="V603" s="13" t="s">
        <v>33</v>
      </c>
      <c r="W603" s="6" t="b">
        <v>0</v>
      </c>
      <c r="X603" s="6" t="s">
        <v>1301</v>
      </c>
      <c r="Y603" s="6" t="s">
        <v>1326</v>
      </c>
      <c r="Z603" s="6">
        <v>388</v>
      </c>
      <c r="AA603" s="7" t="str">
        <f t="shared" si="133"/>
        <v>OK - sims match current assumptions</v>
      </c>
      <c r="AB603" s="13" t="s">
        <v>33</v>
      </c>
      <c r="AC603" s="13" t="s">
        <v>33</v>
      </c>
      <c r="AD603" s="13" t="s">
        <v>33</v>
      </c>
      <c r="AE603" s="13" t="s">
        <v>33</v>
      </c>
      <c r="AF603" s="13" t="s">
        <v>33</v>
      </c>
      <c r="AG603" s="13" t="s">
        <v>33</v>
      </c>
      <c r="AH603" s="6" t="b">
        <v>0</v>
      </c>
      <c r="AI603" s="13" t="s">
        <v>33</v>
      </c>
      <c r="AJ603" s="13" t="s">
        <v>33</v>
      </c>
      <c r="AK603" s="13" t="s">
        <v>33</v>
      </c>
      <c r="AL603" s="6">
        <v>0</v>
      </c>
      <c r="AM603" s="13" t="s">
        <v>33</v>
      </c>
    </row>
    <row r="604" spans="1:39" ht="15" customHeight="1" x14ac:dyDescent="0.3">
      <c r="A604" s="6" t="s">
        <v>382</v>
      </c>
      <c r="B604" s="7" t="str">
        <f>Odds_Input!C397</f>
        <v>Egor Demin</v>
      </c>
      <c r="C604" s="6" t="s">
        <v>33</v>
      </c>
      <c r="D604" s="7" t="str">
        <f>Odds_Input!D397</f>
        <v>YES</v>
      </c>
      <c r="E604" s="31" t="str">
        <f>Odds_Input!E397</f>
        <v>-</v>
      </c>
      <c r="F604" s="32">
        <f>Odds_Input!F397</f>
        <v>3500</v>
      </c>
      <c r="G604" s="36">
        <f>M_DeVig!H397</f>
        <v>36</v>
      </c>
      <c r="H604" s="7" t="str">
        <f>Odds_Input!G397</f>
        <v>-</v>
      </c>
      <c r="I604" s="42">
        <f>M_DeVig!Q397</f>
        <v>2.1391649147247702E-2</v>
      </c>
      <c r="J604" s="13" t="s">
        <v>33</v>
      </c>
      <c r="K604" s="43">
        <f t="shared" si="132"/>
        <v>4574.7213976658841</v>
      </c>
      <c r="L604" s="13" t="s">
        <v>33</v>
      </c>
      <c r="M604" s="13" t="s">
        <v>33</v>
      </c>
      <c r="N604" s="13" t="s">
        <v>33</v>
      </c>
      <c r="O604" s="13" t="s">
        <v>33</v>
      </c>
      <c r="P604" s="13" t="s">
        <v>33</v>
      </c>
      <c r="Q604" s="13" t="s">
        <v>33</v>
      </c>
      <c r="R604" s="13" t="s">
        <v>33</v>
      </c>
      <c r="S604" s="13" t="s">
        <v>33</v>
      </c>
      <c r="T604" s="13" t="s">
        <v>33</v>
      </c>
      <c r="U604" s="13" t="s">
        <v>33</v>
      </c>
      <c r="V604" s="13" t="s">
        <v>33</v>
      </c>
      <c r="W604" s="6" t="b">
        <v>0</v>
      </c>
      <c r="X604" s="6" t="s">
        <v>1301</v>
      </c>
      <c r="Y604" s="6" t="s">
        <v>1326</v>
      </c>
      <c r="Z604" s="6">
        <v>389</v>
      </c>
      <c r="AA604" s="7" t="str">
        <f t="shared" si="133"/>
        <v>OK - sims match current assumptions</v>
      </c>
      <c r="AB604" s="13" t="s">
        <v>33</v>
      </c>
      <c r="AC604" s="13" t="s">
        <v>33</v>
      </c>
      <c r="AD604" s="13" t="s">
        <v>33</v>
      </c>
      <c r="AE604" s="13" t="s">
        <v>33</v>
      </c>
      <c r="AF604" s="13" t="s">
        <v>33</v>
      </c>
      <c r="AG604" s="13" t="s">
        <v>33</v>
      </c>
      <c r="AH604" s="6" t="b">
        <v>0</v>
      </c>
      <c r="AI604" s="13" t="s">
        <v>33</v>
      </c>
      <c r="AJ604" s="13" t="s">
        <v>33</v>
      </c>
      <c r="AK604" s="13" t="s">
        <v>33</v>
      </c>
      <c r="AL604" s="6">
        <v>0</v>
      </c>
      <c r="AM604" s="13" t="s">
        <v>33</v>
      </c>
    </row>
    <row r="605" spans="1:39" ht="15" customHeight="1" x14ac:dyDescent="0.3">
      <c r="A605" s="6" t="s">
        <v>382</v>
      </c>
      <c r="B605" s="7" t="str">
        <f>Odds_Input!C398</f>
        <v>Donovan Clingan</v>
      </c>
      <c r="C605" s="6" t="s">
        <v>33</v>
      </c>
      <c r="D605" s="7" t="str">
        <f>Odds_Input!D398</f>
        <v>YES</v>
      </c>
      <c r="E605" s="31" t="str">
        <f>Odds_Input!E398</f>
        <v>-</v>
      </c>
      <c r="F605" s="32">
        <f>Odds_Input!F398</f>
        <v>3000</v>
      </c>
      <c r="G605" s="36">
        <f>M_DeVig!H398</f>
        <v>31</v>
      </c>
      <c r="H605" s="7" t="str">
        <f>Odds_Input!G398</f>
        <v>-</v>
      </c>
      <c r="I605" s="42">
        <f>M_DeVig!Q398</f>
        <v>2.5342779730778101E-2</v>
      </c>
      <c r="J605" s="13" t="s">
        <v>33</v>
      </c>
      <c r="K605" s="43">
        <f t="shared" si="132"/>
        <v>3845.8970587410649</v>
      </c>
      <c r="L605" s="13" t="s">
        <v>33</v>
      </c>
      <c r="M605" s="13" t="s">
        <v>33</v>
      </c>
      <c r="N605" s="13" t="s">
        <v>33</v>
      </c>
      <c r="O605" s="13" t="s">
        <v>33</v>
      </c>
      <c r="P605" s="13" t="s">
        <v>33</v>
      </c>
      <c r="Q605" s="13" t="s">
        <v>33</v>
      </c>
      <c r="R605" s="13" t="s">
        <v>33</v>
      </c>
      <c r="S605" s="13" t="s">
        <v>33</v>
      </c>
      <c r="T605" s="13" t="s">
        <v>33</v>
      </c>
      <c r="U605" s="13" t="s">
        <v>33</v>
      </c>
      <c r="V605" s="13" t="s">
        <v>33</v>
      </c>
      <c r="W605" s="6" t="b">
        <v>0</v>
      </c>
      <c r="X605" s="6" t="s">
        <v>1301</v>
      </c>
      <c r="Y605" s="6" t="s">
        <v>1326</v>
      </c>
      <c r="Z605" s="6">
        <v>390</v>
      </c>
      <c r="AA605" s="7" t="str">
        <f t="shared" si="133"/>
        <v>OK - sims match current assumptions</v>
      </c>
      <c r="AB605" s="13" t="s">
        <v>33</v>
      </c>
      <c r="AC605" s="13" t="s">
        <v>33</v>
      </c>
      <c r="AD605" s="13" t="s">
        <v>33</v>
      </c>
      <c r="AE605" s="13" t="s">
        <v>33</v>
      </c>
      <c r="AF605" s="13" t="s">
        <v>33</v>
      </c>
      <c r="AG605" s="13" t="s">
        <v>33</v>
      </c>
      <c r="AH605" s="6" t="b">
        <v>0</v>
      </c>
      <c r="AI605" s="13" t="s">
        <v>33</v>
      </c>
      <c r="AJ605" s="13" t="s">
        <v>33</v>
      </c>
      <c r="AK605" s="13" t="s">
        <v>33</v>
      </c>
      <c r="AL605" s="6">
        <v>0</v>
      </c>
      <c r="AM605" s="13" t="s">
        <v>33</v>
      </c>
    </row>
    <row r="606" spans="1:39" ht="15" customHeight="1" x14ac:dyDescent="0.3">
      <c r="A606" s="6" t="s">
        <v>382</v>
      </c>
      <c r="B606" s="7" t="str">
        <f>Odds_Input!C399</f>
        <v>Naz Reid</v>
      </c>
      <c r="C606" s="6" t="s">
        <v>33</v>
      </c>
      <c r="D606" s="7" t="str">
        <f>Odds_Input!D399</f>
        <v>YES</v>
      </c>
      <c r="E606" s="31" t="str">
        <f>Odds_Input!E399</f>
        <v>-</v>
      </c>
      <c r="F606" s="32">
        <f>Odds_Input!F399</f>
        <v>2800</v>
      </c>
      <c r="G606" s="36">
        <f>M_DeVig!H399</f>
        <v>29</v>
      </c>
      <c r="H606" s="7" t="str">
        <f>Odds_Input!G399</f>
        <v>-</v>
      </c>
      <c r="I606" s="42">
        <f>M_DeVig!Q399</f>
        <v>2.7308121025755201E-2</v>
      </c>
      <c r="J606" s="13" t="s">
        <v>33</v>
      </c>
      <c r="K606" s="43">
        <f t="shared" si="132"/>
        <v>3561.9143406346657</v>
      </c>
      <c r="L606" s="13" t="s">
        <v>33</v>
      </c>
      <c r="M606" s="13" t="s">
        <v>33</v>
      </c>
      <c r="N606" s="13" t="s">
        <v>33</v>
      </c>
      <c r="O606" s="13" t="s">
        <v>33</v>
      </c>
      <c r="P606" s="13" t="s">
        <v>33</v>
      </c>
      <c r="Q606" s="13" t="s">
        <v>33</v>
      </c>
      <c r="R606" s="13" t="s">
        <v>33</v>
      </c>
      <c r="S606" s="13" t="s">
        <v>33</v>
      </c>
      <c r="T606" s="13" t="s">
        <v>33</v>
      </c>
      <c r="U606" s="13" t="s">
        <v>33</v>
      </c>
      <c r="V606" s="13" t="s">
        <v>33</v>
      </c>
      <c r="W606" s="6" t="b">
        <v>0</v>
      </c>
      <c r="X606" s="6" t="s">
        <v>1301</v>
      </c>
      <c r="Y606" s="6" t="s">
        <v>1326</v>
      </c>
      <c r="Z606" s="6">
        <v>391</v>
      </c>
      <c r="AA606" s="7" t="str">
        <f t="shared" si="133"/>
        <v>OK - sims match current assumptions</v>
      </c>
      <c r="AB606" s="13" t="s">
        <v>33</v>
      </c>
      <c r="AC606" s="13" t="s">
        <v>33</v>
      </c>
      <c r="AD606" s="13" t="s">
        <v>33</v>
      </c>
      <c r="AE606" s="13" t="s">
        <v>33</v>
      </c>
      <c r="AF606" s="13" t="s">
        <v>33</v>
      </c>
      <c r="AG606" s="13" t="s">
        <v>33</v>
      </c>
      <c r="AH606" s="6" t="b">
        <v>0</v>
      </c>
      <c r="AI606" s="13" t="s">
        <v>33</v>
      </c>
      <c r="AJ606" s="13" t="s">
        <v>33</v>
      </c>
      <c r="AK606" s="13" t="s">
        <v>33</v>
      </c>
      <c r="AL606" s="6">
        <v>0</v>
      </c>
      <c r="AM606" s="13" t="s">
        <v>33</v>
      </c>
    </row>
    <row r="607" spans="1:39" ht="15" customHeight="1" x14ac:dyDescent="0.3">
      <c r="A607" s="6" t="s">
        <v>382</v>
      </c>
      <c r="B607" s="7" t="str">
        <f>Odds_Input!C400</f>
        <v>Reed Sheppard</v>
      </c>
      <c r="C607" s="6" t="s">
        <v>33</v>
      </c>
      <c r="D607" s="7" t="str">
        <f>Odds_Input!D400</f>
        <v>YES</v>
      </c>
      <c r="E607" s="31" t="str">
        <f>Odds_Input!E400</f>
        <v>-</v>
      </c>
      <c r="F607" s="32">
        <f>Odds_Input!F400</f>
        <v>4000</v>
      </c>
      <c r="G607" s="36">
        <f>M_DeVig!H400</f>
        <v>41</v>
      </c>
      <c r="H607" s="7" t="str">
        <f>Odds_Input!G400</f>
        <v>-</v>
      </c>
      <c r="I607" s="42">
        <f>M_DeVig!Q400</f>
        <v>1.8412743290328503E-2</v>
      </c>
      <c r="J607" s="13" t="s">
        <v>33</v>
      </c>
      <c r="K607" s="43">
        <f t="shared" si="132"/>
        <v>5331.0212456242798</v>
      </c>
      <c r="L607" s="13" t="s">
        <v>33</v>
      </c>
      <c r="M607" s="13" t="s">
        <v>33</v>
      </c>
      <c r="N607" s="13" t="s">
        <v>33</v>
      </c>
      <c r="O607" s="13" t="s">
        <v>33</v>
      </c>
      <c r="P607" s="13" t="s">
        <v>33</v>
      </c>
      <c r="Q607" s="13" t="s">
        <v>33</v>
      </c>
      <c r="R607" s="13" t="s">
        <v>33</v>
      </c>
      <c r="S607" s="13" t="s">
        <v>33</v>
      </c>
      <c r="T607" s="13" t="s">
        <v>33</v>
      </c>
      <c r="U607" s="13" t="s">
        <v>33</v>
      </c>
      <c r="V607" s="13" t="s">
        <v>33</v>
      </c>
      <c r="W607" s="6" t="b">
        <v>0</v>
      </c>
      <c r="X607" s="6" t="s">
        <v>1301</v>
      </c>
      <c r="Y607" s="6" t="s">
        <v>1326</v>
      </c>
      <c r="Z607" s="6">
        <v>392</v>
      </c>
      <c r="AA607" s="7" t="str">
        <f t="shared" si="133"/>
        <v>OK - sims match current assumptions</v>
      </c>
      <c r="AB607" s="13" t="s">
        <v>33</v>
      </c>
      <c r="AC607" s="13" t="s">
        <v>33</v>
      </c>
      <c r="AD607" s="13" t="s">
        <v>33</v>
      </c>
      <c r="AE607" s="13" t="s">
        <v>33</v>
      </c>
      <c r="AF607" s="13" t="s">
        <v>33</v>
      </c>
      <c r="AG607" s="13" t="s">
        <v>33</v>
      </c>
      <c r="AH607" s="6" t="b">
        <v>0</v>
      </c>
      <c r="AI607" s="13" t="s">
        <v>33</v>
      </c>
      <c r="AJ607" s="13" t="s">
        <v>33</v>
      </c>
      <c r="AK607" s="13" t="s">
        <v>33</v>
      </c>
      <c r="AL607" s="6">
        <v>0</v>
      </c>
      <c r="AM607" s="13" t="s">
        <v>33</v>
      </c>
    </row>
    <row r="608" spans="1:39" ht="15" customHeight="1" x14ac:dyDescent="0.3">
      <c r="A608" s="6" t="s">
        <v>382</v>
      </c>
      <c r="B608" s="7" t="str">
        <f>Odds_Input!C401</f>
        <v>Khaman Maluach</v>
      </c>
      <c r="C608" s="6" t="s">
        <v>33</v>
      </c>
      <c r="D608" s="7" t="str">
        <f>Odds_Input!D401</f>
        <v>YES</v>
      </c>
      <c r="E608" s="31" t="str">
        <f>Odds_Input!E401</f>
        <v>-</v>
      </c>
      <c r="F608" s="32">
        <f>Odds_Input!F401</f>
        <v>3500</v>
      </c>
      <c r="G608" s="36">
        <f>M_DeVig!H401</f>
        <v>36</v>
      </c>
      <c r="H608" s="7" t="str">
        <f>Odds_Input!G401</f>
        <v>-</v>
      </c>
      <c r="I608" s="42">
        <f>M_DeVig!Q401</f>
        <v>2.1391649147247702E-2</v>
      </c>
      <c r="J608" s="13" t="s">
        <v>33</v>
      </c>
      <c r="K608" s="43">
        <f t="shared" si="132"/>
        <v>4574.7213976658841</v>
      </c>
      <c r="L608" s="13" t="s">
        <v>33</v>
      </c>
      <c r="M608" s="13" t="s">
        <v>33</v>
      </c>
      <c r="N608" s="13" t="s">
        <v>33</v>
      </c>
      <c r="O608" s="13" t="s">
        <v>33</v>
      </c>
      <c r="P608" s="13" t="s">
        <v>33</v>
      </c>
      <c r="Q608" s="13" t="s">
        <v>33</v>
      </c>
      <c r="R608" s="13" t="s">
        <v>33</v>
      </c>
      <c r="S608" s="13" t="s">
        <v>33</v>
      </c>
      <c r="T608" s="13" t="s">
        <v>33</v>
      </c>
      <c r="U608" s="13" t="s">
        <v>33</v>
      </c>
      <c r="V608" s="13" t="s">
        <v>33</v>
      </c>
      <c r="W608" s="6" t="b">
        <v>0</v>
      </c>
      <c r="X608" s="6" t="s">
        <v>1301</v>
      </c>
      <c r="Y608" s="6" t="s">
        <v>1326</v>
      </c>
      <c r="Z608" s="6">
        <v>393</v>
      </c>
      <c r="AA608" s="7" t="str">
        <f t="shared" si="133"/>
        <v>OK - sims match current assumptions</v>
      </c>
      <c r="AB608" s="13" t="s">
        <v>33</v>
      </c>
      <c r="AC608" s="13" t="s">
        <v>33</v>
      </c>
      <c r="AD608" s="13" t="s">
        <v>33</v>
      </c>
      <c r="AE608" s="13" t="s">
        <v>33</v>
      </c>
      <c r="AF608" s="13" t="s">
        <v>33</v>
      </c>
      <c r="AG608" s="13" t="s">
        <v>33</v>
      </c>
      <c r="AH608" s="6" t="b">
        <v>0</v>
      </c>
      <c r="AI608" s="13" t="s">
        <v>33</v>
      </c>
      <c r="AJ608" s="13" t="s">
        <v>33</v>
      </c>
      <c r="AK608" s="13" t="s">
        <v>33</v>
      </c>
      <c r="AL608" s="6">
        <v>0</v>
      </c>
      <c r="AM608" s="13" t="s">
        <v>33</v>
      </c>
    </row>
    <row r="609" spans="1:39" ht="15" customHeight="1" x14ac:dyDescent="0.3">
      <c r="A609" s="6" t="s">
        <v>382</v>
      </c>
      <c r="B609" s="7" t="str">
        <f>Odds_Input!C402</f>
        <v>Dylan Cardwell</v>
      </c>
      <c r="C609" s="6" t="s">
        <v>33</v>
      </c>
      <c r="D609" s="7" t="str">
        <f>Odds_Input!D402</f>
        <v>YES</v>
      </c>
      <c r="E609" s="31" t="str">
        <f>Odds_Input!E402</f>
        <v>-</v>
      </c>
      <c r="F609" s="32">
        <f>Odds_Input!F402</f>
        <v>6000</v>
      </c>
      <c r="G609" s="36">
        <f>M_DeVig!H402</f>
        <v>61</v>
      </c>
      <c r="H609" s="7" t="str">
        <f>Odds_Input!G402</f>
        <v>-</v>
      </c>
      <c r="I609" s="42">
        <f>M_DeVig!Q402</f>
        <v>1.1436803733129549E-2</v>
      </c>
      <c r="J609" s="13" t="s">
        <v>33</v>
      </c>
      <c r="K609" s="43">
        <f t="shared" si="132"/>
        <v>8643.7016786713866</v>
      </c>
      <c r="L609" s="13" t="s">
        <v>33</v>
      </c>
      <c r="M609" s="13" t="s">
        <v>33</v>
      </c>
      <c r="N609" s="13" t="s">
        <v>33</v>
      </c>
      <c r="O609" s="13" t="s">
        <v>33</v>
      </c>
      <c r="P609" s="13" t="s">
        <v>33</v>
      </c>
      <c r="Q609" s="13" t="s">
        <v>33</v>
      </c>
      <c r="R609" s="13" t="s">
        <v>33</v>
      </c>
      <c r="S609" s="13" t="s">
        <v>33</v>
      </c>
      <c r="T609" s="13" t="s">
        <v>33</v>
      </c>
      <c r="U609" s="13" t="s">
        <v>33</v>
      </c>
      <c r="V609" s="13" t="s">
        <v>33</v>
      </c>
      <c r="W609" s="6" t="b">
        <v>0</v>
      </c>
      <c r="X609" s="6" t="s">
        <v>1301</v>
      </c>
      <c r="Y609" s="6" t="s">
        <v>1326</v>
      </c>
      <c r="Z609" s="6">
        <v>394</v>
      </c>
      <c r="AA609" s="7" t="str">
        <f t="shared" si="133"/>
        <v>OK - sims match current assumptions</v>
      </c>
      <c r="AB609" s="13" t="s">
        <v>33</v>
      </c>
      <c r="AC609" s="13" t="s">
        <v>33</v>
      </c>
      <c r="AD609" s="13" t="s">
        <v>33</v>
      </c>
      <c r="AE609" s="13" t="s">
        <v>33</v>
      </c>
      <c r="AF609" s="13" t="s">
        <v>33</v>
      </c>
      <c r="AG609" s="13" t="s">
        <v>33</v>
      </c>
      <c r="AH609" s="6" t="b">
        <v>0</v>
      </c>
      <c r="AI609" s="13" t="s">
        <v>33</v>
      </c>
      <c r="AJ609" s="13" t="s">
        <v>33</v>
      </c>
      <c r="AK609" s="13" t="s">
        <v>33</v>
      </c>
      <c r="AL609" s="6">
        <v>0</v>
      </c>
      <c r="AM609" s="13" t="s">
        <v>33</v>
      </c>
    </row>
    <row r="610" spans="1:39" ht="15" customHeight="1" x14ac:dyDescent="0.3">
      <c r="A610" s="6" t="s">
        <v>382</v>
      </c>
      <c r="B610" s="7" t="str">
        <f>Odds_Input!C403</f>
        <v>Terrence Shannon Jr</v>
      </c>
      <c r="C610" s="6" t="s">
        <v>33</v>
      </c>
      <c r="D610" s="7" t="str">
        <f>Odds_Input!D403</f>
        <v>YES</v>
      </c>
      <c r="E610" s="31" t="str">
        <f>Odds_Input!E403</f>
        <v>-</v>
      </c>
      <c r="F610" s="32">
        <f>Odds_Input!F403</f>
        <v>3500</v>
      </c>
      <c r="G610" s="36">
        <f>M_DeVig!H403</f>
        <v>36</v>
      </c>
      <c r="H610" s="7" t="str">
        <f>Odds_Input!G403</f>
        <v>-</v>
      </c>
      <c r="I610" s="42">
        <f>M_DeVig!Q403</f>
        <v>2.1391649147247702E-2</v>
      </c>
      <c r="J610" s="13" t="s">
        <v>33</v>
      </c>
      <c r="K610" s="43">
        <f t="shared" si="132"/>
        <v>4574.7213976658841</v>
      </c>
      <c r="L610" s="13" t="s">
        <v>33</v>
      </c>
      <c r="M610" s="13" t="s">
        <v>33</v>
      </c>
      <c r="N610" s="13" t="s">
        <v>33</v>
      </c>
      <c r="O610" s="13" t="s">
        <v>33</v>
      </c>
      <c r="P610" s="13" t="s">
        <v>33</v>
      </c>
      <c r="Q610" s="13" t="s">
        <v>33</v>
      </c>
      <c r="R610" s="13" t="s">
        <v>33</v>
      </c>
      <c r="S610" s="13" t="s">
        <v>33</v>
      </c>
      <c r="T610" s="13" t="s">
        <v>33</v>
      </c>
      <c r="U610" s="13" t="s">
        <v>33</v>
      </c>
      <c r="V610" s="13" t="s">
        <v>33</v>
      </c>
      <c r="W610" s="6" t="b">
        <v>0</v>
      </c>
      <c r="X610" s="6" t="s">
        <v>1301</v>
      </c>
      <c r="Y610" s="6" t="s">
        <v>1326</v>
      </c>
      <c r="Z610" s="6">
        <v>395</v>
      </c>
      <c r="AA610" s="7" t="str">
        <f t="shared" si="133"/>
        <v>OK - sims match current assumptions</v>
      </c>
      <c r="AB610" s="13" t="s">
        <v>33</v>
      </c>
      <c r="AC610" s="13" t="s">
        <v>33</v>
      </c>
      <c r="AD610" s="13" t="s">
        <v>33</v>
      </c>
      <c r="AE610" s="13" t="s">
        <v>33</v>
      </c>
      <c r="AF610" s="13" t="s">
        <v>33</v>
      </c>
      <c r="AG610" s="13" t="s">
        <v>33</v>
      </c>
      <c r="AH610" s="6" t="b">
        <v>0</v>
      </c>
      <c r="AI610" s="13" t="s">
        <v>33</v>
      </c>
      <c r="AJ610" s="13" t="s">
        <v>33</v>
      </c>
      <c r="AK610" s="13" t="s">
        <v>33</v>
      </c>
      <c r="AL610" s="6">
        <v>0</v>
      </c>
      <c r="AM610" s="13" t="s">
        <v>33</v>
      </c>
    </row>
    <row r="611" spans="1:39" ht="15" customHeight="1" x14ac:dyDescent="0.3">
      <c r="A611" s="6" t="s">
        <v>382</v>
      </c>
      <c r="B611" s="7" t="str">
        <f>Odds_Input!C404</f>
        <v>Matas Buzelis</v>
      </c>
      <c r="C611" s="6" t="s">
        <v>33</v>
      </c>
      <c r="D611" s="7" t="str">
        <f>Odds_Input!D404</f>
        <v>YES</v>
      </c>
      <c r="E611" s="31" t="str">
        <f>Odds_Input!E404</f>
        <v>-</v>
      </c>
      <c r="F611" s="32">
        <f>Odds_Input!F404</f>
        <v>3500</v>
      </c>
      <c r="G611" s="36">
        <f>M_DeVig!H404</f>
        <v>36</v>
      </c>
      <c r="H611" s="7" t="str">
        <f>Odds_Input!G404</f>
        <v>-</v>
      </c>
      <c r="I611" s="42">
        <f>M_DeVig!Q404</f>
        <v>2.1391649147247702E-2</v>
      </c>
      <c r="J611" s="13" t="s">
        <v>33</v>
      </c>
      <c r="K611" s="43">
        <f t="shared" si="132"/>
        <v>4574.7213976658841</v>
      </c>
      <c r="L611" s="13" t="s">
        <v>33</v>
      </c>
      <c r="M611" s="13" t="s">
        <v>33</v>
      </c>
      <c r="N611" s="13" t="s">
        <v>33</v>
      </c>
      <c r="O611" s="13" t="s">
        <v>33</v>
      </c>
      <c r="P611" s="13" t="s">
        <v>33</v>
      </c>
      <c r="Q611" s="13" t="s">
        <v>33</v>
      </c>
      <c r="R611" s="13" t="s">
        <v>33</v>
      </c>
      <c r="S611" s="13" t="s">
        <v>33</v>
      </c>
      <c r="T611" s="13" t="s">
        <v>33</v>
      </c>
      <c r="U611" s="13" t="s">
        <v>33</v>
      </c>
      <c r="V611" s="13" t="s">
        <v>33</v>
      </c>
      <c r="W611" s="6" t="b">
        <v>0</v>
      </c>
      <c r="X611" s="6" t="s">
        <v>1301</v>
      </c>
      <c r="Y611" s="6" t="s">
        <v>1326</v>
      </c>
      <c r="Z611" s="6">
        <v>396</v>
      </c>
      <c r="AA611" s="7" t="str">
        <f t="shared" si="133"/>
        <v>OK - sims match current assumptions</v>
      </c>
      <c r="AB611" s="13" t="s">
        <v>33</v>
      </c>
      <c r="AC611" s="13" t="s">
        <v>33</v>
      </c>
      <c r="AD611" s="13" t="s">
        <v>33</v>
      </c>
      <c r="AE611" s="13" t="s">
        <v>33</v>
      </c>
      <c r="AF611" s="13" t="s">
        <v>33</v>
      </c>
      <c r="AG611" s="13" t="s">
        <v>33</v>
      </c>
      <c r="AH611" s="6" t="b">
        <v>0</v>
      </c>
      <c r="AI611" s="13" t="s">
        <v>33</v>
      </c>
      <c r="AJ611" s="13" t="s">
        <v>33</v>
      </c>
      <c r="AK611" s="13" t="s">
        <v>33</v>
      </c>
      <c r="AL611" s="6">
        <v>0</v>
      </c>
      <c r="AM611" s="13" t="s">
        <v>33</v>
      </c>
    </row>
    <row r="612" spans="1:39" ht="15" customHeight="1" x14ac:dyDescent="0.3">
      <c r="A612" s="6" t="s">
        <v>382</v>
      </c>
      <c r="B612" s="7" t="str">
        <f>Odds_Input!C405</f>
        <v>Zach Edey</v>
      </c>
      <c r="C612" s="6" t="s">
        <v>33</v>
      </c>
      <c r="D612" s="7" t="str">
        <f>Odds_Input!D405</f>
        <v>YES</v>
      </c>
      <c r="E612" s="31" t="str">
        <f>Odds_Input!E405</f>
        <v>-</v>
      </c>
      <c r="F612" s="32">
        <f>Odds_Input!F405</f>
        <v>2500</v>
      </c>
      <c r="G612" s="36">
        <f>M_DeVig!H405</f>
        <v>26</v>
      </c>
      <c r="H612" s="7" t="str">
        <f>Odds_Input!G405</f>
        <v>-</v>
      </c>
      <c r="I612" s="42">
        <f>M_DeVig!Q405</f>
        <v>3.0827142091591715E-2</v>
      </c>
      <c r="J612" s="13" t="s">
        <v>33</v>
      </c>
      <c r="K612" s="43">
        <f t="shared" si="132"/>
        <v>3143.8946076443326</v>
      </c>
      <c r="L612" s="13" t="s">
        <v>33</v>
      </c>
      <c r="M612" s="13" t="s">
        <v>33</v>
      </c>
      <c r="N612" s="13" t="s">
        <v>33</v>
      </c>
      <c r="O612" s="13" t="s">
        <v>33</v>
      </c>
      <c r="P612" s="13" t="s">
        <v>33</v>
      </c>
      <c r="Q612" s="13" t="s">
        <v>33</v>
      </c>
      <c r="R612" s="13" t="s">
        <v>33</v>
      </c>
      <c r="S612" s="13" t="s">
        <v>33</v>
      </c>
      <c r="T612" s="13" t="s">
        <v>33</v>
      </c>
      <c r="U612" s="13" t="s">
        <v>33</v>
      </c>
      <c r="V612" s="13" t="s">
        <v>33</v>
      </c>
      <c r="W612" s="6" t="b">
        <v>0</v>
      </c>
      <c r="X612" s="6" t="s">
        <v>1301</v>
      </c>
      <c r="Y612" s="6" t="s">
        <v>1326</v>
      </c>
      <c r="Z612" s="6">
        <v>397</v>
      </c>
      <c r="AA612" s="7" t="str">
        <f t="shared" si="133"/>
        <v>OK - sims match current assumptions</v>
      </c>
      <c r="AB612" s="13" t="s">
        <v>33</v>
      </c>
      <c r="AC612" s="13" t="s">
        <v>33</v>
      </c>
      <c r="AD612" s="13" t="s">
        <v>33</v>
      </c>
      <c r="AE612" s="13" t="s">
        <v>33</v>
      </c>
      <c r="AF612" s="13" t="s">
        <v>33</v>
      </c>
      <c r="AG612" s="13" t="s">
        <v>33</v>
      </c>
      <c r="AH612" s="6" t="b">
        <v>0</v>
      </c>
      <c r="AI612" s="13" t="s">
        <v>33</v>
      </c>
      <c r="AJ612" s="13" t="s">
        <v>33</v>
      </c>
      <c r="AK612" s="13" t="s">
        <v>33</v>
      </c>
      <c r="AL612" s="6">
        <v>0</v>
      </c>
      <c r="AM612" s="13" t="s">
        <v>33</v>
      </c>
    </row>
    <row r="613" spans="1:39" ht="15" customHeight="1" x14ac:dyDescent="0.3">
      <c r="A613" s="6" t="s">
        <v>382</v>
      </c>
      <c r="B613" s="7" t="str">
        <f>Odds_Input!C406</f>
        <v>Derik Queen</v>
      </c>
      <c r="C613" s="6" t="s">
        <v>33</v>
      </c>
      <c r="D613" s="7" t="str">
        <f>Odds_Input!D406</f>
        <v>YES</v>
      </c>
      <c r="E613" s="31" t="str">
        <f>Odds_Input!E406</f>
        <v>-</v>
      </c>
      <c r="F613" s="32">
        <f>Odds_Input!F406</f>
        <v>5000</v>
      </c>
      <c r="G613" s="36">
        <f>M_DeVig!H406</f>
        <v>51</v>
      </c>
      <c r="H613" s="7" t="str">
        <f>Odds_Input!G406</f>
        <v>-</v>
      </c>
      <c r="I613" s="42">
        <f>M_DeVig!Q406</f>
        <v>1.4227555071545637E-2</v>
      </c>
      <c r="J613" s="13" t="s">
        <v>33</v>
      </c>
      <c r="K613" s="43">
        <f t="shared" si="132"/>
        <v>6928.6145087566556</v>
      </c>
      <c r="L613" s="13" t="s">
        <v>33</v>
      </c>
      <c r="M613" s="13" t="s">
        <v>33</v>
      </c>
      <c r="N613" s="13" t="s">
        <v>33</v>
      </c>
      <c r="O613" s="13" t="s">
        <v>33</v>
      </c>
      <c r="P613" s="13" t="s">
        <v>33</v>
      </c>
      <c r="Q613" s="13" t="s">
        <v>33</v>
      </c>
      <c r="R613" s="13" t="s">
        <v>33</v>
      </c>
      <c r="S613" s="13" t="s">
        <v>33</v>
      </c>
      <c r="T613" s="13" t="s">
        <v>33</v>
      </c>
      <c r="U613" s="13" t="s">
        <v>33</v>
      </c>
      <c r="V613" s="13" t="s">
        <v>33</v>
      </c>
      <c r="W613" s="6" t="b">
        <v>0</v>
      </c>
      <c r="X613" s="6" t="s">
        <v>1301</v>
      </c>
      <c r="Y613" s="6" t="s">
        <v>1326</v>
      </c>
      <c r="Z613" s="6">
        <v>398</v>
      </c>
      <c r="AA613" s="7" t="str">
        <f t="shared" si="133"/>
        <v>OK - sims match current assumptions</v>
      </c>
      <c r="AB613" s="13" t="s">
        <v>33</v>
      </c>
      <c r="AC613" s="13" t="s">
        <v>33</v>
      </c>
      <c r="AD613" s="13" t="s">
        <v>33</v>
      </c>
      <c r="AE613" s="13" t="s">
        <v>33</v>
      </c>
      <c r="AF613" s="13" t="s">
        <v>33</v>
      </c>
      <c r="AG613" s="13" t="s">
        <v>33</v>
      </c>
      <c r="AH613" s="6" t="b">
        <v>0</v>
      </c>
      <c r="AI613" s="13" t="s">
        <v>33</v>
      </c>
      <c r="AJ613" s="13" t="s">
        <v>33</v>
      </c>
      <c r="AK613" s="13" t="s">
        <v>33</v>
      </c>
      <c r="AL613" s="6">
        <v>0</v>
      </c>
      <c r="AM613" s="13" t="s">
        <v>33</v>
      </c>
    </row>
    <row r="614" spans="1:39" ht="15" customHeight="1" x14ac:dyDescent="0.3">
      <c r="A614" s="6" t="s">
        <v>382</v>
      </c>
      <c r="B614" s="7" t="str">
        <f>Odds_Input!C407</f>
        <v>VJ Edgecombe</v>
      </c>
      <c r="C614" s="6" t="s">
        <v>33</v>
      </c>
      <c r="D614" s="7" t="str">
        <f>Odds_Input!D407</f>
        <v>YES</v>
      </c>
      <c r="E614" s="31" t="str">
        <f>Odds_Input!E407</f>
        <v>-</v>
      </c>
      <c r="F614" s="32">
        <f>Odds_Input!F407</f>
        <v>4000</v>
      </c>
      <c r="G614" s="36">
        <f>M_DeVig!H407</f>
        <v>41</v>
      </c>
      <c r="H614" s="7" t="str">
        <f>Odds_Input!G407</f>
        <v>-</v>
      </c>
      <c r="I614" s="42">
        <f>M_DeVig!Q407</f>
        <v>1.8412743290328503E-2</v>
      </c>
      <c r="J614" s="13" t="s">
        <v>33</v>
      </c>
      <c r="K614" s="43">
        <f t="shared" si="132"/>
        <v>5331.0212456242798</v>
      </c>
      <c r="L614" s="13" t="s">
        <v>33</v>
      </c>
      <c r="M614" s="13" t="s">
        <v>33</v>
      </c>
      <c r="N614" s="13" t="s">
        <v>33</v>
      </c>
      <c r="O614" s="13" t="s">
        <v>33</v>
      </c>
      <c r="P614" s="13" t="s">
        <v>33</v>
      </c>
      <c r="Q614" s="13" t="s">
        <v>33</v>
      </c>
      <c r="R614" s="13" t="s">
        <v>33</v>
      </c>
      <c r="S614" s="13" t="s">
        <v>33</v>
      </c>
      <c r="T614" s="13" t="s">
        <v>33</v>
      </c>
      <c r="U614" s="13" t="s">
        <v>33</v>
      </c>
      <c r="V614" s="13" t="s">
        <v>33</v>
      </c>
      <c r="W614" s="6" t="b">
        <v>0</v>
      </c>
      <c r="X614" s="6" t="s">
        <v>1301</v>
      </c>
      <c r="Y614" s="6" t="s">
        <v>1326</v>
      </c>
      <c r="Z614" s="6">
        <v>399</v>
      </c>
      <c r="AA614" s="7" t="str">
        <f t="shared" si="133"/>
        <v>OK - sims match current assumptions</v>
      </c>
      <c r="AB614" s="13" t="s">
        <v>33</v>
      </c>
      <c r="AC614" s="13" t="s">
        <v>33</v>
      </c>
      <c r="AD614" s="13" t="s">
        <v>33</v>
      </c>
      <c r="AE614" s="13" t="s">
        <v>33</v>
      </c>
      <c r="AF614" s="13" t="s">
        <v>33</v>
      </c>
      <c r="AG614" s="13" t="s">
        <v>33</v>
      </c>
      <c r="AH614" s="6" t="b">
        <v>0</v>
      </c>
      <c r="AI614" s="13" t="s">
        <v>33</v>
      </c>
      <c r="AJ614" s="13" t="s">
        <v>33</v>
      </c>
      <c r="AK614" s="13" t="s">
        <v>33</v>
      </c>
      <c r="AL614" s="6">
        <v>0</v>
      </c>
      <c r="AM614" s="13" t="s">
        <v>33</v>
      </c>
    </row>
    <row r="615" spans="1:39" ht="15" customHeight="1" x14ac:dyDescent="0.3">
      <c r="A615" s="6" t="s">
        <v>382</v>
      </c>
      <c r="B615" s="7" t="str">
        <f>Odds_Input!C408</f>
        <v>Walker Kessler</v>
      </c>
      <c r="C615" s="6" t="s">
        <v>33</v>
      </c>
      <c r="D615" s="7" t="str">
        <f>Odds_Input!D408</f>
        <v>YES</v>
      </c>
      <c r="E615" s="31" t="str">
        <f>Odds_Input!E408</f>
        <v>-</v>
      </c>
      <c r="F615" s="32">
        <f>Odds_Input!F408</f>
        <v>2200</v>
      </c>
      <c r="G615" s="36">
        <f>M_DeVig!H408</f>
        <v>23</v>
      </c>
      <c r="H615" s="7" t="str">
        <f>Odds_Input!G408</f>
        <v>-</v>
      </c>
      <c r="I615" s="42">
        <f>M_DeVig!Q408</f>
        <v>3.5269727747451587E-2</v>
      </c>
      <c r="J615" s="13" t="s">
        <v>33</v>
      </c>
      <c r="K615" s="43">
        <f t="shared" si="132"/>
        <v>2735.2926542571763</v>
      </c>
      <c r="L615" s="13" t="s">
        <v>33</v>
      </c>
      <c r="M615" s="13" t="s">
        <v>33</v>
      </c>
      <c r="N615" s="13" t="s">
        <v>33</v>
      </c>
      <c r="O615" s="13" t="s">
        <v>33</v>
      </c>
      <c r="P615" s="13" t="s">
        <v>33</v>
      </c>
      <c r="Q615" s="13" t="s">
        <v>33</v>
      </c>
      <c r="R615" s="13" t="s">
        <v>33</v>
      </c>
      <c r="S615" s="13" t="s">
        <v>33</v>
      </c>
      <c r="T615" s="13" t="s">
        <v>33</v>
      </c>
      <c r="U615" s="13" t="s">
        <v>33</v>
      </c>
      <c r="V615" s="13" t="s">
        <v>33</v>
      </c>
      <c r="W615" s="6" t="b">
        <v>0</v>
      </c>
      <c r="X615" s="6" t="s">
        <v>1301</v>
      </c>
      <c r="Y615" s="6" t="s">
        <v>1326</v>
      </c>
      <c r="Z615" s="6">
        <v>400</v>
      </c>
      <c r="AA615" s="7" t="str">
        <f t="shared" si="133"/>
        <v>OK - sims match current assumptions</v>
      </c>
      <c r="AB615" s="13" t="s">
        <v>33</v>
      </c>
      <c r="AC615" s="13" t="s">
        <v>33</v>
      </c>
      <c r="AD615" s="13" t="s">
        <v>33</v>
      </c>
      <c r="AE615" s="13" t="s">
        <v>33</v>
      </c>
      <c r="AF615" s="13" t="s">
        <v>33</v>
      </c>
      <c r="AG615" s="13" t="s">
        <v>33</v>
      </c>
      <c r="AH615" s="6" t="b">
        <v>0</v>
      </c>
      <c r="AI615" s="13" t="s">
        <v>33</v>
      </c>
      <c r="AJ615" s="13" t="s">
        <v>33</v>
      </c>
      <c r="AK615" s="13" t="s">
        <v>33</v>
      </c>
      <c r="AL615" s="6">
        <v>0</v>
      </c>
      <c r="AM615" s="13" t="s">
        <v>33</v>
      </c>
    </row>
    <row r="616" spans="1:39" ht="15" customHeight="1" x14ac:dyDescent="0.3">
      <c r="A616" s="6" t="s">
        <v>382</v>
      </c>
      <c r="B616" s="7" t="str">
        <f>Odds_Input!C409</f>
        <v>Jaden McDaniels</v>
      </c>
      <c r="C616" s="6" t="s">
        <v>33</v>
      </c>
      <c r="D616" s="7" t="str">
        <f>Odds_Input!D409</f>
        <v>YES</v>
      </c>
      <c r="E616" s="31" t="str">
        <f>Odds_Input!E409</f>
        <v>-</v>
      </c>
      <c r="F616" s="32">
        <f>Odds_Input!F409</f>
        <v>3000</v>
      </c>
      <c r="G616" s="36">
        <f>M_DeVig!H409</f>
        <v>31</v>
      </c>
      <c r="H616" s="7" t="str">
        <f>Odds_Input!G409</f>
        <v>-</v>
      </c>
      <c r="I616" s="42">
        <f>M_DeVig!Q409</f>
        <v>2.5342779730778101E-2</v>
      </c>
      <c r="J616" s="13" t="s">
        <v>33</v>
      </c>
      <c r="K616" s="43">
        <f t="shared" si="132"/>
        <v>3845.8970587410649</v>
      </c>
      <c r="L616" s="13" t="s">
        <v>33</v>
      </c>
      <c r="M616" s="13" t="s">
        <v>33</v>
      </c>
      <c r="N616" s="13" t="s">
        <v>33</v>
      </c>
      <c r="O616" s="13" t="s">
        <v>33</v>
      </c>
      <c r="P616" s="13" t="s">
        <v>33</v>
      </c>
      <c r="Q616" s="13" t="s">
        <v>33</v>
      </c>
      <c r="R616" s="13" t="s">
        <v>33</v>
      </c>
      <c r="S616" s="13" t="s">
        <v>33</v>
      </c>
      <c r="T616" s="13" t="s">
        <v>33</v>
      </c>
      <c r="U616" s="13" t="s">
        <v>33</v>
      </c>
      <c r="V616" s="13" t="s">
        <v>33</v>
      </c>
      <c r="W616" s="6" t="b">
        <v>0</v>
      </c>
      <c r="X616" s="6" t="s">
        <v>1301</v>
      </c>
      <c r="Y616" s="6" t="s">
        <v>1326</v>
      </c>
      <c r="Z616" s="6">
        <v>401</v>
      </c>
      <c r="AA616" s="7" t="str">
        <f t="shared" si="133"/>
        <v>OK - sims match current assumptions</v>
      </c>
      <c r="AB616" s="13" t="s">
        <v>33</v>
      </c>
      <c r="AC616" s="13" t="s">
        <v>33</v>
      </c>
      <c r="AD616" s="13" t="s">
        <v>33</v>
      </c>
      <c r="AE616" s="13" t="s">
        <v>33</v>
      </c>
      <c r="AF616" s="13" t="s">
        <v>33</v>
      </c>
      <c r="AG616" s="13" t="s">
        <v>33</v>
      </c>
      <c r="AH616" s="6" t="b">
        <v>0</v>
      </c>
      <c r="AI616" s="13" t="s">
        <v>33</v>
      </c>
      <c r="AJ616" s="13" t="s">
        <v>33</v>
      </c>
      <c r="AK616" s="13" t="s">
        <v>33</v>
      </c>
      <c r="AL616" s="6">
        <v>0</v>
      </c>
      <c r="AM616" s="13" t="s">
        <v>33</v>
      </c>
    </row>
    <row r="617" spans="1:39" ht="15" customHeight="1" x14ac:dyDescent="0.3">
      <c r="A617" s="6" t="s">
        <v>382</v>
      </c>
      <c r="B617" s="7" t="str">
        <f>Odds_Input!C410</f>
        <v>Joan Beringer</v>
      </c>
      <c r="C617" s="6" t="s">
        <v>33</v>
      </c>
      <c r="D617" s="7" t="str">
        <f>Odds_Input!D410</f>
        <v>YES</v>
      </c>
      <c r="E617" s="31" t="str">
        <f>Odds_Input!E410</f>
        <v>-</v>
      </c>
      <c r="F617" s="32">
        <f>Odds_Input!F410</f>
        <v>6000</v>
      </c>
      <c r="G617" s="36">
        <f>M_DeVig!H410</f>
        <v>61</v>
      </c>
      <c r="H617" s="7" t="str">
        <f>Odds_Input!G410</f>
        <v>-</v>
      </c>
      <c r="I617" s="42">
        <f>M_DeVig!Q410</f>
        <v>1.1436803733129549E-2</v>
      </c>
      <c r="J617" s="13" t="s">
        <v>33</v>
      </c>
      <c r="K617" s="43">
        <f t="shared" si="132"/>
        <v>8643.7016786713866</v>
      </c>
      <c r="L617" s="13" t="s">
        <v>33</v>
      </c>
      <c r="M617" s="13" t="s">
        <v>33</v>
      </c>
      <c r="N617" s="13" t="s">
        <v>33</v>
      </c>
      <c r="O617" s="13" t="s">
        <v>33</v>
      </c>
      <c r="P617" s="13" t="s">
        <v>33</v>
      </c>
      <c r="Q617" s="13" t="s">
        <v>33</v>
      </c>
      <c r="R617" s="13" t="s">
        <v>33</v>
      </c>
      <c r="S617" s="13" t="s">
        <v>33</v>
      </c>
      <c r="T617" s="13" t="s">
        <v>33</v>
      </c>
      <c r="U617" s="13" t="s">
        <v>33</v>
      </c>
      <c r="V617" s="13" t="s">
        <v>33</v>
      </c>
      <c r="W617" s="6" t="b">
        <v>0</v>
      </c>
      <c r="X617" s="6" t="s">
        <v>1301</v>
      </c>
      <c r="Y617" s="6" t="s">
        <v>1326</v>
      </c>
      <c r="Z617" s="6">
        <v>402</v>
      </c>
      <c r="AA617" s="7" t="str">
        <f t="shared" si="133"/>
        <v>OK - sims match current assumptions</v>
      </c>
      <c r="AB617" s="13" t="s">
        <v>33</v>
      </c>
      <c r="AC617" s="13" t="s">
        <v>33</v>
      </c>
      <c r="AD617" s="13" t="s">
        <v>33</v>
      </c>
      <c r="AE617" s="13" t="s">
        <v>33</v>
      </c>
      <c r="AF617" s="13" t="s">
        <v>33</v>
      </c>
      <c r="AG617" s="13" t="s">
        <v>33</v>
      </c>
      <c r="AH617" s="6" t="b">
        <v>0</v>
      </c>
      <c r="AI617" s="13" t="s">
        <v>33</v>
      </c>
      <c r="AJ617" s="13" t="s">
        <v>33</v>
      </c>
      <c r="AK617" s="13" t="s">
        <v>33</v>
      </c>
      <c r="AL617" s="6">
        <v>0</v>
      </c>
      <c r="AM617" s="13" t="s">
        <v>33</v>
      </c>
    </row>
    <row r="618" spans="1:39" ht="15" customHeight="1" x14ac:dyDescent="0.3">
      <c r="A618" s="6" t="s">
        <v>382</v>
      </c>
      <c r="B618" s="7" t="str">
        <f>Odds_Input!C411</f>
        <v>Alex Sarr</v>
      </c>
      <c r="C618" s="6" t="s">
        <v>33</v>
      </c>
      <c r="D618" s="7" t="str">
        <f>Odds_Input!D411</f>
        <v>YES</v>
      </c>
      <c r="E618" s="31" t="str">
        <f>Odds_Input!E411</f>
        <v>-</v>
      </c>
      <c r="F618" s="32">
        <f>Odds_Input!F411</f>
        <v>4500</v>
      </c>
      <c r="G618" s="36">
        <f>M_DeVig!H411</f>
        <v>46</v>
      </c>
      <c r="H618" s="7" t="str">
        <f>Odds_Input!G411</f>
        <v>-</v>
      </c>
      <c r="I618" s="42">
        <f>M_DeVig!Q411</f>
        <v>1.6088963089998683E-2</v>
      </c>
      <c r="J618" s="13" t="s">
        <v>33</v>
      </c>
      <c r="K618" s="43">
        <f t="shared" si="132"/>
        <v>6115.4409479727501</v>
      </c>
      <c r="L618" s="13" t="s">
        <v>33</v>
      </c>
      <c r="M618" s="13" t="s">
        <v>33</v>
      </c>
      <c r="N618" s="13" t="s">
        <v>33</v>
      </c>
      <c r="O618" s="13" t="s">
        <v>33</v>
      </c>
      <c r="P618" s="13" t="s">
        <v>33</v>
      </c>
      <c r="Q618" s="13" t="s">
        <v>33</v>
      </c>
      <c r="R618" s="13" t="s">
        <v>33</v>
      </c>
      <c r="S618" s="13" t="s">
        <v>33</v>
      </c>
      <c r="T618" s="13" t="s">
        <v>33</v>
      </c>
      <c r="U618" s="13" t="s">
        <v>33</v>
      </c>
      <c r="V618" s="13" t="s">
        <v>33</v>
      </c>
      <c r="W618" s="6" t="b">
        <v>0</v>
      </c>
      <c r="X618" s="6" t="s">
        <v>1301</v>
      </c>
      <c r="Y618" s="6" t="s">
        <v>1326</v>
      </c>
      <c r="Z618" s="6">
        <v>403</v>
      </c>
      <c r="AA618" s="7" t="str">
        <f t="shared" si="133"/>
        <v>OK - sims match current assumptions</v>
      </c>
      <c r="AB618" s="13" t="s">
        <v>33</v>
      </c>
      <c r="AC618" s="13" t="s">
        <v>33</v>
      </c>
      <c r="AD618" s="13" t="s">
        <v>33</v>
      </c>
      <c r="AE618" s="13" t="s">
        <v>33</v>
      </c>
      <c r="AF618" s="13" t="s">
        <v>33</v>
      </c>
      <c r="AG618" s="13" t="s">
        <v>33</v>
      </c>
      <c r="AH618" s="6" t="b">
        <v>0</v>
      </c>
      <c r="AI618" s="13" t="s">
        <v>33</v>
      </c>
      <c r="AJ618" s="13" t="s">
        <v>33</v>
      </c>
      <c r="AK618" s="13" t="s">
        <v>33</v>
      </c>
      <c r="AL618" s="6">
        <v>0</v>
      </c>
      <c r="AM618" s="13" t="s">
        <v>33</v>
      </c>
    </row>
    <row r="619" spans="1:39" ht="15" customHeight="1" x14ac:dyDescent="0.3">
      <c r="A619" s="6" t="s">
        <v>382</v>
      </c>
      <c r="B619" s="7" t="str">
        <f>Odds_Input!C412</f>
        <v>Ousmane Dieng</v>
      </c>
      <c r="C619" s="6" t="s">
        <v>33</v>
      </c>
      <c r="D619" s="7" t="str">
        <f>Odds_Input!D412</f>
        <v>YES</v>
      </c>
      <c r="E619" s="31" t="str">
        <f>Odds_Input!E412</f>
        <v>-</v>
      </c>
      <c r="F619" s="32">
        <f>Odds_Input!F412</f>
        <v>5500</v>
      </c>
      <c r="G619" s="36">
        <f>M_DeVig!H412</f>
        <v>56</v>
      </c>
      <c r="H619" s="7" t="str">
        <f>Odds_Input!G412</f>
        <v>-</v>
      </c>
      <c r="I619" s="42">
        <f>M_DeVig!Q412</f>
        <v>1.2704600275982325E-2</v>
      </c>
      <c r="J619" s="13" t="s">
        <v>33</v>
      </c>
      <c r="K619" s="43">
        <f t="shared" si="132"/>
        <v>7771.1646039779043</v>
      </c>
      <c r="L619" s="13" t="s">
        <v>33</v>
      </c>
      <c r="M619" s="13" t="s">
        <v>33</v>
      </c>
      <c r="N619" s="13" t="s">
        <v>33</v>
      </c>
      <c r="O619" s="13" t="s">
        <v>33</v>
      </c>
      <c r="P619" s="13" t="s">
        <v>33</v>
      </c>
      <c r="Q619" s="13" t="s">
        <v>33</v>
      </c>
      <c r="R619" s="13" t="s">
        <v>33</v>
      </c>
      <c r="S619" s="13" t="s">
        <v>33</v>
      </c>
      <c r="T619" s="13" t="s">
        <v>33</v>
      </c>
      <c r="U619" s="13" t="s">
        <v>33</v>
      </c>
      <c r="V619" s="13" t="s">
        <v>33</v>
      </c>
      <c r="W619" s="6" t="b">
        <v>0</v>
      </c>
      <c r="X619" s="6" t="s">
        <v>1301</v>
      </c>
      <c r="Y619" s="6" t="s">
        <v>1326</v>
      </c>
      <c r="Z619" s="6">
        <v>404</v>
      </c>
      <c r="AA619" s="7" t="str">
        <f t="shared" si="133"/>
        <v>OK - sims match current assumptions</v>
      </c>
      <c r="AB619" s="13" t="s">
        <v>33</v>
      </c>
      <c r="AC619" s="13" t="s">
        <v>33</v>
      </c>
      <c r="AD619" s="13" t="s">
        <v>33</v>
      </c>
      <c r="AE619" s="13" t="s">
        <v>33</v>
      </c>
      <c r="AF619" s="13" t="s">
        <v>33</v>
      </c>
      <c r="AG619" s="13" t="s">
        <v>33</v>
      </c>
      <c r="AH619" s="6" t="b">
        <v>0</v>
      </c>
      <c r="AI619" s="13" t="s">
        <v>33</v>
      </c>
      <c r="AJ619" s="13" t="s">
        <v>33</v>
      </c>
      <c r="AK619" s="13" t="s">
        <v>33</v>
      </c>
      <c r="AL619" s="6">
        <v>0</v>
      </c>
      <c r="AM619" s="13" t="s">
        <v>33</v>
      </c>
    </row>
    <row r="620" spans="1:39" ht="15" customHeight="1" x14ac:dyDescent="0.3">
      <c r="A620" s="6" t="s">
        <v>382</v>
      </c>
      <c r="B620" s="7" t="str">
        <f>Odds_Input!C413</f>
        <v>Jared McCain</v>
      </c>
      <c r="C620" s="6" t="s">
        <v>33</v>
      </c>
      <c r="D620" s="7" t="str">
        <f>Odds_Input!D413</f>
        <v>YES</v>
      </c>
      <c r="E620" s="31" t="str">
        <f>Odds_Input!E413</f>
        <v>-</v>
      </c>
      <c r="F620" s="32">
        <f>Odds_Input!F413</f>
        <v>5000</v>
      </c>
      <c r="G620" s="36">
        <f>M_DeVig!H413</f>
        <v>51</v>
      </c>
      <c r="H620" s="7" t="str">
        <f>Odds_Input!G413</f>
        <v>-</v>
      </c>
      <c r="I620" s="42">
        <f>M_DeVig!Q413</f>
        <v>1.4227555071545637E-2</v>
      </c>
      <c r="J620" s="13" t="s">
        <v>33</v>
      </c>
      <c r="K620" s="43">
        <f t="shared" si="132"/>
        <v>6928.6145087566556</v>
      </c>
      <c r="L620" s="13" t="s">
        <v>33</v>
      </c>
      <c r="M620" s="13" t="s">
        <v>33</v>
      </c>
      <c r="N620" s="13" t="s">
        <v>33</v>
      </c>
      <c r="O620" s="13" t="s">
        <v>33</v>
      </c>
      <c r="P620" s="13" t="s">
        <v>33</v>
      </c>
      <c r="Q620" s="13" t="s">
        <v>33</v>
      </c>
      <c r="R620" s="13" t="s">
        <v>33</v>
      </c>
      <c r="S620" s="13" t="s">
        <v>33</v>
      </c>
      <c r="T620" s="13" t="s">
        <v>33</v>
      </c>
      <c r="U620" s="13" t="s">
        <v>33</v>
      </c>
      <c r="V620" s="13" t="s">
        <v>33</v>
      </c>
      <c r="W620" s="6" t="b">
        <v>0</v>
      </c>
      <c r="X620" s="6" t="s">
        <v>1301</v>
      </c>
      <c r="Y620" s="6" t="s">
        <v>1326</v>
      </c>
      <c r="Z620" s="6">
        <v>405</v>
      </c>
      <c r="AA620" s="7" t="str">
        <f t="shared" si="133"/>
        <v>OK - sims match current assumptions</v>
      </c>
      <c r="AB620" s="13" t="s">
        <v>33</v>
      </c>
      <c r="AC620" s="13" t="s">
        <v>33</v>
      </c>
      <c r="AD620" s="13" t="s">
        <v>33</v>
      </c>
      <c r="AE620" s="13" t="s">
        <v>33</v>
      </c>
      <c r="AF620" s="13" t="s">
        <v>33</v>
      </c>
      <c r="AG620" s="13" t="s">
        <v>33</v>
      </c>
      <c r="AH620" s="6" t="b">
        <v>0</v>
      </c>
      <c r="AI620" s="13" t="s">
        <v>33</v>
      </c>
      <c r="AJ620" s="13" t="s">
        <v>33</v>
      </c>
      <c r="AK620" s="13" t="s">
        <v>33</v>
      </c>
      <c r="AL620" s="6">
        <v>0</v>
      </c>
      <c r="AM620" s="13" t="s">
        <v>33</v>
      </c>
    </row>
    <row r="621" spans="1:39" ht="15" customHeight="1" x14ac:dyDescent="0.3">
      <c r="A621" s="6" t="s">
        <v>382</v>
      </c>
      <c r="B621" s="7" t="str">
        <f>Odds_Input!C414</f>
        <v>Ausar Thompson</v>
      </c>
      <c r="C621" s="6" t="s">
        <v>33</v>
      </c>
      <c r="D621" s="7" t="str">
        <f>Odds_Input!D414</f>
        <v>YES</v>
      </c>
      <c r="E621" s="31" t="str">
        <f>Odds_Input!E414</f>
        <v>-</v>
      </c>
      <c r="F621" s="32">
        <f>Odds_Input!F414</f>
        <v>1800</v>
      </c>
      <c r="G621" s="36">
        <f>M_DeVig!H414</f>
        <v>19</v>
      </c>
      <c r="H621" s="7" t="str">
        <f>Odds_Input!G414</f>
        <v>-</v>
      </c>
      <c r="I621" s="42">
        <f>M_DeVig!Q414</f>
        <v>4.3386006952802543E-2</v>
      </c>
      <c r="J621" s="13" t="s">
        <v>33</v>
      </c>
      <c r="K621" s="43">
        <f t="shared" si="132"/>
        <v>2204.8906092875745</v>
      </c>
      <c r="L621" s="13" t="s">
        <v>33</v>
      </c>
      <c r="M621" s="13" t="s">
        <v>33</v>
      </c>
      <c r="N621" s="13" t="s">
        <v>33</v>
      </c>
      <c r="O621" s="13" t="s">
        <v>33</v>
      </c>
      <c r="P621" s="13" t="s">
        <v>33</v>
      </c>
      <c r="Q621" s="13" t="s">
        <v>33</v>
      </c>
      <c r="R621" s="13" t="s">
        <v>33</v>
      </c>
      <c r="S621" s="13" t="s">
        <v>33</v>
      </c>
      <c r="T621" s="13" t="s">
        <v>33</v>
      </c>
      <c r="U621" s="13" t="s">
        <v>33</v>
      </c>
      <c r="V621" s="13" t="s">
        <v>33</v>
      </c>
      <c r="W621" s="6" t="b">
        <v>0</v>
      </c>
      <c r="X621" s="6" t="s">
        <v>1301</v>
      </c>
      <c r="Y621" s="6" t="s">
        <v>1326</v>
      </c>
      <c r="Z621" s="6">
        <v>406</v>
      </c>
      <c r="AA621" s="7" t="str">
        <f t="shared" si="133"/>
        <v>OK - sims match current assumptions</v>
      </c>
      <c r="AB621" s="13" t="s">
        <v>33</v>
      </c>
      <c r="AC621" s="13" t="s">
        <v>33</v>
      </c>
      <c r="AD621" s="13" t="s">
        <v>33</v>
      </c>
      <c r="AE621" s="13" t="s">
        <v>33</v>
      </c>
      <c r="AF621" s="13" t="s">
        <v>33</v>
      </c>
      <c r="AG621" s="13" t="s">
        <v>33</v>
      </c>
      <c r="AH621" s="6" t="b">
        <v>0</v>
      </c>
      <c r="AI621" s="13" t="s">
        <v>33</v>
      </c>
      <c r="AJ621" s="13" t="s">
        <v>33</v>
      </c>
      <c r="AK621" s="13" t="s">
        <v>33</v>
      </c>
      <c r="AL621" s="6">
        <v>0</v>
      </c>
      <c r="AM621" s="13" t="s">
        <v>33</v>
      </c>
    </row>
    <row r="622" spans="1:39" ht="15" customHeight="1" x14ac:dyDescent="0.3">
      <c r="A622" s="6" t="s">
        <v>382</v>
      </c>
      <c r="B622" s="7" t="str">
        <f>Odds_Input!C415</f>
        <v>Ajay Mitchell</v>
      </c>
      <c r="C622" s="6" t="s">
        <v>33</v>
      </c>
      <c r="D622" s="7" t="str">
        <f>Odds_Input!D415</f>
        <v>YES</v>
      </c>
      <c r="E622" s="31" t="str">
        <f>Odds_Input!E415</f>
        <v>-</v>
      </c>
      <c r="F622" s="32">
        <f>Odds_Input!F415</f>
        <v>3000</v>
      </c>
      <c r="G622" s="36">
        <f>M_DeVig!H415</f>
        <v>31</v>
      </c>
      <c r="H622" s="7" t="str">
        <f>Odds_Input!G415</f>
        <v>-</v>
      </c>
      <c r="I622" s="42">
        <f>M_DeVig!Q415</f>
        <v>2.5342779730778101E-2</v>
      </c>
      <c r="J622" s="13" t="s">
        <v>33</v>
      </c>
      <c r="K622" s="43">
        <f t="shared" si="132"/>
        <v>3845.8970587410649</v>
      </c>
      <c r="L622" s="13" t="s">
        <v>33</v>
      </c>
      <c r="M622" s="13" t="s">
        <v>33</v>
      </c>
      <c r="N622" s="13" t="s">
        <v>33</v>
      </c>
      <c r="O622" s="13" t="s">
        <v>33</v>
      </c>
      <c r="P622" s="13" t="s">
        <v>33</v>
      </c>
      <c r="Q622" s="13" t="s">
        <v>33</v>
      </c>
      <c r="R622" s="13" t="s">
        <v>33</v>
      </c>
      <c r="S622" s="13" t="s">
        <v>33</v>
      </c>
      <c r="T622" s="13" t="s">
        <v>33</v>
      </c>
      <c r="U622" s="13" t="s">
        <v>33</v>
      </c>
      <c r="V622" s="13" t="s">
        <v>33</v>
      </c>
      <c r="W622" s="6" t="b">
        <v>0</v>
      </c>
      <c r="X622" s="6" t="s">
        <v>1301</v>
      </c>
      <c r="Y622" s="6" t="s">
        <v>1326</v>
      </c>
      <c r="Z622" s="6">
        <v>407</v>
      </c>
      <c r="AA622" s="7" t="str">
        <f t="shared" si="133"/>
        <v>OK - sims match current assumptions</v>
      </c>
      <c r="AB622" s="13" t="s">
        <v>33</v>
      </c>
      <c r="AC622" s="13" t="s">
        <v>33</v>
      </c>
      <c r="AD622" s="13" t="s">
        <v>33</v>
      </c>
      <c r="AE622" s="13" t="s">
        <v>33</v>
      </c>
      <c r="AF622" s="13" t="s">
        <v>33</v>
      </c>
      <c r="AG622" s="13" t="s">
        <v>33</v>
      </c>
      <c r="AH622" s="6" t="b">
        <v>0</v>
      </c>
      <c r="AI622" s="13" t="s">
        <v>33</v>
      </c>
      <c r="AJ622" s="13" t="s">
        <v>33</v>
      </c>
      <c r="AK622" s="13" t="s">
        <v>33</v>
      </c>
      <c r="AL622" s="6">
        <v>0</v>
      </c>
      <c r="AM622" s="13" t="s">
        <v>33</v>
      </c>
    </row>
    <row r="623" spans="1:39" ht="15" customHeight="1" x14ac:dyDescent="0.3">
      <c r="A623" s="6" t="s">
        <v>382</v>
      </c>
      <c r="B623" s="7" t="str">
        <f>Odds_Input!C416</f>
        <v>Jase Richardson</v>
      </c>
      <c r="C623" s="6" t="s">
        <v>33</v>
      </c>
      <c r="D623" s="7" t="str">
        <f>Odds_Input!D416</f>
        <v>YES</v>
      </c>
      <c r="E623" s="31" t="str">
        <f>Odds_Input!E416</f>
        <v>-</v>
      </c>
      <c r="F623" s="32">
        <f>Odds_Input!F416</f>
        <v>6000</v>
      </c>
      <c r="G623" s="36">
        <f>M_DeVig!H416</f>
        <v>61</v>
      </c>
      <c r="H623" s="7" t="str">
        <f>Odds_Input!G416</f>
        <v>-</v>
      </c>
      <c r="I623" s="42">
        <f>M_DeVig!Q416</f>
        <v>1.1436803733129549E-2</v>
      </c>
      <c r="J623" s="13" t="s">
        <v>33</v>
      </c>
      <c r="K623" s="43">
        <f t="shared" si="132"/>
        <v>8643.7016786713866</v>
      </c>
      <c r="L623" s="13" t="s">
        <v>33</v>
      </c>
      <c r="M623" s="13" t="s">
        <v>33</v>
      </c>
      <c r="N623" s="13" t="s">
        <v>33</v>
      </c>
      <c r="O623" s="13" t="s">
        <v>33</v>
      </c>
      <c r="P623" s="13" t="s">
        <v>33</v>
      </c>
      <c r="Q623" s="13" t="s">
        <v>33</v>
      </c>
      <c r="R623" s="13" t="s">
        <v>33</v>
      </c>
      <c r="S623" s="13" t="s">
        <v>33</v>
      </c>
      <c r="T623" s="13" t="s">
        <v>33</v>
      </c>
      <c r="U623" s="13" t="s">
        <v>33</v>
      </c>
      <c r="V623" s="13" t="s">
        <v>33</v>
      </c>
      <c r="W623" s="6" t="b">
        <v>0</v>
      </c>
      <c r="X623" s="6" t="s">
        <v>1301</v>
      </c>
      <c r="Y623" s="6" t="s">
        <v>1326</v>
      </c>
      <c r="Z623" s="6">
        <v>408</v>
      </c>
      <c r="AA623" s="7" t="str">
        <f t="shared" si="133"/>
        <v>OK - sims match current assumptions</v>
      </c>
      <c r="AB623" s="13" t="s">
        <v>33</v>
      </c>
      <c r="AC623" s="13" t="s">
        <v>33</v>
      </c>
      <c r="AD623" s="13" t="s">
        <v>33</v>
      </c>
      <c r="AE623" s="13" t="s">
        <v>33</v>
      </c>
      <c r="AF623" s="13" t="s">
        <v>33</v>
      </c>
      <c r="AG623" s="13" t="s">
        <v>33</v>
      </c>
      <c r="AH623" s="6" t="b">
        <v>0</v>
      </c>
      <c r="AI623" s="13" t="s">
        <v>33</v>
      </c>
      <c r="AJ623" s="13" t="s">
        <v>33</v>
      </c>
      <c r="AK623" s="13" t="s">
        <v>33</v>
      </c>
      <c r="AL623" s="6">
        <v>0</v>
      </c>
      <c r="AM623" s="13" t="s">
        <v>33</v>
      </c>
    </row>
    <row r="624" spans="1:39" ht="15" customHeight="1" x14ac:dyDescent="0.3">
      <c r="A624" s="6" t="s">
        <v>382</v>
      </c>
      <c r="B624" s="7" t="str">
        <f>Odds_Input!C417</f>
        <v>Nique Clifford</v>
      </c>
      <c r="C624" s="6" t="s">
        <v>33</v>
      </c>
      <c r="D624" s="7" t="str">
        <f>Odds_Input!D417</f>
        <v>YES</v>
      </c>
      <c r="E624" s="31" t="str">
        <f>Odds_Input!E417</f>
        <v>-</v>
      </c>
      <c r="F624" s="32">
        <f>Odds_Input!F417</f>
        <v>8000</v>
      </c>
      <c r="G624" s="36">
        <f>M_DeVig!H417</f>
        <v>81</v>
      </c>
      <c r="H624" s="7" t="str">
        <f>Odds_Input!G417</f>
        <v>-</v>
      </c>
      <c r="I624" s="42">
        <f>M_DeVig!Q417</f>
        <v>7.9710126357568408E-3</v>
      </c>
      <c r="J624" s="13" t="s">
        <v>33</v>
      </c>
      <c r="K624" s="43">
        <f t="shared" si="132"/>
        <v>12445.457468153303</v>
      </c>
      <c r="L624" s="13" t="s">
        <v>33</v>
      </c>
      <c r="M624" s="13" t="s">
        <v>33</v>
      </c>
      <c r="N624" s="13" t="s">
        <v>33</v>
      </c>
      <c r="O624" s="13" t="s">
        <v>33</v>
      </c>
      <c r="P624" s="13" t="s">
        <v>33</v>
      </c>
      <c r="Q624" s="13" t="s">
        <v>33</v>
      </c>
      <c r="R624" s="13" t="s">
        <v>33</v>
      </c>
      <c r="S624" s="13" t="s">
        <v>33</v>
      </c>
      <c r="T624" s="13" t="s">
        <v>33</v>
      </c>
      <c r="U624" s="13" t="s">
        <v>33</v>
      </c>
      <c r="V624" s="13" t="s">
        <v>33</v>
      </c>
      <c r="W624" s="6" t="b">
        <v>0</v>
      </c>
      <c r="X624" s="6" t="s">
        <v>1301</v>
      </c>
      <c r="Y624" s="6" t="s">
        <v>1326</v>
      </c>
      <c r="Z624" s="6">
        <v>409</v>
      </c>
      <c r="AA624" s="7" t="str">
        <f t="shared" si="133"/>
        <v>OK - sims match current assumptions</v>
      </c>
      <c r="AB624" s="13" t="s">
        <v>33</v>
      </c>
      <c r="AC624" s="13" t="s">
        <v>33</v>
      </c>
      <c r="AD624" s="13" t="s">
        <v>33</v>
      </c>
      <c r="AE624" s="13" t="s">
        <v>33</v>
      </c>
      <c r="AF624" s="13" t="s">
        <v>33</v>
      </c>
      <c r="AG624" s="13" t="s">
        <v>33</v>
      </c>
      <c r="AH624" s="6" t="b">
        <v>0</v>
      </c>
      <c r="AI624" s="13" t="s">
        <v>33</v>
      </c>
      <c r="AJ624" s="13" t="s">
        <v>33</v>
      </c>
      <c r="AK624" s="13" t="s">
        <v>33</v>
      </c>
      <c r="AL624" s="6">
        <v>0</v>
      </c>
      <c r="AM624" s="13" t="s">
        <v>33</v>
      </c>
    </row>
    <row r="625" spans="1:39" ht="15" customHeight="1" x14ac:dyDescent="0.3">
      <c r="A625" s="6" t="s">
        <v>382</v>
      </c>
      <c r="B625" s="7" t="str">
        <f>Odds_Input!C418</f>
        <v>Hugo Gonzalez</v>
      </c>
      <c r="C625" s="6" t="s">
        <v>33</v>
      </c>
      <c r="D625" s="7" t="str">
        <f>Odds_Input!D418</f>
        <v>YES</v>
      </c>
      <c r="E625" s="31" t="str">
        <f>Odds_Input!E418</f>
        <v>-</v>
      </c>
      <c r="F625" s="32">
        <f>Odds_Input!F418</f>
        <v>6500</v>
      </c>
      <c r="G625" s="36">
        <f>M_DeVig!H418</f>
        <v>66</v>
      </c>
      <c r="H625" s="7" t="str">
        <f>Odds_Input!G418</f>
        <v>-</v>
      </c>
      <c r="I625" s="42">
        <f>M_DeVig!Q418</f>
        <v>1.0366106917860383E-2</v>
      </c>
      <c r="J625" s="13" t="s">
        <v>33</v>
      </c>
      <c r="K625" s="43">
        <f t="shared" si="132"/>
        <v>9546.8231316140536</v>
      </c>
      <c r="L625" s="13" t="s">
        <v>33</v>
      </c>
      <c r="M625" s="13" t="s">
        <v>33</v>
      </c>
      <c r="N625" s="13" t="s">
        <v>33</v>
      </c>
      <c r="O625" s="13" t="s">
        <v>33</v>
      </c>
      <c r="P625" s="13" t="s">
        <v>33</v>
      </c>
      <c r="Q625" s="13" t="s">
        <v>33</v>
      </c>
      <c r="R625" s="13" t="s">
        <v>33</v>
      </c>
      <c r="S625" s="13" t="s">
        <v>33</v>
      </c>
      <c r="T625" s="13" t="s">
        <v>33</v>
      </c>
      <c r="U625" s="13" t="s">
        <v>33</v>
      </c>
      <c r="V625" s="13" t="s">
        <v>33</v>
      </c>
      <c r="W625" s="6" t="b">
        <v>0</v>
      </c>
      <c r="X625" s="6" t="s">
        <v>1301</v>
      </c>
      <c r="Y625" s="6" t="s">
        <v>1326</v>
      </c>
      <c r="Z625" s="6">
        <v>410</v>
      </c>
      <c r="AA625" s="7" t="str">
        <f t="shared" si="133"/>
        <v>OK - sims match current assumptions</v>
      </c>
      <c r="AB625" s="13" t="s">
        <v>33</v>
      </c>
      <c r="AC625" s="13" t="s">
        <v>33</v>
      </c>
      <c r="AD625" s="13" t="s">
        <v>33</v>
      </c>
      <c r="AE625" s="13" t="s">
        <v>33</v>
      </c>
      <c r="AF625" s="13" t="s">
        <v>33</v>
      </c>
      <c r="AG625" s="13" t="s">
        <v>33</v>
      </c>
      <c r="AH625" s="6" t="b">
        <v>0</v>
      </c>
      <c r="AI625" s="13" t="s">
        <v>33</v>
      </c>
      <c r="AJ625" s="13" t="s">
        <v>33</v>
      </c>
      <c r="AK625" s="13" t="s">
        <v>33</v>
      </c>
      <c r="AL625" s="6">
        <v>0</v>
      </c>
      <c r="AM625" s="13" t="s">
        <v>33</v>
      </c>
    </row>
    <row r="626" spans="1:39" ht="15" customHeight="1" x14ac:dyDescent="0.3">
      <c r="A626" s="6" t="s">
        <v>382</v>
      </c>
      <c r="B626" s="7" t="str">
        <f>Odds_Input!C419</f>
        <v>Carter Bryant</v>
      </c>
      <c r="C626" s="6" t="s">
        <v>33</v>
      </c>
      <c r="D626" s="7" t="str">
        <f>Odds_Input!D419</f>
        <v>YES</v>
      </c>
      <c r="E626" s="31" t="str">
        <f>Odds_Input!E419</f>
        <v>-</v>
      </c>
      <c r="F626" s="32">
        <f>Odds_Input!F419</f>
        <v>5500</v>
      </c>
      <c r="G626" s="36">
        <f>M_DeVig!H419</f>
        <v>56</v>
      </c>
      <c r="H626" s="7" t="str">
        <f>Odds_Input!G419</f>
        <v>-</v>
      </c>
      <c r="I626" s="42">
        <f>M_DeVig!Q419</f>
        <v>1.2704600275982325E-2</v>
      </c>
      <c r="J626" s="13" t="s">
        <v>33</v>
      </c>
      <c r="K626" s="43">
        <f t="shared" si="132"/>
        <v>7771.1646039779043</v>
      </c>
      <c r="L626" s="13" t="s">
        <v>33</v>
      </c>
      <c r="M626" s="13" t="s">
        <v>33</v>
      </c>
      <c r="N626" s="13" t="s">
        <v>33</v>
      </c>
      <c r="O626" s="13" t="s">
        <v>33</v>
      </c>
      <c r="P626" s="13" t="s">
        <v>33</v>
      </c>
      <c r="Q626" s="13" t="s">
        <v>33</v>
      </c>
      <c r="R626" s="13" t="s">
        <v>33</v>
      </c>
      <c r="S626" s="13" t="s">
        <v>33</v>
      </c>
      <c r="T626" s="13" t="s">
        <v>33</v>
      </c>
      <c r="U626" s="13" t="s">
        <v>33</v>
      </c>
      <c r="V626" s="13" t="s">
        <v>33</v>
      </c>
      <c r="W626" s="6" t="b">
        <v>0</v>
      </c>
      <c r="X626" s="6" t="s">
        <v>1301</v>
      </c>
      <c r="Y626" s="6" t="s">
        <v>1326</v>
      </c>
      <c r="Z626" s="6">
        <v>411</v>
      </c>
      <c r="AA626" s="7" t="str">
        <f t="shared" si="133"/>
        <v>OK - sims match current assumptions</v>
      </c>
      <c r="AB626" s="13" t="s">
        <v>33</v>
      </c>
      <c r="AC626" s="13" t="s">
        <v>33</v>
      </c>
      <c r="AD626" s="13" t="s">
        <v>33</v>
      </c>
      <c r="AE626" s="13" t="s">
        <v>33</v>
      </c>
      <c r="AF626" s="13" t="s">
        <v>33</v>
      </c>
      <c r="AG626" s="13" t="s">
        <v>33</v>
      </c>
      <c r="AH626" s="6" t="b">
        <v>0</v>
      </c>
      <c r="AI626" s="13" t="s">
        <v>33</v>
      </c>
      <c r="AJ626" s="13" t="s">
        <v>33</v>
      </c>
      <c r="AK626" s="13" t="s">
        <v>33</v>
      </c>
      <c r="AL626" s="6">
        <v>0</v>
      </c>
      <c r="AM626" s="13" t="s">
        <v>33</v>
      </c>
    </row>
    <row r="627" spans="1:39" ht="15" customHeight="1" x14ac:dyDescent="0.3">
      <c r="A627" s="6" t="s">
        <v>382</v>
      </c>
      <c r="B627" s="7" t="str">
        <f>Odds_Input!C420</f>
        <v>Daniss Jenkins</v>
      </c>
      <c r="C627" s="6" t="s">
        <v>33</v>
      </c>
      <c r="D627" s="7" t="str">
        <f>Odds_Input!D420</f>
        <v>YES</v>
      </c>
      <c r="E627" s="31" t="str">
        <f>Odds_Input!E420</f>
        <v>-</v>
      </c>
      <c r="F627" s="32">
        <f>Odds_Input!F420</f>
        <v>6000</v>
      </c>
      <c r="G627" s="36">
        <f>M_DeVig!H420</f>
        <v>61</v>
      </c>
      <c r="H627" s="7" t="str">
        <f>Odds_Input!G420</f>
        <v>-</v>
      </c>
      <c r="I627" s="42">
        <f>M_DeVig!Q420</f>
        <v>1.1436803733129549E-2</v>
      </c>
      <c r="J627" s="13" t="s">
        <v>33</v>
      </c>
      <c r="K627" s="43">
        <f t="shared" si="132"/>
        <v>8643.7016786713866</v>
      </c>
      <c r="L627" s="13" t="s">
        <v>33</v>
      </c>
      <c r="M627" s="13" t="s">
        <v>33</v>
      </c>
      <c r="N627" s="13" t="s">
        <v>33</v>
      </c>
      <c r="O627" s="13" t="s">
        <v>33</v>
      </c>
      <c r="P627" s="13" t="s">
        <v>33</v>
      </c>
      <c r="Q627" s="13" t="s">
        <v>33</v>
      </c>
      <c r="R627" s="13" t="s">
        <v>33</v>
      </c>
      <c r="S627" s="13" t="s">
        <v>33</v>
      </c>
      <c r="T627" s="13" t="s">
        <v>33</v>
      </c>
      <c r="U627" s="13" t="s">
        <v>33</v>
      </c>
      <c r="V627" s="13" t="s">
        <v>33</v>
      </c>
      <c r="W627" s="6" t="b">
        <v>0</v>
      </c>
      <c r="X627" s="6" t="s">
        <v>1301</v>
      </c>
      <c r="Y627" s="6" t="s">
        <v>1326</v>
      </c>
      <c r="Z627" s="6">
        <v>412</v>
      </c>
      <c r="AA627" s="7" t="str">
        <f t="shared" si="133"/>
        <v>OK - sims match current assumptions</v>
      </c>
      <c r="AB627" s="13" t="s">
        <v>33</v>
      </c>
      <c r="AC627" s="13" t="s">
        <v>33</v>
      </c>
      <c r="AD627" s="13" t="s">
        <v>33</v>
      </c>
      <c r="AE627" s="13" t="s">
        <v>33</v>
      </c>
      <c r="AF627" s="13" t="s">
        <v>33</v>
      </c>
      <c r="AG627" s="13" t="s">
        <v>33</v>
      </c>
      <c r="AH627" s="6" t="b">
        <v>0</v>
      </c>
      <c r="AI627" s="13" t="s">
        <v>33</v>
      </c>
      <c r="AJ627" s="13" t="s">
        <v>33</v>
      </c>
      <c r="AK627" s="13" t="s">
        <v>33</v>
      </c>
      <c r="AL627" s="6">
        <v>0</v>
      </c>
      <c r="AM627" s="13" t="s">
        <v>33</v>
      </c>
    </row>
    <row r="628" spans="1:39" ht="15" customHeight="1" x14ac:dyDescent="0.3">
      <c r="A628" s="6" t="s">
        <v>382</v>
      </c>
      <c r="B628" s="7" t="str">
        <f>Odds_Input!C421</f>
        <v>Scoot Henderson</v>
      </c>
      <c r="C628" s="6" t="s">
        <v>33</v>
      </c>
      <c r="D628" s="7" t="str">
        <f>Odds_Input!D421</f>
        <v>YES</v>
      </c>
      <c r="E628" s="31" t="str">
        <f>Odds_Input!E421</f>
        <v>-</v>
      </c>
      <c r="F628" s="32">
        <f>Odds_Input!F421</f>
        <v>5000</v>
      </c>
      <c r="G628" s="36">
        <f>M_DeVig!H421</f>
        <v>51</v>
      </c>
      <c r="H628" s="7" t="str">
        <f>Odds_Input!G421</f>
        <v>-</v>
      </c>
      <c r="I628" s="42">
        <f>M_DeVig!Q421</f>
        <v>1.4227555071545637E-2</v>
      </c>
      <c r="J628" s="13" t="s">
        <v>33</v>
      </c>
      <c r="K628" s="43">
        <f t="shared" si="132"/>
        <v>6928.6145087566556</v>
      </c>
      <c r="L628" s="13" t="s">
        <v>33</v>
      </c>
      <c r="M628" s="13" t="s">
        <v>33</v>
      </c>
      <c r="N628" s="13" t="s">
        <v>33</v>
      </c>
      <c r="O628" s="13" t="s">
        <v>33</v>
      </c>
      <c r="P628" s="13" t="s">
        <v>33</v>
      </c>
      <c r="Q628" s="13" t="s">
        <v>33</v>
      </c>
      <c r="R628" s="13" t="s">
        <v>33</v>
      </c>
      <c r="S628" s="13" t="s">
        <v>33</v>
      </c>
      <c r="T628" s="13" t="s">
        <v>33</v>
      </c>
      <c r="U628" s="13" t="s">
        <v>33</v>
      </c>
      <c r="V628" s="13" t="s">
        <v>33</v>
      </c>
      <c r="W628" s="6" t="b">
        <v>0</v>
      </c>
      <c r="X628" s="6" t="s">
        <v>1301</v>
      </c>
      <c r="Y628" s="6" t="s">
        <v>1326</v>
      </c>
      <c r="Z628" s="6">
        <v>413</v>
      </c>
      <c r="AA628" s="7" t="str">
        <f t="shared" si="133"/>
        <v>OK - sims match current assumptions</v>
      </c>
      <c r="AB628" s="13" t="s">
        <v>33</v>
      </c>
      <c r="AC628" s="13" t="s">
        <v>33</v>
      </c>
      <c r="AD628" s="13" t="s">
        <v>33</v>
      </c>
      <c r="AE628" s="13" t="s">
        <v>33</v>
      </c>
      <c r="AF628" s="13" t="s">
        <v>33</v>
      </c>
      <c r="AG628" s="13" t="s">
        <v>33</v>
      </c>
      <c r="AH628" s="6" t="b">
        <v>0</v>
      </c>
      <c r="AI628" s="13" t="s">
        <v>33</v>
      </c>
      <c r="AJ628" s="13" t="s">
        <v>33</v>
      </c>
      <c r="AK628" s="13" t="s">
        <v>33</v>
      </c>
      <c r="AL628" s="6">
        <v>0</v>
      </c>
      <c r="AM628" s="13" t="s">
        <v>33</v>
      </c>
    </row>
    <row r="629" spans="1:39" ht="15" customHeight="1" x14ac:dyDescent="0.3">
      <c r="A629" s="6" t="s">
        <v>382</v>
      </c>
      <c r="B629" s="7" t="str">
        <f>Odds_Input!C422</f>
        <v>Ryan Rollins</v>
      </c>
      <c r="C629" s="6" t="s">
        <v>33</v>
      </c>
      <c r="D629" s="7" t="str">
        <f>Odds_Input!D422</f>
        <v>YES</v>
      </c>
      <c r="E629" s="31" t="str">
        <f>Odds_Input!E422</f>
        <v>-</v>
      </c>
      <c r="F629" s="32">
        <f>Odds_Input!F422</f>
        <v>4000</v>
      </c>
      <c r="G629" s="36">
        <f>M_DeVig!H422</f>
        <v>41</v>
      </c>
      <c r="H629" s="7" t="str">
        <f>Odds_Input!G422</f>
        <v>-</v>
      </c>
      <c r="I629" s="42">
        <f>M_DeVig!Q422</f>
        <v>1.8412743290328503E-2</v>
      </c>
      <c r="J629" s="13" t="s">
        <v>33</v>
      </c>
      <c r="K629" s="43">
        <f t="shared" si="132"/>
        <v>5331.0212456242798</v>
      </c>
      <c r="L629" s="13" t="s">
        <v>33</v>
      </c>
      <c r="M629" s="13" t="s">
        <v>33</v>
      </c>
      <c r="N629" s="13" t="s">
        <v>33</v>
      </c>
      <c r="O629" s="13" t="s">
        <v>33</v>
      </c>
      <c r="P629" s="13" t="s">
        <v>33</v>
      </c>
      <c r="Q629" s="13" t="s">
        <v>33</v>
      </c>
      <c r="R629" s="13" t="s">
        <v>33</v>
      </c>
      <c r="S629" s="13" t="s">
        <v>33</v>
      </c>
      <c r="T629" s="13" t="s">
        <v>33</v>
      </c>
      <c r="U629" s="13" t="s">
        <v>33</v>
      </c>
      <c r="V629" s="13" t="s">
        <v>33</v>
      </c>
      <c r="W629" s="6" t="b">
        <v>0</v>
      </c>
      <c r="X629" s="6" t="s">
        <v>1301</v>
      </c>
      <c r="Y629" s="6" t="s">
        <v>1326</v>
      </c>
      <c r="Z629" s="6">
        <v>414</v>
      </c>
      <c r="AA629" s="7" t="str">
        <f t="shared" si="133"/>
        <v>OK - sims match current assumptions</v>
      </c>
      <c r="AB629" s="13" t="s">
        <v>33</v>
      </c>
      <c r="AC629" s="13" t="s">
        <v>33</v>
      </c>
      <c r="AD629" s="13" t="s">
        <v>33</v>
      </c>
      <c r="AE629" s="13" t="s">
        <v>33</v>
      </c>
      <c r="AF629" s="13" t="s">
        <v>33</v>
      </c>
      <c r="AG629" s="13" t="s">
        <v>33</v>
      </c>
      <c r="AH629" s="6" t="b">
        <v>0</v>
      </c>
      <c r="AI629" s="13" t="s">
        <v>33</v>
      </c>
      <c r="AJ629" s="13" t="s">
        <v>33</v>
      </c>
      <c r="AK629" s="13" t="s">
        <v>33</v>
      </c>
      <c r="AL629" s="6">
        <v>0</v>
      </c>
      <c r="AM629" s="13" t="s">
        <v>33</v>
      </c>
    </row>
    <row r="630" spans="1:39" ht="15" customHeight="1" x14ac:dyDescent="0.3">
      <c r="A630" s="6" t="s">
        <v>382</v>
      </c>
      <c r="B630" s="7" t="str">
        <f>Odds_Input!C423</f>
        <v>Kon Knueppel</v>
      </c>
      <c r="C630" s="6" t="s">
        <v>33</v>
      </c>
      <c r="D630" s="7" t="str">
        <f>Odds_Input!D423</f>
        <v>YES</v>
      </c>
      <c r="E630" s="31" t="str">
        <f>Odds_Input!E423</f>
        <v>-</v>
      </c>
      <c r="F630" s="32">
        <f>Odds_Input!F423</f>
        <v>5000</v>
      </c>
      <c r="G630" s="36">
        <f>M_DeVig!H423</f>
        <v>51</v>
      </c>
      <c r="H630" s="7" t="str">
        <f>Odds_Input!G423</f>
        <v>-</v>
      </c>
      <c r="I630" s="42">
        <f>M_DeVig!Q423</f>
        <v>1.4227555071545637E-2</v>
      </c>
      <c r="J630" s="13" t="s">
        <v>33</v>
      </c>
      <c r="K630" s="43">
        <f t="shared" si="132"/>
        <v>6928.6145087566556</v>
      </c>
      <c r="L630" s="13" t="s">
        <v>33</v>
      </c>
      <c r="M630" s="13" t="s">
        <v>33</v>
      </c>
      <c r="N630" s="13" t="s">
        <v>33</v>
      </c>
      <c r="O630" s="13" t="s">
        <v>33</v>
      </c>
      <c r="P630" s="13" t="s">
        <v>33</v>
      </c>
      <c r="Q630" s="13" t="s">
        <v>33</v>
      </c>
      <c r="R630" s="13" t="s">
        <v>33</v>
      </c>
      <c r="S630" s="13" t="s">
        <v>33</v>
      </c>
      <c r="T630" s="13" t="s">
        <v>33</v>
      </c>
      <c r="U630" s="13" t="s">
        <v>33</v>
      </c>
      <c r="V630" s="13" t="s">
        <v>33</v>
      </c>
      <c r="W630" s="6" t="b">
        <v>0</v>
      </c>
      <c r="X630" s="6" t="s">
        <v>1301</v>
      </c>
      <c r="Y630" s="6" t="s">
        <v>1326</v>
      </c>
      <c r="Z630" s="6">
        <v>415</v>
      </c>
      <c r="AA630" s="7" t="str">
        <f t="shared" si="133"/>
        <v>OK - sims match current assumptions</v>
      </c>
      <c r="AB630" s="13" t="s">
        <v>33</v>
      </c>
      <c r="AC630" s="13" t="s">
        <v>33</v>
      </c>
      <c r="AD630" s="13" t="s">
        <v>33</v>
      </c>
      <c r="AE630" s="13" t="s">
        <v>33</v>
      </c>
      <c r="AF630" s="13" t="s">
        <v>33</v>
      </c>
      <c r="AG630" s="13" t="s">
        <v>33</v>
      </c>
      <c r="AH630" s="6" t="b">
        <v>0</v>
      </c>
      <c r="AI630" s="13" t="s">
        <v>33</v>
      </c>
      <c r="AJ630" s="13" t="s">
        <v>33</v>
      </c>
      <c r="AK630" s="13" t="s">
        <v>33</v>
      </c>
      <c r="AL630" s="6">
        <v>0</v>
      </c>
      <c r="AM630" s="13" t="s">
        <v>33</v>
      </c>
    </row>
    <row r="631" spans="1:39" ht="15" customHeight="1" x14ac:dyDescent="0.3">
      <c r="A631" s="6" t="s">
        <v>382</v>
      </c>
      <c r="B631" s="7" t="str">
        <f>Odds_Input!C424</f>
        <v>Jaylen Wells</v>
      </c>
      <c r="C631" s="6" t="s">
        <v>33</v>
      </c>
      <c r="D631" s="7" t="str">
        <f>Odds_Input!D424</f>
        <v>YES</v>
      </c>
      <c r="E631" s="31" t="str">
        <f>Odds_Input!E424</f>
        <v>-</v>
      </c>
      <c r="F631" s="32">
        <f>Odds_Input!F424</f>
        <v>6000</v>
      </c>
      <c r="G631" s="36">
        <f>M_DeVig!H424</f>
        <v>61</v>
      </c>
      <c r="H631" s="7" t="str">
        <f>Odds_Input!G424</f>
        <v>-</v>
      </c>
      <c r="I631" s="42">
        <f>M_DeVig!Q424</f>
        <v>1.1436803733129549E-2</v>
      </c>
      <c r="J631" s="13" t="s">
        <v>33</v>
      </c>
      <c r="K631" s="43">
        <f t="shared" si="132"/>
        <v>8643.7016786713866</v>
      </c>
      <c r="L631" s="13" t="s">
        <v>33</v>
      </c>
      <c r="M631" s="13" t="s">
        <v>33</v>
      </c>
      <c r="N631" s="13" t="s">
        <v>33</v>
      </c>
      <c r="O631" s="13" t="s">
        <v>33</v>
      </c>
      <c r="P631" s="13" t="s">
        <v>33</v>
      </c>
      <c r="Q631" s="13" t="s">
        <v>33</v>
      </c>
      <c r="R631" s="13" t="s">
        <v>33</v>
      </c>
      <c r="S631" s="13" t="s">
        <v>33</v>
      </c>
      <c r="T631" s="13" t="s">
        <v>33</v>
      </c>
      <c r="U631" s="13" t="s">
        <v>33</v>
      </c>
      <c r="V631" s="13" t="s">
        <v>33</v>
      </c>
      <c r="W631" s="6" t="b">
        <v>0</v>
      </c>
      <c r="X631" s="6" t="s">
        <v>1301</v>
      </c>
      <c r="Y631" s="6" t="s">
        <v>1326</v>
      </c>
      <c r="Z631" s="6">
        <v>416</v>
      </c>
      <c r="AA631" s="7" t="str">
        <f t="shared" si="133"/>
        <v>OK - sims match current assumptions</v>
      </c>
      <c r="AB631" s="13" t="s">
        <v>33</v>
      </c>
      <c r="AC631" s="13" t="s">
        <v>33</v>
      </c>
      <c r="AD631" s="13" t="s">
        <v>33</v>
      </c>
      <c r="AE631" s="13" t="s">
        <v>33</v>
      </c>
      <c r="AF631" s="13" t="s">
        <v>33</v>
      </c>
      <c r="AG631" s="13" t="s">
        <v>33</v>
      </c>
      <c r="AH631" s="6" t="b">
        <v>0</v>
      </c>
      <c r="AI631" s="13" t="s">
        <v>33</v>
      </c>
      <c r="AJ631" s="13" t="s">
        <v>33</v>
      </c>
      <c r="AK631" s="13" t="s">
        <v>33</v>
      </c>
      <c r="AL631" s="6">
        <v>0</v>
      </c>
      <c r="AM631" s="13" t="s">
        <v>33</v>
      </c>
    </row>
    <row r="632" spans="1:39" ht="15" customHeight="1" x14ac:dyDescent="0.3">
      <c r="A632" s="6" t="s">
        <v>382</v>
      </c>
      <c r="B632" s="7" t="str">
        <f>Odds_Input!C425</f>
        <v>Jabari Smith Jr</v>
      </c>
      <c r="C632" s="6" t="s">
        <v>33</v>
      </c>
      <c r="D632" s="7" t="str">
        <f>Odds_Input!D425</f>
        <v>YES</v>
      </c>
      <c r="E632" s="31" t="str">
        <f>Odds_Input!E425</f>
        <v>-</v>
      </c>
      <c r="F632" s="32">
        <f>Odds_Input!F425</f>
        <v>5000</v>
      </c>
      <c r="G632" s="36">
        <f>M_DeVig!H425</f>
        <v>51</v>
      </c>
      <c r="H632" s="7" t="str">
        <f>Odds_Input!G425</f>
        <v>-</v>
      </c>
      <c r="I632" s="42">
        <f>M_DeVig!Q425</f>
        <v>1.4227555071545637E-2</v>
      </c>
      <c r="J632" s="13" t="s">
        <v>33</v>
      </c>
      <c r="K632" s="43">
        <f t="shared" si="132"/>
        <v>6928.6145087566556</v>
      </c>
      <c r="L632" s="13" t="s">
        <v>33</v>
      </c>
      <c r="M632" s="13" t="s">
        <v>33</v>
      </c>
      <c r="N632" s="13" t="s">
        <v>33</v>
      </c>
      <c r="O632" s="13" t="s">
        <v>33</v>
      </c>
      <c r="P632" s="13" t="s">
        <v>33</v>
      </c>
      <c r="Q632" s="13" t="s">
        <v>33</v>
      </c>
      <c r="R632" s="13" t="s">
        <v>33</v>
      </c>
      <c r="S632" s="13" t="s">
        <v>33</v>
      </c>
      <c r="T632" s="13" t="s">
        <v>33</v>
      </c>
      <c r="U632" s="13" t="s">
        <v>33</v>
      </c>
      <c r="V632" s="13" t="s">
        <v>33</v>
      </c>
      <c r="W632" s="6" t="b">
        <v>0</v>
      </c>
      <c r="X632" s="6" t="s">
        <v>1301</v>
      </c>
      <c r="Y632" s="6" t="s">
        <v>1326</v>
      </c>
      <c r="Z632" s="6">
        <v>417</v>
      </c>
      <c r="AA632" s="7" t="str">
        <f t="shared" si="133"/>
        <v>OK - sims match current assumptions</v>
      </c>
      <c r="AB632" s="13" t="s">
        <v>33</v>
      </c>
      <c r="AC632" s="13" t="s">
        <v>33</v>
      </c>
      <c r="AD632" s="13" t="s">
        <v>33</v>
      </c>
      <c r="AE632" s="13" t="s">
        <v>33</v>
      </c>
      <c r="AF632" s="13" t="s">
        <v>33</v>
      </c>
      <c r="AG632" s="13" t="s">
        <v>33</v>
      </c>
      <c r="AH632" s="6" t="b">
        <v>0</v>
      </c>
      <c r="AI632" s="13" t="s">
        <v>33</v>
      </c>
      <c r="AJ632" s="13" t="s">
        <v>33</v>
      </c>
      <c r="AK632" s="13" t="s">
        <v>33</v>
      </c>
      <c r="AL632" s="6">
        <v>0</v>
      </c>
      <c r="AM632" s="13" t="s">
        <v>33</v>
      </c>
    </row>
    <row r="633" spans="1:39" ht="15" customHeight="1" x14ac:dyDescent="0.3">
      <c r="A633" s="6" t="s">
        <v>382</v>
      </c>
      <c r="B633" s="7" t="str">
        <f>Odds_Input!C426</f>
        <v>Coby White</v>
      </c>
      <c r="C633" s="6" t="s">
        <v>33</v>
      </c>
      <c r="D633" s="7" t="str">
        <f>Odds_Input!D426</f>
        <v>YES</v>
      </c>
      <c r="E633" s="31" t="str">
        <f>Odds_Input!E426</f>
        <v>-</v>
      </c>
      <c r="F633" s="32">
        <f>Odds_Input!F426</f>
        <v>3500</v>
      </c>
      <c r="G633" s="36">
        <f>M_DeVig!H426</f>
        <v>36</v>
      </c>
      <c r="H633" s="7" t="str">
        <f>Odds_Input!G426</f>
        <v>-</v>
      </c>
      <c r="I633" s="42">
        <f>M_DeVig!Q426</f>
        <v>2.1391649147247702E-2</v>
      </c>
      <c r="J633" s="13" t="s">
        <v>33</v>
      </c>
      <c r="K633" s="43">
        <f t="shared" si="132"/>
        <v>4574.7213976658841</v>
      </c>
      <c r="L633" s="13" t="s">
        <v>33</v>
      </c>
      <c r="M633" s="13" t="s">
        <v>33</v>
      </c>
      <c r="N633" s="13" t="s">
        <v>33</v>
      </c>
      <c r="O633" s="13" t="s">
        <v>33</v>
      </c>
      <c r="P633" s="13" t="s">
        <v>33</v>
      </c>
      <c r="Q633" s="13" t="s">
        <v>33</v>
      </c>
      <c r="R633" s="13" t="s">
        <v>33</v>
      </c>
      <c r="S633" s="13" t="s">
        <v>33</v>
      </c>
      <c r="T633" s="13" t="s">
        <v>33</v>
      </c>
      <c r="U633" s="13" t="s">
        <v>33</v>
      </c>
      <c r="V633" s="13" t="s">
        <v>33</v>
      </c>
      <c r="W633" s="6" t="b">
        <v>0</v>
      </c>
      <c r="X633" s="6" t="s">
        <v>1301</v>
      </c>
      <c r="Y633" s="6" t="s">
        <v>1326</v>
      </c>
      <c r="Z633" s="6">
        <v>418</v>
      </c>
      <c r="AA633" s="7" t="str">
        <f t="shared" si="133"/>
        <v>OK - sims match current assumptions</v>
      </c>
      <c r="AB633" s="13" t="s">
        <v>33</v>
      </c>
      <c r="AC633" s="13" t="s">
        <v>33</v>
      </c>
      <c r="AD633" s="13" t="s">
        <v>33</v>
      </c>
      <c r="AE633" s="13" t="s">
        <v>33</v>
      </c>
      <c r="AF633" s="13" t="s">
        <v>33</v>
      </c>
      <c r="AG633" s="13" t="s">
        <v>33</v>
      </c>
      <c r="AH633" s="6" t="b">
        <v>0</v>
      </c>
      <c r="AI633" s="13" t="s">
        <v>33</v>
      </c>
      <c r="AJ633" s="13" t="s">
        <v>33</v>
      </c>
      <c r="AK633" s="13" t="s">
        <v>33</v>
      </c>
      <c r="AL633" s="6">
        <v>0</v>
      </c>
      <c r="AM633" s="13" t="s">
        <v>33</v>
      </c>
    </row>
    <row r="634" spans="1:39" ht="15" customHeight="1" x14ac:dyDescent="0.3">
      <c r="A634" s="6" t="s">
        <v>382</v>
      </c>
      <c r="B634" s="7" t="str">
        <f>Odds_Input!C427</f>
        <v>Cedric Coward</v>
      </c>
      <c r="C634" s="6" t="s">
        <v>33</v>
      </c>
      <c r="D634" s="7" t="str">
        <f>Odds_Input!D427</f>
        <v>YES</v>
      </c>
      <c r="E634" s="31" t="str">
        <f>Odds_Input!E427</f>
        <v>-</v>
      </c>
      <c r="F634" s="32">
        <f>Odds_Input!F427</f>
        <v>4000</v>
      </c>
      <c r="G634" s="36">
        <f>M_DeVig!H427</f>
        <v>41</v>
      </c>
      <c r="H634" s="7" t="str">
        <f>Odds_Input!G427</f>
        <v>-</v>
      </c>
      <c r="I634" s="42">
        <f>M_DeVig!Q427</f>
        <v>1.8412743290328503E-2</v>
      </c>
      <c r="J634" s="13" t="s">
        <v>33</v>
      </c>
      <c r="K634" s="43">
        <f t="shared" si="132"/>
        <v>5331.0212456242798</v>
      </c>
      <c r="L634" s="13" t="s">
        <v>33</v>
      </c>
      <c r="M634" s="13" t="s">
        <v>33</v>
      </c>
      <c r="N634" s="13" t="s">
        <v>33</v>
      </c>
      <c r="O634" s="13" t="s">
        <v>33</v>
      </c>
      <c r="P634" s="13" t="s">
        <v>33</v>
      </c>
      <c r="Q634" s="13" t="s">
        <v>33</v>
      </c>
      <c r="R634" s="13" t="s">
        <v>33</v>
      </c>
      <c r="S634" s="13" t="s">
        <v>33</v>
      </c>
      <c r="T634" s="13" t="s">
        <v>33</v>
      </c>
      <c r="U634" s="13" t="s">
        <v>33</v>
      </c>
      <c r="V634" s="13" t="s">
        <v>33</v>
      </c>
      <c r="W634" s="6" t="b">
        <v>0</v>
      </c>
      <c r="X634" s="6" t="s">
        <v>1301</v>
      </c>
      <c r="Y634" s="6" t="s">
        <v>1326</v>
      </c>
      <c r="Z634" s="6">
        <v>419</v>
      </c>
      <c r="AA634" s="7" t="str">
        <f t="shared" si="133"/>
        <v>OK - sims match current assumptions</v>
      </c>
      <c r="AB634" s="13" t="s">
        <v>33</v>
      </c>
      <c r="AC634" s="13" t="s">
        <v>33</v>
      </c>
      <c r="AD634" s="13" t="s">
        <v>33</v>
      </c>
      <c r="AE634" s="13" t="s">
        <v>33</v>
      </c>
      <c r="AF634" s="13" t="s">
        <v>33</v>
      </c>
      <c r="AG634" s="13" t="s">
        <v>33</v>
      </c>
      <c r="AH634" s="6" t="b">
        <v>0</v>
      </c>
      <c r="AI634" s="13" t="s">
        <v>33</v>
      </c>
      <c r="AJ634" s="13" t="s">
        <v>33</v>
      </c>
      <c r="AK634" s="13" t="s">
        <v>33</v>
      </c>
      <c r="AL634" s="6">
        <v>0</v>
      </c>
      <c r="AM634" s="13" t="s">
        <v>33</v>
      </c>
    </row>
    <row r="635" spans="1:39" ht="15" customHeight="1" x14ac:dyDescent="0.3">
      <c r="A635" s="6" t="s">
        <v>382</v>
      </c>
      <c r="B635" s="7" t="str">
        <f>Odds_Input!C428</f>
        <v>Nikola Jovic</v>
      </c>
      <c r="C635" s="6" t="s">
        <v>33</v>
      </c>
      <c r="D635" s="7" t="str">
        <f>Odds_Input!D428</f>
        <v>YES</v>
      </c>
      <c r="E635" s="31" t="str">
        <f>Odds_Input!E428</f>
        <v>-</v>
      </c>
      <c r="F635" s="32">
        <f>Odds_Input!F428</f>
        <v>6000</v>
      </c>
      <c r="G635" s="36">
        <f>M_DeVig!H428</f>
        <v>61</v>
      </c>
      <c r="H635" s="7" t="str">
        <f>Odds_Input!G428</f>
        <v>-</v>
      </c>
      <c r="I635" s="42">
        <f>M_DeVig!Q428</f>
        <v>1.1436803733129549E-2</v>
      </c>
      <c r="J635" s="13" t="s">
        <v>33</v>
      </c>
      <c r="K635" s="43">
        <f t="shared" si="132"/>
        <v>8643.7016786713866</v>
      </c>
      <c r="L635" s="13" t="s">
        <v>33</v>
      </c>
      <c r="M635" s="13" t="s">
        <v>33</v>
      </c>
      <c r="N635" s="13" t="s">
        <v>33</v>
      </c>
      <c r="O635" s="13" t="s">
        <v>33</v>
      </c>
      <c r="P635" s="13" t="s">
        <v>33</v>
      </c>
      <c r="Q635" s="13" t="s">
        <v>33</v>
      </c>
      <c r="R635" s="13" t="s">
        <v>33</v>
      </c>
      <c r="S635" s="13" t="s">
        <v>33</v>
      </c>
      <c r="T635" s="13" t="s">
        <v>33</v>
      </c>
      <c r="U635" s="13" t="s">
        <v>33</v>
      </c>
      <c r="V635" s="13" t="s">
        <v>33</v>
      </c>
      <c r="W635" s="6" t="b">
        <v>0</v>
      </c>
      <c r="X635" s="6" t="s">
        <v>1301</v>
      </c>
      <c r="Y635" s="6" t="s">
        <v>1326</v>
      </c>
      <c r="Z635" s="6">
        <v>420</v>
      </c>
      <c r="AA635" s="7" t="str">
        <f t="shared" si="133"/>
        <v>OK - sims match current assumptions</v>
      </c>
      <c r="AB635" s="13" t="s">
        <v>33</v>
      </c>
      <c r="AC635" s="13" t="s">
        <v>33</v>
      </c>
      <c r="AD635" s="13" t="s">
        <v>33</v>
      </c>
      <c r="AE635" s="13" t="s">
        <v>33</v>
      </c>
      <c r="AF635" s="13" t="s">
        <v>33</v>
      </c>
      <c r="AG635" s="13" t="s">
        <v>33</v>
      </c>
      <c r="AH635" s="6" t="b">
        <v>0</v>
      </c>
      <c r="AI635" s="13" t="s">
        <v>33</v>
      </c>
      <c r="AJ635" s="13" t="s">
        <v>33</v>
      </c>
      <c r="AK635" s="13" t="s">
        <v>33</v>
      </c>
      <c r="AL635" s="6">
        <v>0</v>
      </c>
      <c r="AM635" s="13" t="s">
        <v>33</v>
      </c>
    </row>
    <row r="636" spans="1:39" ht="15" customHeight="1" x14ac:dyDescent="0.3">
      <c r="A636" s="6" t="s">
        <v>382</v>
      </c>
      <c r="B636" s="7" t="str">
        <f>Odds_Input!C429</f>
        <v>Cason Wallace</v>
      </c>
      <c r="C636" s="6" t="s">
        <v>33</v>
      </c>
      <c r="D636" s="7" t="str">
        <f>Odds_Input!D429</f>
        <v>YES</v>
      </c>
      <c r="E636" s="31" t="str">
        <f>Odds_Input!E429</f>
        <v>-</v>
      </c>
      <c r="F636" s="32">
        <f>Odds_Input!F429</f>
        <v>3000</v>
      </c>
      <c r="G636" s="36">
        <f>M_DeVig!H429</f>
        <v>31</v>
      </c>
      <c r="H636" s="7" t="str">
        <f>Odds_Input!G429</f>
        <v>-</v>
      </c>
      <c r="I636" s="42">
        <f>M_DeVig!Q429</f>
        <v>2.5342779730778101E-2</v>
      </c>
      <c r="J636" s="13" t="s">
        <v>33</v>
      </c>
      <c r="K636" s="43">
        <f t="shared" si="132"/>
        <v>3845.8970587410649</v>
      </c>
      <c r="L636" s="13" t="s">
        <v>33</v>
      </c>
      <c r="M636" s="13" t="s">
        <v>33</v>
      </c>
      <c r="N636" s="13" t="s">
        <v>33</v>
      </c>
      <c r="O636" s="13" t="s">
        <v>33</v>
      </c>
      <c r="P636" s="13" t="s">
        <v>33</v>
      </c>
      <c r="Q636" s="13" t="s">
        <v>33</v>
      </c>
      <c r="R636" s="13" t="s">
        <v>33</v>
      </c>
      <c r="S636" s="13" t="s">
        <v>33</v>
      </c>
      <c r="T636" s="13" t="s">
        <v>33</v>
      </c>
      <c r="U636" s="13" t="s">
        <v>33</v>
      </c>
      <c r="V636" s="13" t="s">
        <v>33</v>
      </c>
      <c r="W636" s="6" t="b">
        <v>0</v>
      </c>
      <c r="X636" s="6" t="s">
        <v>1301</v>
      </c>
      <c r="Y636" s="6" t="s">
        <v>1326</v>
      </c>
      <c r="Z636" s="6">
        <v>421</v>
      </c>
      <c r="AA636" s="7" t="str">
        <f t="shared" si="133"/>
        <v>OK - sims match current assumptions</v>
      </c>
      <c r="AB636" s="13" t="s">
        <v>33</v>
      </c>
      <c r="AC636" s="13" t="s">
        <v>33</v>
      </c>
      <c r="AD636" s="13" t="s">
        <v>33</v>
      </c>
      <c r="AE636" s="13" t="s">
        <v>33</v>
      </c>
      <c r="AF636" s="13" t="s">
        <v>33</v>
      </c>
      <c r="AG636" s="13" t="s">
        <v>33</v>
      </c>
      <c r="AH636" s="6" t="b">
        <v>0</v>
      </c>
      <c r="AI636" s="13" t="s">
        <v>33</v>
      </c>
      <c r="AJ636" s="13" t="s">
        <v>33</v>
      </c>
      <c r="AK636" s="13" t="s">
        <v>33</v>
      </c>
      <c r="AL636" s="6">
        <v>0</v>
      </c>
      <c r="AM636" s="13" t="s">
        <v>33</v>
      </c>
    </row>
    <row r="637" spans="1:39" ht="15" customHeight="1" x14ac:dyDescent="0.3"/>
    <row r="638" spans="1:39" ht="15" customHeight="1" x14ac:dyDescent="0.3">
      <c r="A638" s="48" t="s">
        <v>354</v>
      </c>
      <c r="B638" s="49" t="s">
        <v>1336</v>
      </c>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row>
    <row r="639" spans="1:39" ht="15" customHeight="1" x14ac:dyDescent="0.3">
      <c r="A639" s="6" t="s">
        <v>354</v>
      </c>
      <c r="B639" s="7" t="str">
        <f>Odds_Input!C363</f>
        <v>Dylan Harper</v>
      </c>
      <c r="C639" s="6" t="s">
        <v>33</v>
      </c>
      <c r="D639" s="7" t="str">
        <f>Odds_Input!D363</f>
        <v>YES</v>
      </c>
      <c r="E639" s="31" t="str">
        <f>Odds_Input!E363</f>
        <v>-</v>
      </c>
      <c r="F639" s="32">
        <f>Odds_Input!F363</f>
        <v>750</v>
      </c>
      <c r="G639" s="36">
        <f>M_DeVig!H363</f>
        <v>8.5</v>
      </c>
      <c r="H639" s="7" t="str">
        <f>Odds_Input!G363</f>
        <v>-</v>
      </c>
      <c r="I639" s="42">
        <f>M_DeVig!Q363</f>
        <v>0.11602895802324611</v>
      </c>
      <c r="J639" s="13" t="s">
        <v>33</v>
      </c>
      <c r="K639" s="43">
        <f t="shared" ref="K639:K665" si="134">IF(I639&gt;=0.5,-100*I639/(1-I639),100*(1-I639)/I639)</f>
        <v>761.8538139415615</v>
      </c>
      <c r="L639" s="13" t="s">
        <v>33</v>
      </c>
      <c r="M639" s="13" t="s">
        <v>33</v>
      </c>
      <c r="N639" s="13" t="s">
        <v>33</v>
      </c>
      <c r="O639" s="13" t="s">
        <v>33</v>
      </c>
      <c r="P639" s="13" t="s">
        <v>33</v>
      </c>
      <c r="Q639" s="13" t="s">
        <v>33</v>
      </c>
      <c r="R639" s="13" t="s">
        <v>33</v>
      </c>
      <c r="S639" s="13" t="s">
        <v>33</v>
      </c>
      <c r="T639" s="13" t="s">
        <v>33</v>
      </c>
      <c r="U639" s="13" t="s">
        <v>33</v>
      </c>
      <c r="V639" s="13" t="s">
        <v>33</v>
      </c>
      <c r="W639" s="6" t="b">
        <v>0</v>
      </c>
      <c r="X639" s="6" t="s">
        <v>1301</v>
      </c>
      <c r="Y639" s="6" t="s">
        <v>1326</v>
      </c>
      <c r="Z639" s="6">
        <v>355</v>
      </c>
      <c r="AA639" s="7" t="str">
        <f t="shared" ref="AA639:AA665" si="135">Sim_Stale</f>
        <v>OK - sims match current assumptions</v>
      </c>
      <c r="AB639" s="13" t="s">
        <v>33</v>
      </c>
      <c r="AC639" s="13" t="s">
        <v>33</v>
      </c>
      <c r="AD639" s="13" t="s">
        <v>33</v>
      </c>
      <c r="AE639" s="13" t="s">
        <v>33</v>
      </c>
      <c r="AF639" s="13" t="s">
        <v>33</v>
      </c>
      <c r="AG639" s="13" t="s">
        <v>33</v>
      </c>
      <c r="AH639" s="6" t="b">
        <v>0</v>
      </c>
      <c r="AI639" s="13" t="s">
        <v>33</v>
      </c>
      <c r="AJ639" s="13" t="s">
        <v>33</v>
      </c>
      <c r="AK639" s="13" t="s">
        <v>33</v>
      </c>
      <c r="AL639" s="6">
        <v>0</v>
      </c>
      <c r="AM639" s="13" t="s">
        <v>33</v>
      </c>
    </row>
    <row r="640" spans="1:39" ht="15" customHeight="1" x14ac:dyDescent="0.3">
      <c r="A640" s="6" t="s">
        <v>354</v>
      </c>
      <c r="B640" s="7" t="str">
        <f>Odds_Input!C364</f>
        <v>Reed Sheppard</v>
      </c>
      <c r="C640" s="6" t="s">
        <v>33</v>
      </c>
      <c r="D640" s="7" t="str">
        <f>Odds_Input!D364</f>
        <v>YES</v>
      </c>
      <c r="E640" s="31" t="str">
        <f>Odds_Input!E364</f>
        <v>-</v>
      </c>
      <c r="F640" s="32">
        <f>Odds_Input!F364</f>
        <v>2000</v>
      </c>
      <c r="G640" s="36">
        <f>M_DeVig!H364</f>
        <v>21</v>
      </c>
      <c r="H640" s="7" t="str">
        <f>Odds_Input!G364</f>
        <v>-</v>
      </c>
      <c r="I640" s="42">
        <f>M_DeVig!Q364</f>
        <v>4.6717658475230101E-2</v>
      </c>
      <c r="J640" s="13" t="s">
        <v>33</v>
      </c>
      <c r="K640" s="43">
        <f t="shared" si="134"/>
        <v>2040.5182379382395</v>
      </c>
      <c r="L640" s="13" t="s">
        <v>33</v>
      </c>
      <c r="M640" s="13" t="s">
        <v>33</v>
      </c>
      <c r="N640" s="13" t="s">
        <v>33</v>
      </c>
      <c r="O640" s="13" t="s">
        <v>33</v>
      </c>
      <c r="P640" s="13" t="s">
        <v>33</v>
      </c>
      <c r="Q640" s="13" t="s">
        <v>33</v>
      </c>
      <c r="R640" s="13" t="s">
        <v>33</v>
      </c>
      <c r="S640" s="13" t="s">
        <v>33</v>
      </c>
      <c r="T640" s="13" t="s">
        <v>33</v>
      </c>
      <c r="U640" s="13" t="s">
        <v>33</v>
      </c>
      <c r="V640" s="13" t="s">
        <v>33</v>
      </c>
      <c r="W640" s="6" t="b">
        <v>0</v>
      </c>
      <c r="X640" s="6" t="s">
        <v>1301</v>
      </c>
      <c r="Y640" s="6" t="s">
        <v>1326</v>
      </c>
      <c r="Z640" s="6">
        <v>356</v>
      </c>
      <c r="AA640" s="7" t="str">
        <f t="shared" si="135"/>
        <v>OK - sims match current assumptions</v>
      </c>
      <c r="AB640" s="13" t="s">
        <v>33</v>
      </c>
      <c r="AC640" s="13" t="s">
        <v>33</v>
      </c>
      <c r="AD640" s="13" t="s">
        <v>33</v>
      </c>
      <c r="AE640" s="13" t="s">
        <v>33</v>
      </c>
      <c r="AF640" s="13" t="s">
        <v>33</v>
      </c>
      <c r="AG640" s="13" t="s">
        <v>33</v>
      </c>
      <c r="AH640" s="6" t="b">
        <v>0</v>
      </c>
      <c r="AI640" s="13" t="s">
        <v>33</v>
      </c>
      <c r="AJ640" s="13" t="s">
        <v>33</v>
      </c>
      <c r="AK640" s="13" t="s">
        <v>33</v>
      </c>
      <c r="AL640" s="6">
        <v>0</v>
      </c>
      <c r="AM640" s="13" t="s">
        <v>33</v>
      </c>
    </row>
    <row r="641" spans="1:39" ht="15" customHeight="1" x14ac:dyDescent="0.3">
      <c r="A641" s="6" t="s">
        <v>354</v>
      </c>
      <c r="B641" s="7" t="str">
        <f>Odds_Input!C365</f>
        <v>Anfernee Simons</v>
      </c>
      <c r="C641" s="6" t="s">
        <v>33</v>
      </c>
      <c r="D641" s="7" t="str">
        <f>Odds_Input!D365</f>
        <v>YES</v>
      </c>
      <c r="E641" s="31" t="str">
        <f>Odds_Input!E365</f>
        <v>-</v>
      </c>
      <c r="F641" s="32">
        <f>Odds_Input!F365</f>
        <v>1200</v>
      </c>
      <c r="G641" s="36">
        <f>M_DeVig!H365</f>
        <v>13</v>
      </c>
      <c r="H641" s="7" t="str">
        <f>Odds_Input!G365</f>
        <v>-</v>
      </c>
      <c r="I641" s="42">
        <f>M_DeVig!Q365</f>
        <v>7.572152872787466E-2</v>
      </c>
      <c r="J641" s="13" t="s">
        <v>33</v>
      </c>
      <c r="K641" s="43">
        <f t="shared" si="134"/>
        <v>1220.6283824429436</v>
      </c>
      <c r="L641" s="13" t="s">
        <v>33</v>
      </c>
      <c r="M641" s="13" t="s">
        <v>33</v>
      </c>
      <c r="N641" s="13" t="s">
        <v>33</v>
      </c>
      <c r="O641" s="13" t="s">
        <v>33</v>
      </c>
      <c r="P641" s="13" t="s">
        <v>33</v>
      </c>
      <c r="Q641" s="13" t="s">
        <v>33</v>
      </c>
      <c r="R641" s="13" t="s">
        <v>33</v>
      </c>
      <c r="S641" s="13" t="s">
        <v>33</v>
      </c>
      <c r="T641" s="13" t="s">
        <v>33</v>
      </c>
      <c r="U641" s="13" t="s">
        <v>33</v>
      </c>
      <c r="V641" s="13" t="s">
        <v>33</v>
      </c>
      <c r="W641" s="6" t="b">
        <v>0</v>
      </c>
      <c r="X641" s="6" t="s">
        <v>1301</v>
      </c>
      <c r="Y641" s="6" t="s">
        <v>1326</v>
      </c>
      <c r="Z641" s="6">
        <v>357</v>
      </c>
      <c r="AA641" s="7" t="str">
        <f t="shared" si="135"/>
        <v>OK - sims match current assumptions</v>
      </c>
      <c r="AB641" s="13" t="s">
        <v>33</v>
      </c>
      <c r="AC641" s="13" t="s">
        <v>33</v>
      </c>
      <c r="AD641" s="13" t="s">
        <v>33</v>
      </c>
      <c r="AE641" s="13" t="s">
        <v>33</v>
      </c>
      <c r="AF641" s="13" t="s">
        <v>33</v>
      </c>
      <c r="AG641" s="13" t="s">
        <v>33</v>
      </c>
      <c r="AH641" s="6" t="b">
        <v>0</v>
      </c>
      <c r="AI641" s="13" t="s">
        <v>33</v>
      </c>
      <c r="AJ641" s="13" t="s">
        <v>33</v>
      </c>
      <c r="AK641" s="13" t="s">
        <v>33</v>
      </c>
      <c r="AL641" s="6">
        <v>0</v>
      </c>
      <c r="AM641" s="13" t="s">
        <v>33</v>
      </c>
    </row>
    <row r="642" spans="1:39" ht="15" customHeight="1" x14ac:dyDescent="0.3">
      <c r="A642" s="6" t="s">
        <v>354</v>
      </c>
      <c r="B642" s="7" t="str">
        <f>Odds_Input!C366</f>
        <v>Ajay Mitchell</v>
      </c>
      <c r="C642" s="6" t="s">
        <v>33</v>
      </c>
      <c r="D642" s="7" t="str">
        <f>Odds_Input!D366</f>
        <v>YES</v>
      </c>
      <c r="E642" s="31" t="str">
        <f>Odds_Input!E366</f>
        <v>-</v>
      </c>
      <c r="F642" s="32">
        <f>Odds_Input!F366</f>
        <v>600</v>
      </c>
      <c r="G642" s="36">
        <f>M_DeVig!H366</f>
        <v>7</v>
      </c>
      <c r="H642" s="7" t="str">
        <f>Odds_Input!G366</f>
        <v>-</v>
      </c>
      <c r="I642" s="42">
        <f>M_DeVig!Q366</f>
        <v>0.14098128888539407</v>
      </c>
      <c r="J642" s="13" t="s">
        <v>33</v>
      </c>
      <c r="K642" s="43">
        <f t="shared" si="134"/>
        <v>609.3139862077129</v>
      </c>
      <c r="L642" s="13" t="s">
        <v>33</v>
      </c>
      <c r="M642" s="13" t="s">
        <v>33</v>
      </c>
      <c r="N642" s="13" t="s">
        <v>33</v>
      </c>
      <c r="O642" s="13" t="s">
        <v>33</v>
      </c>
      <c r="P642" s="13" t="s">
        <v>33</v>
      </c>
      <c r="Q642" s="13" t="s">
        <v>33</v>
      </c>
      <c r="R642" s="13" t="s">
        <v>33</v>
      </c>
      <c r="S642" s="13" t="s">
        <v>33</v>
      </c>
      <c r="T642" s="13" t="s">
        <v>33</v>
      </c>
      <c r="U642" s="13" t="s">
        <v>33</v>
      </c>
      <c r="V642" s="13" t="s">
        <v>33</v>
      </c>
      <c r="W642" s="6" t="b">
        <v>0</v>
      </c>
      <c r="X642" s="6" t="s">
        <v>1301</v>
      </c>
      <c r="Y642" s="6" t="s">
        <v>1326</v>
      </c>
      <c r="Z642" s="6">
        <v>358</v>
      </c>
      <c r="AA642" s="7" t="str">
        <f t="shared" si="135"/>
        <v>OK - sims match current assumptions</v>
      </c>
      <c r="AB642" s="13" t="s">
        <v>33</v>
      </c>
      <c r="AC642" s="13" t="s">
        <v>33</v>
      </c>
      <c r="AD642" s="13" t="s">
        <v>33</v>
      </c>
      <c r="AE642" s="13" t="s">
        <v>33</v>
      </c>
      <c r="AF642" s="13" t="s">
        <v>33</v>
      </c>
      <c r="AG642" s="13" t="s">
        <v>33</v>
      </c>
      <c r="AH642" s="6" t="b">
        <v>0</v>
      </c>
      <c r="AI642" s="13" t="s">
        <v>33</v>
      </c>
      <c r="AJ642" s="13" t="s">
        <v>33</v>
      </c>
      <c r="AK642" s="13" t="s">
        <v>33</v>
      </c>
      <c r="AL642" s="6">
        <v>0</v>
      </c>
      <c r="AM642" s="13" t="s">
        <v>33</v>
      </c>
    </row>
    <row r="643" spans="1:39" ht="15" customHeight="1" x14ac:dyDescent="0.3">
      <c r="A643" s="6" t="s">
        <v>354</v>
      </c>
      <c r="B643" s="7" t="str">
        <f>Odds_Input!C367</f>
        <v>Aaron Wiggins</v>
      </c>
      <c r="C643" s="6" t="s">
        <v>33</v>
      </c>
      <c r="D643" s="7" t="str">
        <f>Odds_Input!D367</f>
        <v>YES</v>
      </c>
      <c r="E643" s="31" t="str">
        <f>Odds_Input!E367</f>
        <v>-</v>
      </c>
      <c r="F643" s="32">
        <f>Odds_Input!F367</f>
        <v>3000</v>
      </c>
      <c r="G643" s="36">
        <f>M_DeVig!H367</f>
        <v>31</v>
      </c>
      <c r="H643" s="7" t="str">
        <f>Odds_Input!G367</f>
        <v>-</v>
      </c>
      <c r="I643" s="42">
        <f>M_DeVig!Q367</f>
        <v>3.1514525846935031E-2</v>
      </c>
      <c r="J643" s="13" t="s">
        <v>33</v>
      </c>
      <c r="K643" s="43">
        <f t="shared" si="134"/>
        <v>3073.1399192136528</v>
      </c>
      <c r="L643" s="13" t="s">
        <v>33</v>
      </c>
      <c r="M643" s="13" t="s">
        <v>33</v>
      </c>
      <c r="N643" s="13" t="s">
        <v>33</v>
      </c>
      <c r="O643" s="13" t="s">
        <v>33</v>
      </c>
      <c r="P643" s="13" t="s">
        <v>33</v>
      </c>
      <c r="Q643" s="13" t="s">
        <v>33</v>
      </c>
      <c r="R643" s="13" t="s">
        <v>33</v>
      </c>
      <c r="S643" s="13" t="s">
        <v>33</v>
      </c>
      <c r="T643" s="13" t="s">
        <v>33</v>
      </c>
      <c r="U643" s="13" t="s">
        <v>33</v>
      </c>
      <c r="V643" s="13" t="s">
        <v>33</v>
      </c>
      <c r="W643" s="6" t="b">
        <v>0</v>
      </c>
      <c r="X643" s="6" t="s">
        <v>1301</v>
      </c>
      <c r="Y643" s="6" t="s">
        <v>1326</v>
      </c>
      <c r="Z643" s="6">
        <v>359</v>
      </c>
      <c r="AA643" s="7" t="str">
        <f t="shared" si="135"/>
        <v>OK - sims match current assumptions</v>
      </c>
      <c r="AB643" s="13" t="s">
        <v>33</v>
      </c>
      <c r="AC643" s="13" t="s">
        <v>33</v>
      </c>
      <c r="AD643" s="13" t="s">
        <v>33</v>
      </c>
      <c r="AE643" s="13" t="s">
        <v>33</v>
      </c>
      <c r="AF643" s="13" t="s">
        <v>33</v>
      </c>
      <c r="AG643" s="13" t="s">
        <v>33</v>
      </c>
      <c r="AH643" s="6" t="b">
        <v>0</v>
      </c>
      <c r="AI643" s="13" t="s">
        <v>33</v>
      </c>
      <c r="AJ643" s="13" t="s">
        <v>33</v>
      </c>
      <c r="AK643" s="13" t="s">
        <v>33</v>
      </c>
      <c r="AL643" s="6">
        <v>0</v>
      </c>
      <c r="AM643" s="13" t="s">
        <v>33</v>
      </c>
    </row>
    <row r="644" spans="1:39" ht="15" customHeight="1" x14ac:dyDescent="0.3">
      <c r="A644" s="6" t="s">
        <v>354</v>
      </c>
      <c r="B644" s="7" t="str">
        <f>Odds_Input!C368</f>
        <v>Keldon Johnson</v>
      </c>
      <c r="C644" s="6" t="s">
        <v>33</v>
      </c>
      <c r="D644" s="7" t="str">
        <f>Odds_Input!D368</f>
        <v>YES</v>
      </c>
      <c r="E644" s="31" t="str">
        <f>Odds_Input!E368</f>
        <v>-</v>
      </c>
      <c r="F644" s="32">
        <f>Odds_Input!F368</f>
        <v>3000</v>
      </c>
      <c r="G644" s="36">
        <f>M_DeVig!H368</f>
        <v>31</v>
      </c>
      <c r="H644" s="7" t="str">
        <f>Odds_Input!G368</f>
        <v>-</v>
      </c>
      <c r="I644" s="42">
        <f>M_DeVig!Q368</f>
        <v>3.1514525846935031E-2</v>
      </c>
      <c r="J644" s="13" t="s">
        <v>33</v>
      </c>
      <c r="K644" s="43">
        <f t="shared" si="134"/>
        <v>3073.1399192136528</v>
      </c>
      <c r="L644" s="13" t="s">
        <v>33</v>
      </c>
      <c r="M644" s="13" t="s">
        <v>33</v>
      </c>
      <c r="N644" s="13" t="s">
        <v>33</v>
      </c>
      <c r="O644" s="13" t="s">
        <v>33</v>
      </c>
      <c r="P644" s="13" t="s">
        <v>33</v>
      </c>
      <c r="Q644" s="13" t="s">
        <v>33</v>
      </c>
      <c r="R644" s="13" t="s">
        <v>33</v>
      </c>
      <c r="S644" s="13" t="s">
        <v>33</v>
      </c>
      <c r="T644" s="13" t="s">
        <v>33</v>
      </c>
      <c r="U644" s="13" t="s">
        <v>33</v>
      </c>
      <c r="V644" s="13" t="s">
        <v>33</v>
      </c>
      <c r="W644" s="6" t="b">
        <v>0</v>
      </c>
      <c r="X644" s="6" t="s">
        <v>1301</v>
      </c>
      <c r="Y644" s="6" t="s">
        <v>1326</v>
      </c>
      <c r="Z644" s="6">
        <v>360</v>
      </c>
      <c r="AA644" s="7" t="str">
        <f t="shared" si="135"/>
        <v>OK - sims match current assumptions</v>
      </c>
      <c r="AB644" s="13" t="s">
        <v>33</v>
      </c>
      <c r="AC644" s="13" t="s">
        <v>33</v>
      </c>
      <c r="AD644" s="13" t="s">
        <v>33</v>
      </c>
      <c r="AE644" s="13" t="s">
        <v>33</v>
      </c>
      <c r="AF644" s="13" t="s">
        <v>33</v>
      </c>
      <c r="AG644" s="13" t="s">
        <v>33</v>
      </c>
      <c r="AH644" s="6" t="b">
        <v>0</v>
      </c>
      <c r="AI644" s="13" t="s">
        <v>33</v>
      </c>
      <c r="AJ644" s="13" t="s">
        <v>33</v>
      </c>
      <c r="AK644" s="13" t="s">
        <v>33</v>
      </c>
      <c r="AL644" s="6">
        <v>0</v>
      </c>
      <c r="AM644" s="13" t="s">
        <v>33</v>
      </c>
    </row>
    <row r="645" spans="1:39" ht="15" customHeight="1" x14ac:dyDescent="0.3">
      <c r="A645" s="6" t="s">
        <v>354</v>
      </c>
      <c r="B645" s="7" t="str">
        <f>Odds_Input!C369</f>
        <v>Daniss Jenkins</v>
      </c>
      <c r="C645" s="6" t="s">
        <v>33</v>
      </c>
      <c r="D645" s="7" t="str">
        <f>Odds_Input!D369</f>
        <v>YES</v>
      </c>
      <c r="E645" s="31" t="str">
        <f>Odds_Input!E369</f>
        <v>-</v>
      </c>
      <c r="F645" s="32">
        <f>Odds_Input!F369</f>
        <v>3500</v>
      </c>
      <c r="G645" s="36">
        <f>M_DeVig!H369</f>
        <v>36</v>
      </c>
      <c r="H645" s="7" t="str">
        <f>Odds_Input!G369</f>
        <v>-</v>
      </c>
      <c r="I645" s="42">
        <f>M_DeVig!Q369</f>
        <v>2.7080461451934514E-2</v>
      </c>
      <c r="J645" s="13" t="s">
        <v>33</v>
      </c>
      <c r="K645" s="43">
        <f t="shared" si="134"/>
        <v>3592.6992613287402</v>
      </c>
      <c r="L645" s="13" t="s">
        <v>33</v>
      </c>
      <c r="M645" s="13" t="s">
        <v>33</v>
      </c>
      <c r="N645" s="13" t="s">
        <v>33</v>
      </c>
      <c r="O645" s="13" t="s">
        <v>33</v>
      </c>
      <c r="P645" s="13" t="s">
        <v>33</v>
      </c>
      <c r="Q645" s="13" t="s">
        <v>33</v>
      </c>
      <c r="R645" s="13" t="s">
        <v>33</v>
      </c>
      <c r="S645" s="13" t="s">
        <v>33</v>
      </c>
      <c r="T645" s="13" t="s">
        <v>33</v>
      </c>
      <c r="U645" s="13" t="s">
        <v>33</v>
      </c>
      <c r="V645" s="13" t="s">
        <v>33</v>
      </c>
      <c r="W645" s="6" t="b">
        <v>0</v>
      </c>
      <c r="X645" s="6" t="s">
        <v>1301</v>
      </c>
      <c r="Y645" s="6" t="s">
        <v>1326</v>
      </c>
      <c r="Z645" s="6">
        <v>361</v>
      </c>
      <c r="AA645" s="7" t="str">
        <f t="shared" si="135"/>
        <v>OK - sims match current assumptions</v>
      </c>
      <c r="AB645" s="13" t="s">
        <v>33</v>
      </c>
      <c r="AC645" s="13" t="s">
        <v>33</v>
      </c>
      <c r="AD645" s="13" t="s">
        <v>33</v>
      </c>
      <c r="AE645" s="13" t="s">
        <v>33</v>
      </c>
      <c r="AF645" s="13" t="s">
        <v>33</v>
      </c>
      <c r="AG645" s="13" t="s">
        <v>33</v>
      </c>
      <c r="AH645" s="6" t="b">
        <v>0</v>
      </c>
      <c r="AI645" s="13" t="s">
        <v>33</v>
      </c>
      <c r="AJ645" s="13" t="s">
        <v>33</v>
      </c>
      <c r="AK645" s="13" t="s">
        <v>33</v>
      </c>
      <c r="AL645" s="6">
        <v>0</v>
      </c>
      <c r="AM645" s="13" t="s">
        <v>33</v>
      </c>
    </row>
    <row r="646" spans="1:39" ht="15" customHeight="1" x14ac:dyDescent="0.3">
      <c r="A646" s="6" t="s">
        <v>354</v>
      </c>
      <c r="B646" s="7" t="str">
        <f>Odds_Input!C370</f>
        <v>Ace Bailey</v>
      </c>
      <c r="C646" s="6" t="s">
        <v>33</v>
      </c>
      <c r="D646" s="7" t="str">
        <f>Odds_Input!D370</f>
        <v>YES</v>
      </c>
      <c r="E646" s="31" t="str">
        <f>Odds_Input!E370</f>
        <v>-</v>
      </c>
      <c r="F646" s="32">
        <f>Odds_Input!F370</f>
        <v>2500</v>
      </c>
      <c r="G646" s="36">
        <f>M_DeVig!H370</f>
        <v>26</v>
      </c>
      <c r="H646" s="7" t="str">
        <f>Odds_Input!G370</f>
        <v>-</v>
      </c>
      <c r="I646" s="42">
        <f>M_DeVig!Q370</f>
        <v>3.7654168194144036E-2</v>
      </c>
      <c r="J646" s="13" t="s">
        <v>33</v>
      </c>
      <c r="K646" s="43">
        <f t="shared" si="134"/>
        <v>2555.7484814005788</v>
      </c>
      <c r="L646" s="13" t="s">
        <v>33</v>
      </c>
      <c r="M646" s="13" t="s">
        <v>33</v>
      </c>
      <c r="N646" s="13" t="s">
        <v>33</v>
      </c>
      <c r="O646" s="13" t="s">
        <v>33</v>
      </c>
      <c r="P646" s="13" t="s">
        <v>33</v>
      </c>
      <c r="Q646" s="13" t="s">
        <v>33</v>
      </c>
      <c r="R646" s="13" t="s">
        <v>33</v>
      </c>
      <c r="S646" s="13" t="s">
        <v>33</v>
      </c>
      <c r="T646" s="13" t="s">
        <v>33</v>
      </c>
      <c r="U646" s="13" t="s">
        <v>33</v>
      </c>
      <c r="V646" s="13" t="s">
        <v>33</v>
      </c>
      <c r="W646" s="6" t="b">
        <v>0</v>
      </c>
      <c r="X646" s="6" t="s">
        <v>1301</v>
      </c>
      <c r="Y646" s="6" t="s">
        <v>1326</v>
      </c>
      <c r="Z646" s="6">
        <v>362</v>
      </c>
      <c r="AA646" s="7" t="str">
        <f t="shared" si="135"/>
        <v>OK - sims match current assumptions</v>
      </c>
      <c r="AB646" s="13" t="s">
        <v>33</v>
      </c>
      <c r="AC646" s="13" t="s">
        <v>33</v>
      </c>
      <c r="AD646" s="13" t="s">
        <v>33</v>
      </c>
      <c r="AE646" s="13" t="s">
        <v>33</v>
      </c>
      <c r="AF646" s="13" t="s">
        <v>33</v>
      </c>
      <c r="AG646" s="13" t="s">
        <v>33</v>
      </c>
      <c r="AH646" s="6" t="b">
        <v>0</v>
      </c>
      <c r="AI646" s="13" t="s">
        <v>33</v>
      </c>
      <c r="AJ646" s="13" t="s">
        <v>33</v>
      </c>
      <c r="AK646" s="13" t="s">
        <v>33</v>
      </c>
      <c r="AL646" s="6">
        <v>0</v>
      </c>
      <c r="AM646" s="13" t="s">
        <v>33</v>
      </c>
    </row>
    <row r="647" spans="1:39" ht="15" customHeight="1" x14ac:dyDescent="0.3">
      <c r="A647" s="6" t="s">
        <v>354</v>
      </c>
      <c r="B647" s="7" t="str">
        <f>Odds_Input!C371</f>
        <v>Jared McCain</v>
      </c>
      <c r="C647" s="6" t="s">
        <v>33</v>
      </c>
      <c r="D647" s="7" t="str">
        <f>Odds_Input!D371</f>
        <v>YES</v>
      </c>
      <c r="E647" s="31" t="str">
        <f>Odds_Input!E371</f>
        <v>-</v>
      </c>
      <c r="F647" s="32">
        <f>Odds_Input!F371</f>
        <v>3000</v>
      </c>
      <c r="G647" s="36">
        <f>M_DeVig!H371</f>
        <v>31</v>
      </c>
      <c r="H647" s="7" t="str">
        <f>Odds_Input!G371</f>
        <v>-</v>
      </c>
      <c r="I647" s="42">
        <f>M_DeVig!Q371</f>
        <v>3.1514525846935031E-2</v>
      </c>
      <c r="J647" s="13" t="s">
        <v>33</v>
      </c>
      <c r="K647" s="43">
        <f t="shared" si="134"/>
        <v>3073.1399192136528</v>
      </c>
      <c r="L647" s="13" t="s">
        <v>33</v>
      </c>
      <c r="M647" s="13" t="s">
        <v>33</v>
      </c>
      <c r="N647" s="13" t="s">
        <v>33</v>
      </c>
      <c r="O647" s="13" t="s">
        <v>33</v>
      </c>
      <c r="P647" s="13" t="s">
        <v>33</v>
      </c>
      <c r="Q647" s="13" t="s">
        <v>33</v>
      </c>
      <c r="R647" s="13" t="s">
        <v>33</v>
      </c>
      <c r="S647" s="13" t="s">
        <v>33</v>
      </c>
      <c r="T647" s="13" t="s">
        <v>33</v>
      </c>
      <c r="U647" s="13" t="s">
        <v>33</v>
      </c>
      <c r="V647" s="13" t="s">
        <v>33</v>
      </c>
      <c r="W647" s="6" t="b">
        <v>0</v>
      </c>
      <c r="X647" s="6" t="s">
        <v>1301</v>
      </c>
      <c r="Y647" s="6" t="s">
        <v>1326</v>
      </c>
      <c r="Z647" s="6">
        <v>363</v>
      </c>
      <c r="AA647" s="7" t="str">
        <f t="shared" si="135"/>
        <v>OK - sims match current assumptions</v>
      </c>
      <c r="AB647" s="13" t="s">
        <v>33</v>
      </c>
      <c r="AC647" s="13" t="s">
        <v>33</v>
      </c>
      <c r="AD647" s="13" t="s">
        <v>33</v>
      </c>
      <c r="AE647" s="13" t="s">
        <v>33</v>
      </c>
      <c r="AF647" s="13" t="s">
        <v>33</v>
      </c>
      <c r="AG647" s="13" t="s">
        <v>33</v>
      </c>
      <c r="AH647" s="6" t="b">
        <v>0</v>
      </c>
      <c r="AI647" s="13" t="s">
        <v>33</v>
      </c>
      <c r="AJ647" s="13" t="s">
        <v>33</v>
      </c>
      <c r="AK647" s="13" t="s">
        <v>33</v>
      </c>
      <c r="AL647" s="6">
        <v>0</v>
      </c>
      <c r="AM647" s="13" t="s">
        <v>33</v>
      </c>
    </row>
    <row r="648" spans="1:39" ht="15" customHeight="1" x14ac:dyDescent="0.3">
      <c r="A648" s="6" t="s">
        <v>354</v>
      </c>
      <c r="B648" s="7" t="str">
        <f>Odds_Input!C372</f>
        <v>Scoot Henderson</v>
      </c>
      <c r="C648" s="6" t="s">
        <v>33</v>
      </c>
      <c r="D648" s="7" t="str">
        <f>Odds_Input!D372</f>
        <v>YES</v>
      </c>
      <c r="E648" s="31" t="str">
        <f>Odds_Input!E372</f>
        <v>-</v>
      </c>
      <c r="F648" s="32">
        <f>Odds_Input!F372</f>
        <v>3000</v>
      </c>
      <c r="G648" s="36">
        <f>M_DeVig!H372</f>
        <v>31</v>
      </c>
      <c r="H648" s="7" t="str">
        <f>Odds_Input!G372</f>
        <v>-</v>
      </c>
      <c r="I648" s="42">
        <f>M_DeVig!Q372</f>
        <v>3.1514525846935031E-2</v>
      </c>
      <c r="J648" s="13" t="s">
        <v>33</v>
      </c>
      <c r="K648" s="43">
        <f t="shared" si="134"/>
        <v>3073.1399192136528</v>
      </c>
      <c r="L648" s="13" t="s">
        <v>33</v>
      </c>
      <c r="M648" s="13" t="s">
        <v>33</v>
      </c>
      <c r="N648" s="13" t="s">
        <v>33</v>
      </c>
      <c r="O648" s="13" t="s">
        <v>33</v>
      </c>
      <c r="P648" s="13" t="s">
        <v>33</v>
      </c>
      <c r="Q648" s="13" t="s">
        <v>33</v>
      </c>
      <c r="R648" s="13" t="s">
        <v>33</v>
      </c>
      <c r="S648" s="13" t="s">
        <v>33</v>
      </c>
      <c r="T648" s="13" t="s">
        <v>33</v>
      </c>
      <c r="U648" s="13" t="s">
        <v>33</v>
      </c>
      <c r="V648" s="13" t="s">
        <v>33</v>
      </c>
      <c r="W648" s="6" t="b">
        <v>0</v>
      </c>
      <c r="X648" s="6" t="s">
        <v>1301</v>
      </c>
      <c r="Y648" s="6" t="s">
        <v>1326</v>
      </c>
      <c r="Z648" s="6">
        <v>364</v>
      </c>
      <c r="AA648" s="7" t="str">
        <f t="shared" si="135"/>
        <v>OK - sims match current assumptions</v>
      </c>
      <c r="AB648" s="13" t="s">
        <v>33</v>
      </c>
      <c r="AC648" s="13" t="s">
        <v>33</v>
      </c>
      <c r="AD648" s="13" t="s">
        <v>33</v>
      </c>
      <c r="AE648" s="13" t="s">
        <v>33</v>
      </c>
      <c r="AF648" s="13" t="s">
        <v>33</v>
      </c>
      <c r="AG648" s="13" t="s">
        <v>33</v>
      </c>
      <c r="AH648" s="6" t="b">
        <v>0</v>
      </c>
      <c r="AI648" s="13" t="s">
        <v>33</v>
      </c>
      <c r="AJ648" s="13" t="s">
        <v>33</v>
      </c>
      <c r="AK648" s="13" t="s">
        <v>33</v>
      </c>
      <c r="AL648" s="6">
        <v>0</v>
      </c>
      <c r="AM648" s="13" t="s">
        <v>33</v>
      </c>
    </row>
    <row r="649" spans="1:39" ht="15" customHeight="1" x14ac:dyDescent="0.3">
      <c r="A649" s="6" t="s">
        <v>354</v>
      </c>
      <c r="B649" s="7" t="str">
        <f>Odds_Input!C373</f>
        <v>Jaime Jaquez Jr</v>
      </c>
      <c r="C649" s="6" t="s">
        <v>33</v>
      </c>
      <c r="D649" s="7" t="str">
        <f>Odds_Input!D373</f>
        <v>YES</v>
      </c>
      <c r="E649" s="31" t="str">
        <f>Odds_Input!E373</f>
        <v>-</v>
      </c>
      <c r="F649" s="32">
        <f>Odds_Input!F373</f>
        <v>3000</v>
      </c>
      <c r="G649" s="36">
        <f>M_DeVig!H373</f>
        <v>31</v>
      </c>
      <c r="H649" s="7" t="str">
        <f>Odds_Input!G373</f>
        <v>-</v>
      </c>
      <c r="I649" s="42">
        <f>M_DeVig!Q373</f>
        <v>3.1514525846935031E-2</v>
      </c>
      <c r="J649" s="13" t="s">
        <v>33</v>
      </c>
      <c r="K649" s="43">
        <f t="shared" si="134"/>
        <v>3073.1399192136528</v>
      </c>
      <c r="L649" s="13" t="s">
        <v>33</v>
      </c>
      <c r="M649" s="13" t="s">
        <v>33</v>
      </c>
      <c r="N649" s="13" t="s">
        <v>33</v>
      </c>
      <c r="O649" s="13" t="s">
        <v>33</v>
      </c>
      <c r="P649" s="13" t="s">
        <v>33</v>
      </c>
      <c r="Q649" s="13" t="s">
        <v>33</v>
      </c>
      <c r="R649" s="13" t="s">
        <v>33</v>
      </c>
      <c r="S649" s="13" t="s">
        <v>33</v>
      </c>
      <c r="T649" s="13" t="s">
        <v>33</v>
      </c>
      <c r="U649" s="13" t="s">
        <v>33</v>
      </c>
      <c r="V649" s="13" t="s">
        <v>33</v>
      </c>
      <c r="W649" s="6" t="b">
        <v>0</v>
      </c>
      <c r="X649" s="6" t="s">
        <v>1301</v>
      </c>
      <c r="Y649" s="6" t="s">
        <v>1326</v>
      </c>
      <c r="Z649" s="6">
        <v>365</v>
      </c>
      <c r="AA649" s="7" t="str">
        <f t="shared" si="135"/>
        <v>OK - sims match current assumptions</v>
      </c>
      <c r="AB649" s="13" t="s">
        <v>33</v>
      </c>
      <c r="AC649" s="13" t="s">
        <v>33</v>
      </c>
      <c r="AD649" s="13" t="s">
        <v>33</v>
      </c>
      <c r="AE649" s="13" t="s">
        <v>33</v>
      </c>
      <c r="AF649" s="13" t="s">
        <v>33</v>
      </c>
      <c r="AG649" s="13" t="s">
        <v>33</v>
      </c>
      <c r="AH649" s="6" t="b">
        <v>0</v>
      </c>
      <c r="AI649" s="13" t="s">
        <v>33</v>
      </c>
      <c r="AJ649" s="13" t="s">
        <v>33</v>
      </c>
      <c r="AK649" s="13" t="s">
        <v>33</v>
      </c>
      <c r="AL649" s="6">
        <v>0</v>
      </c>
      <c r="AM649" s="13" t="s">
        <v>33</v>
      </c>
    </row>
    <row r="650" spans="1:39" ht="15" customHeight="1" x14ac:dyDescent="0.3">
      <c r="A650" s="6" t="s">
        <v>354</v>
      </c>
      <c r="B650" s="7" t="str">
        <f>Odds_Input!C374</f>
        <v>Bennedict Mathurin</v>
      </c>
      <c r="C650" s="6" t="s">
        <v>33</v>
      </c>
      <c r="D650" s="7" t="str">
        <f>Odds_Input!D374</f>
        <v>YES</v>
      </c>
      <c r="E650" s="31" t="str">
        <f>Odds_Input!E374</f>
        <v>-</v>
      </c>
      <c r="F650" s="32">
        <f>Odds_Input!F374</f>
        <v>3000</v>
      </c>
      <c r="G650" s="36">
        <f>M_DeVig!H374</f>
        <v>31</v>
      </c>
      <c r="H650" s="7" t="str">
        <f>Odds_Input!G374</f>
        <v>-</v>
      </c>
      <c r="I650" s="42">
        <f>M_DeVig!Q374</f>
        <v>3.1514525846935031E-2</v>
      </c>
      <c r="J650" s="13" t="s">
        <v>33</v>
      </c>
      <c r="K650" s="43">
        <f t="shared" si="134"/>
        <v>3073.1399192136528</v>
      </c>
      <c r="L650" s="13" t="s">
        <v>33</v>
      </c>
      <c r="M650" s="13" t="s">
        <v>33</v>
      </c>
      <c r="N650" s="13" t="s">
        <v>33</v>
      </c>
      <c r="O650" s="13" t="s">
        <v>33</v>
      </c>
      <c r="P650" s="13" t="s">
        <v>33</v>
      </c>
      <c r="Q650" s="13" t="s">
        <v>33</v>
      </c>
      <c r="R650" s="13" t="s">
        <v>33</v>
      </c>
      <c r="S650" s="13" t="s">
        <v>33</v>
      </c>
      <c r="T650" s="13" t="s">
        <v>33</v>
      </c>
      <c r="U650" s="13" t="s">
        <v>33</v>
      </c>
      <c r="V650" s="13" t="s">
        <v>33</v>
      </c>
      <c r="W650" s="6" t="b">
        <v>0</v>
      </c>
      <c r="X650" s="6" t="s">
        <v>1301</v>
      </c>
      <c r="Y650" s="6" t="s">
        <v>1326</v>
      </c>
      <c r="Z650" s="6">
        <v>366</v>
      </c>
      <c r="AA650" s="7" t="str">
        <f t="shared" si="135"/>
        <v>OK - sims match current assumptions</v>
      </c>
      <c r="AB650" s="13" t="s">
        <v>33</v>
      </c>
      <c r="AC650" s="13" t="s">
        <v>33</v>
      </c>
      <c r="AD650" s="13" t="s">
        <v>33</v>
      </c>
      <c r="AE650" s="13" t="s">
        <v>33</v>
      </c>
      <c r="AF650" s="13" t="s">
        <v>33</v>
      </c>
      <c r="AG650" s="13" t="s">
        <v>33</v>
      </c>
      <c r="AH650" s="6" t="b">
        <v>0</v>
      </c>
      <c r="AI650" s="13" t="s">
        <v>33</v>
      </c>
      <c r="AJ650" s="13" t="s">
        <v>33</v>
      </c>
      <c r="AK650" s="13" t="s">
        <v>33</v>
      </c>
      <c r="AL650" s="6">
        <v>0</v>
      </c>
      <c r="AM650" s="13" t="s">
        <v>33</v>
      </c>
    </row>
    <row r="651" spans="1:39" ht="15" customHeight="1" x14ac:dyDescent="0.3">
      <c r="A651" s="6" t="s">
        <v>354</v>
      </c>
      <c r="B651" s="7" t="str">
        <f>Odds_Input!C375</f>
        <v>Bobby Portis</v>
      </c>
      <c r="C651" s="6" t="s">
        <v>33</v>
      </c>
      <c r="D651" s="7" t="str">
        <f>Odds_Input!D375</f>
        <v>YES</v>
      </c>
      <c r="E651" s="31" t="str">
        <f>Odds_Input!E375</f>
        <v>-</v>
      </c>
      <c r="F651" s="32">
        <f>Odds_Input!F375</f>
        <v>3000</v>
      </c>
      <c r="G651" s="36">
        <f>M_DeVig!H375</f>
        <v>31</v>
      </c>
      <c r="H651" s="7" t="str">
        <f>Odds_Input!G375</f>
        <v>-</v>
      </c>
      <c r="I651" s="42">
        <f>M_DeVig!Q375</f>
        <v>3.1514525846935031E-2</v>
      </c>
      <c r="J651" s="13" t="s">
        <v>33</v>
      </c>
      <c r="K651" s="43">
        <f t="shared" si="134"/>
        <v>3073.1399192136528</v>
      </c>
      <c r="L651" s="13" t="s">
        <v>33</v>
      </c>
      <c r="M651" s="13" t="s">
        <v>33</v>
      </c>
      <c r="N651" s="13" t="s">
        <v>33</v>
      </c>
      <c r="O651" s="13" t="s">
        <v>33</v>
      </c>
      <c r="P651" s="13" t="s">
        <v>33</v>
      </c>
      <c r="Q651" s="13" t="s">
        <v>33</v>
      </c>
      <c r="R651" s="13" t="s">
        <v>33</v>
      </c>
      <c r="S651" s="13" t="s">
        <v>33</v>
      </c>
      <c r="T651" s="13" t="s">
        <v>33</v>
      </c>
      <c r="U651" s="13" t="s">
        <v>33</v>
      </c>
      <c r="V651" s="13" t="s">
        <v>33</v>
      </c>
      <c r="W651" s="6" t="b">
        <v>0</v>
      </c>
      <c r="X651" s="6" t="s">
        <v>1301</v>
      </c>
      <c r="Y651" s="6" t="s">
        <v>1326</v>
      </c>
      <c r="Z651" s="6">
        <v>367</v>
      </c>
      <c r="AA651" s="7" t="str">
        <f t="shared" si="135"/>
        <v>OK - sims match current assumptions</v>
      </c>
      <c r="AB651" s="13" t="s">
        <v>33</v>
      </c>
      <c r="AC651" s="13" t="s">
        <v>33</v>
      </c>
      <c r="AD651" s="13" t="s">
        <v>33</v>
      </c>
      <c r="AE651" s="13" t="s">
        <v>33</v>
      </c>
      <c r="AF651" s="13" t="s">
        <v>33</v>
      </c>
      <c r="AG651" s="13" t="s">
        <v>33</v>
      </c>
      <c r="AH651" s="6" t="b">
        <v>0</v>
      </c>
      <c r="AI651" s="13" t="s">
        <v>33</v>
      </c>
      <c r="AJ651" s="13" t="s">
        <v>33</v>
      </c>
      <c r="AK651" s="13" t="s">
        <v>33</v>
      </c>
      <c r="AL651" s="6">
        <v>0</v>
      </c>
      <c r="AM651" s="13" t="s">
        <v>33</v>
      </c>
    </row>
    <row r="652" spans="1:39" ht="15" customHeight="1" x14ac:dyDescent="0.3">
      <c r="A652" s="6" t="s">
        <v>354</v>
      </c>
      <c r="B652" s="7" t="str">
        <f>Odds_Input!C376</f>
        <v>Anthony Black</v>
      </c>
      <c r="C652" s="6" t="s">
        <v>33</v>
      </c>
      <c r="D652" s="7" t="str">
        <f>Odds_Input!D376</f>
        <v>YES</v>
      </c>
      <c r="E652" s="31" t="str">
        <f>Odds_Input!E376</f>
        <v>-</v>
      </c>
      <c r="F652" s="32">
        <f>Odds_Input!F376</f>
        <v>2000</v>
      </c>
      <c r="G652" s="36">
        <f>M_DeVig!H376</f>
        <v>21</v>
      </c>
      <c r="H652" s="7" t="str">
        <f>Odds_Input!G376</f>
        <v>-</v>
      </c>
      <c r="I652" s="42">
        <f>M_DeVig!Q376</f>
        <v>4.6717658475230101E-2</v>
      </c>
      <c r="J652" s="13" t="s">
        <v>33</v>
      </c>
      <c r="K652" s="43">
        <f t="shared" si="134"/>
        <v>2040.5182379382395</v>
      </c>
      <c r="L652" s="13" t="s">
        <v>33</v>
      </c>
      <c r="M652" s="13" t="s">
        <v>33</v>
      </c>
      <c r="N652" s="13" t="s">
        <v>33</v>
      </c>
      <c r="O652" s="13" t="s">
        <v>33</v>
      </c>
      <c r="P652" s="13" t="s">
        <v>33</v>
      </c>
      <c r="Q652" s="13" t="s">
        <v>33</v>
      </c>
      <c r="R652" s="13" t="s">
        <v>33</v>
      </c>
      <c r="S652" s="13" t="s">
        <v>33</v>
      </c>
      <c r="T652" s="13" t="s">
        <v>33</v>
      </c>
      <c r="U652" s="13" t="s">
        <v>33</v>
      </c>
      <c r="V652" s="13" t="s">
        <v>33</v>
      </c>
      <c r="W652" s="6" t="b">
        <v>0</v>
      </c>
      <c r="X652" s="6" t="s">
        <v>1301</v>
      </c>
      <c r="Y652" s="6" t="s">
        <v>1326</v>
      </c>
      <c r="Z652" s="6">
        <v>368</v>
      </c>
      <c r="AA652" s="7" t="str">
        <f t="shared" si="135"/>
        <v>OK - sims match current assumptions</v>
      </c>
      <c r="AB652" s="13" t="s">
        <v>33</v>
      </c>
      <c r="AC652" s="13" t="s">
        <v>33</v>
      </c>
      <c r="AD652" s="13" t="s">
        <v>33</v>
      </c>
      <c r="AE652" s="13" t="s">
        <v>33</v>
      </c>
      <c r="AF652" s="13" t="s">
        <v>33</v>
      </c>
      <c r="AG652" s="13" t="s">
        <v>33</v>
      </c>
      <c r="AH652" s="6" t="b">
        <v>0</v>
      </c>
      <c r="AI652" s="13" t="s">
        <v>33</v>
      </c>
      <c r="AJ652" s="13" t="s">
        <v>33</v>
      </c>
      <c r="AK652" s="13" t="s">
        <v>33</v>
      </c>
      <c r="AL652" s="6">
        <v>0</v>
      </c>
      <c r="AM652" s="13" t="s">
        <v>33</v>
      </c>
    </row>
    <row r="653" spans="1:39" ht="15" customHeight="1" x14ac:dyDescent="0.3">
      <c r="A653" s="6" t="s">
        <v>354</v>
      </c>
      <c r="B653" s="7" t="str">
        <f>Odds_Input!C377</f>
        <v>Jerami Grant</v>
      </c>
      <c r="C653" s="6" t="s">
        <v>33</v>
      </c>
      <c r="D653" s="7" t="str">
        <f>Odds_Input!D377</f>
        <v>YES</v>
      </c>
      <c r="E653" s="31" t="str">
        <f>Odds_Input!E377</f>
        <v>-</v>
      </c>
      <c r="F653" s="32">
        <f>Odds_Input!F377</f>
        <v>3500</v>
      </c>
      <c r="G653" s="36">
        <f>M_DeVig!H377</f>
        <v>36</v>
      </c>
      <c r="H653" s="7" t="str">
        <f>Odds_Input!G377</f>
        <v>-</v>
      </c>
      <c r="I653" s="42">
        <f>M_DeVig!Q377</f>
        <v>2.7080461451934514E-2</v>
      </c>
      <c r="J653" s="13" t="s">
        <v>33</v>
      </c>
      <c r="K653" s="43">
        <f t="shared" si="134"/>
        <v>3592.6992613287402</v>
      </c>
      <c r="L653" s="13" t="s">
        <v>33</v>
      </c>
      <c r="M653" s="13" t="s">
        <v>33</v>
      </c>
      <c r="N653" s="13" t="s">
        <v>33</v>
      </c>
      <c r="O653" s="13" t="s">
        <v>33</v>
      </c>
      <c r="P653" s="13" t="s">
        <v>33</v>
      </c>
      <c r="Q653" s="13" t="s">
        <v>33</v>
      </c>
      <c r="R653" s="13" t="s">
        <v>33</v>
      </c>
      <c r="S653" s="13" t="s">
        <v>33</v>
      </c>
      <c r="T653" s="13" t="s">
        <v>33</v>
      </c>
      <c r="U653" s="13" t="s">
        <v>33</v>
      </c>
      <c r="V653" s="13" t="s">
        <v>33</v>
      </c>
      <c r="W653" s="6" t="b">
        <v>0</v>
      </c>
      <c r="X653" s="6" t="s">
        <v>1301</v>
      </c>
      <c r="Y653" s="6" t="s">
        <v>1326</v>
      </c>
      <c r="Z653" s="6">
        <v>369</v>
      </c>
      <c r="AA653" s="7" t="str">
        <f t="shared" si="135"/>
        <v>OK - sims match current assumptions</v>
      </c>
      <c r="AB653" s="13" t="s">
        <v>33</v>
      </c>
      <c r="AC653" s="13" t="s">
        <v>33</v>
      </c>
      <c r="AD653" s="13" t="s">
        <v>33</v>
      </c>
      <c r="AE653" s="13" t="s">
        <v>33</v>
      </c>
      <c r="AF653" s="13" t="s">
        <v>33</v>
      </c>
      <c r="AG653" s="13" t="s">
        <v>33</v>
      </c>
      <c r="AH653" s="6" t="b">
        <v>0</v>
      </c>
      <c r="AI653" s="13" t="s">
        <v>33</v>
      </c>
      <c r="AJ653" s="13" t="s">
        <v>33</v>
      </c>
      <c r="AK653" s="13" t="s">
        <v>33</v>
      </c>
      <c r="AL653" s="6">
        <v>0</v>
      </c>
      <c r="AM653" s="13" t="s">
        <v>33</v>
      </c>
    </row>
    <row r="654" spans="1:39" ht="15" customHeight="1" x14ac:dyDescent="0.3">
      <c r="A654" s="6" t="s">
        <v>354</v>
      </c>
      <c r="B654" s="7" t="str">
        <f>Odds_Input!C378</f>
        <v>Grayson Allen</v>
      </c>
      <c r="C654" s="6" t="s">
        <v>33</v>
      </c>
      <c r="D654" s="7" t="str">
        <f>Odds_Input!D378</f>
        <v>YES</v>
      </c>
      <c r="E654" s="31" t="str">
        <f>Odds_Input!E378</f>
        <v>-</v>
      </c>
      <c r="F654" s="32">
        <f>Odds_Input!F378</f>
        <v>3500</v>
      </c>
      <c r="G654" s="36">
        <f>M_DeVig!H378</f>
        <v>36</v>
      </c>
      <c r="H654" s="7" t="str">
        <f>Odds_Input!G378</f>
        <v>-</v>
      </c>
      <c r="I654" s="42">
        <f>M_DeVig!Q378</f>
        <v>2.7080461451934514E-2</v>
      </c>
      <c r="J654" s="13" t="s">
        <v>33</v>
      </c>
      <c r="K654" s="43">
        <f t="shared" si="134"/>
        <v>3592.6992613287402</v>
      </c>
      <c r="L654" s="13" t="s">
        <v>33</v>
      </c>
      <c r="M654" s="13" t="s">
        <v>33</v>
      </c>
      <c r="N654" s="13" t="s">
        <v>33</v>
      </c>
      <c r="O654" s="13" t="s">
        <v>33</v>
      </c>
      <c r="P654" s="13" t="s">
        <v>33</v>
      </c>
      <c r="Q654" s="13" t="s">
        <v>33</v>
      </c>
      <c r="R654" s="13" t="s">
        <v>33</v>
      </c>
      <c r="S654" s="13" t="s">
        <v>33</v>
      </c>
      <c r="T654" s="13" t="s">
        <v>33</v>
      </c>
      <c r="U654" s="13" t="s">
        <v>33</v>
      </c>
      <c r="V654" s="13" t="s">
        <v>33</v>
      </c>
      <c r="W654" s="6" t="b">
        <v>0</v>
      </c>
      <c r="X654" s="6" t="s">
        <v>1301</v>
      </c>
      <c r="Y654" s="6" t="s">
        <v>1326</v>
      </c>
      <c r="Z654" s="6">
        <v>370</v>
      </c>
      <c r="AA654" s="7" t="str">
        <f t="shared" si="135"/>
        <v>OK - sims match current assumptions</v>
      </c>
      <c r="AB654" s="13" t="s">
        <v>33</v>
      </c>
      <c r="AC654" s="13" t="s">
        <v>33</v>
      </c>
      <c r="AD654" s="13" t="s">
        <v>33</v>
      </c>
      <c r="AE654" s="13" t="s">
        <v>33</v>
      </c>
      <c r="AF654" s="13" t="s">
        <v>33</v>
      </c>
      <c r="AG654" s="13" t="s">
        <v>33</v>
      </c>
      <c r="AH654" s="6" t="b">
        <v>0</v>
      </c>
      <c r="AI654" s="13" t="s">
        <v>33</v>
      </c>
      <c r="AJ654" s="13" t="s">
        <v>33</v>
      </c>
      <c r="AK654" s="13" t="s">
        <v>33</v>
      </c>
      <c r="AL654" s="6">
        <v>0</v>
      </c>
      <c r="AM654" s="13" t="s">
        <v>33</v>
      </c>
    </row>
    <row r="655" spans="1:39" ht="15" customHeight="1" x14ac:dyDescent="0.3">
      <c r="A655" s="6" t="s">
        <v>354</v>
      </c>
      <c r="B655" s="7" t="str">
        <f>Odds_Input!C379</f>
        <v>Kelel Ware</v>
      </c>
      <c r="C655" s="6" t="s">
        <v>33</v>
      </c>
      <c r="D655" s="7" t="str">
        <f>Odds_Input!D379</f>
        <v>YES</v>
      </c>
      <c r="E655" s="31" t="str">
        <f>Odds_Input!E379</f>
        <v>-</v>
      </c>
      <c r="F655" s="32">
        <f>Odds_Input!F379</f>
        <v>4000</v>
      </c>
      <c r="G655" s="36">
        <f>M_DeVig!H379</f>
        <v>41</v>
      </c>
      <c r="H655" s="7" t="str">
        <f>Odds_Input!G379</f>
        <v>-</v>
      </c>
      <c r="I655" s="42">
        <f>M_DeVig!Q379</f>
        <v>2.3727983065893268E-2</v>
      </c>
      <c r="J655" s="13" t="s">
        <v>33</v>
      </c>
      <c r="K655" s="43">
        <f t="shared" si="134"/>
        <v>4114.4332167760413</v>
      </c>
      <c r="L655" s="13" t="s">
        <v>33</v>
      </c>
      <c r="M655" s="13" t="s">
        <v>33</v>
      </c>
      <c r="N655" s="13" t="s">
        <v>33</v>
      </c>
      <c r="O655" s="13" t="s">
        <v>33</v>
      </c>
      <c r="P655" s="13" t="s">
        <v>33</v>
      </c>
      <c r="Q655" s="13" t="s">
        <v>33</v>
      </c>
      <c r="R655" s="13" t="s">
        <v>33</v>
      </c>
      <c r="S655" s="13" t="s">
        <v>33</v>
      </c>
      <c r="T655" s="13" t="s">
        <v>33</v>
      </c>
      <c r="U655" s="13" t="s">
        <v>33</v>
      </c>
      <c r="V655" s="13" t="s">
        <v>33</v>
      </c>
      <c r="W655" s="6" t="b">
        <v>0</v>
      </c>
      <c r="X655" s="6" t="s">
        <v>1301</v>
      </c>
      <c r="Y655" s="6" t="s">
        <v>1326</v>
      </c>
      <c r="Z655" s="6">
        <v>371</v>
      </c>
      <c r="AA655" s="7" t="str">
        <f t="shared" si="135"/>
        <v>OK - sims match current assumptions</v>
      </c>
      <c r="AB655" s="13" t="s">
        <v>33</v>
      </c>
      <c r="AC655" s="13" t="s">
        <v>33</v>
      </c>
      <c r="AD655" s="13" t="s">
        <v>33</v>
      </c>
      <c r="AE655" s="13" t="s">
        <v>33</v>
      </c>
      <c r="AF655" s="13" t="s">
        <v>33</v>
      </c>
      <c r="AG655" s="13" t="s">
        <v>33</v>
      </c>
      <c r="AH655" s="6" t="b">
        <v>0</v>
      </c>
      <c r="AI655" s="13" t="s">
        <v>33</v>
      </c>
      <c r="AJ655" s="13" t="s">
        <v>33</v>
      </c>
      <c r="AK655" s="13" t="s">
        <v>33</v>
      </c>
      <c r="AL655" s="6">
        <v>0</v>
      </c>
      <c r="AM655" s="13" t="s">
        <v>33</v>
      </c>
    </row>
    <row r="656" spans="1:39" ht="15" customHeight="1" x14ac:dyDescent="0.3">
      <c r="A656" s="6" t="s">
        <v>354</v>
      </c>
      <c r="B656" s="7" t="str">
        <f>Odds_Input!C380</f>
        <v>Jeremiah Fears</v>
      </c>
      <c r="C656" s="6" t="s">
        <v>33</v>
      </c>
      <c r="D656" s="7" t="str">
        <f>Odds_Input!D380</f>
        <v>YES</v>
      </c>
      <c r="E656" s="31" t="str">
        <f>Odds_Input!E380</f>
        <v>-</v>
      </c>
      <c r="F656" s="32">
        <f>Odds_Input!F380</f>
        <v>4000</v>
      </c>
      <c r="G656" s="36">
        <f>M_DeVig!H380</f>
        <v>41</v>
      </c>
      <c r="H656" s="7" t="str">
        <f>Odds_Input!G380</f>
        <v>-</v>
      </c>
      <c r="I656" s="42">
        <f>M_DeVig!Q380</f>
        <v>2.3727983065893268E-2</v>
      </c>
      <c r="J656" s="13" t="s">
        <v>33</v>
      </c>
      <c r="K656" s="43">
        <f t="shared" si="134"/>
        <v>4114.4332167760413</v>
      </c>
      <c r="L656" s="13" t="s">
        <v>33</v>
      </c>
      <c r="M656" s="13" t="s">
        <v>33</v>
      </c>
      <c r="N656" s="13" t="s">
        <v>33</v>
      </c>
      <c r="O656" s="13" t="s">
        <v>33</v>
      </c>
      <c r="P656" s="13" t="s">
        <v>33</v>
      </c>
      <c r="Q656" s="13" t="s">
        <v>33</v>
      </c>
      <c r="R656" s="13" t="s">
        <v>33</v>
      </c>
      <c r="S656" s="13" t="s">
        <v>33</v>
      </c>
      <c r="T656" s="13" t="s">
        <v>33</v>
      </c>
      <c r="U656" s="13" t="s">
        <v>33</v>
      </c>
      <c r="V656" s="13" t="s">
        <v>33</v>
      </c>
      <c r="W656" s="6" t="b">
        <v>0</v>
      </c>
      <c r="X656" s="6" t="s">
        <v>1301</v>
      </c>
      <c r="Y656" s="6" t="s">
        <v>1326</v>
      </c>
      <c r="Z656" s="6">
        <v>372</v>
      </c>
      <c r="AA656" s="7" t="str">
        <f t="shared" si="135"/>
        <v>OK - sims match current assumptions</v>
      </c>
      <c r="AB656" s="13" t="s">
        <v>33</v>
      </c>
      <c r="AC656" s="13" t="s">
        <v>33</v>
      </c>
      <c r="AD656" s="13" t="s">
        <v>33</v>
      </c>
      <c r="AE656" s="13" t="s">
        <v>33</v>
      </c>
      <c r="AF656" s="13" t="s">
        <v>33</v>
      </c>
      <c r="AG656" s="13" t="s">
        <v>33</v>
      </c>
      <c r="AH656" s="6" t="b">
        <v>0</v>
      </c>
      <c r="AI656" s="13" t="s">
        <v>33</v>
      </c>
      <c r="AJ656" s="13" t="s">
        <v>33</v>
      </c>
      <c r="AK656" s="13" t="s">
        <v>33</v>
      </c>
      <c r="AL656" s="6">
        <v>0</v>
      </c>
      <c r="AM656" s="13" t="s">
        <v>33</v>
      </c>
    </row>
    <row r="657" spans="1:39" ht="15" customHeight="1" x14ac:dyDescent="0.3">
      <c r="A657" s="6" t="s">
        <v>354</v>
      </c>
      <c r="B657" s="7" t="str">
        <f>Odds_Input!C381</f>
        <v>Shaedon Sharpe</v>
      </c>
      <c r="C657" s="6" t="s">
        <v>33</v>
      </c>
      <c r="D657" s="7" t="str">
        <f>Odds_Input!D381</f>
        <v>YES</v>
      </c>
      <c r="E657" s="31" t="str">
        <f>Odds_Input!E381</f>
        <v>-</v>
      </c>
      <c r="F657" s="32">
        <f>Odds_Input!F381</f>
        <v>6000</v>
      </c>
      <c r="G657" s="36">
        <f>M_DeVig!H381</f>
        <v>61</v>
      </c>
      <c r="H657" s="7" t="str">
        <f>Odds_Input!G381</f>
        <v>-</v>
      </c>
      <c r="I657" s="42">
        <f>M_DeVig!Q381</f>
        <v>1.5814653996169915E-2</v>
      </c>
      <c r="J657" s="13" t="s">
        <v>33</v>
      </c>
      <c r="K657" s="43">
        <f t="shared" si="134"/>
        <v>6223.2493119494475</v>
      </c>
      <c r="L657" s="13" t="s">
        <v>33</v>
      </c>
      <c r="M657" s="13" t="s">
        <v>33</v>
      </c>
      <c r="N657" s="13" t="s">
        <v>33</v>
      </c>
      <c r="O657" s="13" t="s">
        <v>33</v>
      </c>
      <c r="P657" s="13" t="s">
        <v>33</v>
      </c>
      <c r="Q657" s="13" t="s">
        <v>33</v>
      </c>
      <c r="R657" s="13" t="s">
        <v>33</v>
      </c>
      <c r="S657" s="13" t="s">
        <v>33</v>
      </c>
      <c r="T657" s="13" t="s">
        <v>33</v>
      </c>
      <c r="U657" s="13" t="s">
        <v>33</v>
      </c>
      <c r="V657" s="13" t="s">
        <v>33</v>
      </c>
      <c r="W657" s="6" t="b">
        <v>0</v>
      </c>
      <c r="X657" s="6" t="s">
        <v>1301</v>
      </c>
      <c r="Y657" s="6" t="s">
        <v>1326</v>
      </c>
      <c r="Z657" s="6">
        <v>373</v>
      </c>
      <c r="AA657" s="7" t="str">
        <f t="shared" si="135"/>
        <v>OK - sims match current assumptions</v>
      </c>
      <c r="AB657" s="13" t="s">
        <v>33</v>
      </c>
      <c r="AC657" s="13" t="s">
        <v>33</v>
      </c>
      <c r="AD657" s="13" t="s">
        <v>33</v>
      </c>
      <c r="AE657" s="13" t="s">
        <v>33</v>
      </c>
      <c r="AF657" s="13" t="s">
        <v>33</v>
      </c>
      <c r="AG657" s="13" t="s">
        <v>33</v>
      </c>
      <c r="AH657" s="6" t="b">
        <v>0</v>
      </c>
      <c r="AI657" s="13" t="s">
        <v>33</v>
      </c>
      <c r="AJ657" s="13" t="s">
        <v>33</v>
      </c>
      <c r="AK657" s="13" t="s">
        <v>33</v>
      </c>
      <c r="AL657" s="6">
        <v>0</v>
      </c>
      <c r="AM657" s="13" t="s">
        <v>33</v>
      </c>
    </row>
    <row r="658" spans="1:39" ht="15" customHeight="1" x14ac:dyDescent="0.3">
      <c r="A658" s="6" t="s">
        <v>354</v>
      </c>
      <c r="B658" s="7" t="str">
        <f>Odds_Input!C382</f>
        <v>Nikola Vucevic</v>
      </c>
      <c r="C658" s="6" t="s">
        <v>33</v>
      </c>
      <c r="D658" s="7" t="str">
        <f>Odds_Input!D382</f>
        <v>YES</v>
      </c>
      <c r="E658" s="31" t="str">
        <f>Odds_Input!E382</f>
        <v>-</v>
      </c>
      <c r="F658" s="32">
        <f>Odds_Input!F382</f>
        <v>4000</v>
      </c>
      <c r="G658" s="36">
        <f>M_DeVig!H382</f>
        <v>41</v>
      </c>
      <c r="H658" s="7" t="str">
        <f>Odds_Input!G382</f>
        <v>-</v>
      </c>
      <c r="I658" s="42">
        <f>M_DeVig!Q382</f>
        <v>2.3727983065893268E-2</v>
      </c>
      <c r="J658" s="13" t="s">
        <v>33</v>
      </c>
      <c r="K658" s="43">
        <f t="shared" si="134"/>
        <v>4114.4332167760413</v>
      </c>
      <c r="L658" s="13" t="s">
        <v>33</v>
      </c>
      <c r="M658" s="13" t="s">
        <v>33</v>
      </c>
      <c r="N658" s="13" t="s">
        <v>33</v>
      </c>
      <c r="O658" s="13" t="s">
        <v>33</v>
      </c>
      <c r="P658" s="13" t="s">
        <v>33</v>
      </c>
      <c r="Q658" s="13" t="s">
        <v>33</v>
      </c>
      <c r="R658" s="13" t="s">
        <v>33</v>
      </c>
      <c r="S658" s="13" t="s">
        <v>33</v>
      </c>
      <c r="T658" s="13" t="s">
        <v>33</v>
      </c>
      <c r="U658" s="13" t="s">
        <v>33</v>
      </c>
      <c r="V658" s="13" t="s">
        <v>33</v>
      </c>
      <c r="W658" s="6" t="b">
        <v>0</v>
      </c>
      <c r="X658" s="6" t="s">
        <v>1301</v>
      </c>
      <c r="Y658" s="6" t="s">
        <v>1326</v>
      </c>
      <c r="Z658" s="6">
        <v>374</v>
      </c>
      <c r="AA658" s="7" t="str">
        <f t="shared" si="135"/>
        <v>OK - sims match current assumptions</v>
      </c>
      <c r="AB658" s="13" t="s">
        <v>33</v>
      </c>
      <c r="AC658" s="13" t="s">
        <v>33</v>
      </c>
      <c r="AD658" s="13" t="s">
        <v>33</v>
      </c>
      <c r="AE658" s="13" t="s">
        <v>33</v>
      </c>
      <c r="AF658" s="13" t="s">
        <v>33</v>
      </c>
      <c r="AG658" s="13" t="s">
        <v>33</v>
      </c>
      <c r="AH658" s="6" t="b">
        <v>0</v>
      </c>
      <c r="AI658" s="13" t="s">
        <v>33</v>
      </c>
      <c r="AJ658" s="13" t="s">
        <v>33</v>
      </c>
      <c r="AK658" s="13" t="s">
        <v>33</v>
      </c>
      <c r="AL658" s="6">
        <v>0</v>
      </c>
      <c r="AM658" s="13" t="s">
        <v>33</v>
      </c>
    </row>
    <row r="659" spans="1:39" ht="15" customHeight="1" x14ac:dyDescent="0.3">
      <c r="A659" s="6" t="s">
        <v>354</v>
      </c>
      <c r="B659" s="7" t="str">
        <f>Odds_Input!C383</f>
        <v>Tim Hardaway Jr</v>
      </c>
      <c r="C659" s="6" t="s">
        <v>33</v>
      </c>
      <c r="D659" s="7" t="str">
        <f>Odds_Input!D383</f>
        <v>YES</v>
      </c>
      <c r="E659" s="31" t="str">
        <f>Odds_Input!E383</f>
        <v>-</v>
      </c>
      <c r="F659" s="32">
        <f>Odds_Input!F383</f>
        <v>4000</v>
      </c>
      <c r="G659" s="36">
        <f>M_DeVig!H383</f>
        <v>41</v>
      </c>
      <c r="H659" s="7" t="str">
        <f>Odds_Input!G383</f>
        <v>-</v>
      </c>
      <c r="I659" s="42">
        <f>M_DeVig!Q383</f>
        <v>2.3727983065893268E-2</v>
      </c>
      <c r="J659" s="13" t="s">
        <v>33</v>
      </c>
      <c r="K659" s="43">
        <f t="shared" si="134"/>
        <v>4114.4332167760413</v>
      </c>
      <c r="L659" s="13" t="s">
        <v>33</v>
      </c>
      <c r="M659" s="13" t="s">
        <v>33</v>
      </c>
      <c r="N659" s="13" t="s">
        <v>33</v>
      </c>
      <c r="O659" s="13" t="s">
        <v>33</v>
      </c>
      <c r="P659" s="13" t="s">
        <v>33</v>
      </c>
      <c r="Q659" s="13" t="s">
        <v>33</v>
      </c>
      <c r="R659" s="13" t="s">
        <v>33</v>
      </c>
      <c r="S659" s="13" t="s">
        <v>33</v>
      </c>
      <c r="T659" s="13" t="s">
        <v>33</v>
      </c>
      <c r="U659" s="13" t="s">
        <v>33</v>
      </c>
      <c r="V659" s="13" t="s">
        <v>33</v>
      </c>
      <c r="W659" s="6" t="b">
        <v>0</v>
      </c>
      <c r="X659" s="6" t="s">
        <v>1301</v>
      </c>
      <c r="Y659" s="6" t="s">
        <v>1326</v>
      </c>
      <c r="Z659" s="6">
        <v>375</v>
      </c>
      <c r="AA659" s="7" t="str">
        <f t="shared" si="135"/>
        <v>OK - sims match current assumptions</v>
      </c>
      <c r="AB659" s="13" t="s">
        <v>33</v>
      </c>
      <c r="AC659" s="13" t="s">
        <v>33</v>
      </c>
      <c r="AD659" s="13" t="s">
        <v>33</v>
      </c>
      <c r="AE659" s="13" t="s">
        <v>33</v>
      </c>
      <c r="AF659" s="13" t="s">
        <v>33</v>
      </c>
      <c r="AG659" s="13" t="s">
        <v>33</v>
      </c>
      <c r="AH659" s="6" t="b">
        <v>0</v>
      </c>
      <c r="AI659" s="13" t="s">
        <v>33</v>
      </c>
      <c r="AJ659" s="13" t="s">
        <v>33</v>
      </c>
      <c r="AK659" s="13" t="s">
        <v>33</v>
      </c>
      <c r="AL659" s="6">
        <v>0</v>
      </c>
      <c r="AM659" s="13" t="s">
        <v>33</v>
      </c>
    </row>
    <row r="660" spans="1:39" ht="15" customHeight="1" x14ac:dyDescent="0.3">
      <c r="A660" s="6" t="s">
        <v>354</v>
      </c>
      <c r="B660" s="7" t="str">
        <f>Odds_Input!C384</f>
        <v>Luke Kennard</v>
      </c>
      <c r="C660" s="6" t="s">
        <v>33</v>
      </c>
      <c r="D660" s="7" t="str">
        <f>Odds_Input!D384</f>
        <v>YES</v>
      </c>
      <c r="E660" s="31" t="str">
        <f>Odds_Input!E384</f>
        <v>-</v>
      </c>
      <c r="F660" s="32">
        <f>Odds_Input!F384</f>
        <v>5000</v>
      </c>
      <c r="G660" s="36">
        <f>M_DeVig!H384</f>
        <v>51</v>
      </c>
      <c r="H660" s="7" t="str">
        <f>Odds_Input!G384</f>
        <v>-</v>
      </c>
      <c r="I660" s="42">
        <f>M_DeVig!Q384</f>
        <v>1.8995330156205418E-2</v>
      </c>
      <c r="J660" s="13" t="s">
        <v>33</v>
      </c>
      <c r="K660" s="43">
        <f t="shared" si="134"/>
        <v>5164.4517982927437</v>
      </c>
      <c r="L660" s="13" t="s">
        <v>33</v>
      </c>
      <c r="M660" s="13" t="s">
        <v>33</v>
      </c>
      <c r="N660" s="13" t="s">
        <v>33</v>
      </c>
      <c r="O660" s="13" t="s">
        <v>33</v>
      </c>
      <c r="P660" s="13" t="s">
        <v>33</v>
      </c>
      <c r="Q660" s="13" t="s">
        <v>33</v>
      </c>
      <c r="R660" s="13" t="s">
        <v>33</v>
      </c>
      <c r="S660" s="13" t="s">
        <v>33</v>
      </c>
      <c r="T660" s="13" t="s">
        <v>33</v>
      </c>
      <c r="U660" s="13" t="s">
        <v>33</v>
      </c>
      <c r="V660" s="13" t="s">
        <v>33</v>
      </c>
      <c r="W660" s="6" t="b">
        <v>0</v>
      </c>
      <c r="X660" s="6" t="s">
        <v>1301</v>
      </c>
      <c r="Y660" s="6" t="s">
        <v>1326</v>
      </c>
      <c r="Z660" s="6">
        <v>376</v>
      </c>
      <c r="AA660" s="7" t="str">
        <f t="shared" si="135"/>
        <v>OK - sims match current assumptions</v>
      </c>
      <c r="AB660" s="13" t="s">
        <v>33</v>
      </c>
      <c r="AC660" s="13" t="s">
        <v>33</v>
      </c>
      <c r="AD660" s="13" t="s">
        <v>33</v>
      </c>
      <c r="AE660" s="13" t="s">
        <v>33</v>
      </c>
      <c r="AF660" s="13" t="s">
        <v>33</v>
      </c>
      <c r="AG660" s="13" t="s">
        <v>33</v>
      </c>
      <c r="AH660" s="6" t="b">
        <v>0</v>
      </c>
      <c r="AI660" s="13" t="s">
        <v>33</v>
      </c>
      <c r="AJ660" s="13" t="s">
        <v>33</v>
      </c>
      <c r="AK660" s="13" t="s">
        <v>33</v>
      </c>
      <c r="AL660" s="6">
        <v>0</v>
      </c>
      <c r="AM660" s="13" t="s">
        <v>33</v>
      </c>
    </row>
    <row r="661" spans="1:39" ht="15" customHeight="1" x14ac:dyDescent="0.3">
      <c r="A661" s="6" t="s">
        <v>354</v>
      </c>
      <c r="B661" s="7" t="str">
        <f>Odds_Input!C385</f>
        <v>Jrue Holiday</v>
      </c>
      <c r="C661" s="6" t="s">
        <v>33</v>
      </c>
      <c r="D661" s="7" t="str">
        <f>Odds_Input!D385</f>
        <v>YES</v>
      </c>
      <c r="E661" s="31" t="str">
        <f>Odds_Input!E385</f>
        <v>-</v>
      </c>
      <c r="F661" s="32">
        <f>Odds_Input!F385</f>
        <v>4000</v>
      </c>
      <c r="G661" s="36">
        <f>M_DeVig!H385</f>
        <v>41</v>
      </c>
      <c r="H661" s="7" t="str">
        <f>Odds_Input!G385</f>
        <v>-</v>
      </c>
      <c r="I661" s="42">
        <f>M_DeVig!Q385</f>
        <v>2.3727983065893268E-2</v>
      </c>
      <c r="J661" s="13" t="s">
        <v>33</v>
      </c>
      <c r="K661" s="43">
        <f t="shared" si="134"/>
        <v>4114.4332167760413</v>
      </c>
      <c r="L661" s="13" t="s">
        <v>33</v>
      </c>
      <c r="M661" s="13" t="s">
        <v>33</v>
      </c>
      <c r="N661" s="13" t="s">
        <v>33</v>
      </c>
      <c r="O661" s="13" t="s">
        <v>33</v>
      </c>
      <c r="P661" s="13" t="s">
        <v>33</v>
      </c>
      <c r="Q661" s="13" t="s">
        <v>33</v>
      </c>
      <c r="R661" s="13" t="s">
        <v>33</v>
      </c>
      <c r="S661" s="13" t="s">
        <v>33</v>
      </c>
      <c r="T661" s="13" t="s">
        <v>33</v>
      </c>
      <c r="U661" s="13" t="s">
        <v>33</v>
      </c>
      <c r="V661" s="13" t="s">
        <v>33</v>
      </c>
      <c r="W661" s="6" t="b">
        <v>0</v>
      </c>
      <c r="X661" s="6" t="s">
        <v>1301</v>
      </c>
      <c r="Y661" s="6" t="s">
        <v>1326</v>
      </c>
      <c r="Z661" s="6">
        <v>377</v>
      </c>
      <c r="AA661" s="7" t="str">
        <f t="shared" si="135"/>
        <v>OK - sims match current assumptions</v>
      </c>
      <c r="AB661" s="13" t="s">
        <v>33</v>
      </c>
      <c r="AC661" s="13" t="s">
        <v>33</v>
      </c>
      <c r="AD661" s="13" t="s">
        <v>33</v>
      </c>
      <c r="AE661" s="13" t="s">
        <v>33</v>
      </c>
      <c r="AF661" s="13" t="s">
        <v>33</v>
      </c>
      <c r="AG661" s="13" t="s">
        <v>33</v>
      </c>
      <c r="AH661" s="6" t="b">
        <v>0</v>
      </c>
      <c r="AI661" s="13" t="s">
        <v>33</v>
      </c>
      <c r="AJ661" s="13" t="s">
        <v>33</v>
      </c>
      <c r="AK661" s="13" t="s">
        <v>33</v>
      </c>
      <c r="AL661" s="6">
        <v>0</v>
      </c>
      <c r="AM661" s="13" t="s">
        <v>33</v>
      </c>
    </row>
    <row r="662" spans="1:39" ht="15" customHeight="1" x14ac:dyDescent="0.3">
      <c r="A662" s="6" t="s">
        <v>354</v>
      </c>
      <c r="B662" s="7" t="str">
        <f>Odds_Input!C386</f>
        <v>Kevin Porter Jr</v>
      </c>
      <c r="C662" s="6" t="s">
        <v>33</v>
      </c>
      <c r="D662" s="7" t="str">
        <f>Odds_Input!D386</f>
        <v>YES</v>
      </c>
      <c r="E662" s="31" t="str">
        <f>Odds_Input!E386</f>
        <v>-</v>
      </c>
      <c r="F662" s="32">
        <f>Odds_Input!F386</f>
        <v>6000</v>
      </c>
      <c r="G662" s="36">
        <f>M_DeVig!H386</f>
        <v>61</v>
      </c>
      <c r="H662" s="7" t="str">
        <f>Odds_Input!G386</f>
        <v>-</v>
      </c>
      <c r="I662" s="42">
        <f>M_DeVig!Q386</f>
        <v>1.5814653996169915E-2</v>
      </c>
      <c r="J662" s="13" t="s">
        <v>33</v>
      </c>
      <c r="K662" s="43">
        <f t="shared" si="134"/>
        <v>6223.2493119494475</v>
      </c>
      <c r="L662" s="13" t="s">
        <v>33</v>
      </c>
      <c r="M662" s="13" t="s">
        <v>33</v>
      </c>
      <c r="N662" s="13" t="s">
        <v>33</v>
      </c>
      <c r="O662" s="13" t="s">
        <v>33</v>
      </c>
      <c r="P662" s="13" t="s">
        <v>33</v>
      </c>
      <c r="Q662" s="13" t="s">
        <v>33</v>
      </c>
      <c r="R662" s="13" t="s">
        <v>33</v>
      </c>
      <c r="S662" s="13" t="s">
        <v>33</v>
      </c>
      <c r="T662" s="13" t="s">
        <v>33</v>
      </c>
      <c r="U662" s="13" t="s">
        <v>33</v>
      </c>
      <c r="V662" s="13" t="s">
        <v>33</v>
      </c>
      <c r="W662" s="6" t="b">
        <v>0</v>
      </c>
      <c r="X662" s="6" t="s">
        <v>1301</v>
      </c>
      <c r="Y662" s="6" t="s">
        <v>1326</v>
      </c>
      <c r="Z662" s="6">
        <v>378</v>
      </c>
      <c r="AA662" s="7" t="str">
        <f t="shared" si="135"/>
        <v>OK - sims match current assumptions</v>
      </c>
      <c r="AB662" s="13" t="s">
        <v>33</v>
      </c>
      <c r="AC662" s="13" t="s">
        <v>33</v>
      </c>
      <c r="AD662" s="13" t="s">
        <v>33</v>
      </c>
      <c r="AE662" s="13" t="s">
        <v>33</v>
      </c>
      <c r="AF662" s="13" t="s">
        <v>33</v>
      </c>
      <c r="AG662" s="13" t="s">
        <v>33</v>
      </c>
      <c r="AH662" s="6" t="b">
        <v>0</v>
      </c>
      <c r="AI662" s="13" t="s">
        <v>33</v>
      </c>
      <c r="AJ662" s="13" t="s">
        <v>33</v>
      </c>
      <c r="AK662" s="13" t="s">
        <v>33</v>
      </c>
      <c r="AL662" s="6">
        <v>0</v>
      </c>
      <c r="AM662" s="13" t="s">
        <v>33</v>
      </c>
    </row>
    <row r="663" spans="1:39" ht="15" customHeight="1" x14ac:dyDescent="0.3">
      <c r="A663" s="6" t="s">
        <v>354</v>
      </c>
      <c r="B663" s="7" t="str">
        <f>Odds_Input!C387</f>
        <v>Jaylon Tyson</v>
      </c>
      <c r="C663" s="6" t="s">
        <v>33</v>
      </c>
      <c r="D663" s="7" t="str">
        <f>Odds_Input!D387</f>
        <v>YES</v>
      </c>
      <c r="E663" s="31" t="str">
        <f>Odds_Input!E387</f>
        <v>-</v>
      </c>
      <c r="F663" s="32">
        <f>Odds_Input!F387</f>
        <v>3500</v>
      </c>
      <c r="G663" s="36">
        <f>M_DeVig!H387</f>
        <v>36</v>
      </c>
      <c r="H663" s="7" t="str">
        <f>Odds_Input!G387</f>
        <v>-</v>
      </c>
      <c r="I663" s="42">
        <f>M_DeVig!Q387</f>
        <v>2.7080461451934514E-2</v>
      </c>
      <c r="J663" s="13" t="s">
        <v>33</v>
      </c>
      <c r="K663" s="43">
        <f t="shared" si="134"/>
        <v>3592.6992613287402</v>
      </c>
      <c r="L663" s="13" t="s">
        <v>33</v>
      </c>
      <c r="M663" s="13" t="s">
        <v>33</v>
      </c>
      <c r="N663" s="13" t="s">
        <v>33</v>
      </c>
      <c r="O663" s="13" t="s">
        <v>33</v>
      </c>
      <c r="P663" s="13" t="s">
        <v>33</v>
      </c>
      <c r="Q663" s="13" t="s">
        <v>33</v>
      </c>
      <c r="R663" s="13" t="s">
        <v>33</v>
      </c>
      <c r="S663" s="13" t="s">
        <v>33</v>
      </c>
      <c r="T663" s="13" t="s">
        <v>33</v>
      </c>
      <c r="U663" s="13" t="s">
        <v>33</v>
      </c>
      <c r="V663" s="13" t="s">
        <v>33</v>
      </c>
      <c r="W663" s="6" t="b">
        <v>0</v>
      </c>
      <c r="X663" s="6" t="s">
        <v>1301</v>
      </c>
      <c r="Y663" s="6" t="s">
        <v>1326</v>
      </c>
      <c r="Z663" s="6">
        <v>379</v>
      </c>
      <c r="AA663" s="7" t="str">
        <f t="shared" si="135"/>
        <v>OK - sims match current assumptions</v>
      </c>
      <c r="AB663" s="13" t="s">
        <v>33</v>
      </c>
      <c r="AC663" s="13" t="s">
        <v>33</v>
      </c>
      <c r="AD663" s="13" t="s">
        <v>33</v>
      </c>
      <c r="AE663" s="13" t="s">
        <v>33</v>
      </c>
      <c r="AF663" s="13" t="s">
        <v>33</v>
      </c>
      <c r="AG663" s="13" t="s">
        <v>33</v>
      </c>
      <c r="AH663" s="6" t="b">
        <v>0</v>
      </c>
      <c r="AI663" s="13" t="s">
        <v>33</v>
      </c>
      <c r="AJ663" s="13" t="s">
        <v>33</v>
      </c>
      <c r="AK663" s="13" t="s">
        <v>33</v>
      </c>
      <c r="AL663" s="6">
        <v>0</v>
      </c>
      <c r="AM663" s="13" t="s">
        <v>33</v>
      </c>
    </row>
    <row r="664" spans="1:39" ht="15" customHeight="1" x14ac:dyDescent="0.3">
      <c r="A664" s="6" t="s">
        <v>354</v>
      </c>
      <c r="B664" s="7" t="str">
        <f>Odds_Input!C388</f>
        <v>Sandro Mamukelashvili</v>
      </c>
      <c r="C664" s="6" t="s">
        <v>33</v>
      </c>
      <c r="D664" s="7" t="str">
        <f>Odds_Input!D388</f>
        <v>YES</v>
      </c>
      <c r="E664" s="31" t="str">
        <f>Odds_Input!E388</f>
        <v>-</v>
      </c>
      <c r="F664" s="32">
        <f>Odds_Input!F388</f>
        <v>5000</v>
      </c>
      <c r="G664" s="36">
        <f>M_DeVig!H388</f>
        <v>51</v>
      </c>
      <c r="H664" s="7" t="str">
        <f>Odds_Input!G388</f>
        <v>-</v>
      </c>
      <c r="I664" s="42">
        <f>M_DeVig!Q388</f>
        <v>1.8995330156205418E-2</v>
      </c>
      <c r="J664" s="13" t="s">
        <v>33</v>
      </c>
      <c r="K664" s="43">
        <f t="shared" si="134"/>
        <v>5164.4517982927437</v>
      </c>
      <c r="L664" s="13" t="s">
        <v>33</v>
      </c>
      <c r="M664" s="13" t="s">
        <v>33</v>
      </c>
      <c r="N664" s="13" t="s">
        <v>33</v>
      </c>
      <c r="O664" s="13" t="s">
        <v>33</v>
      </c>
      <c r="P664" s="13" t="s">
        <v>33</v>
      </c>
      <c r="Q664" s="13" t="s">
        <v>33</v>
      </c>
      <c r="R664" s="13" t="s">
        <v>33</v>
      </c>
      <c r="S664" s="13" t="s">
        <v>33</v>
      </c>
      <c r="T664" s="13" t="s">
        <v>33</v>
      </c>
      <c r="U664" s="13" t="s">
        <v>33</v>
      </c>
      <c r="V664" s="13" t="s">
        <v>33</v>
      </c>
      <c r="W664" s="6" t="b">
        <v>0</v>
      </c>
      <c r="X664" s="6" t="s">
        <v>1301</v>
      </c>
      <c r="Y664" s="6" t="s">
        <v>1326</v>
      </c>
      <c r="Z664" s="6">
        <v>380</v>
      </c>
      <c r="AA664" s="7" t="str">
        <f t="shared" si="135"/>
        <v>OK - sims match current assumptions</v>
      </c>
      <c r="AB664" s="13" t="s">
        <v>33</v>
      </c>
      <c r="AC664" s="13" t="s">
        <v>33</v>
      </c>
      <c r="AD664" s="13" t="s">
        <v>33</v>
      </c>
      <c r="AE664" s="13" t="s">
        <v>33</v>
      </c>
      <c r="AF664" s="13" t="s">
        <v>33</v>
      </c>
      <c r="AG664" s="13" t="s">
        <v>33</v>
      </c>
      <c r="AH664" s="6" t="b">
        <v>0</v>
      </c>
      <c r="AI664" s="13" t="s">
        <v>33</v>
      </c>
      <c r="AJ664" s="13" t="s">
        <v>33</v>
      </c>
      <c r="AK664" s="13" t="s">
        <v>33</v>
      </c>
      <c r="AL664" s="6">
        <v>0</v>
      </c>
      <c r="AM664" s="13" t="s">
        <v>33</v>
      </c>
    </row>
    <row r="665" spans="1:39" ht="15" customHeight="1" x14ac:dyDescent="0.3">
      <c r="A665" s="6" t="s">
        <v>354</v>
      </c>
      <c r="B665" s="7" t="str">
        <f>Odds_Input!C389</f>
        <v>DeAndre Ayton</v>
      </c>
      <c r="C665" s="6" t="s">
        <v>33</v>
      </c>
      <c r="D665" s="7" t="str">
        <f>Odds_Input!D389</f>
        <v>YES</v>
      </c>
      <c r="E665" s="31" t="str">
        <f>Odds_Input!E389</f>
        <v>-</v>
      </c>
      <c r="F665" s="32">
        <f>Odds_Input!F389</f>
        <v>5000</v>
      </c>
      <c r="G665" s="36">
        <f>M_DeVig!H389</f>
        <v>51</v>
      </c>
      <c r="H665" s="7" t="str">
        <f>Odds_Input!G389</f>
        <v>-</v>
      </c>
      <c r="I665" s="42">
        <f>M_DeVig!Q389</f>
        <v>1.8995330156205418E-2</v>
      </c>
      <c r="J665" s="13" t="s">
        <v>33</v>
      </c>
      <c r="K665" s="43">
        <f t="shared" si="134"/>
        <v>5164.4517982927437</v>
      </c>
      <c r="L665" s="13" t="s">
        <v>33</v>
      </c>
      <c r="M665" s="13" t="s">
        <v>33</v>
      </c>
      <c r="N665" s="13" t="s">
        <v>33</v>
      </c>
      <c r="O665" s="13" t="s">
        <v>33</v>
      </c>
      <c r="P665" s="13" t="s">
        <v>33</v>
      </c>
      <c r="Q665" s="13" t="s">
        <v>33</v>
      </c>
      <c r="R665" s="13" t="s">
        <v>33</v>
      </c>
      <c r="S665" s="13" t="s">
        <v>33</v>
      </c>
      <c r="T665" s="13" t="s">
        <v>33</v>
      </c>
      <c r="U665" s="13" t="s">
        <v>33</v>
      </c>
      <c r="V665" s="13" t="s">
        <v>33</v>
      </c>
      <c r="W665" s="6" t="b">
        <v>0</v>
      </c>
      <c r="X665" s="6" t="s">
        <v>1301</v>
      </c>
      <c r="Y665" s="6" t="s">
        <v>1326</v>
      </c>
      <c r="Z665" s="6">
        <v>381</v>
      </c>
      <c r="AA665" s="7" t="str">
        <f t="shared" si="135"/>
        <v>OK - sims match current assumptions</v>
      </c>
      <c r="AB665" s="13" t="s">
        <v>33</v>
      </c>
      <c r="AC665" s="13" t="s">
        <v>33</v>
      </c>
      <c r="AD665" s="13" t="s">
        <v>33</v>
      </c>
      <c r="AE665" s="13" t="s">
        <v>33</v>
      </c>
      <c r="AF665" s="13" t="s">
        <v>33</v>
      </c>
      <c r="AG665" s="13" t="s">
        <v>33</v>
      </c>
      <c r="AH665" s="6" t="b">
        <v>0</v>
      </c>
      <c r="AI665" s="13" t="s">
        <v>33</v>
      </c>
      <c r="AJ665" s="13" t="s">
        <v>33</v>
      </c>
      <c r="AK665" s="13" t="s">
        <v>33</v>
      </c>
      <c r="AL665" s="6">
        <v>0</v>
      </c>
      <c r="AM665" s="13" t="s">
        <v>33</v>
      </c>
    </row>
    <row r="666" spans="1:39" ht="15" customHeight="1" x14ac:dyDescent="0.3"/>
    <row r="667" spans="1:39" ht="15" customHeight="1" x14ac:dyDescent="0.3">
      <c r="A667" s="48" t="s">
        <v>411</v>
      </c>
      <c r="B667" s="49" t="s">
        <v>1337</v>
      </c>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row>
    <row r="668" spans="1:39" ht="15" customHeight="1" x14ac:dyDescent="0.3">
      <c r="A668" s="6" t="s">
        <v>411</v>
      </c>
      <c r="B668" s="7" t="str">
        <f>Odds_Input!C430</f>
        <v>Darko Rajakovic</v>
      </c>
      <c r="C668" s="6" t="s">
        <v>33</v>
      </c>
      <c r="D668" s="7" t="str">
        <f>Odds_Input!D430</f>
        <v>YES</v>
      </c>
      <c r="E668" s="31" t="str">
        <f>Odds_Input!E430</f>
        <v>-</v>
      </c>
      <c r="F668" s="32">
        <f>Odds_Input!F430</f>
        <v>800</v>
      </c>
      <c r="G668" s="36">
        <f>M_DeVig!H430</f>
        <v>9</v>
      </c>
      <c r="H668" s="7" t="str">
        <f>Odds_Input!G430</f>
        <v>-</v>
      </c>
      <c r="I668" s="42">
        <f>M_DeVig!Q430</f>
        <v>8.6416693640357853E-2</v>
      </c>
      <c r="J668" s="13" t="s">
        <v>33</v>
      </c>
      <c r="K668" s="43">
        <f t="shared" ref="K668:K697" si="136">IF(I668&gt;=0.5,-100*I668/(1-I668),100*(1-I668)/I668)</f>
        <v>1057.1838239515628</v>
      </c>
      <c r="L668" s="13" t="s">
        <v>33</v>
      </c>
      <c r="M668" s="13" t="s">
        <v>33</v>
      </c>
      <c r="N668" s="13" t="s">
        <v>33</v>
      </c>
      <c r="O668" s="13" t="s">
        <v>33</v>
      </c>
      <c r="P668" s="13" t="s">
        <v>33</v>
      </c>
      <c r="Q668" s="13" t="s">
        <v>33</v>
      </c>
      <c r="R668" s="13" t="s">
        <v>33</v>
      </c>
      <c r="S668" s="13" t="s">
        <v>33</v>
      </c>
      <c r="T668" s="13" t="s">
        <v>33</v>
      </c>
      <c r="U668" s="13" t="s">
        <v>33</v>
      </c>
      <c r="V668" s="13" t="s">
        <v>33</v>
      </c>
      <c r="W668" s="6" t="b">
        <v>0</v>
      </c>
      <c r="X668" s="6" t="s">
        <v>1301</v>
      </c>
      <c r="Y668" s="6" t="s">
        <v>1326</v>
      </c>
      <c r="Z668" s="6">
        <v>422</v>
      </c>
      <c r="AA668" s="7" t="str">
        <f t="shared" ref="AA668:AA697" si="137">Sim_Stale</f>
        <v>OK - sims match current assumptions</v>
      </c>
      <c r="AB668" s="13" t="s">
        <v>33</v>
      </c>
      <c r="AC668" s="13" t="s">
        <v>33</v>
      </c>
      <c r="AD668" s="13" t="s">
        <v>33</v>
      </c>
      <c r="AE668" s="13" t="s">
        <v>33</v>
      </c>
      <c r="AF668" s="13" t="s">
        <v>33</v>
      </c>
      <c r="AG668" s="13" t="s">
        <v>33</v>
      </c>
      <c r="AH668" s="6" t="b">
        <v>0</v>
      </c>
      <c r="AI668" s="13" t="s">
        <v>33</v>
      </c>
      <c r="AJ668" s="13" t="s">
        <v>33</v>
      </c>
      <c r="AK668" s="13" t="s">
        <v>33</v>
      </c>
      <c r="AL668" s="6">
        <v>0</v>
      </c>
      <c r="AM668" s="13" t="s">
        <v>33</v>
      </c>
    </row>
    <row r="669" spans="1:39" ht="15" customHeight="1" x14ac:dyDescent="0.3">
      <c r="A669" s="6" t="s">
        <v>411</v>
      </c>
      <c r="B669" s="7" t="str">
        <f>Odds_Input!C431</f>
        <v>Will Hardy</v>
      </c>
      <c r="C669" s="6" t="s">
        <v>33</v>
      </c>
      <c r="D669" s="7" t="str">
        <f>Odds_Input!D431</f>
        <v>YES</v>
      </c>
      <c r="E669" s="31" t="str">
        <f>Odds_Input!E431</f>
        <v>-</v>
      </c>
      <c r="F669" s="32">
        <f>Odds_Input!F431</f>
        <v>1000</v>
      </c>
      <c r="G669" s="36">
        <f>M_DeVig!H431</f>
        <v>11</v>
      </c>
      <c r="H669" s="7" t="str">
        <f>Odds_Input!G431</f>
        <v>-</v>
      </c>
      <c r="I669" s="42">
        <f>M_DeVig!Q431</f>
        <v>6.9429026147397141E-2</v>
      </c>
      <c r="J669" s="13" t="s">
        <v>33</v>
      </c>
      <c r="K669" s="43">
        <f t="shared" si="136"/>
        <v>1340.319784807308</v>
      </c>
      <c r="L669" s="13" t="s">
        <v>33</v>
      </c>
      <c r="M669" s="13" t="s">
        <v>33</v>
      </c>
      <c r="N669" s="13" t="s">
        <v>33</v>
      </c>
      <c r="O669" s="13" t="s">
        <v>33</v>
      </c>
      <c r="P669" s="13" t="s">
        <v>33</v>
      </c>
      <c r="Q669" s="13" t="s">
        <v>33</v>
      </c>
      <c r="R669" s="13" t="s">
        <v>33</v>
      </c>
      <c r="S669" s="13" t="s">
        <v>33</v>
      </c>
      <c r="T669" s="13" t="s">
        <v>33</v>
      </c>
      <c r="U669" s="13" t="s">
        <v>33</v>
      </c>
      <c r="V669" s="13" t="s">
        <v>33</v>
      </c>
      <c r="W669" s="6" t="b">
        <v>0</v>
      </c>
      <c r="X669" s="6" t="s">
        <v>1301</v>
      </c>
      <c r="Y669" s="6" t="s">
        <v>1326</v>
      </c>
      <c r="Z669" s="6">
        <v>423</v>
      </c>
      <c r="AA669" s="7" t="str">
        <f t="shared" si="137"/>
        <v>OK - sims match current assumptions</v>
      </c>
      <c r="AB669" s="13" t="s">
        <v>33</v>
      </c>
      <c r="AC669" s="13" t="s">
        <v>33</v>
      </c>
      <c r="AD669" s="13" t="s">
        <v>33</v>
      </c>
      <c r="AE669" s="13" t="s">
        <v>33</v>
      </c>
      <c r="AF669" s="13" t="s">
        <v>33</v>
      </c>
      <c r="AG669" s="13" t="s">
        <v>33</v>
      </c>
      <c r="AH669" s="6" t="b">
        <v>0</v>
      </c>
      <c r="AI669" s="13" t="s">
        <v>33</v>
      </c>
      <c r="AJ669" s="13" t="s">
        <v>33</v>
      </c>
      <c r="AK669" s="13" t="s">
        <v>33</v>
      </c>
      <c r="AL669" s="6">
        <v>0</v>
      </c>
      <c r="AM669" s="13" t="s">
        <v>33</v>
      </c>
    </row>
    <row r="670" spans="1:39" ht="15" customHeight="1" x14ac:dyDescent="0.3">
      <c r="A670" s="52" t="s">
        <v>411</v>
      </c>
      <c r="B670" s="53" t="str">
        <f>Odds_Input!C432</f>
        <v>Nick Nurse</v>
      </c>
      <c r="C670" s="52" t="s">
        <v>33</v>
      </c>
      <c r="D670" s="53" t="str">
        <f>Odds_Input!D432</f>
        <v>YES</v>
      </c>
      <c r="E670" s="54" t="str">
        <f>Odds_Input!E432</f>
        <v>-</v>
      </c>
      <c r="F670" s="55">
        <f>Odds_Input!F432</f>
        <v>1000</v>
      </c>
      <c r="G670" s="56">
        <f>M_DeVig!H432</f>
        <v>11</v>
      </c>
      <c r="H670" s="53" t="str">
        <f>Odds_Input!G432</f>
        <v>BACKFILL_PDF1</v>
      </c>
      <c r="I670" s="42">
        <f>M_DeVig!Q432</f>
        <v>6.9429026147397141E-2</v>
      </c>
      <c r="J670" s="13" t="s">
        <v>33</v>
      </c>
      <c r="K670" s="43">
        <f t="shared" si="136"/>
        <v>1340.319784807308</v>
      </c>
      <c r="L670" s="13" t="s">
        <v>33</v>
      </c>
      <c r="M670" s="13" t="s">
        <v>33</v>
      </c>
      <c r="N670" s="13" t="s">
        <v>33</v>
      </c>
      <c r="O670" s="13" t="s">
        <v>33</v>
      </c>
      <c r="P670" s="13" t="s">
        <v>33</v>
      </c>
      <c r="Q670" s="13" t="s">
        <v>33</v>
      </c>
      <c r="R670" s="13" t="s">
        <v>33</v>
      </c>
      <c r="S670" s="13" t="s">
        <v>33</v>
      </c>
      <c r="T670" s="13" t="s">
        <v>33</v>
      </c>
      <c r="U670" s="13" t="s">
        <v>33</v>
      </c>
      <c r="V670" s="13" t="s">
        <v>33</v>
      </c>
      <c r="W670" s="6" t="b">
        <v>0</v>
      </c>
      <c r="X670" s="6" t="s">
        <v>1301</v>
      </c>
      <c r="Y670" s="6" t="s">
        <v>1326</v>
      </c>
      <c r="Z670" s="6">
        <v>424</v>
      </c>
      <c r="AA670" s="7" t="str">
        <f t="shared" si="137"/>
        <v>OK - sims match current assumptions</v>
      </c>
      <c r="AB670" s="13" t="s">
        <v>33</v>
      </c>
      <c r="AC670" s="13" t="s">
        <v>33</v>
      </c>
      <c r="AD670" s="13" t="s">
        <v>33</v>
      </c>
      <c r="AE670" s="13" t="s">
        <v>33</v>
      </c>
      <c r="AF670" s="13" t="s">
        <v>33</v>
      </c>
      <c r="AG670" s="13" t="s">
        <v>33</v>
      </c>
      <c r="AH670" s="6" t="b">
        <v>0</v>
      </c>
      <c r="AI670" s="13" t="s">
        <v>33</v>
      </c>
      <c r="AJ670" s="13" t="s">
        <v>33</v>
      </c>
      <c r="AK670" s="13" t="s">
        <v>33</v>
      </c>
      <c r="AL670" s="6">
        <v>0</v>
      </c>
      <c r="AM670" s="13" t="s">
        <v>33</v>
      </c>
    </row>
    <row r="671" spans="1:39" ht="15" customHeight="1" x14ac:dyDescent="0.3">
      <c r="A671" s="6" t="s">
        <v>411</v>
      </c>
      <c r="B671" s="7" t="str">
        <f>Odds_Input!C433</f>
        <v>Erik Spoelstra</v>
      </c>
      <c r="C671" s="6" t="s">
        <v>33</v>
      </c>
      <c r="D671" s="7" t="str">
        <f>Odds_Input!D433</f>
        <v>YES</v>
      </c>
      <c r="E671" s="31" t="str">
        <f>Odds_Input!E433</f>
        <v>-</v>
      </c>
      <c r="F671" s="32">
        <f>Odds_Input!F433</f>
        <v>1200</v>
      </c>
      <c r="G671" s="36">
        <f>M_DeVig!H433</f>
        <v>13</v>
      </c>
      <c r="H671" s="7" t="str">
        <f>Odds_Input!G433</f>
        <v>-</v>
      </c>
      <c r="I671" s="42">
        <f>M_DeVig!Q433</f>
        <v>5.7689713432319295E-2</v>
      </c>
      <c r="J671" s="13" t="s">
        <v>33</v>
      </c>
      <c r="K671" s="43">
        <f t="shared" si="136"/>
        <v>1633.4112799384677</v>
      </c>
      <c r="L671" s="13" t="s">
        <v>33</v>
      </c>
      <c r="M671" s="13" t="s">
        <v>33</v>
      </c>
      <c r="N671" s="13" t="s">
        <v>33</v>
      </c>
      <c r="O671" s="13" t="s">
        <v>33</v>
      </c>
      <c r="P671" s="13" t="s">
        <v>33</v>
      </c>
      <c r="Q671" s="13" t="s">
        <v>33</v>
      </c>
      <c r="R671" s="13" t="s">
        <v>33</v>
      </c>
      <c r="S671" s="13" t="s">
        <v>33</v>
      </c>
      <c r="T671" s="13" t="s">
        <v>33</v>
      </c>
      <c r="U671" s="13" t="s">
        <v>33</v>
      </c>
      <c r="V671" s="13" t="s">
        <v>33</v>
      </c>
      <c r="W671" s="6" t="b">
        <v>0</v>
      </c>
      <c r="X671" s="6" t="s">
        <v>1301</v>
      </c>
      <c r="Y671" s="6" t="s">
        <v>1326</v>
      </c>
      <c r="Z671" s="6">
        <v>425</v>
      </c>
      <c r="AA671" s="7" t="str">
        <f t="shared" si="137"/>
        <v>OK - sims match current assumptions</v>
      </c>
      <c r="AB671" s="13" t="s">
        <v>33</v>
      </c>
      <c r="AC671" s="13" t="s">
        <v>33</v>
      </c>
      <c r="AD671" s="13" t="s">
        <v>33</v>
      </c>
      <c r="AE671" s="13" t="s">
        <v>33</v>
      </c>
      <c r="AF671" s="13" t="s">
        <v>33</v>
      </c>
      <c r="AG671" s="13" t="s">
        <v>33</v>
      </c>
      <c r="AH671" s="6" t="b">
        <v>0</v>
      </c>
      <c r="AI671" s="13" t="s">
        <v>33</v>
      </c>
      <c r="AJ671" s="13" t="s">
        <v>33</v>
      </c>
      <c r="AK671" s="13" t="s">
        <v>33</v>
      </c>
      <c r="AL671" s="6">
        <v>0</v>
      </c>
      <c r="AM671" s="13" t="s">
        <v>33</v>
      </c>
    </row>
    <row r="672" spans="1:39" ht="15" customHeight="1" x14ac:dyDescent="0.3">
      <c r="A672" s="6" t="s">
        <v>411</v>
      </c>
      <c r="B672" s="7" t="str">
        <f>Odds_Input!C434</f>
        <v>Chris Finch</v>
      </c>
      <c r="C672" s="6" t="s">
        <v>33</v>
      </c>
      <c r="D672" s="7" t="str">
        <f>Odds_Input!D434</f>
        <v>YES</v>
      </c>
      <c r="E672" s="31" t="str">
        <f>Odds_Input!E434</f>
        <v>-</v>
      </c>
      <c r="F672" s="32">
        <f>Odds_Input!F434</f>
        <v>1200</v>
      </c>
      <c r="G672" s="36">
        <f>M_DeVig!H434</f>
        <v>13</v>
      </c>
      <c r="H672" s="7" t="str">
        <f>Odds_Input!G434</f>
        <v>-</v>
      </c>
      <c r="I672" s="42">
        <f>M_DeVig!Q434</f>
        <v>5.7689713432319295E-2</v>
      </c>
      <c r="J672" s="13" t="s">
        <v>33</v>
      </c>
      <c r="K672" s="43">
        <f t="shared" si="136"/>
        <v>1633.4112799384677</v>
      </c>
      <c r="L672" s="13" t="s">
        <v>33</v>
      </c>
      <c r="M672" s="13" t="s">
        <v>33</v>
      </c>
      <c r="N672" s="13" t="s">
        <v>33</v>
      </c>
      <c r="O672" s="13" t="s">
        <v>33</v>
      </c>
      <c r="P672" s="13" t="s">
        <v>33</v>
      </c>
      <c r="Q672" s="13" t="s">
        <v>33</v>
      </c>
      <c r="R672" s="13" t="s">
        <v>33</v>
      </c>
      <c r="S672" s="13" t="s">
        <v>33</v>
      </c>
      <c r="T672" s="13" t="s">
        <v>33</v>
      </c>
      <c r="U672" s="13" t="s">
        <v>33</v>
      </c>
      <c r="V672" s="13" t="s">
        <v>33</v>
      </c>
      <c r="W672" s="6" t="b">
        <v>0</v>
      </c>
      <c r="X672" s="6" t="s">
        <v>1301</v>
      </c>
      <c r="Y672" s="6" t="s">
        <v>1326</v>
      </c>
      <c r="Z672" s="6">
        <v>426</v>
      </c>
      <c r="AA672" s="7" t="str">
        <f t="shared" si="137"/>
        <v>OK - sims match current assumptions</v>
      </c>
      <c r="AB672" s="13" t="s">
        <v>33</v>
      </c>
      <c r="AC672" s="13" t="s">
        <v>33</v>
      </c>
      <c r="AD672" s="13" t="s">
        <v>33</v>
      </c>
      <c r="AE672" s="13" t="s">
        <v>33</v>
      </c>
      <c r="AF672" s="13" t="s">
        <v>33</v>
      </c>
      <c r="AG672" s="13" t="s">
        <v>33</v>
      </c>
      <c r="AH672" s="6" t="b">
        <v>0</v>
      </c>
      <c r="AI672" s="13" t="s">
        <v>33</v>
      </c>
      <c r="AJ672" s="13" t="s">
        <v>33</v>
      </c>
      <c r="AK672" s="13" t="s">
        <v>33</v>
      </c>
      <c r="AL672" s="6">
        <v>0</v>
      </c>
      <c r="AM672" s="13" t="s">
        <v>33</v>
      </c>
    </row>
    <row r="673" spans="1:39" ht="15" customHeight="1" x14ac:dyDescent="0.3">
      <c r="A673" s="6" t="s">
        <v>411</v>
      </c>
      <c r="B673" s="7" t="str">
        <f>Odds_Input!C435</f>
        <v>Micah Nori</v>
      </c>
      <c r="C673" s="6" t="s">
        <v>33</v>
      </c>
      <c r="D673" s="7" t="str">
        <f>Odds_Input!D435</f>
        <v>YES</v>
      </c>
      <c r="E673" s="31" t="str">
        <f>Odds_Input!E435</f>
        <v>-</v>
      </c>
      <c r="F673" s="32">
        <f>Odds_Input!F435</f>
        <v>1400</v>
      </c>
      <c r="G673" s="36">
        <f>M_DeVig!H435</f>
        <v>15</v>
      </c>
      <c r="H673" s="7" t="str">
        <f>Odds_Input!G435</f>
        <v>-</v>
      </c>
      <c r="I673" s="42">
        <f>M_DeVig!Q435</f>
        <v>4.9099303812363632E-2</v>
      </c>
      <c r="J673" s="13" t="s">
        <v>33</v>
      </c>
      <c r="K673" s="43">
        <f t="shared" si="136"/>
        <v>1936.688755957862</v>
      </c>
      <c r="L673" s="13" t="s">
        <v>33</v>
      </c>
      <c r="M673" s="13" t="s">
        <v>33</v>
      </c>
      <c r="N673" s="13" t="s">
        <v>33</v>
      </c>
      <c r="O673" s="13" t="s">
        <v>33</v>
      </c>
      <c r="P673" s="13" t="s">
        <v>33</v>
      </c>
      <c r="Q673" s="13" t="s">
        <v>33</v>
      </c>
      <c r="R673" s="13" t="s">
        <v>33</v>
      </c>
      <c r="S673" s="13" t="s">
        <v>33</v>
      </c>
      <c r="T673" s="13" t="s">
        <v>33</v>
      </c>
      <c r="U673" s="13" t="s">
        <v>33</v>
      </c>
      <c r="V673" s="13" t="s">
        <v>33</v>
      </c>
      <c r="W673" s="6" t="b">
        <v>0</v>
      </c>
      <c r="X673" s="6" t="s">
        <v>1301</v>
      </c>
      <c r="Y673" s="6" t="s">
        <v>1326</v>
      </c>
      <c r="Z673" s="6">
        <v>427</v>
      </c>
      <c r="AA673" s="7" t="str">
        <f t="shared" si="137"/>
        <v>OK - sims match current assumptions</v>
      </c>
      <c r="AB673" s="13" t="s">
        <v>33</v>
      </c>
      <c r="AC673" s="13" t="s">
        <v>33</v>
      </c>
      <c r="AD673" s="13" t="s">
        <v>33</v>
      </c>
      <c r="AE673" s="13" t="s">
        <v>33</v>
      </c>
      <c r="AF673" s="13" t="s">
        <v>33</v>
      </c>
      <c r="AG673" s="13" t="s">
        <v>33</v>
      </c>
      <c r="AH673" s="6" t="b">
        <v>0</v>
      </c>
      <c r="AI673" s="13" t="s">
        <v>33</v>
      </c>
      <c r="AJ673" s="13" t="s">
        <v>33</v>
      </c>
      <c r="AK673" s="13" t="s">
        <v>33</v>
      </c>
      <c r="AL673" s="6">
        <v>0</v>
      </c>
      <c r="AM673" s="13" t="s">
        <v>33</v>
      </c>
    </row>
    <row r="674" spans="1:39" ht="15" customHeight="1" x14ac:dyDescent="0.3">
      <c r="A674" s="6" t="s">
        <v>411</v>
      </c>
      <c r="B674" s="7" t="str">
        <f>Odds_Input!C436</f>
        <v>Dusty May</v>
      </c>
      <c r="C674" s="6" t="s">
        <v>33</v>
      </c>
      <c r="D674" s="7" t="str">
        <f>Odds_Input!D436</f>
        <v>YES</v>
      </c>
      <c r="E674" s="31" t="str">
        <f>Odds_Input!E436</f>
        <v>-</v>
      </c>
      <c r="F674" s="32">
        <f>Odds_Input!F436</f>
        <v>1500</v>
      </c>
      <c r="G674" s="36">
        <f>M_DeVig!H436</f>
        <v>16</v>
      </c>
      <c r="H674" s="7" t="str">
        <f>Odds_Input!G436</f>
        <v>-</v>
      </c>
      <c r="I674" s="42">
        <f>M_DeVig!Q436</f>
        <v>4.5615889066479842E-2</v>
      </c>
      <c r="J674" s="13" t="s">
        <v>33</v>
      </c>
      <c r="K674" s="43">
        <f t="shared" si="136"/>
        <v>2092.2185897607224</v>
      </c>
      <c r="L674" s="13" t="s">
        <v>33</v>
      </c>
      <c r="M674" s="13" t="s">
        <v>33</v>
      </c>
      <c r="N674" s="13" t="s">
        <v>33</v>
      </c>
      <c r="O674" s="13" t="s">
        <v>33</v>
      </c>
      <c r="P674" s="13" t="s">
        <v>33</v>
      </c>
      <c r="Q674" s="13" t="s">
        <v>33</v>
      </c>
      <c r="R674" s="13" t="s">
        <v>33</v>
      </c>
      <c r="S674" s="13" t="s">
        <v>33</v>
      </c>
      <c r="T674" s="13" t="s">
        <v>33</v>
      </c>
      <c r="U674" s="13" t="s">
        <v>33</v>
      </c>
      <c r="V674" s="13" t="s">
        <v>33</v>
      </c>
      <c r="W674" s="6" t="b">
        <v>0</v>
      </c>
      <c r="X674" s="6" t="s">
        <v>1301</v>
      </c>
      <c r="Y674" s="6" t="s">
        <v>1326</v>
      </c>
      <c r="Z674" s="6">
        <v>428</v>
      </c>
      <c r="AA674" s="7" t="str">
        <f t="shared" si="137"/>
        <v>OK - sims match current assumptions</v>
      </c>
      <c r="AB674" s="13" t="s">
        <v>33</v>
      </c>
      <c r="AC674" s="13" t="s">
        <v>33</v>
      </c>
      <c r="AD674" s="13" t="s">
        <v>33</v>
      </c>
      <c r="AE674" s="13" t="s">
        <v>33</v>
      </c>
      <c r="AF674" s="13" t="s">
        <v>33</v>
      </c>
      <c r="AG674" s="13" t="s">
        <v>33</v>
      </c>
      <c r="AH674" s="6" t="b">
        <v>0</v>
      </c>
      <c r="AI674" s="13" t="s">
        <v>33</v>
      </c>
      <c r="AJ674" s="13" t="s">
        <v>33</v>
      </c>
      <c r="AK674" s="13" t="s">
        <v>33</v>
      </c>
      <c r="AL674" s="6">
        <v>0</v>
      </c>
      <c r="AM674" s="13" t="s">
        <v>33</v>
      </c>
    </row>
    <row r="675" spans="1:39" ht="15" customHeight="1" x14ac:dyDescent="0.3">
      <c r="A675" s="6" t="s">
        <v>411</v>
      </c>
      <c r="B675" s="7" t="str">
        <f>Odds_Input!C437</f>
        <v>Sean Sweeney</v>
      </c>
      <c r="C675" s="6" t="s">
        <v>33</v>
      </c>
      <c r="D675" s="7" t="str">
        <f>Odds_Input!D437</f>
        <v>YES</v>
      </c>
      <c r="E675" s="31" t="str">
        <f>Odds_Input!E437</f>
        <v>-</v>
      </c>
      <c r="F675" s="32">
        <f>Odds_Input!F437</f>
        <v>1200</v>
      </c>
      <c r="G675" s="36">
        <f>M_DeVig!H437</f>
        <v>13</v>
      </c>
      <c r="H675" s="7" t="str">
        <f>Odds_Input!G437</f>
        <v>-</v>
      </c>
      <c r="I675" s="42">
        <f>M_DeVig!Q437</f>
        <v>5.7689713432319295E-2</v>
      </c>
      <c r="J675" s="13" t="s">
        <v>33</v>
      </c>
      <c r="K675" s="43">
        <f t="shared" si="136"/>
        <v>1633.4112799384677</v>
      </c>
      <c r="L675" s="13" t="s">
        <v>33</v>
      </c>
      <c r="M675" s="13" t="s">
        <v>33</v>
      </c>
      <c r="N675" s="13" t="s">
        <v>33</v>
      </c>
      <c r="O675" s="13" t="s">
        <v>33</v>
      </c>
      <c r="P675" s="13" t="s">
        <v>33</v>
      </c>
      <c r="Q675" s="13" t="s">
        <v>33</v>
      </c>
      <c r="R675" s="13" t="s">
        <v>33</v>
      </c>
      <c r="S675" s="13" t="s">
        <v>33</v>
      </c>
      <c r="T675" s="13" t="s">
        <v>33</v>
      </c>
      <c r="U675" s="13" t="s">
        <v>33</v>
      </c>
      <c r="V675" s="13" t="s">
        <v>33</v>
      </c>
      <c r="W675" s="6" t="b">
        <v>0</v>
      </c>
      <c r="X675" s="6" t="s">
        <v>1301</v>
      </c>
      <c r="Y675" s="6" t="s">
        <v>1326</v>
      </c>
      <c r="Z675" s="6">
        <v>429</v>
      </c>
      <c r="AA675" s="7" t="str">
        <f t="shared" si="137"/>
        <v>OK - sims match current assumptions</v>
      </c>
      <c r="AB675" s="13" t="s">
        <v>33</v>
      </c>
      <c r="AC675" s="13" t="s">
        <v>33</v>
      </c>
      <c r="AD675" s="13" t="s">
        <v>33</v>
      </c>
      <c r="AE675" s="13" t="s">
        <v>33</v>
      </c>
      <c r="AF675" s="13" t="s">
        <v>33</v>
      </c>
      <c r="AG675" s="13" t="s">
        <v>33</v>
      </c>
      <c r="AH675" s="6" t="b">
        <v>0</v>
      </c>
      <c r="AI675" s="13" t="s">
        <v>33</v>
      </c>
      <c r="AJ675" s="13" t="s">
        <v>33</v>
      </c>
      <c r="AK675" s="13" t="s">
        <v>33</v>
      </c>
      <c r="AL675" s="6">
        <v>0</v>
      </c>
      <c r="AM675" s="13" t="s">
        <v>33</v>
      </c>
    </row>
    <row r="676" spans="1:39" ht="15" customHeight="1" x14ac:dyDescent="0.3">
      <c r="A676" s="6" t="s">
        <v>411</v>
      </c>
      <c r="B676" s="7" t="str">
        <f>Odds_Input!C438</f>
        <v>Brian Keefe</v>
      </c>
      <c r="C676" s="6" t="s">
        <v>33</v>
      </c>
      <c r="D676" s="7" t="str">
        <f>Odds_Input!D438</f>
        <v>YES</v>
      </c>
      <c r="E676" s="31" t="str">
        <f>Odds_Input!E438</f>
        <v>-</v>
      </c>
      <c r="F676" s="32">
        <f>Odds_Input!F438</f>
        <v>1800</v>
      </c>
      <c r="G676" s="36">
        <f>M_DeVig!H438</f>
        <v>19</v>
      </c>
      <c r="H676" s="7" t="str">
        <f>Odds_Input!G438</f>
        <v>-</v>
      </c>
      <c r="I676" s="42">
        <f>M_DeVig!Q438</f>
        <v>3.7387219042924191E-2</v>
      </c>
      <c r="J676" s="13" t="s">
        <v>33</v>
      </c>
      <c r="K676" s="43">
        <f t="shared" si="136"/>
        <v>2574.7108386208183</v>
      </c>
      <c r="L676" s="13" t="s">
        <v>33</v>
      </c>
      <c r="M676" s="13" t="s">
        <v>33</v>
      </c>
      <c r="N676" s="13" t="s">
        <v>33</v>
      </c>
      <c r="O676" s="13" t="s">
        <v>33</v>
      </c>
      <c r="P676" s="13" t="s">
        <v>33</v>
      </c>
      <c r="Q676" s="13" t="s">
        <v>33</v>
      </c>
      <c r="R676" s="13" t="s">
        <v>33</v>
      </c>
      <c r="S676" s="13" t="s">
        <v>33</v>
      </c>
      <c r="T676" s="13" t="s">
        <v>33</v>
      </c>
      <c r="U676" s="13" t="s">
        <v>33</v>
      </c>
      <c r="V676" s="13" t="s">
        <v>33</v>
      </c>
      <c r="W676" s="6" t="b">
        <v>0</v>
      </c>
      <c r="X676" s="6" t="s">
        <v>1301</v>
      </c>
      <c r="Y676" s="6" t="s">
        <v>1326</v>
      </c>
      <c r="Z676" s="6">
        <v>430</v>
      </c>
      <c r="AA676" s="7" t="str">
        <f t="shared" si="137"/>
        <v>OK - sims match current assumptions</v>
      </c>
      <c r="AB676" s="13" t="s">
        <v>33</v>
      </c>
      <c r="AC676" s="13" t="s">
        <v>33</v>
      </c>
      <c r="AD676" s="13" t="s">
        <v>33</v>
      </c>
      <c r="AE676" s="13" t="s">
        <v>33</v>
      </c>
      <c r="AF676" s="13" t="s">
        <v>33</v>
      </c>
      <c r="AG676" s="13" t="s">
        <v>33</v>
      </c>
      <c r="AH676" s="6" t="b">
        <v>0</v>
      </c>
      <c r="AI676" s="13" t="s">
        <v>33</v>
      </c>
      <c r="AJ676" s="13" t="s">
        <v>33</v>
      </c>
      <c r="AK676" s="13" t="s">
        <v>33</v>
      </c>
      <c r="AL676" s="6">
        <v>0</v>
      </c>
      <c r="AM676" s="13" t="s">
        <v>33</v>
      </c>
    </row>
    <row r="677" spans="1:39" ht="15" customHeight="1" x14ac:dyDescent="0.3">
      <c r="A677" s="6" t="s">
        <v>411</v>
      </c>
      <c r="B677" s="7" t="str">
        <f>Odds_Input!C439</f>
        <v>Mitch Johnson</v>
      </c>
      <c r="C677" s="6" t="s">
        <v>33</v>
      </c>
      <c r="D677" s="7" t="str">
        <f>Odds_Input!D439</f>
        <v>YES</v>
      </c>
      <c r="E677" s="31" t="str">
        <f>Odds_Input!E439</f>
        <v>-</v>
      </c>
      <c r="F677" s="32">
        <f>Odds_Input!F439</f>
        <v>2200</v>
      </c>
      <c r="G677" s="36">
        <f>M_DeVig!H439</f>
        <v>23</v>
      </c>
      <c r="H677" s="7" t="str">
        <f>Odds_Input!G439</f>
        <v>-</v>
      </c>
      <c r="I677" s="42">
        <f>M_DeVig!Q439</f>
        <v>2.9795826880204535E-2</v>
      </c>
      <c r="J677" s="13" t="s">
        <v>33</v>
      </c>
      <c r="K677" s="43">
        <f t="shared" si="136"/>
        <v>3256.1746885580487</v>
      </c>
      <c r="L677" s="13" t="s">
        <v>33</v>
      </c>
      <c r="M677" s="13" t="s">
        <v>33</v>
      </c>
      <c r="N677" s="13" t="s">
        <v>33</v>
      </c>
      <c r="O677" s="13" t="s">
        <v>33</v>
      </c>
      <c r="P677" s="13" t="s">
        <v>33</v>
      </c>
      <c r="Q677" s="13" t="s">
        <v>33</v>
      </c>
      <c r="R677" s="13" t="s">
        <v>33</v>
      </c>
      <c r="S677" s="13" t="s">
        <v>33</v>
      </c>
      <c r="T677" s="13" t="s">
        <v>33</v>
      </c>
      <c r="U677" s="13" t="s">
        <v>33</v>
      </c>
      <c r="V677" s="13" t="s">
        <v>33</v>
      </c>
      <c r="W677" s="6" t="b">
        <v>0</v>
      </c>
      <c r="X677" s="6" t="s">
        <v>1301</v>
      </c>
      <c r="Y677" s="6" t="s">
        <v>1326</v>
      </c>
      <c r="Z677" s="6">
        <v>431</v>
      </c>
      <c r="AA677" s="7" t="str">
        <f t="shared" si="137"/>
        <v>OK - sims match current assumptions</v>
      </c>
      <c r="AB677" s="13" t="s">
        <v>33</v>
      </c>
      <c r="AC677" s="13" t="s">
        <v>33</v>
      </c>
      <c r="AD677" s="13" t="s">
        <v>33</v>
      </c>
      <c r="AE677" s="13" t="s">
        <v>33</v>
      </c>
      <c r="AF677" s="13" t="s">
        <v>33</v>
      </c>
      <c r="AG677" s="13" t="s">
        <v>33</v>
      </c>
      <c r="AH677" s="6" t="b">
        <v>0</v>
      </c>
      <c r="AI677" s="13" t="s">
        <v>33</v>
      </c>
      <c r="AJ677" s="13" t="s">
        <v>33</v>
      </c>
      <c r="AK677" s="13" t="s">
        <v>33</v>
      </c>
      <c r="AL677" s="6">
        <v>0</v>
      </c>
      <c r="AM677" s="13" t="s">
        <v>33</v>
      </c>
    </row>
    <row r="678" spans="1:39" ht="15" customHeight="1" x14ac:dyDescent="0.3">
      <c r="A678" s="6" t="s">
        <v>411</v>
      </c>
      <c r="B678" s="7" t="str">
        <f>Odds_Input!C440</f>
        <v>Rick Carlisle</v>
      </c>
      <c r="C678" s="6" t="s">
        <v>33</v>
      </c>
      <c r="D678" s="7" t="str">
        <f>Odds_Input!D440</f>
        <v>YES</v>
      </c>
      <c r="E678" s="31" t="str">
        <f>Odds_Input!E440</f>
        <v>-</v>
      </c>
      <c r="F678" s="32">
        <f>Odds_Input!F440</f>
        <v>1200</v>
      </c>
      <c r="G678" s="36">
        <f>M_DeVig!H440</f>
        <v>13</v>
      </c>
      <c r="H678" s="7" t="str">
        <f>Odds_Input!G440</f>
        <v>-</v>
      </c>
      <c r="I678" s="42">
        <f>M_DeVig!Q440</f>
        <v>5.7689713432319295E-2</v>
      </c>
      <c r="J678" s="13" t="s">
        <v>33</v>
      </c>
      <c r="K678" s="43">
        <f t="shared" si="136"/>
        <v>1633.4112799384677</v>
      </c>
      <c r="L678" s="13" t="s">
        <v>33</v>
      </c>
      <c r="M678" s="13" t="s">
        <v>33</v>
      </c>
      <c r="N678" s="13" t="s">
        <v>33</v>
      </c>
      <c r="O678" s="13" t="s">
        <v>33</v>
      </c>
      <c r="P678" s="13" t="s">
        <v>33</v>
      </c>
      <c r="Q678" s="13" t="s">
        <v>33</v>
      </c>
      <c r="R678" s="13" t="s">
        <v>33</v>
      </c>
      <c r="S678" s="13" t="s">
        <v>33</v>
      </c>
      <c r="T678" s="13" t="s">
        <v>33</v>
      </c>
      <c r="U678" s="13" t="s">
        <v>33</v>
      </c>
      <c r="V678" s="13" t="s">
        <v>33</v>
      </c>
      <c r="W678" s="6" t="b">
        <v>0</v>
      </c>
      <c r="X678" s="6" t="s">
        <v>1301</v>
      </c>
      <c r="Y678" s="6" t="s">
        <v>1326</v>
      </c>
      <c r="Z678" s="6">
        <v>432</v>
      </c>
      <c r="AA678" s="7" t="str">
        <f t="shared" si="137"/>
        <v>OK - sims match current assumptions</v>
      </c>
      <c r="AB678" s="13" t="s">
        <v>33</v>
      </c>
      <c r="AC678" s="13" t="s">
        <v>33</v>
      </c>
      <c r="AD678" s="13" t="s">
        <v>33</v>
      </c>
      <c r="AE678" s="13" t="s">
        <v>33</v>
      </c>
      <c r="AF678" s="13" t="s">
        <v>33</v>
      </c>
      <c r="AG678" s="13" t="s">
        <v>33</v>
      </c>
      <c r="AH678" s="6" t="b">
        <v>0</v>
      </c>
      <c r="AI678" s="13" t="s">
        <v>33</v>
      </c>
      <c r="AJ678" s="13" t="s">
        <v>33</v>
      </c>
      <c r="AK678" s="13" t="s">
        <v>33</v>
      </c>
      <c r="AL678" s="6">
        <v>0</v>
      </c>
      <c r="AM678" s="13" t="s">
        <v>33</v>
      </c>
    </row>
    <row r="679" spans="1:39" ht="15" customHeight="1" x14ac:dyDescent="0.3">
      <c r="A679" s="6" t="s">
        <v>411</v>
      </c>
      <c r="B679" s="7" t="str">
        <f>Odds_Input!C441</f>
        <v>Quin Snyder</v>
      </c>
      <c r="C679" s="6" t="s">
        <v>33</v>
      </c>
      <c r="D679" s="7" t="str">
        <f>Odds_Input!D441</f>
        <v>YES</v>
      </c>
      <c r="E679" s="31" t="str">
        <f>Odds_Input!E441</f>
        <v>-</v>
      </c>
      <c r="F679" s="32">
        <f>Odds_Input!F441</f>
        <v>2200</v>
      </c>
      <c r="G679" s="36">
        <f>M_DeVig!H441</f>
        <v>23</v>
      </c>
      <c r="H679" s="7" t="str">
        <f>Odds_Input!G441</f>
        <v>-</v>
      </c>
      <c r="I679" s="42">
        <f>M_DeVig!Q441</f>
        <v>2.9795826880204535E-2</v>
      </c>
      <c r="J679" s="13" t="s">
        <v>33</v>
      </c>
      <c r="K679" s="43">
        <f t="shared" si="136"/>
        <v>3256.1746885580487</v>
      </c>
      <c r="L679" s="13" t="s">
        <v>33</v>
      </c>
      <c r="M679" s="13" t="s">
        <v>33</v>
      </c>
      <c r="N679" s="13" t="s">
        <v>33</v>
      </c>
      <c r="O679" s="13" t="s">
        <v>33</v>
      </c>
      <c r="P679" s="13" t="s">
        <v>33</v>
      </c>
      <c r="Q679" s="13" t="s">
        <v>33</v>
      </c>
      <c r="R679" s="13" t="s">
        <v>33</v>
      </c>
      <c r="S679" s="13" t="s">
        <v>33</v>
      </c>
      <c r="T679" s="13" t="s">
        <v>33</v>
      </c>
      <c r="U679" s="13" t="s">
        <v>33</v>
      </c>
      <c r="V679" s="13" t="s">
        <v>33</v>
      </c>
      <c r="W679" s="6" t="b">
        <v>0</v>
      </c>
      <c r="X679" s="6" t="s">
        <v>1301</v>
      </c>
      <c r="Y679" s="6" t="s">
        <v>1326</v>
      </c>
      <c r="Z679" s="6">
        <v>433</v>
      </c>
      <c r="AA679" s="7" t="str">
        <f t="shared" si="137"/>
        <v>OK - sims match current assumptions</v>
      </c>
      <c r="AB679" s="13" t="s">
        <v>33</v>
      </c>
      <c r="AC679" s="13" t="s">
        <v>33</v>
      </c>
      <c r="AD679" s="13" t="s">
        <v>33</v>
      </c>
      <c r="AE679" s="13" t="s">
        <v>33</v>
      </c>
      <c r="AF679" s="13" t="s">
        <v>33</v>
      </c>
      <c r="AG679" s="13" t="s">
        <v>33</v>
      </c>
      <c r="AH679" s="6" t="b">
        <v>0</v>
      </c>
      <c r="AI679" s="13" t="s">
        <v>33</v>
      </c>
      <c r="AJ679" s="13" t="s">
        <v>33</v>
      </c>
      <c r="AK679" s="13" t="s">
        <v>33</v>
      </c>
      <c r="AL679" s="6">
        <v>0</v>
      </c>
      <c r="AM679" s="13" t="s">
        <v>33</v>
      </c>
    </row>
    <row r="680" spans="1:39" ht="15" customHeight="1" x14ac:dyDescent="0.3">
      <c r="A680" s="6" t="s">
        <v>411</v>
      </c>
      <c r="B680" s="7" t="str">
        <f>Odds_Input!C442</f>
        <v>Mike Brown</v>
      </c>
      <c r="C680" s="6" t="s">
        <v>33</v>
      </c>
      <c r="D680" s="7" t="str">
        <f>Odds_Input!D442</f>
        <v>YES</v>
      </c>
      <c r="E680" s="31" t="str">
        <f>Odds_Input!E442</f>
        <v>-</v>
      </c>
      <c r="F680" s="32">
        <f>Odds_Input!F442</f>
        <v>2500</v>
      </c>
      <c r="G680" s="36">
        <f>M_DeVig!H442</f>
        <v>26</v>
      </c>
      <c r="H680" s="7" t="str">
        <f>Odds_Input!G442</f>
        <v>-</v>
      </c>
      <c r="I680" s="42">
        <f>M_DeVig!Q442</f>
        <v>2.5661904317763325E-2</v>
      </c>
      <c r="J680" s="13" t="s">
        <v>33</v>
      </c>
      <c r="K680" s="43">
        <f t="shared" si="136"/>
        <v>3796.8269369931131</v>
      </c>
      <c r="L680" s="13" t="s">
        <v>33</v>
      </c>
      <c r="M680" s="13" t="s">
        <v>33</v>
      </c>
      <c r="N680" s="13" t="s">
        <v>33</v>
      </c>
      <c r="O680" s="13" t="s">
        <v>33</v>
      </c>
      <c r="P680" s="13" t="s">
        <v>33</v>
      </c>
      <c r="Q680" s="13" t="s">
        <v>33</v>
      </c>
      <c r="R680" s="13" t="s">
        <v>33</v>
      </c>
      <c r="S680" s="13" t="s">
        <v>33</v>
      </c>
      <c r="T680" s="13" t="s">
        <v>33</v>
      </c>
      <c r="U680" s="13" t="s">
        <v>33</v>
      </c>
      <c r="V680" s="13" t="s">
        <v>33</v>
      </c>
      <c r="W680" s="6" t="b">
        <v>0</v>
      </c>
      <c r="X680" s="6" t="s">
        <v>1301</v>
      </c>
      <c r="Y680" s="6" t="s">
        <v>1326</v>
      </c>
      <c r="Z680" s="6">
        <v>434</v>
      </c>
      <c r="AA680" s="7" t="str">
        <f t="shared" si="137"/>
        <v>OK - sims match current assumptions</v>
      </c>
      <c r="AB680" s="13" t="s">
        <v>33</v>
      </c>
      <c r="AC680" s="13" t="s">
        <v>33</v>
      </c>
      <c r="AD680" s="13" t="s">
        <v>33</v>
      </c>
      <c r="AE680" s="13" t="s">
        <v>33</v>
      </c>
      <c r="AF680" s="13" t="s">
        <v>33</v>
      </c>
      <c r="AG680" s="13" t="s">
        <v>33</v>
      </c>
      <c r="AH680" s="6" t="b">
        <v>0</v>
      </c>
      <c r="AI680" s="13" t="s">
        <v>33</v>
      </c>
      <c r="AJ680" s="13" t="s">
        <v>33</v>
      </c>
      <c r="AK680" s="13" t="s">
        <v>33</v>
      </c>
      <c r="AL680" s="6">
        <v>0</v>
      </c>
      <c r="AM680" s="13" t="s">
        <v>33</v>
      </c>
    </row>
    <row r="681" spans="1:39" ht="15" customHeight="1" x14ac:dyDescent="0.3">
      <c r="A681" s="6" t="s">
        <v>411</v>
      </c>
      <c r="B681" s="7" t="str">
        <f>Odds_Input!C443</f>
        <v>JJ Redick</v>
      </c>
      <c r="C681" s="6" t="s">
        <v>33</v>
      </c>
      <c r="D681" s="7" t="str">
        <f>Odds_Input!D443</f>
        <v>YES</v>
      </c>
      <c r="E681" s="31" t="str">
        <f>Odds_Input!E443</f>
        <v>-</v>
      </c>
      <c r="F681" s="32">
        <f>Odds_Input!F443</f>
        <v>2000</v>
      </c>
      <c r="G681" s="36">
        <f>M_DeVig!H443</f>
        <v>21</v>
      </c>
      <c r="H681" s="7" t="str">
        <f>Odds_Input!G443</f>
        <v>-</v>
      </c>
      <c r="I681" s="42">
        <f>M_DeVig!Q443</f>
        <v>3.322366465913322E-2</v>
      </c>
      <c r="J681" s="13" t="s">
        <v>33</v>
      </c>
      <c r="K681" s="43">
        <f t="shared" si="136"/>
        <v>2909.9027613592862</v>
      </c>
      <c r="L681" s="13" t="s">
        <v>33</v>
      </c>
      <c r="M681" s="13" t="s">
        <v>33</v>
      </c>
      <c r="N681" s="13" t="s">
        <v>33</v>
      </c>
      <c r="O681" s="13" t="s">
        <v>33</v>
      </c>
      <c r="P681" s="13" t="s">
        <v>33</v>
      </c>
      <c r="Q681" s="13" t="s">
        <v>33</v>
      </c>
      <c r="R681" s="13" t="s">
        <v>33</v>
      </c>
      <c r="S681" s="13" t="s">
        <v>33</v>
      </c>
      <c r="T681" s="13" t="s">
        <v>33</v>
      </c>
      <c r="U681" s="13" t="s">
        <v>33</v>
      </c>
      <c r="V681" s="13" t="s">
        <v>33</v>
      </c>
      <c r="W681" s="6" t="b">
        <v>0</v>
      </c>
      <c r="X681" s="6" t="s">
        <v>1301</v>
      </c>
      <c r="Y681" s="6" t="s">
        <v>1326</v>
      </c>
      <c r="Z681" s="6">
        <v>435</v>
      </c>
      <c r="AA681" s="7" t="str">
        <f t="shared" si="137"/>
        <v>OK - sims match current assumptions</v>
      </c>
      <c r="AB681" s="13" t="s">
        <v>33</v>
      </c>
      <c r="AC681" s="13" t="s">
        <v>33</v>
      </c>
      <c r="AD681" s="13" t="s">
        <v>33</v>
      </c>
      <c r="AE681" s="13" t="s">
        <v>33</v>
      </c>
      <c r="AF681" s="13" t="s">
        <v>33</v>
      </c>
      <c r="AG681" s="13" t="s">
        <v>33</v>
      </c>
      <c r="AH681" s="6" t="b">
        <v>0</v>
      </c>
      <c r="AI681" s="13" t="s">
        <v>33</v>
      </c>
      <c r="AJ681" s="13" t="s">
        <v>33</v>
      </c>
      <c r="AK681" s="13" t="s">
        <v>33</v>
      </c>
      <c r="AL681" s="6">
        <v>0</v>
      </c>
      <c r="AM681" s="13" t="s">
        <v>33</v>
      </c>
    </row>
    <row r="682" spans="1:39" ht="15" customHeight="1" x14ac:dyDescent="0.3">
      <c r="A682" s="6" t="s">
        <v>411</v>
      </c>
      <c r="B682" s="7" t="str">
        <f>Odds_Input!C444</f>
        <v>Ime Udoka</v>
      </c>
      <c r="C682" s="6" t="s">
        <v>33</v>
      </c>
      <c r="D682" s="7" t="str">
        <f>Odds_Input!D444</f>
        <v>YES</v>
      </c>
      <c r="E682" s="31" t="str">
        <f>Odds_Input!E444</f>
        <v>-</v>
      </c>
      <c r="F682" s="32">
        <f>Odds_Input!F444</f>
        <v>2000</v>
      </c>
      <c r="G682" s="36">
        <f>M_DeVig!H444</f>
        <v>21</v>
      </c>
      <c r="H682" s="7" t="str">
        <f>Odds_Input!G444</f>
        <v>-</v>
      </c>
      <c r="I682" s="42">
        <f>M_DeVig!Q444</f>
        <v>3.322366465913322E-2</v>
      </c>
      <c r="J682" s="13" t="s">
        <v>33</v>
      </c>
      <c r="K682" s="43">
        <f t="shared" si="136"/>
        <v>2909.9027613592862</v>
      </c>
      <c r="L682" s="13" t="s">
        <v>33</v>
      </c>
      <c r="M682" s="13" t="s">
        <v>33</v>
      </c>
      <c r="N682" s="13" t="s">
        <v>33</v>
      </c>
      <c r="O682" s="13" t="s">
        <v>33</v>
      </c>
      <c r="P682" s="13" t="s">
        <v>33</v>
      </c>
      <c r="Q682" s="13" t="s">
        <v>33</v>
      </c>
      <c r="R682" s="13" t="s">
        <v>33</v>
      </c>
      <c r="S682" s="13" t="s">
        <v>33</v>
      </c>
      <c r="T682" s="13" t="s">
        <v>33</v>
      </c>
      <c r="U682" s="13" t="s">
        <v>33</v>
      </c>
      <c r="V682" s="13" t="s">
        <v>33</v>
      </c>
      <c r="W682" s="6" t="b">
        <v>0</v>
      </c>
      <c r="X682" s="6" t="s">
        <v>1301</v>
      </c>
      <c r="Y682" s="6" t="s">
        <v>1326</v>
      </c>
      <c r="Z682" s="6">
        <v>436</v>
      </c>
      <c r="AA682" s="7" t="str">
        <f t="shared" si="137"/>
        <v>OK - sims match current assumptions</v>
      </c>
      <c r="AB682" s="13" t="s">
        <v>33</v>
      </c>
      <c r="AC682" s="13" t="s">
        <v>33</v>
      </c>
      <c r="AD682" s="13" t="s">
        <v>33</v>
      </c>
      <c r="AE682" s="13" t="s">
        <v>33</v>
      </c>
      <c r="AF682" s="13" t="s">
        <v>33</v>
      </c>
      <c r="AG682" s="13" t="s">
        <v>33</v>
      </c>
      <c r="AH682" s="6" t="b">
        <v>0</v>
      </c>
      <c r="AI682" s="13" t="s">
        <v>33</v>
      </c>
      <c r="AJ682" s="13" t="s">
        <v>33</v>
      </c>
      <c r="AK682" s="13" t="s">
        <v>33</v>
      </c>
      <c r="AL682" s="6">
        <v>0</v>
      </c>
      <c r="AM682" s="13" t="s">
        <v>33</v>
      </c>
    </row>
    <row r="683" spans="1:39" ht="15" customHeight="1" x14ac:dyDescent="0.3">
      <c r="A683" s="6" t="s">
        <v>411</v>
      </c>
      <c r="B683" s="7" t="str">
        <f>Odds_Input!C445</f>
        <v>Tiago Splitter</v>
      </c>
      <c r="C683" s="6" t="s">
        <v>33</v>
      </c>
      <c r="D683" s="7" t="str">
        <f>Odds_Input!D445</f>
        <v>YES</v>
      </c>
      <c r="E683" s="31" t="str">
        <f>Odds_Input!E445</f>
        <v>-</v>
      </c>
      <c r="F683" s="32">
        <f>Odds_Input!F445</f>
        <v>3000</v>
      </c>
      <c r="G683" s="36">
        <f>M_DeVig!H445</f>
        <v>31</v>
      </c>
      <c r="H683" s="7" t="str">
        <f>Odds_Input!G445</f>
        <v>-</v>
      </c>
      <c r="I683" s="42">
        <f>M_DeVig!Q445</f>
        <v>2.0591794817981592E-2</v>
      </c>
      <c r="J683" s="13" t="s">
        <v>33</v>
      </c>
      <c r="K683" s="43">
        <f t="shared" si="136"/>
        <v>4756.3032452458174</v>
      </c>
      <c r="L683" s="13" t="s">
        <v>33</v>
      </c>
      <c r="M683" s="13" t="s">
        <v>33</v>
      </c>
      <c r="N683" s="13" t="s">
        <v>33</v>
      </c>
      <c r="O683" s="13" t="s">
        <v>33</v>
      </c>
      <c r="P683" s="13" t="s">
        <v>33</v>
      </c>
      <c r="Q683" s="13" t="s">
        <v>33</v>
      </c>
      <c r="R683" s="13" t="s">
        <v>33</v>
      </c>
      <c r="S683" s="13" t="s">
        <v>33</v>
      </c>
      <c r="T683" s="13" t="s">
        <v>33</v>
      </c>
      <c r="U683" s="13" t="s">
        <v>33</v>
      </c>
      <c r="V683" s="13" t="s">
        <v>33</v>
      </c>
      <c r="W683" s="6" t="b">
        <v>0</v>
      </c>
      <c r="X683" s="6" t="s">
        <v>1301</v>
      </c>
      <c r="Y683" s="6" t="s">
        <v>1326</v>
      </c>
      <c r="Z683" s="6">
        <v>437</v>
      </c>
      <c r="AA683" s="7" t="str">
        <f t="shared" si="137"/>
        <v>OK - sims match current assumptions</v>
      </c>
      <c r="AB683" s="13" t="s">
        <v>33</v>
      </c>
      <c r="AC683" s="13" t="s">
        <v>33</v>
      </c>
      <c r="AD683" s="13" t="s">
        <v>33</v>
      </c>
      <c r="AE683" s="13" t="s">
        <v>33</v>
      </c>
      <c r="AF683" s="13" t="s">
        <v>33</v>
      </c>
      <c r="AG683" s="13" t="s">
        <v>33</v>
      </c>
      <c r="AH683" s="6" t="b">
        <v>0</v>
      </c>
      <c r="AI683" s="13" t="s">
        <v>33</v>
      </c>
      <c r="AJ683" s="13" t="s">
        <v>33</v>
      </c>
      <c r="AK683" s="13" t="s">
        <v>33</v>
      </c>
      <c r="AL683" s="6">
        <v>0</v>
      </c>
      <c r="AM683" s="13" t="s">
        <v>33</v>
      </c>
    </row>
    <row r="684" spans="1:39" ht="15" customHeight="1" x14ac:dyDescent="0.3">
      <c r="A684" s="6" t="s">
        <v>411</v>
      </c>
      <c r="B684" s="7" t="str">
        <f>Odds_Input!C446</f>
        <v>Steve Kerr</v>
      </c>
      <c r="C684" s="6" t="s">
        <v>33</v>
      </c>
      <c r="D684" s="7" t="str">
        <f>Odds_Input!D446</f>
        <v>YES</v>
      </c>
      <c r="E684" s="31" t="str">
        <f>Odds_Input!E446</f>
        <v>-</v>
      </c>
      <c r="F684" s="32">
        <f>Odds_Input!F446</f>
        <v>2800</v>
      </c>
      <c r="G684" s="36">
        <f>M_DeVig!H446</f>
        <v>29</v>
      </c>
      <c r="H684" s="7" t="str">
        <f>Odds_Input!G446</f>
        <v>-</v>
      </c>
      <c r="I684" s="42">
        <f>M_DeVig!Q446</f>
        <v>2.2403435444328691E-2</v>
      </c>
      <c r="J684" s="13" t="s">
        <v>33</v>
      </c>
      <c r="K684" s="43">
        <f t="shared" si="136"/>
        <v>4363.6011404810897</v>
      </c>
      <c r="L684" s="13" t="s">
        <v>33</v>
      </c>
      <c r="M684" s="13" t="s">
        <v>33</v>
      </c>
      <c r="N684" s="13" t="s">
        <v>33</v>
      </c>
      <c r="O684" s="13" t="s">
        <v>33</v>
      </c>
      <c r="P684" s="13" t="s">
        <v>33</v>
      </c>
      <c r="Q684" s="13" t="s">
        <v>33</v>
      </c>
      <c r="R684" s="13" t="s">
        <v>33</v>
      </c>
      <c r="S684" s="13" t="s">
        <v>33</v>
      </c>
      <c r="T684" s="13" t="s">
        <v>33</v>
      </c>
      <c r="U684" s="13" t="s">
        <v>33</v>
      </c>
      <c r="V684" s="13" t="s">
        <v>33</v>
      </c>
      <c r="W684" s="6" t="b">
        <v>0</v>
      </c>
      <c r="X684" s="6" t="s">
        <v>1301</v>
      </c>
      <c r="Y684" s="6" t="s">
        <v>1326</v>
      </c>
      <c r="Z684" s="6">
        <v>438</v>
      </c>
      <c r="AA684" s="7" t="str">
        <f t="shared" si="137"/>
        <v>OK - sims match current assumptions</v>
      </c>
      <c r="AB684" s="13" t="s">
        <v>33</v>
      </c>
      <c r="AC684" s="13" t="s">
        <v>33</v>
      </c>
      <c r="AD684" s="13" t="s">
        <v>33</v>
      </c>
      <c r="AE684" s="13" t="s">
        <v>33</v>
      </c>
      <c r="AF684" s="13" t="s">
        <v>33</v>
      </c>
      <c r="AG684" s="13" t="s">
        <v>33</v>
      </c>
      <c r="AH684" s="6" t="b">
        <v>0</v>
      </c>
      <c r="AI684" s="13" t="s">
        <v>33</v>
      </c>
      <c r="AJ684" s="13" t="s">
        <v>33</v>
      </c>
      <c r="AK684" s="13" t="s">
        <v>33</v>
      </c>
      <c r="AL684" s="6">
        <v>0</v>
      </c>
      <c r="AM684" s="13" t="s">
        <v>33</v>
      </c>
    </row>
    <row r="685" spans="1:39" ht="15" customHeight="1" x14ac:dyDescent="0.3">
      <c r="A685" s="6" t="s">
        <v>411</v>
      </c>
      <c r="B685" s="7" t="str">
        <f>Odds_Input!C447</f>
        <v>Mark Daigneault</v>
      </c>
      <c r="C685" s="6" t="s">
        <v>33</v>
      </c>
      <c r="D685" s="7" t="str">
        <f>Odds_Input!D447</f>
        <v>YES</v>
      </c>
      <c r="E685" s="31" t="str">
        <f>Odds_Input!E447</f>
        <v>-</v>
      </c>
      <c r="F685" s="32">
        <f>Odds_Input!F447</f>
        <v>2800</v>
      </c>
      <c r="G685" s="36">
        <f>M_DeVig!H447</f>
        <v>29</v>
      </c>
      <c r="H685" s="7" t="str">
        <f>Odds_Input!G447</f>
        <v>-</v>
      </c>
      <c r="I685" s="42">
        <f>M_DeVig!Q447</f>
        <v>2.2403435444328691E-2</v>
      </c>
      <c r="J685" s="13" t="s">
        <v>33</v>
      </c>
      <c r="K685" s="43">
        <f t="shared" si="136"/>
        <v>4363.6011404810897</v>
      </c>
      <c r="L685" s="13" t="s">
        <v>33</v>
      </c>
      <c r="M685" s="13" t="s">
        <v>33</v>
      </c>
      <c r="N685" s="13" t="s">
        <v>33</v>
      </c>
      <c r="O685" s="13" t="s">
        <v>33</v>
      </c>
      <c r="P685" s="13" t="s">
        <v>33</v>
      </c>
      <c r="Q685" s="13" t="s">
        <v>33</v>
      </c>
      <c r="R685" s="13" t="s">
        <v>33</v>
      </c>
      <c r="S685" s="13" t="s">
        <v>33</v>
      </c>
      <c r="T685" s="13" t="s">
        <v>33</v>
      </c>
      <c r="U685" s="13" t="s">
        <v>33</v>
      </c>
      <c r="V685" s="13" t="s">
        <v>33</v>
      </c>
      <c r="W685" s="6" t="b">
        <v>0</v>
      </c>
      <c r="X685" s="6" t="s">
        <v>1301</v>
      </c>
      <c r="Y685" s="6" t="s">
        <v>1326</v>
      </c>
      <c r="Z685" s="6">
        <v>439</v>
      </c>
      <c r="AA685" s="7" t="str">
        <f t="shared" si="137"/>
        <v>OK - sims match current assumptions</v>
      </c>
      <c r="AB685" s="13" t="s">
        <v>33</v>
      </c>
      <c r="AC685" s="13" t="s">
        <v>33</v>
      </c>
      <c r="AD685" s="13" t="s">
        <v>33</v>
      </c>
      <c r="AE685" s="13" t="s">
        <v>33</v>
      </c>
      <c r="AF685" s="13" t="s">
        <v>33</v>
      </c>
      <c r="AG685" s="13" t="s">
        <v>33</v>
      </c>
      <c r="AH685" s="6" t="b">
        <v>0</v>
      </c>
      <c r="AI685" s="13" t="s">
        <v>33</v>
      </c>
      <c r="AJ685" s="13" t="s">
        <v>33</v>
      </c>
      <c r="AK685" s="13" t="s">
        <v>33</v>
      </c>
      <c r="AL685" s="6">
        <v>0</v>
      </c>
      <c r="AM685" s="13" t="s">
        <v>33</v>
      </c>
    </row>
    <row r="686" spans="1:39" ht="15" customHeight="1" x14ac:dyDescent="0.3">
      <c r="A686" s="6" t="s">
        <v>411</v>
      </c>
      <c r="B686" s="7" t="str">
        <f>Odds_Input!C448</f>
        <v>Kenny Atkinson</v>
      </c>
      <c r="C686" s="6" t="s">
        <v>33</v>
      </c>
      <c r="D686" s="7" t="str">
        <f>Odds_Input!D448</f>
        <v>YES</v>
      </c>
      <c r="E686" s="31" t="str">
        <f>Odds_Input!E448</f>
        <v>-</v>
      </c>
      <c r="F686" s="32">
        <f>Odds_Input!F448</f>
        <v>2500</v>
      </c>
      <c r="G686" s="36">
        <f>M_DeVig!H448</f>
        <v>26</v>
      </c>
      <c r="H686" s="7" t="str">
        <f>Odds_Input!G448</f>
        <v>-</v>
      </c>
      <c r="I686" s="42">
        <f>M_DeVig!Q448</f>
        <v>2.5661904317763325E-2</v>
      </c>
      <c r="J686" s="13" t="s">
        <v>33</v>
      </c>
      <c r="K686" s="43">
        <f t="shared" si="136"/>
        <v>3796.8269369931131</v>
      </c>
      <c r="L686" s="13" t="s">
        <v>33</v>
      </c>
      <c r="M686" s="13" t="s">
        <v>33</v>
      </c>
      <c r="N686" s="13" t="s">
        <v>33</v>
      </c>
      <c r="O686" s="13" t="s">
        <v>33</v>
      </c>
      <c r="P686" s="13" t="s">
        <v>33</v>
      </c>
      <c r="Q686" s="13" t="s">
        <v>33</v>
      </c>
      <c r="R686" s="13" t="s">
        <v>33</v>
      </c>
      <c r="S686" s="13" t="s">
        <v>33</v>
      </c>
      <c r="T686" s="13" t="s">
        <v>33</v>
      </c>
      <c r="U686" s="13" t="s">
        <v>33</v>
      </c>
      <c r="V686" s="13" t="s">
        <v>33</v>
      </c>
      <c r="W686" s="6" t="b">
        <v>0</v>
      </c>
      <c r="X686" s="6" t="s">
        <v>1301</v>
      </c>
      <c r="Y686" s="6" t="s">
        <v>1326</v>
      </c>
      <c r="Z686" s="6">
        <v>440</v>
      </c>
      <c r="AA686" s="7" t="str">
        <f t="shared" si="137"/>
        <v>OK - sims match current assumptions</v>
      </c>
      <c r="AB686" s="13" t="s">
        <v>33</v>
      </c>
      <c r="AC686" s="13" t="s">
        <v>33</v>
      </c>
      <c r="AD686" s="13" t="s">
        <v>33</v>
      </c>
      <c r="AE686" s="13" t="s">
        <v>33</v>
      </c>
      <c r="AF686" s="13" t="s">
        <v>33</v>
      </c>
      <c r="AG686" s="13" t="s">
        <v>33</v>
      </c>
      <c r="AH686" s="6" t="b">
        <v>0</v>
      </c>
      <c r="AI686" s="13" t="s">
        <v>33</v>
      </c>
      <c r="AJ686" s="13" t="s">
        <v>33</v>
      </c>
      <c r="AK686" s="13" t="s">
        <v>33</v>
      </c>
      <c r="AL686" s="6">
        <v>0</v>
      </c>
      <c r="AM686" s="13" t="s">
        <v>33</v>
      </c>
    </row>
    <row r="687" spans="1:39" ht="15" customHeight="1" x14ac:dyDescent="0.3">
      <c r="A687" s="6" t="s">
        <v>411</v>
      </c>
      <c r="B687" s="7" t="str">
        <f>Odds_Input!C449</f>
        <v>JB Bickerstaff</v>
      </c>
      <c r="C687" s="6" t="s">
        <v>33</v>
      </c>
      <c r="D687" s="7" t="str">
        <f>Odds_Input!D449</f>
        <v>YES</v>
      </c>
      <c r="E687" s="31" t="str">
        <f>Odds_Input!E449</f>
        <v>-</v>
      </c>
      <c r="F687" s="32">
        <f>Odds_Input!F449</f>
        <v>3000</v>
      </c>
      <c r="G687" s="36">
        <f>M_DeVig!H449</f>
        <v>31</v>
      </c>
      <c r="H687" s="7" t="str">
        <f>Odds_Input!G449</f>
        <v>-</v>
      </c>
      <c r="I687" s="42">
        <f>M_DeVig!Q449</f>
        <v>2.0591794817981592E-2</v>
      </c>
      <c r="J687" s="13" t="s">
        <v>33</v>
      </c>
      <c r="K687" s="43">
        <f t="shared" si="136"/>
        <v>4756.3032452458174</v>
      </c>
      <c r="L687" s="13" t="s">
        <v>33</v>
      </c>
      <c r="M687" s="13" t="s">
        <v>33</v>
      </c>
      <c r="N687" s="13" t="s">
        <v>33</v>
      </c>
      <c r="O687" s="13" t="s">
        <v>33</v>
      </c>
      <c r="P687" s="13" t="s">
        <v>33</v>
      </c>
      <c r="Q687" s="13" t="s">
        <v>33</v>
      </c>
      <c r="R687" s="13" t="s">
        <v>33</v>
      </c>
      <c r="S687" s="13" t="s">
        <v>33</v>
      </c>
      <c r="T687" s="13" t="s">
        <v>33</v>
      </c>
      <c r="U687" s="13" t="s">
        <v>33</v>
      </c>
      <c r="V687" s="13" t="s">
        <v>33</v>
      </c>
      <c r="W687" s="6" t="b">
        <v>0</v>
      </c>
      <c r="X687" s="6" t="s">
        <v>1301</v>
      </c>
      <c r="Y687" s="6" t="s">
        <v>1326</v>
      </c>
      <c r="Z687" s="6">
        <v>441</v>
      </c>
      <c r="AA687" s="7" t="str">
        <f t="shared" si="137"/>
        <v>OK - sims match current assumptions</v>
      </c>
      <c r="AB687" s="13" t="s">
        <v>33</v>
      </c>
      <c r="AC687" s="13" t="s">
        <v>33</v>
      </c>
      <c r="AD687" s="13" t="s">
        <v>33</v>
      </c>
      <c r="AE687" s="13" t="s">
        <v>33</v>
      </c>
      <c r="AF687" s="13" t="s">
        <v>33</v>
      </c>
      <c r="AG687" s="13" t="s">
        <v>33</v>
      </c>
      <c r="AH687" s="6" t="b">
        <v>0</v>
      </c>
      <c r="AI687" s="13" t="s">
        <v>33</v>
      </c>
      <c r="AJ687" s="13" t="s">
        <v>33</v>
      </c>
      <c r="AK687" s="13" t="s">
        <v>33</v>
      </c>
      <c r="AL687" s="6">
        <v>0</v>
      </c>
      <c r="AM687" s="13" t="s">
        <v>33</v>
      </c>
    </row>
    <row r="688" spans="1:39" ht="15" customHeight="1" x14ac:dyDescent="0.3">
      <c r="A688" s="6" t="s">
        <v>411</v>
      </c>
      <c r="B688" s="7" t="str">
        <f>Odds_Input!C450</f>
        <v>David Adelman</v>
      </c>
      <c r="C688" s="6" t="s">
        <v>33</v>
      </c>
      <c r="D688" s="7" t="str">
        <f>Odds_Input!D450</f>
        <v>YES</v>
      </c>
      <c r="E688" s="31" t="str">
        <f>Odds_Input!E450</f>
        <v>-</v>
      </c>
      <c r="F688" s="32">
        <f>Odds_Input!F450</f>
        <v>2500</v>
      </c>
      <c r="G688" s="36">
        <f>M_DeVig!H450</f>
        <v>26</v>
      </c>
      <c r="H688" s="7" t="str">
        <f>Odds_Input!G450</f>
        <v>-</v>
      </c>
      <c r="I688" s="42">
        <f>M_DeVig!Q450</f>
        <v>2.5661904317763325E-2</v>
      </c>
      <c r="J688" s="13" t="s">
        <v>33</v>
      </c>
      <c r="K688" s="43">
        <f t="shared" si="136"/>
        <v>3796.8269369931131</v>
      </c>
      <c r="L688" s="13" t="s">
        <v>33</v>
      </c>
      <c r="M688" s="13" t="s">
        <v>33</v>
      </c>
      <c r="N688" s="13" t="s">
        <v>33</v>
      </c>
      <c r="O688" s="13" t="s">
        <v>33</v>
      </c>
      <c r="P688" s="13" t="s">
        <v>33</v>
      </c>
      <c r="Q688" s="13" t="s">
        <v>33</v>
      </c>
      <c r="R688" s="13" t="s">
        <v>33</v>
      </c>
      <c r="S688" s="13" t="s">
        <v>33</v>
      </c>
      <c r="T688" s="13" t="s">
        <v>33</v>
      </c>
      <c r="U688" s="13" t="s">
        <v>33</v>
      </c>
      <c r="V688" s="13" t="s">
        <v>33</v>
      </c>
      <c r="W688" s="6" t="b">
        <v>0</v>
      </c>
      <c r="X688" s="6" t="s">
        <v>1301</v>
      </c>
      <c r="Y688" s="6" t="s">
        <v>1326</v>
      </c>
      <c r="Z688" s="6">
        <v>442</v>
      </c>
      <c r="AA688" s="7" t="str">
        <f t="shared" si="137"/>
        <v>OK - sims match current assumptions</v>
      </c>
      <c r="AB688" s="13" t="s">
        <v>33</v>
      </c>
      <c r="AC688" s="13" t="s">
        <v>33</v>
      </c>
      <c r="AD688" s="13" t="s">
        <v>33</v>
      </c>
      <c r="AE688" s="13" t="s">
        <v>33</v>
      </c>
      <c r="AF688" s="13" t="s">
        <v>33</v>
      </c>
      <c r="AG688" s="13" t="s">
        <v>33</v>
      </c>
      <c r="AH688" s="6" t="b">
        <v>0</v>
      </c>
      <c r="AI688" s="13" t="s">
        <v>33</v>
      </c>
      <c r="AJ688" s="13" t="s">
        <v>33</v>
      </c>
      <c r="AK688" s="13" t="s">
        <v>33</v>
      </c>
      <c r="AL688" s="6">
        <v>0</v>
      </c>
      <c r="AM688" s="13" t="s">
        <v>33</v>
      </c>
    </row>
    <row r="689" spans="1:39" ht="15" customHeight="1" x14ac:dyDescent="0.3">
      <c r="A689" s="6" t="s">
        <v>411</v>
      </c>
      <c r="B689" s="7" t="str">
        <f>Odds_Input!C451</f>
        <v>Charles Lee</v>
      </c>
      <c r="C689" s="6" t="s">
        <v>33</v>
      </c>
      <c r="D689" s="7" t="str">
        <f>Odds_Input!D451</f>
        <v>YES</v>
      </c>
      <c r="E689" s="31" t="str">
        <f>Odds_Input!E451</f>
        <v>-</v>
      </c>
      <c r="F689" s="32">
        <f>Odds_Input!F451</f>
        <v>2500</v>
      </c>
      <c r="G689" s="36">
        <f>M_DeVig!H451</f>
        <v>26</v>
      </c>
      <c r="H689" s="7" t="str">
        <f>Odds_Input!G451</f>
        <v>-</v>
      </c>
      <c r="I689" s="42">
        <f>M_DeVig!Q451</f>
        <v>2.5661904317763325E-2</v>
      </c>
      <c r="J689" s="13" t="s">
        <v>33</v>
      </c>
      <c r="K689" s="43">
        <f t="shared" si="136"/>
        <v>3796.8269369931131</v>
      </c>
      <c r="L689" s="13" t="s">
        <v>33</v>
      </c>
      <c r="M689" s="13" t="s">
        <v>33</v>
      </c>
      <c r="N689" s="13" t="s">
        <v>33</v>
      </c>
      <c r="O689" s="13" t="s">
        <v>33</v>
      </c>
      <c r="P689" s="13" t="s">
        <v>33</v>
      </c>
      <c r="Q689" s="13" t="s">
        <v>33</v>
      </c>
      <c r="R689" s="13" t="s">
        <v>33</v>
      </c>
      <c r="S689" s="13" t="s">
        <v>33</v>
      </c>
      <c r="T689" s="13" t="s">
        <v>33</v>
      </c>
      <c r="U689" s="13" t="s">
        <v>33</v>
      </c>
      <c r="V689" s="13" t="s">
        <v>33</v>
      </c>
      <c r="W689" s="6" t="b">
        <v>0</v>
      </c>
      <c r="X689" s="6" t="s">
        <v>1301</v>
      </c>
      <c r="Y689" s="6" t="s">
        <v>1326</v>
      </c>
      <c r="Z689" s="6">
        <v>443</v>
      </c>
      <c r="AA689" s="7" t="str">
        <f t="shared" si="137"/>
        <v>OK - sims match current assumptions</v>
      </c>
      <c r="AB689" s="13" t="s">
        <v>33</v>
      </c>
      <c r="AC689" s="13" t="s">
        <v>33</v>
      </c>
      <c r="AD689" s="13" t="s">
        <v>33</v>
      </c>
      <c r="AE689" s="13" t="s">
        <v>33</v>
      </c>
      <c r="AF689" s="13" t="s">
        <v>33</v>
      </c>
      <c r="AG689" s="13" t="s">
        <v>33</v>
      </c>
      <c r="AH689" s="6" t="b">
        <v>0</v>
      </c>
      <c r="AI689" s="13" t="s">
        <v>33</v>
      </c>
      <c r="AJ689" s="13" t="s">
        <v>33</v>
      </c>
      <c r="AK689" s="13" t="s">
        <v>33</v>
      </c>
      <c r="AL689" s="6">
        <v>0</v>
      </c>
      <c r="AM689" s="13" t="s">
        <v>33</v>
      </c>
    </row>
    <row r="690" spans="1:39" ht="15" customHeight="1" x14ac:dyDescent="0.3">
      <c r="A690" s="6" t="s">
        <v>411</v>
      </c>
      <c r="B690" s="7" t="str">
        <f>Odds_Input!C452</f>
        <v>Jordan Ott</v>
      </c>
      <c r="C690" s="6" t="s">
        <v>33</v>
      </c>
      <c r="D690" s="7" t="str">
        <f>Odds_Input!D452</f>
        <v>YES</v>
      </c>
      <c r="E690" s="31" t="str">
        <f>Odds_Input!E452</f>
        <v>-</v>
      </c>
      <c r="F690" s="32">
        <f>Odds_Input!F452</f>
        <v>3300</v>
      </c>
      <c r="G690" s="36">
        <f>M_DeVig!H452</f>
        <v>34</v>
      </c>
      <c r="H690" s="7" t="str">
        <f>Odds_Input!G452</f>
        <v>-</v>
      </c>
      <c r="I690" s="42">
        <f>M_DeVig!Q452</f>
        <v>1.8287785722500748E-2</v>
      </c>
      <c r="J690" s="13" t="s">
        <v>33</v>
      </c>
      <c r="K690" s="43">
        <f t="shared" si="136"/>
        <v>5368.1305608782905</v>
      </c>
      <c r="L690" s="13" t="s">
        <v>33</v>
      </c>
      <c r="M690" s="13" t="s">
        <v>33</v>
      </c>
      <c r="N690" s="13" t="s">
        <v>33</v>
      </c>
      <c r="O690" s="13" t="s">
        <v>33</v>
      </c>
      <c r="P690" s="13" t="s">
        <v>33</v>
      </c>
      <c r="Q690" s="13" t="s">
        <v>33</v>
      </c>
      <c r="R690" s="13" t="s">
        <v>33</v>
      </c>
      <c r="S690" s="13" t="s">
        <v>33</v>
      </c>
      <c r="T690" s="13" t="s">
        <v>33</v>
      </c>
      <c r="U690" s="13" t="s">
        <v>33</v>
      </c>
      <c r="V690" s="13" t="s">
        <v>33</v>
      </c>
      <c r="W690" s="6" t="b">
        <v>0</v>
      </c>
      <c r="X690" s="6" t="s">
        <v>1301</v>
      </c>
      <c r="Y690" s="6" t="s">
        <v>1326</v>
      </c>
      <c r="Z690" s="6">
        <v>444</v>
      </c>
      <c r="AA690" s="7" t="str">
        <f t="shared" si="137"/>
        <v>OK - sims match current assumptions</v>
      </c>
      <c r="AB690" s="13" t="s">
        <v>33</v>
      </c>
      <c r="AC690" s="13" t="s">
        <v>33</v>
      </c>
      <c r="AD690" s="13" t="s">
        <v>33</v>
      </c>
      <c r="AE690" s="13" t="s">
        <v>33</v>
      </c>
      <c r="AF690" s="13" t="s">
        <v>33</v>
      </c>
      <c r="AG690" s="13" t="s">
        <v>33</v>
      </c>
      <c r="AH690" s="6" t="b">
        <v>0</v>
      </c>
      <c r="AI690" s="13" t="s">
        <v>33</v>
      </c>
      <c r="AJ690" s="13" t="s">
        <v>33</v>
      </c>
      <c r="AK690" s="13" t="s">
        <v>33</v>
      </c>
      <c r="AL690" s="6">
        <v>0</v>
      </c>
      <c r="AM690" s="13" t="s">
        <v>33</v>
      </c>
    </row>
    <row r="691" spans="1:39" ht="15" customHeight="1" x14ac:dyDescent="0.3">
      <c r="A691" s="6" t="s">
        <v>411</v>
      </c>
      <c r="B691" s="7" t="str">
        <f>Odds_Input!C453</f>
        <v>Joe Mazzulla</v>
      </c>
      <c r="C691" s="6" t="s">
        <v>33</v>
      </c>
      <c r="D691" s="7" t="str">
        <f>Odds_Input!D453</f>
        <v>YES</v>
      </c>
      <c r="E691" s="31" t="str">
        <f>Odds_Input!E453</f>
        <v>-</v>
      </c>
      <c r="F691" s="32">
        <f>Odds_Input!F453</f>
        <v>3300</v>
      </c>
      <c r="G691" s="36">
        <f>M_DeVig!H453</f>
        <v>34</v>
      </c>
      <c r="H691" s="7" t="str">
        <f>Odds_Input!G453</f>
        <v>-</v>
      </c>
      <c r="I691" s="42">
        <f>M_DeVig!Q453</f>
        <v>1.8287785722500748E-2</v>
      </c>
      <c r="J691" s="13" t="s">
        <v>33</v>
      </c>
      <c r="K691" s="43">
        <f t="shared" si="136"/>
        <v>5368.1305608782905</v>
      </c>
      <c r="L691" s="13" t="s">
        <v>33</v>
      </c>
      <c r="M691" s="13" t="s">
        <v>33</v>
      </c>
      <c r="N691" s="13" t="s">
        <v>33</v>
      </c>
      <c r="O691" s="13" t="s">
        <v>33</v>
      </c>
      <c r="P691" s="13" t="s">
        <v>33</v>
      </c>
      <c r="Q691" s="13" t="s">
        <v>33</v>
      </c>
      <c r="R691" s="13" t="s">
        <v>33</v>
      </c>
      <c r="S691" s="13" t="s">
        <v>33</v>
      </c>
      <c r="T691" s="13" t="s">
        <v>33</v>
      </c>
      <c r="U691" s="13" t="s">
        <v>33</v>
      </c>
      <c r="V691" s="13" t="s">
        <v>33</v>
      </c>
      <c r="W691" s="6" t="b">
        <v>0</v>
      </c>
      <c r="X691" s="6" t="s">
        <v>1301</v>
      </c>
      <c r="Y691" s="6" t="s">
        <v>1326</v>
      </c>
      <c r="Z691" s="6">
        <v>445</v>
      </c>
      <c r="AA691" s="7" t="str">
        <f t="shared" si="137"/>
        <v>OK - sims match current assumptions</v>
      </c>
      <c r="AB691" s="13" t="s">
        <v>33</v>
      </c>
      <c r="AC691" s="13" t="s">
        <v>33</v>
      </c>
      <c r="AD691" s="13" t="s">
        <v>33</v>
      </c>
      <c r="AE691" s="13" t="s">
        <v>33</v>
      </c>
      <c r="AF691" s="13" t="s">
        <v>33</v>
      </c>
      <c r="AG691" s="13" t="s">
        <v>33</v>
      </c>
      <c r="AH691" s="6" t="b">
        <v>0</v>
      </c>
      <c r="AI691" s="13" t="s">
        <v>33</v>
      </c>
      <c r="AJ691" s="13" t="s">
        <v>33</v>
      </c>
      <c r="AK691" s="13" t="s">
        <v>33</v>
      </c>
      <c r="AL691" s="6">
        <v>0</v>
      </c>
      <c r="AM691" s="13" t="s">
        <v>33</v>
      </c>
    </row>
    <row r="692" spans="1:39" ht="15" customHeight="1" x14ac:dyDescent="0.3">
      <c r="A692" s="6" t="s">
        <v>411</v>
      </c>
      <c r="B692" s="7" t="str">
        <f>Odds_Input!C454</f>
        <v>Tuomas Lisalo</v>
      </c>
      <c r="C692" s="6" t="s">
        <v>33</v>
      </c>
      <c r="D692" s="7" t="str">
        <f>Odds_Input!D454</f>
        <v>YES</v>
      </c>
      <c r="E692" s="31" t="str">
        <f>Odds_Input!E454</f>
        <v>-</v>
      </c>
      <c r="F692" s="32">
        <f>Odds_Input!F454</f>
        <v>4000</v>
      </c>
      <c r="G692" s="36">
        <f>M_DeVig!H454</f>
        <v>41</v>
      </c>
      <c r="H692" s="7" t="str">
        <f>Odds_Input!G454</f>
        <v>-</v>
      </c>
      <c r="I692" s="42">
        <f>M_DeVig!Q454</f>
        <v>1.4274871214571935E-2</v>
      </c>
      <c r="J692" s="13" t="s">
        <v>33</v>
      </c>
      <c r="K692" s="43">
        <f t="shared" si="136"/>
        <v>6905.3171406491556</v>
      </c>
      <c r="L692" s="13" t="s">
        <v>33</v>
      </c>
      <c r="M692" s="13" t="s">
        <v>33</v>
      </c>
      <c r="N692" s="13" t="s">
        <v>33</v>
      </c>
      <c r="O692" s="13" t="s">
        <v>33</v>
      </c>
      <c r="P692" s="13" t="s">
        <v>33</v>
      </c>
      <c r="Q692" s="13" t="s">
        <v>33</v>
      </c>
      <c r="R692" s="13" t="s">
        <v>33</v>
      </c>
      <c r="S692" s="13" t="s">
        <v>33</v>
      </c>
      <c r="T692" s="13" t="s">
        <v>33</v>
      </c>
      <c r="U692" s="13" t="s">
        <v>33</v>
      </c>
      <c r="V692" s="13" t="s">
        <v>33</v>
      </c>
      <c r="W692" s="6" t="b">
        <v>0</v>
      </c>
      <c r="X692" s="6" t="s">
        <v>1301</v>
      </c>
      <c r="Y692" s="6" t="s">
        <v>1326</v>
      </c>
      <c r="Z692" s="6">
        <v>446</v>
      </c>
      <c r="AA692" s="7" t="str">
        <f t="shared" si="137"/>
        <v>OK - sims match current assumptions</v>
      </c>
      <c r="AB692" s="13" t="s">
        <v>33</v>
      </c>
      <c r="AC692" s="13" t="s">
        <v>33</v>
      </c>
      <c r="AD692" s="13" t="s">
        <v>33</v>
      </c>
      <c r="AE692" s="13" t="s">
        <v>33</v>
      </c>
      <c r="AF692" s="13" t="s">
        <v>33</v>
      </c>
      <c r="AG692" s="13" t="s">
        <v>33</v>
      </c>
      <c r="AH692" s="6" t="b">
        <v>0</v>
      </c>
      <c r="AI692" s="13" t="s">
        <v>33</v>
      </c>
      <c r="AJ692" s="13" t="s">
        <v>33</v>
      </c>
      <c r="AK692" s="13" t="s">
        <v>33</v>
      </c>
      <c r="AL692" s="6">
        <v>0</v>
      </c>
      <c r="AM692" s="13" t="s">
        <v>33</v>
      </c>
    </row>
    <row r="693" spans="1:39" ht="15" customHeight="1" x14ac:dyDescent="0.3">
      <c r="A693" s="6" t="s">
        <v>411</v>
      </c>
      <c r="B693" s="7" t="str">
        <f>Odds_Input!C455</f>
        <v>Jordi Fernandez</v>
      </c>
      <c r="C693" s="6" t="s">
        <v>33</v>
      </c>
      <c r="D693" s="7" t="str">
        <f>Odds_Input!D455</f>
        <v>YES</v>
      </c>
      <c r="E693" s="31" t="str">
        <f>Odds_Input!E455</f>
        <v>-</v>
      </c>
      <c r="F693" s="32">
        <f>Odds_Input!F455</f>
        <v>4000</v>
      </c>
      <c r="G693" s="36">
        <f>M_DeVig!H455</f>
        <v>41</v>
      </c>
      <c r="H693" s="7" t="str">
        <f>Odds_Input!G455</f>
        <v>-</v>
      </c>
      <c r="I693" s="42">
        <f>M_DeVig!Q455</f>
        <v>1.4274871214571935E-2</v>
      </c>
      <c r="J693" s="13" t="s">
        <v>33</v>
      </c>
      <c r="K693" s="43">
        <f t="shared" si="136"/>
        <v>6905.3171406491556</v>
      </c>
      <c r="L693" s="13" t="s">
        <v>33</v>
      </c>
      <c r="M693" s="13" t="s">
        <v>33</v>
      </c>
      <c r="N693" s="13" t="s">
        <v>33</v>
      </c>
      <c r="O693" s="13" t="s">
        <v>33</v>
      </c>
      <c r="P693" s="13" t="s">
        <v>33</v>
      </c>
      <c r="Q693" s="13" t="s">
        <v>33</v>
      </c>
      <c r="R693" s="13" t="s">
        <v>33</v>
      </c>
      <c r="S693" s="13" t="s">
        <v>33</v>
      </c>
      <c r="T693" s="13" t="s">
        <v>33</v>
      </c>
      <c r="U693" s="13" t="s">
        <v>33</v>
      </c>
      <c r="V693" s="13" t="s">
        <v>33</v>
      </c>
      <c r="W693" s="6" t="b">
        <v>0</v>
      </c>
      <c r="X693" s="6" t="s">
        <v>1301</v>
      </c>
      <c r="Y693" s="6" t="s">
        <v>1326</v>
      </c>
      <c r="Z693" s="6">
        <v>447</v>
      </c>
      <c r="AA693" s="7" t="str">
        <f t="shared" si="137"/>
        <v>OK - sims match current assumptions</v>
      </c>
      <c r="AB693" s="13" t="s">
        <v>33</v>
      </c>
      <c r="AC693" s="13" t="s">
        <v>33</v>
      </c>
      <c r="AD693" s="13" t="s">
        <v>33</v>
      </c>
      <c r="AE693" s="13" t="s">
        <v>33</v>
      </c>
      <c r="AF693" s="13" t="s">
        <v>33</v>
      </c>
      <c r="AG693" s="13" t="s">
        <v>33</v>
      </c>
      <c r="AH693" s="6" t="b">
        <v>0</v>
      </c>
      <c r="AI693" s="13" t="s">
        <v>33</v>
      </c>
      <c r="AJ693" s="13" t="s">
        <v>33</v>
      </c>
      <c r="AK693" s="13" t="s">
        <v>33</v>
      </c>
      <c r="AL693" s="6">
        <v>0</v>
      </c>
      <c r="AM693" s="13" t="s">
        <v>33</v>
      </c>
    </row>
    <row r="694" spans="1:39" ht="15" customHeight="1" x14ac:dyDescent="0.3">
      <c r="A694" s="6" t="s">
        <v>411</v>
      </c>
      <c r="B694" s="7" t="str">
        <f>Odds_Input!C456</f>
        <v>Taylor Jenkins</v>
      </c>
      <c r="C694" s="6" t="s">
        <v>33</v>
      </c>
      <c r="D694" s="7" t="str">
        <f>Odds_Input!D456</f>
        <v>YES</v>
      </c>
      <c r="E694" s="31" t="str">
        <f>Odds_Input!E456</f>
        <v>-</v>
      </c>
      <c r="F694" s="32">
        <f>Odds_Input!F456</f>
        <v>5000</v>
      </c>
      <c r="G694" s="36">
        <f>M_DeVig!H456</f>
        <v>51</v>
      </c>
      <c r="H694" s="7" t="str">
        <f>Odds_Input!G456</f>
        <v>-</v>
      </c>
      <c r="I694" s="42">
        <f>M_DeVig!Q456</f>
        <v>1.0548671006010125E-2</v>
      </c>
      <c r="J694" s="13" t="s">
        <v>33</v>
      </c>
      <c r="K694" s="43">
        <f t="shared" si="136"/>
        <v>9379.8671740757491</v>
      </c>
      <c r="L694" s="13" t="s">
        <v>33</v>
      </c>
      <c r="M694" s="13" t="s">
        <v>33</v>
      </c>
      <c r="N694" s="13" t="s">
        <v>33</v>
      </c>
      <c r="O694" s="13" t="s">
        <v>33</v>
      </c>
      <c r="P694" s="13" t="s">
        <v>33</v>
      </c>
      <c r="Q694" s="13" t="s">
        <v>33</v>
      </c>
      <c r="R694" s="13" t="s">
        <v>33</v>
      </c>
      <c r="S694" s="13" t="s">
        <v>33</v>
      </c>
      <c r="T694" s="13" t="s">
        <v>33</v>
      </c>
      <c r="U694" s="13" t="s">
        <v>33</v>
      </c>
      <c r="V694" s="13" t="s">
        <v>33</v>
      </c>
      <c r="W694" s="6" t="b">
        <v>0</v>
      </c>
      <c r="X694" s="6" t="s">
        <v>1301</v>
      </c>
      <c r="Y694" s="6" t="s">
        <v>1326</v>
      </c>
      <c r="Z694" s="6">
        <v>448</v>
      </c>
      <c r="AA694" s="7" t="str">
        <f t="shared" si="137"/>
        <v>OK - sims match current assumptions</v>
      </c>
      <c r="AB694" s="13" t="s">
        <v>33</v>
      </c>
      <c r="AC694" s="13" t="s">
        <v>33</v>
      </c>
      <c r="AD694" s="13" t="s">
        <v>33</v>
      </c>
      <c r="AE694" s="13" t="s">
        <v>33</v>
      </c>
      <c r="AF694" s="13" t="s">
        <v>33</v>
      </c>
      <c r="AG694" s="13" t="s">
        <v>33</v>
      </c>
      <c r="AH694" s="6" t="b">
        <v>0</v>
      </c>
      <c r="AI694" s="13" t="s">
        <v>33</v>
      </c>
      <c r="AJ694" s="13" t="s">
        <v>33</v>
      </c>
      <c r="AK694" s="13" t="s">
        <v>33</v>
      </c>
      <c r="AL694" s="6">
        <v>0</v>
      </c>
      <c r="AM694" s="13" t="s">
        <v>33</v>
      </c>
    </row>
    <row r="695" spans="1:39" ht="15" customHeight="1" x14ac:dyDescent="0.3">
      <c r="A695" s="6" t="s">
        <v>411</v>
      </c>
      <c r="B695" s="7" t="str">
        <f>Odds_Input!C457</f>
        <v>Tyronn Lue</v>
      </c>
      <c r="C695" s="6" t="s">
        <v>33</v>
      </c>
      <c r="D695" s="7" t="str">
        <f>Odds_Input!D457</f>
        <v>YES</v>
      </c>
      <c r="E695" s="31" t="str">
        <f>Odds_Input!E457</f>
        <v>-</v>
      </c>
      <c r="F695" s="32">
        <f>Odds_Input!F457</f>
        <v>6000</v>
      </c>
      <c r="G695" s="36">
        <f>M_DeVig!H457</f>
        <v>61</v>
      </c>
      <c r="H695" s="7" t="str">
        <f>Odds_Input!G457</f>
        <v>-</v>
      </c>
      <c r="I695" s="42">
        <f>M_DeVig!Q457</f>
        <v>8.1302679676163413E-3</v>
      </c>
      <c r="J695" s="13" t="s">
        <v>33</v>
      </c>
      <c r="K695" s="43">
        <f t="shared" si="136"/>
        <v>12199.717598277186</v>
      </c>
      <c r="L695" s="13" t="s">
        <v>33</v>
      </c>
      <c r="M695" s="13" t="s">
        <v>33</v>
      </c>
      <c r="N695" s="13" t="s">
        <v>33</v>
      </c>
      <c r="O695" s="13" t="s">
        <v>33</v>
      </c>
      <c r="P695" s="13" t="s">
        <v>33</v>
      </c>
      <c r="Q695" s="13" t="s">
        <v>33</v>
      </c>
      <c r="R695" s="13" t="s">
        <v>33</v>
      </c>
      <c r="S695" s="13" t="s">
        <v>33</v>
      </c>
      <c r="T695" s="13" t="s">
        <v>33</v>
      </c>
      <c r="U695" s="13" t="s">
        <v>33</v>
      </c>
      <c r="V695" s="13" t="s">
        <v>33</v>
      </c>
      <c r="W695" s="6" t="b">
        <v>0</v>
      </c>
      <c r="X695" s="6" t="s">
        <v>1301</v>
      </c>
      <c r="Y695" s="6" t="s">
        <v>1326</v>
      </c>
      <c r="Z695" s="6">
        <v>449</v>
      </c>
      <c r="AA695" s="7" t="str">
        <f t="shared" si="137"/>
        <v>OK - sims match current assumptions</v>
      </c>
      <c r="AB695" s="13" t="s">
        <v>33</v>
      </c>
      <c r="AC695" s="13" t="s">
        <v>33</v>
      </c>
      <c r="AD695" s="13" t="s">
        <v>33</v>
      </c>
      <c r="AE695" s="13" t="s">
        <v>33</v>
      </c>
      <c r="AF695" s="13" t="s">
        <v>33</v>
      </c>
      <c r="AG695" s="13" t="s">
        <v>33</v>
      </c>
      <c r="AH695" s="6" t="b">
        <v>0</v>
      </c>
      <c r="AI695" s="13" t="s">
        <v>33</v>
      </c>
      <c r="AJ695" s="13" t="s">
        <v>33</v>
      </c>
      <c r="AK695" s="13" t="s">
        <v>33</v>
      </c>
      <c r="AL695" s="6">
        <v>0</v>
      </c>
      <c r="AM695" s="13" t="s">
        <v>33</v>
      </c>
    </row>
    <row r="696" spans="1:39" ht="15" customHeight="1" x14ac:dyDescent="0.3">
      <c r="A696" s="6" t="s">
        <v>411</v>
      </c>
      <c r="B696" s="7" t="str">
        <f>Odds_Input!C458</f>
        <v>Jamahl Mosley</v>
      </c>
      <c r="C696" s="6" t="s">
        <v>33</v>
      </c>
      <c r="D696" s="7" t="str">
        <f>Odds_Input!D458</f>
        <v>YES</v>
      </c>
      <c r="E696" s="31" t="str">
        <f>Odds_Input!E458</f>
        <v>-</v>
      </c>
      <c r="F696" s="32">
        <f>Odds_Input!F458</f>
        <v>6000</v>
      </c>
      <c r="G696" s="36">
        <f>M_DeVig!H458</f>
        <v>61</v>
      </c>
      <c r="H696" s="7" t="str">
        <f>Odds_Input!G458</f>
        <v>-</v>
      </c>
      <c r="I696" s="42">
        <f>M_DeVig!Q458</f>
        <v>8.1302679676163413E-3</v>
      </c>
      <c r="J696" s="13" t="s">
        <v>33</v>
      </c>
      <c r="K696" s="43">
        <f t="shared" si="136"/>
        <v>12199.717598277186</v>
      </c>
      <c r="L696" s="13" t="s">
        <v>33</v>
      </c>
      <c r="M696" s="13" t="s">
        <v>33</v>
      </c>
      <c r="N696" s="13" t="s">
        <v>33</v>
      </c>
      <c r="O696" s="13" t="s">
        <v>33</v>
      </c>
      <c r="P696" s="13" t="s">
        <v>33</v>
      </c>
      <c r="Q696" s="13" t="s">
        <v>33</v>
      </c>
      <c r="R696" s="13" t="s">
        <v>33</v>
      </c>
      <c r="S696" s="13" t="s">
        <v>33</v>
      </c>
      <c r="T696" s="13" t="s">
        <v>33</v>
      </c>
      <c r="U696" s="13" t="s">
        <v>33</v>
      </c>
      <c r="V696" s="13" t="s">
        <v>33</v>
      </c>
      <c r="W696" s="6" t="b">
        <v>0</v>
      </c>
      <c r="X696" s="6" t="s">
        <v>1301</v>
      </c>
      <c r="Y696" s="6" t="s">
        <v>1326</v>
      </c>
      <c r="Z696" s="6">
        <v>450</v>
      </c>
      <c r="AA696" s="7" t="str">
        <f t="shared" si="137"/>
        <v>OK - sims match current assumptions</v>
      </c>
      <c r="AB696" s="13" t="s">
        <v>33</v>
      </c>
      <c r="AC696" s="13" t="s">
        <v>33</v>
      </c>
      <c r="AD696" s="13" t="s">
        <v>33</v>
      </c>
      <c r="AE696" s="13" t="s">
        <v>33</v>
      </c>
      <c r="AF696" s="13" t="s">
        <v>33</v>
      </c>
      <c r="AG696" s="13" t="s">
        <v>33</v>
      </c>
      <c r="AH696" s="6" t="b">
        <v>0</v>
      </c>
      <c r="AI696" s="13" t="s">
        <v>33</v>
      </c>
      <c r="AJ696" s="13" t="s">
        <v>33</v>
      </c>
      <c r="AK696" s="13" t="s">
        <v>33</v>
      </c>
      <c r="AL696" s="6">
        <v>0</v>
      </c>
      <c r="AM696" s="13" t="s">
        <v>33</v>
      </c>
    </row>
    <row r="697" spans="1:39" ht="15" customHeight="1" x14ac:dyDescent="0.3">
      <c r="A697" s="6" t="s">
        <v>411</v>
      </c>
      <c r="B697" s="7" t="str">
        <f>Odds_Input!C459</f>
        <v>Doug Christie</v>
      </c>
      <c r="C697" s="6" t="s">
        <v>33</v>
      </c>
      <c r="D697" s="7" t="str">
        <f>Odds_Input!D459</f>
        <v>YES</v>
      </c>
      <c r="E697" s="31" t="str">
        <f>Odds_Input!E459</f>
        <v>-</v>
      </c>
      <c r="F697" s="32">
        <f>Odds_Input!F459</f>
        <v>8000</v>
      </c>
      <c r="G697" s="36">
        <f>M_DeVig!H459</f>
        <v>81</v>
      </c>
      <c r="H697" s="7" t="str">
        <f>Odds_Input!G459</f>
        <v>-</v>
      </c>
      <c r="I697" s="42">
        <f>M_DeVig!Q459</f>
        <v>5.2524061264333467E-3</v>
      </c>
      <c r="J697" s="13" t="s">
        <v>33</v>
      </c>
      <c r="K697" s="43">
        <f t="shared" si="136"/>
        <v>18938.893336282268</v>
      </c>
      <c r="L697" s="13" t="s">
        <v>33</v>
      </c>
      <c r="M697" s="13" t="s">
        <v>33</v>
      </c>
      <c r="N697" s="13" t="s">
        <v>33</v>
      </c>
      <c r="O697" s="13" t="s">
        <v>33</v>
      </c>
      <c r="P697" s="13" t="s">
        <v>33</v>
      </c>
      <c r="Q697" s="13" t="s">
        <v>33</v>
      </c>
      <c r="R697" s="13" t="s">
        <v>33</v>
      </c>
      <c r="S697" s="13" t="s">
        <v>33</v>
      </c>
      <c r="T697" s="13" t="s">
        <v>33</v>
      </c>
      <c r="U697" s="13" t="s">
        <v>33</v>
      </c>
      <c r="V697" s="13" t="s">
        <v>33</v>
      </c>
      <c r="W697" s="6" t="b">
        <v>0</v>
      </c>
      <c r="X697" s="6" t="s">
        <v>1301</v>
      </c>
      <c r="Y697" s="6" t="s">
        <v>1326</v>
      </c>
      <c r="Z697" s="6">
        <v>451</v>
      </c>
      <c r="AA697" s="7" t="str">
        <f t="shared" si="137"/>
        <v>OK - sims match current assumptions</v>
      </c>
      <c r="AB697" s="13" t="s">
        <v>33</v>
      </c>
      <c r="AC697" s="13" t="s">
        <v>33</v>
      </c>
      <c r="AD697" s="13" t="s">
        <v>33</v>
      </c>
      <c r="AE697" s="13" t="s">
        <v>33</v>
      </c>
      <c r="AF697" s="13" t="s">
        <v>33</v>
      </c>
      <c r="AG697" s="13" t="s">
        <v>33</v>
      </c>
      <c r="AH697" s="6" t="b">
        <v>0</v>
      </c>
      <c r="AI697" s="13" t="s">
        <v>33</v>
      </c>
      <c r="AJ697" s="13" t="s">
        <v>33</v>
      </c>
      <c r="AK697" s="13" t="s">
        <v>33</v>
      </c>
      <c r="AL697" s="6">
        <v>0</v>
      </c>
      <c r="AM697" s="13" t="s">
        <v>33</v>
      </c>
    </row>
    <row r="698" spans="1:39" ht="15" customHeight="1" x14ac:dyDescent="0.3"/>
    <row r="699" spans="1:39" ht="15" customHeight="1" x14ac:dyDescent="0.3">
      <c r="A699" s="48" t="s">
        <v>442</v>
      </c>
      <c r="B699" s="49" t="s">
        <v>1338</v>
      </c>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row>
    <row r="700" spans="1:39" ht="15" customHeight="1" x14ac:dyDescent="0.3">
      <c r="A700" s="6" t="s">
        <v>442</v>
      </c>
      <c r="B700" s="7" t="str">
        <f>Odds_Input!C460</f>
        <v>Shai Gilgeous Alexander</v>
      </c>
      <c r="C700" s="6" t="s">
        <v>33</v>
      </c>
      <c r="D700" s="7" t="str">
        <f>Odds_Input!D460</f>
        <v>YES</v>
      </c>
      <c r="E700" s="31" t="str">
        <f>Odds_Input!E460</f>
        <v>-</v>
      </c>
      <c r="F700" s="32">
        <f>Odds_Input!F460</f>
        <v>800</v>
      </c>
      <c r="G700" s="36">
        <f>M_DeVig!H460</f>
        <v>9</v>
      </c>
      <c r="H700" s="7" t="str">
        <f>Odds_Input!G460</f>
        <v>-</v>
      </c>
      <c r="I700" s="42">
        <f>M_DeVig!Q460</f>
        <v>0.10907991198447935</v>
      </c>
      <c r="J700" s="13" t="s">
        <v>33</v>
      </c>
      <c r="K700" s="43">
        <f t="shared" ref="K700:K719" si="138">IF(I700&gt;=0.5,-100*I700/(1-I700),100*(1-I700)/I700)</f>
        <v>816.7590822243119</v>
      </c>
      <c r="L700" s="13" t="s">
        <v>33</v>
      </c>
      <c r="M700" s="13" t="s">
        <v>33</v>
      </c>
      <c r="N700" s="13" t="s">
        <v>33</v>
      </c>
      <c r="O700" s="13" t="s">
        <v>33</v>
      </c>
      <c r="P700" s="13" t="s">
        <v>33</v>
      </c>
      <c r="Q700" s="13" t="s">
        <v>33</v>
      </c>
      <c r="R700" s="13" t="s">
        <v>33</v>
      </c>
      <c r="S700" s="13" t="s">
        <v>33</v>
      </c>
      <c r="T700" s="13" t="s">
        <v>33</v>
      </c>
      <c r="U700" s="13" t="s">
        <v>33</v>
      </c>
      <c r="V700" s="13" t="s">
        <v>33</v>
      </c>
      <c r="W700" s="6" t="b">
        <v>0</v>
      </c>
      <c r="X700" s="6" t="s">
        <v>1301</v>
      </c>
      <c r="Y700" s="6" t="s">
        <v>1326</v>
      </c>
      <c r="Z700" s="6">
        <v>452</v>
      </c>
      <c r="AA700" s="7" t="str">
        <f t="shared" ref="AA700:AA719" si="139">Sim_Stale</f>
        <v>OK - sims match current assumptions</v>
      </c>
      <c r="AB700" s="13" t="s">
        <v>33</v>
      </c>
      <c r="AC700" s="13" t="s">
        <v>33</v>
      </c>
      <c r="AD700" s="13" t="s">
        <v>33</v>
      </c>
      <c r="AE700" s="13" t="s">
        <v>33</v>
      </c>
      <c r="AF700" s="13" t="s">
        <v>33</v>
      </c>
      <c r="AG700" s="13" t="s">
        <v>33</v>
      </c>
      <c r="AH700" s="6" t="b">
        <v>0</v>
      </c>
      <c r="AI700" s="13" t="s">
        <v>33</v>
      </c>
      <c r="AJ700" s="13" t="s">
        <v>33</v>
      </c>
      <c r="AK700" s="13" t="s">
        <v>33</v>
      </c>
      <c r="AL700" s="6">
        <v>0</v>
      </c>
      <c r="AM700" s="13" t="s">
        <v>33</v>
      </c>
    </row>
    <row r="701" spans="1:39" ht="15" customHeight="1" x14ac:dyDescent="0.3">
      <c r="A701" s="6" t="s">
        <v>442</v>
      </c>
      <c r="B701" s="7" t="str">
        <f>Odds_Input!C461</f>
        <v>Jalen Brunson</v>
      </c>
      <c r="C701" s="6" t="s">
        <v>33</v>
      </c>
      <c r="D701" s="7" t="str">
        <f>Odds_Input!D461</f>
        <v>YES</v>
      </c>
      <c r="E701" s="31" t="str">
        <f>Odds_Input!E461</f>
        <v>-</v>
      </c>
      <c r="F701" s="32">
        <f>Odds_Input!F461</f>
        <v>700</v>
      </c>
      <c r="G701" s="36">
        <f>M_DeVig!H461</f>
        <v>8</v>
      </c>
      <c r="H701" s="7" t="str">
        <f>Odds_Input!G461</f>
        <v>-</v>
      </c>
      <c r="I701" s="42">
        <f>M_DeVig!Q461</f>
        <v>0.12280049860257997</v>
      </c>
      <c r="J701" s="13" t="s">
        <v>33</v>
      </c>
      <c r="K701" s="43">
        <f t="shared" si="138"/>
        <v>714.32894115219062</v>
      </c>
      <c r="L701" s="13" t="s">
        <v>33</v>
      </c>
      <c r="M701" s="13" t="s">
        <v>33</v>
      </c>
      <c r="N701" s="13" t="s">
        <v>33</v>
      </c>
      <c r="O701" s="13" t="s">
        <v>33</v>
      </c>
      <c r="P701" s="13" t="s">
        <v>33</v>
      </c>
      <c r="Q701" s="13" t="s">
        <v>33</v>
      </c>
      <c r="R701" s="13" t="s">
        <v>33</v>
      </c>
      <c r="S701" s="13" t="s">
        <v>33</v>
      </c>
      <c r="T701" s="13" t="s">
        <v>33</v>
      </c>
      <c r="U701" s="13" t="s">
        <v>33</v>
      </c>
      <c r="V701" s="13" t="s">
        <v>33</v>
      </c>
      <c r="W701" s="6" t="b">
        <v>0</v>
      </c>
      <c r="X701" s="6" t="s">
        <v>1301</v>
      </c>
      <c r="Y701" s="6" t="s">
        <v>1326</v>
      </c>
      <c r="Z701" s="6">
        <v>453</v>
      </c>
      <c r="AA701" s="7" t="str">
        <f t="shared" si="139"/>
        <v>OK - sims match current assumptions</v>
      </c>
      <c r="AB701" s="13" t="s">
        <v>33</v>
      </c>
      <c r="AC701" s="13" t="s">
        <v>33</v>
      </c>
      <c r="AD701" s="13" t="s">
        <v>33</v>
      </c>
      <c r="AE701" s="13" t="s">
        <v>33</v>
      </c>
      <c r="AF701" s="13" t="s">
        <v>33</v>
      </c>
      <c r="AG701" s="13" t="s">
        <v>33</v>
      </c>
      <c r="AH701" s="6" t="b">
        <v>0</v>
      </c>
      <c r="AI701" s="13" t="s">
        <v>33</v>
      </c>
      <c r="AJ701" s="13" t="s">
        <v>33</v>
      </c>
      <c r="AK701" s="13" t="s">
        <v>33</v>
      </c>
      <c r="AL701" s="6">
        <v>0</v>
      </c>
      <c r="AM701" s="13" t="s">
        <v>33</v>
      </c>
    </row>
    <row r="702" spans="1:39" ht="15" customHeight="1" x14ac:dyDescent="0.3">
      <c r="A702" s="6" t="s">
        <v>442</v>
      </c>
      <c r="B702" s="7" t="str">
        <f>Odds_Input!C462</f>
        <v>Stephen Curry</v>
      </c>
      <c r="C702" s="6" t="s">
        <v>33</v>
      </c>
      <c r="D702" s="7" t="str">
        <f>Odds_Input!D462</f>
        <v>YES</v>
      </c>
      <c r="E702" s="31" t="str">
        <f>Odds_Input!E462</f>
        <v>-</v>
      </c>
      <c r="F702" s="32">
        <f>Odds_Input!F462</f>
        <v>1200</v>
      </c>
      <c r="G702" s="36">
        <f>M_DeVig!H462</f>
        <v>13</v>
      </c>
      <c r="H702" s="7" t="str">
        <f>Odds_Input!G462</f>
        <v>-</v>
      </c>
      <c r="I702" s="42">
        <f>M_DeVig!Q462</f>
        <v>7.5306529778649503E-2</v>
      </c>
      <c r="J702" s="13" t="s">
        <v>33</v>
      </c>
      <c r="K702" s="43">
        <f t="shared" si="138"/>
        <v>1227.9060965089307</v>
      </c>
      <c r="L702" s="13" t="s">
        <v>33</v>
      </c>
      <c r="M702" s="13" t="s">
        <v>33</v>
      </c>
      <c r="N702" s="13" t="s">
        <v>33</v>
      </c>
      <c r="O702" s="13" t="s">
        <v>33</v>
      </c>
      <c r="P702" s="13" t="s">
        <v>33</v>
      </c>
      <c r="Q702" s="13" t="s">
        <v>33</v>
      </c>
      <c r="R702" s="13" t="s">
        <v>33</v>
      </c>
      <c r="S702" s="13" t="s">
        <v>33</v>
      </c>
      <c r="T702" s="13" t="s">
        <v>33</v>
      </c>
      <c r="U702" s="13" t="s">
        <v>33</v>
      </c>
      <c r="V702" s="13" t="s">
        <v>33</v>
      </c>
      <c r="W702" s="6" t="b">
        <v>0</v>
      </c>
      <c r="X702" s="6" t="s">
        <v>1301</v>
      </c>
      <c r="Y702" s="6" t="s">
        <v>1326</v>
      </c>
      <c r="Z702" s="6">
        <v>454</v>
      </c>
      <c r="AA702" s="7" t="str">
        <f t="shared" si="139"/>
        <v>OK - sims match current assumptions</v>
      </c>
      <c r="AB702" s="13" t="s">
        <v>33</v>
      </c>
      <c r="AC702" s="13" t="s">
        <v>33</v>
      </c>
      <c r="AD702" s="13" t="s">
        <v>33</v>
      </c>
      <c r="AE702" s="13" t="s">
        <v>33</v>
      </c>
      <c r="AF702" s="13" t="s">
        <v>33</v>
      </c>
      <c r="AG702" s="13" t="s">
        <v>33</v>
      </c>
      <c r="AH702" s="6" t="b">
        <v>0</v>
      </c>
      <c r="AI702" s="13" t="s">
        <v>33</v>
      </c>
      <c r="AJ702" s="13" t="s">
        <v>33</v>
      </c>
      <c r="AK702" s="13" t="s">
        <v>33</v>
      </c>
      <c r="AL702" s="6">
        <v>0</v>
      </c>
      <c r="AM702" s="13" t="s">
        <v>33</v>
      </c>
    </row>
    <row r="703" spans="1:39" ht="15" customHeight="1" x14ac:dyDescent="0.3">
      <c r="A703" s="6" t="s">
        <v>442</v>
      </c>
      <c r="B703" s="7" t="str">
        <f>Odds_Input!C463</f>
        <v>Victor Wembanyama</v>
      </c>
      <c r="C703" s="6" t="s">
        <v>33</v>
      </c>
      <c r="D703" s="7" t="str">
        <f>Odds_Input!D463</f>
        <v>YES</v>
      </c>
      <c r="E703" s="31" t="str">
        <f>Odds_Input!E463</f>
        <v>-</v>
      </c>
      <c r="F703" s="32">
        <f>Odds_Input!F463</f>
        <v>1600</v>
      </c>
      <c r="G703" s="36">
        <f>M_DeVig!H463</f>
        <v>17</v>
      </c>
      <c r="H703" s="7" t="str">
        <f>Odds_Input!G463</f>
        <v>-</v>
      </c>
      <c r="I703" s="42">
        <f>M_DeVig!Q463</f>
        <v>5.7426955938526661E-2</v>
      </c>
      <c r="J703" s="13" t="s">
        <v>33</v>
      </c>
      <c r="K703" s="43">
        <f t="shared" si="138"/>
        <v>1641.342517041059</v>
      </c>
      <c r="L703" s="13" t="s">
        <v>33</v>
      </c>
      <c r="M703" s="13" t="s">
        <v>33</v>
      </c>
      <c r="N703" s="13" t="s">
        <v>33</v>
      </c>
      <c r="O703" s="13" t="s">
        <v>33</v>
      </c>
      <c r="P703" s="13" t="s">
        <v>33</v>
      </c>
      <c r="Q703" s="13" t="s">
        <v>33</v>
      </c>
      <c r="R703" s="13" t="s">
        <v>33</v>
      </c>
      <c r="S703" s="13" t="s">
        <v>33</v>
      </c>
      <c r="T703" s="13" t="s">
        <v>33</v>
      </c>
      <c r="U703" s="13" t="s">
        <v>33</v>
      </c>
      <c r="V703" s="13" t="s">
        <v>33</v>
      </c>
      <c r="W703" s="6" t="b">
        <v>0</v>
      </c>
      <c r="X703" s="6" t="s">
        <v>1301</v>
      </c>
      <c r="Y703" s="6" t="s">
        <v>1326</v>
      </c>
      <c r="Z703" s="6">
        <v>455</v>
      </c>
      <c r="AA703" s="7" t="str">
        <f t="shared" si="139"/>
        <v>OK - sims match current assumptions</v>
      </c>
      <c r="AB703" s="13" t="s">
        <v>33</v>
      </c>
      <c r="AC703" s="13" t="s">
        <v>33</v>
      </c>
      <c r="AD703" s="13" t="s">
        <v>33</v>
      </c>
      <c r="AE703" s="13" t="s">
        <v>33</v>
      </c>
      <c r="AF703" s="13" t="s">
        <v>33</v>
      </c>
      <c r="AG703" s="13" t="s">
        <v>33</v>
      </c>
      <c r="AH703" s="6" t="b">
        <v>0</v>
      </c>
      <c r="AI703" s="13" t="s">
        <v>33</v>
      </c>
      <c r="AJ703" s="13" t="s">
        <v>33</v>
      </c>
      <c r="AK703" s="13" t="s">
        <v>33</v>
      </c>
      <c r="AL703" s="6">
        <v>0</v>
      </c>
      <c r="AM703" s="13" t="s">
        <v>33</v>
      </c>
    </row>
    <row r="704" spans="1:39" ht="15" customHeight="1" x14ac:dyDescent="0.3">
      <c r="A704" s="6" t="s">
        <v>442</v>
      </c>
      <c r="B704" s="7" t="str">
        <f>Odds_Input!C464</f>
        <v>Luka Doncic</v>
      </c>
      <c r="C704" s="6" t="s">
        <v>33</v>
      </c>
      <c r="D704" s="7" t="str">
        <f>Odds_Input!D464</f>
        <v>YES</v>
      </c>
      <c r="E704" s="31" t="str">
        <f>Odds_Input!E464</f>
        <v>-</v>
      </c>
      <c r="F704" s="32">
        <f>Odds_Input!F464</f>
        <v>1200</v>
      </c>
      <c r="G704" s="36">
        <f>M_DeVig!H464</f>
        <v>13</v>
      </c>
      <c r="H704" s="7" t="str">
        <f>Odds_Input!G464</f>
        <v>-</v>
      </c>
      <c r="I704" s="42">
        <f>M_DeVig!Q464</f>
        <v>7.5306529778649503E-2</v>
      </c>
      <c r="J704" s="13" t="s">
        <v>33</v>
      </c>
      <c r="K704" s="43">
        <f t="shared" si="138"/>
        <v>1227.9060965089307</v>
      </c>
      <c r="L704" s="13" t="s">
        <v>33</v>
      </c>
      <c r="M704" s="13" t="s">
        <v>33</v>
      </c>
      <c r="N704" s="13" t="s">
        <v>33</v>
      </c>
      <c r="O704" s="13" t="s">
        <v>33</v>
      </c>
      <c r="P704" s="13" t="s">
        <v>33</v>
      </c>
      <c r="Q704" s="13" t="s">
        <v>33</v>
      </c>
      <c r="R704" s="13" t="s">
        <v>33</v>
      </c>
      <c r="S704" s="13" t="s">
        <v>33</v>
      </c>
      <c r="T704" s="13" t="s">
        <v>33</v>
      </c>
      <c r="U704" s="13" t="s">
        <v>33</v>
      </c>
      <c r="V704" s="13" t="s">
        <v>33</v>
      </c>
      <c r="W704" s="6" t="b">
        <v>0</v>
      </c>
      <c r="X704" s="6" t="s">
        <v>1301</v>
      </c>
      <c r="Y704" s="6" t="s">
        <v>1326</v>
      </c>
      <c r="Z704" s="6">
        <v>456</v>
      </c>
      <c r="AA704" s="7" t="str">
        <f t="shared" si="139"/>
        <v>OK - sims match current assumptions</v>
      </c>
      <c r="AB704" s="13" t="s">
        <v>33</v>
      </c>
      <c r="AC704" s="13" t="s">
        <v>33</v>
      </c>
      <c r="AD704" s="13" t="s">
        <v>33</v>
      </c>
      <c r="AE704" s="13" t="s">
        <v>33</v>
      </c>
      <c r="AF704" s="13" t="s">
        <v>33</v>
      </c>
      <c r="AG704" s="13" t="s">
        <v>33</v>
      </c>
      <c r="AH704" s="6" t="b">
        <v>0</v>
      </c>
      <c r="AI704" s="13" t="s">
        <v>33</v>
      </c>
      <c r="AJ704" s="13" t="s">
        <v>33</v>
      </c>
      <c r="AK704" s="13" t="s">
        <v>33</v>
      </c>
      <c r="AL704" s="6">
        <v>0</v>
      </c>
      <c r="AM704" s="13" t="s">
        <v>33</v>
      </c>
    </row>
    <row r="705" spans="1:39" ht="15" customHeight="1" x14ac:dyDescent="0.3">
      <c r="A705" s="6" t="s">
        <v>442</v>
      </c>
      <c r="B705" s="7" t="str">
        <f>Odds_Input!C465</f>
        <v>Cade Cunningham</v>
      </c>
      <c r="C705" s="6" t="s">
        <v>33</v>
      </c>
      <c r="D705" s="7" t="str">
        <f>Odds_Input!D465</f>
        <v>YES</v>
      </c>
      <c r="E705" s="31" t="str">
        <f>Odds_Input!E465</f>
        <v>-</v>
      </c>
      <c r="F705" s="32">
        <f>Odds_Input!F465</f>
        <v>1500</v>
      </c>
      <c r="G705" s="36">
        <f>M_DeVig!H465</f>
        <v>16</v>
      </c>
      <c r="H705" s="7" t="str">
        <f>Odds_Input!G465</f>
        <v>-</v>
      </c>
      <c r="I705" s="42">
        <f>M_DeVig!Q465</f>
        <v>6.1058699350129038E-2</v>
      </c>
      <c r="J705" s="13" t="s">
        <v>33</v>
      </c>
      <c r="K705" s="43">
        <f t="shared" si="138"/>
        <v>1537.7682633979766</v>
      </c>
      <c r="L705" s="13" t="s">
        <v>33</v>
      </c>
      <c r="M705" s="13" t="s">
        <v>33</v>
      </c>
      <c r="N705" s="13" t="s">
        <v>33</v>
      </c>
      <c r="O705" s="13" t="s">
        <v>33</v>
      </c>
      <c r="P705" s="13" t="s">
        <v>33</v>
      </c>
      <c r="Q705" s="13" t="s">
        <v>33</v>
      </c>
      <c r="R705" s="13" t="s">
        <v>33</v>
      </c>
      <c r="S705" s="13" t="s">
        <v>33</v>
      </c>
      <c r="T705" s="13" t="s">
        <v>33</v>
      </c>
      <c r="U705" s="13" t="s">
        <v>33</v>
      </c>
      <c r="V705" s="13" t="s">
        <v>33</v>
      </c>
      <c r="W705" s="6" t="b">
        <v>0</v>
      </c>
      <c r="X705" s="6" t="s">
        <v>1301</v>
      </c>
      <c r="Y705" s="6" t="s">
        <v>1326</v>
      </c>
      <c r="Z705" s="6">
        <v>457</v>
      </c>
      <c r="AA705" s="7" t="str">
        <f t="shared" si="139"/>
        <v>OK - sims match current assumptions</v>
      </c>
      <c r="AB705" s="13" t="s">
        <v>33</v>
      </c>
      <c r="AC705" s="13" t="s">
        <v>33</v>
      </c>
      <c r="AD705" s="13" t="s">
        <v>33</v>
      </c>
      <c r="AE705" s="13" t="s">
        <v>33</v>
      </c>
      <c r="AF705" s="13" t="s">
        <v>33</v>
      </c>
      <c r="AG705" s="13" t="s">
        <v>33</v>
      </c>
      <c r="AH705" s="6" t="b">
        <v>0</v>
      </c>
      <c r="AI705" s="13" t="s">
        <v>33</v>
      </c>
      <c r="AJ705" s="13" t="s">
        <v>33</v>
      </c>
      <c r="AK705" s="13" t="s">
        <v>33</v>
      </c>
      <c r="AL705" s="6">
        <v>0</v>
      </c>
      <c r="AM705" s="13" t="s">
        <v>33</v>
      </c>
    </row>
    <row r="706" spans="1:39" ht="15" customHeight="1" x14ac:dyDescent="0.3">
      <c r="A706" s="6" t="s">
        <v>442</v>
      </c>
      <c r="B706" s="7" t="str">
        <f>Odds_Input!C466</f>
        <v>Tyrese Haliburton</v>
      </c>
      <c r="C706" s="6" t="s">
        <v>33</v>
      </c>
      <c r="D706" s="7" t="str">
        <f>Odds_Input!D466</f>
        <v>YES</v>
      </c>
      <c r="E706" s="31" t="str">
        <f>Odds_Input!E466</f>
        <v>-</v>
      </c>
      <c r="F706" s="32">
        <f>Odds_Input!F466</f>
        <v>1800</v>
      </c>
      <c r="G706" s="36">
        <f>M_DeVig!H466</f>
        <v>19</v>
      </c>
      <c r="H706" s="7" t="str">
        <f>Odds_Input!G466</f>
        <v>-</v>
      </c>
      <c r="I706" s="42">
        <f>M_DeVig!Q466</f>
        <v>5.1310411283260984E-2</v>
      </c>
      <c r="J706" s="13" t="s">
        <v>33</v>
      </c>
      <c r="K706" s="43">
        <f t="shared" si="138"/>
        <v>1848.922206995114</v>
      </c>
      <c r="L706" s="13" t="s">
        <v>33</v>
      </c>
      <c r="M706" s="13" t="s">
        <v>33</v>
      </c>
      <c r="N706" s="13" t="s">
        <v>33</v>
      </c>
      <c r="O706" s="13" t="s">
        <v>33</v>
      </c>
      <c r="P706" s="13" t="s">
        <v>33</v>
      </c>
      <c r="Q706" s="13" t="s">
        <v>33</v>
      </c>
      <c r="R706" s="13" t="s">
        <v>33</v>
      </c>
      <c r="S706" s="13" t="s">
        <v>33</v>
      </c>
      <c r="T706" s="13" t="s">
        <v>33</v>
      </c>
      <c r="U706" s="13" t="s">
        <v>33</v>
      </c>
      <c r="V706" s="13" t="s">
        <v>33</v>
      </c>
      <c r="W706" s="6" t="b">
        <v>0</v>
      </c>
      <c r="X706" s="6" t="s">
        <v>1301</v>
      </c>
      <c r="Y706" s="6" t="s">
        <v>1326</v>
      </c>
      <c r="Z706" s="6">
        <v>458</v>
      </c>
      <c r="AA706" s="7" t="str">
        <f t="shared" si="139"/>
        <v>OK - sims match current assumptions</v>
      </c>
      <c r="AB706" s="13" t="s">
        <v>33</v>
      </c>
      <c r="AC706" s="13" t="s">
        <v>33</v>
      </c>
      <c r="AD706" s="13" t="s">
        <v>33</v>
      </c>
      <c r="AE706" s="13" t="s">
        <v>33</v>
      </c>
      <c r="AF706" s="13" t="s">
        <v>33</v>
      </c>
      <c r="AG706" s="13" t="s">
        <v>33</v>
      </c>
      <c r="AH706" s="6" t="b">
        <v>0</v>
      </c>
      <c r="AI706" s="13" t="s">
        <v>33</v>
      </c>
      <c r="AJ706" s="13" t="s">
        <v>33</v>
      </c>
      <c r="AK706" s="13" t="s">
        <v>33</v>
      </c>
      <c r="AL706" s="6">
        <v>0</v>
      </c>
      <c r="AM706" s="13" t="s">
        <v>33</v>
      </c>
    </row>
    <row r="707" spans="1:39" ht="15" customHeight="1" x14ac:dyDescent="0.3">
      <c r="A707" s="6" t="s">
        <v>442</v>
      </c>
      <c r="B707" s="7" t="str">
        <f>Odds_Input!C467</f>
        <v>Anthony Edwards</v>
      </c>
      <c r="C707" s="6" t="s">
        <v>33</v>
      </c>
      <c r="D707" s="7" t="str">
        <f>Odds_Input!D467</f>
        <v>YES</v>
      </c>
      <c r="E707" s="31" t="str">
        <f>Odds_Input!E467</f>
        <v>-</v>
      </c>
      <c r="F707" s="32">
        <f>Odds_Input!F467</f>
        <v>1000</v>
      </c>
      <c r="G707" s="36">
        <f>M_DeVig!H467</f>
        <v>11</v>
      </c>
      <c r="H707" s="7" t="str">
        <f>Odds_Input!G467</f>
        <v>-</v>
      </c>
      <c r="I707" s="42">
        <f>M_DeVig!Q467</f>
        <v>8.9122826080459502E-2</v>
      </c>
      <c r="J707" s="13" t="s">
        <v>33</v>
      </c>
      <c r="K707" s="43">
        <f t="shared" si="138"/>
        <v>1022.0470040943344</v>
      </c>
      <c r="L707" s="13" t="s">
        <v>33</v>
      </c>
      <c r="M707" s="13" t="s">
        <v>33</v>
      </c>
      <c r="N707" s="13" t="s">
        <v>33</v>
      </c>
      <c r="O707" s="13" t="s">
        <v>33</v>
      </c>
      <c r="P707" s="13" t="s">
        <v>33</v>
      </c>
      <c r="Q707" s="13" t="s">
        <v>33</v>
      </c>
      <c r="R707" s="13" t="s">
        <v>33</v>
      </c>
      <c r="S707" s="13" t="s">
        <v>33</v>
      </c>
      <c r="T707" s="13" t="s">
        <v>33</v>
      </c>
      <c r="U707" s="13" t="s">
        <v>33</v>
      </c>
      <c r="V707" s="13" t="s">
        <v>33</v>
      </c>
      <c r="W707" s="6" t="b">
        <v>0</v>
      </c>
      <c r="X707" s="6" t="s">
        <v>1301</v>
      </c>
      <c r="Y707" s="6" t="s">
        <v>1326</v>
      </c>
      <c r="Z707" s="6">
        <v>459</v>
      </c>
      <c r="AA707" s="7" t="str">
        <f t="shared" si="139"/>
        <v>OK - sims match current assumptions</v>
      </c>
      <c r="AB707" s="13" t="s">
        <v>33</v>
      </c>
      <c r="AC707" s="13" t="s">
        <v>33</v>
      </c>
      <c r="AD707" s="13" t="s">
        <v>33</v>
      </c>
      <c r="AE707" s="13" t="s">
        <v>33</v>
      </c>
      <c r="AF707" s="13" t="s">
        <v>33</v>
      </c>
      <c r="AG707" s="13" t="s">
        <v>33</v>
      </c>
      <c r="AH707" s="6" t="b">
        <v>0</v>
      </c>
      <c r="AI707" s="13" t="s">
        <v>33</v>
      </c>
      <c r="AJ707" s="13" t="s">
        <v>33</v>
      </c>
      <c r="AK707" s="13" t="s">
        <v>33</v>
      </c>
      <c r="AL707" s="6">
        <v>0</v>
      </c>
      <c r="AM707" s="13" t="s">
        <v>33</v>
      </c>
    </row>
    <row r="708" spans="1:39" ht="15" customHeight="1" x14ac:dyDescent="0.3">
      <c r="A708" s="6" t="s">
        <v>442</v>
      </c>
      <c r="B708" s="7" t="str">
        <f>Odds_Input!C468</f>
        <v>Nikola Jokic</v>
      </c>
      <c r="C708" s="6" t="s">
        <v>33</v>
      </c>
      <c r="D708" s="7" t="str">
        <f>Odds_Input!D468</f>
        <v>YES</v>
      </c>
      <c r="E708" s="31" t="str">
        <f>Odds_Input!E468</f>
        <v>-</v>
      </c>
      <c r="F708" s="32">
        <f>Odds_Input!F468</f>
        <v>1400</v>
      </c>
      <c r="G708" s="36">
        <f>M_DeVig!H468</f>
        <v>15</v>
      </c>
      <c r="H708" s="7" t="str">
        <f>Odds_Input!G468</f>
        <v>-</v>
      </c>
      <c r="I708" s="42">
        <f>M_DeVig!Q468</f>
        <v>6.5174707233681919E-2</v>
      </c>
      <c r="J708" s="13" t="s">
        <v>33</v>
      </c>
      <c r="K708" s="43">
        <f t="shared" si="138"/>
        <v>1434.3375405040649</v>
      </c>
      <c r="L708" s="13" t="s">
        <v>33</v>
      </c>
      <c r="M708" s="13" t="s">
        <v>33</v>
      </c>
      <c r="N708" s="13" t="s">
        <v>33</v>
      </c>
      <c r="O708" s="13" t="s">
        <v>33</v>
      </c>
      <c r="P708" s="13" t="s">
        <v>33</v>
      </c>
      <c r="Q708" s="13" t="s">
        <v>33</v>
      </c>
      <c r="R708" s="13" t="s">
        <v>33</v>
      </c>
      <c r="S708" s="13" t="s">
        <v>33</v>
      </c>
      <c r="T708" s="13" t="s">
        <v>33</v>
      </c>
      <c r="U708" s="13" t="s">
        <v>33</v>
      </c>
      <c r="V708" s="13" t="s">
        <v>33</v>
      </c>
      <c r="W708" s="6" t="b">
        <v>0</v>
      </c>
      <c r="X708" s="6" t="s">
        <v>1301</v>
      </c>
      <c r="Y708" s="6" t="s">
        <v>1326</v>
      </c>
      <c r="Z708" s="6">
        <v>460</v>
      </c>
      <c r="AA708" s="7" t="str">
        <f t="shared" si="139"/>
        <v>OK - sims match current assumptions</v>
      </c>
      <c r="AB708" s="13" t="s">
        <v>33</v>
      </c>
      <c r="AC708" s="13" t="s">
        <v>33</v>
      </c>
      <c r="AD708" s="13" t="s">
        <v>33</v>
      </c>
      <c r="AE708" s="13" t="s">
        <v>33</v>
      </c>
      <c r="AF708" s="13" t="s">
        <v>33</v>
      </c>
      <c r="AG708" s="13" t="s">
        <v>33</v>
      </c>
      <c r="AH708" s="6" t="b">
        <v>0</v>
      </c>
      <c r="AI708" s="13" t="s">
        <v>33</v>
      </c>
      <c r="AJ708" s="13" t="s">
        <v>33</v>
      </c>
      <c r="AK708" s="13" t="s">
        <v>33</v>
      </c>
      <c r="AL708" s="6">
        <v>0</v>
      </c>
      <c r="AM708" s="13" t="s">
        <v>33</v>
      </c>
    </row>
    <row r="709" spans="1:39" ht="15" customHeight="1" x14ac:dyDescent="0.3">
      <c r="A709" s="6" t="s">
        <v>442</v>
      </c>
      <c r="B709" s="7" t="str">
        <f>Odds_Input!C469</f>
        <v>Jayson Tatum</v>
      </c>
      <c r="C709" s="6" t="s">
        <v>33</v>
      </c>
      <c r="D709" s="7" t="str">
        <f>Odds_Input!D469</f>
        <v>YES</v>
      </c>
      <c r="E709" s="31" t="str">
        <f>Odds_Input!E469</f>
        <v>-</v>
      </c>
      <c r="F709" s="32">
        <f>Odds_Input!F469</f>
        <v>2500</v>
      </c>
      <c r="G709" s="36">
        <f>M_DeVig!H469</f>
        <v>26</v>
      </c>
      <c r="H709" s="7" t="str">
        <f>Odds_Input!G469</f>
        <v>-</v>
      </c>
      <c r="I709" s="42">
        <f>M_DeVig!Q469</f>
        <v>3.7313515865977948E-2</v>
      </c>
      <c r="J709" s="13" t="s">
        <v>33</v>
      </c>
      <c r="K709" s="43">
        <f t="shared" si="138"/>
        <v>2579.9940364552699</v>
      </c>
      <c r="L709" s="13" t="s">
        <v>33</v>
      </c>
      <c r="M709" s="13" t="s">
        <v>33</v>
      </c>
      <c r="N709" s="13" t="s">
        <v>33</v>
      </c>
      <c r="O709" s="13" t="s">
        <v>33</v>
      </c>
      <c r="P709" s="13" t="s">
        <v>33</v>
      </c>
      <c r="Q709" s="13" t="s">
        <v>33</v>
      </c>
      <c r="R709" s="13" t="s">
        <v>33</v>
      </c>
      <c r="S709" s="13" t="s">
        <v>33</v>
      </c>
      <c r="T709" s="13" t="s">
        <v>33</v>
      </c>
      <c r="U709" s="13" t="s">
        <v>33</v>
      </c>
      <c r="V709" s="13" t="s">
        <v>33</v>
      </c>
      <c r="W709" s="6" t="b">
        <v>0</v>
      </c>
      <c r="X709" s="6" t="s">
        <v>1301</v>
      </c>
      <c r="Y709" s="6" t="s">
        <v>1326</v>
      </c>
      <c r="Z709" s="6">
        <v>461</v>
      </c>
      <c r="AA709" s="7" t="str">
        <f t="shared" si="139"/>
        <v>OK - sims match current assumptions</v>
      </c>
      <c r="AB709" s="13" t="s">
        <v>33</v>
      </c>
      <c r="AC709" s="13" t="s">
        <v>33</v>
      </c>
      <c r="AD709" s="13" t="s">
        <v>33</v>
      </c>
      <c r="AE709" s="13" t="s">
        <v>33</v>
      </c>
      <c r="AF709" s="13" t="s">
        <v>33</v>
      </c>
      <c r="AG709" s="13" t="s">
        <v>33</v>
      </c>
      <c r="AH709" s="6" t="b">
        <v>0</v>
      </c>
      <c r="AI709" s="13" t="s">
        <v>33</v>
      </c>
      <c r="AJ709" s="13" t="s">
        <v>33</v>
      </c>
      <c r="AK709" s="13" t="s">
        <v>33</v>
      </c>
      <c r="AL709" s="6">
        <v>0</v>
      </c>
      <c r="AM709" s="13" t="s">
        <v>33</v>
      </c>
    </row>
    <row r="710" spans="1:39" ht="15" customHeight="1" x14ac:dyDescent="0.3">
      <c r="A710" s="6" t="s">
        <v>442</v>
      </c>
      <c r="B710" s="7" t="str">
        <f>Odds_Input!C470</f>
        <v>Devin Booker</v>
      </c>
      <c r="C710" s="6" t="s">
        <v>33</v>
      </c>
      <c r="D710" s="7" t="str">
        <f>Odds_Input!D470</f>
        <v>YES</v>
      </c>
      <c r="E710" s="31" t="str">
        <f>Odds_Input!E470</f>
        <v>-</v>
      </c>
      <c r="F710" s="32">
        <f>Odds_Input!F470</f>
        <v>2800</v>
      </c>
      <c r="G710" s="36">
        <f>M_DeVig!H470</f>
        <v>29</v>
      </c>
      <c r="H710" s="7" t="str">
        <f>Odds_Input!G470</f>
        <v>-</v>
      </c>
      <c r="I710" s="42">
        <f>M_DeVig!Q470</f>
        <v>3.3383601457048932E-2</v>
      </c>
      <c r="J710" s="13" t="s">
        <v>33</v>
      </c>
      <c r="K710" s="43">
        <f t="shared" si="138"/>
        <v>2895.4826811798357</v>
      </c>
      <c r="L710" s="13" t="s">
        <v>33</v>
      </c>
      <c r="M710" s="13" t="s">
        <v>33</v>
      </c>
      <c r="N710" s="13" t="s">
        <v>33</v>
      </c>
      <c r="O710" s="13" t="s">
        <v>33</v>
      </c>
      <c r="P710" s="13" t="s">
        <v>33</v>
      </c>
      <c r="Q710" s="13" t="s">
        <v>33</v>
      </c>
      <c r="R710" s="13" t="s">
        <v>33</v>
      </c>
      <c r="S710" s="13" t="s">
        <v>33</v>
      </c>
      <c r="T710" s="13" t="s">
        <v>33</v>
      </c>
      <c r="U710" s="13" t="s">
        <v>33</v>
      </c>
      <c r="V710" s="13" t="s">
        <v>33</v>
      </c>
      <c r="W710" s="6" t="b">
        <v>0</v>
      </c>
      <c r="X710" s="6" t="s">
        <v>1301</v>
      </c>
      <c r="Y710" s="6" t="s">
        <v>1326</v>
      </c>
      <c r="Z710" s="6">
        <v>462</v>
      </c>
      <c r="AA710" s="7" t="str">
        <f t="shared" si="139"/>
        <v>OK - sims match current assumptions</v>
      </c>
      <c r="AB710" s="13" t="s">
        <v>33</v>
      </c>
      <c r="AC710" s="13" t="s">
        <v>33</v>
      </c>
      <c r="AD710" s="13" t="s">
        <v>33</v>
      </c>
      <c r="AE710" s="13" t="s">
        <v>33</v>
      </c>
      <c r="AF710" s="13" t="s">
        <v>33</v>
      </c>
      <c r="AG710" s="13" t="s">
        <v>33</v>
      </c>
      <c r="AH710" s="6" t="b">
        <v>0</v>
      </c>
      <c r="AI710" s="13" t="s">
        <v>33</v>
      </c>
      <c r="AJ710" s="13" t="s">
        <v>33</v>
      </c>
      <c r="AK710" s="13" t="s">
        <v>33</v>
      </c>
      <c r="AL710" s="6">
        <v>0</v>
      </c>
      <c r="AM710" s="13" t="s">
        <v>33</v>
      </c>
    </row>
    <row r="711" spans="1:39" ht="15" customHeight="1" x14ac:dyDescent="0.3">
      <c r="A711" s="6" t="s">
        <v>442</v>
      </c>
      <c r="B711" s="7" t="str">
        <f>Odds_Input!C471</f>
        <v>Donovan Mitchell</v>
      </c>
      <c r="C711" s="6" t="s">
        <v>33</v>
      </c>
      <c r="D711" s="7" t="str">
        <f>Odds_Input!D471</f>
        <v>YES</v>
      </c>
      <c r="E711" s="31" t="str">
        <f>Odds_Input!E471</f>
        <v>-</v>
      </c>
      <c r="F711" s="32">
        <f>Odds_Input!F471</f>
        <v>3500</v>
      </c>
      <c r="G711" s="36">
        <f>M_DeVig!H471</f>
        <v>36</v>
      </c>
      <c r="H711" s="7" t="str">
        <f>Odds_Input!G471</f>
        <v>-</v>
      </c>
      <c r="I711" s="42">
        <f>M_DeVig!Q471</f>
        <v>2.6761434604211095E-2</v>
      </c>
      <c r="J711" s="13" t="s">
        <v>33</v>
      </c>
      <c r="K711" s="43">
        <f t="shared" si="138"/>
        <v>3636.7204516107781</v>
      </c>
      <c r="L711" s="13" t="s">
        <v>33</v>
      </c>
      <c r="M711" s="13" t="s">
        <v>33</v>
      </c>
      <c r="N711" s="13" t="s">
        <v>33</v>
      </c>
      <c r="O711" s="13" t="s">
        <v>33</v>
      </c>
      <c r="P711" s="13" t="s">
        <v>33</v>
      </c>
      <c r="Q711" s="13" t="s">
        <v>33</v>
      </c>
      <c r="R711" s="13" t="s">
        <v>33</v>
      </c>
      <c r="S711" s="13" t="s">
        <v>33</v>
      </c>
      <c r="T711" s="13" t="s">
        <v>33</v>
      </c>
      <c r="U711" s="13" t="s">
        <v>33</v>
      </c>
      <c r="V711" s="13" t="s">
        <v>33</v>
      </c>
      <c r="W711" s="6" t="b">
        <v>0</v>
      </c>
      <c r="X711" s="6" t="s">
        <v>1301</v>
      </c>
      <c r="Y711" s="6" t="s">
        <v>1326</v>
      </c>
      <c r="Z711" s="6">
        <v>463</v>
      </c>
      <c r="AA711" s="7" t="str">
        <f t="shared" si="139"/>
        <v>OK - sims match current assumptions</v>
      </c>
      <c r="AB711" s="13" t="s">
        <v>33</v>
      </c>
      <c r="AC711" s="13" t="s">
        <v>33</v>
      </c>
      <c r="AD711" s="13" t="s">
        <v>33</v>
      </c>
      <c r="AE711" s="13" t="s">
        <v>33</v>
      </c>
      <c r="AF711" s="13" t="s">
        <v>33</v>
      </c>
      <c r="AG711" s="13" t="s">
        <v>33</v>
      </c>
      <c r="AH711" s="6" t="b">
        <v>0</v>
      </c>
      <c r="AI711" s="13" t="s">
        <v>33</v>
      </c>
      <c r="AJ711" s="13" t="s">
        <v>33</v>
      </c>
      <c r="AK711" s="13" t="s">
        <v>33</v>
      </c>
      <c r="AL711" s="6">
        <v>0</v>
      </c>
      <c r="AM711" s="13" t="s">
        <v>33</v>
      </c>
    </row>
    <row r="712" spans="1:39" ht="15" customHeight="1" x14ac:dyDescent="0.3">
      <c r="A712" s="6" t="s">
        <v>442</v>
      </c>
      <c r="B712" s="7" t="str">
        <f>Odds_Input!C472</f>
        <v>Tyrese Maxey</v>
      </c>
      <c r="C712" s="6" t="s">
        <v>33</v>
      </c>
      <c r="D712" s="7" t="str">
        <f>Odds_Input!D472</f>
        <v>YES</v>
      </c>
      <c r="E712" s="31" t="str">
        <f>Odds_Input!E472</f>
        <v>-</v>
      </c>
      <c r="F712" s="32">
        <f>Odds_Input!F472</f>
        <v>3000</v>
      </c>
      <c r="G712" s="36">
        <f>M_DeVig!H472</f>
        <v>31</v>
      </c>
      <c r="H712" s="7" t="str">
        <f>Odds_Input!G472</f>
        <v>-</v>
      </c>
      <c r="I712" s="42">
        <f>M_DeVig!Q472</f>
        <v>3.1186307388237904E-2</v>
      </c>
      <c r="J712" s="13" t="s">
        <v>33</v>
      </c>
      <c r="K712" s="43">
        <f t="shared" si="138"/>
        <v>3106.5354437478409</v>
      </c>
      <c r="L712" s="13" t="s">
        <v>33</v>
      </c>
      <c r="M712" s="13" t="s">
        <v>33</v>
      </c>
      <c r="N712" s="13" t="s">
        <v>33</v>
      </c>
      <c r="O712" s="13" t="s">
        <v>33</v>
      </c>
      <c r="P712" s="13" t="s">
        <v>33</v>
      </c>
      <c r="Q712" s="13" t="s">
        <v>33</v>
      </c>
      <c r="R712" s="13" t="s">
        <v>33</v>
      </c>
      <c r="S712" s="13" t="s">
        <v>33</v>
      </c>
      <c r="T712" s="13" t="s">
        <v>33</v>
      </c>
      <c r="U712" s="13" t="s">
        <v>33</v>
      </c>
      <c r="V712" s="13" t="s">
        <v>33</v>
      </c>
      <c r="W712" s="6" t="b">
        <v>0</v>
      </c>
      <c r="X712" s="6" t="s">
        <v>1301</v>
      </c>
      <c r="Y712" s="6" t="s">
        <v>1326</v>
      </c>
      <c r="Z712" s="6">
        <v>464</v>
      </c>
      <c r="AA712" s="7" t="str">
        <f t="shared" si="139"/>
        <v>OK - sims match current assumptions</v>
      </c>
      <c r="AB712" s="13" t="s">
        <v>33</v>
      </c>
      <c r="AC712" s="13" t="s">
        <v>33</v>
      </c>
      <c r="AD712" s="13" t="s">
        <v>33</v>
      </c>
      <c r="AE712" s="13" t="s">
        <v>33</v>
      </c>
      <c r="AF712" s="13" t="s">
        <v>33</v>
      </c>
      <c r="AG712" s="13" t="s">
        <v>33</v>
      </c>
      <c r="AH712" s="6" t="b">
        <v>0</v>
      </c>
      <c r="AI712" s="13" t="s">
        <v>33</v>
      </c>
      <c r="AJ712" s="13" t="s">
        <v>33</v>
      </c>
      <c r="AK712" s="13" t="s">
        <v>33</v>
      </c>
      <c r="AL712" s="6">
        <v>0</v>
      </c>
      <c r="AM712" s="13" t="s">
        <v>33</v>
      </c>
    </row>
    <row r="713" spans="1:39" ht="15" customHeight="1" x14ac:dyDescent="0.3">
      <c r="A713" s="6" t="s">
        <v>442</v>
      </c>
      <c r="B713" s="7" t="str">
        <f>Odds_Input!C473</f>
        <v>Kevin Durant</v>
      </c>
      <c r="C713" s="6" t="s">
        <v>33</v>
      </c>
      <c r="D713" s="7" t="str">
        <f>Odds_Input!D473</f>
        <v>YES</v>
      </c>
      <c r="E713" s="31" t="str">
        <f>Odds_Input!E473</f>
        <v>-</v>
      </c>
      <c r="F713" s="32">
        <f>Odds_Input!F473</f>
        <v>3300</v>
      </c>
      <c r="G713" s="36">
        <f>M_DeVig!H473</f>
        <v>34</v>
      </c>
      <c r="H713" s="7" t="str">
        <f>Odds_Input!G473</f>
        <v>-</v>
      </c>
      <c r="I713" s="42">
        <f>M_DeVig!Q473</f>
        <v>2.8375169388803179E-2</v>
      </c>
      <c r="J713" s="13" t="s">
        <v>33</v>
      </c>
      <c r="K713" s="43">
        <f t="shared" si="138"/>
        <v>3424.208036603296</v>
      </c>
      <c r="L713" s="13" t="s">
        <v>33</v>
      </c>
      <c r="M713" s="13" t="s">
        <v>33</v>
      </c>
      <c r="N713" s="13" t="s">
        <v>33</v>
      </c>
      <c r="O713" s="13" t="s">
        <v>33</v>
      </c>
      <c r="P713" s="13" t="s">
        <v>33</v>
      </c>
      <c r="Q713" s="13" t="s">
        <v>33</v>
      </c>
      <c r="R713" s="13" t="s">
        <v>33</v>
      </c>
      <c r="S713" s="13" t="s">
        <v>33</v>
      </c>
      <c r="T713" s="13" t="s">
        <v>33</v>
      </c>
      <c r="U713" s="13" t="s">
        <v>33</v>
      </c>
      <c r="V713" s="13" t="s">
        <v>33</v>
      </c>
      <c r="W713" s="6" t="b">
        <v>0</v>
      </c>
      <c r="X713" s="6" t="s">
        <v>1301</v>
      </c>
      <c r="Y713" s="6" t="s">
        <v>1326</v>
      </c>
      <c r="Z713" s="6">
        <v>465</v>
      </c>
      <c r="AA713" s="7" t="str">
        <f t="shared" si="139"/>
        <v>OK - sims match current assumptions</v>
      </c>
      <c r="AB713" s="13" t="s">
        <v>33</v>
      </c>
      <c r="AC713" s="13" t="s">
        <v>33</v>
      </c>
      <c r="AD713" s="13" t="s">
        <v>33</v>
      </c>
      <c r="AE713" s="13" t="s">
        <v>33</v>
      </c>
      <c r="AF713" s="13" t="s">
        <v>33</v>
      </c>
      <c r="AG713" s="13" t="s">
        <v>33</v>
      </c>
      <c r="AH713" s="6" t="b">
        <v>0</v>
      </c>
      <c r="AI713" s="13" t="s">
        <v>33</v>
      </c>
      <c r="AJ713" s="13" t="s">
        <v>33</v>
      </c>
      <c r="AK713" s="13" t="s">
        <v>33</v>
      </c>
      <c r="AL713" s="6">
        <v>0</v>
      </c>
      <c r="AM713" s="13" t="s">
        <v>33</v>
      </c>
    </row>
    <row r="714" spans="1:39" ht="15" customHeight="1" x14ac:dyDescent="0.3">
      <c r="A714" s="6" t="s">
        <v>442</v>
      </c>
      <c r="B714" s="7" t="str">
        <f>Odds_Input!C474</f>
        <v>Jamal Murray</v>
      </c>
      <c r="C714" s="6" t="s">
        <v>33</v>
      </c>
      <c r="D714" s="7" t="str">
        <f>Odds_Input!D474</f>
        <v>YES</v>
      </c>
      <c r="E714" s="31" t="str">
        <f>Odds_Input!E474</f>
        <v>-</v>
      </c>
      <c r="F714" s="32">
        <f>Odds_Input!F474</f>
        <v>2500</v>
      </c>
      <c r="G714" s="36">
        <f>M_DeVig!H474</f>
        <v>26</v>
      </c>
      <c r="H714" s="7" t="str">
        <f>Odds_Input!G474</f>
        <v>-</v>
      </c>
      <c r="I714" s="42">
        <f>M_DeVig!Q474</f>
        <v>3.7313515865977948E-2</v>
      </c>
      <c r="J714" s="13" t="s">
        <v>33</v>
      </c>
      <c r="K714" s="43">
        <f t="shared" si="138"/>
        <v>2579.9940364552699</v>
      </c>
      <c r="L714" s="13" t="s">
        <v>33</v>
      </c>
      <c r="M714" s="13" t="s">
        <v>33</v>
      </c>
      <c r="N714" s="13" t="s">
        <v>33</v>
      </c>
      <c r="O714" s="13" t="s">
        <v>33</v>
      </c>
      <c r="P714" s="13" t="s">
        <v>33</v>
      </c>
      <c r="Q714" s="13" t="s">
        <v>33</v>
      </c>
      <c r="R714" s="13" t="s">
        <v>33</v>
      </c>
      <c r="S714" s="13" t="s">
        <v>33</v>
      </c>
      <c r="T714" s="13" t="s">
        <v>33</v>
      </c>
      <c r="U714" s="13" t="s">
        <v>33</v>
      </c>
      <c r="V714" s="13" t="s">
        <v>33</v>
      </c>
      <c r="W714" s="6" t="b">
        <v>0</v>
      </c>
      <c r="X714" s="6" t="s">
        <v>1301</v>
      </c>
      <c r="Y714" s="6" t="s">
        <v>1326</v>
      </c>
      <c r="Z714" s="6">
        <v>466</v>
      </c>
      <c r="AA714" s="7" t="str">
        <f t="shared" si="139"/>
        <v>OK - sims match current assumptions</v>
      </c>
      <c r="AB714" s="13" t="s">
        <v>33</v>
      </c>
      <c r="AC714" s="13" t="s">
        <v>33</v>
      </c>
      <c r="AD714" s="13" t="s">
        <v>33</v>
      </c>
      <c r="AE714" s="13" t="s">
        <v>33</v>
      </c>
      <c r="AF714" s="13" t="s">
        <v>33</v>
      </c>
      <c r="AG714" s="13" t="s">
        <v>33</v>
      </c>
      <c r="AH714" s="6" t="b">
        <v>0</v>
      </c>
      <c r="AI714" s="13" t="s">
        <v>33</v>
      </c>
      <c r="AJ714" s="13" t="s">
        <v>33</v>
      </c>
      <c r="AK714" s="13" t="s">
        <v>33</v>
      </c>
      <c r="AL714" s="6">
        <v>0</v>
      </c>
      <c r="AM714" s="13" t="s">
        <v>33</v>
      </c>
    </row>
    <row r="715" spans="1:39" ht="15" customHeight="1" x14ac:dyDescent="0.3">
      <c r="A715" s="6" t="s">
        <v>442</v>
      </c>
      <c r="B715" s="7" t="str">
        <f>Odds_Input!C475</f>
        <v>Jalen Williams</v>
      </c>
      <c r="C715" s="6" t="s">
        <v>33</v>
      </c>
      <c r="D715" s="7" t="str">
        <f>Odds_Input!D475</f>
        <v>YES</v>
      </c>
      <c r="E715" s="31" t="str">
        <f>Odds_Input!E475</f>
        <v>-</v>
      </c>
      <c r="F715" s="32">
        <f>Odds_Input!F475</f>
        <v>7000</v>
      </c>
      <c r="G715" s="36">
        <f>M_DeVig!H475</f>
        <v>71</v>
      </c>
      <c r="H715" s="7" t="str">
        <f>Odds_Input!G475</f>
        <v>-</v>
      </c>
      <c r="I715" s="42">
        <f>M_DeVig!Q475</f>
        <v>1.3242255877572376E-2</v>
      </c>
      <c r="J715" s="13" t="s">
        <v>33</v>
      </c>
      <c r="K715" s="43">
        <f t="shared" si="138"/>
        <v>7451.5834254014144</v>
      </c>
      <c r="L715" s="13" t="s">
        <v>33</v>
      </c>
      <c r="M715" s="13" t="s">
        <v>33</v>
      </c>
      <c r="N715" s="13" t="s">
        <v>33</v>
      </c>
      <c r="O715" s="13" t="s">
        <v>33</v>
      </c>
      <c r="P715" s="13" t="s">
        <v>33</v>
      </c>
      <c r="Q715" s="13" t="s">
        <v>33</v>
      </c>
      <c r="R715" s="13" t="s">
        <v>33</v>
      </c>
      <c r="S715" s="13" t="s">
        <v>33</v>
      </c>
      <c r="T715" s="13" t="s">
        <v>33</v>
      </c>
      <c r="U715" s="13" t="s">
        <v>33</v>
      </c>
      <c r="V715" s="13" t="s">
        <v>33</v>
      </c>
      <c r="W715" s="6" t="b">
        <v>0</v>
      </c>
      <c r="X715" s="6" t="s">
        <v>1301</v>
      </c>
      <c r="Y715" s="6" t="s">
        <v>1326</v>
      </c>
      <c r="Z715" s="6">
        <v>467</v>
      </c>
      <c r="AA715" s="7" t="str">
        <f t="shared" si="139"/>
        <v>OK - sims match current assumptions</v>
      </c>
      <c r="AB715" s="13" t="s">
        <v>33</v>
      </c>
      <c r="AC715" s="13" t="s">
        <v>33</v>
      </c>
      <c r="AD715" s="13" t="s">
        <v>33</v>
      </c>
      <c r="AE715" s="13" t="s">
        <v>33</v>
      </c>
      <c r="AF715" s="13" t="s">
        <v>33</v>
      </c>
      <c r="AG715" s="13" t="s">
        <v>33</v>
      </c>
      <c r="AH715" s="6" t="b">
        <v>0</v>
      </c>
      <c r="AI715" s="13" t="s">
        <v>33</v>
      </c>
      <c r="AJ715" s="13" t="s">
        <v>33</v>
      </c>
      <c r="AK715" s="13" t="s">
        <v>33</v>
      </c>
      <c r="AL715" s="6">
        <v>0</v>
      </c>
      <c r="AM715" s="13" t="s">
        <v>33</v>
      </c>
    </row>
    <row r="716" spans="1:39" ht="15" customHeight="1" x14ac:dyDescent="0.3">
      <c r="A716" s="6" t="s">
        <v>442</v>
      </c>
      <c r="B716" s="7" t="str">
        <f>Odds_Input!C476</f>
        <v>Giannis Antetokounmpo</v>
      </c>
      <c r="C716" s="6" t="s">
        <v>33</v>
      </c>
      <c r="D716" s="7" t="str">
        <f>Odds_Input!D476</f>
        <v>YES</v>
      </c>
      <c r="E716" s="31" t="str">
        <f>Odds_Input!E476</f>
        <v>-</v>
      </c>
      <c r="F716" s="32">
        <f>Odds_Input!F476</f>
        <v>3500</v>
      </c>
      <c r="G716" s="36">
        <f>M_DeVig!H476</f>
        <v>36</v>
      </c>
      <c r="H716" s="7" t="str">
        <f>Odds_Input!G476</f>
        <v>-</v>
      </c>
      <c r="I716" s="42">
        <f>M_DeVig!Q476</f>
        <v>2.6761434604211095E-2</v>
      </c>
      <c r="J716" s="13" t="s">
        <v>33</v>
      </c>
      <c r="K716" s="43">
        <f t="shared" si="138"/>
        <v>3636.7204516107781</v>
      </c>
      <c r="L716" s="13" t="s">
        <v>33</v>
      </c>
      <c r="M716" s="13" t="s">
        <v>33</v>
      </c>
      <c r="N716" s="13" t="s">
        <v>33</v>
      </c>
      <c r="O716" s="13" t="s">
        <v>33</v>
      </c>
      <c r="P716" s="13" t="s">
        <v>33</v>
      </c>
      <c r="Q716" s="13" t="s">
        <v>33</v>
      </c>
      <c r="R716" s="13" t="s">
        <v>33</v>
      </c>
      <c r="S716" s="13" t="s">
        <v>33</v>
      </c>
      <c r="T716" s="13" t="s">
        <v>33</v>
      </c>
      <c r="U716" s="13" t="s">
        <v>33</v>
      </c>
      <c r="V716" s="13" t="s">
        <v>33</v>
      </c>
      <c r="W716" s="6" t="b">
        <v>0</v>
      </c>
      <c r="X716" s="6" t="s">
        <v>1301</v>
      </c>
      <c r="Y716" s="6" t="s">
        <v>1326</v>
      </c>
      <c r="Z716" s="6">
        <v>468</v>
      </c>
      <c r="AA716" s="7" t="str">
        <f t="shared" si="139"/>
        <v>OK - sims match current assumptions</v>
      </c>
      <c r="AB716" s="13" t="s">
        <v>33</v>
      </c>
      <c r="AC716" s="13" t="s">
        <v>33</v>
      </c>
      <c r="AD716" s="13" t="s">
        <v>33</v>
      </c>
      <c r="AE716" s="13" t="s">
        <v>33</v>
      </c>
      <c r="AF716" s="13" t="s">
        <v>33</v>
      </c>
      <c r="AG716" s="13" t="s">
        <v>33</v>
      </c>
      <c r="AH716" s="6" t="b">
        <v>0</v>
      </c>
      <c r="AI716" s="13" t="s">
        <v>33</v>
      </c>
      <c r="AJ716" s="13" t="s">
        <v>33</v>
      </c>
      <c r="AK716" s="13" t="s">
        <v>33</v>
      </c>
      <c r="AL716" s="6">
        <v>0</v>
      </c>
      <c r="AM716" s="13" t="s">
        <v>33</v>
      </c>
    </row>
    <row r="717" spans="1:39" ht="15" customHeight="1" x14ac:dyDescent="0.3">
      <c r="A717" s="6" t="s">
        <v>442</v>
      </c>
      <c r="B717" s="7" t="str">
        <f>Odds_Input!C477</f>
        <v>DeAaron Fox</v>
      </c>
      <c r="C717" s="6" t="s">
        <v>33</v>
      </c>
      <c r="D717" s="7" t="str">
        <f>Odds_Input!D477</f>
        <v>YES</v>
      </c>
      <c r="E717" s="31" t="str">
        <f>Odds_Input!E477</f>
        <v>-</v>
      </c>
      <c r="F717" s="32">
        <f>Odds_Input!F477</f>
        <v>5000</v>
      </c>
      <c r="G717" s="36">
        <f>M_DeVig!H477</f>
        <v>51</v>
      </c>
      <c r="H717" s="7" t="str">
        <f>Odds_Input!G477</f>
        <v>-</v>
      </c>
      <c r="I717" s="42">
        <f>M_DeVig!Q477</f>
        <v>1.8693960109788837E-2</v>
      </c>
      <c r="J717" s="13" t="s">
        <v>33</v>
      </c>
      <c r="K717" s="43">
        <f t="shared" si="138"/>
        <v>5249.321353672749</v>
      </c>
      <c r="L717" s="13" t="s">
        <v>33</v>
      </c>
      <c r="M717" s="13" t="s">
        <v>33</v>
      </c>
      <c r="N717" s="13" t="s">
        <v>33</v>
      </c>
      <c r="O717" s="13" t="s">
        <v>33</v>
      </c>
      <c r="P717" s="13" t="s">
        <v>33</v>
      </c>
      <c r="Q717" s="13" t="s">
        <v>33</v>
      </c>
      <c r="R717" s="13" t="s">
        <v>33</v>
      </c>
      <c r="S717" s="13" t="s">
        <v>33</v>
      </c>
      <c r="T717" s="13" t="s">
        <v>33</v>
      </c>
      <c r="U717" s="13" t="s">
        <v>33</v>
      </c>
      <c r="V717" s="13" t="s">
        <v>33</v>
      </c>
      <c r="W717" s="6" t="b">
        <v>0</v>
      </c>
      <c r="X717" s="6" t="s">
        <v>1301</v>
      </c>
      <c r="Y717" s="6" t="s">
        <v>1326</v>
      </c>
      <c r="Z717" s="6">
        <v>469</v>
      </c>
      <c r="AA717" s="7" t="str">
        <f t="shared" si="139"/>
        <v>OK - sims match current assumptions</v>
      </c>
      <c r="AB717" s="13" t="s">
        <v>33</v>
      </c>
      <c r="AC717" s="13" t="s">
        <v>33</v>
      </c>
      <c r="AD717" s="13" t="s">
        <v>33</v>
      </c>
      <c r="AE717" s="13" t="s">
        <v>33</v>
      </c>
      <c r="AF717" s="13" t="s">
        <v>33</v>
      </c>
      <c r="AG717" s="13" t="s">
        <v>33</v>
      </c>
      <c r="AH717" s="6" t="b">
        <v>0</v>
      </c>
      <c r="AI717" s="13" t="s">
        <v>33</v>
      </c>
      <c r="AJ717" s="13" t="s">
        <v>33</v>
      </c>
      <c r="AK717" s="13" t="s">
        <v>33</v>
      </c>
      <c r="AL717" s="6">
        <v>0</v>
      </c>
      <c r="AM717" s="13" t="s">
        <v>33</v>
      </c>
    </row>
    <row r="718" spans="1:39" ht="15" customHeight="1" x14ac:dyDescent="0.3">
      <c r="A718" s="6" t="s">
        <v>442</v>
      </c>
      <c r="B718" s="7" t="str">
        <f>Odds_Input!C478</f>
        <v>Trae Young</v>
      </c>
      <c r="C718" s="6" t="s">
        <v>33</v>
      </c>
      <c r="D718" s="7" t="str">
        <f>Odds_Input!D478</f>
        <v>YES</v>
      </c>
      <c r="E718" s="31" t="str">
        <f>Odds_Input!E478</f>
        <v>-</v>
      </c>
      <c r="F718" s="32">
        <f>Odds_Input!F478</f>
        <v>4000</v>
      </c>
      <c r="G718" s="36">
        <f>M_DeVig!H478</f>
        <v>41</v>
      </c>
      <c r="H718" s="7" t="str">
        <f>Odds_Input!G478</f>
        <v>-</v>
      </c>
      <c r="I718" s="42">
        <f>M_DeVig!Q478</f>
        <v>2.3416091700831476E-2</v>
      </c>
      <c r="J718" s="13" t="s">
        <v>33</v>
      </c>
      <c r="K718" s="43">
        <f t="shared" si="138"/>
        <v>4170.5674916898761</v>
      </c>
      <c r="L718" s="13" t="s">
        <v>33</v>
      </c>
      <c r="M718" s="13" t="s">
        <v>33</v>
      </c>
      <c r="N718" s="13" t="s">
        <v>33</v>
      </c>
      <c r="O718" s="13" t="s">
        <v>33</v>
      </c>
      <c r="P718" s="13" t="s">
        <v>33</v>
      </c>
      <c r="Q718" s="13" t="s">
        <v>33</v>
      </c>
      <c r="R718" s="13" t="s">
        <v>33</v>
      </c>
      <c r="S718" s="13" t="s">
        <v>33</v>
      </c>
      <c r="T718" s="13" t="s">
        <v>33</v>
      </c>
      <c r="U718" s="13" t="s">
        <v>33</v>
      </c>
      <c r="V718" s="13" t="s">
        <v>33</v>
      </c>
      <c r="W718" s="6" t="b">
        <v>0</v>
      </c>
      <c r="X718" s="6" t="s">
        <v>1301</v>
      </c>
      <c r="Y718" s="6" t="s">
        <v>1326</v>
      </c>
      <c r="Z718" s="6">
        <v>470</v>
      </c>
      <c r="AA718" s="7" t="str">
        <f t="shared" si="139"/>
        <v>OK - sims match current assumptions</v>
      </c>
      <c r="AB718" s="13" t="s">
        <v>33</v>
      </c>
      <c r="AC718" s="13" t="s">
        <v>33</v>
      </c>
      <c r="AD718" s="13" t="s">
        <v>33</v>
      </c>
      <c r="AE718" s="13" t="s">
        <v>33</v>
      </c>
      <c r="AF718" s="13" t="s">
        <v>33</v>
      </c>
      <c r="AG718" s="13" t="s">
        <v>33</v>
      </c>
      <c r="AH718" s="6" t="b">
        <v>0</v>
      </c>
      <c r="AI718" s="13" t="s">
        <v>33</v>
      </c>
      <c r="AJ718" s="13" t="s">
        <v>33</v>
      </c>
      <c r="AK718" s="13" t="s">
        <v>33</v>
      </c>
      <c r="AL718" s="6">
        <v>0</v>
      </c>
      <c r="AM718" s="13" t="s">
        <v>33</v>
      </c>
    </row>
    <row r="719" spans="1:39" ht="15" customHeight="1" x14ac:dyDescent="0.3">
      <c r="A719" s="6" t="s">
        <v>442</v>
      </c>
      <c r="B719" s="7" t="str">
        <f>Odds_Input!C479</f>
        <v>LeBron James</v>
      </c>
      <c r="C719" s="6" t="s">
        <v>33</v>
      </c>
      <c r="D719" s="7" t="str">
        <f>Odds_Input!D479</f>
        <v>YES</v>
      </c>
      <c r="E719" s="31" t="str">
        <f>Odds_Input!E479</f>
        <v>-</v>
      </c>
      <c r="F719" s="32">
        <f>Odds_Input!F479</f>
        <v>5500</v>
      </c>
      <c r="G719" s="36">
        <f>M_DeVig!H479</f>
        <v>56</v>
      </c>
      <c r="H719" s="7" t="str">
        <f>Odds_Input!G479</f>
        <v>-</v>
      </c>
      <c r="I719" s="42">
        <f>M_DeVig!Q479</f>
        <v>1.6965643740092403E-2</v>
      </c>
      <c r="J719" s="13" t="s">
        <v>33</v>
      </c>
      <c r="K719" s="43">
        <f t="shared" si="138"/>
        <v>5794.2649941236687</v>
      </c>
      <c r="L719" s="13" t="s">
        <v>33</v>
      </c>
      <c r="M719" s="13" t="s">
        <v>33</v>
      </c>
      <c r="N719" s="13" t="s">
        <v>33</v>
      </c>
      <c r="O719" s="13" t="s">
        <v>33</v>
      </c>
      <c r="P719" s="13" t="s">
        <v>33</v>
      </c>
      <c r="Q719" s="13" t="s">
        <v>33</v>
      </c>
      <c r="R719" s="13" t="s">
        <v>33</v>
      </c>
      <c r="S719" s="13" t="s">
        <v>33</v>
      </c>
      <c r="T719" s="13" t="s">
        <v>33</v>
      </c>
      <c r="U719" s="13" t="s">
        <v>33</v>
      </c>
      <c r="V719" s="13" t="s">
        <v>33</v>
      </c>
      <c r="W719" s="6" t="b">
        <v>0</v>
      </c>
      <c r="X719" s="6" t="s">
        <v>1301</v>
      </c>
      <c r="Y719" s="6" t="s">
        <v>1326</v>
      </c>
      <c r="Z719" s="6">
        <v>471</v>
      </c>
      <c r="AA719" s="7" t="str">
        <f t="shared" si="139"/>
        <v>OK - sims match current assumptions</v>
      </c>
      <c r="AB719" s="13" t="s">
        <v>33</v>
      </c>
      <c r="AC719" s="13" t="s">
        <v>33</v>
      </c>
      <c r="AD719" s="13" t="s">
        <v>33</v>
      </c>
      <c r="AE719" s="13" t="s">
        <v>33</v>
      </c>
      <c r="AF719" s="13" t="s">
        <v>33</v>
      </c>
      <c r="AG719" s="13" t="s">
        <v>33</v>
      </c>
      <c r="AH719" s="6" t="b">
        <v>0</v>
      </c>
      <c r="AI719" s="13" t="s">
        <v>33</v>
      </c>
      <c r="AJ719" s="13" t="s">
        <v>33</v>
      </c>
      <c r="AK719" s="13" t="s">
        <v>33</v>
      </c>
      <c r="AL719" s="6">
        <v>0</v>
      </c>
      <c r="AM719" s="13" t="s">
        <v>33</v>
      </c>
    </row>
    <row r="720" spans="1:39" ht="15" customHeight="1" x14ac:dyDescent="0.3"/>
    <row r="721" spans="1:39" ht="15" customHeight="1" x14ac:dyDescent="0.3">
      <c r="A721" s="48" t="s">
        <v>446</v>
      </c>
      <c r="B721" s="49" t="s">
        <v>1339</v>
      </c>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row>
    <row r="722" spans="1:39" ht="15" customHeight="1" x14ac:dyDescent="0.3">
      <c r="A722" s="6" t="s">
        <v>446</v>
      </c>
      <c r="B722" s="7" t="str">
        <f>Odds_Input!C480</f>
        <v>Shai Gilgeous Alexander</v>
      </c>
      <c r="C722" s="6" t="s">
        <v>33</v>
      </c>
      <c r="D722" s="7" t="str">
        <f>Odds_Input!D480</f>
        <v>YES</v>
      </c>
      <c r="E722" s="31" t="str">
        <f>Odds_Input!E480</f>
        <v>-</v>
      </c>
      <c r="F722" s="32">
        <f>Odds_Input!F480</f>
        <v>350</v>
      </c>
      <c r="G722" s="36">
        <f>M_DeVig!H480</f>
        <v>4.5</v>
      </c>
      <c r="H722" s="7" t="str">
        <f>Odds_Input!G480</f>
        <v>-</v>
      </c>
      <c r="I722" s="42">
        <f>M_DeVig!Q480</f>
        <v>0.18970064656701055</v>
      </c>
      <c r="J722" s="13" t="s">
        <v>33</v>
      </c>
      <c r="K722" s="43">
        <f t="shared" ref="K722:K761" si="140">IF(I722&gt;=0.5,-100*I722/(1-I722),100*(1-I722)/I722)</f>
        <v>427.14633191656327</v>
      </c>
      <c r="L722" s="13" t="s">
        <v>33</v>
      </c>
      <c r="M722" s="13" t="s">
        <v>33</v>
      </c>
      <c r="N722" s="13" t="s">
        <v>33</v>
      </c>
      <c r="O722" s="13" t="s">
        <v>33</v>
      </c>
      <c r="P722" s="13" t="s">
        <v>33</v>
      </c>
      <c r="Q722" s="13" t="s">
        <v>33</v>
      </c>
      <c r="R722" s="13" t="s">
        <v>33</v>
      </c>
      <c r="S722" s="13" t="s">
        <v>33</v>
      </c>
      <c r="T722" s="13" t="s">
        <v>33</v>
      </c>
      <c r="U722" s="13" t="s">
        <v>33</v>
      </c>
      <c r="V722" s="13" t="s">
        <v>33</v>
      </c>
      <c r="W722" s="6" t="b">
        <v>0</v>
      </c>
      <c r="X722" s="6" t="s">
        <v>1301</v>
      </c>
      <c r="Y722" s="6" t="s">
        <v>1307</v>
      </c>
      <c r="Z722" s="6">
        <v>472</v>
      </c>
      <c r="AA722" s="7" t="str">
        <f t="shared" ref="AA722:AA761" si="141">Sim_Stale</f>
        <v>OK - sims match current assumptions</v>
      </c>
      <c r="AB722" s="13" t="s">
        <v>33</v>
      </c>
      <c r="AC722" s="13" t="s">
        <v>33</v>
      </c>
      <c r="AD722" s="13" t="s">
        <v>33</v>
      </c>
      <c r="AE722" s="13" t="s">
        <v>33</v>
      </c>
      <c r="AF722" s="13" t="s">
        <v>33</v>
      </c>
      <c r="AG722" s="13" t="s">
        <v>33</v>
      </c>
      <c r="AH722" s="6" t="b">
        <v>0</v>
      </c>
      <c r="AI722" s="13" t="s">
        <v>33</v>
      </c>
      <c r="AJ722" s="13" t="s">
        <v>33</v>
      </c>
      <c r="AK722" s="13" t="s">
        <v>33</v>
      </c>
      <c r="AL722" s="6">
        <v>0</v>
      </c>
      <c r="AM722" s="13" t="s">
        <v>33</v>
      </c>
    </row>
    <row r="723" spans="1:39" ht="15" customHeight="1" x14ac:dyDescent="0.3">
      <c r="A723" s="6" t="s">
        <v>446</v>
      </c>
      <c r="B723" s="7" t="str">
        <f>Odds_Input!C481</f>
        <v>Victor Wembanyama</v>
      </c>
      <c r="C723" s="6" t="s">
        <v>33</v>
      </c>
      <c r="D723" s="7" t="str">
        <f>Odds_Input!D481</f>
        <v>YES</v>
      </c>
      <c r="E723" s="31" t="str">
        <f>Odds_Input!E481</f>
        <v>-</v>
      </c>
      <c r="F723" s="32">
        <f>Odds_Input!F481</f>
        <v>500</v>
      </c>
      <c r="G723" s="36">
        <f>M_DeVig!H481</f>
        <v>6</v>
      </c>
      <c r="H723" s="7" t="str">
        <f>Odds_Input!G481</f>
        <v>-</v>
      </c>
      <c r="I723" s="42">
        <f>M_DeVig!Q481</f>
        <v>0.14119708310135354</v>
      </c>
      <c r="J723" s="13" t="s">
        <v>33</v>
      </c>
      <c r="K723" s="43">
        <f t="shared" si="140"/>
        <v>608.22992800933696</v>
      </c>
      <c r="L723" s="13" t="s">
        <v>33</v>
      </c>
      <c r="M723" s="13" t="s">
        <v>33</v>
      </c>
      <c r="N723" s="13" t="s">
        <v>33</v>
      </c>
      <c r="O723" s="13" t="s">
        <v>33</v>
      </c>
      <c r="P723" s="13" t="s">
        <v>33</v>
      </c>
      <c r="Q723" s="13" t="s">
        <v>33</v>
      </c>
      <c r="R723" s="13" t="s">
        <v>33</v>
      </c>
      <c r="S723" s="13" t="s">
        <v>33</v>
      </c>
      <c r="T723" s="13" t="s">
        <v>33</v>
      </c>
      <c r="U723" s="13" t="s">
        <v>33</v>
      </c>
      <c r="V723" s="13" t="s">
        <v>33</v>
      </c>
      <c r="W723" s="6" t="b">
        <v>0</v>
      </c>
      <c r="X723" s="6" t="s">
        <v>1301</v>
      </c>
      <c r="Y723" s="6" t="s">
        <v>1307</v>
      </c>
      <c r="Z723" s="6">
        <v>473</v>
      </c>
      <c r="AA723" s="7" t="str">
        <f t="shared" si="141"/>
        <v>OK - sims match current assumptions</v>
      </c>
      <c r="AB723" s="13" t="s">
        <v>33</v>
      </c>
      <c r="AC723" s="13" t="s">
        <v>33</v>
      </c>
      <c r="AD723" s="13" t="s">
        <v>33</v>
      </c>
      <c r="AE723" s="13" t="s">
        <v>33</v>
      </c>
      <c r="AF723" s="13" t="s">
        <v>33</v>
      </c>
      <c r="AG723" s="13" t="s">
        <v>33</v>
      </c>
      <c r="AH723" s="6" t="b">
        <v>0</v>
      </c>
      <c r="AI723" s="13" t="s">
        <v>33</v>
      </c>
      <c r="AJ723" s="13" t="s">
        <v>33</v>
      </c>
      <c r="AK723" s="13" t="s">
        <v>33</v>
      </c>
      <c r="AL723" s="6">
        <v>0</v>
      </c>
      <c r="AM723" s="13" t="s">
        <v>33</v>
      </c>
    </row>
    <row r="724" spans="1:39" ht="15" customHeight="1" x14ac:dyDescent="0.3">
      <c r="A724" s="6" t="s">
        <v>446</v>
      </c>
      <c r="B724" s="7" t="str">
        <f>Odds_Input!C482</f>
        <v>Jayson Tatum</v>
      </c>
      <c r="C724" s="6" t="s">
        <v>33</v>
      </c>
      <c r="D724" s="7" t="str">
        <f>Odds_Input!D482</f>
        <v>YES</v>
      </c>
      <c r="E724" s="31" t="str">
        <f>Odds_Input!E482</f>
        <v>-</v>
      </c>
      <c r="F724" s="32">
        <f>Odds_Input!F482</f>
        <v>1400</v>
      </c>
      <c r="G724" s="36">
        <f>M_DeVig!H482</f>
        <v>15</v>
      </c>
      <c r="H724" s="7" t="str">
        <f>Odds_Input!G482</f>
        <v>-</v>
      </c>
      <c r="I724" s="42">
        <f>M_DeVig!Q482</f>
        <v>5.3961290679932106E-2</v>
      </c>
      <c r="J724" s="13" t="s">
        <v>33</v>
      </c>
      <c r="K724" s="43">
        <f t="shared" si="140"/>
        <v>1753.1802842364079</v>
      </c>
      <c r="L724" s="13" t="s">
        <v>33</v>
      </c>
      <c r="M724" s="13" t="s">
        <v>33</v>
      </c>
      <c r="N724" s="13" t="s">
        <v>33</v>
      </c>
      <c r="O724" s="13" t="s">
        <v>33</v>
      </c>
      <c r="P724" s="13" t="s">
        <v>33</v>
      </c>
      <c r="Q724" s="13" t="s">
        <v>33</v>
      </c>
      <c r="R724" s="13" t="s">
        <v>33</v>
      </c>
      <c r="S724" s="13" t="s">
        <v>33</v>
      </c>
      <c r="T724" s="13" t="s">
        <v>33</v>
      </c>
      <c r="U724" s="13" t="s">
        <v>33</v>
      </c>
      <c r="V724" s="13" t="s">
        <v>33</v>
      </c>
      <c r="W724" s="6" t="b">
        <v>0</v>
      </c>
      <c r="X724" s="6" t="s">
        <v>1301</v>
      </c>
      <c r="Y724" s="6" t="s">
        <v>1307</v>
      </c>
      <c r="Z724" s="6">
        <v>474</v>
      </c>
      <c r="AA724" s="7" t="str">
        <f t="shared" si="141"/>
        <v>OK - sims match current assumptions</v>
      </c>
      <c r="AB724" s="13" t="s">
        <v>33</v>
      </c>
      <c r="AC724" s="13" t="s">
        <v>33</v>
      </c>
      <c r="AD724" s="13" t="s">
        <v>33</v>
      </c>
      <c r="AE724" s="13" t="s">
        <v>33</v>
      </c>
      <c r="AF724" s="13" t="s">
        <v>33</v>
      </c>
      <c r="AG724" s="13" t="s">
        <v>33</v>
      </c>
      <c r="AH724" s="6" t="b">
        <v>0</v>
      </c>
      <c r="AI724" s="13" t="s">
        <v>33</v>
      </c>
      <c r="AJ724" s="13" t="s">
        <v>33</v>
      </c>
      <c r="AK724" s="13" t="s">
        <v>33</v>
      </c>
      <c r="AL724" s="6">
        <v>0</v>
      </c>
      <c r="AM724" s="13" t="s">
        <v>33</v>
      </c>
    </row>
    <row r="725" spans="1:39" ht="15" customHeight="1" x14ac:dyDescent="0.3">
      <c r="A725" s="6" t="s">
        <v>446</v>
      </c>
      <c r="B725" s="7" t="str">
        <f>Odds_Input!C483</f>
        <v>Cade Cunningham</v>
      </c>
      <c r="C725" s="6" t="s">
        <v>33</v>
      </c>
      <c r="D725" s="7" t="str">
        <f>Odds_Input!D483</f>
        <v>YES</v>
      </c>
      <c r="E725" s="31" t="str">
        <f>Odds_Input!E483</f>
        <v>-</v>
      </c>
      <c r="F725" s="32">
        <f>Odds_Input!F483</f>
        <v>1600</v>
      </c>
      <c r="G725" s="36">
        <f>M_DeVig!H483</f>
        <v>17</v>
      </c>
      <c r="H725" s="7" t="str">
        <f>Odds_Input!G483</f>
        <v>-</v>
      </c>
      <c r="I725" s="42">
        <f>M_DeVig!Q483</f>
        <v>4.7133725220903276E-2</v>
      </c>
      <c r="J725" s="13" t="s">
        <v>33</v>
      </c>
      <c r="K725" s="43">
        <f t="shared" si="140"/>
        <v>2021.6230953807813</v>
      </c>
      <c r="L725" s="13" t="s">
        <v>33</v>
      </c>
      <c r="M725" s="13" t="s">
        <v>33</v>
      </c>
      <c r="N725" s="13" t="s">
        <v>33</v>
      </c>
      <c r="O725" s="13" t="s">
        <v>33</v>
      </c>
      <c r="P725" s="13" t="s">
        <v>33</v>
      </c>
      <c r="Q725" s="13" t="s">
        <v>33</v>
      </c>
      <c r="R725" s="13" t="s">
        <v>33</v>
      </c>
      <c r="S725" s="13" t="s">
        <v>33</v>
      </c>
      <c r="T725" s="13" t="s">
        <v>33</v>
      </c>
      <c r="U725" s="13" t="s">
        <v>33</v>
      </c>
      <c r="V725" s="13" t="s">
        <v>33</v>
      </c>
      <c r="W725" s="6" t="b">
        <v>0</v>
      </c>
      <c r="X725" s="6" t="s">
        <v>1301</v>
      </c>
      <c r="Y725" s="6" t="s">
        <v>1307</v>
      </c>
      <c r="Z725" s="6">
        <v>475</v>
      </c>
      <c r="AA725" s="7" t="str">
        <f t="shared" si="141"/>
        <v>OK - sims match current assumptions</v>
      </c>
      <c r="AB725" s="13" t="s">
        <v>33</v>
      </c>
      <c r="AC725" s="13" t="s">
        <v>33</v>
      </c>
      <c r="AD725" s="13" t="s">
        <v>33</v>
      </c>
      <c r="AE725" s="13" t="s">
        <v>33</v>
      </c>
      <c r="AF725" s="13" t="s">
        <v>33</v>
      </c>
      <c r="AG725" s="13" t="s">
        <v>33</v>
      </c>
      <c r="AH725" s="6" t="b">
        <v>0</v>
      </c>
      <c r="AI725" s="13" t="s">
        <v>33</v>
      </c>
      <c r="AJ725" s="13" t="s">
        <v>33</v>
      </c>
      <c r="AK725" s="13" t="s">
        <v>33</v>
      </c>
      <c r="AL725" s="6">
        <v>0</v>
      </c>
      <c r="AM725" s="13" t="s">
        <v>33</v>
      </c>
    </row>
    <row r="726" spans="1:39" ht="15" customHeight="1" x14ac:dyDescent="0.3">
      <c r="A726" s="6" t="s">
        <v>446</v>
      </c>
      <c r="B726" s="7" t="str">
        <f>Odds_Input!C484</f>
        <v>Chet Holmgren</v>
      </c>
      <c r="C726" s="6" t="s">
        <v>33</v>
      </c>
      <c r="D726" s="7" t="str">
        <f>Odds_Input!D484</f>
        <v>YES</v>
      </c>
      <c r="E726" s="31" t="str">
        <f>Odds_Input!E484</f>
        <v>-</v>
      </c>
      <c r="F726" s="32">
        <f>Odds_Input!F484</f>
        <v>2000</v>
      </c>
      <c r="G726" s="36">
        <f>M_DeVig!H484</f>
        <v>21</v>
      </c>
      <c r="H726" s="7" t="str">
        <f>Odds_Input!G484</f>
        <v>-</v>
      </c>
      <c r="I726" s="42">
        <f>M_DeVig!Q484</f>
        <v>3.739275581733096E-2</v>
      </c>
      <c r="J726" s="13" t="s">
        <v>33</v>
      </c>
      <c r="K726" s="43">
        <f t="shared" si="140"/>
        <v>2574.3147921087848</v>
      </c>
      <c r="L726" s="13" t="s">
        <v>33</v>
      </c>
      <c r="M726" s="13" t="s">
        <v>33</v>
      </c>
      <c r="N726" s="13" t="s">
        <v>33</v>
      </c>
      <c r="O726" s="13" t="s">
        <v>33</v>
      </c>
      <c r="P726" s="13" t="s">
        <v>33</v>
      </c>
      <c r="Q726" s="13" t="s">
        <v>33</v>
      </c>
      <c r="R726" s="13" t="s">
        <v>33</v>
      </c>
      <c r="S726" s="13" t="s">
        <v>33</v>
      </c>
      <c r="T726" s="13" t="s">
        <v>33</v>
      </c>
      <c r="U726" s="13" t="s">
        <v>33</v>
      </c>
      <c r="V726" s="13" t="s">
        <v>33</v>
      </c>
      <c r="W726" s="6" t="b">
        <v>0</v>
      </c>
      <c r="X726" s="6" t="s">
        <v>1301</v>
      </c>
      <c r="Y726" s="6" t="s">
        <v>1307</v>
      </c>
      <c r="Z726" s="6">
        <v>476</v>
      </c>
      <c r="AA726" s="7" t="str">
        <f t="shared" si="141"/>
        <v>OK - sims match current assumptions</v>
      </c>
      <c r="AB726" s="13" t="s">
        <v>33</v>
      </c>
      <c r="AC726" s="13" t="s">
        <v>33</v>
      </c>
      <c r="AD726" s="13" t="s">
        <v>33</v>
      </c>
      <c r="AE726" s="13" t="s">
        <v>33</v>
      </c>
      <c r="AF726" s="13" t="s">
        <v>33</v>
      </c>
      <c r="AG726" s="13" t="s">
        <v>33</v>
      </c>
      <c r="AH726" s="6" t="b">
        <v>0</v>
      </c>
      <c r="AI726" s="13" t="s">
        <v>33</v>
      </c>
      <c r="AJ726" s="13" t="s">
        <v>33</v>
      </c>
      <c r="AK726" s="13" t="s">
        <v>33</v>
      </c>
      <c r="AL726" s="6">
        <v>0</v>
      </c>
      <c r="AM726" s="13" t="s">
        <v>33</v>
      </c>
    </row>
    <row r="727" spans="1:39" ht="15" customHeight="1" x14ac:dyDescent="0.3">
      <c r="A727" s="6" t="s">
        <v>446</v>
      </c>
      <c r="B727" s="7" t="str">
        <f>Odds_Input!C485</f>
        <v>Jalen Williams</v>
      </c>
      <c r="C727" s="6" t="s">
        <v>33</v>
      </c>
      <c r="D727" s="7" t="str">
        <f>Odds_Input!D485</f>
        <v>YES</v>
      </c>
      <c r="E727" s="31" t="str">
        <f>Odds_Input!E485</f>
        <v>-</v>
      </c>
      <c r="F727" s="32">
        <f>Odds_Input!F485</f>
        <v>2000</v>
      </c>
      <c r="G727" s="36">
        <f>M_DeVig!H485</f>
        <v>21</v>
      </c>
      <c r="H727" s="7" t="str">
        <f>Odds_Input!G485</f>
        <v>-</v>
      </c>
      <c r="I727" s="42">
        <f>M_DeVig!Q485</f>
        <v>3.739275581733096E-2</v>
      </c>
      <c r="J727" s="13" t="s">
        <v>33</v>
      </c>
      <c r="K727" s="43">
        <f t="shared" si="140"/>
        <v>2574.3147921087848</v>
      </c>
      <c r="L727" s="13" t="s">
        <v>33</v>
      </c>
      <c r="M727" s="13" t="s">
        <v>33</v>
      </c>
      <c r="N727" s="13" t="s">
        <v>33</v>
      </c>
      <c r="O727" s="13" t="s">
        <v>33</v>
      </c>
      <c r="P727" s="13" t="s">
        <v>33</v>
      </c>
      <c r="Q727" s="13" t="s">
        <v>33</v>
      </c>
      <c r="R727" s="13" t="s">
        <v>33</v>
      </c>
      <c r="S727" s="13" t="s">
        <v>33</v>
      </c>
      <c r="T727" s="13" t="s">
        <v>33</v>
      </c>
      <c r="U727" s="13" t="s">
        <v>33</v>
      </c>
      <c r="V727" s="13" t="s">
        <v>33</v>
      </c>
      <c r="W727" s="6" t="b">
        <v>0</v>
      </c>
      <c r="X727" s="6" t="s">
        <v>1301</v>
      </c>
      <c r="Y727" s="6" t="s">
        <v>1307</v>
      </c>
      <c r="Z727" s="6">
        <v>477</v>
      </c>
      <c r="AA727" s="7" t="str">
        <f t="shared" si="141"/>
        <v>OK - sims match current assumptions</v>
      </c>
      <c r="AB727" s="13" t="s">
        <v>33</v>
      </c>
      <c r="AC727" s="13" t="s">
        <v>33</v>
      </c>
      <c r="AD727" s="13" t="s">
        <v>33</v>
      </c>
      <c r="AE727" s="13" t="s">
        <v>33</v>
      </c>
      <c r="AF727" s="13" t="s">
        <v>33</v>
      </c>
      <c r="AG727" s="13" t="s">
        <v>33</v>
      </c>
      <c r="AH727" s="6" t="b">
        <v>0</v>
      </c>
      <c r="AI727" s="13" t="s">
        <v>33</v>
      </c>
      <c r="AJ727" s="13" t="s">
        <v>33</v>
      </c>
      <c r="AK727" s="13" t="s">
        <v>33</v>
      </c>
      <c r="AL727" s="6">
        <v>0</v>
      </c>
      <c r="AM727" s="13" t="s">
        <v>33</v>
      </c>
    </row>
    <row r="728" spans="1:39" ht="15" customHeight="1" x14ac:dyDescent="0.3">
      <c r="A728" s="6" t="s">
        <v>446</v>
      </c>
      <c r="B728" s="7" t="str">
        <f>Odds_Input!C486</f>
        <v>Jalen Brunson</v>
      </c>
      <c r="C728" s="6" t="s">
        <v>33</v>
      </c>
      <c r="D728" s="7" t="str">
        <f>Odds_Input!D486</f>
        <v>YES</v>
      </c>
      <c r="E728" s="31" t="str">
        <f>Odds_Input!E486</f>
        <v>-</v>
      </c>
      <c r="F728" s="32">
        <f>Odds_Input!F486</f>
        <v>1800</v>
      </c>
      <c r="G728" s="36">
        <f>M_DeVig!H486</f>
        <v>19</v>
      </c>
      <c r="H728" s="7" t="str">
        <f>Odds_Input!G486</f>
        <v>-</v>
      </c>
      <c r="I728" s="42">
        <f>M_DeVig!Q486</f>
        <v>4.1748223564223648E-2</v>
      </c>
      <c r="J728" s="13" t="s">
        <v>33</v>
      </c>
      <c r="K728" s="43">
        <f t="shared" si="140"/>
        <v>2295.3114998094316</v>
      </c>
      <c r="L728" s="13" t="s">
        <v>33</v>
      </c>
      <c r="M728" s="13" t="s">
        <v>33</v>
      </c>
      <c r="N728" s="13" t="s">
        <v>33</v>
      </c>
      <c r="O728" s="13" t="s">
        <v>33</v>
      </c>
      <c r="P728" s="13" t="s">
        <v>33</v>
      </c>
      <c r="Q728" s="13" t="s">
        <v>33</v>
      </c>
      <c r="R728" s="13" t="s">
        <v>33</v>
      </c>
      <c r="S728" s="13" t="s">
        <v>33</v>
      </c>
      <c r="T728" s="13" t="s">
        <v>33</v>
      </c>
      <c r="U728" s="13" t="s">
        <v>33</v>
      </c>
      <c r="V728" s="13" t="s">
        <v>33</v>
      </c>
      <c r="W728" s="6" t="b">
        <v>0</v>
      </c>
      <c r="X728" s="6" t="s">
        <v>1301</v>
      </c>
      <c r="Y728" s="6" t="s">
        <v>1307</v>
      </c>
      <c r="Z728" s="6">
        <v>478</v>
      </c>
      <c r="AA728" s="7" t="str">
        <f t="shared" si="141"/>
        <v>OK - sims match current assumptions</v>
      </c>
      <c r="AB728" s="13" t="s">
        <v>33</v>
      </c>
      <c r="AC728" s="13" t="s">
        <v>33</v>
      </c>
      <c r="AD728" s="13" t="s">
        <v>33</v>
      </c>
      <c r="AE728" s="13" t="s">
        <v>33</v>
      </c>
      <c r="AF728" s="13" t="s">
        <v>33</v>
      </c>
      <c r="AG728" s="13" t="s">
        <v>33</v>
      </c>
      <c r="AH728" s="6" t="b">
        <v>0</v>
      </c>
      <c r="AI728" s="13" t="s">
        <v>33</v>
      </c>
      <c r="AJ728" s="13" t="s">
        <v>33</v>
      </c>
      <c r="AK728" s="13" t="s">
        <v>33</v>
      </c>
      <c r="AL728" s="6">
        <v>0</v>
      </c>
      <c r="AM728" s="13" t="s">
        <v>33</v>
      </c>
    </row>
    <row r="729" spans="1:39" ht="15" customHeight="1" x14ac:dyDescent="0.3">
      <c r="A729" s="6" t="s">
        <v>446</v>
      </c>
      <c r="B729" s="7" t="str">
        <f>Odds_Input!C487</f>
        <v>Nikola Jokic</v>
      </c>
      <c r="C729" s="6" t="s">
        <v>33</v>
      </c>
      <c r="D729" s="7" t="str">
        <f>Odds_Input!D487</f>
        <v>YES</v>
      </c>
      <c r="E729" s="31" t="str">
        <f>Odds_Input!E487</f>
        <v>-</v>
      </c>
      <c r="F729" s="32">
        <f>Odds_Input!F487</f>
        <v>2200</v>
      </c>
      <c r="G729" s="36">
        <f>M_DeVig!H487</f>
        <v>23</v>
      </c>
      <c r="H729" s="7" t="str">
        <f>Odds_Input!G487</f>
        <v>-</v>
      </c>
      <c r="I729" s="42">
        <f>M_DeVig!Q487</f>
        <v>3.379860570686264E-2</v>
      </c>
      <c r="J729" s="13" t="s">
        <v>33</v>
      </c>
      <c r="K729" s="43">
        <f t="shared" si="140"/>
        <v>2858.7019318875482</v>
      </c>
      <c r="L729" s="13" t="s">
        <v>33</v>
      </c>
      <c r="M729" s="13" t="s">
        <v>33</v>
      </c>
      <c r="N729" s="13" t="s">
        <v>33</v>
      </c>
      <c r="O729" s="13" t="s">
        <v>33</v>
      </c>
      <c r="P729" s="13" t="s">
        <v>33</v>
      </c>
      <c r="Q729" s="13" t="s">
        <v>33</v>
      </c>
      <c r="R729" s="13" t="s">
        <v>33</v>
      </c>
      <c r="S729" s="13" t="s">
        <v>33</v>
      </c>
      <c r="T729" s="13" t="s">
        <v>33</v>
      </c>
      <c r="U729" s="13" t="s">
        <v>33</v>
      </c>
      <c r="V729" s="13" t="s">
        <v>33</v>
      </c>
      <c r="W729" s="6" t="b">
        <v>0</v>
      </c>
      <c r="X729" s="6" t="s">
        <v>1301</v>
      </c>
      <c r="Y729" s="6" t="s">
        <v>1307</v>
      </c>
      <c r="Z729" s="6">
        <v>479</v>
      </c>
      <c r="AA729" s="7" t="str">
        <f t="shared" si="141"/>
        <v>OK - sims match current assumptions</v>
      </c>
      <c r="AB729" s="13" t="s">
        <v>33</v>
      </c>
      <c r="AC729" s="13" t="s">
        <v>33</v>
      </c>
      <c r="AD729" s="13" t="s">
        <v>33</v>
      </c>
      <c r="AE729" s="13" t="s">
        <v>33</v>
      </c>
      <c r="AF729" s="13" t="s">
        <v>33</v>
      </c>
      <c r="AG729" s="13" t="s">
        <v>33</v>
      </c>
      <c r="AH729" s="6" t="b">
        <v>0</v>
      </c>
      <c r="AI729" s="13" t="s">
        <v>33</v>
      </c>
      <c r="AJ729" s="13" t="s">
        <v>33</v>
      </c>
      <c r="AK729" s="13" t="s">
        <v>33</v>
      </c>
      <c r="AL729" s="6">
        <v>0</v>
      </c>
      <c r="AM729" s="13" t="s">
        <v>33</v>
      </c>
    </row>
    <row r="730" spans="1:39" ht="15" customHeight="1" x14ac:dyDescent="0.3">
      <c r="A730" s="6" t="s">
        <v>446</v>
      </c>
      <c r="B730" s="7" t="str">
        <f>Odds_Input!C488</f>
        <v>Luka Doncic</v>
      </c>
      <c r="C730" s="6" t="s">
        <v>33</v>
      </c>
      <c r="D730" s="7" t="str">
        <f>Odds_Input!D488</f>
        <v>YES</v>
      </c>
      <c r="E730" s="31" t="str">
        <f>Odds_Input!E488</f>
        <v>-</v>
      </c>
      <c r="F730" s="32">
        <f>Odds_Input!F488</f>
        <v>3000</v>
      </c>
      <c r="G730" s="36">
        <f>M_DeVig!H488</f>
        <v>31</v>
      </c>
      <c r="H730" s="7" t="str">
        <f>Odds_Input!G488</f>
        <v>-</v>
      </c>
      <c r="I730" s="42">
        <f>M_DeVig!Q488</f>
        <v>2.4087942409441614E-2</v>
      </c>
      <c r="J730" s="13" t="s">
        <v>33</v>
      </c>
      <c r="K730" s="43">
        <f t="shared" si="140"/>
        <v>4051.4546282211122</v>
      </c>
      <c r="L730" s="13" t="s">
        <v>33</v>
      </c>
      <c r="M730" s="13" t="s">
        <v>33</v>
      </c>
      <c r="N730" s="13" t="s">
        <v>33</v>
      </c>
      <c r="O730" s="13" t="s">
        <v>33</v>
      </c>
      <c r="P730" s="13" t="s">
        <v>33</v>
      </c>
      <c r="Q730" s="13" t="s">
        <v>33</v>
      </c>
      <c r="R730" s="13" t="s">
        <v>33</v>
      </c>
      <c r="S730" s="13" t="s">
        <v>33</v>
      </c>
      <c r="T730" s="13" t="s">
        <v>33</v>
      </c>
      <c r="U730" s="13" t="s">
        <v>33</v>
      </c>
      <c r="V730" s="13" t="s">
        <v>33</v>
      </c>
      <c r="W730" s="6" t="b">
        <v>0</v>
      </c>
      <c r="X730" s="6" t="s">
        <v>1301</v>
      </c>
      <c r="Y730" s="6" t="s">
        <v>1307</v>
      </c>
      <c r="Z730" s="6">
        <v>480</v>
      </c>
      <c r="AA730" s="7" t="str">
        <f t="shared" si="141"/>
        <v>OK - sims match current assumptions</v>
      </c>
      <c r="AB730" s="13" t="s">
        <v>33</v>
      </c>
      <c r="AC730" s="13" t="s">
        <v>33</v>
      </c>
      <c r="AD730" s="13" t="s">
        <v>33</v>
      </c>
      <c r="AE730" s="13" t="s">
        <v>33</v>
      </c>
      <c r="AF730" s="13" t="s">
        <v>33</v>
      </c>
      <c r="AG730" s="13" t="s">
        <v>33</v>
      </c>
      <c r="AH730" s="6" t="b">
        <v>0</v>
      </c>
      <c r="AI730" s="13" t="s">
        <v>33</v>
      </c>
      <c r="AJ730" s="13" t="s">
        <v>33</v>
      </c>
      <c r="AK730" s="13" t="s">
        <v>33</v>
      </c>
      <c r="AL730" s="6">
        <v>0</v>
      </c>
      <c r="AM730" s="13" t="s">
        <v>33</v>
      </c>
    </row>
    <row r="731" spans="1:39" ht="15" customHeight="1" x14ac:dyDescent="0.3">
      <c r="A731" s="6" t="s">
        <v>446</v>
      </c>
      <c r="B731" s="7" t="str">
        <f>Odds_Input!C489</f>
        <v>Kawhi Leonard</v>
      </c>
      <c r="C731" s="6" t="s">
        <v>33</v>
      </c>
      <c r="D731" s="7" t="str">
        <f>Odds_Input!D489</f>
        <v>YES</v>
      </c>
      <c r="E731" s="31" t="str">
        <f>Odds_Input!E489</f>
        <v>-</v>
      </c>
      <c r="F731" s="32">
        <f>Odds_Input!F489</f>
        <v>2500</v>
      </c>
      <c r="G731" s="36">
        <f>M_DeVig!H489</f>
        <v>26</v>
      </c>
      <c r="H731" s="7" t="str">
        <f>Odds_Input!G489</f>
        <v>-</v>
      </c>
      <c r="I731" s="42">
        <f>M_DeVig!Q489</f>
        <v>2.9450506915241547E-2</v>
      </c>
      <c r="J731" s="13" t="s">
        <v>33</v>
      </c>
      <c r="K731" s="43">
        <f t="shared" si="140"/>
        <v>3295.5272922058571</v>
      </c>
      <c r="L731" s="13" t="s">
        <v>33</v>
      </c>
      <c r="M731" s="13" t="s">
        <v>33</v>
      </c>
      <c r="N731" s="13" t="s">
        <v>33</v>
      </c>
      <c r="O731" s="13" t="s">
        <v>33</v>
      </c>
      <c r="P731" s="13" t="s">
        <v>33</v>
      </c>
      <c r="Q731" s="13" t="s">
        <v>33</v>
      </c>
      <c r="R731" s="13" t="s">
        <v>33</v>
      </c>
      <c r="S731" s="13" t="s">
        <v>33</v>
      </c>
      <c r="T731" s="13" t="s">
        <v>33</v>
      </c>
      <c r="U731" s="13" t="s">
        <v>33</v>
      </c>
      <c r="V731" s="13" t="s">
        <v>33</v>
      </c>
      <c r="W731" s="6" t="b">
        <v>0</v>
      </c>
      <c r="X731" s="6" t="s">
        <v>1301</v>
      </c>
      <c r="Y731" s="6" t="s">
        <v>1307</v>
      </c>
      <c r="Z731" s="6">
        <v>481</v>
      </c>
      <c r="AA731" s="7" t="str">
        <f t="shared" si="141"/>
        <v>OK - sims match current assumptions</v>
      </c>
      <c r="AB731" s="13" t="s">
        <v>33</v>
      </c>
      <c r="AC731" s="13" t="s">
        <v>33</v>
      </c>
      <c r="AD731" s="13" t="s">
        <v>33</v>
      </c>
      <c r="AE731" s="13" t="s">
        <v>33</v>
      </c>
      <c r="AF731" s="13" t="s">
        <v>33</v>
      </c>
      <c r="AG731" s="13" t="s">
        <v>33</v>
      </c>
      <c r="AH731" s="6" t="b">
        <v>0</v>
      </c>
      <c r="AI731" s="13" t="s">
        <v>33</v>
      </c>
      <c r="AJ731" s="13" t="s">
        <v>33</v>
      </c>
      <c r="AK731" s="13" t="s">
        <v>33</v>
      </c>
      <c r="AL731" s="6">
        <v>0</v>
      </c>
      <c r="AM731" s="13" t="s">
        <v>33</v>
      </c>
    </row>
    <row r="732" spans="1:39" ht="15" customHeight="1" x14ac:dyDescent="0.3">
      <c r="A732" s="6" t="s">
        <v>446</v>
      </c>
      <c r="B732" s="7" t="str">
        <f>Odds_Input!C490</f>
        <v>Anthony Edwards</v>
      </c>
      <c r="C732" s="6" t="s">
        <v>33</v>
      </c>
      <c r="D732" s="7" t="str">
        <f>Odds_Input!D490</f>
        <v>YES</v>
      </c>
      <c r="E732" s="31" t="str">
        <f>Odds_Input!E490</f>
        <v>-</v>
      </c>
      <c r="F732" s="32">
        <f>Odds_Input!F490</f>
        <v>3000</v>
      </c>
      <c r="G732" s="36">
        <f>M_DeVig!H490</f>
        <v>31</v>
      </c>
      <c r="H732" s="7" t="str">
        <f>Odds_Input!G490</f>
        <v>-</v>
      </c>
      <c r="I732" s="42">
        <f>M_DeVig!Q490</f>
        <v>2.4087942409441614E-2</v>
      </c>
      <c r="J732" s="13" t="s">
        <v>33</v>
      </c>
      <c r="K732" s="43">
        <f t="shared" si="140"/>
        <v>4051.4546282211122</v>
      </c>
      <c r="L732" s="13" t="s">
        <v>33</v>
      </c>
      <c r="M732" s="13" t="s">
        <v>33</v>
      </c>
      <c r="N732" s="13" t="s">
        <v>33</v>
      </c>
      <c r="O732" s="13" t="s">
        <v>33</v>
      </c>
      <c r="P732" s="13" t="s">
        <v>33</v>
      </c>
      <c r="Q732" s="13" t="s">
        <v>33</v>
      </c>
      <c r="R732" s="13" t="s">
        <v>33</v>
      </c>
      <c r="S732" s="13" t="s">
        <v>33</v>
      </c>
      <c r="T732" s="13" t="s">
        <v>33</v>
      </c>
      <c r="U732" s="13" t="s">
        <v>33</v>
      </c>
      <c r="V732" s="13" t="s">
        <v>33</v>
      </c>
      <c r="W732" s="6" t="b">
        <v>0</v>
      </c>
      <c r="X732" s="6" t="s">
        <v>1301</v>
      </c>
      <c r="Y732" s="6" t="s">
        <v>1307</v>
      </c>
      <c r="Z732" s="6">
        <v>482</v>
      </c>
      <c r="AA732" s="7" t="str">
        <f t="shared" si="141"/>
        <v>OK - sims match current assumptions</v>
      </c>
      <c r="AB732" s="13" t="s">
        <v>33</v>
      </c>
      <c r="AC732" s="13" t="s">
        <v>33</v>
      </c>
      <c r="AD732" s="13" t="s">
        <v>33</v>
      </c>
      <c r="AE732" s="13" t="s">
        <v>33</v>
      </c>
      <c r="AF732" s="13" t="s">
        <v>33</v>
      </c>
      <c r="AG732" s="13" t="s">
        <v>33</v>
      </c>
      <c r="AH732" s="6" t="b">
        <v>0</v>
      </c>
      <c r="AI732" s="13" t="s">
        <v>33</v>
      </c>
      <c r="AJ732" s="13" t="s">
        <v>33</v>
      </c>
      <c r="AK732" s="13" t="s">
        <v>33</v>
      </c>
      <c r="AL732" s="6">
        <v>0</v>
      </c>
      <c r="AM732" s="13" t="s">
        <v>33</v>
      </c>
    </row>
    <row r="733" spans="1:39" ht="15" customHeight="1" x14ac:dyDescent="0.3">
      <c r="A733" s="6" t="s">
        <v>446</v>
      </c>
      <c r="B733" s="7" t="str">
        <f>Odds_Input!C491</f>
        <v>Stephon Castle</v>
      </c>
      <c r="C733" s="6" t="s">
        <v>33</v>
      </c>
      <c r="D733" s="7" t="str">
        <f>Odds_Input!D491</f>
        <v>YES</v>
      </c>
      <c r="E733" s="31" t="str">
        <f>Odds_Input!E491</f>
        <v>-</v>
      </c>
      <c r="F733" s="32">
        <f>Odds_Input!F491</f>
        <v>4000</v>
      </c>
      <c r="G733" s="36">
        <f>M_DeVig!H491</f>
        <v>41</v>
      </c>
      <c r="H733" s="7" t="str">
        <f>Odds_Input!G491</f>
        <v>-</v>
      </c>
      <c r="I733" s="42">
        <f>M_DeVig!Q491</f>
        <v>1.7326124216072127E-2</v>
      </c>
      <c r="J733" s="13" t="s">
        <v>33</v>
      </c>
      <c r="K733" s="43">
        <f t="shared" si="140"/>
        <v>5671.6312519125086</v>
      </c>
      <c r="L733" s="13" t="s">
        <v>33</v>
      </c>
      <c r="M733" s="13" t="s">
        <v>33</v>
      </c>
      <c r="N733" s="13" t="s">
        <v>33</v>
      </c>
      <c r="O733" s="13" t="s">
        <v>33</v>
      </c>
      <c r="P733" s="13" t="s">
        <v>33</v>
      </c>
      <c r="Q733" s="13" t="s">
        <v>33</v>
      </c>
      <c r="R733" s="13" t="s">
        <v>33</v>
      </c>
      <c r="S733" s="13" t="s">
        <v>33</v>
      </c>
      <c r="T733" s="13" t="s">
        <v>33</v>
      </c>
      <c r="U733" s="13" t="s">
        <v>33</v>
      </c>
      <c r="V733" s="13" t="s">
        <v>33</v>
      </c>
      <c r="W733" s="6" t="b">
        <v>0</v>
      </c>
      <c r="X733" s="6" t="s">
        <v>1301</v>
      </c>
      <c r="Y733" s="6" t="s">
        <v>1307</v>
      </c>
      <c r="Z733" s="6">
        <v>483</v>
      </c>
      <c r="AA733" s="7" t="str">
        <f t="shared" si="141"/>
        <v>OK - sims match current assumptions</v>
      </c>
      <c r="AB733" s="13" t="s">
        <v>33</v>
      </c>
      <c r="AC733" s="13" t="s">
        <v>33</v>
      </c>
      <c r="AD733" s="13" t="s">
        <v>33</v>
      </c>
      <c r="AE733" s="13" t="s">
        <v>33</v>
      </c>
      <c r="AF733" s="13" t="s">
        <v>33</v>
      </c>
      <c r="AG733" s="13" t="s">
        <v>33</v>
      </c>
      <c r="AH733" s="6" t="b">
        <v>0</v>
      </c>
      <c r="AI733" s="13" t="s">
        <v>33</v>
      </c>
      <c r="AJ733" s="13" t="s">
        <v>33</v>
      </c>
      <c r="AK733" s="13" t="s">
        <v>33</v>
      </c>
      <c r="AL733" s="6">
        <v>0</v>
      </c>
      <c r="AM733" s="13" t="s">
        <v>33</v>
      </c>
    </row>
    <row r="734" spans="1:39" ht="15" customHeight="1" x14ac:dyDescent="0.3">
      <c r="A734" s="6" t="s">
        <v>446</v>
      </c>
      <c r="B734" s="7" t="str">
        <f>Odds_Input!C492</f>
        <v>Tyrese Maxey</v>
      </c>
      <c r="C734" s="6" t="s">
        <v>33</v>
      </c>
      <c r="D734" s="7" t="str">
        <f>Odds_Input!D492</f>
        <v>YES</v>
      </c>
      <c r="E734" s="31" t="str">
        <f>Odds_Input!E492</f>
        <v>-</v>
      </c>
      <c r="F734" s="32">
        <f>Odds_Input!F492</f>
        <v>4000</v>
      </c>
      <c r="G734" s="36">
        <f>M_DeVig!H492</f>
        <v>41</v>
      </c>
      <c r="H734" s="7" t="str">
        <f>Odds_Input!G492</f>
        <v>-</v>
      </c>
      <c r="I734" s="42">
        <f>M_DeVig!Q492</f>
        <v>1.7326124216072127E-2</v>
      </c>
      <c r="J734" s="13" t="s">
        <v>33</v>
      </c>
      <c r="K734" s="43">
        <f t="shared" si="140"/>
        <v>5671.6312519125086</v>
      </c>
      <c r="L734" s="13" t="s">
        <v>33</v>
      </c>
      <c r="M734" s="13" t="s">
        <v>33</v>
      </c>
      <c r="N734" s="13" t="s">
        <v>33</v>
      </c>
      <c r="O734" s="13" t="s">
        <v>33</v>
      </c>
      <c r="P734" s="13" t="s">
        <v>33</v>
      </c>
      <c r="Q734" s="13" t="s">
        <v>33</v>
      </c>
      <c r="R734" s="13" t="s">
        <v>33</v>
      </c>
      <c r="S734" s="13" t="s">
        <v>33</v>
      </c>
      <c r="T734" s="13" t="s">
        <v>33</v>
      </c>
      <c r="U734" s="13" t="s">
        <v>33</v>
      </c>
      <c r="V734" s="13" t="s">
        <v>33</v>
      </c>
      <c r="W734" s="6" t="b">
        <v>0</v>
      </c>
      <c r="X734" s="6" t="s">
        <v>1301</v>
      </c>
      <c r="Y734" s="6" t="s">
        <v>1307</v>
      </c>
      <c r="Z734" s="6">
        <v>484</v>
      </c>
      <c r="AA734" s="7" t="str">
        <f t="shared" si="141"/>
        <v>OK - sims match current assumptions</v>
      </c>
      <c r="AB734" s="13" t="s">
        <v>33</v>
      </c>
      <c r="AC734" s="13" t="s">
        <v>33</v>
      </c>
      <c r="AD734" s="13" t="s">
        <v>33</v>
      </c>
      <c r="AE734" s="13" t="s">
        <v>33</v>
      </c>
      <c r="AF734" s="13" t="s">
        <v>33</v>
      </c>
      <c r="AG734" s="13" t="s">
        <v>33</v>
      </c>
      <c r="AH734" s="6" t="b">
        <v>0</v>
      </c>
      <c r="AI734" s="13" t="s">
        <v>33</v>
      </c>
      <c r="AJ734" s="13" t="s">
        <v>33</v>
      </c>
      <c r="AK734" s="13" t="s">
        <v>33</v>
      </c>
      <c r="AL734" s="6">
        <v>0</v>
      </c>
      <c r="AM734" s="13" t="s">
        <v>33</v>
      </c>
    </row>
    <row r="735" spans="1:39" ht="15" customHeight="1" x14ac:dyDescent="0.3">
      <c r="A735" s="6" t="s">
        <v>446</v>
      </c>
      <c r="B735" s="7" t="str">
        <f>Odds_Input!C493</f>
        <v>Paolo Banchero</v>
      </c>
      <c r="C735" s="6" t="s">
        <v>33</v>
      </c>
      <c r="D735" s="7" t="str">
        <f>Odds_Input!D493</f>
        <v>YES</v>
      </c>
      <c r="E735" s="31" t="str">
        <f>Odds_Input!E493</f>
        <v>-</v>
      </c>
      <c r="F735" s="32">
        <f>Odds_Input!F493</f>
        <v>4000</v>
      </c>
      <c r="G735" s="36">
        <f>M_DeVig!H493</f>
        <v>41</v>
      </c>
      <c r="H735" s="7" t="str">
        <f>Odds_Input!G493</f>
        <v>-</v>
      </c>
      <c r="I735" s="42">
        <f>M_DeVig!Q493</f>
        <v>1.7326124216072127E-2</v>
      </c>
      <c r="J735" s="13" t="s">
        <v>33</v>
      </c>
      <c r="K735" s="43">
        <f t="shared" si="140"/>
        <v>5671.6312519125086</v>
      </c>
      <c r="L735" s="13" t="s">
        <v>33</v>
      </c>
      <c r="M735" s="13" t="s">
        <v>33</v>
      </c>
      <c r="N735" s="13" t="s">
        <v>33</v>
      </c>
      <c r="O735" s="13" t="s">
        <v>33</v>
      </c>
      <c r="P735" s="13" t="s">
        <v>33</v>
      </c>
      <c r="Q735" s="13" t="s">
        <v>33</v>
      </c>
      <c r="R735" s="13" t="s">
        <v>33</v>
      </c>
      <c r="S735" s="13" t="s">
        <v>33</v>
      </c>
      <c r="T735" s="13" t="s">
        <v>33</v>
      </c>
      <c r="U735" s="13" t="s">
        <v>33</v>
      </c>
      <c r="V735" s="13" t="s">
        <v>33</v>
      </c>
      <c r="W735" s="6" t="b">
        <v>0</v>
      </c>
      <c r="X735" s="6" t="s">
        <v>1301</v>
      </c>
      <c r="Y735" s="6" t="s">
        <v>1307</v>
      </c>
      <c r="Z735" s="6">
        <v>485</v>
      </c>
      <c r="AA735" s="7" t="str">
        <f t="shared" si="141"/>
        <v>OK - sims match current assumptions</v>
      </c>
      <c r="AB735" s="13" t="s">
        <v>33</v>
      </c>
      <c r="AC735" s="13" t="s">
        <v>33</v>
      </c>
      <c r="AD735" s="13" t="s">
        <v>33</v>
      </c>
      <c r="AE735" s="13" t="s">
        <v>33</v>
      </c>
      <c r="AF735" s="13" t="s">
        <v>33</v>
      </c>
      <c r="AG735" s="13" t="s">
        <v>33</v>
      </c>
      <c r="AH735" s="6" t="b">
        <v>0</v>
      </c>
      <c r="AI735" s="13" t="s">
        <v>33</v>
      </c>
      <c r="AJ735" s="13" t="s">
        <v>33</v>
      </c>
      <c r="AK735" s="13" t="s">
        <v>33</v>
      </c>
      <c r="AL735" s="6">
        <v>0</v>
      </c>
      <c r="AM735" s="13" t="s">
        <v>33</v>
      </c>
    </row>
    <row r="736" spans="1:39" ht="15" customHeight="1" x14ac:dyDescent="0.3">
      <c r="A736" s="6" t="s">
        <v>446</v>
      </c>
      <c r="B736" s="7" t="str">
        <f>Odds_Input!C494</f>
        <v>Jaylen Brown</v>
      </c>
      <c r="C736" s="6" t="s">
        <v>33</v>
      </c>
      <c r="D736" s="7" t="str">
        <f>Odds_Input!D494</f>
        <v>YES</v>
      </c>
      <c r="E736" s="31" t="str">
        <f>Odds_Input!E494</f>
        <v>-</v>
      </c>
      <c r="F736" s="32">
        <f>Odds_Input!F494</f>
        <v>4000</v>
      </c>
      <c r="G736" s="36">
        <f>M_DeVig!H494</f>
        <v>41</v>
      </c>
      <c r="H736" s="7" t="str">
        <f>Odds_Input!G494</f>
        <v>-</v>
      </c>
      <c r="I736" s="42">
        <f>M_DeVig!Q494</f>
        <v>1.7326124216072127E-2</v>
      </c>
      <c r="J736" s="13" t="s">
        <v>33</v>
      </c>
      <c r="K736" s="43">
        <f t="shared" si="140"/>
        <v>5671.6312519125086</v>
      </c>
      <c r="L736" s="13" t="s">
        <v>33</v>
      </c>
      <c r="M736" s="13" t="s">
        <v>33</v>
      </c>
      <c r="N736" s="13" t="s">
        <v>33</v>
      </c>
      <c r="O736" s="13" t="s">
        <v>33</v>
      </c>
      <c r="P736" s="13" t="s">
        <v>33</v>
      </c>
      <c r="Q736" s="13" t="s">
        <v>33</v>
      </c>
      <c r="R736" s="13" t="s">
        <v>33</v>
      </c>
      <c r="S736" s="13" t="s">
        <v>33</v>
      </c>
      <c r="T736" s="13" t="s">
        <v>33</v>
      </c>
      <c r="U736" s="13" t="s">
        <v>33</v>
      </c>
      <c r="V736" s="13" t="s">
        <v>33</v>
      </c>
      <c r="W736" s="6" t="b">
        <v>0</v>
      </c>
      <c r="X736" s="6" t="s">
        <v>1301</v>
      </c>
      <c r="Y736" s="6" t="s">
        <v>1307</v>
      </c>
      <c r="Z736" s="6">
        <v>486</v>
      </c>
      <c r="AA736" s="7" t="str">
        <f t="shared" si="141"/>
        <v>OK - sims match current assumptions</v>
      </c>
      <c r="AB736" s="13" t="s">
        <v>33</v>
      </c>
      <c r="AC736" s="13" t="s">
        <v>33</v>
      </c>
      <c r="AD736" s="13" t="s">
        <v>33</v>
      </c>
      <c r="AE736" s="13" t="s">
        <v>33</v>
      </c>
      <c r="AF736" s="13" t="s">
        <v>33</v>
      </c>
      <c r="AG736" s="13" t="s">
        <v>33</v>
      </c>
      <c r="AH736" s="6" t="b">
        <v>0</v>
      </c>
      <c r="AI736" s="13" t="s">
        <v>33</v>
      </c>
      <c r="AJ736" s="13" t="s">
        <v>33</v>
      </c>
      <c r="AK736" s="13" t="s">
        <v>33</v>
      </c>
      <c r="AL736" s="6">
        <v>0</v>
      </c>
      <c r="AM736" s="13" t="s">
        <v>33</v>
      </c>
    </row>
    <row r="737" spans="1:39" ht="15" customHeight="1" x14ac:dyDescent="0.3">
      <c r="A737" s="6" t="s">
        <v>446</v>
      </c>
      <c r="B737" s="7" t="str">
        <f>Odds_Input!C495</f>
        <v>Giannis Antetokounmpo</v>
      </c>
      <c r="C737" s="6" t="s">
        <v>33</v>
      </c>
      <c r="D737" s="7" t="str">
        <f>Odds_Input!D495</f>
        <v>YES</v>
      </c>
      <c r="E737" s="31" t="str">
        <f>Odds_Input!E495</f>
        <v>-</v>
      </c>
      <c r="F737" s="32">
        <f>Odds_Input!F495</f>
        <v>3500</v>
      </c>
      <c r="G737" s="36">
        <f>M_DeVig!H495</f>
        <v>36</v>
      </c>
      <c r="H737" s="7" t="str">
        <f>Odds_Input!G495</f>
        <v>-</v>
      </c>
      <c r="I737" s="42">
        <f>M_DeVig!Q495</f>
        <v>2.0230030769796879E-2</v>
      </c>
      <c r="J737" s="13" t="s">
        <v>33</v>
      </c>
      <c r="K737" s="43">
        <f t="shared" si="140"/>
        <v>4843.1462135637703</v>
      </c>
      <c r="L737" s="13" t="s">
        <v>33</v>
      </c>
      <c r="M737" s="13" t="s">
        <v>33</v>
      </c>
      <c r="N737" s="13" t="s">
        <v>33</v>
      </c>
      <c r="O737" s="13" t="s">
        <v>33</v>
      </c>
      <c r="P737" s="13" t="s">
        <v>33</v>
      </c>
      <c r="Q737" s="13" t="s">
        <v>33</v>
      </c>
      <c r="R737" s="13" t="s">
        <v>33</v>
      </c>
      <c r="S737" s="13" t="s">
        <v>33</v>
      </c>
      <c r="T737" s="13" t="s">
        <v>33</v>
      </c>
      <c r="U737" s="13" t="s">
        <v>33</v>
      </c>
      <c r="V737" s="13" t="s">
        <v>33</v>
      </c>
      <c r="W737" s="6" t="b">
        <v>0</v>
      </c>
      <c r="X737" s="6" t="s">
        <v>1301</v>
      </c>
      <c r="Y737" s="6" t="s">
        <v>1307</v>
      </c>
      <c r="Z737" s="6">
        <v>487</v>
      </c>
      <c r="AA737" s="7" t="str">
        <f t="shared" si="141"/>
        <v>OK - sims match current assumptions</v>
      </c>
      <c r="AB737" s="13" t="s">
        <v>33</v>
      </c>
      <c r="AC737" s="13" t="s">
        <v>33</v>
      </c>
      <c r="AD737" s="13" t="s">
        <v>33</v>
      </c>
      <c r="AE737" s="13" t="s">
        <v>33</v>
      </c>
      <c r="AF737" s="13" t="s">
        <v>33</v>
      </c>
      <c r="AG737" s="13" t="s">
        <v>33</v>
      </c>
      <c r="AH737" s="6" t="b">
        <v>0</v>
      </c>
      <c r="AI737" s="13" t="s">
        <v>33</v>
      </c>
      <c r="AJ737" s="13" t="s">
        <v>33</v>
      </c>
      <c r="AK737" s="13" t="s">
        <v>33</v>
      </c>
      <c r="AL737" s="6">
        <v>0</v>
      </c>
      <c r="AM737" s="13" t="s">
        <v>33</v>
      </c>
    </row>
    <row r="738" spans="1:39" ht="15" customHeight="1" x14ac:dyDescent="0.3">
      <c r="A738" s="6" t="s">
        <v>446</v>
      </c>
      <c r="B738" s="7" t="str">
        <f>Odds_Input!C496</f>
        <v>LaMelo Ball</v>
      </c>
      <c r="C738" s="6" t="s">
        <v>33</v>
      </c>
      <c r="D738" s="7" t="str">
        <f>Odds_Input!D496</f>
        <v>YES</v>
      </c>
      <c r="E738" s="31" t="str">
        <f>Odds_Input!E496</f>
        <v>-</v>
      </c>
      <c r="F738" s="32">
        <f>Odds_Input!F496</f>
        <v>5000</v>
      </c>
      <c r="G738" s="36">
        <f>M_DeVig!H496</f>
        <v>51</v>
      </c>
      <c r="H738" s="7" t="str">
        <f>Odds_Input!G496</f>
        <v>-</v>
      </c>
      <c r="I738" s="42">
        <f>M_DeVig!Q496</f>
        <v>1.3257355911789811E-2</v>
      </c>
      <c r="J738" s="13" t="s">
        <v>33</v>
      </c>
      <c r="K738" s="43">
        <f t="shared" si="140"/>
        <v>7442.9822255182626</v>
      </c>
      <c r="L738" s="13" t="s">
        <v>33</v>
      </c>
      <c r="M738" s="13" t="s">
        <v>33</v>
      </c>
      <c r="N738" s="13" t="s">
        <v>33</v>
      </c>
      <c r="O738" s="13" t="s">
        <v>33</v>
      </c>
      <c r="P738" s="13" t="s">
        <v>33</v>
      </c>
      <c r="Q738" s="13" t="s">
        <v>33</v>
      </c>
      <c r="R738" s="13" t="s">
        <v>33</v>
      </c>
      <c r="S738" s="13" t="s">
        <v>33</v>
      </c>
      <c r="T738" s="13" t="s">
        <v>33</v>
      </c>
      <c r="U738" s="13" t="s">
        <v>33</v>
      </c>
      <c r="V738" s="13" t="s">
        <v>33</v>
      </c>
      <c r="W738" s="6" t="b">
        <v>0</v>
      </c>
      <c r="X738" s="6" t="s">
        <v>1301</v>
      </c>
      <c r="Y738" s="6" t="s">
        <v>1307</v>
      </c>
      <c r="Z738" s="6">
        <v>488</v>
      </c>
      <c r="AA738" s="7" t="str">
        <f t="shared" si="141"/>
        <v>OK - sims match current assumptions</v>
      </c>
      <c r="AB738" s="13" t="s">
        <v>33</v>
      </c>
      <c r="AC738" s="13" t="s">
        <v>33</v>
      </c>
      <c r="AD738" s="13" t="s">
        <v>33</v>
      </c>
      <c r="AE738" s="13" t="s">
        <v>33</v>
      </c>
      <c r="AF738" s="13" t="s">
        <v>33</v>
      </c>
      <c r="AG738" s="13" t="s">
        <v>33</v>
      </c>
      <c r="AH738" s="6" t="b">
        <v>0</v>
      </c>
      <c r="AI738" s="13" t="s">
        <v>33</v>
      </c>
      <c r="AJ738" s="13" t="s">
        <v>33</v>
      </c>
      <c r="AK738" s="13" t="s">
        <v>33</v>
      </c>
      <c r="AL738" s="6">
        <v>0</v>
      </c>
      <c r="AM738" s="13" t="s">
        <v>33</v>
      </c>
    </row>
    <row r="739" spans="1:39" ht="15" customHeight="1" x14ac:dyDescent="0.3">
      <c r="A739" s="6" t="s">
        <v>446</v>
      </c>
      <c r="B739" s="7" t="str">
        <f>Odds_Input!C497</f>
        <v>Jalen Johnson</v>
      </c>
      <c r="C739" s="6" t="s">
        <v>33</v>
      </c>
      <c r="D739" s="7" t="str">
        <f>Odds_Input!D497</f>
        <v>YES</v>
      </c>
      <c r="E739" s="31" t="str">
        <f>Odds_Input!E497</f>
        <v>-</v>
      </c>
      <c r="F739" s="32">
        <f>Odds_Input!F497</f>
        <v>4500</v>
      </c>
      <c r="G739" s="36">
        <f>M_DeVig!H497</f>
        <v>46</v>
      </c>
      <c r="H739" s="7" t="str">
        <f>Odds_Input!G497</f>
        <v>-</v>
      </c>
      <c r="I739" s="42">
        <f>M_DeVig!Q497</f>
        <v>1.5064968835491967E-2</v>
      </c>
      <c r="J739" s="13" t="s">
        <v>33</v>
      </c>
      <c r="K739" s="43">
        <f t="shared" si="140"/>
        <v>6537.9161544899644</v>
      </c>
      <c r="L739" s="13" t="s">
        <v>33</v>
      </c>
      <c r="M739" s="13" t="s">
        <v>33</v>
      </c>
      <c r="N739" s="13" t="s">
        <v>33</v>
      </c>
      <c r="O739" s="13" t="s">
        <v>33</v>
      </c>
      <c r="P739" s="13" t="s">
        <v>33</v>
      </c>
      <c r="Q739" s="13" t="s">
        <v>33</v>
      </c>
      <c r="R739" s="13" t="s">
        <v>33</v>
      </c>
      <c r="S739" s="13" t="s">
        <v>33</v>
      </c>
      <c r="T739" s="13" t="s">
        <v>33</v>
      </c>
      <c r="U739" s="13" t="s">
        <v>33</v>
      </c>
      <c r="V739" s="13" t="s">
        <v>33</v>
      </c>
      <c r="W739" s="6" t="b">
        <v>0</v>
      </c>
      <c r="X739" s="6" t="s">
        <v>1301</v>
      </c>
      <c r="Y739" s="6" t="s">
        <v>1307</v>
      </c>
      <c r="Z739" s="6">
        <v>489</v>
      </c>
      <c r="AA739" s="7" t="str">
        <f t="shared" si="141"/>
        <v>OK - sims match current assumptions</v>
      </c>
      <c r="AB739" s="13" t="s">
        <v>33</v>
      </c>
      <c r="AC739" s="13" t="s">
        <v>33</v>
      </c>
      <c r="AD739" s="13" t="s">
        <v>33</v>
      </c>
      <c r="AE739" s="13" t="s">
        <v>33</v>
      </c>
      <c r="AF739" s="13" t="s">
        <v>33</v>
      </c>
      <c r="AG739" s="13" t="s">
        <v>33</v>
      </c>
      <c r="AH739" s="6" t="b">
        <v>0</v>
      </c>
      <c r="AI739" s="13" t="s">
        <v>33</v>
      </c>
      <c r="AJ739" s="13" t="s">
        <v>33</v>
      </c>
      <c r="AK739" s="13" t="s">
        <v>33</v>
      </c>
      <c r="AL739" s="6">
        <v>0</v>
      </c>
      <c r="AM739" s="13" t="s">
        <v>33</v>
      </c>
    </row>
    <row r="740" spans="1:39" ht="15" customHeight="1" x14ac:dyDescent="0.3">
      <c r="A740" s="6" t="s">
        <v>446</v>
      </c>
      <c r="B740" s="7" t="str">
        <f>Odds_Input!C498</f>
        <v>Donovan Mitchell</v>
      </c>
      <c r="C740" s="6" t="s">
        <v>33</v>
      </c>
      <c r="D740" s="7" t="str">
        <f>Odds_Input!D498</f>
        <v>YES</v>
      </c>
      <c r="E740" s="31" t="str">
        <f>Odds_Input!E498</f>
        <v>-</v>
      </c>
      <c r="F740" s="32">
        <f>Odds_Input!F498</f>
        <v>3300</v>
      </c>
      <c r="G740" s="36">
        <f>M_DeVig!H498</f>
        <v>34</v>
      </c>
      <c r="H740" s="7" t="str">
        <f>Odds_Input!G498</f>
        <v>-</v>
      </c>
      <c r="I740" s="42">
        <f>M_DeVig!Q498</f>
        <v>2.1635133562520722E-2</v>
      </c>
      <c r="J740" s="13" t="s">
        <v>33</v>
      </c>
      <c r="K740" s="43">
        <f t="shared" si="140"/>
        <v>4522.1115164841603</v>
      </c>
      <c r="L740" s="13" t="s">
        <v>33</v>
      </c>
      <c r="M740" s="13" t="s">
        <v>33</v>
      </c>
      <c r="N740" s="13" t="s">
        <v>33</v>
      </c>
      <c r="O740" s="13" t="s">
        <v>33</v>
      </c>
      <c r="P740" s="13" t="s">
        <v>33</v>
      </c>
      <c r="Q740" s="13" t="s">
        <v>33</v>
      </c>
      <c r="R740" s="13" t="s">
        <v>33</v>
      </c>
      <c r="S740" s="13" t="s">
        <v>33</v>
      </c>
      <c r="T740" s="13" t="s">
        <v>33</v>
      </c>
      <c r="U740" s="13" t="s">
        <v>33</v>
      </c>
      <c r="V740" s="13" t="s">
        <v>33</v>
      </c>
      <c r="W740" s="6" t="b">
        <v>0</v>
      </c>
      <c r="X740" s="6" t="s">
        <v>1301</v>
      </c>
      <c r="Y740" s="6" t="s">
        <v>1307</v>
      </c>
      <c r="Z740" s="6">
        <v>490</v>
      </c>
      <c r="AA740" s="7" t="str">
        <f t="shared" si="141"/>
        <v>OK - sims match current assumptions</v>
      </c>
      <c r="AB740" s="13" t="s">
        <v>33</v>
      </c>
      <c r="AC740" s="13" t="s">
        <v>33</v>
      </c>
      <c r="AD740" s="13" t="s">
        <v>33</v>
      </c>
      <c r="AE740" s="13" t="s">
        <v>33</v>
      </c>
      <c r="AF740" s="13" t="s">
        <v>33</v>
      </c>
      <c r="AG740" s="13" t="s">
        <v>33</v>
      </c>
      <c r="AH740" s="6" t="b">
        <v>0</v>
      </c>
      <c r="AI740" s="13" t="s">
        <v>33</v>
      </c>
      <c r="AJ740" s="13" t="s">
        <v>33</v>
      </c>
      <c r="AK740" s="13" t="s">
        <v>33</v>
      </c>
      <c r="AL740" s="6">
        <v>0</v>
      </c>
      <c r="AM740" s="13" t="s">
        <v>33</v>
      </c>
    </row>
    <row r="741" spans="1:39" ht="15" customHeight="1" x14ac:dyDescent="0.3">
      <c r="A741" s="6" t="s">
        <v>446</v>
      </c>
      <c r="B741" s="7" t="str">
        <f>Odds_Input!C499</f>
        <v>Stephen Curry</v>
      </c>
      <c r="C741" s="6" t="s">
        <v>33</v>
      </c>
      <c r="D741" s="7" t="str">
        <f>Odds_Input!D499</f>
        <v>YES</v>
      </c>
      <c r="E741" s="31" t="str">
        <f>Odds_Input!E499</f>
        <v>-</v>
      </c>
      <c r="F741" s="32">
        <f>Odds_Input!F499</f>
        <v>5000</v>
      </c>
      <c r="G741" s="36">
        <f>M_DeVig!H499</f>
        <v>51</v>
      </c>
      <c r="H741" s="7" t="str">
        <f>Odds_Input!G499</f>
        <v>-</v>
      </c>
      <c r="I741" s="42">
        <f>M_DeVig!Q499</f>
        <v>1.3257355911789811E-2</v>
      </c>
      <c r="J741" s="13" t="s">
        <v>33</v>
      </c>
      <c r="K741" s="43">
        <f t="shared" si="140"/>
        <v>7442.9822255182626</v>
      </c>
      <c r="L741" s="13" t="s">
        <v>33</v>
      </c>
      <c r="M741" s="13" t="s">
        <v>33</v>
      </c>
      <c r="N741" s="13" t="s">
        <v>33</v>
      </c>
      <c r="O741" s="13" t="s">
        <v>33</v>
      </c>
      <c r="P741" s="13" t="s">
        <v>33</v>
      </c>
      <c r="Q741" s="13" t="s">
        <v>33</v>
      </c>
      <c r="R741" s="13" t="s">
        <v>33</v>
      </c>
      <c r="S741" s="13" t="s">
        <v>33</v>
      </c>
      <c r="T741" s="13" t="s">
        <v>33</v>
      </c>
      <c r="U741" s="13" t="s">
        <v>33</v>
      </c>
      <c r="V741" s="13" t="s">
        <v>33</v>
      </c>
      <c r="W741" s="6" t="b">
        <v>0</v>
      </c>
      <c r="X741" s="6" t="s">
        <v>1301</v>
      </c>
      <c r="Y741" s="6" t="s">
        <v>1307</v>
      </c>
      <c r="Z741" s="6">
        <v>491</v>
      </c>
      <c r="AA741" s="7" t="str">
        <f t="shared" si="141"/>
        <v>OK - sims match current assumptions</v>
      </c>
      <c r="AB741" s="13" t="s">
        <v>33</v>
      </c>
      <c r="AC741" s="13" t="s">
        <v>33</v>
      </c>
      <c r="AD741" s="13" t="s">
        <v>33</v>
      </c>
      <c r="AE741" s="13" t="s">
        <v>33</v>
      </c>
      <c r="AF741" s="13" t="s">
        <v>33</v>
      </c>
      <c r="AG741" s="13" t="s">
        <v>33</v>
      </c>
      <c r="AH741" s="6" t="b">
        <v>0</v>
      </c>
      <c r="AI741" s="13" t="s">
        <v>33</v>
      </c>
      <c r="AJ741" s="13" t="s">
        <v>33</v>
      </c>
      <c r="AK741" s="13" t="s">
        <v>33</v>
      </c>
      <c r="AL741" s="6">
        <v>0</v>
      </c>
      <c r="AM741" s="13" t="s">
        <v>33</v>
      </c>
    </row>
    <row r="742" spans="1:39" ht="15" customHeight="1" x14ac:dyDescent="0.3">
      <c r="A742" s="6" t="s">
        <v>446</v>
      </c>
      <c r="B742" s="7" t="str">
        <f>Odds_Input!C500</f>
        <v>Scottie Barnes</v>
      </c>
      <c r="C742" s="6" t="s">
        <v>33</v>
      </c>
      <c r="D742" s="7" t="str">
        <f>Odds_Input!D500</f>
        <v>YES</v>
      </c>
      <c r="E742" s="31" t="str">
        <f>Odds_Input!E500</f>
        <v>-</v>
      </c>
      <c r="F742" s="32">
        <f>Odds_Input!F500</f>
        <v>5500</v>
      </c>
      <c r="G742" s="36">
        <f>M_DeVig!H500</f>
        <v>56</v>
      </c>
      <c r="H742" s="7" t="str">
        <f>Odds_Input!G500</f>
        <v>-</v>
      </c>
      <c r="I742" s="42">
        <f>M_DeVig!Q500</f>
        <v>1.1781638687134948E-2</v>
      </c>
      <c r="J742" s="13" t="s">
        <v>33</v>
      </c>
      <c r="K742" s="43">
        <f t="shared" si="140"/>
        <v>8387.7836314226624</v>
      </c>
      <c r="L742" s="13" t="s">
        <v>33</v>
      </c>
      <c r="M742" s="13" t="s">
        <v>33</v>
      </c>
      <c r="N742" s="13" t="s">
        <v>33</v>
      </c>
      <c r="O742" s="13" t="s">
        <v>33</v>
      </c>
      <c r="P742" s="13" t="s">
        <v>33</v>
      </c>
      <c r="Q742" s="13" t="s">
        <v>33</v>
      </c>
      <c r="R742" s="13" t="s">
        <v>33</v>
      </c>
      <c r="S742" s="13" t="s">
        <v>33</v>
      </c>
      <c r="T742" s="13" t="s">
        <v>33</v>
      </c>
      <c r="U742" s="13" t="s">
        <v>33</v>
      </c>
      <c r="V742" s="13" t="s">
        <v>33</v>
      </c>
      <c r="W742" s="6" t="b">
        <v>0</v>
      </c>
      <c r="X742" s="6" t="s">
        <v>1301</v>
      </c>
      <c r="Y742" s="6" t="s">
        <v>1307</v>
      </c>
      <c r="Z742" s="6">
        <v>492</v>
      </c>
      <c r="AA742" s="7" t="str">
        <f t="shared" si="141"/>
        <v>OK - sims match current assumptions</v>
      </c>
      <c r="AB742" s="13" t="s">
        <v>33</v>
      </c>
      <c r="AC742" s="13" t="s">
        <v>33</v>
      </c>
      <c r="AD742" s="13" t="s">
        <v>33</v>
      </c>
      <c r="AE742" s="13" t="s">
        <v>33</v>
      </c>
      <c r="AF742" s="13" t="s">
        <v>33</v>
      </c>
      <c r="AG742" s="13" t="s">
        <v>33</v>
      </c>
      <c r="AH742" s="6" t="b">
        <v>0</v>
      </c>
      <c r="AI742" s="13" t="s">
        <v>33</v>
      </c>
      <c r="AJ742" s="13" t="s">
        <v>33</v>
      </c>
      <c r="AK742" s="13" t="s">
        <v>33</v>
      </c>
      <c r="AL742" s="6">
        <v>0</v>
      </c>
      <c r="AM742" s="13" t="s">
        <v>33</v>
      </c>
    </row>
    <row r="743" spans="1:39" ht="15" customHeight="1" x14ac:dyDescent="0.3">
      <c r="A743" s="6" t="s">
        <v>446</v>
      </c>
      <c r="B743" s="7" t="str">
        <f>Odds_Input!C501</f>
        <v>LeBron James</v>
      </c>
      <c r="C743" s="6" t="s">
        <v>33</v>
      </c>
      <c r="D743" s="7" t="str">
        <f>Odds_Input!D501</f>
        <v>YES</v>
      </c>
      <c r="E743" s="31" t="str">
        <f>Odds_Input!E501</f>
        <v>-</v>
      </c>
      <c r="F743" s="32">
        <f>Odds_Input!F501</f>
        <v>5000</v>
      </c>
      <c r="G743" s="36">
        <f>M_DeVig!H501</f>
        <v>51</v>
      </c>
      <c r="H743" s="7" t="str">
        <f>Odds_Input!G501</f>
        <v>-</v>
      </c>
      <c r="I743" s="42">
        <f>M_DeVig!Q501</f>
        <v>1.3257355911789811E-2</v>
      </c>
      <c r="J743" s="13" t="s">
        <v>33</v>
      </c>
      <c r="K743" s="43">
        <f t="shared" si="140"/>
        <v>7442.9822255182626</v>
      </c>
      <c r="L743" s="13" t="s">
        <v>33</v>
      </c>
      <c r="M743" s="13" t="s">
        <v>33</v>
      </c>
      <c r="N743" s="13" t="s">
        <v>33</v>
      </c>
      <c r="O743" s="13" t="s">
        <v>33</v>
      </c>
      <c r="P743" s="13" t="s">
        <v>33</v>
      </c>
      <c r="Q743" s="13" t="s">
        <v>33</v>
      </c>
      <c r="R743" s="13" t="s">
        <v>33</v>
      </c>
      <c r="S743" s="13" t="s">
        <v>33</v>
      </c>
      <c r="T743" s="13" t="s">
        <v>33</v>
      </c>
      <c r="U743" s="13" t="s">
        <v>33</v>
      </c>
      <c r="V743" s="13" t="s">
        <v>33</v>
      </c>
      <c r="W743" s="6" t="b">
        <v>0</v>
      </c>
      <c r="X743" s="6" t="s">
        <v>1301</v>
      </c>
      <c r="Y743" s="6" t="s">
        <v>1307</v>
      </c>
      <c r="Z743" s="6">
        <v>493</v>
      </c>
      <c r="AA743" s="7" t="str">
        <f t="shared" si="141"/>
        <v>OK - sims match current assumptions</v>
      </c>
      <c r="AB743" s="13" t="s">
        <v>33</v>
      </c>
      <c r="AC743" s="13" t="s">
        <v>33</v>
      </c>
      <c r="AD743" s="13" t="s">
        <v>33</v>
      </c>
      <c r="AE743" s="13" t="s">
        <v>33</v>
      </c>
      <c r="AF743" s="13" t="s">
        <v>33</v>
      </c>
      <c r="AG743" s="13" t="s">
        <v>33</v>
      </c>
      <c r="AH743" s="6" t="b">
        <v>0</v>
      </c>
      <c r="AI743" s="13" t="s">
        <v>33</v>
      </c>
      <c r="AJ743" s="13" t="s">
        <v>33</v>
      </c>
      <c r="AK743" s="13" t="s">
        <v>33</v>
      </c>
      <c r="AL743" s="6">
        <v>0</v>
      </c>
      <c r="AM743" s="13" t="s">
        <v>33</v>
      </c>
    </row>
    <row r="744" spans="1:39" ht="15" customHeight="1" x14ac:dyDescent="0.3">
      <c r="A744" s="6" t="s">
        <v>446</v>
      </c>
      <c r="B744" s="7" t="str">
        <f>Odds_Input!C502</f>
        <v>Joel Embiid</v>
      </c>
      <c r="C744" s="6" t="s">
        <v>33</v>
      </c>
      <c r="D744" s="7" t="str">
        <f>Odds_Input!D502</f>
        <v>YES</v>
      </c>
      <c r="E744" s="31" t="str">
        <f>Odds_Input!E502</f>
        <v>-</v>
      </c>
      <c r="F744" s="32">
        <f>Odds_Input!F502</f>
        <v>5000</v>
      </c>
      <c r="G744" s="36">
        <f>M_DeVig!H502</f>
        <v>51</v>
      </c>
      <c r="H744" s="7" t="str">
        <f>Odds_Input!G502</f>
        <v>-</v>
      </c>
      <c r="I744" s="42">
        <f>M_DeVig!Q502</f>
        <v>1.3257355911789811E-2</v>
      </c>
      <c r="J744" s="13" t="s">
        <v>33</v>
      </c>
      <c r="K744" s="43">
        <f t="shared" si="140"/>
        <v>7442.9822255182626</v>
      </c>
      <c r="L744" s="13" t="s">
        <v>33</v>
      </c>
      <c r="M744" s="13" t="s">
        <v>33</v>
      </c>
      <c r="N744" s="13" t="s">
        <v>33</v>
      </c>
      <c r="O744" s="13" t="s">
        <v>33</v>
      </c>
      <c r="P744" s="13" t="s">
        <v>33</v>
      </c>
      <c r="Q744" s="13" t="s">
        <v>33</v>
      </c>
      <c r="R744" s="13" t="s">
        <v>33</v>
      </c>
      <c r="S744" s="13" t="s">
        <v>33</v>
      </c>
      <c r="T744" s="13" t="s">
        <v>33</v>
      </c>
      <c r="U744" s="13" t="s">
        <v>33</v>
      </c>
      <c r="V744" s="13" t="s">
        <v>33</v>
      </c>
      <c r="W744" s="6" t="b">
        <v>0</v>
      </c>
      <c r="X744" s="6" t="s">
        <v>1301</v>
      </c>
      <c r="Y744" s="6" t="s">
        <v>1307</v>
      </c>
      <c r="Z744" s="6">
        <v>494</v>
      </c>
      <c r="AA744" s="7" t="str">
        <f t="shared" si="141"/>
        <v>OK - sims match current assumptions</v>
      </c>
      <c r="AB744" s="13" t="s">
        <v>33</v>
      </c>
      <c r="AC744" s="13" t="s">
        <v>33</v>
      </c>
      <c r="AD744" s="13" t="s">
        <v>33</v>
      </c>
      <c r="AE744" s="13" t="s">
        <v>33</v>
      </c>
      <c r="AF744" s="13" t="s">
        <v>33</v>
      </c>
      <c r="AG744" s="13" t="s">
        <v>33</v>
      </c>
      <c r="AH744" s="6" t="b">
        <v>0</v>
      </c>
      <c r="AI744" s="13" t="s">
        <v>33</v>
      </c>
      <c r="AJ744" s="13" t="s">
        <v>33</v>
      </c>
      <c r="AK744" s="13" t="s">
        <v>33</v>
      </c>
      <c r="AL744" s="6">
        <v>0</v>
      </c>
      <c r="AM744" s="13" t="s">
        <v>33</v>
      </c>
    </row>
    <row r="745" spans="1:39" ht="15" customHeight="1" x14ac:dyDescent="0.3">
      <c r="A745" s="6" t="s">
        <v>446</v>
      </c>
      <c r="B745" s="7" t="str">
        <f>Odds_Input!C503</f>
        <v>Paul George</v>
      </c>
      <c r="C745" s="6" t="s">
        <v>33</v>
      </c>
      <c r="D745" s="7" t="str">
        <f>Odds_Input!D503</f>
        <v>YES</v>
      </c>
      <c r="E745" s="31" t="str">
        <f>Odds_Input!E503</f>
        <v>-</v>
      </c>
      <c r="F745" s="32">
        <f>Odds_Input!F503</f>
        <v>6000</v>
      </c>
      <c r="G745" s="36">
        <f>M_DeVig!H503</f>
        <v>61</v>
      </c>
      <c r="H745" s="7" t="str">
        <f>Odds_Input!G503</f>
        <v>-</v>
      </c>
      <c r="I745" s="42">
        <f>M_DeVig!Q503</f>
        <v>1.0556044206768143E-2</v>
      </c>
      <c r="J745" s="13" t="s">
        <v>33</v>
      </c>
      <c r="K745" s="43">
        <f t="shared" si="140"/>
        <v>9373.2456629808075</v>
      </c>
      <c r="L745" s="13" t="s">
        <v>33</v>
      </c>
      <c r="M745" s="13" t="s">
        <v>33</v>
      </c>
      <c r="N745" s="13" t="s">
        <v>33</v>
      </c>
      <c r="O745" s="13" t="s">
        <v>33</v>
      </c>
      <c r="P745" s="13" t="s">
        <v>33</v>
      </c>
      <c r="Q745" s="13" t="s">
        <v>33</v>
      </c>
      <c r="R745" s="13" t="s">
        <v>33</v>
      </c>
      <c r="S745" s="13" t="s">
        <v>33</v>
      </c>
      <c r="T745" s="13" t="s">
        <v>33</v>
      </c>
      <c r="U745" s="13" t="s">
        <v>33</v>
      </c>
      <c r="V745" s="13" t="s">
        <v>33</v>
      </c>
      <c r="W745" s="6" t="b">
        <v>0</v>
      </c>
      <c r="X745" s="6" t="s">
        <v>1301</v>
      </c>
      <c r="Y745" s="6" t="s">
        <v>1307</v>
      </c>
      <c r="Z745" s="6">
        <v>495</v>
      </c>
      <c r="AA745" s="7" t="str">
        <f t="shared" si="141"/>
        <v>OK - sims match current assumptions</v>
      </c>
      <c r="AB745" s="13" t="s">
        <v>33</v>
      </c>
      <c r="AC745" s="13" t="s">
        <v>33</v>
      </c>
      <c r="AD745" s="13" t="s">
        <v>33</v>
      </c>
      <c r="AE745" s="13" t="s">
        <v>33</v>
      </c>
      <c r="AF745" s="13" t="s">
        <v>33</v>
      </c>
      <c r="AG745" s="13" t="s">
        <v>33</v>
      </c>
      <c r="AH745" s="6" t="b">
        <v>0</v>
      </c>
      <c r="AI745" s="13" t="s">
        <v>33</v>
      </c>
      <c r="AJ745" s="13" t="s">
        <v>33</v>
      </c>
      <c r="AK745" s="13" t="s">
        <v>33</v>
      </c>
      <c r="AL745" s="6">
        <v>0</v>
      </c>
      <c r="AM745" s="13" t="s">
        <v>33</v>
      </c>
    </row>
    <row r="746" spans="1:39" ht="15" customHeight="1" x14ac:dyDescent="0.3">
      <c r="A746" s="6" t="s">
        <v>446</v>
      </c>
      <c r="B746" s="7" t="str">
        <f>Odds_Input!C504</f>
        <v>Ausar Thompson</v>
      </c>
      <c r="C746" s="6" t="s">
        <v>33</v>
      </c>
      <c r="D746" s="7" t="str">
        <f>Odds_Input!D504</f>
        <v>YES</v>
      </c>
      <c r="E746" s="31" t="str">
        <f>Odds_Input!E504</f>
        <v>-</v>
      </c>
      <c r="F746" s="32">
        <f>Odds_Input!F504</f>
        <v>6500</v>
      </c>
      <c r="G746" s="36">
        <f>M_DeVig!H504</f>
        <v>66</v>
      </c>
      <c r="H746" s="7" t="str">
        <f>Odds_Input!G504</f>
        <v>-</v>
      </c>
      <c r="I746" s="42">
        <f>M_DeVig!Q504</f>
        <v>9.523570714841445E-3</v>
      </c>
      <c r="J746" s="13" t="s">
        <v>33</v>
      </c>
      <c r="K746" s="43">
        <f t="shared" si="140"/>
        <v>10400.263293489375</v>
      </c>
      <c r="L746" s="13" t="s">
        <v>33</v>
      </c>
      <c r="M746" s="13" t="s">
        <v>33</v>
      </c>
      <c r="N746" s="13" t="s">
        <v>33</v>
      </c>
      <c r="O746" s="13" t="s">
        <v>33</v>
      </c>
      <c r="P746" s="13" t="s">
        <v>33</v>
      </c>
      <c r="Q746" s="13" t="s">
        <v>33</v>
      </c>
      <c r="R746" s="13" t="s">
        <v>33</v>
      </c>
      <c r="S746" s="13" t="s">
        <v>33</v>
      </c>
      <c r="T746" s="13" t="s">
        <v>33</v>
      </c>
      <c r="U746" s="13" t="s">
        <v>33</v>
      </c>
      <c r="V746" s="13" t="s">
        <v>33</v>
      </c>
      <c r="W746" s="6" t="b">
        <v>0</v>
      </c>
      <c r="X746" s="6" t="s">
        <v>1301</v>
      </c>
      <c r="Y746" s="6" t="s">
        <v>1307</v>
      </c>
      <c r="Z746" s="6">
        <v>496</v>
      </c>
      <c r="AA746" s="7" t="str">
        <f t="shared" si="141"/>
        <v>OK - sims match current assumptions</v>
      </c>
      <c r="AB746" s="13" t="s">
        <v>33</v>
      </c>
      <c r="AC746" s="13" t="s">
        <v>33</v>
      </c>
      <c r="AD746" s="13" t="s">
        <v>33</v>
      </c>
      <c r="AE746" s="13" t="s">
        <v>33</v>
      </c>
      <c r="AF746" s="13" t="s">
        <v>33</v>
      </c>
      <c r="AG746" s="13" t="s">
        <v>33</v>
      </c>
      <c r="AH746" s="6" t="b">
        <v>0</v>
      </c>
      <c r="AI746" s="13" t="s">
        <v>33</v>
      </c>
      <c r="AJ746" s="13" t="s">
        <v>33</v>
      </c>
      <c r="AK746" s="13" t="s">
        <v>33</v>
      </c>
      <c r="AL746" s="6">
        <v>0</v>
      </c>
      <c r="AM746" s="13" t="s">
        <v>33</v>
      </c>
    </row>
    <row r="747" spans="1:39" ht="15" customHeight="1" x14ac:dyDescent="0.3">
      <c r="A747" s="6" t="s">
        <v>446</v>
      </c>
      <c r="B747" s="7" t="str">
        <f>Odds_Input!C505</f>
        <v>Kevin Durant</v>
      </c>
      <c r="C747" s="6" t="s">
        <v>33</v>
      </c>
      <c r="D747" s="7" t="str">
        <f>Odds_Input!D505</f>
        <v>YES</v>
      </c>
      <c r="E747" s="31" t="str">
        <f>Odds_Input!E505</f>
        <v>-</v>
      </c>
      <c r="F747" s="32">
        <f>Odds_Input!F505</f>
        <v>4000</v>
      </c>
      <c r="G747" s="36">
        <f>M_DeVig!H505</f>
        <v>41</v>
      </c>
      <c r="H747" s="7" t="str">
        <f>Odds_Input!G505</f>
        <v>-</v>
      </c>
      <c r="I747" s="42">
        <f>M_DeVig!Q505</f>
        <v>1.7326124216072127E-2</v>
      </c>
      <c r="J747" s="13" t="s">
        <v>33</v>
      </c>
      <c r="K747" s="43">
        <f t="shared" si="140"/>
        <v>5671.6312519125086</v>
      </c>
      <c r="L747" s="13" t="s">
        <v>33</v>
      </c>
      <c r="M747" s="13" t="s">
        <v>33</v>
      </c>
      <c r="N747" s="13" t="s">
        <v>33</v>
      </c>
      <c r="O747" s="13" t="s">
        <v>33</v>
      </c>
      <c r="P747" s="13" t="s">
        <v>33</v>
      </c>
      <c r="Q747" s="13" t="s">
        <v>33</v>
      </c>
      <c r="R747" s="13" t="s">
        <v>33</v>
      </c>
      <c r="S747" s="13" t="s">
        <v>33</v>
      </c>
      <c r="T747" s="13" t="s">
        <v>33</v>
      </c>
      <c r="U747" s="13" t="s">
        <v>33</v>
      </c>
      <c r="V747" s="13" t="s">
        <v>33</v>
      </c>
      <c r="W747" s="6" t="b">
        <v>0</v>
      </c>
      <c r="X747" s="6" t="s">
        <v>1301</v>
      </c>
      <c r="Y747" s="6" t="s">
        <v>1307</v>
      </c>
      <c r="Z747" s="6">
        <v>497</v>
      </c>
      <c r="AA747" s="7" t="str">
        <f t="shared" si="141"/>
        <v>OK - sims match current assumptions</v>
      </c>
      <c r="AB747" s="13" t="s">
        <v>33</v>
      </c>
      <c r="AC747" s="13" t="s">
        <v>33</v>
      </c>
      <c r="AD747" s="13" t="s">
        <v>33</v>
      </c>
      <c r="AE747" s="13" t="s">
        <v>33</v>
      </c>
      <c r="AF747" s="13" t="s">
        <v>33</v>
      </c>
      <c r="AG747" s="13" t="s">
        <v>33</v>
      </c>
      <c r="AH747" s="6" t="b">
        <v>0</v>
      </c>
      <c r="AI747" s="13" t="s">
        <v>33</v>
      </c>
      <c r="AJ747" s="13" t="s">
        <v>33</v>
      </c>
      <c r="AK747" s="13" t="s">
        <v>33</v>
      </c>
      <c r="AL747" s="6">
        <v>0</v>
      </c>
      <c r="AM747" s="13" t="s">
        <v>33</v>
      </c>
    </row>
    <row r="748" spans="1:39" ht="15" customHeight="1" x14ac:dyDescent="0.3">
      <c r="A748" s="6" t="s">
        <v>446</v>
      </c>
      <c r="B748" s="7" t="str">
        <f>Odds_Input!C506</f>
        <v>DeAaron Fox</v>
      </c>
      <c r="C748" s="6" t="s">
        <v>33</v>
      </c>
      <c r="D748" s="7" t="str">
        <f>Odds_Input!D506</f>
        <v>YES</v>
      </c>
      <c r="E748" s="31" t="str">
        <f>Odds_Input!E506</f>
        <v>-</v>
      </c>
      <c r="F748" s="32">
        <f>Odds_Input!F506</f>
        <v>6500</v>
      </c>
      <c r="G748" s="36">
        <f>M_DeVig!H506</f>
        <v>66</v>
      </c>
      <c r="H748" s="7" t="str">
        <f>Odds_Input!G506</f>
        <v>-</v>
      </c>
      <c r="I748" s="42">
        <f>M_DeVig!Q506</f>
        <v>9.523570714841445E-3</v>
      </c>
      <c r="J748" s="13" t="s">
        <v>33</v>
      </c>
      <c r="K748" s="43">
        <f t="shared" si="140"/>
        <v>10400.263293489375</v>
      </c>
      <c r="L748" s="13" t="s">
        <v>33</v>
      </c>
      <c r="M748" s="13" t="s">
        <v>33</v>
      </c>
      <c r="N748" s="13" t="s">
        <v>33</v>
      </c>
      <c r="O748" s="13" t="s">
        <v>33</v>
      </c>
      <c r="P748" s="13" t="s">
        <v>33</v>
      </c>
      <c r="Q748" s="13" t="s">
        <v>33</v>
      </c>
      <c r="R748" s="13" t="s">
        <v>33</v>
      </c>
      <c r="S748" s="13" t="s">
        <v>33</v>
      </c>
      <c r="T748" s="13" t="s">
        <v>33</v>
      </c>
      <c r="U748" s="13" t="s">
        <v>33</v>
      </c>
      <c r="V748" s="13" t="s">
        <v>33</v>
      </c>
      <c r="W748" s="6" t="b">
        <v>0</v>
      </c>
      <c r="X748" s="6" t="s">
        <v>1301</v>
      </c>
      <c r="Y748" s="6" t="s">
        <v>1307</v>
      </c>
      <c r="Z748" s="6">
        <v>498</v>
      </c>
      <c r="AA748" s="7" t="str">
        <f t="shared" si="141"/>
        <v>OK - sims match current assumptions</v>
      </c>
      <c r="AB748" s="13" t="s">
        <v>33</v>
      </c>
      <c r="AC748" s="13" t="s">
        <v>33</v>
      </c>
      <c r="AD748" s="13" t="s">
        <v>33</v>
      </c>
      <c r="AE748" s="13" t="s">
        <v>33</v>
      </c>
      <c r="AF748" s="13" t="s">
        <v>33</v>
      </c>
      <c r="AG748" s="13" t="s">
        <v>33</v>
      </c>
      <c r="AH748" s="6" t="b">
        <v>0</v>
      </c>
      <c r="AI748" s="13" t="s">
        <v>33</v>
      </c>
      <c r="AJ748" s="13" t="s">
        <v>33</v>
      </c>
      <c r="AK748" s="13" t="s">
        <v>33</v>
      </c>
      <c r="AL748" s="6">
        <v>0</v>
      </c>
      <c r="AM748" s="13" t="s">
        <v>33</v>
      </c>
    </row>
    <row r="749" spans="1:39" ht="15" customHeight="1" x14ac:dyDescent="0.3">
      <c r="A749" s="6" t="s">
        <v>446</v>
      </c>
      <c r="B749" s="7" t="str">
        <f>Odds_Input!C507</f>
        <v>Derrick White</v>
      </c>
      <c r="C749" s="6" t="s">
        <v>33</v>
      </c>
      <c r="D749" s="7" t="str">
        <f>Odds_Input!D507</f>
        <v>YES</v>
      </c>
      <c r="E749" s="31" t="str">
        <f>Odds_Input!E507</f>
        <v>-</v>
      </c>
      <c r="F749" s="32">
        <f>Odds_Input!F507</f>
        <v>7000</v>
      </c>
      <c r="G749" s="36">
        <f>M_DeVig!H507</f>
        <v>71</v>
      </c>
      <c r="H749" s="7" t="str">
        <f>Odds_Input!G507</f>
        <v>-</v>
      </c>
      <c r="I749" s="42">
        <f>M_DeVig!Q507</f>
        <v>8.6432664406052902E-3</v>
      </c>
      <c r="J749" s="13" t="s">
        <v>33</v>
      </c>
      <c r="K749" s="43">
        <f t="shared" si="140"/>
        <v>11469.700030327536</v>
      </c>
      <c r="L749" s="13" t="s">
        <v>33</v>
      </c>
      <c r="M749" s="13" t="s">
        <v>33</v>
      </c>
      <c r="N749" s="13" t="s">
        <v>33</v>
      </c>
      <c r="O749" s="13" t="s">
        <v>33</v>
      </c>
      <c r="P749" s="13" t="s">
        <v>33</v>
      </c>
      <c r="Q749" s="13" t="s">
        <v>33</v>
      </c>
      <c r="R749" s="13" t="s">
        <v>33</v>
      </c>
      <c r="S749" s="13" t="s">
        <v>33</v>
      </c>
      <c r="T749" s="13" t="s">
        <v>33</v>
      </c>
      <c r="U749" s="13" t="s">
        <v>33</v>
      </c>
      <c r="V749" s="13" t="s">
        <v>33</v>
      </c>
      <c r="W749" s="6" t="b">
        <v>0</v>
      </c>
      <c r="X749" s="6" t="s">
        <v>1301</v>
      </c>
      <c r="Y749" s="6" t="s">
        <v>1307</v>
      </c>
      <c r="Z749" s="6">
        <v>499</v>
      </c>
      <c r="AA749" s="7" t="str">
        <f t="shared" si="141"/>
        <v>OK - sims match current assumptions</v>
      </c>
      <c r="AB749" s="13" t="s">
        <v>33</v>
      </c>
      <c r="AC749" s="13" t="s">
        <v>33</v>
      </c>
      <c r="AD749" s="13" t="s">
        <v>33</v>
      </c>
      <c r="AE749" s="13" t="s">
        <v>33</v>
      </c>
      <c r="AF749" s="13" t="s">
        <v>33</v>
      </c>
      <c r="AG749" s="13" t="s">
        <v>33</v>
      </c>
      <c r="AH749" s="6" t="b">
        <v>0</v>
      </c>
      <c r="AI749" s="13" t="s">
        <v>33</v>
      </c>
      <c r="AJ749" s="13" t="s">
        <v>33</v>
      </c>
      <c r="AK749" s="13" t="s">
        <v>33</v>
      </c>
      <c r="AL749" s="6">
        <v>0</v>
      </c>
      <c r="AM749" s="13" t="s">
        <v>33</v>
      </c>
    </row>
    <row r="750" spans="1:39" ht="15" customHeight="1" x14ac:dyDescent="0.3">
      <c r="A750" s="6" t="s">
        <v>446</v>
      </c>
      <c r="B750" s="7" t="str">
        <f>Odds_Input!C508</f>
        <v>Austin Reaves</v>
      </c>
      <c r="C750" s="6" t="s">
        <v>33</v>
      </c>
      <c r="D750" s="7" t="str">
        <f>Odds_Input!D508</f>
        <v>YES</v>
      </c>
      <c r="E750" s="31" t="str">
        <f>Odds_Input!E508</f>
        <v>-</v>
      </c>
      <c r="F750" s="32">
        <f>Odds_Input!F508</f>
        <v>7000</v>
      </c>
      <c r="G750" s="36">
        <f>M_DeVig!H508</f>
        <v>71</v>
      </c>
      <c r="H750" s="7" t="str">
        <f>Odds_Input!G508</f>
        <v>-</v>
      </c>
      <c r="I750" s="42">
        <f>M_DeVig!Q508</f>
        <v>8.6432664406052902E-3</v>
      </c>
      <c r="J750" s="13" t="s">
        <v>33</v>
      </c>
      <c r="K750" s="43">
        <f t="shared" si="140"/>
        <v>11469.700030327536</v>
      </c>
      <c r="L750" s="13" t="s">
        <v>33</v>
      </c>
      <c r="M750" s="13" t="s">
        <v>33</v>
      </c>
      <c r="N750" s="13" t="s">
        <v>33</v>
      </c>
      <c r="O750" s="13" t="s">
        <v>33</v>
      </c>
      <c r="P750" s="13" t="s">
        <v>33</v>
      </c>
      <c r="Q750" s="13" t="s">
        <v>33</v>
      </c>
      <c r="R750" s="13" t="s">
        <v>33</v>
      </c>
      <c r="S750" s="13" t="s">
        <v>33</v>
      </c>
      <c r="T750" s="13" t="s">
        <v>33</v>
      </c>
      <c r="U750" s="13" t="s">
        <v>33</v>
      </c>
      <c r="V750" s="13" t="s">
        <v>33</v>
      </c>
      <c r="W750" s="6" t="b">
        <v>0</v>
      </c>
      <c r="X750" s="6" t="s">
        <v>1301</v>
      </c>
      <c r="Y750" s="6" t="s">
        <v>1307</v>
      </c>
      <c r="Z750" s="6">
        <v>500</v>
      </c>
      <c r="AA750" s="7" t="str">
        <f t="shared" si="141"/>
        <v>OK - sims match current assumptions</v>
      </c>
      <c r="AB750" s="13" t="s">
        <v>33</v>
      </c>
      <c r="AC750" s="13" t="s">
        <v>33</v>
      </c>
      <c r="AD750" s="13" t="s">
        <v>33</v>
      </c>
      <c r="AE750" s="13" t="s">
        <v>33</v>
      </c>
      <c r="AF750" s="13" t="s">
        <v>33</v>
      </c>
      <c r="AG750" s="13" t="s">
        <v>33</v>
      </c>
      <c r="AH750" s="6" t="b">
        <v>0</v>
      </c>
      <c r="AI750" s="13" t="s">
        <v>33</v>
      </c>
      <c r="AJ750" s="13" t="s">
        <v>33</v>
      </c>
      <c r="AK750" s="13" t="s">
        <v>33</v>
      </c>
      <c r="AL750" s="6">
        <v>0</v>
      </c>
      <c r="AM750" s="13" t="s">
        <v>33</v>
      </c>
    </row>
    <row r="751" spans="1:39" ht="15" customHeight="1" x14ac:dyDescent="0.3">
      <c r="A751" s="6" t="s">
        <v>446</v>
      </c>
      <c r="B751" s="7" t="str">
        <f>Odds_Input!C509</f>
        <v>Alperen Sengun</v>
      </c>
      <c r="C751" s="6" t="s">
        <v>33</v>
      </c>
      <c r="D751" s="7" t="str">
        <f>Odds_Input!D509</f>
        <v>YES</v>
      </c>
      <c r="E751" s="31" t="str">
        <f>Odds_Input!E509</f>
        <v>-</v>
      </c>
      <c r="F751" s="32">
        <f>Odds_Input!F509</f>
        <v>6000</v>
      </c>
      <c r="G751" s="36">
        <f>M_DeVig!H509</f>
        <v>61</v>
      </c>
      <c r="H751" s="7" t="str">
        <f>Odds_Input!G509</f>
        <v>-</v>
      </c>
      <c r="I751" s="42">
        <f>M_DeVig!Q509</f>
        <v>1.0556044206768143E-2</v>
      </c>
      <c r="J751" s="13" t="s">
        <v>33</v>
      </c>
      <c r="K751" s="43">
        <f t="shared" si="140"/>
        <v>9373.2456629808075</v>
      </c>
      <c r="L751" s="13" t="s">
        <v>33</v>
      </c>
      <c r="M751" s="13" t="s">
        <v>33</v>
      </c>
      <c r="N751" s="13" t="s">
        <v>33</v>
      </c>
      <c r="O751" s="13" t="s">
        <v>33</v>
      </c>
      <c r="P751" s="13" t="s">
        <v>33</v>
      </c>
      <c r="Q751" s="13" t="s">
        <v>33</v>
      </c>
      <c r="R751" s="13" t="s">
        <v>33</v>
      </c>
      <c r="S751" s="13" t="s">
        <v>33</v>
      </c>
      <c r="T751" s="13" t="s">
        <v>33</v>
      </c>
      <c r="U751" s="13" t="s">
        <v>33</v>
      </c>
      <c r="V751" s="13" t="s">
        <v>33</v>
      </c>
      <c r="W751" s="6" t="b">
        <v>0</v>
      </c>
      <c r="X751" s="6" t="s">
        <v>1301</v>
      </c>
      <c r="Y751" s="6" t="s">
        <v>1307</v>
      </c>
      <c r="Z751" s="6">
        <v>501</v>
      </c>
      <c r="AA751" s="7" t="str">
        <f t="shared" si="141"/>
        <v>OK - sims match current assumptions</v>
      </c>
      <c r="AB751" s="13" t="s">
        <v>33</v>
      </c>
      <c r="AC751" s="13" t="s">
        <v>33</v>
      </c>
      <c r="AD751" s="13" t="s">
        <v>33</v>
      </c>
      <c r="AE751" s="13" t="s">
        <v>33</v>
      </c>
      <c r="AF751" s="13" t="s">
        <v>33</v>
      </c>
      <c r="AG751" s="13" t="s">
        <v>33</v>
      </c>
      <c r="AH751" s="6" t="b">
        <v>0</v>
      </c>
      <c r="AI751" s="13" t="s">
        <v>33</v>
      </c>
      <c r="AJ751" s="13" t="s">
        <v>33</v>
      </c>
      <c r="AK751" s="13" t="s">
        <v>33</v>
      </c>
      <c r="AL751" s="6">
        <v>0</v>
      </c>
      <c r="AM751" s="13" t="s">
        <v>33</v>
      </c>
    </row>
    <row r="752" spans="1:39" ht="15" customHeight="1" x14ac:dyDescent="0.3">
      <c r="A752" s="6" t="s">
        <v>446</v>
      </c>
      <c r="B752" s="7" t="str">
        <f>Odds_Input!C510</f>
        <v>Desmond Bane</v>
      </c>
      <c r="C752" s="6" t="s">
        <v>33</v>
      </c>
      <c r="D752" s="7" t="str">
        <f>Odds_Input!D510</f>
        <v>YES</v>
      </c>
      <c r="E752" s="31" t="str">
        <f>Odds_Input!E510</f>
        <v>-</v>
      </c>
      <c r="F752" s="32">
        <f>Odds_Input!F510</f>
        <v>7000</v>
      </c>
      <c r="G752" s="36">
        <f>M_DeVig!H510</f>
        <v>71</v>
      </c>
      <c r="H752" s="7" t="str">
        <f>Odds_Input!G510</f>
        <v>-</v>
      </c>
      <c r="I752" s="42">
        <f>M_DeVig!Q510</f>
        <v>8.6432664406052902E-3</v>
      </c>
      <c r="J752" s="13" t="s">
        <v>33</v>
      </c>
      <c r="K752" s="43">
        <f t="shared" si="140"/>
        <v>11469.700030327536</v>
      </c>
      <c r="L752" s="13" t="s">
        <v>33</v>
      </c>
      <c r="M752" s="13" t="s">
        <v>33</v>
      </c>
      <c r="N752" s="13" t="s">
        <v>33</v>
      </c>
      <c r="O752" s="13" t="s">
        <v>33</v>
      </c>
      <c r="P752" s="13" t="s">
        <v>33</v>
      </c>
      <c r="Q752" s="13" t="s">
        <v>33</v>
      </c>
      <c r="R752" s="13" t="s">
        <v>33</v>
      </c>
      <c r="S752" s="13" t="s">
        <v>33</v>
      </c>
      <c r="T752" s="13" t="s">
        <v>33</v>
      </c>
      <c r="U752" s="13" t="s">
        <v>33</v>
      </c>
      <c r="V752" s="13" t="s">
        <v>33</v>
      </c>
      <c r="W752" s="6" t="b">
        <v>0</v>
      </c>
      <c r="X752" s="6" t="s">
        <v>1301</v>
      </c>
      <c r="Y752" s="6" t="s">
        <v>1307</v>
      </c>
      <c r="Z752" s="6">
        <v>502</v>
      </c>
      <c r="AA752" s="7" t="str">
        <f t="shared" si="141"/>
        <v>OK - sims match current assumptions</v>
      </c>
      <c r="AB752" s="13" t="s">
        <v>33</v>
      </c>
      <c r="AC752" s="13" t="s">
        <v>33</v>
      </c>
      <c r="AD752" s="13" t="s">
        <v>33</v>
      </c>
      <c r="AE752" s="13" t="s">
        <v>33</v>
      </c>
      <c r="AF752" s="13" t="s">
        <v>33</v>
      </c>
      <c r="AG752" s="13" t="s">
        <v>33</v>
      </c>
      <c r="AH752" s="6" t="b">
        <v>0</v>
      </c>
      <c r="AI752" s="13" t="s">
        <v>33</v>
      </c>
      <c r="AJ752" s="13" t="s">
        <v>33</v>
      </c>
      <c r="AK752" s="13" t="s">
        <v>33</v>
      </c>
      <c r="AL752" s="6">
        <v>0</v>
      </c>
      <c r="AM752" s="13" t="s">
        <v>33</v>
      </c>
    </row>
    <row r="753" spans="1:39" ht="15" customHeight="1" x14ac:dyDescent="0.3">
      <c r="A753" s="6" t="s">
        <v>446</v>
      </c>
      <c r="B753" s="7" t="str">
        <f>Odds_Input!C511</f>
        <v>Karl Anthony Towns</v>
      </c>
      <c r="C753" s="6" t="s">
        <v>33</v>
      </c>
      <c r="D753" s="7" t="str">
        <f>Odds_Input!D511</f>
        <v>YES</v>
      </c>
      <c r="E753" s="31" t="str">
        <f>Odds_Input!E511</f>
        <v>-</v>
      </c>
      <c r="F753" s="32">
        <f>Odds_Input!F511</f>
        <v>7000</v>
      </c>
      <c r="G753" s="36">
        <f>M_DeVig!H511</f>
        <v>71</v>
      </c>
      <c r="H753" s="7" t="str">
        <f>Odds_Input!G511</f>
        <v>-</v>
      </c>
      <c r="I753" s="42">
        <f>M_DeVig!Q511</f>
        <v>8.6432664406052902E-3</v>
      </c>
      <c r="J753" s="13" t="s">
        <v>33</v>
      </c>
      <c r="K753" s="43">
        <f t="shared" si="140"/>
        <v>11469.700030327536</v>
      </c>
      <c r="L753" s="13" t="s">
        <v>33</v>
      </c>
      <c r="M753" s="13" t="s">
        <v>33</v>
      </c>
      <c r="N753" s="13" t="s">
        <v>33</v>
      </c>
      <c r="O753" s="13" t="s">
        <v>33</v>
      </c>
      <c r="P753" s="13" t="s">
        <v>33</v>
      </c>
      <c r="Q753" s="13" t="s">
        <v>33</v>
      </c>
      <c r="R753" s="13" t="s">
        <v>33</v>
      </c>
      <c r="S753" s="13" t="s">
        <v>33</v>
      </c>
      <c r="T753" s="13" t="s">
        <v>33</v>
      </c>
      <c r="U753" s="13" t="s">
        <v>33</v>
      </c>
      <c r="V753" s="13" t="s">
        <v>33</v>
      </c>
      <c r="W753" s="6" t="b">
        <v>0</v>
      </c>
      <c r="X753" s="6" t="s">
        <v>1301</v>
      </c>
      <c r="Y753" s="6" t="s">
        <v>1307</v>
      </c>
      <c r="Z753" s="6">
        <v>503</v>
      </c>
      <c r="AA753" s="7" t="str">
        <f t="shared" si="141"/>
        <v>OK - sims match current assumptions</v>
      </c>
      <c r="AB753" s="13" t="s">
        <v>33</v>
      </c>
      <c r="AC753" s="13" t="s">
        <v>33</v>
      </c>
      <c r="AD753" s="13" t="s">
        <v>33</v>
      </c>
      <c r="AE753" s="13" t="s">
        <v>33</v>
      </c>
      <c r="AF753" s="13" t="s">
        <v>33</v>
      </c>
      <c r="AG753" s="13" t="s">
        <v>33</v>
      </c>
      <c r="AH753" s="6" t="b">
        <v>0</v>
      </c>
      <c r="AI753" s="13" t="s">
        <v>33</v>
      </c>
      <c r="AJ753" s="13" t="s">
        <v>33</v>
      </c>
      <c r="AK753" s="13" t="s">
        <v>33</v>
      </c>
      <c r="AL753" s="6">
        <v>0</v>
      </c>
      <c r="AM753" s="13" t="s">
        <v>33</v>
      </c>
    </row>
    <row r="754" spans="1:39" ht="15" customHeight="1" x14ac:dyDescent="0.3">
      <c r="A754" s="6" t="s">
        <v>446</v>
      </c>
      <c r="B754" s="7" t="str">
        <f>Odds_Input!C512</f>
        <v>Devin Booker</v>
      </c>
      <c r="C754" s="6" t="s">
        <v>33</v>
      </c>
      <c r="D754" s="7" t="str">
        <f>Odds_Input!D512</f>
        <v>YES</v>
      </c>
      <c r="E754" s="31" t="str">
        <f>Odds_Input!E512</f>
        <v>-</v>
      </c>
      <c r="F754" s="32">
        <f>Odds_Input!F512</f>
        <v>7500</v>
      </c>
      <c r="G754" s="36">
        <f>M_DeVig!H512</f>
        <v>76</v>
      </c>
      <c r="H754" s="7" t="str">
        <f>Odds_Input!G512</f>
        <v>-</v>
      </c>
      <c r="I754" s="42">
        <f>M_DeVig!Q512</f>
        <v>7.8849509629765786E-3</v>
      </c>
      <c r="J754" s="13" t="s">
        <v>33</v>
      </c>
      <c r="K754" s="43">
        <f t="shared" si="140"/>
        <v>12582.387052189084</v>
      </c>
      <c r="L754" s="13" t="s">
        <v>33</v>
      </c>
      <c r="M754" s="13" t="s">
        <v>33</v>
      </c>
      <c r="N754" s="13" t="s">
        <v>33</v>
      </c>
      <c r="O754" s="13" t="s">
        <v>33</v>
      </c>
      <c r="P754" s="13" t="s">
        <v>33</v>
      </c>
      <c r="Q754" s="13" t="s">
        <v>33</v>
      </c>
      <c r="R754" s="13" t="s">
        <v>33</v>
      </c>
      <c r="S754" s="13" t="s">
        <v>33</v>
      </c>
      <c r="T754" s="13" t="s">
        <v>33</v>
      </c>
      <c r="U754" s="13" t="s">
        <v>33</v>
      </c>
      <c r="V754" s="13" t="s">
        <v>33</v>
      </c>
      <c r="W754" s="6" t="b">
        <v>0</v>
      </c>
      <c r="X754" s="6" t="s">
        <v>1301</v>
      </c>
      <c r="Y754" s="6" t="s">
        <v>1307</v>
      </c>
      <c r="Z754" s="6">
        <v>504</v>
      </c>
      <c r="AA754" s="7" t="str">
        <f t="shared" si="141"/>
        <v>OK - sims match current assumptions</v>
      </c>
      <c r="AB754" s="13" t="s">
        <v>33</v>
      </c>
      <c r="AC754" s="13" t="s">
        <v>33</v>
      </c>
      <c r="AD754" s="13" t="s">
        <v>33</v>
      </c>
      <c r="AE754" s="13" t="s">
        <v>33</v>
      </c>
      <c r="AF754" s="13" t="s">
        <v>33</v>
      </c>
      <c r="AG754" s="13" t="s">
        <v>33</v>
      </c>
      <c r="AH754" s="6" t="b">
        <v>0</v>
      </c>
      <c r="AI754" s="13" t="s">
        <v>33</v>
      </c>
      <c r="AJ754" s="13" t="s">
        <v>33</v>
      </c>
      <c r="AK754" s="13" t="s">
        <v>33</v>
      </c>
      <c r="AL754" s="6">
        <v>0</v>
      </c>
      <c r="AM754" s="13" t="s">
        <v>33</v>
      </c>
    </row>
    <row r="755" spans="1:39" ht="15" customHeight="1" x14ac:dyDescent="0.3">
      <c r="A755" s="6" t="s">
        <v>446</v>
      </c>
      <c r="B755" s="7" t="str">
        <f>Odds_Input!C513</f>
        <v>Deni Avdija</v>
      </c>
      <c r="C755" s="6" t="s">
        <v>33</v>
      </c>
      <c r="D755" s="7" t="str">
        <f>Odds_Input!D513</f>
        <v>YES</v>
      </c>
      <c r="E755" s="31" t="str">
        <f>Odds_Input!E513</f>
        <v>-</v>
      </c>
      <c r="F755" s="32">
        <f>Odds_Input!F513</f>
        <v>7200</v>
      </c>
      <c r="G755" s="36">
        <f>M_DeVig!H513</f>
        <v>73</v>
      </c>
      <c r="H755" s="7" t="str">
        <f>Odds_Input!G513</f>
        <v>-</v>
      </c>
      <c r="I755" s="42">
        <f>M_DeVig!Q513</f>
        <v>8.3267140396388033E-3</v>
      </c>
      <c r="J755" s="13" t="s">
        <v>33</v>
      </c>
      <c r="K755" s="43">
        <f t="shared" si="140"/>
        <v>11909.539360179324</v>
      </c>
      <c r="L755" s="13" t="s">
        <v>33</v>
      </c>
      <c r="M755" s="13" t="s">
        <v>33</v>
      </c>
      <c r="N755" s="13" t="s">
        <v>33</v>
      </c>
      <c r="O755" s="13" t="s">
        <v>33</v>
      </c>
      <c r="P755" s="13" t="s">
        <v>33</v>
      </c>
      <c r="Q755" s="13" t="s">
        <v>33</v>
      </c>
      <c r="R755" s="13" t="s">
        <v>33</v>
      </c>
      <c r="S755" s="13" t="s">
        <v>33</v>
      </c>
      <c r="T755" s="13" t="s">
        <v>33</v>
      </c>
      <c r="U755" s="13" t="s">
        <v>33</v>
      </c>
      <c r="V755" s="13" t="s">
        <v>33</v>
      </c>
      <c r="W755" s="6" t="b">
        <v>0</v>
      </c>
      <c r="X755" s="6" t="s">
        <v>1301</v>
      </c>
      <c r="Y755" s="6" t="s">
        <v>1307</v>
      </c>
      <c r="Z755" s="6">
        <v>505</v>
      </c>
      <c r="AA755" s="7" t="str">
        <f t="shared" si="141"/>
        <v>OK - sims match current assumptions</v>
      </c>
      <c r="AB755" s="13" t="s">
        <v>33</v>
      </c>
      <c r="AC755" s="13" t="s">
        <v>33</v>
      </c>
      <c r="AD755" s="13" t="s">
        <v>33</v>
      </c>
      <c r="AE755" s="13" t="s">
        <v>33</v>
      </c>
      <c r="AF755" s="13" t="s">
        <v>33</v>
      </c>
      <c r="AG755" s="13" t="s">
        <v>33</v>
      </c>
      <c r="AH755" s="6" t="b">
        <v>0</v>
      </c>
      <c r="AI755" s="13" t="s">
        <v>33</v>
      </c>
      <c r="AJ755" s="13" t="s">
        <v>33</v>
      </c>
      <c r="AK755" s="13" t="s">
        <v>33</v>
      </c>
      <c r="AL755" s="6">
        <v>0</v>
      </c>
      <c r="AM755" s="13" t="s">
        <v>33</v>
      </c>
    </row>
    <row r="756" spans="1:39" ht="15" customHeight="1" x14ac:dyDescent="0.3">
      <c r="A756" s="6" t="s">
        <v>446</v>
      </c>
      <c r="B756" s="7" t="str">
        <f>Odds_Input!C514</f>
        <v>James Harden</v>
      </c>
      <c r="C756" s="6" t="s">
        <v>33</v>
      </c>
      <c r="D756" s="7" t="str">
        <f>Odds_Input!D514</f>
        <v>YES</v>
      </c>
      <c r="E756" s="31" t="str">
        <f>Odds_Input!E514</f>
        <v>-</v>
      </c>
      <c r="F756" s="32">
        <f>Odds_Input!F514</f>
        <v>8000</v>
      </c>
      <c r="G756" s="36">
        <f>M_DeVig!H514</f>
        <v>81</v>
      </c>
      <c r="H756" s="7" t="str">
        <f>Odds_Input!G514</f>
        <v>-</v>
      </c>
      <c r="I756" s="42">
        <f>M_DeVig!Q514</f>
        <v>7.2258916079429416E-3</v>
      </c>
      <c r="J756" s="13" t="s">
        <v>33</v>
      </c>
      <c r="K756" s="43">
        <f t="shared" si="140"/>
        <v>13739.122619840664</v>
      </c>
      <c r="L756" s="13" t="s">
        <v>33</v>
      </c>
      <c r="M756" s="13" t="s">
        <v>33</v>
      </c>
      <c r="N756" s="13" t="s">
        <v>33</v>
      </c>
      <c r="O756" s="13" t="s">
        <v>33</v>
      </c>
      <c r="P756" s="13" t="s">
        <v>33</v>
      </c>
      <c r="Q756" s="13" t="s">
        <v>33</v>
      </c>
      <c r="R756" s="13" t="s">
        <v>33</v>
      </c>
      <c r="S756" s="13" t="s">
        <v>33</v>
      </c>
      <c r="T756" s="13" t="s">
        <v>33</v>
      </c>
      <c r="U756" s="13" t="s">
        <v>33</v>
      </c>
      <c r="V756" s="13" t="s">
        <v>33</v>
      </c>
      <c r="W756" s="6" t="b">
        <v>0</v>
      </c>
      <c r="X756" s="6" t="s">
        <v>1301</v>
      </c>
      <c r="Y756" s="6" t="s">
        <v>1307</v>
      </c>
      <c r="Z756" s="6">
        <v>506</v>
      </c>
      <c r="AA756" s="7" t="str">
        <f t="shared" si="141"/>
        <v>OK - sims match current assumptions</v>
      </c>
      <c r="AB756" s="13" t="s">
        <v>33</v>
      </c>
      <c r="AC756" s="13" t="s">
        <v>33</v>
      </c>
      <c r="AD756" s="13" t="s">
        <v>33</v>
      </c>
      <c r="AE756" s="13" t="s">
        <v>33</v>
      </c>
      <c r="AF756" s="13" t="s">
        <v>33</v>
      </c>
      <c r="AG756" s="13" t="s">
        <v>33</v>
      </c>
      <c r="AH756" s="6" t="b">
        <v>0</v>
      </c>
      <c r="AI756" s="13" t="s">
        <v>33</v>
      </c>
      <c r="AJ756" s="13" t="s">
        <v>33</v>
      </c>
      <c r="AK756" s="13" t="s">
        <v>33</v>
      </c>
      <c r="AL756" s="6">
        <v>0</v>
      </c>
      <c r="AM756" s="13" t="s">
        <v>33</v>
      </c>
    </row>
    <row r="757" spans="1:39" ht="15" customHeight="1" x14ac:dyDescent="0.3">
      <c r="A757" s="6" t="s">
        <v>446</v>
      </c>
      <c r="B757" s="7" t="str">
        <f>Odds_Input!C515</f>
        <v>Franz Wagner</v>
      </c>
      <c r="C757" s="6" t="s">
        <v>33</v>
      </c>
      <c r="D757" s="7" t="str">
        <f>Odds_Input!D515</f>
        <v>YES</v>
      </c>
      <c r="E757" s="31" t="str">
        <f>Odds_Input!E515</f>
        <v>-</v>
      </c>
      <c r="F757" s="32">
        <f>Odds_Input!F515</f>
        <v>7000</v>
      </c>
      <c r="G757" s="36">
        <f>M_DeVig!H515</f>
        <v>71</v>
      </c>
      <c r="H757" s="7" t="str">
        <f>Odds_Input!G515</f>
        <v>-</v>
      </c>
      <c r="I757" s="42">
        <f>M_DeVig!Q515</f>
        <v>8.6432664406052902E-3</v>
      </c>
      <c r="J757" s="13" t="s">
        <v>33</v>
      </c>
      <c r="K757" s="43">
        <f t="shared" si="140"/>
        <v>11469.700030327536</v>
      </c>
      <c r="L757" s="13" t="s">
        <v>33</v>
      </c>
      <c r="M757" s="13" t="s">
        <v>33</v>
      </c>
      <c r="N757" s="13" t="s">
        <v>33</v>
      </c>
      <c r="O757" s="13" t="s">
        <v>33</v>
      </c>
      <c r="P757" s="13" t="s">
        <v>33</v>
      </c>
      <c r="Q757" s="13" t="s">
        <v>33</v>
      </c>
      <c r="R757" s="13" t="s">
        <v>33</v>
      </c>
      <c r="S757" s="13" t="s">
        <v>33</v>
      </c>
      <c r="T757" s="13" t="s">
        <v>33</v>
      </c>
      <c r="U757" s="13" t="s">
        <v>33</v>
      </c>
      <c r="V757" s="13" t="s">
        <v>33</v>
      </c>
      <c r="W757" s="6" t="b">
        <v>0</v>
      </c>
      <c r="X757" s="6" t="s">
        <v>1301</v>
      </c>
      <c r="Y757" s="6" t="s">
        <v>1307</v>
      </c>
      <c r="Z757" s="6">
        <v>507</v>
      </c>
      <c r="AA757" s="7" t="str">
        <f t="shared" si="141"/>
        <v>OK - sims match current assumptions</v>
      </c>
      <c r="AB757" s="13" t="s">
        <v>33</v>
      </c>
      <c r="AC757" s="13" t="s">
        <v>33</v>
      </c>
      <c r="AD757" s="13" t="s">
        <v>33</v>
      </c>
      <c r="AE757" s="13" t="s">
        <v>33</v>
      </c>
      <c r="AF757" s="13" t="s">
        <v>33</v>
      </c>
      <c r="AG757" s="13" t="s">
        <v>33</v>
      </c>
      <c r="AH757" s="6" t="b">
        <v>0</v>
      </c>
      <c r="AI757" s="13" t="s">
        <v>33</v>
      </c>
      <c r="AJ757" s="13" t="s">
        <v>33</v>
      </c>
      <c r="AK757" s="13" t="s">
        <v>33</v>
      </c>
      <c r="AL757" s="6">
        <v>0</v>
      </c>
      <c r="AM757" s="13" t="s">
        <v>33</v>
      </c>
    </row>
    <row r="758" spans="1:39" ht="15" customHeight="1" x14ac:dyDescent="0.3">
      <c r="A758" s="6" t="s">
        <v>446</v>
      </c>
      <c r="B758" s="7" t="str">
        <f>Odds_Input!C516</f>
        <v>Jamal Murray</v>
      </c>
      <c r="C758" s="6" t="s">
        <v>33</v>
      </c>
      <c r="D758" s="7" t="str">
        <f>Odds_Input!D516</f>
        <v>YES</v>
      </c>
      <c r="E758" s="31" t="str">
        <f>Odds_Input!E516</f>
        <v>-</v>
      </c>
      <c r="F758" s="32">
        <f>Odds_Input!F516</f>
        <v>9000</v>
      </c>
      <c r="G758" s="36">
        <f>M_DeVig!H516</f>
        <v>91</v>
      </c>
      <c r="H758" s="7" t="str">
        <f>Odds_Input!G516</f>
        <v>-</v>
      </c>
      <c r="I758" s="42">
        <f>M_DeVig!Q516</f>
        <v>6.1395773619916313E-3</v>
      </c>
      <c r="J758" s="13" t="s">
        <v>33</v>
      </c>
      <c r="K758" s="43">
        <f t="shared" si="140"/>
        <v>16187.766095932175</v>
      </c>
      <c r="L758" s="13" t="s">
        <v>33</v>
      </c>
      <c r="M758" s="13" t="s">
        <v>33</v>
      </c>
      <c r="N758" s="13" t="s">
        <v>33</v>
      </c>
      <c r="O758" s="13" t="s">
        <v>33</v>
      </c>
      <c r="P758" s="13" t="s">
        <v>33</v>
      </c>
      <c r="Q758" s="13" t="s">
        <v>33</v>
      </c>
      <c r="R758" s="13" t="s">
        <v>33</v>
      </c>
      <c r="S758" s="13" t="s">
        <v>33</v>
      </c>
      <c r="T758" s="13" t="s">
        <v>33</v>
      </c>
      <c r="U758" s="13" t="s">
        <v>33</v>
      </c>
      <c r="V758" s="13" t="s">
        <v>33</v>
      </c>
      <c r="W758" s="6" t="b">
        <v>0</v>
      </c>
      <c r="X758" s="6" t="s">
        <v>1301</v>
      </c>
      <c r="Y758" s="6" t="s">
        <v>1307</v>
      </c>
      <c r="Z758" s="6">
        <v>508</v>
      </c>
      <c r="AA758" s="7" t="str">
        <f t="shared" si="141"/>
        <v>OK - sims match current assumptions</v>
      </c>
      <c r="AB758" s="13" t="s">
        <v>33</v>
      </c>
      <c r="AC758" s="13" t="s">
        <v>33</v>
      </c>
      <c r="AD758" s="13" t="s">
        <v>33</v>
      </c>
      <c r="AE758" s="13" t="s">
        <v>33</v>
      </c>
      <c r="AF758" s="13" t="s">
        <v>33</v>
      </c>
      <c r="AG758" s="13" t="s">
        <v>33</v>
      </c>
      <c r="AH758" s="6" t="b">
        <v>0</v>
      </c>
      <c r="AI758" s="13" t="s">
        <v>33</v>
      </c>
      <c r="AJ758" s="13" t="s">
        <v>33</v>
      </c>
      <c r="AK758" s="13" t="s">
        <v>33</v>
      </c>
      <c r="AL758" s="6">
        <v>0</v>
      </c>
      <c r="AM758" s="13" t="s">
        <v>33</v>
      </c>
    </row>
    <row r="759" spans="1:39" ht="15" customHeight="1" x14ac:dyDescent="0.3">
      <c r="A759" s="6" t="s">
        <v>446</v>
      </c>
      <c r="B759" s="7" t="str">
        <f>Odds_Input!C517</f>
        <v>Tyrese Haliburton</v>
      </c>
      <c r="C759" s="6" t="s">
        <v>33</v>
      </c>
      <c r="D759" s="7" t="str">
        <f>Odds_Input!D517</f>
        <v>YES</v>
      </c>
      <c r="E759" s="31" t="str">
        <f>Odds_Input!E517</f>
        <v>-</v>
      </c>
      <c r="F759" s="32">
        <f>Odds_Input!F517</f>
        <v>7000</v>
      </c>
      <c r="G759" s="36">
        <f>M_DeVig!H517</f>
        <v>71</v>
      </c>
      <c r="H759" s="7" t="str">
        <f>Odds_Input!G517</f>
        <v>-</v>
      </c>
      <c r="I759" s="42">
        <f>M_DeVig!Q517</f>
        <v>8.6432664406052902E-3</v>
      </c>
      <c r="J759" s="13" t="s">
        <v>33</v>
      </c>
      <c r="K759" s="43">
        <f t="shared" si="140"/>
        <v>11469.700030327536</v>
      </c>
      <c r="L759" s="13" t="s">
        <v>33</v>
      </c>
      <c r="M759" s="13" t="s">
        <v>33</v>
      </c>
      <c r="N759" s="13" t="s">
        <v>33</v>
      </c>
      <c r="O759" s="13" t="s">
        <v>33</v>
      </c>
      <c r="P759" s="13" t="s">
        <v>33</v>
      </c>
      <c r="Q759" s="13" t="s">
        <v>33</v>
      </c>
      <c r="R759" s="13" t="s">
        <v>33</v>
      </c>
      <c r="S759" s="13" t="s">
        <v>33</v>
      </c>
      <c r="T759" s="13" t="s">
        <v>33</v>
      </c>
      <c r="U759" s="13" t="s">
        <v>33</v>
      </c>
      <c r="V759" s="13" t="s">
        <v>33</v>
      </c>
      <c r="W759" s="6" t="b">
        <v>0</v>
      </c>
      <c r="X759" s="6" t="s">
        <v>1301</v>
      </c>
      <c r="Y759" s="6" t="s">
        <v>1307</v>
      </c>
      <c r="Z759" s="6">
        <v>509</v>
      </c>
      <c r="AA759" s="7" t="str">
        <f t="shared" si="141"/>
        <v>OK - sims match current assumptions</v>
      </c>
      <c r="AB759" s="13" t="s">
        <v>33</v>
      </c>
      <c r="AC759" s="13" t="s">
        <v>33</v>
      </c>
      <c r="AD759" s="13" t="s">
        <v>33</v>
      </c>
      <c r="AE759" s="13" t="s">
        <v>33</v>
      </c>
      <c r="AF759" s="13" t="s">
        <v>33</v>
      </c>
      <c r="AG759" s="13" t="s">
        <v>33</v>
      </c>
      <c r="AH759" s="6" t="b">
        <v>0</v>
      </c>
      <c r="AI759" s="13" t="s">
        <v>33</v>
      </c>
      <c r="AJ759" s="13" t="s">
        <v>33</v>
      </c>
      <c r="AK759" s="13" t="s">
        <v>33</v>
      </c>
      <c r="AL759" s="6">
        <v>0</v>
      </c>
      <c r="AM759" s="13" t="s">
        <v>33</v>
      </c>
    </row>
    <row r="760" spans="1:39" ht="15" customHeight="1" x14ac:dyDescent="0.3">
      <c r="A760" s="6" t="s">
        <v>446</v>
      </c>
      <c r="B760" s="7" t="str">
        <f>Odds_Input!C518</f>
        <v>Pascal Siakam</v>
      </c>
      <c r="C760" s="6" t="s">
        <v>33</v>
      </c>
      <c r="D760" s="7" t="str">
        <f>Odds_Input!D518</f>
        <v>YES</v>
      </c>
      <c r="E760" s="31" t="str">
        <f>Odds_Input!E518</f>
        <v>-</v>
      </c>
      <c r="F760" s="32">
        <f>Odds_Input!F518</f>
        <v>8000</v>
      </c>
      <c r="G760" s="36">
        <f>M_DeVig!H518</f>
        <v>81</v>
      </c>
      <c r="H760" s="7" t="str">
        <f>Odds_Input!G518</f>
        <v>-</v>
      </c>
      <c r="I760" s="42">
        <f>M_DeVig!Q518</f>
        <v>7.2258916079429416E-3</v>
      </c>
      <c r="J760" s="13" t="s">
        <v>33</v>
      </c>
      <c r="K760" s="43">
        <f t="shared" si="140"/>
        <v>13739.122619840664</v>
      </c>
      <c r="L760" s="13" t="s">
        <v>33</v>
      </c>
      <c r="M760" s="13" t="s">
        <v>33</v>
      </c>
      <c r="N760" s="13" t="s">
        <v>33</v>
      </c>
      <c r="O760" s="13" t="s">
        <v>33</v>
      </c>
      <c r="P760" s="13" t="s">
        <v>33</v>
      </c>
      <c r="Q760" s="13" t="s">
        <v>33</v>
      </c>
      <c r="R760" s="13" t="s">
        <v>33</v>
      </c>
      <c r="S760" s="13" t="s">
        <v>33</v>
      </c>
      <c r="T760" s="13" t="s">
        <v>33</v>
      </c>
      <c r="U760" s="13" t="s">
        <v>33</v>
      </c>
      <c r="V760" s="13" t="s">
        <v>33</v>
      </c>
      <c r="W760" s="6" t="b">
        <v>0</v>
      </c>
      <c r="X760" s="6" t="s">
        <v>1301</v>
      </c>
      <c r="Y760" s="6" t="s">
        <v>1307</v>
      </c>
      <c r="Z760" s="6">
        <v>510</v>
      </c>
      <c r="AA760" s="7" t="str">
        <f t="shared" si="141"/>
        <v>OK - sims match current assumptions</v>
      </c>
      <c r="AB760" s="13" t="s">
        <v>33</v>
      </c>
      <c r="AC760" s="13" t="s">
        <v>33</v>
      </c>
      <c r="AD760" s="13" t="s">
        <v>33</v>
      </c>
      <c r="AE760" s="13" t="s">
        <v>33</v>
      </c>
      <c r="AF760" s="13" t="s">
        <v>33</v>
      </c>
      <c r="AG760" s="13" t="s">
        <v>33</v>
      </c>
      <c r="AH760" s="6" t="b">
        <v>0</v>
      </c>
      <c r="AI760" s="13" t="s">
        <v>33</v>
      </c>
      <c r="AJ760" s="13" t="s">
        <v>33</v>
      </c>
      <c r="AK760" s="13" t="s">
        <v>33</v>
      </c>
      <c r="AL760" s="6">
        <v>0</v>
      </c>
      <c r="AM760" s="13" t="s">
        <v>33</v>
      </c>
    </row>
    <row r="761" spans="1:39" ht="15" customHeight="1" x14ac:dyDescent="0.3">
      <c r="A761" s="6" t="s">
        <v>446</v>
      </c>
      <c r="B761" s="7" t="str">
        <f>Odds_Input!C519</f>
        <v>Jaren Jackson Jr</v>
      </c>
      <c r="C761" s="6" t="s">
        <v>33</v>
      </c>
      <c r="D761" s="7" t="str">
        <f>Odds_Input!D519</f>
        <v>YES</v>
      </c>
      <c r="E761" s="31" t="str">
        <f>Odds_Input!E519</f>
        <v>-</v>
      </c>
      <c r="F761" s="32">
        <f>Odds_Input!F519</f>
        <v>15000</v>
      </c>
      <c r="G761" s="36">
        <f>M_DeVig!H519</f>
        <v>151</v>
      </c>
      <c r="H761" s="7" t="str">
        <f>Odds_Input!G519</f>
        <v>-</v>
      </c>
      <c r="I761" s="42">
        <f>M_DeVig!Q519</f>
        <v>2.854850310079168E-3</v>
      </c>
      <c r="J761" s="13" t="s">
        <v>33</v>
      </c>
      <c r="K761" s="43">
        <f t="shared" si="140"/>
        <v>34928.10625374852</v>
      </c>
      <c r="L761" s="13" t="s">
        <v>33</v>
      </c>
      <c r="M761" s="13" t="s">
        <v>33</v>
      </c>
      <c r="N761" s="13" t="s">
        <v>33</v>
      </c>
      <c r="O761" s="13" t="s">
        <v>33</v>
      </c>
      <c r="P761" s="13" t="s">
        <v>33</v>
      </c>
      <c r="Q761" s="13" t="s">
        <v>33</v>
      </c>
      <c r="R761" s="13" t="s">
        <v>33</v>
      </c>
      <c r="S761" s="13" t="s">
        <v>33</v>
      </c>
      <c r="T761" s="13" t="s">
        <v>33</v>
      </c>
      <c r="U761" s="13" t="s">
        <v>33</v>
      </c>
      <c r="V761" s="13" t="s">
        <v>33</v>
      </c>
      <c r="W761" s="6" t="b">
        <v>0</v>
      </c>
      <c r="X761" s="6" t="s">
        <v>1301</v>
      </c>
      <c r="Y761" s="6" t="s">
        <v>1307</v>
      </c>
      <c r="Z761" s="6">
        <v>511</v>
      </c>
      <c r="AA761" s="7" t="str">
        <f t="shared" si="141"/>
        <v>OK - sims match current assumptions</v>
      </c>
      <c r="AB761" s="13" t="s">
        <v>33</v>
      </c>
      <c r="AC761" s="13" t="s">
        <v>33</v>
      </c>
      <c r="AD761" s="13" t="s">
        <v>33</v>
      </c>
      <c r="AE761" s="13" t="s">
        <v>33</v>
      </c>
      <c r="AF761" s="13" t="s">
        <v>33</v>
      </c>
      <c r="AG761" s="13" t="s">
        <v>33</v>
      </c>
      <c r="AH761" s="6" t="b">
        <v>0</v>
      </c>
      <c r="AI761" s="13" t="s">
        <v>33</v>
      </c>
      <c r="AJ761" s="13" t="s">
        <v>33</v>
      </c>
      <c r="AK761" s="13" t="s">
        <v>33</v>
      </c>
      <c r="AL761" s="6">
        <v>0</v>
      </c>
      <c r="AM761" s="13" t="s">
        <v>33</v>
      </c>
    </row>
  </sheetData>
  <conditionalFormatting sqref="L8:L763">
    <cfRule type="expression" dxfId="4" priority="1">
      <formula>AND(ISNUMBER(L8),L8&gt;=A_minev,ISNUMBER(N8),N8&gt;0)</formula>
    </cfRule>
    <cfRule type="expression" dxfId="3" priority="2">
      <formula>AND(ISNUMBER(L8),L8&lt;0)</formula>
    </cfRule>
  </conditionalFormatting>
  <conditionalFormatting sqref="AA8:AA763">
    <cfRule type="expression" dxfId="2" priority="3">
      <formula>LEFT(AA8,5)="STALE"</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P65"/>
  <sheetViews>
    <sheetView showGridLines="0" workbookViewId="0">
      <pane xSplit="2" ySplit="7" topLeftCell="C8" activePane="bottomRight" state="frozen"/>
      <selection pane="topRight"/>
      <selection pane="bottomLeft"/>
      <selection pane="bottomRight"/>
    </sheetView>
  </sheetViews>
  <sheetFormatPr defaultRowHeight="14.4" x14ac:dyDescent="0.3"/>
  <cols>
    <col min="1" max="1" width="24" customWidth="1"/>
    <col min="2" max="2" width="28" customWidth="1"/>
    <col min="3" max="13" width="14" customWidth="1"/>
    <col min="14" max="14" width="24" customWidth="1"/>
    <col min="15" max="15" width="60" customWidth="1"/>
    <col min="16" max="16" width="14" customWidth="1"/>
  </cols>
  <sheetData>
    <row r="1" spans="1:16" ht="15" customHeight="1" x14ac:dyDescent="0.3">
      <c r="A1" s="1" t="s">
        <v>0</v>
      </c>
      <c r="B1" s="2"/>
      <c r="C1" s="2"/>
      <c r="D1" s="2"/>
      <c r="E1" s="2"/>
      <c r="F1" s="2"/>
      <c r="G1" s="2"/>
      <c r="H1" s="2"/>
      <c r="I1" s="2"/>
      <c r="J1" s="2"/>
      <c r="K1" s="2"/>
      <c r="L1" s="2"/>
      <c r="M1" s="2"/>
      <c r="N1" s="2"/>
      <c r="O1" s="2"/>
    </row>
    <row r="2" spans="1:16" ht="15" customHeight="1" x14ac:dyDescent="0.3">
      <c r="A2" s="3" t="s">
        <v>1340</v>
      </c>
    </row>
    <row r="3" spans="1:16" ht="15" customHeight="1" x14ac:dyDescent="0.3">
      <c r="A3" s="4" t="s">
        <v>2</v>
      </c>
    </row>
    <row r="4" spans="1:16" ht="6" customHeight="1" x14ac:dyDescent="0.3"/>
    <row r="5" spans="1:16" ht="15" customHeight="1" x14ac:dyDescent="0.3">
      <c r="A5" s="4" t="s">
        <v>1341</v>
      </c>
    </row>
    <row r="6" spans="1:16" ht="15" customHeight="1" x14ac:dyDescent="0.3">
      <c r="A6" s="47" t="str">
        <f>Sim_Stale</f>
        <v>OK - sims match current assumptions</v>
      </c>
    </row>
    <row r="7" spans="1:16" ht="30" customHeight="1" x14ac:dyDescent="0.3">
      <c r="A7" s="11" t="s">
        <v>230</v>
      </c>
      <c r="B7" s="11" t="s">
        <v>231</v>
      </c>
      <c r="C7" s="11" t="s">
        <v>232</v>
      </c>
      <c r="D7" s="11" t="s">
        <v>233</v>
      </c>
      <c r="E7" s="11" t="s">
        <v>1276</v>
      </c>
      <c r="F7" s="11" t="s">
        <v>1342</v>
      </c>
      <c r="G7" s="11" t="s">
        <v>1038</v>
      </c>
      <c r="H7" s="11" t="s">
        <v>1279</v>
      </c>
      <c r="I7" s="11" t="s">
        <v>1343</v>
      </c>
      <c r="J7" s="11" t="s">
        <v>1299</v>
      </c>
      <c r="K7" s="11" t="s">
        <v>1344</v>
      </c>
      <c r="L7" s="11" t="s">
        <v>1284</v>
      </c>
      <c r="M7" s="11" t="s">
        <v>1345</v>
      </c>
      <c r="N7" s="11" t="s">
        <v>1286</v>
      </c>
      <c r="O7" s="11" t="s">
        <v>1288</v>
      </c>
      <c r="P7" s="11" t="s">
        <v>973</v>
      </c>
    </row>
    <row r="8" spans="1:16" x14ac:dyDescent="0.3">
      <c r="A8" s="62" t="str" cm="1">
        <f t="array" ref="A8:P59">_xlfn.LET(_xlpm.d,S_Markets!$A$8:$AM$763,_xlpm.q,INDEX(_xlpm.d,0,23),_xlpm.f,_xlfn._xlws.FILTER(_xlpm.d,_xlpm.q=TRUE,"No qualifying bets"),IF(COLUMNS(_xlpm.f)&lt;2,_xlpm.f,_xlfn.LET(_xlpm.s,_xlfn.SORTBY(_xlpm.f,INDEX(_xlpm.f,0,38),-1),_xlfn.HSTACK(INDEX(_xlpm.s,0,1),INDEX(_xlpm.s,0,2),INDEX(_xlpm.s,0,4),INDEX(_xlpm.s,0,5),INDEX(_xlpm.s,0,6),INDEX(_xlpm.s,0,9),INDEX(_xlpm.s,0,10),INDEX(_xlpm.s,0,12),INDEX(_xlpm.s,0,14),INDEX(_xlpm.s,0,39),INDEX(_xlpm.s,0,18),INDEX(_xlpm.s,0,19),INDEX(_xlpm.s,0,20),INDEX(_xlpm.s,0,21),INDEX(_xlpm.s,0,24),INDEX(_xlpm.s,0,25)))))</f>
        <v>WINS</v>
      </c>
      <c r="B8" s="62" t="str">
        <v>Washington Wizards</v>
      </c>
      <c r="C8" s="62" t="str">
        <v>UNDER</v>
      </c>
      <c r="D8" s="63">
        <v>35.5</v>
      </c>
      <c r="E8" s="64">
        <v>-140</v>
      </c>
      <c r="F8" s="65">
        <v>0.56439393940337157</v>
      </c>
      <c r="G8" s="65">
        <v>0.82284000000000002</v>
      </c>
      <c r="H8" s="65">
        <v>0.41058285714285736</v>
      </c>
      <c r="I8" s="65">
        <v>0.34796571428571438</v>
      </c>
      <c r="J8" s="62" t="str">
        <v>Tier 2</v>
      </c>
      <c r="K8" s="68" t="str">
        <v>-</v>
      </c>
      <c r="L8" s="67" t="str">
        <v>-</v>
      </c>
      <c r="M8" s="68" t="str">
        <v>-</v>
      </c>
      <c r="N8" s="67" t="str">
        <v>-</v>
      </c>
      <c r="O8" s="62" t="str">
        <v>Wed 10/21 06:10 PM CST</v>
      </c>
      <c r="P8" s="62" t="str">
        <v>All 82 games must be played for action; play-in games do not count; lines are x.5 (no push)</v>
      </c>
    </row>
    <row r="9" spans="1:16" x14ac:dyDescent="0.3">
      <c r="A9" s="62" t="str">
        <v>WINS</v>
      </c>
      <c r="B9" s="62" t="str">
        <v>Miami Heat</v>
      </c>
      <c r="C9" s="62" t="str">
        <v>UNDER</v>
      </c>
      <c r="D9" s="63">
        <v>46.5</v>
      </c>
      <c r="E9" s="64">
        <v>-120</v>
      </c>
      <c r="F9" s="65">
        <v>0.52272727270008856</v>
      </c>
      <c r="G9" s="65">
        <v>0.83294000000000001</v>
      </c>
      <c r="H9" s="65">
        <v>0.52705666666666673</v>
      </c>
      <c r="I9" s="65">
        <v>0.45419999999999999</v>
      </c>
      <c r="J9" s="62" t="str">
        <v>Tier 2</v>
      </c>
      <c r="K9" s="68" t="str">
        <v>-</v>
      </c>
      <c r="L9" s="67" t="str">
        <v>-</v>
      </c>
      <c r="M9" s="68" t="str">
        <v>-</v>
      </c>
      <c r="N9" s="67" t="str">
        <v>-</v>
      </c>
      <c r="O9" s="62" t="str">
        <v>Wed 10/21 06:40 PM CST</v>
      </c>
      <c r="P9" s="62" t="str">
        <v>All 82 games must be played for action; play-in games do not count; lines are x.5 (no push)</v>
      </c>
    </row>
    <row r="10" spans="1:16" x14ac:dyDescent="0.3">
      <c r="A10" s="62" t="str">
        <v>WINS</v>
      </c>
      <c r="B10" s="62" t="str">
        <v>Golden State Warriors</v>
      </c>
      <c r="C10" s="62" t="str">
        <v>OVER</v>
      </c>
      <c r="D10" s="63">
        <v>39.5</v>
      </c>
      <c r="E10" s="64">
        <v>120</v>
      </c>
      <c r="F10" s="65">
        <v>0.4356060606181606</v>
      </c>
      <c r="G10" s="65">
        <v>0.68458999999999992</v>
      </c>
      <c r="H10" s="65">
        <v>0.50609799999999994</v>
      </c>
      <c r="I10" s="65">
        <v>0.47353066666666671</v>
      </c>
      <c r="J10" s="62" t="str">
        <v>Tier 2</v>
      </c>
      <c r="K10" s="68" t="str">
        <v>-</v>
      </c>
      <c r="L10" s="67" t="str">
        <v>-</v>
      </c>
      <c r="M10" s="68" t="str">
        <v>-</v>
      </c>
      <c r="N10" s="67" t="str">
        <v>-</v>
      </c>
      <c r="O10" s="62" t="str">
        <v>Wed 10/21 09:10 PM CST</v>
      </c>
      <c r="P10" s="62" t="str">
        <v>All 82 games must be played for action; play-in games do not count; lines are x.5 (no push)</v>
      </c>
    </row>
    <row r="11" spans="1:16" x14ac:dyDescent="0.3">
      <c r="A11" s="62" t="str">
        <v>PLAYOFFS</v>
      </c>
      <c r="B11" s="62" t="str">
        <v>Houston Rockets</v>
      </c>
      <c r="C11" s="62" t="str">
        <v>YES</v>
      </c>
      <c r="D11" s="63" t="str">
        <v>-</v>
      </c>
      <c r="E11" s="64">
        <v>-550</v>
      </c>
      <c r="F11" s="65">
        <v>0.81781376517646998</v>
      </c>
      <c r="G11" s="65">
        <v>0.92684</v>
      </c>
      <c r="H11" s="65">
        <v>9.5356363636363684E-2</v>
      </c>
      <c r="I11" s="65">
        <v>6.9466666666666801E-2</v>
      </c>
      <c r="J11" s="62" t="str">
        <v>Tier 2</v>
      </c>
      <c r="K11" s="68" t="str">
        <v>-</v>
      </c>
      <c r="L11" s="67" t="str">
        <v>-</v>
      </c>
      <c r="M11" s="68" t="str">
        <v>-</v>
      </c>
      <c r="N11" s="67" t="str">
        <v>-</v>
      </c>
      <c r="O11" s="62" t="str">
        <v>Wed 10/21 07:40 PM CST</v>
      </c>
      <c r="P11" s="62" t="str">
        <v>Makes the 16-team playoff field, including via the play-in (top-8 per conference; user-confirmed from implied sums ~8.7/conf) - CONFIRM WITH BOOK; action requires 82 games unless already determined</v>
      </c>
    </row>
    <row r="12" spans="1:16" x14ac:dyDescent="0.3">
      <c r="A12" s="62" t="str">
        <v>WINS</v>
      </c>
      <c r="B12" s="62" t="str">
        <v>Utah Jazz</v>
      </c>
      <c r="C12" s="62" t="str">
        <v>UNDER</v>
      </c>
      <c r="D12" s="63">
        <v>37.5</v>
      </c>
      <c r="E12" s="64">
        <v>115</v>
      </c>
      <c r="F12" s="65">
        <v>0.44532409697922487</v>
      </c>
      <c r="G12" s="65">
        <v>0.68981999999999988</v>
      </c>
      <c r="H12" s="65">
        <v>0.48311299999999968</v>
      </c>
      <c r="I12" s="65">
        <v>0.3740793333333331</v>
      </c>
      <c r="J12" s="62" t="str">
        <v>Tier 2</v>
      </c>
      <c r="K12" s="68" t="str">
        <v>-</v>
      </c>
      <c r="L12" s="67" t="str">
        <v>-</v>
      </c>
      <c r="M12" s="68" t="str">
        <v>-</v>
      </c>
      <c r="N12" s="67" t="str">
        <v>-</v>
      </c>
      <c r="O12" s="62" t="str">
        <v>Wed 10/21 07:10 PM CST</v>
      </c>
      <c r="P12" s="62" t="str">
        <v>All 82 games must be played for action; play-in games do not count; lines are x.5 (no push)</v>
      </c>
    </row>
    <row r="13" spans="1:16" x14ac:dyDescent="0.3">
      <c r="A13" s="62" t="str">
        <v>PLAYOFFS</v>
      </c>
      <c r="B13" s="62" t="str">
        <v>Miami Heat</v>
      </c>
      <c r="C13" s="62" t="str">
        <v>NO</v>
      </c>
      <c r="D13" s="63" t="str">
        <v>-</v>
      </c>
      <c r="E13" s="64">
        <v>235</v>
      </c>
      <c r="F13" s="65">
        <v>0.27425373138268377</v>
      </c>
      <c r="G13" s="65">
        <v>0.59072999999999998</v>
      </c>
      <c r="H13" s="65">
        <v>0.97894550000000002</v>
      </c>
      <c r="I13" s="65">
        <v>0.81130033333333307</v>
      </c>
      <c r="J13" s="62" t="str">
        <v>Tier 2</v>
      </c>
      <c r="K13" s="68" t="str">
        <v>-</v>
      </c>
      <c r="L13" s="67" t="str">
        <v>-</v>
      </c>
      <c r="M13" s="68" t="str">
        <v>-</v>
      </c>
      <c r="N13" s="67" t="str">
        <v>-</v>
      </c>
      <c r="O13" s="62" t="str">
        <v>Wed 10/21 06:40 PM CST</v>
      </c>
      <c r="P13" s="62" t="str">
        <v>Makes the 16-team playoff field, including via the play-in (top-8 per conference; user-confirmed from implied sums ~8.7/conf) - CONFIRM WITH BOOK; action requires 82 games unless already determined</v>
      </c>
    </row>
    <row r="14" spans="1:16" x14ac:dyDescent="0.3">
      <c r="A14" s="62" t="str">
        <v>PLAYIN_EAST</v>
      </c>
      <c r="B14" s="62" t="str">
        <v>Brooklyn Nets</v>
      </c>
      <c r="C14" s="62" t="str">
        <v>YES</v>
      </c>
      <c r="D14" s="63" t="str">
        <v>-</v>
      </c>
      <c r="E14" s="64">
        <v>1400</v>
      </c>
      <c r="F14" s="65">
        <v>5.3635621349933681E-2</v>
      </c>
      <c r="G14" s="65">
        <v>0.23788000000000001</v>
      </c>
      <c r="H14" s="65">
        <v>2.5682</v>
      </c>
      <c r="I14" s="65">
        <v>2.3037000000000001</v>
      </c>
      <c r="J14" s="62" t="str">
        <v>Tier 2</v>
      </c>
      <c r="K14" s="68" t="str">
        <v>-</v>
      </c>
      <c r="L14" s="67" t="str">
        <v>-</v>
      </c>
      <c r="M14" s="68" t="str">
        <v>-</v>
      </c>
      <c r="N14" s="67" t="str">
        <v>-</v>
      </c>
      <c r="O14" s="62" t="str">
        <v>Tue 10/20 02:10 PM CST</v>
      </c>
      <c r="P14" s="62" t="str">
        <v>Interpreted as team participates in the play-in (finishes 7-10); implied probs sum to ~4.4 per conference with 4 slots - INTERPRETATION FLAGGED</v>
      </c>
    </row>
    <row r="15" spans="1:16" x14ac:dyDescent="0.3">
      <c r="A15" s="62" t="str">
        <v>DIV_SOUTHWEST</v>
      </c>
      <c r="B15" s="62" t="str">
        <v>Houston Rockets</v>
      </c>
      <c r="C15" s="62" t="str">
        <v>YES</v>
      </c>
      <c r="D15" s="63" t="str">
        <v>-</v>
      </c>
      <c r="E15" s="64">
        <v>450</v>
      </c>
      <c r="F15" s="65">
        <v>0.14140208267511578</v>
      </c>
      <c r="G15" s="65">
        <v>0.46250000000000002</v>
      </c>
      <c r="H15" s="65">
        <v>1.5437500000000002</v>
      </c>
      <c r="I15" s="65">
        <v>1.4751466666666671</v>
      </c>
      <c r="J15" s="62" t="str">
        <v>Tier 2</v>
      </c>
      <c r="K15" s="68" t="str">
        <v>-</v>
      </c>
      <c r="L15" s="67" t="str">
        <v>-</v>
      </c>
      <c r="M15" s="68" t="str">
        <v>-</v>
      </c>
      <c r="N15" s="67" t="str">
        <v>-</v>
      </c>
      <c r="O15" s="62" t="str">
        <v>Tue 10/20 02:10 PM CST</v>
      </c>
      <c r="P15" s="62" t="str">
        <v>All wagers action; division tiebreakers per NBA rules</v>
      </c>
    </row>
    <row r="16" spans="1:16" x14ac:dyDescent="0.3">
      <c r="A16" s="62" t="str">
        <v>DIV_ATLANTIC</v>
      </c>
      <c r="B16" s="62" t="str">
        <v>Toronto Raptors</v>
      </c>
      <c r="C16" s="62" t="str">
        <v>YES</v>
      </c>
      <c r="D16" s="63" t="str">
        <v>-</v>
      </c>
      <c r="E16" s="64">
        <v>650</v>
      </c>
      <c r="F16" s="65">
        <v>0.10533246134600585</v>
      </c>
      <c r="G16" s="65">
        <v>0.33410000000000001</v>
      </c>
      <c r="H16" s="65">
        <v>1.5057499999999999</v>
      </c>
      <c r="I16" s="65">
        <v>1.3141499999999999</v>
      </c>
      <c r="J16" s="62" t="str">
        <v>Tier 1</v>
      </c>
      <c r="K16" s="68" t="str">
        <v>-</v>
      </c>
      <c r="L16" s="67" t="str">
        <v>-</v>
      </c>
      <c r="M16" s="68" t="str">
        <v>-</v>
      </c>
      <c r="N16" s="67" t="str">
        <v>-</v>
      </c>
      <c r="O16" s="62" t="str">
        <v>Tue 10/20 02:10 PM CST</v>
      </c>
      <c r="P16" s="62" t="str">
        <v>All wagers action; division tiebreakers per NBA rules</v>
      </c>
    </row>
    <row r="17" spans="1:16" x14ac:dyDescent="0.3">
      <c r="A17" s="62" t="str">
        <v>WINS</v>
      </c>
      <c r="B17" s="62" t="str">
        <v>Atlanta Hawks</v>
      </c>
      <c r="C17" s="62" t="str">
        <v>UNDER</v>
      </c>
      <c r="D17" s="63">
        <v>44.5</v>
      </c>
      <c r="E17" s="64">
        <v>-125</v>
      </c>
      <c r="F17" s="65">
        <v>0.53387533873028026</v>
      </c>
      <c r="G17" s="65">
        <v>0.66405000000000003</v>
      </c>
      <c r="H17" s="65">
        <v>0.19529000000000019</v>
      </c>
      <c r="I17" s="65">
        <v>6.07039999999998E-2</v>
      </c>
      <c r="J17" s="62" t="str">
        <v>Tier 2</v>
      </c>
      <c r="K17" s="68" t="str">
        <v>-</v>
      </c>
      <c r="L17" s="67" t="str">
        <v>-</v>
      </c>
      <c r="M17" s="68" t="str">
        <v>-</v>
      </c>
      <c r="N17" s="67" t="str">
        <v>-</v>
      </c>
      <c r="O17" s="62" t="str">
        <v>Wed 10/21 06:10 PM CST</v>
      </c>
      <c r="P17" s="62" t="str">
        <v>All 82 games must be played for action; play-in games do not count; lines are x.5 (no push)</v>
      </c>
    </row>
    <row r="18" spans="1:16" x14ac:dyDescent="0.3">
      <c r="A18" s="62" t="str">
        <v>PLAYOFFS</v>
      </c>
      <c r="B18" s="62" t="str">
        <v>New York Knicks</v>
      </c>
      <c r="C18" s="62" t="str">
        <v>NO</v>
      </c>
      <c r="D18" s="63" t="str">
        <v>-</v>
      </c>
      <c r="E18" s="64">
        <v>650</v>
      </c>
      <c r="F18" s="65">
        <v>0.10833333335313654</v>
      </c>
      <c r="G18" s="65">
        <v>0.31698000000000004</v>
      </c>
      <c r="H18" s="65">
        <v>1.3773500000000003</v>
      </c>
      <c r="I18" s="65">
        <v>0.76705000000000001</v>
      </c>
      <c r="J18" s="62" t="str">
        <v>Tier 2</v>
      </c>
      <c r="K18" s="68" t="str">
        <v>-</v>
      </c>
      <c r="L18" s="67" t="str">
        <v>-</v>
      </c>
      <c r="M18" s="68" t="str">
        <v>-</v>
      </c>
      <c r="N18" s="67" t="str">
        <v>-</v>
      </c>
      <c r="O18" s="62" t="str">
        <v>Tue 10/20 06:10 PM CST</v>
      </c>
      <c r="P18" s="62" t="str">
        <v>Makes the 16-team playoff field, including via the play-in (top-8 per conference; user-confirmed from implied sums ~8.7/conf) - CONFIRM WITH BOOK; action requires 82 games unless already determined</v>
      </c>
    </row>
    <row r="19" spans="1:16" x14ac:dyDescent="0.3">
      <c r="A19" s="62" t="str">
        <v>WINS</v>
      </c>
      <c r="B19" s="62" t="str">
        <v>Minnesota Timberwolves</v>
      </c>
      <c r="C19" s="62" t="str">
        <v>UNDER</v>
      </c>
      <c r="D19" s="63">
        <v>47.5</v>
      </c>
      <c r="E19" s="64">
        <v>100</v>
      </c>
      <c r="F19" s="65">
        <v>0.4772727272430774</v>
      </c>
      <c r="G19" s="65">
        <v>0.62414999999999998</v>
      </c>
      <c r="H19" s="65">
        <v>0.24829999999999997</v>
      </c>
      <c r="I19" s="65">
        <v>0.1938799999999998</v>
      </c>
      <c r="J19" s="62" t="str">
        <v>Tier 2</v>
      </c>
      <c r="K19" s="68" t="str">
        <v>-</v>
      </c>
      <c r="L19" s="67" t="str">
        <v>-</v>
      </c>
      <c r="M19" s="68" t="str">
        <v>-</v>
      </c>
      <c r="N19" s="67" t="str">
        <v>-</v>
      </c>
      <c r="O19" s="62" t="str">
        <v>Wed 10/21 06:40 PM CST</v>
      </c>
      <c r="P19" s="62" t="str">
        <v>All 82 games must be played for action; play-in games do not count; lines are x.5 (no push)</v>
      </c>
    </row>
    <row r="20" spans="1:16" x14ac:dyDescent="0.3">
      <c r="A20" s="62" t="str">
        <v>WINS</v>
      </c>
      <c r="B20" s="62" t="str">
        <v>Memphis Grizzlies</v>
      </c>
      <c r="C20" s="62" t="str">
        <v>OVER</v>
      </c>
      <c r="D20" s="63">
        <v>28.5</v>
      </c>
      <c r="E20" s="64">
        <v>-145</v>
      </c>
      <c r="F20" s="65">
        <v>0.57369614512677158</v>
      </c>
      <c r="G20" s="65">
        <v>0.81510000000000005</v>
      </c>
      <c r="H20" s="65">
        <v>0.37723793103448289</v>
      </c>
      <c r="I20" s="65">
        <v>0.35016965517241389</v>
      </c>
      <c r="J20" s="62" t="str">
        <v>Tier 2</v>
      </c>
      <c r="K20" s="68" t="str">
        <v>-</v>
      </c>
      <c r="L20" s="67" t="str">
        <v>-</v>
      </c>
      <c r="M20" s="68" t="str">
        <v>-</v>
      </c>
      <c r="N20" s="67" t="str">
        <v>-</v>
      </c>
      <c r="O20" s="62" t="str">
        <v>Wed 10/21 07:10 PM CST</v>
      </c>
      <c r="P20" s="62" t="str">
        <v>All 82 games must be played for action; play-in games do not count; lines are x.5 (no push)</v>
      </c>
    </row>
    <row r="21" spans="1:16" x14ac:dyDescent="0.3">
      <c r="A21" s="62" t="str">
        <v>PLAYIN_EAST</v>
      </c>
      <c r="B21" s="62" t="str">
        <v>Chicago Bulls</v>
      </c>
      <c r="C21" s="62" t="str">
        <v>YES</v>
      </c>
      <c r="D21" s="63" t="str">
        <v>-</v>
      </c>
      <c r="E21" s="64">
        <v>800</v>
      </c>
      <c r="F21" s="65">
        <v>9.3136391133908231E-2</v>
      </c>
      <c r="G21" s="65">
        <v>0.25402999999999998</v>
      </c>
      <c r="H21" s="65">
        <v>1.28627</v>
      </c>
      <c r="I21" s="65">
        <v>0.87140000000000017</v>
      </c>
      <c r="J21" s="62" t="str">
        <v>Tier 1</v>
      </c>
      <c r="K21" s="68" t="str">
        <v>-</v>
      </c>
      <c r="L21" s="67" t="str">
        <v>-</v>
      </c>
      <c r="M21" s="68" t="str">
        <v>-</v>
      </c>
      <c r="N21" s="67" t="str">
        <v>-</v>
      </c>
      <c r="O21" s="62" t="str">
        <v>Tue 10/20 02:10 PM CST</v>
      </c>
      <c r="P21" s="62" t="str">
        <v>Interpreted as team participates in the play-in (finishes 7-10); implied probs sum to ~4.4 per conference with 4 slots - INTERPRETATION FLAGGED</v>
      </c>
    </row>
    <row r="22" spans="1:16" x14ac:dyDescent="0.3">
      <c r="A22" s="62" t="str">
        <v>PLAYIN_EAST</v>
      </c>
      <c r="B22" s="62" t="str">
        <v>Milwaukee Bucks</v>
      </c>
      <c r="C22" s="62" t="str">
        <v>YES</v>
      </c>
      <c r="D22" s="63" t="str">
        <v>-</v>
      </c>
      <c r="E22" s="64">
        <v>1200</v>
      </c>
      <c r="F22" s="65">
        <v>6.2602619819235469E-2</v>
      </c>
      <c r="G22" s="65">
        <v>0.19995000000000002</v>
      </c>
      <c r="H22" s="65">
        <v>1.5993500000000003</v>
      </c>
      <c r="I22" s="65">
        <v>1.3803000000000001</v>
      </c>
      <c r="J22" s="62" t="str">
        <v>Tier 2</v>
      </c>
      <c r="K22" s="68" t="str">
        <v>-</v>
      </c>
      <c r="L22" s="67" t="str">
        <v>-</v>
      </c>
      <c r="M22" s="68" t="str">
        <v>-</v>
      </c>
      <c r="N22" s="67" t="str">
        <v>-</v>
      </c>
      <c r="O22" s="62" t="str">
        <v>Tue 10/20 02:10 PM CST</v>
      </c>
      <c r="P22" s="62" t="str">
        <v>Interpreted as team participates in the play-in (finishes 7-10); implied probs sum to ~4.4 per conference with 4 slots - INTERPRETATION FLAGGED</v>
      </c>
    </row>
    <row r="23" spans="1:16" x14ac:dyDescent="0.3">
      <c r="A23" s="62" t="str">
        <v>PLAYOFFS</v>
      </c>
      <c r="B23" s="62" t="str">
        <v>Orlando Magic</v>
      </c>
      <c r="C23" s="62" t="str">
        <v>YES</v>
      </c>
      <c r="D23" s="63" t="str">
        <v>-</v>
      </c>
      <c r="E23" s="64">
        <v>-135</v>
      </c>
      <c r="F23" s="65">
        <v>0.54333160353491683</v>
      </c>
      <c r="G23" s="65">
        <v>0.68528999999999995</v>
      </c>
      <c r="H23" s="65">
        <v>0.19291222222222215</v>
      </c>
      <c r="I23" s="65">
        <v>9.6968395061728302E-2</v>
      </c>
      <c r="J23" s="62" t="str">
        <v>Tier 2</v>
      </c>
      <c r="K23" s="68" t="str">
        <v>-</v>
      </c>
      <c r="L23" s="67" t="str">
        <v>-</v>
      </c>
      <c r="M23" s="68" t="str">
        <v>-</v>
      </c>
      <c r="N23" s="67" t="str">
        <v>-</v>
      </c>
      <c r="O23" s="62" t="str">
        <v>Wed 10/21 06:10 PM CST</v>
      </c>
      <c r="P23" s="62" t="str">
        <v>Makes the 16-team playoff field, including via the play-in (top-8 per conference; user-confirmed from implied sums ~8.7/conf) - CONFIRM WITH BOOK; action requires 82 games unless already determined</v>
      </c>
    </row>
    <row r="24" spans="1:16" x14ac:dyDescent="0.3">
      <c r="A24" s="62" t="str">
        <v>PLAYIN_WEST</v>
      </c>
      <c r="B24" s="62" t="str">
        <v>San Antonio Spurs</v>
      </c>
      <c r="C24" s="62" t="str">
        <v>YES</v>
      </c>
      <c r="D24" s="63" t="str">
        <v>-</v>
      </c>
      <c r="E24" s="64">
        <v>3500</v>
      </c>
      <c r="F24" s="65">
        <v>1.9900003715376421E-2</v>
      </c>
      <c r="G24" s="65">
        <v>0.13275999999999999</v>
      </c>
      <c r="H24" s="65">
        <v>3.7793599999999996</v>
      </c>
      <c r="I24" s="65">
        <v>2.7235999999999998</v>
      </c>
      <c r="J24" s="62" t="str">
        <v>Tier 2</v>
      </c>
      <c r="K24" s="68" t="str">
        <v>-</v>
      </c>
      <c r="L24" s="67" t="str">
        <v>-</v>
      </c>
      <c r="M24" s="68" t="str">
        <v>-</v>
      </c>
      <c r="N24" s="67" t="str">
        <v>-</v>
      </c>
      <c r="O24" s="62" t="str">
        <v>Tue 10/20 02:10 PM CST</v>
      </c>
      <c r="P24" s="62" t="str">
        <v>Interpreted as team participates in the play-in (finishes 7-10); implied probs sum to ~4.4 per conference with 4 slots - INTERPRETATION FLAGGED</v>
      </c>
    </row>
    <row r="25" spans="1:16" x14ac:dyDescent="0.3">
      <c r="A25" s="62" t="str">
        <v>PLAYIN_EAST</v>
      </c>
      <c r="B25" s="62" t="str">
        <v>New York Knicks</v>
      </c>
      <c r="C25" s="62" t="str">
        <v>YES</v>
      </c>
      <c r="D25" s="63" t="str">
        <v>-</v>
      </c>
      <c r="E25" s="64">
        <v>500</v>
      </c>
      <c r="F25" s="65">
        <v>0.14432882741997652</v>
      </c>
      <c r="G25" s="65">
        <v>0.31392999999999999</v>
      </c>
      <c r="H25" s="65">
        <v>0.88357999999999981</v>
      </c>
      <c r="I25" s="65">
        <v>0.66279999999999994</v>
      </c>
      <c r="J25" s="62" t="str">
        <v>Tier 2</v>
      </c>
      <c r="K25" s="68" t="str">
        <v>-</v>
      </c>
      <c r="L25" s="67" t="str">
        <v>-</v>
      </c>
      <c r="M25" s="68" t="str">
        <v>-</v>
      </c>
      <c r="N25" s="67" t="str">
        <v>-</v>
      </c>
      <c r="O25" s="62" t="str">
        <v>Tue 10/20 02:10 PM CST</v>
      </c>
      <c r="P25" s="62" t="str">
        <v>Interpreted as team participates in the play-in (finishes 7-10); implied probs sum to ~4.4 per conference with 4 slots - INTERPRETATION FLAGGED</v>
      </c>
    </row>
    <row r="26" spans="1:16" x14ac:dyDescent="0.3">
      <c r="A26" s="62" t="str">
        <v>PLAYOFFS</v>
      </c>
      <c r="B26" s="62" t="str">
        <v>Memphis Grizzlies</v>
      </c>
      <c r="C26" s="62" t="str">
        <v>YES</v>
      </c>
      <c r="D26" s="63" t="str">
        <v>-</v>
      </c>
      <c r="E26" s="64">
        <v>500</v>
      </c>
      <c r="F26" s="65">
        <v>0.1333333333251622</v>
      </c>
      <c r="G26" s="65">
        <v>0.33302999999999999</v>
      </c>
      <c r="H26" s="65">
        <v>0.99818000000000007</v>
      </c>
      <c r="I26" s="65">
        <v>0.84176000000000006</v>
      </c>
      <c r="J26" s="62" t="str">
        <v>Tier 2</v>
      </c>
      <c r="K26" s="68" t="str">
        <v>-</v>
      </c>
      <c r="L26" s="67" t="str">
        <v>-</v>
      </c>
      <c r="M26" s="68" t="str">
        <v>-</v>
      </c>
      <c r="N26" s="67" t="str">
        <v>-</v>
      </c>
      <c r="O26" s="62" t="str">
        <v>Wed 10/21 07:10 PM CST</v>
      </c>
      <c r="P26" s="62" t="str">
        <v>Makes the 16-team playoff field, including via the play-in (top-8 per conference; user-confirmed from implied sums ~8.7/conf) - CONFIRM WITH BOOK; action requires 82 games unless already determined</v>
      </c>
    </row>
    <row r="27" spans="1:16" x14ac:dyDescent="0.3">
      <c r="A27" s="62" t="str">
        <v>WINS</v>
      </c>
      <c r="B27" s="62" t="str">
        <v>Portland Trail Blazers</v>
      </c>
      <c r="C27" s="62" t="str">
        <v>OVER</v>
      </c>
      <c r="D27" s="63">
        <v>42.5</v>
      </c>
      <c r="E27" s="64">
        <v>115</v>
      </c>
      <c r="F27" s="65">
        <v>0.44532409697922487</v>
      </c>
      <c r="G27" s="65">
        <v>0.64047000000000009</v>
      </c>
      <c r="H27" s="65">
        <v>0.37701050000000014</v>
      </c>
      <c r="I27" s="65">
        <v>0.29280933333333309</v>
      </c>
      <c r="J27" s="62" t="str">
        <v>Tier 2</v>
      </c>
      <c r="K27" s="68" t="str">
        <v>-</v>
      </c>
      <c r="L27" s="67" t="str">
        <v>-</v>
      </c>
      <c r="M27" s="68" t="str">
        <v>-</v>
      </c>
      <c r="N27" s="67" t="str">
        <v>-</v>
      </c>
      <c r="O27" s="62" t="str">
        <v>Wed 10/21 09:10 PM CST</v>
      </c>
      <c r="P27" s="62" t="str">
        <v>All 82 games must be played for action; play-in games do not count; lines are x.5 (no push)</v>
      </c>
    </row>
    <row r="28" spans="1:16" x14ac:dyDescent="0.3">
      <c r="A28" s="62" t="str">
        <v>PLAYOFFS</v>
      </c>
      <c r="B28" s="62" t="str">
        <v>Minnesota Timberwolves</v>
      </c>
      <c r="C28" s="62" t="str">
        <v>NO</v>
      </c>
      <c r="D28" s="63" t="str">
        <v>-</v>
      </c>
      <c r="E28" s="64">
        <v>550</v>
      </c>
      <c r="F28" s="65">
        <v>0.12454212450038653</v>
      </c>
      <c r="G28" s="65">
        <v>0.31825000000000003</v>
      </c>
      <c r="H28" s="65">
        <v>1.0686250000000004</v>
      </c>
      <c r="I28" s="65">
        <v>0.90046999999999999</v>
      </c>
      <c r="J28" s="62" t="str">
        <v>Tier 1</v>
      </c>
      <c r="K28" s="68" t="str">
        <v>-</v>
      </c>
      <c r="L28" s="67" t="str">
        <v>-</v>
      </c>
      <c r="M28" s="68" t="str">
        <v>-</v>
      </c>
      <c r="N28" s="67" t="str">
        <v>-</v>
      </c>
      <c r="O28" s="62" t="str">
        <v>Wed 10/21 06:40 PM CST</v>
      </c>
      <c r="P28" s="62" t="str">
        <v>Makes the 16-team playoff field, including via the play-in (top-8 per conference; user-confirmed from implied sums ~8.7/conf) - CONFIRM WITH BOOK; action requires 82 games unless already determined</v>
      </c>
    </row>
    <row r="29" spans="1:16" x14ac:dyDescent="0.3">
      <c r="A29" s="62" t="str">
        <v>PLAYOFFS</v>
      </c>
      <c r="B29" s="62" t="str">
        <v>Brooklyn Nets</v>
      </c>
      <c r="C29" s="62" t="str">
        <v>YES</v>
      </c>
      <c r="D29" s="63" t="str">
        <v>-</v>
      </c>
      <c r="E29" s="64">
        <v>1600</v>
      </c>
      <c r="F29" s="65">
        <v>3.8183694525261193E-2</v>
      </c>
      <c r="G29" s="65">
        <v>0.17657999999999999</v>
      </c>
      <c r="H29" s="65">
        <v>2.0018599999999998</v>
      </c>
      <c r="I29" s="65">
        <v>1.4276</v>
      </c>
      <c r="J29" s="62" t="str">
        <v>Tier 2</v>
      </c>
      <c r="K29" s="68" t="str">
        <v>-</v>
      </c>
      <c r="L29" s="67" t="str">
        <v>-</v>
      </c>
      <c r="M29" s="68" t="str">
        <v>-</v>
      </c>
      <c r="N29" s="67" t="str">
        <v>-</v>
      </c>
      <c r="O29" s="62" t="str">
        <v>Wed 10/21 06:40 PM CST</v>
      </c>
      <c r="P29" s="62" t="str">
        <v>Makes the 16-team playoff field, including via the play-in (top-8 per conference; user-confirmed from implied sums ~8.7/conf) - CONFIRM WITH BOOK; action requires 82 games unless already determined</v>
      </c>
    </row>
    <row r="30" spans="1:16" x14ac:dyDescent="0.3">
      <c r="A30" s="62" t="str">
        <v>DIV_NORTHWEST</v>
      </c>
      <c r="B30" s="62" t="str">
        <v>Portland Trail Blazers</v>
      </c>
      <c r="C30" s="62" t="str">
        <v>YES</v>
      </c>
      <c r="D30" s="63" t="str">
        <v>-</v>
      </c>
      <c r="E30" s="64">
        <v>4000</v>
      </c>
      <c r="F30" s="65">
        <v>1.1618351468081841E-2</v>
      </c>
      <c r="G30" s="65">
        <v>9.4039999999999999E-2</v>
      </c>
      <c r="H30" s="65">
        <v>2.8556399999999997</v>
      </c>
      <c r="I30" s="65">
        <v>1.6879599999999999</v>
      </c>
      <c r="J30" s="62" t="str">
        <v>Tier 2</v>
      </c>
      <c r="K30" s="68" t="str">
        <v>-</v>
      </c>
      <c r="L30" s="67" t="str">
        <v>-</v>
      </c>
      <c r="M30" s="68" t="str">
        <v>-</v>
      </c>
      <c r="N30" s="67" t="str">
        <v>-</v>
      </c>
      <c r="O30" s="62" t="str">
        <v>Tue 10/20 02:10 PM CST</v>
      </c>
      <c r="P30" s="62" t="str">
        <v>All wagers action; division tiebreakers per NBA rules</v>
      </c>
    </row>
    <row r="31" spans="1:16" x14ac:dyDescent="0.3">
      <c r="A31" s="62" t="str">
        <v>TITLE</v>
      </c>
      <c r="B31" s="62" t="str">
        <v>Houston Rockets</v>
      </c>
      <c r="C31" s="62" t="str">
        <v>YES</v>
      </c>
      <c r="D31" s="63" t="str">
        <v>-</v>
      </c>
      <c r="E31" s="64">
        <v>4900</v>
      </c>
      <c r="F31" s="65">
        <v>1.3230777321611098E-2</v>
      </c>
      <c r="G31" s="65">
        <v>9.1990000000000002E-2</v>
      </c>
      <c r="H31" s="65">
        <v>3.5994999999999999</v>
      </c>
      <c r="I31" s="65">
        <v>2.7453333333333338</v>
      </c>
      <c r="J31" s="62" t="str">
        <v>Tier 2</v>
      </c>
      <c r="K31" s="68" t="str">
        <v>-</v>
      </c>
      <c r="L31" s="67" t="str">
        <v>-</v>
      </c>
      <c r="M31" s="68" t="str">
        <v>-</v>
      </c>
      <c r="N31" s="67" t="str">
        <v>-</v>
      </c>
      <c r="O31" s="62" t="str">
        <v>Tue 10/20 02:10 PM CST</v>
      </c>
      <c r="P31" s="62" t="str">
        <v>All wagers action</v>
      </c>
    </row>
    <row r="32" spans="1:16" x14ac:dyDescent="0.3">
      <c r="A32" s="62" t="str">
        <v>WINS</v>
      </c>
      <c r="B32" s="62" t="str">
        <v>Toronto Raptors</v>
      </c>
      <c r="C32" s="62" t="str">
        <v>OVER</v>
      </c>
      <c r="D32" s="63">
        <v>45.5</v>
      </c>
      <c r="E32" s="64">
        <v>-145</v>
      </c>
      <c r="F32" s="65">
        <v>0.57369614512677158</v>
      </c>
      <c r="G32" s="65">
        <v>0.70168999999999981</v>
      </c>
      <c r="H32" s="65">
        <v>0.1856141379310341</v>
      </c>
      <c r="I32" s="65">
        <v>0.1157919540229886</v>
      </c>
      <c r="J32" s="62" t="str">
        <v>Tier 2</v>
      </c>
      <c r="K32" s="68" t="str">
        <v>-</v>
      </c>
      <c r="L32" s="67" t="str">
        <v>-</v>
      </c>
      <c r="M32" s="68" t="str">
        <v>-</v>
      </c>
      <c r="N32" s="67" t="str">
        <v>-</v>
      </c>
      <c r="O32" s="62" t="str">
        <v>Wed 10/21 06:40 PM CST</v>
      </c>
      <c r="P32" s="62" t="str">
        <v>All 82 games must be played for action; play-in games do not count; lines are x.5 (no push)</v>
      </c>
    </row>
    <row r="33" spans="1:16" x14ac:dyDescent="0.3">
      <c r="A33" s="62" t="str">
        <v>PLAYIN_EAST</v>
      </c>
      <c r="B33" s="62" t="str">
        <v>Philadelphia 76ers</v>
      </c>
      <c r="C33" s="62" t="str">
        <v>YES</v>
      </c>
      <c r="D33" s="63" t="str">
        <v>-</v>
      </c>
      <c r="E33" s="64">
        <v>300</v>
      </c>
      <c r="F33" s="65">
        <v>0.22365919669869488</v>
      </c>
      <c r="G33" s="65">
        <v>0.29932000000000003</v>
      </c>
      <c r="H33" s="65">
        <v>0.19728000000000012</v>
      </c>
      <c r="I33" s="65">
        <v>0.1171466666666667</v>
      </c>
      <c r="J33" s="62" t="str">
        <v>Tier 2</v>
      </c>
      <c r="K33" s="68" t="str">
        <v>-</v>
      </c>
      <c r="L33" s="67" t="str">
        <v>-</v>
      </c>
      <c r="M33" s="68" t="str">
        <v>-</v>
      </c>
      <c r="N33" s="67" t="str">
        <v>-</v>
      </c>
      <c r="O33" s="62" t="str">
        <v>Tue 10/20 02:10 PM CST</v>
      </c>
      <c r="P33" s="62" t="str">
        <v>Interpreted as team participates in the play-in (finishes 7-10); implied probs sum to ~4.4 per conference with 4 slots - INTERPRETATION FLAGGED</v>
      </c>
    </row>
    <row r="34" spans="1:16" x14ac:dyDescent="0.3">
      <c r="A34" s="62" t="str">
        <v>PLAYIN_WEST</v>
      </c>
      <c r="B34" s="62" t="str">
        <v>Memphis Grizzlies</v>
      </c>
      <c r="C34" s="62" t="str">
        <v>YES</v>
      </c>
      <c r="D34" s="63" t="str">
        <v>-</v>
      </c>
      <c r="E34" s="64">
        <v>325</v>
      </c>
      <c r="F34" s="65">
        <v>0.20564928684531336</v>
      </c>
      <c r="G34" s="65">
        <v>0.37451999999999996</v>
      </c>
      <c r="H34" s="65">
        <v>0.59170999999999996</v>
      </c>
      <c r="I34" s="65">
        <v>0.52413500000000002</v>
      </c>
      <c r="J34" s="62" t="str">
        <v>Tier 2</v>
      </c>
      <c r="K34" s="68" t="str">
        <v>-</v>
      </c>
      <c r="L34" s="67" t="str">
        <v>-</v>
      </c>
      <c r="M34" s="68" t="str">
        <v>-</v>
      </c>
      <c r="N34" s="67" t="str">
        <v>-</v>
      </c>
      <c r="O34" s="62" t="str">
        <v>Tue 10/20 02:10 PM CST</v>
      </c>
      <c r="P34" s="62" t="str">
        <v>Interpreted as team participates in the play-in (finishes 7-10); implied probs sum to ~4.4 per conference with 4 slots - INTERPRETATION FLAGGED</v>
      </c>
    </row>
    <row r="35" spans="1:16" x14ac:dyDescent="0.3">
      <c r="A35" s="62" t="str">
        <v>CUP</v>
      </c>
      <c r="B35" s="62" t="str">
        <v>Houston Rockets</v>
      </c>
      <c r="C35" s="62" t="str">
        <v>YES</v>
      </c>
      <c r="D35" s="63" t="str">
        <v>-</v>
      </c>
      <c r="E35" s="64">
        <v>2800</v>
      </c>
      <c r="F35" s="65">
        <v>2.4729138122140983E-2</v>
      </c>
      <c r="G35" s="65">
        <v>9.375E-2</v>
      </c>
      <c r="H35" s="65">
        <v>1.71875</v>
      </c>
      <c r="I35" s="65">
        <v>1.2830733333333331</v>
      </c>
      <c r="J35" s="62" t="str">
        <v>Tier 2</v>
      </c>
      <c r="K35" s="68" t="str">
        <v>-</v>
      </c>
      <c r="L35" s="67" t="str">
        <v>-</v>
      </c>
      <c r="M35" s="68" t="str">
        <v>-</v>
      </c>
      <c r="N35" s="67" t="str">
        <v>-</v>
      </c>
      <c r="O35" s="62" t="str">
        <v>Tue 10/20 02:10 PM CST</v>
      </c>
      <c r="P35" s="62" t="str">
        <v>All wagers action (Cup final does not count in the standings)</v>
      </c>
    </row>
    <row r="36" spans="1:16" x14ac:dyDescent="0.3">
      <c r="A36" s="62" t="str">
        <v>CONF_WEST</v>
      </c>
      <c r="B36" s="62" t="str">
        <v>Houston Rockets</v>
      </c>
      <c r="C36" s="62" t="str">
        <v>YES</v>
      </c>
      <c r="D36" s="63" t="str">
        <v>-</v>
      </c>
      <c r="E36" s="64">
        <v>2150</v>
      </c>
      <c r="F36" s="65">
        <v>3.2145030353957112E-2</v>
      </c>
      <c r="G36" s="65">
        <v>0.15376000000000001</v>
      </c>
      <c r="H36" s="65">
        <v>2.4596</v>
      </c>
      <c r="I36" s="65">
        <v>1.8644000000000001</v>
      </c>
      <c r="J36" s="62" t="str">
        <v>Tier 2</v>
      </c>
      <c r="K36" s="68" t="str">
        <v>-</v>
      </c>
      <c r="L36" s="67" t="str">
        <v>-</v>
      </c>
      <c r="M36" s="68" t="str">
        <v>-</v>
      </c>
      <c r="N36" s="67" t="str">
        <v>-</v>
      </c>
      <c r="O36" s="62" t="str">
        <v>Tue 10/20 02:10 PM CST</v>
      </c>
      <c r="P36" s="62" t="str">
        <v>All wagers action</v>
      </c>
    </row>
    <row r="37" spans="1:16" x14ac:dyDescent="0.3">
      <c r="A37" s="62" t="str">
        <v>PLAYIN_WEST</v>
      </c>
      <c r="B37" s="62" t="str">
        <v>New Orleans Pelicans</v>
      </c>
      <c r="C37" s="62" t="str">
        <v>YES</v>
      </c>
      <c r="D37" s="63" t="str">
        <v>-</v>
      </c>
      <c r="E37" s="64">
        <v>375</v>
      </c>
      <c r="F37" s="65">
        <v>0.18210708154671776</v>
      </c>
      <c r="G37" s="65">
        <v>0.26428000000000001</v>
      </c>
      <c r="H37" s="65">
        <v>0.25533000000000006</v>
      </c>
      <c r="I37" s="65">
        <v>0.15219166666666659</v>
      </c>
      <c r="J37" s="62" t="str">
        <v>Tier 2</v>
      </c>
      <c r="K37" s="68" t="str">
        <v>-</v>
      </c>
      <c r="L37" s="67" t="str">
        <v>-</v>
      </c>
      <c r="M37" s="68" t="str">
        <v>-</v>
      </c>
      <c r="N37" s="67" t="str">
        <v>-</v>
      </c>
      <c r="O37" s="62" t="str">
        <v>Tue 10/20 02:10 PM CST</v>
      </c>
      <c r="P37" s="62" t="str">
        <v>Interpreted as team participates in the play-in (finishes 7-10); implied probs sum to ~4.4 per conference with 4 slots - INTERPRETATION FLAGGED</v>
      </c>
    </row>
    <row r="38" spans="1:16" x14ac:dyDescent="0.3">
      <c r="A38" s="62" t="str">
        <v>PLAYIN_WEST</v>
      </c>
      <c r="B38" s="62" t="str">
        <v>Oklahoma City Thunder</v>
      </c>
      <c r="C38" s="62" t="str">
        <v>YES</v>
      </c>
      <c r="D38" s="63" t="str">
        <v>-</v>
      </c>
      <c r="E38" s="64">
        <v>4000</v>
      </c>
      <c r="F38" s="65">
        <v>1.7262953802109161E-2</v>
      </c>
      <c r="G38" s="65">
        <v>5.8860000000000003E-2</v>
      </c>
      <c r="H38" s="65">
        <v>1.4132600000000002</v>
      </c>
      <c r="I38" s="65">
        <v>0.45276666666666648</v>
      </c>
      <c r="J38" s="62" t="str">
        <v>Tier 2</v>
      </c>
      <c r="K38" s="68" t="str">
        <v>-</v>
      </c>
      <c r="L38" s="67" t="str">
        <v>-</v>
      </c>
      <c r="M38" s="68" t="str">
        <v>-</v>
      </c>
      <c r="N38" s="67" t="str">
        <v>-</v>
      </c>
      <c r="O38" s="62" t="str">
        <v>Tue 10/20 02:10 PM CST</v>
      </c>
      <c r="P38" s="62" t="str">
        <v>Interpreted as team participates in the play-in (finishes 7-10); implied probs sum to ~4.4 per conference with 4 slots - INTERPRETATION FLAGGED</v>
      </c>
    </row>
    <row r="39" spans="1:16" x14ac:dyDescent="0.3">
      <c r="A39" s="62" t="str">
        <v>CUP</v>
      </c>
      <c r="B39" s="62" t="str">
        <v>Portland Trail Blazers</v>
      </c>
      <c r="C39" s="62" t="str">
        <v>YES</v>
      </c>
      <c r="D39" s="63" t="str">
        <v>-</v>
      </c>
      <c r="E39" s="64">
        <v>5000</v>
      </c>
      <c r="F39" s="65">
        <v>1.2072945956665516E-2</v>
      </c>
      <c r="G39" s="65">
        <v>3.2300000000000002E-2</v>
      </c>
      <c r="H39" s="65">
        <v>0.64730000000000021</v>
      </c>
      <c r="I39" s="65">
        <v>0.41677999999999987</v>
      </c>
      <c r="J39" s="62" t="str">
        <v>Tier 2</v>
      </c>
      <c r="K39" s="68" t="str">
        <v>-</v>
      </c>
      <c r="L39" s="67" t="str">
        <v>-</v>
      </c>
      <c r="M39" s="68" t="str">
        <v>-</v>
      </c>
      <c r="N39" s="67" t="str">
        <v>-</v>
      </c>
      <c r="O39" s="62" t="str">
        <v>Tue 10/20 02:10 PM CST</v>
      </c>
      <c r="P39" s="62" t="str">
        <v>All wagers action (Cup final does not count in the standings)</v>
      </c>
    </row>
    <row r="40" spans="1:16" x14ac:dyDescent="0.3">
      <c r="A40" s="62" t="str">
        <v>PLAYOFFS</v>
      </c>
      <c r="B40" s="62" t="str">
        <v>Utah Jazz</v>
      </c>
      <c r="C40" s="62" t="str">
        <v>NO</v>
      </c>
      <c r="D40" s="63" t="str">
        <v>-</v>
      </c>
      <c r="E40" s="64">
        <v>-165</v>
      </c>
      <c r="F40" s="65">
        <v>0.59855479726479799</v>
      </c>
      <c r="G40" s="65">
        <v>0.78773000000000004</v>
      </c>
      <c r="H40" s="65">
        <v>0.26514212121212122</v>
      </c>
      <c r="I40" s="65">
        <v>0.1960333333333332</v>
      </c>
      <c r="J40" s="62" t="str">
        <v>Tier 2</v>
      </c>
      <c r="K40" s="68" t="str">
        <v>-</v>
      </c>
      <c r="L40" s="67" t="str">
        <v>-</v>
      </c>
      <c r="M40" s="68" t="str">
        <v>-</v>
      </c>
      <c r="N40" s="67" t="str">
        <v>-</v>
      </c>
      <c r="O40" s="62" t="str">
        <v>Wed 10/21 07:10 PM CST</v>
      </c>
      <c r="P40" s="62" t="str">
        <v>Makes the 16-team playoff field, including via the play-in (top-8 per conference; user-confirmed from implied sums ~8.7/conf) - CONFIRM WITH BOOK; action requires 82 games unless already determined</v>
      </c>
    </row>
    <row r="41" spans="1:16" x14ac:dyDescent="0.3">
      <c r="A41" s="62" t="str">
        <v>DIV_SOUTHWEST</v>
      </c>
      <c r="B41" s="62" t="str">
        <v>Memphis Grizzlies</v>
      </c>
      <c r="C41" s="62" t="str">
        <v>YES</v>
      </c>
      <c r="D41" s="63" t="str">
        <v>-</v>
      </c>
      <c r="E41" s="64">
        <v>20000</v>
      </c>
      <c r="F41" s="65">
        <v>2.8566858045690513E-4</v>
      </c>
      <c r="G41" s="65">
        <v>2.436E-2</v>
      </c>
      <c r="H41" s="65">
        <v>3.8963599999999996</v>
      </c>
      <c r="I41" s="65">
        <v>2.0833400000000002</v>
      </c>
      <c r="J41" s="62" t="str">
        <v>Tier 2</v>
      </c>
      <c r="K41" s="68" t="str">
        <v>-</v>
      </c>
      <c r="L41" s="67" t="str">
        <v>-</v>
      </c>
      <c r="M41" s="68" t="str">
        <v>-</v>
      </c>
      <c r="N41" s="67" t="str">
        <v>-</v>
      </c>
      <c r="O41" s="62" t="str">
        <v>Tue 10/20 02:10 PM CST</v>
      </c>
      <c r="P41" s="62" t="str">
        <v>All wagers action; division tiebreakers per NBA rules</v>
      </c>
    </row>
    <row r="42" spans="1:16" x14ac:dyDescent="0.3">
      <c r="A42" s="62" t="str">
        <v>WINS</v>
      </c>
      <c r="B42" s="62" t="str">
        <v>Houston Rockets</v>
      </c>
      <c r="C42" s="62" t="str">
        <v>OVER</v>
      </c>
      <c r="D42" s="63">
        <v>47.5</v>
      </c>
      <c r="E42" s="64">
        <v>-160</v>
      </c>
      <c r="F42" s="65">
        <v>0.59935897438219166</v>
      </c>
      <c r="G42" s="65">
        <v>0.76363999999999976</v>
      </c>
      <c r="H42" s="65">
        <v>0.24091499999999955</v>
      </c>
      <c r="I42" s="65">
        <v>0.1618533333333334</v>
      </c>
      <c r="J42" s="62" t="str">
        <v>Tier 2</v>
      </c>
      <c r="K42" s="68" t="str">
        <v>-</v>
      </c>
      <c r="L42" s="67" t="str">
        <v>-</v>
      </c>
      <c r="M42" s="68" t="str">
        <v>-</v>
      </c>
      <c r="N42" s="67" t="str">
        <v>-</v>
      </c>
      <c r="O42" s="62" t="str">
        <v>Wed 10/21 07:40 PM CST</v>
      </c>
      <c r="P42" s="62" t="str">
        <v>All 82 games must be played for action; play-in games do not count; lines are x.5 (no push)</v>
      </c>
    </row>
    <row r="43" spans="1:16" x14ac:dyDescent="0.3">
      <c r="A43" s="62" t="str">
        <v>CONF_WEST</v>
      </c>
      <c r="B43" s="62" t="str">
        <v>Portland Trail Blazers</v>
      </c>
      <c r="C43" s="62" t="str">
        <v>YES</v>
      </c>
      <c r="D43" s="63" t="str">
        <v>-</v>
      </c>
      <c r="E43" s="64">
        <v>4900</v>
      </c>
      <c r="F43" s="65">
        <v>1.0930261948490037E-2</v>
      </c>
      <c r="G43" s="65">
        <v>5.2740000000000002E-2</v>
      </c>
      <c r="H43" s="65">
        <v>1.637</v>
      </c>
      <c r="I43" s="65">
        <v>1.299333333333333</v>
      </c>
      <c r="J43" s="62" t="str">
        <v>Tier 2</v>
      </c>
      <c r="K43" s="68" t="str">
        <v>-</v>
      </c>
      <c r="L43" s="67" t="str">
        <v>-</v>
      </c>
      <c r="M43" s="68" t="str">
        <v>-</v>
      </c>
      <c r="N43" s="67" t="str">
        <v>-</v>
      </c>
      <c r="O43" s="62" t="str">
        <v>Tue 10/20 02:10 PM CST</v>
      </c>
      <c r="P43" s="62" t="str">
        <v>All wagers action</v>
      </c>
    </row>
    <row r="44" spans="1:16" x14ac:dyDescent="0.3">
      <c r="A44" s="62" t="str">
        <v>TITLE</v>
      </c>
      <c r="B44" s="62" t="str">
        <v>Toronto Raptors</v>
      </c>
      <c r="C44" s="62" t="str">
        <v>YES</v>
      </c>
      <c r="D44" s="63" t="str">
        <v>-</v>
      </c>
      <c r="E44" s="64">
        <v>2600</v>
      </c>
      <c r="F44" s="65">
        <v>2.8155532984986568E-2</v>
      </c>
      <c r="G44" s="65">
        <v>8.0030000000000004E-2</v>
      </c>
      <c r="H44" s="65">
        <v>1.1608100000000001</v>
      </c>
      <c r="I44" s="65">
        <v>0.90781999999999963</v>
      </c>
      <c r="J44" s="62" t="str">
        <v>Tier 2</v>
      </c>
      <c r="K44" s="68" t="str">
        <v>-</v>
      </c>
      <c r="L44" s="67" t="str">
        <v>-</v>
      </c>
      <c r="M44" s="68" t="str">
        <v>-</v>
      </c>
      <c r="N44" s="67" t="str">
        <v>-</v>
      </c>
      <c r="O44" s="62" t="str">
        <v>Tue 10/20 02:10 PM CST</v>
      </c>
      <c r="P44" s="62" t="str">
        <v>All wagers action</v>
      </c>
    </row>
    <row r="45" spans="1:16" x14ac:dyDescent="0.3">
      <c r="A45" s="62" t="str">
        <v>CUP_EAST_B</v>
      </c>
      <c r="B45" s="62" t="str">
        <v>Cleveland Cavaliers</v>
      </c>
      <c r="C45" s="62" t="str">
        <v>YES</v>
      </c>
      <c r="D45" s="63" t="str">
        <v>-</v>
      </c>
      <c r="E45" s="64">
        <v>450</v>
      </c>
      <c r="F45" s="65">
        <v>0.15511060286486858</v>
      </c>
      <c r="G45" s="65">
        <v>0.26196000000000003</v>
      </c>
      <c r="H45" s="65">
        <v>0.44078000000000017</v>
      </c>
      <c r="I45" s="65">
        <v>0.31758000000000008</v>
      </c>
      <c r="J45" s="62" t="str">
        <v>Tier 2</v>
      </c>
      <c r="K45" s="68" t="str">
        <v>-</v>
      </c>
      <c r="L45" s="67" t="str">
        <v>-</v>
      </c>
      <c r="M45" s="68" t="str">
        <v>-</v>
      </c>
      <c r="N45" s="67" t="str">
        <v>-</v>
      </c>
      <c r="O45" s="62" t="str">
        <v>Tue 10/20 02:10 PM CST</v>
      </c>
      <c r="P45" s="62" t="str">
        <v>All wagers action (Cup final does not count in the standings)</v>
      </c>
    </row>
    <row r="46" spans="1:16" x14ac:dyDescent="0.3">
      <c r="A46" s="62" t="str">
        <v>DIV_NORTHWEST</v>
      </c>
      <c r="B46" s="62" t="str">
        <v>Denver Nuggets</v>
      </c>
      <c r="C46" s="62" t="str">
        <v>YES</v>
      </c>
      <c r="D46" s="63" t="str">
        <v>-</v>
      </c>
      <c r="E46" s="64">
        <v>925</v>
      </c>
      <c r="F46" s="65">
        <v>7.7817681530566798E-2</v>
      </c>
      <c r="G46" s="65">
        <v>0.14124999999999999</v>
      </c>
      <c r="H46" s="65">
        <v>0.44781249999999995</v>
      </c>
      <c r="I46" s="65">
        <v>0.2629366666666666</v>
      </c>
      <c r="J46" s="62" t="str">
        <v>Tier 2</v>
      </c>
      <c r="K46" s="68" t="str">
        <v>-</v>
      </c>
      <c r="L46" s="67" t="str">
        <v>-</v>
      </c>
      <c r="M46" s="68" t="str">
        <v>-</v>
      </c>
      <c r="N46" s="67" t="str">
        <v>-</v>
      </c>
      <c r="O46" s="62" t="str">
        <v>Tue 10/20 02:10 PM CST</v>
      </c>
      <c r="P46" s="62" t="str">
        <v>All wagers action; division tiebreakers per NBA rules</v>
      </c>
    </row>
    <row r="47" spans="1:16" x14ac:dyDescent="0.3">
      <c r="A47" s="62" t="str">
        <v>CONF_EAST</v>
      </c>
      <c r="B47" s="62" t="str">
        <v>Toronto Raptors</v>
      </c>
      <c r="C47" s="62" t="str">
        <v>YES</v>
      </c>
      <c r="D47" s="63" t="str">
        <v>-</v>
      </c>
      <c r="E47" s="64">
        <v>900</v>
      </c>
      <c r="F47" s="65">
        <v>8.3128087470530479E-2</v>
      </c>
      <c r="G47" s="65">
        <v>0.17624000000000001</v>
      </c>
      <c r="H47" s="65">
        <v>0.76239999999999997</v>
      </c>
      <c r="I47" s="65">
        <v>0.58166666666666667</v>
      </c>
      <c r="J47" s="62" t="str">
        <v>Tier 1</v>
      </c>
      <c r="K47" s="68" t="str">
        <v>-</v>
      </c>
      <c r="L47" s="67" t="str">
        <v>-</v>
      </c>
      <c r="M47" s="68" t="str">
        <v>-</v>
      </c>
      <c r="N47" s="67" t="str">
        <v>-</v>
      </c>
      <c r="O47" s="62" t="str">
        <v>Tue 10/20 02:10 PM CST</v>
      </c>
      <c r="P47" s="62" t="str">
        <v>All wagers action</v>
      </c>
    </row>
    <row r="48" spans="1:16" x14ac:dyDescent="0.3">
      <c r="A48" s="62" t="str">
        <v>TITLE</v>
      </c>
      <c r="B48" s="62" t="str">
        <v>Boston Celtics</v>
      </c>
      <c r="C48" s="62" t="str">
        <v>YES</v>
      </c>
      <c r="D48" s="63" t="str">
        <v>-</v>
      </c>
      <c r="E48" s="64">
        <v>1400</v>
      </c>
      <c r="F48" s="65">
        <v>5.4571644329192905E-2</v>
      </c>
      <c r="G48" s="65">
        <v>8.5879999999999998E-2</v>
      </c>
      <c r="H48" s="65">
        <v>0.28820000000000001</v>
      </c>
      <c r="I48" s="65">
        <v>0.20680000000000001</v>
      </c>
      <c r="J48" s="62" t="str">
        <v>Tier 2</v>
      </c>
      <c r="K48" s="68" t="str">
        <v>-</v>
      </c>
      <c r="L48" s="67" t="str">
        <v>-</v>
      </c>
      <c r="M48" s="68" t="str">
        <v>-</v>
      </c>
      <c r="N48" s="67" t="str">
        <v>-</v>
      </c>
      <c r="O48" s="62" t="str">
        <v>Tue 10/20 02:10 PM CST</v>
      </c>
      <c r="P48" s="62" t="str">
        <v>All wagers action</v>
      </c>
    </row>
    <row r="49" spans="1:16" x14ac:dyDescent="0.3">
      <c r="A49" s="62" t="str">
        <v>TITLE</v>
      </c>
      <c r="B49" s="62" t="str">
        <v>Detroit Pistons</v>
      </c>
      <c r="C49" s="62" t="str">
        <v>YES</v>
      </c>
      <c r="D49" s="63" t="str">
        <v>-</v>
      </c>
      <c r="E49" s="64">
        <v>3000</v>
      </c>
      <c r="F49" s="65">
        <v>2.3929522910412789E-2</v>
      </c>
      <c r="G49" s="65">
        <v>4.6249999999999999E-2</v>
      </c>
      <c r="H49" s="65">
        <v>0.43375000000000008</v>
      </c>
      <c r="I49" s="65">
        <v>0.31378</v>
      </c>
      <c r="J49" s="62" t="str">
        <v>Tier 2</v>
      </c>
      <c r="K49" s="68" t="str">
        <v>-</v>
      </c>
      <c r="L49" s="67" t="str">
        <v>-</v>
      </c>
      <c r="M49" s="68" t="str">
        <v>-</v>
      </c>
      <c r="N49" s="67" t="str">
        <v>-</v>
      </c>
      <c r="O49" s="62" t="str">
        <v>Tue 10/20 02:10 PM CST</v>
      </c>
      <c r="P49" s="62" t="str">
        <v>All wagers action</v>
      </c>
    </row>
    <row r="50" spans="1:16" x14ac:dyDescent="0.3">
      <c r="A50" s="62" t="str">
        <v>TITLE</v>
      </c>
      <c r="B50" s="62" t="str">
        <v>Portland Trail Blazers</v>
      </c>
      <c r="C50" s="62" t="str">
        <v>YES</v>
      </c>
      <c r="D50" s="63" t="str">
        <v>-</v>
      </c>
      <c r="E50" s="64">
        <v>10000</v>
      </c>
      <c r="F50" s="65">
        <v>4.917527402131543E-3</v>
      </c>
      <c r="G50" s="65">
        <v>2.6360000000000001E-2</v>
      </c>
      <c r="H50" s="65">
        <v>1.6623600000000001</v>
      </c>
      <c r="I50" s="65">
        <v>1.1997800000000001</v>
      </c>
      <c r="J50" s="62" t="str">
        <v>Tier 2</v>
      </c>
      <c r="K50" s="68" t="str">
        <v>-</v>
      </c>
      <c r="L50" s="67" t="str">
        <v>-</v>
      </c>
      <c r="M50" s="68" t="str">
        <v>-</v>
      </c>
      <c r="N50" s="67" t="str">
        <v>-</v>
      </c>
      <c r="O50" s="62" t="str">
        <v>Tue 10/20 02:10 PM CST</v>
      </c>
      <c r="P50" s="62" t="str">
        <v>All wagers action</v>
      </c>
    </row>
    <row r="51" spans="1:16" x14ac:dyDescent="0.3">
      <c r="A51" s="62" t="str">
        <v>CONF_WEST</v>
      </c>
      <c r="B51" s="62" t="str">
        <v>Memphis Grizzlies</v>
      </c>
      <c r="C51" s="62" t="str">
        <v>YES</v>
      </c>
      <c r="D51" s="63" t="str">
        <v>-</v>
      </c>
      <c r="E51" s="64">
        <v>25000</v>
      </c>
      <c r="F51" s="65">
        <v>6.466066542709319E-4</v>
      </c>
      <c r="G51" s="65">
        <v>1.0919999999999999E-2</v>
      </c>
      <c r="H51" s="65">
        <v>1.7409199999999996</v>
      </c>
      <c r="I51" s="65">
        <v>0.85070666666666672</v>
      </c>
      <c r="J51" s="62" t="str">
        <v>Tier 2</v>
      </c>
      <c r="K51" s="68" t="str">
        <v>-</v>
      </c>
      <c r="L51" s="67" t="str">
        <v>-</v>
      </c>
      <c r="M51" s="68" t="str">
        <v>-</v>
      </c>
      <c r="N51" s="67" t="str">
        <v>-</v>
      </c>
      <c r="O51" s="62" t="str">
        <v>Tue 10/20 02:10 PM CST</v>
      </c>
      <c r="P51" s="62" t="str">
        <v>All wagers action</v>
      </c>
    </row>
    <row r="52" spans="1:16" x14ac:dyDescent="0.3">
      <c r="A52" s="62" t="str">
        <v>DIV_SOUTHEAST</v>
      </c>
      <c r="B52" s="62" t="str">
        <v>Orlando Magic</v>
      </c>
      <c r="C52" s="62" t="str">
        <v>YES</v>
      </c>
      <c r="D52" s="63" t="str">
        <v>-</v>
      </c>
      <c r="E52" s="64">
        <v>285</v>
      </c>
      <c r="F52" s="65">
        <v>0.2343137702100852</v>
      </c>
      <c r="G52" s="65">
        <v>0.40508</v>
      </c>
      <c r="H52" s="65">
        <v>0.559558</v>
      </c>
      <c r="I52" s="65">
        <v>0.27660866666666661</v>
      </c>
      <c r="J52" s="62" t="str">
        <v>Tier 2</v>
      </c>
      <c r="K52" s="68" t="str">
        <v>-</v>
      </c>
      <c r="L52" s="67" t="str">
        <v>-</v>
      </c>
      <c r="M52" s="68" t="str">
        <v>-</v>
      </c>
      <c r="N52" s="67" t="str">
        <v>-</v>
      </c>
      <c r="O52" s="62" t="str">
        <v>Tue 10/20 02:10 PM CST</v>
      </c>
      <c r="P52" s="62" t="str">
        <v>All wagers action; division tiebreakers per NBA rules</v>
      </c>
    </row>
    <row r="53" spans="1:16" x14ac:dyDescent="0.3">
      <c r="A53" s="62" t="str">
        <v>DIV_PACIFIC</v>
      </c>
      <c r="B53" s="62" t="str">
        <v>Golden State Warriors</v>
      </c>
      <c r="C53" s="62" t="str">
        <v>YES</v>
      </c>
      <c r="D53" s="63" t="str">
        <v>-</v>
      </c>
      <c r="E53" s="64">
        <v>325</v>
      </c>
      <c r="F53" s="65">
        <v>0.2076000601953184</v>
      </c>
      <c r="G53" s="65">
        <v>0.32805000000000001</v>
      </c>
      <c r="H53" s="65">
        <v>0.39421250000000008</v>
      </c>
      <c r="I53" s="65">
        <v>0.37053999999999998</v>
      </c>
      <c r="J53" s="62" t="str">
        <v>Tier 2</v>
      </c>
      <c r="K53" s="68" t="str">
        <v>-</v>
      </c>
      <c r="L53" s="67" t="str">
        <v>-</v>
      </c>
      <c r="M53" s="68" t="str">
        <v>-</v>
      </c>
      <c r="N53" s="67" t="str">
        <v>-</v>
      </c>
      <c r="O53" s="62" t="str">
        <v>Tue 10/20 02:10 PM CST</v>
      </c>
      <c r="P53" s="62" t="str">
        <v>All wagers action; division tiebreakers per NBA rules</v>
      </c>
    </row>
    <row r="54" spans="1:16" x14ac:dyDescent="0.3">
      <c r="A54" s="62" t="str">
        <v>CUP</v>
      </c>
      <c r="B54" s="62" t="str">
        <v>Toronto Raptors</v>
      </c>
      <c r="C54" s="62" t="str">
        <v>YES</v>
      </c>
      <c r="D54" s="63" t="str">
        <v>-</v>
      </c>
      <c r="E54" s="64">
        <v>1800</v>
      </c>
      <c r="F54" s="65">
        <v>4.0526786058336317E-2</v>
      </c>
      <c r="G54" s="65">
        <v>7.3999999999999996E-2</v>
      </c>
      <c r="H54" s="65">
        <v>0.40599999999999992</v>
      </c>
      <c r="I54" s="65">
        <v>0.2434866666666668</v>
      </c>
      <c r="J54" s="62" t="str">
        <v>Tier 2</v>
      </c>
      <c r="K54" s="68" t="str">
        <v>-</v>
      </c>
      <c r="L54" s="67" t="str">
        <v>-</v>
      </c>
      <c r="M54" s="68" t="str">
        <v>-</v>
      </c>
      <c r="N54" s="67" t="str">
        <v>-</v>
      </c>
      <c r="O54" s="62" t="str">
        <v>Tue 10/20 02:10 PM CST</v>
      </c>
      <c r="P54" s="62" t="str">
        <v>All wagers action (Cup final does not count in the standings)</v>
      </c>
    </row>
    <row r="55" spans="1:16" x14ac:dyDescent="0.3">
      <c r="A55" s="62" t="str">
        <v>CUP_WEST_A</v>
      </c>
      <c r="B55" s="62" t="str">
        <v>Houston Rockets</v>
      </c>
      <c r="C55" s="62" t="str">
        <v>YES</v>
      </c>
      <c r="D55" s="63" t="str">
        <v>-</v>
      </c>
      <c r="E55" s="64">
        <v>200</v>
      </c>
      <c r="F55" s="65">
        <v>0.29603518573103083</v>
      </c>
      <c r="G55" s="65">
        <v>0.40648000000000001</v>
      </c>
      <c r="H55" s="65">
        <v>0.21944000000000008</v>
      </c>
      <c r="I55" s="65">
        <v>0.11231999999999991</v>
      </c>
      <c r="J55" s="62" t="str">
        <v>Tier 2</v>
      </c>
      <c r="K55" s="68" t="str">
        <v>-</v>
      </c>
      <c r="L55" s="67" t="str">
        <v>-</v>
      </c>
      <c r="M55" s="68" t="str">
        <v>-</v>
      </c>
      <c r="N55" s="67" t="str">
        <v>-</v>
      </c>
      <c r="O55" s="62" t="str">
        <v>Tue 10/20 02:10 PM CST</v>
      </c>
      <c r="P55" s="62" t="str">
        <v>All wagers action (Cup final does not count in the standings)</v>
      </c>
    </row>
    <row r="56" spans="1:16" x14ac:dyDescent="0.3">
      <c r="A56" s="62" t="str">
        <v>CUP_WEST_B</v>
      </c>
      <c r="B56" s="62" t="str">
        <v>Memphis Grizzlies</v>
      </c>
      <c r="C56" s="62" t="str">
        <v>YES</v>
      </c>
      <c r="D56" s="63" t="str">
        <v>-</v>
      </c>
      <c r="E56" s="64">
        <v>1400</v>
      </c>
      <c r="F56" s="65">
        <v>4.7908922817538127E-2</v>
      </c>
      <c r="G56" s="65">
        <v>0.11053</v>
      </c>
      <c r="H56" s="65">
        <v>0.65795000000000003</v>
      </c>
      <c r="I56" s="65">
        <v>0.49020000000000008</v>
      </c>
      <c r="J56" s="62" t="str">
        <v>Tier 2</v>
      </c>
      <c r="K56" s="68" t="str">
        <v>-</v>
      </c>
      <c r="L56" s="67" t="str">
        <v>-</v>
      </c>
      <c r="M56" s="68" t="str">
        <v>-</v>
      </c>
      <c r="N56" s="67" t="str">
        <v>-</v>
      </c>
      <c r="O56" s="62" t="str">
        <v>Tue 10/20 02:10 PM CST</v>
      </c>
      <c r="P56" s="62" t="str">
        <v>All wagers action (Cup final does not count in the standings)</v>
      </c>
    </row>
    <row r="57" spans="1:16" x14ac:dyDescent="0.3">
      <c r="A57" s="62" t="str">
        <v>PLAYIN_WEST</v>
      </c>
      <c r="B57" s="62" t="str">
        <v>Minnesota Timberwolves</v>
      </c>
      <c r="C57" s="62" t="str">
        <v>YES</v>
      </c>
      <c r="D57" s="63" t="str">
        <v>-</v>
      </c>
      <c r="E57" s="64">
        <v>250</v>
      </c>
      <c r="F57" s="65">
        <v>0.25427039556249365</v>
      </c>
      <c r="G57" s="65">
        <v>0.36267000000000005</v>
      </c>
      <c r="H57" s="65">
        <v>0.26934500000000017</v>
      </c>
      <c r="I57" s="65">
        <v>0.20157333333333349</v>
      </c>
      <c r="J57" s="62" t="str">
        <v>Tier 2</v>
      </c>
      <c r="K57" s="68" t="str">
        <v>-</v>
      </c>
      <c r="L57" s="67" t="str">
        <v>-</v>
      </c>
      <c r="M57" s="68" t="str">
        <v>-</v>
      </c>
      <c r="N57" s="67" t="str">
        <v>-</v>
      </c>
      <c r="O57" s="62" t="str">
        <v>Tue 10/20 02:10 PM CST</v>
      </c>
      <c r="P57" s="62" t="str">
        <v>Interpreted as team participates in the play-in (finishes 7-10); implied probs sum to ~4.4 per conference with 4 slots - INTERPRETATION FLAGGED</v>
      </c>
    </row>
    <row r="58" spans="1:16" x14ac:dyDescent="0.3">
      <c r="A58" s="62" t="str">
        <v>PLAYOFFS</v>
      </c>
      <c r="B58" s="62" t="str">
        <v>Washington Wizards</v>
      </c>
      <c r="C58" s="62" t="str">
        <v>NO</v>
      </c>
      <c r="D58" s="63" t="str">
        <v>-</v>
      </c>
      <c r="E58" s="64">
        <v>-340</v>
      </c>
      <c r="F58" s="65">
        <v>0.74747474748638099</v>
      </c>
      <c r="G58" s="65">
        <v>0.91054999999999997</v>
      </c>
      <c r="H58" s="65">
        <v>0.17835882352941179</v>
      </c>
      <c r="I58" s="65">
        <v>0.14379294117647071</v>
      </c>
      <c r="J58" s="62" t="str">
        <v>Tier 2</v>
      </c>
      <c r="K58" s="68" t="str">
        <v>-</v>
      </c>
      <c r="L58" s="67" t="str">
        <v>-</v>
      </c>
      <c r="M58" s="68" t="str">
        <v>-</v>
      </c>
      <c r="N58" s="67" t="str">
        <v>-</v>
      </c>
      <c r="O58" s="62" t="str">
        <v>Wed 10/21 06:10 PM CST</v>
      </c>
      <c r="P58" s="62" t="str">
        <v>Makes the 16-team playoff field, including via the play-in (top-8 per conference; user-confirmed from implied sums ~8.7/conf) - CONFIRM WITH BOOK; action requires 82 games unless already determined</v>
      </c>
    </row>
    <row r="59" spans="1:16" x14ac:dyDescent="0.3">
      <c r="A59" s="62" t="str">
        <v>PLAYOFFS</v>
      </c>
      <c r="B59" s="62" t="str">
        <v>Portland Trail Blazers</v>
      </c>
      <c r="C59" s="62" t="str">
        <v>YES</v>
      </c>
      <c r="D59" s="63" t="str">
        <v>-</v>
      </c>
      <c r="E59" s="64">
        <v>-170</v>
      </c>
      <c r="F59" s="65">
        <v>0.60648148148839409</v>
      </c>
      <c r="G59" s="65">
        <v>0.72260000000000002</v>
      </c>
      <c r="H59" s="65">
        <v>0.14765882352941184</v>
      </c>
      <c r="I59" s="65">
        <v>0.1041411764705884</v>
      </c>
      <c r="J59" s="62" t="str">
        <v>Tier 2</v>
      </c>
      <c r="K59" s="68" t="str">
        <v>-</v>
      </c>
      <c r="L59" s="67" t="str">
        <v>-</v>
      </c>
      <c r="M59" s="68" t="str">
        <v>-</v>
      </c>
      <c r="N59" s="67" t="str">
        <v>-</v>
      </c>
      <c r="O59" s="62" t="str">
        <v>Wed 10/21 09:10 PM CST</v>
      </c>
      <c r="P59" s="62" t="str">
        <v>Makes the 16-team playoff field, including via the play-in (top-8 per conference; user-confirmed from implied sums ~8.7/conf) - CONFIRM WITH BOOK; action requires 82 games unless already determined</v>
      </c>
    </row>
    <row r="60" spans="1:16" x14ac:dyDescent="0.3">
      <c r="A60" s="62"/>
      <c r="B60" s="62"/>
      <c r="C60" s="62"/>
      <c r="D60" s="63"/>
      <c r="E60" s="64"/>
      <c r="F60" s="65"/>
      <c r="G60" s="65"/>
      <c r="H60" s="65"/>
      <c r="I60" s="65"/>
      <c r="J60" s="62"/>
      <c r="K60" s="68"/>
      <c r="L60" s="67"/>
      <c r="M60" s="68"/>
      <c r="N60" s="67"/>
      <c r="O60" s="62"/>
      <c r="P60" s="62"/>
    </row>
    <row r="61" spans="1:16" x14ac:dyDescent="0.3">
      <c r="A61" s="62"/>
      <c r="B61" s="62"/>
      <c r="C61" s="62"/>
      <c r="D61" s="63"/>
      <c r="E61" s="64"/>
      <c r="F61" s="65"/>
      <c r="G61" s="65"/>
      <c r="H61" s="65"/>
      <c r="I61" s="65"/>
      <c r="J61" s="62"/>
      <c r="K61" s="68"/>
      <c r="L61" s="67"/>
      <c r="M61" s="68"/>
      <c r="N61" s="67"/>
      <c r="O61" s="62"/>
      <c r="P61" s="62"/>
    </row>
    <row r="62" spans="1:16" x14ac:dyDescent="0.3">
      <c r="A62" s="62"/>
      <c r="B62" s="62"/>
      <c r="C62" s="62"/>
      <c r="D62" s="63"/>
      <c r="E62" s="64"/>
      <c r="F62" s="65"/>
      <c r="G62" s="65"/>
      <c r="H62" s="65"/>
      <c r="I62" s="65"/>
      <c r="J62" s="62"/>
      <c r="K62" s="68"/>
      <c r="L62" s="67"/>
      <c r="M62" s="68"/>
      <c r="N62" s="67"/>
      <c r="O62" s="62"/>
      <c r="P62" s="62"/>
    </row>
    <row r="63" spans="1:16" x14ac:dyDescent="0.3">
      <c r="A63" s="62"/>
      <c r="B63" s="62"/>
      <c r="C63" s="62"/>
      <c r="D63" s="63"/>
      <c r="E63" s="64"/>
      <c r="F63" s="65"/>
      <c r="G63" s="65"/>
      <c r="H63" s="65"/>
      <c r="I63" s="65"/>
      <c r="J63" s="62"/>
      <c r="K63" s="68"/>
      <c r="L63" s="67"/>
      <c r="M63" s="68"/>
      <c r="N63" s="67"/>
      <c r="O63" s="62"/>
      <c r="P63" s="62"/>
    </row>
    <row r="64" spans="1:16" x14ac:dyDescent="0.3">
      <c r="A64" s="62"/>
      <c r="B64" s="62"/>
      <c r="C64" s="62"/>
      <c r="D64" s="63"/>
      <c r="E64" s="64"/>
      <c r="F64" s="65"/>
      <c r="G64" s="65"/>
      <c r="H64" s="65"/>
      <c r="I64" s="65"/>
      <c r="J64" s="62"/>
      <c r="K64" s="68"/>
      <c r="L64" s="67"/>
      <c r="M64" s="68"/>
      <c r="N64" s="67"/>
      <c r="O64" s="62"/>
      <c r="P64" s="62"/>
    </row>
    <row r="65" spans="1:16" x14ac:dyDescent="0.3">
      <c r="A65" s="62"/>
      <c r="B65" s="62"/>
      <c r="C65" s="62"/>
      <c r="D65" s="63"/>
      <c r="E65" s="64"/>
      <c r="F65" s="65"/>
      <c r="G65" s="65"/>
      <c r="H65" s="65"/>
      <c r="I65" s="65"/>
      <c r="J65" s="62"/>
      <c r="K65" s="68"/>
      <c r="L65" s="67"/>
      <c r="M65" s="68"/>
      <c r="N65" s="67"/>
      <c r="O65" s="62"/>
      <c r="P65" s="62"/>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N45"/>
  <sheetViews>
    <sheetView showGridLines="0" workbookViewId="0">
      <pane xSplit="2" ySplit="7" topLeftCell="C8" activePane="bottomRight" state="frozen"/>
      <selection pane="topRight"/>
      <selection pane="bottomLeft"/>
      <selection pane="bottomRight"/>
    </sheetView>
  </sheetViews>
  <sheetFormatPr defaultRowHeight="14.4" x14ac:dyDescent="0.3"/>
  <cols>
    <col min="1" max="1" width="24" customWidth="1"/>
    <col min="2" max="2" width="28" customWidth="1"/>
    <col min="3" max="11" width="14" customWidth="1"/>
    <col min="12" max="12" width="90" customWidth="1"/>
    <col min="13" max="13" width="24" customWidth="1"/>
    <col min="14" max="14" width="60" customWidth="1"/>
  </cols>
  <sheetData>
    <row r="1" spans="1:14" ht="15" customHeight="1" x14ac:dyDescent="0.3">
      <c r="A1" s="1" t="s">
        <v>0</v>
      </c>
      <c r="B1" s="2"/>
      <c r="C1" s="2"/>
      <c r="D1" s="2"/>
      <c r="E1" s="2"/>
      <c r="F1" s="2"/>
      <c r="G1" s="2"/>
      <c r="H1" s="2"/>
      <c r="I1" s="2"/>
      <c r="J1" s="2"/>
      <c r="K1" s="2"/>
      <c r="L1" s="2"/>
      <c r="M1" s="2"/>
      <c r="N1" s="2"/>
    </row>
    <row r="2" spans="1:14" ht="15" customHeight="1" x14ac:dyDescent="0.3">
      <c r="A2" s="3" t="s">
        <v>1346</v>
      </c>
    </row>
    <row r="3" spans="1:14" ht="15" customHeight="1" x14ac:dyDescent="0.3">
      <c r="A3" s="4" t="s">
        <v>2</v>
      </c>
    </row>
    <row r="4" spans="1:14" ht="6" customHeight="1" x14ac:dyDescent="0.3"/>
    <row r="5" spans="1:14" ht="15" customHeight="1" x14ac:dyDescent="0.3">
      <c r="A5" s="4" t="s">
        <v>1347</v>
      </c>
    </row>
    <row r="6" spans="1:14" ht="15" customHeight="1" x14ac:dyDescent="0.3">
      <c r="A6" s="47" t="str">
        <f>Sim_Stale</f>
        <v>OK - sims match current assumptions</v>
      </c>
    </row>
    <row r="7" spans="1:14" ht="30" customHeight="1" x14ac:dyDescent="0.3">
      <c r="A7" s="11" t="s">
        <v>230</v>
      </c>
      <c r="B7" s="11" t="s">
        <v>231</v>
      </c>
      <c r="C7" s="11" t="s">
        <v>232</v>
      </c>
      <c r="D7" s="11" t="s">
        <v>233</v>
      </c>
      <c r="E7" s="11" t="s">
        <v>1276</v>
      </c>
      <c r="F7" s="11" t="s">
        <v>1342</v>
      </c>
      <c r="G7" s="11" t="s">
        <v>1038</v>
      </c>
      <c r="H7" s="11" t="s">
        <v>1279</v>
      </c>
      <c r="I7" s="11" t="s">
        <v>1343</v>
      </c>
      <c r="J7" s="11" t="s">
        <v>1348</v>
      </c>
      <c r="K7" s="11" t="s">
        <v>1296</v>
      </c>
      <c r="L7" s="11" t="s">
        <v>1349</v>
      </c>
      <c r="M7" s="11" t="s">
        <v>1288</v>
      </c>
      <c r="N7" s="11" t="s">
        <v>973</v>
      </c>
    </row>
    <row r="8" spans="1:14" ht="15" customHeight="1" x14ac:dyDescent="0.3">
      <c r="A8" s="62" t="str" cm="1">
        <f t="array" ref="A8:N11">_xlfn.LET(_xlpm.d,S_Markets!$A$8:$AM$763,_xlpm.q,INDEX(_xlpm.d,0,34),_xlpm.f,_xlfn._xlws.FILTER(_xlpm.d,_xlpm.q=TRUE,"No Tier 1 bets"),IF(COLUMNS(_xlpm.f)&lt;2,_xlpm.f,_xlfn.LET(_xlpm.s,_xlfn.SORTBY(_xlpm.f,INDEX(_xlpm.f,0,35),-1),_xlfn.HSTACK(INDEX(_xlpm.s,0,1),INDEX(_xlpm.s,0,2),INDEX(_xlpm.s,0,4),INDEX(_xlpm.s,0,5),INDEX(_xlpm.s,0,6),INDEX(_xlpm.s,0,9),INDEX(_xlpm.s,0,10),INDEX(_xlpm.s,0,12),INDEX(_xlpm.s,0,14),INDEX(_xlpm.s,0,35),INDEX(_xlpm.s,0,36),INDEX(_xlpm.s,0,37),INDEX(_xlpm.s,0,24),INDEX(_xlpm.s,0,25)))))</f>
        <v>DIV_ATLANTIC</v>
      </c>
      <c r="B8" s="62" t="str">
        <v>Toronto Raptors</v>
      </c>
      <c r="C8" s="62" t="str">
        <v>YES</v>
      </c>
      <c r="D8" s="63" t="str">
        <v>-</v>
      </c>
      <c r="E8" s="64">
        <v>650</v>
      </c>
      <c r="F8" s="65">
        <v>0.10533246134600585</v>
      </c>
      <c r="G8" s="65">
        <v>0.33410000000000001</v>
      </c>
      <c r="H8" s="65">
        <v>1.5057499999999999</v>
      </c>
      <c r="I8" s="65">
        <v>1.3141499999999999</v>
      </c>
      <c r="J8" s="66">
        <v>8.1758484704372997E-3</v>
      </c>
      <c r="K8" s="67" t="str">
        <v>-</v>
      </c>
      <c r="L8" s="62" t="str">
        <v>Kawhi Leonard rated +6.1 (DARKO +6.3), 30 mpg, 56 g (new to team; +2.8 SRS vs 2025-26) | Gradey Dick gone (1067 min at -3.6 BPM last year; +1.0 SRS)</v>
      </c>
      <c r="M8" s="62" t="str">
        <v>Tue 10/20 02:10 PM CST</v>
      </c>
      <c r="N8" s="62" t="str">
        <v>All wagers action; division tiebreakers per NBA rules</v>
      </c>
    </row>
    <row r="9" spans="1:14" ht="15" customHeight="1" x14ac:dyDescent="0.3">
      <c r="A9" s="62" t="str">
        <v>PLAYIN_EAST</v>
      </c>
      <c r="B9" s="62" t="str">
        <v>Chicago Bulls</v>
      </c>
      <c r="C9" s="62" t="str">
        <v>YES</v>
      </c>
      <c r="D9" s="63" t="str">
        <v>-</v>
      </c>
      <c r="E9" s="64">
        <v>800</v>
      </c>
      <c r="F9" s="65">
        <v>9.3136391133908231E-2</v>
      </c>
      <c r="G9" s="65">
        <v>0.25402999999999998</v>
      </c>
      <c r="H9" s="65">
        <v>1.28627</v>
      </c>
      <c r="I9" s="65">
        <v>0.87140000000000017</v>
      </c>
      <c r="J9" s="66">
        <v>6.1219400545634997E-3</v>
      </c>
      <c r="K9" s="67" t="str">
        <v>-</v>
      </c>
      <c r="L9" s="62" t="str">
        <v>Rob Dillingham gone (644 min at -7.3 BPM last year; +1.3 SRS)</v>
      </c>
      <c r="M9" s="62" t="str">
        <v>Tue 10/20 02:10 PM CST</v>
      </c>
      <c r="N9" s="62" t="str">
        <v>Interpreted as team participates in the play-in (finishes 7-10); implied probs sum to ~4.4 per conference with 4 slots - INTERPRETATION FLAGGED</v>
      </c>
    </row>
    <row r="10" spans="1:14" ht="15" customHeight="1" x14ac:dyDescent="0.3">
      <c r="A10" s="62" t="str">
        <v>PLAYOFFS</v>
      </c>
      <c r="B10" s="62" t="str">
        <v>Minnesota Timberwolves</v>
      </c>
      <c r="C10" s="62" t="str">
        <v>NO</v>
      </c>
      <c r="D10" s="63" t="str">
        <v>-</v>
      </c>
      <c r="E10" s="64">
        <v>550</v>
      </c>
      <c r="F10" s="65">
        <v>0.12454212450038653</v>
      </c>
      <c r="G10" s="65">
        <v>0.31825000000000003</v>
      </c>
      <c r="H10" s="65">
        <v>1.0686250000000004</v>
      </c>
      <c r="I10" s="65">
        <v>0.90046999999999999</v>
      </c>
      <c r="J10" s="66">
        <v>5.7721984997517002E-3</v>
      </c>
      <c r="K10" s="67" t="str">
        <v>-</v>
      </c>
      <c r="L10" s="62" t="str">
        <v>Julius Randle gone (2610 min at +1.5 BPM last year; -1.1 SRS)</v>
      </c>
      <c r="M10" s="62" t="str">
        <v>Wed 10/21 06:40 PM CST</v>
      </c>
      <c r="N10" s="62" t="str">
        <v>Makes the 16-team playoff field, including via the play-in (top-8 per conference; user-confirmed from implied sums ~8.7/conf) - CONFIRM WITH BOOK; action requires 82 games unless already determined</v>
      </c>
    </row>
    <row r="11" spans="1:14" ht="15" customHeight="1" x14ac:dyDescent="0.3">
      <c r="A11" s="62" t="str">
        <v>CONF_EAST</v>
      </c>
      <c r="B11" s="62" t="str">
        <v>Toronto Raptors</v>
      </c>
      <c r="C11" s="62" t="str">
        <v>YES</v>
      </c>
      <c r="D11" s="63" t="str">
        <v>-</v>
      </c>
      <c r="E11" s="64">
        <v>900</v>
      </c>
      <c r="F11" s="65">
        <v>8.3128087470530479E-2</v>
      </c>
      <c r="G11" s="65">
        <v>0.17624000000000001</v>
      </c>
      <c r="H11" s="65">
        <v>0.76239999999999997</v>
      </c>
      <c r="I11" s="65">
        <v>0.58166666666666667</v>
      </c>
      <c r="J11" s="66">
        <v>0</v>
      </c>
      <c r="K11" s="67" t="str">
        <v>-</v>
      </c>
      <c r="L11" s="62" t="str">
        <v>Kawhi Leonard rated +6.1 (DARKO +6.3), 30 mpg, 56 g (new to team; +2.8 SRS vs 2025-26) | Gradey Dick gone (1067 min at -3.6 BPM last year; +1.0 SRS)</v>
      </c>
      <c r="M11" s="62" t="str">
        <v>Tue 10/20 02:10 PM CST</v>
      </c>
      <c r="N11" s="62" t="str">
        <v>All wagers action</v>
      </c>
    </row>
    <row r="12" spans="1:14" ht="15" customHeight="1" x14ac:dyDescent="0.3">
      <c r="A12" s="62"/>
      <c r="B12" s="62"/>
      <c r="C12" s="62"/>
      <c r="D12" s="63"/>
      <c r="E12" s="64"/>
      <c r="F12" s="65"/>
      <c r="G12" s="65"/>
      <c r="H12" s="65"/>
      <c r="I12" s="65"/>
      <c r="J12" s="66"/>
      <c r="K12" s="67"/>
      <c r="L12" s="62"/>
      <c r="M12" s="62"/>
      <c r="N12" s="62"/>
    </row>
    <row r="13" spans="1:14" ht="15" customHeight="1" x14ac:dyDescent="0.3">
      <c r="A13" s="62"/>
      <c r="B13" s="62"/>
      <c r="C13" s="62"/>
      <c r="D13" s="63"/>
      <c r="E13" s="64"/>
      <c r="F13" s="65"/>
      <c r="G13" s="65"/>
      <c r="H13" s="65"/>
      <c r="I13" s="65"/>
      <c r="J13" s="66"/>
      <c r="K13" s="67"/>
      <c r="L13" s="62"/>
      <c r="M13" s="62"/>
      <c r="N13" s="62"/>
    </row>
    <row r="14" spans="1:14" ht="15" customHeight="1" x14ac:dyDescent="0.3">
      <c r="A14" s="62"/>
      <c r="B14" s="62"/>
      <c r="C14" s="62"/>
      <c r="D14" s="63"/>
      <c r="E14" s="64"/>
      <c r="F14" s="65"/>
      <c r="G14" s="65"/>
      <c r="H14" s="65"/>
      <c r="I14" s="65"/>
      <c r="J14" s="66"/>
      <c r="K14" s="67"/>
      <c r="L14" s="62"/>
      <c r="M14" s="62"/>
      <c r="N14" s="62"/>
    </row>
    <row r="15" spans="1:14" ht="15" customHeight="1" x14ac:dyDescent="0.3">
      <c r="A15" s="62"/>
      <c r="B15" s="62"/>
      <c r="C15" s="62"/>
      <c r="D15" s="63"/>
      <c r="E15" s="64"/>
      <c r="F15" s="65"/>
      <c r="G15" s="65"/>
      <c r="H15" s="65"/>
      <c r="I15" s="65"/>
      <c r="J15" s="66"/>
      <c r="K15" s="67"/>
      <c r="L15" s="62"/>
      <c r="M15" s="62"/>
      <c r="N15" s="62"/>
    </row>
    <row r="16" spans="1:14" ht="15" customHeight="1" x14ac:dyDescent="0.3">
      <c r="A16" s="62"/>
      <c r="B16" s="62"/>
      <c r="C16" s="62"/>
      <c r="D16" s="63"/>
      <c r="E16" s="64"/>
      <c r="F16" s="65"/>
      <c r="G16" s="65"/>
      <c r="H16" s="65"/>
      <c r="I16" s="65"/>
      <c r="J16" s="66"/>
      <c r="K16" s="67"/>
      <c r="L16" s="62"/>
      <c r="M16" s="62"/>
      <c r="N16" s="62"/>
    </row>
    <row r="17" spans="1:14" ht="15" customHeight="1" x14ac:dyDescent="0.3">
      <c r="A17" s="62"/>
      <c r="B17" s="62"/>
      <c r="C17" s="62"/>
      <c r="D17" s="63"/>
      <c r="E17" s="64"/>
      <c r="F17" s="65"/>
      <c r="G17" s="65"/>
      <c r="H17" s="65"/>
      <c r="I17" s="65"/>
      <c r="J17" s="66"/>
      <c r="K17" s="67"/>
      <c r="L17" s="62"/>
      <c r="M17" s="62"/>
      <c r="N17" s="62"/>
    </row>
    <row r="18" spans="1:14" ht="15" customHeight="1" x14ac:dyDescent="0.3">
      <c r="A18" s="62"/>
      <c r="B18" s="62"/>
      <c r="C18" s="62"/>
      <c r="D18" s="63"/>
      <c r="E18" s="64"/>
      <c r="F18" s="65"/>
      <c r="G18" s="65"/>
      <c r="H18" s="65"/>
      <c r="I18" s="65"/>
      <c r="J18" s="66"/>
      <c r="K18" s="67"/>
      <c r="L18" s="62"/>
      <c r="M18" s="62"/>
      <c r="N18" s="62"/>
    </row>
    <row r="19" spans="1:14" ht="15" customHeight="1" x14ac:dyDescent="0.3">
      <c r="A19" s="62"/>
      <c r="B19" s="62"/>
      <c r="C19" s="62"/>
      <c r="D19" s="63"/>
      <c r="E19" s="64"/>
      <c r="F19" s="65"/>
      <c r="G19" s="65"/>
      <c r="H19" s="65"/>
      <c r="I19" s="65"/>
      <c r="J19" s="66"/>
      <c r="K19" s="67"/>
      <c r="L19" s="62"/>
      <c r="M19" s="62"/>
      <c r="N19" s="62"/>
    </row>
    <row r="20" spans="1:14" ht="15" customHeight="1" x14ac:dyDescent="0.3">
      <c r="A20" s="62"/>
      <c r="B20" s="62"/>
      <c r="C20" s="62"/>
      <c r="D20" s="63"/>
      <c r="E20" s="64"/>
      <c r="F20" s="65"/>
      <c r="G20" s="65"/>
      <c r="H20" s="65"/>
      <c r="I20" s="65"/>
      <c r="J20" s="66"/>
      <c r="K20" s="67"/>
      <c r="L20" s="62"/>
      <c r="M20" s="62"/>
      <c r="N20" s="62"/>
    </row>
    <row r="21" spans="1:14" ht="15" customHeight="1" x14ac:dyDescent="0.3"/>
    <row r="22" spans="1:14" ht="15" customHeight="1" x14ac:dyDescent="0.3"/>
    <row r="23" spans="1:14" ht="15" customHeight="1" x14ac:dyDescent="0.3"/>
    <row r="24" spans="1:14" ht="15" customHeight="1" x14ac:dyDescent="0.3"/>
    <row r="25" spans="1:14" ht="15" customHeight="1" x14ac:dyDescent="0.3"/>
    <row r="26" spans="1:14" ht="15" customHeight="1" x14ac:dyDescent="0.3"/>
    <row r="27" spans="1:14" ht="15" customHeight="1" x14ac:dyDescent="0.3"/>
    <row r="28" spans="1:14" ht="15" customHeight="1" x14ac:dyDescent="0.3"/>
    <row r="29" spans="1:14" ht="15" customHeight="1" x14ac:dyDescent="0.3"/>
    <row r="30" spans="1:14" ht="15" customHeight="1" x14ac:dyDescent="0.3"/>
    <row r="31" spans="1:14" ht="15" customHeight="1" x14ac:dyDescent="0.3"/>
    <row r="32" spans="1:14" ht="15" customHeight="1" x14ac:dyDescent="0.3"/>
    <row r="33" spans="1:11" ht="15" customHeight="1" x14ac:dyDescent="0.3"/>
    <row r="34" spans="1:11" ht="15" customHeight="1" x14ac:dyDescent="0.3"/>
    <row r="35" spans="1:11" ht="15" customHeight="1" x14ac:dyDescent="0.3"/>
    <row r="36" spans="1:11" ht="15" customHeight="1" x14ac:dyDescent="0.3"/>
    <row r="37" spans="1:11" ht="15" customHeight="1" x14ac:dyDescent="0.3"/>
    <row r="38" spans="1:11" ht="15" customHeight="1" x14ac:dyDescent="0.3"/>
    <row r="39" spans="1:11" ht="15" customHeight="1" x14ac:dyDescent="0.3">
      <c r="A39" s="4" t="s">
        <v>1350</v>
      </c>
    </row>
    <row r="40" spans="1:11" ht="30" customHeight="1" x14ac:dyDescent="0.3">
      <c r="A40" s="11" t="s">
        <v>230</v>
      </c>
      <c r="B40" s="11" t="s">
        <v>231</v>
      </c>
      <c r="C40" s="11" t="s">
        <v>195</v>
      </c>
      <c r="D40" s="11" t="s">
        <v>1276</v>
      </c>
      <c r="E40" s="11" t="s">
        <v>1342</v>
      </c>
      <c r="F40" s="11" t="s">
        <v>1038</v>
      </c>
      <c r="G40" s="11" t="s">
        <v>1279</v>
      </c>
      <c r="H40" s="11" t="s">
        <v>1351</v>
      </c>
      <c r="I40" s="11" t="s">
        <v>1348</v>
      </c>
      <c r="J40" s="11" t="s">
        <v>1296</v>
      </c>
      <c r="K40" s="11" t="s">
        <v>1352</v>
      </c>
    </row>
    <row r="41" spans="1:11" x14ac:dyDescent="0.3">
      <c r="A41" t="str" cm="1">
        <f t="array" ref="A41:K45">_xlfn.LET(_xlpm.d,M_Players!$A$8:$U$243,_xlpm.f,_xlfn._xlws.FILTER(_xlpm.d,INDEX(_xlpm.d,0,15)=TRUE,"No player Tier 1 bets"),IF(COLUMNS(_xlpm.f)&lt;2,_xlpm.f,_xlfn.LET(_xlpm.s,_xlfn.SORTBY(_xlpm.f,INDEX(_xlpm.f,0,16),-1),_xlfn.HSTACK(INDEX(_xlpm.s,0,1),INDEX(_xlpm.s,0,2),INDEX(_xlpm.s,0,3),INDEX(_xlpm.s,0,4),INDEX(_xlpm.s,0,6),INDEX(_xlpm.s,0,7),INDEX(_xlpm.s,0,10),INDEX(_xlpm.s,0,12),INDEX(_xlpm.s,0,16),INDEX(_xlpm.s,0,17),INDEX(_xlpm.s,0,20)))))</f>
        <v>LDR_RPG</v>
      </c>
      <c r="B41" t="str">
        <v>Rudy Gobert</v>
      </c>
      <c r="C41" t="str">
        <v>-</v>
      </c>
      <c r="D41">
        <v>990</v>
      </c>
      <c r="E41">
        <v>7.8896456452349203E-2</v>
      </c>
      <c r="F41">
        <v>0.25576686533213988</v>
      </c>
      <c r="G41">
        <v>1.7878588321203246</v>
      </c>
      <c r="H41">
        <v>0.58724241951315448</v>
      </c>
      <c r="I41">
        <v>9.1636058707939994E-3</v>
      </c>
      <c r="J41" t="str">
        <v>-</v>
      </c>
      <c r="K41" t="str">
        <v>proj RPG 10.9 in 31 mpg; 63 games projected; model rival Domantas Sabonis 11.4 (p=21%)</v>
      </c>
    </row>
    <row r="42" spans="1:11" x14ac:dyDescent="0.3">
      <c r="A42" t="str">
        <v>LDR_RPG</v>
      </c>
      <c r="B42" t="str">
        <v>Domantas Sabonis</v>
      </c>
      <c r="C42" t="str">
        <v>-</v>
      </c>
      <c r="D42">
        <v>900</v>
      </c>
      <c r="E42">
        <v>8.6451794293691195E-2</v>
      </c>
      <c r="F42">
        <v>0.21065562664166651</v>
      </c>
      <c r="G42">
        <v>1.106556266416665</v>
      </c>
      <c r="H42">
        <v>0.26015558446822107</v>
      </c>
      <c r="I42">
        <v>5.8618553079941996E-3</v>
      </c>
      <c r="J42" t="str">
        <v>-</v>
      </c>
      <c r="K42" t="str">
        <v>proj RPG 11.4 in 30 mpg; 53 games projected; model rival Rudy Gobert 10.9 (p=26%)</v>
      </c>
    </row>
    <row r="43" spans="1:11" x14ac:dyDescent="0.3">
      <c r="A43" t="str">
        <v>LDR_TPG</v>
      </c>
      <c r="B43" t="str">
        <v>LaMelo Ball</v>
      </c>
      <c r="C43" t="str">
        <v>-</v>
      </c>
      <c r="D43">
        <v>1100</v>
      </c>
      <c r="E43">
        <v>7.1348400397798703E-2</v>
      </c>
      <c r="F43">
        <v>0.19490181063012971</v>
      </c>
      <c r="G43">
        <v>1.3388217275615566</v>
      </c>
      <c r="H43">
        <v>0.36414914253236375</v>
      </c>
      <c r="I43">
        <v>5.1340585476039998E-3</v>
      </c>
      <c r="J43" t="str">
        <v>-</v>
      </c>
      <c r="K43" t="str">
        <v>proj TPG 3.4 in 27 mpg; 62 games projected; model rival Stephen Curry 4.1 (p=33%)</v>
      </c>
    </row>
    <row r="44" spans="1:11" x14ac:dyDescent="0.3">
      <c r="A44" t="str">
        <v>LDR_APG</v>
      </c>
      <c r="B44" t="str">
        <v>Tyrese Haliburton</v>
      </c>
      <c r="C44" t="str">
        <v>-</v>
      </c>
      <c r="D44">
        <v>780</v>
      </c>
      <c r="E44">
        <v>9.90710040980044E-2</v>
      </c>
      <c r="F44">
        <v>0.2213094426478753</v>
      </c>
      <c r="G44">
        <v>0.94752309530130274</v>
      </c>
      <c r="H44">
        <v>0.34560543680138589</v>
      </c>
      <c r="I44">
        <v>4.4146258877162002E-3</v>
      </c>
      <c r="J44" t="str">
        <v>-</v>
      </c>
      <c r="K44" t="str">
        <v>proj APG 8.6 in 30 mpg; 52 games projected; model rival Nikola Jokic 8.5 (p=26%)</v>
      </c>
    </row>
    <row r="45" spans="1:11" x14ac:dyDescent="0.3">
      <c r="A45" t="str">
        <v>ROY</v>
      </c>
      <c r="B45" t="str">
        <v>AJ Dybantsa</v>
      </c>
      <c r="C45" t="str">
        <v>-</v>
      </c>
      <c r="D45">
        <v>400</v>
      </c>
      <c r="E45">
        <v>0.17697118755206509</v>
      </c>
      <c r="F45">
        <v>0.32688</v>
      </c>
      <c r="G45">
        <v>0.63440000000000007</v>
      </c>
      <c r="H45">
        <v>0.18430296888016273</v>
      </c>
      <c r="I45">
        <v>4.3568841855356998E-3</v>
      </c>
      <c r="J45" t="str">
        <v>-</v>
      </c>
      <c r="K45" t="str">
        <v>rating -1.8; proj 10.4p/3.5r/2.1a/0.7s/0.3b in 24 mpg; 80 games</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AS63"/>
  <sheetViews>
    <sheetView showGridLines="0" workbookViewId="0"/>
  </sheetViews>
  <sheetFormatPr defaultRowHeight="14.4" x14ac:dyDescent="0.3"/>
  <cols>
    <col min="1" max="1" width="46" customWidth="1"/>
    <col min="2" max="2" width="18" customWidth="1"/>
    <col min="3" max="3" width="20" customWidth="1"/>
    <col min="4" max="4" width="14" customWidth="1"/>
    <col min="5" max="5" width="42" customWidth="1"/>
    <col min="6" max="45" width="14" customWidth="1"/>
  </cols>
  <sheetData>
    <row r="1" spans="1:45" ht="15" customHeight="1" x14ac:dyDescent="0.3">
      <c r="A1" s="1" t="s">
        <v>0</v>
      </c>
      <c r="B1" s="2"/>
      <c r="C1" s="2"/>
      <c r="D1" s="2"/>
      <c r="E1" s="2"/>
      <c r="F1" s="2"/>
      <c r="G1" s="2"/>
      <c r="H1" s="2"/>
    </row>
    <row r="2" spans="1:45" ht="15" customHeight="1" x14ac:dyDescent="0.3">
      <c r="A2" s="3" t="s">
        <v>1353</v>
      </c>
    </row>
    <row r="3" spans="1:45" ht="15" customHeight="1" x14ac:dyDescent="0.3">
      <c r="A3" s="4" t="s">
        <v>2</v>
      </c>
    </row>
    <row r="4" spans="1:45" ht="6" customHeight="1" x14ac:dyDescent="0.3"/>
    <row r="5" spans="1:45" ht="15" customHeight="1" x14ac:dyDescent="0.3">
      <c r="A5" s="4" t="s">
        <v>1354</v>
      </c>
    </row>
    <row r="6" spans="1:45" ht="15" customHeight="1" x14ac:dyDescent="0.3"/>
    <row r="7" spans="1:45" ht="30" customHeight="1" x14ac:dyDescent="0.3">
      <c r="A7" s="11" t="s">
        <v>1355</v>
      </c>
      <c r="B7" s="11" t="s">
        <v>1356</v>
      </c>
      <c r="C7" s="11" t="s">
        <v>1357</v>
      </c>
      <c r="E7" s="3" t="s">
        <v>1358</v>
      </c>
    </row>
    <row r="8" spans="1:45" ht="15" customHeight="1" x14ac:dyDescent="0.3">
      <c r="A8" s="6" t="s">
        <v>1359</v>
      </c>
      <c r="B8" s="16">
        <v>9</v>
      </c>
      <c r="C8" s="13" t="s">
        <v>33</v>
      </c>
      <c r="F8" s="11" t="s">
        <v>1360</v>
      </c>
      <c r="G8" s="11" t="s">
        <v>1361</v>
      </c>
      <c r="H8" s="11" t="s">
        <v>1362</v>
      </c>
      <c r="I8" s="11" t="s">
        <v>1363</v>
      </c>
      <c r="J8" s="11" t="s">
        <v>1364</v>
      </c>
      <c r="K8" s="11" t="s">
        <v>1365</v>
      </c>
      <c r="L8" s="11" t="s">
        <v>1366</v>
      </c>
      <c r="M8" s="11" t="s">
        <v>1367</v>
      </c>
      <c r="N8" s="11" t="s">
        <v>1368</v>
      </c>
      <c r="O8" s="11" t="s">
        <v>1369</v>
      </c>
      <c r="P8" s="11" t="s">
        <v>1370</v>
      </c>
      <c r="Q8" s="11" t="s">
        <v>1371</v>
      </c>
      <c r="R8" s="11" t="s">
        <v>1372</v>
      </c>
      <c r="S8" s="11" t="s">
        <v>1373</v>
      </c>
      <c r="T8" s="11" t="s">
        <v>1374</v>
      </c>
      <c r="U8" s="11" t="s">
        <v>1375</v>
      </c>
      <c r="V8" s="11" t="s">
        <v>1376</v>
      </c>
      <c r="W8" s="11" t="s">
        <v>1377</v>
      </c>
      <c r="X8" s="11" t="s">
        <v>1378</v>
      </c>
      <c r="Y8" s="11" t="s">
        <v>1379</v>
      </c>
      <c r="Z8" s="11" t="s">
        <v>1380</v>
      </c>
      <c r="AA8" s="11" t="s">
        <v>1381</v>
      </c>
      <c r="AB8" s="11" t="s">
        <v>1382</v>
      </c>
      <c r="AC8" s="11" t="s">
        <v>1383</v>
      </c>
      <c r="AD8" s="11" t="s">
        <v>1384</v>
      </c>
      <c r="AE8" s="11" t="s">
        <v>1385</v>
      </c>
      <c r="AF8" s="11" t="s">
        <v>1386</v>
      </c>
      <c r="AG8" s="11" t="s">
        <v>1387</v>
      </c>
      <c r="AH8" s="11" t="s">
        <v>1388</v>
      </c>
      <c r="AI8" s="11" t="s">
        <v>1389</v>
      </c>
      <c r="AJ8" s="11" t="s">
        <v>1390</v>
      </c>
      <c r="AK8" s="11" t="s">
        <v>1391</v>
      </c>
      <c r="AL8" s="11" t="s">
        <v>1392</v>
      </c>
      <c r="AM8" s="11" t="s">
        <v>1393</v>
      </c>
      <c r="AN8" s="11" t="s">
        <v>1394</v>
      </c>
      <c r="AO8" s="11" t="s">
        <v>1395</v>
      </c>
      <c r="AP8" s="11" t="s">
        <v>1396</v>
      </c>
      <c r="AQ8" s="11" t="s">
        <v>1397</v>
      </c>
      <c r="AR8" s="11" t="s">
        <v>1398</v>
      </c>
      <c r="AS8" s="11" t="s">
        <v>1399</v>
      </c>
    </row>
    <row r="9" spans="1:45" ht="15" customHeight="1" x14ac:dyDescent="0.3">
      <c r="A9" s="6" t="s">
        <v>1400</v>
      </c>
      <c r="B9" s="45">
        <v>4.9001016824397003E-2</v>
      </c>
      <c r="C9" s="46" t="str">
        <f>IF(A_bankroll="","-",B9*A_bankroll)</f>
        <v>-</v>
      </c>
      <c r="E9" s="6" t="s">
        <v>1360</v>
      </c>
      <c r="F9" s="12">
        <v>1</v>
      </c>
      <c r="G9" s="12">
        <v>-6.7496772318734993E-2</v>
      </c>
      <c r="H9" s="12">
        <v>-9.7559464111576594E-2</v>
      </c>
      <c r="I9" s="12">
        <v>-5.04333609967395E-2</v>
      </c>
      <c r="J9" s="12">
        <v>-9.0403238451650103E-2</v>
      </c>
      <c r="K9" s="12">
        <v>-0.14177390595884071</v>
      </c>
      <c r="L9" s="12">
        <v>5.4508740722970003E-4</v>
      </c>
      <c r="M9" s="12">
        <v>1.14080765040416E-2</v>
      </c>
      <c r="N9" s="12">
        <v>1.9172474733865099E-2</v>
      </c>
      <c r="O9" s="12">
        <v>-0.13894458609503851</v>
      </c>
      <c r="P9" s="12">
        <v>-9.5842292225949005E-3</v>
      </c>
      <c r="Q9" s="12">
        <v>1.0856885025372499E-2</v>
      </c>
      <c r="R9" s="12">
        <v>1.2030069861761399E-2</v>
      </c>
      <c r="S9" s="12">
        <v>2.8663634037083999E-3</v>
      </c>
      <c r="T9" s="12">
        <v>-4.2197923768745003E-3</v>
      </c>
      <c r="U9" s="12">
        <v>1.3419035123764E-3</v>
      </c>
      <c r="V9" s="12">
        <v>-2.8427166740372001E-3</v>
      </c>
      <c r="W9" s="12">
        <v>1.9997117660636998E-3</v>
      </c>
      <c r="X9" s="12">
        <v>1.9479369985813001E-3</v>
      </c>
      <c r="Y9" s="12">
        <v>8.9954547466715006E-3</v>
      </c>
      <c r="Z9" s="12">
        <v>1.28153860462155E-2</v>
      </c>
      <c r="AA9" s="12">
        <v>-4.4523075094395998E-3</v>
      </c>
      <c r="AB9" s="12">
        <v>-8.6187662638400003E-4</v>
      </c>
      <c r="AC9" s="12">
        <v>4.8048786165896E-3</v>
      </c>
      <c r="AD9" s="12">
        <v>3.7167565294711998E-3</v>
      </c>
      <c r="AE9" s="12">
        <v>6.1908190705370998E-3</v>
      </c>
      <c r="AF9" s="12">
        <v>9.4732299906050994E-3</v>
      </c>
      <c r="AG9" s="12">
        <v>1.4117126917080999E-3</v>
      </c>
      <c r="AH9" s="12">
        <v>5.2684069718820998E-3</v>
      </c>
      <c r="AI9" s="12">
        <v>1.8633239691671999E-3</v>
      </c>
      <c r="AJ9" s="12">
        <v>-2.7766135023741499E-2</v>
      </c>
      <c r="AK9" s="12">
        <v>2.8466292861490002E-4</v>
      </c>
      <c r="AL9" s="12">
        <v>-2.8137155268135E-3</v>
      </c>
      <c r="AM9" s="12">
        <v>-7.3725484658659001E-3</v>
      </c>
      <c r="AN9" s="12">
        <v>-1.7971335130453001E-3</v>
      </c>
      <c r="AO9" s="12">
        <v>3.5542834038340002E-3</v>
      </c>
      <c r="AP9" s="12">
        <v>6.8861872208027999E-3</v>
      </c>
      <c r="AQ9" s="12">
        <v>-1.07801875070157E-2</v>
      </c>
      <c r="AR9" s="12">
        <v>2.747016601662E-4</v>
      </c>
      <c r="AS9" s="12">
        <v>-2.1030782508224999E-3</v>
      </c>
    </row>
    <row r="10" spans="1:45" ht="15" customHeight="1" x14ac:dyDescent="0.3">
      <c r="A10" s="6" t="s">
        <v>1401</v>
      </c>
      <c r="B10" s="45">
        <v>4.9331481456325918E-2</v>
      </c>
      <c r="C10" s="46" t="str">
        <f>IF(A_bankroll="","-",B10*A_bankroll)</f>
        <v>-</v>
      </c>
      <c r="E10" s="6" t="s">
        <v>1361</v>
      </c>
      <c r="F10" s="12">
        <v>-6.7496772318734993E-2</v>
      </c>
      <c r="G10" s="12">
        <v>1</v>
      </c>
      <c r="H10" s="12">
        <v>-7.0091214741442295E-2</v>
      </c>
      <c r="I10" s="12">
        <v>-3.6233650604233697E-2</v>
      </c>
      <c r="J10" s="12">
        <v>-6.4949852455006701E-2</v>
      </c>
      <c r="K10" s="12">
        <v>-0.10185690724919649</v>
      </c>
      <c r="L10" s="12">
        <v>-5.2982904705269999E-3</v>
      </c>
      <c r="M10" s="12">
        <v>9.8477559256217994E-3</v>
      </c>
      <c r="N10" s="12">
        <v>1.2797762491336699E-2</v>
      </c>
      <c r="O10" s="12">
        <v>-6.2711979931060001E-4</v>
      </c>
      <c r="P10" s="12">
        <v>1.2128605402748E-3</v>
      </c>
      <c r="Q10" s="12">
        <v>2.5590342397877001E-3</v>
      </c>
      <c r="R10" s="12">
        <v>6.6986588624377997E-3</v>
      </c>
      <c r="S10" s="12">
        <v>1.0920779806226999E-3</v>
      </c>
      <c r="T10" s="12">
        <v>-9.6092091581509995E-4</v>
      </c>
      <c r="U10" s="12">
        <v>9.3688743508072003E-3</v>
      </c>
      <c r="V10" s="12">
        <v>4.2275178895354003E-3</v>
      </c>
      <c r="W10" s="12">
        <v>-2.6128657511175E-3</v>
      </c>
      <c r="X10" s="12">
        <v>2.656169713516E-4</v>
      </c>
      <c r="Y10" s="12">
        <v>1.0985232280349E-2</v>
      </c>
      <c r="Z10" s="12">
        <v>6.6170347879255E-3</v>
      </c>
      <c r="AA10" s="12">
        <v>-2.2778620555184001E-3</v>
      </c>
      <c r="AB10" s="12">
        <v>-8.2681874756090001E-4</v>
      </c>
      <c r="AC10" s="12">
        <v>-4.6749413828548001E-3</v>
      </c>
      <c r="AD10" s="12">
        <v>5.0114043792653003E-3</v>
      </c>
      <c r="AE10" s="12">
        <v>1.1204655397076E-3</v>
      </c>
      <c r="AF10" s="12">
        <v>1.6681489838552499E-2</v>
      </c>
      <c r="AG10" s="12">
        <v>-2.3928639678233001E-3</v>
      </c>
      <c r="AH10" s="12">
        <v>1.39574201101807E-2</v>
      </c>
      <c r="AI10" s="12">
        <v>1.8328593580574E-3</v>
      </c>
      <c r="AJ10" s="12">
        <v>-2.07640491157275E-2</v>
      </c>
      <c r="AK10" s="12">
        <v>4.7473258308159999E-4</v>
      </c>
      <c r="AL10" s="12">
        <v>-7.1147335447901998E-3</v>
      </c>
      <c r="AM10" s="12">
        <v>-6.9859347196189001E-3</v>
      </c>
      <c r="AN10" s="12">
        <v>5.1467412836585999E-3</v>
      </c>
      <c r="AO10" s="12">
        <v>2.2191212162252002E-3</v>
      </c>
      <c r="AP10" s="12">
        <v>1.03317958962745E-2</v>
      </c>
      <c r="AQ10" s="12">
        <v>-8.1473637512355004E-3</v>
      </c>
      <c r="AR10" s="12">
        <v>2.8466065777600001E-4</v>
      </c>
      <c r="AS10" s="12">
        <v>5.6586305182365002E-3</v>
      </c>
    </row>
    <row r="11" spans="1:45" ht="15" customHeight="1" x14ac:dyDescent="0.3">
      <c r="A11" s="6" t="s">
        <v>1402</v>
      </c>
      <c r="B11" s="22">
        <v>0.77871999999999997</v>
      </c>
      <c r="C11" s="13" t="s">
        <v>33</v>
      </c>
      <c r="E11" s="6" t="s">
        <v>1362</v>
      </c>
      <c r="F11" s="12">
        <v>-9.7559464111576594E-2</v>
      </c>
      <c r="G11" s="12">
        <v>-7.0091214741442295E-2</v>
      </c>
      <c r="H11" s="12">
        <v>1</v>
      </c>
      <c r="I11" s="12">
        <v>-5.2371919638799599E-2</v>
      </c>
      <c r="J11" s="12">
        <v>-9.3878160124667404E-2</v>
      </c>
      <c r="K11" s="12">
        <v>-8.1031008098801996E-3</v>
      </c>
      <c r="L11" s="12">
        <v>0.74670676054383589</v>
      </c>
      <c r="M11" s="12">
        <v>-3.3444183897339601E-2</v>
      </c>
      <c r="N11" s="12">
        <v>-7.5103548497385805E-2</v>
      </c>
      <c r="O11" s="12">
        <v>4.0063271554985E-3</v>
      </c>
      <c r="P11" s="12">
        <v>4.9104892557814001E-3</v>
      </c>
      <c r="Q11" s="12">
        <v>1.0097800100145E-2</v>
      </c>
      <c r="R11" s="12">
        <v>1.1489841101557799E-2</v>
      </c>
      <c r="S11" s="12">
        <v>-2.5596173292699999E-3</v>
      </c>
      <c r="T11" s="12">
        <v>0.2327888705511057</v>
      </c>
      <c r="U11" s="12">
        <v>-4.0194492306469397E-2</v>
      </c>
      <c r="V11" s="12">
        <v>-3.4602830616399998E-4</v>
      </c>
      <c r="W11" s="12">
        <v>-7.8069211485629997E-4</v>
      </c>
      <c r="X11" s="12">
        <v>1.3547385118973E-3</v>
      </c>
      <c r="Y11" s="12">
        <v>-2.8213608453667E-3</v>
      </c>
      <c r="Z11" s="12">
        <v>1.3263721554235999E-3</v>
      </c>
      <c r="AA11" s="12">
        <v>2.987568892913E-3</v>
      </c>
      <c r="AB11" s="12">
        <v>9.2695308939031995E-3</v>
      </c>
      <c r="AC11" s="12">
        <v>-8.7192119326069998E-4</v>
      </c>
      <c r="AD11" s="12">
        <v>2.2425926919170901E-2</v>
      </c>
      <c r="AE11" s="12">
        <v>2.2815301461596198E-2</v>
      </c>
      <c r="AF11" s="12">
        <v>8.7148596164809999E-4</v>
      </c>
      <c r="AG11" s="12">
        <v>-4.033151702962E-4</v>
      </c>
      <c r="AH11" s="12">
        <v>2.3418178030586E-3</v>
      </c>
      <c r="AI11" s="12">
        <v>1.4150654248318101E-2</v>
      </c>
      <c r="AJ11" s="12">
        <v>-9.1844002851120994E-3</v>
      </c>
      <c r="AK11" s="12">
        <v>-1.9326807469984E-3</v>
      </c>
      <c r="AL11" s="12">
        <v>1.4188695547293999E-3</v>
      </c>
      <c r="AM11" s="12">
        <v>0.1681796015845311</v>
      </c>
      <c r="AN11" s="12">
        <v>-1.0991318274103301E-2</v>
      </c>
      <c r="AO11" s="12">
        <v>-8.2640232748409006E-3</v>
      </c>
      <c r="AP11" s="12">
        <v>3.6512527254403001E-3</v>
      </c>
      <c r="AQ11" s="12">
        <v>8.4204789672889004E-3</v>
      </c>
      <c r="AR11" s="12">
        <v>-4.9889176798085001E-3</v>
      </c>
      <c r="AS11" s="12">
        <v>4.8673926058706001E-3</v>
      </c>
    </row>
    <row r="12" spans="1:45" ht="15" customHeight="1" x14ac:dyDescent="0.3">
      <c r="A12" s="6" t="s">
        <v>1403</v>
      </c>
      <c r="B12" s="45">
        <v>-4.9001016824397003E-2</v>
      </c>
      <c r="C12" s="46" t="str">
        <f>IF(A_bankroll="","-",B12*A_bankroll)</f>
        <v>-</v>
      </c>
      <c r="E12" s="6" t="s">
        <v>1404</v>
      </c>
      <c r="F12" s="12">
        <v>-5.04333609967395E-2</v>
      </c>
      <c r="G12" s="12">
        <v>-3.6233650604233697E-2</v>
      </c>
      <c r="H12" s="12">
        <v>-5.2371919638799599E-2</v>
      </c>
      <c r="I12" s="12">
        <v>1</v>
      </c>
      <c r="J12" s="12">
        <v>-4.8530311050727103E-2</v>
      </c>
      <c r="K12" s="12">
        <v>-6.8099091359539003E-3</v>
      </c>
      <c r="L12" s="12">
        <v>-7.0137197633856299E-2</v>
      </c>
      <c r="M12" s="12">
        <v>-1.7288969502813299E-2</v>
      </c>
      <c r="N12" s="12">
        <v>0.69732949623042773</v>
      </c>
      <c r="O12" s="12">
        <v>-8.4283047653117994E-3</v>
      </c>
      <c r="P12" s="12">
        <v>5.3520444952029995E-4</v>
      </c>
      <c r="Q12" s="12">
        <v>-3.8772810078907399E-2</v>
      </c>
      <c r="R12" s="12">
        <v>0.26049775184941287</v>
      </c>
      <c r="S12" s="12">
        <v>-1.5608109072021E-3</v>
      </c>
      <c r="T12" s="12">
        <v>5.1141687156222001E-3</v>
      </c>
      <c r="U12" s="12">
        <v>6.3921265108425997E-3</v>
      </c>
      <c r="V12" s="12">
        <v>-8.8718339407640003E-4</v>
      </c>
      <c r="W12" s="12">
        <v>1.6313592591419999E-3</v>
      </c>
      <c r="X12" s="12">
        <v>-1.883437976777E-3</v>
      </c>
      <c r="Y12" s="12">
        <v>-1.5493885551568999E-3</v>
      </c>
      <c r="Z12" s="12">
        <v>-4.3626702649024003E-3</v>
      </c>
      <c r="AA12" s="12">
        <v>2.2911626922295001E-3</v>
      </c>
      <c r="AB12" s="12">
        <v>1.5061045615711701E-2</v>
      </c>
      <c r="AC12" s="12">
        <v>4.4390180488554001E-3</v>
      </c>
      <c r="AD12" s="12">
        <v>2.6479961150280298E-2</v>
      </c>
      <c r="AE12" s="12">
        <v>2.1715562979185699E-2</v>
      </c>
      <c r="AF12" s="12">
        <v>-2.3033992823361998E-3</v>
      </c>
      <c r="AG12" s="12">
        <v>2.4197571469286002E-3</v>
      </c>
      <c r="AH12" s="12">
        <v>-3.4805604386008752E-5</v>
      </c>
      <c r="AI12" s="12">
        <v>1.77185581975376E-2</v>
      </c>
      <c r="AJ12" s="12">
        <v>-6.2896247862657996E-3</v>
      </c>
      <c r="AK12" s="12">
        <v>1.9876905396533002E-3</v>
      </c>
      <c r="AL12" s="12">
        <v>3.5412756460463002E-3</v>
      </c>
      <c r="AM12" s="12">
        <v>-1.41675531439367E-2</v>
      </c>
      <c r="AN12" s="12">
        <v>-6.8926737842336999E-3</v>
      </c>
      <c r="AO12" s="12">
        <v>0.1202609346650311</v>
      </c>
      <c r="AP12" s="12">
        <v>4.615776632382E-4</v>
      </c>
      <c r="AQ12" s="12">
        <v>-1.5355732768708001E-3</v>
      </c>
      <c r="AR12" s="12">
        <v>-2.4517934787400002E-3</v>
      </c>
      <c r="AS12" s="12">
        <v>-2.2041904610341999E-3</v>
      </c>
    </row>
    <row r="13" spans="1:45" ht="15" customHeight="1" x14ac:dyDescent="0.3">
      <c r="A13" s="6" t="s">
        <v>1405</v>
      </c>
      <c r="B13" s="45">
        <v>-4.9001016824397003E-2</v>
      </c>
      <c r="C13" s="46" t="str">
        <f>IF(A_bankroll="","-",B13*A_bankroll)</f>
        <v>-</v>
      </c>
      <c r="E13" s="6" t="s">
        <v>1364</v>
      </c>
      <c r="F13" s="12">
        <v>-9.0403238451650103E-2</v>
      </c>
      <c r="G13" s="12">
        <v>-6.4949852455006604E-2</v>
      </c>
      <c r="H13" s="12">
        <v>-9.3878160124667404E-2</v>
      </c>
      <c r="I13" s="12">
        <v>-4.8530311050727103E-2</v>
      </c>
      <c r="J13" s="12">
        <v>1</v>
      </c>
      <c r="K13" s="12">
        <v>0.63765781044288228</v>
      </c>
      <c r="L13" s="12">
        <v>-3.618083333781E-4</v>
      </c>
      <c r="M13" s="12">
        <v>1.5109257826404E-2</v>
      </c>
      <c r="N13" s="12">
        <v>1.76298361870433E-2</v>
      </c>
      <c r="O13" s="12">
        <v>0.26536092790845278</v>
      </c>
      <c r="P13" s="12">
        <v>-8.4724458591156002E-3</v>
      </c>
      <c r="Q13" s="12">
        <v>5.8809622961155002E-3</v>
      </c>
      <c r="R13" s="12">
        <v>1.44442139743386E-2</v>
      </c>
      <c r="S13" s="12">
        <v>-1.086504215729E-4</v>
      </c>
      <c r="T13" s="12">
        <v>2.1888536742814E-3</v>
      </c>
      <c r="U13" s="12">
        <v>6.4657831423533003E-3</v>
      </c>
      <c r="V13" s="12">
        <v>-5.8456663213559995E-4</v>
      </c>
      <c r="W13" s="12">
        <v>6.2647396507654997E-3</v>
      </c>
      <c r="X13" s="12">
        <v>4.9573659149775998E-3</v>
      </c>
      <c r="Y13" s="12">
        <v>1.25167773025112E-2</v>
      </c>
      <c r="Z13" s="12">
        <v>1.4770479165185601E-2</v>
      </c>
      <c r="AA13" s="12">
        <v>9.6829588061499996E-4</v>
      </c>
      <c r="AB13" s="12">
        <v>-7.4700195184449003E-3</v>
      </c>
      <c r="AC13" s="12">
        <v>-4.6831812226803002E-3</v>
      </c>
      <c r="AD13" s="12">
        <v>1.8624727860225801E-2</v>
      </c>
      <c r="AE13" s="12">
        <v>7.1165380563642999E-3</v>
      </c>
      <c r="AF13" s="12">
        <v>1.7667565170296001E-3</v>
      </c>
      <c r="AG13" s="12">
        <v>5.0441392626768998E-3</v>
      </c>
      <c r="AH13" s="12">
        <v>7.4327803524836004E-3</v>
      </c>
      <c r="AI13" s="12">
        <v>3.0620851591111999E-3</v>
      </c>
      <c r="AJ13" s="12">
        <v>0.18017780948328929</v>
      </c>
      <c r="AK13" s="12">
        <v>7.2771651143154004E-3</v>
      </c>
      <c r="AL13" s="12">
        <v>-4.6454912359749999E-4</v>
      </c>
      <c r="AM13" s="12">
        <v>-8.6512822927242994E-3</v>
      </c>
      <c r="AN13" s="12">
        <v>-4.7372175289970002E-4</v>
      </c>
      <c r="AO13" s="12">
        <v>-1.2658975755521001E-3</v>
      </c>
      <c r="AP13" s="12">
        <v>6.9866230445589997E-3</v>
      </c>
      <c r="AQ13" s="12">
        <v>-9.9496602187806992E-3</v>
      </c>
      <c r="AR13" s="12">
        <v>3.4696501310862E-3</v>
      </c>
      <c r="AS13" s="12">
        <v>-7.1685621291840999E-3</v>
      </c>
    </row>
    <row r="14" spans="1:45" ht="15" customHeight="1" x14ac:dyDescent="0.3">
      <c r="A14" s="6" t="s">
        <v>1406</v>
      </c>
      <c r="B14" s="57">
        <f>SUMIFS(S_Markets!$AI$8:$AI$763,S_Markets!$AH$8:$AH$763,TRUE)</f>
        <v>2.00699870247525E-2</v>
      </c>
      <c r="C14" s="46" t="str">
        <f>IF(A_bankroll="","-",B14*A_bankroll)</f>
        <v>-</v>
      </c>
      <c r="E14" s="6" t="s">
        <v>1407</v>
      </c>
      <c r="F14" s="12">
        <v>-0.14177390595884071</v>
      </c>
      <c r="G14" s="12">
        <v>-0.10185690724919649</v>
      </c>
      <c r="H14" s="12">
        <v>-8.1031008098801996E-3</v>
      </c>
      <c r="I14" s="12">
        <v>-6.8099091359539003E-3</v>
      </c>
      <c r="J14" s="12">
        <v>0.63765781044288228</v>
      </c>
      <c r="K14" s="12">
        <v>1</v>
      </c>
      <c r="L14" s="12">
        <v>3.5748592569580001E-3</v>
      </c>
      <c r="M14" s="12">
        <v>3.9039782963749999E-4</v>
      </c>
      <c r="N14" s="12">
        <v>2.6431564580753999E-3</v>
      </c>
      <c r="O14" s="12">
        <v>0.3548763272527532</v>
      </c>
      <c r="P14" s="12">
        <v>-6.3689607565539002E-3</v>
      </c>
      <c r="Q14" s="12">
        <v>-5.9825399405595003E-3</v>
      </c>
      <c r="R14" s="12">
        <v>3.5641807005863E-3</v>
      </c>
      <c r="S14" s="12">
        <v>4.7205445983827003E-3</v>
      </c>
      <c r="T14" s="12">
        <v>1.3106950290551001E-3</v>
      </c>
      <c r="U14" s="12">
        <v>-3.2891636022216002E-3</v>
      </c>
      <c r="V14" s="12">
        <v>-1.477564809458E-4</v>
      </c>
      <c r="W14" s="12">
        <v>9.1625672464398008E-3</v>
      </c>
      <c r="X14" s="12">
        <v>1.1291758078217499E-2</v>
      </c>
      <c r="Y14" s="12">
        <v>1.45506586896922E-2</v>
      </c>
      <c r="Z14" s="12">
        <v>2.2051444587685601E-2</v>
      </c>
      <c r="AA14" s="12">
        <v>-1.6560713558087001E-3</v>
      </c>
      <c r="AB14" s="12">
        <v>-6.2612059050635004E-3</v>
      </c>
      <c r="AC14" s="12">
        <v>-2.3611798080607001E-3</v>
      </c>
      <c r="AD14" s="12">
        <v>4.3099769041697999E-3</v>
      </c>
      <c r="AE14" s="12">
        <v>4.8247275827210002E-4</v>
      </c>
      <c r="AF14" s="12">
        <v>1.1914481578038399E-2</v>
      </c>
      <c r="AG14" s="12">
        <v>5.8203999343142999E-3</v>
      </c>
      <c r="AH14" s="12">
        <v>1.50565323796726E-2</v>
      </c>
      <c r="AI14" s="12">
        <v>-2.6498095690405E-3</v>
      </c>
      <c r="AJ14" s="12">
        <v>0.2689245763171122</v>
      </c>
      <c r="AK14" s="12">
        <v>2.4452785474350998E-3</v>
      </c>
      <c r="AL14" s="12">
        <v>9.0615094949109999E-4</v>
      </c>
      <c r="AM14" s="12">
        <v>-1.7763148950543E-3</v>
      </c>
      <c r="AN14" s="12">
        <v>2.4029176651463998E-3</v>
      </c>
      <c r="AO14" s="12">
        <v>1.4546075556728E-3</v>
      </c>
      <c r="AP14" s="12">
        <v>1.99415461541123E-2</v>
      </c>
      <c r="AQ14" s="12">
        <v>-1.41030869745878E-2</v>
      </c>
      <c r="AR14" s="12">
        <v>1.3303864524668999E-3</v>
      </c>
      <c r="AS14" s="12">
        <v>-2.4121450035153999E-3</v>
      </c>
    </row>
    <row r="15" spans="1:45" ht="15" customHeight="1" x14ac:dyDescent="0.3">
      <c r="A15" s="6" t="s">
        <v>1408</v>
      </c>
      <c r="B15" s="57">
        <f>SUMIFS(M_Players!$P$8:$P$243,M_Players!$O$8:$O$243,TRUE)</f>
        <v>2.8931029799644101E-2</v>
      </c>
      <c r="C15" s="46" t="str">
        <f>IF(A_bankroll="","-",B15*A_bankroll)</f>
        <v>-</v>
      </c>
      <c r="E15" s="6" t="s">
        <v>1409</v>
      </c>
      <c r="F15" s="12">
        <v>5.4508740722970003E-4</v>
      </c>
      <c r="G15" s="12">
        <v>-5.2982904705269999E-3</v>
      </c>
      <c r="H15" s="12">
        <v>0.74670676054383578</v>
      </c>
      <c r="I15" s="12">
        <v>-7.0137197633856299E-2</v>
      </c>
      <c r="J15" s="12">
        <v>-3.618083333781E-4</v>
      </c>
      <c r="K15" s="12">
        <v>3.5748592569580001E-3</v>
      </c>
      <c r="L15" s="12">
        <v>1</v>
      </c>
      <c r="M15" s="12">
        <v>-4.4788912682378397E-2</v>
      </c>
      <c r="N15" s="12">
        <v>-0.10057970875030919</v>
      </c>
      <c r="O15" s="12">
        <v>5.9290754935134998E-3</v>
      </c>
      <c r="P15" s="12">
        <v>3.3030327672512998E-3</v>
      </c>
      <c r="Q15" s="12">
        <v>1.6885988969305401E-2</v>
      </c>
      <c r="R15" s="12">
        <v>1.8809434599940299E-2</v>
      </c>
      <c r="S15" s="12">
        <v>-3.5484965503725001E-3</v>
      </c>
      <c r="T15" s="12">
        <v>0.28015367220733872</v>
      </c>
      <c r="U15" s="12">
        <v>-4.7933819510476698E-2</v>
      </c>
      <c r="V15" s="12">
        <v>-2.9066524076238002E-3</v>
      </c>
      <c r="W15" s="12">
        <v>-5.0725858016849995E-4</v>
      </c>
      <c r="X15" s="12">
        <v>-3.0713805035020001E-4</v>
      </c>
      <c r="Y15" s="12">
        <v>-2.8665575782691002E-3</v>
      </c>
      <c r="Z15" s="12">
        <v>1.1293144750913E-3</v>
      </c>
      <c r="AA15" s="12">
        <v>2.509048294243E-4</v>
      </c>
      <c r="AB15" s="12">
        <v>1.15662968443073E-2</v>
      </c>
      <c r="AC15" s="12">
        <v>-7.9022999582979995E-4</v>
      </c>
      <c r="AD15" s="12">
        <v>3.4036508951695403E-2</v>
      </c>
      <c r="AE15" s="12">
        <v>3.3634920046316602E-2</v>
      </c>
      <c r="AF15" s="12">
        <v>2.9579445589868998E-3</v>
      </c>
      <c r="AG15" s="12">
        <v>7.0953725390100004E-4</v>
      </c>
      <c r="AH15" s="12">
        <v>1.0530203785951999E-3</v>
      </c>
      <c r="AI15" s="12">
        <v>2.30933837894894E-2</v>
      </c>
      <c r="AJ15" s="12">
        <v>-1.9540973741625999E-3</v>
      </c>
      <c r="AK15" s="12">
        <v>-6.7992738678947003E-3</v>
      </c>
      <c r="AL15" s="12">
        <v>-4.1830239369570002E-4</v>
      </c>
      <c r="AM15" s="12">
        <v>0.21198340863432061</v>
      </c>
      <c r="AN15" s="12">
        <v>-1.2152659710785401E-2</v>
      </c>
      <c r="AO15" s="12">
        <v>-1.00762357295181E-2</v>
      </c>
      <c r="AP15" s="12">
        <v>1.4367973889195E-3</v>
      </c>
      <c r="AQ15" s="12">
        <v>5.3117320412990002E-3</v>
      </c>
      <c r="AR15" s="12">
        <v>-4.3339898196953002E-3</v>
      </c>
      <c r="AS15" s="12">
        <v>2.8397062809129998E-4</v>
      </c>
    </row>
    <row r="16" spans="1:45" ht="15" customHeight="1" x14ac:dyDescent="0.3">
      <c r="A16" s="6" t="s">
        <v>1410</v>
      </c>
      <c r="B16" s="16">
        <v>52</v>
      </c>
      <c r="C16" s="13" t="s">
        <v>33</v>
      </c>
      <c r="E16" s="6" t="s">
        <v>1411</v>
      </c>
      <c r="F16" s="12">
        <v>1.14080765040416E-2</v>
      </c>
      <c r="G16" s="12">
        <v>9.8477559256217994E-3</v>
      </c>
      <c r="H16" s="12">
        <v>-3.3444183897339601E-2</v>
      </c>
      <c r="I16" s="12">
        <v>-1.7288969502813299E-2</v>
      </c>
      <c r="J16" s="12">
        <v>1.5109257826404E-2</v>
      </c>
      <c r="K16" s="12">
        <v>3.9039782963749999E-4</v>
      </c>
      <c r="L16" s="12">
        <v>-4.4788912682378397E-2</v>
      </c>
      <c r="M16" s="12">
        <v>1</v>
      </c>
      <c r="N16" s="12">
        <v>-2.4793113723530599E-2</v>
      </c>
      <c r="O16" s="12">
        <v>-9.8678893188090008E-4</v>
      </c>
      <c r="P16" s="12">
        <v>2.6760235071892E-3</v>
      </c>
      <c r="Q16" s="12">
        <v>4.9053053180116001E-3</v>
      </c>
      <c r="R16" s="12">
        <v>7.0244343696970997E-3</v>
      </c>
      <c r="S16" s="12">
        <v>-2.5065838283364001E-3</v>
      </c>
      <c r="T16" s="12">
        <v>-2.6641843870826E-2</v>
      </c>
      <c r="U16" s="12">
        <v>0.19373570859584729</v>
      </c>
      <c r="V16" s="12">
        <v>-4.9185852125041996E-3</v>
      </c>
      <c r="W16" s="12">
        <v>1.4586923607000999E-3</v>
      </c>
      <c r="X16" s="12">
        <v>-8.3095218654679584E-5</v>
      </c>
      <c r="Y16" s="12">
        <v>-7.9026929226340002E-4</v>
      </c>
      <c r="Z16" s="12">
        <v>-1.6509210887193E-3</v>
      </c>
      <c r="AA16" s="12">
        <v>-4.8702584118515399E-2</v>
      </c>
      <c r="AB16" s="12">
        <v>8.1986273653128008E-3</v>
      </c>
      <c r="AC16" s="12">
        <v>-8.6399511466120002E-3</v>
      </c>
      <c r="AD16" s="12">
        <v>2.1146340336939701E-2</v>
      </c>
      <c r="AE16" s="12">
        <v>1.64548122337233E-2</v>
      </c>
      <c r="AF16" s="12">
        <v>-2.3884969985970002E-3</v>
      </c>
      <c r="AG16" s="12">
        <v>-2.3176759744834999E-3</v>
      </c>
      <c r="AH16" s="12">
        <v>3.5078256774831E-3</v>
      </c>
      <c r="AI16" s="12">
        <v>9.2851449826535995E-3</v>
      </c>
      <c r="AJ16" s="12">
        <v>-2.4408197717945999E-3</v>
      </c>
      <c r="AK16" s="12">
        <v>5.0106181331349198E-2</v>
      </c>
      <c r="AL16" s="12">
        <v>4.9000195558972998E-3</v>
      </c>
      <c r="AM16" s="12">
        <v>-2.30002042443571E-2</v>
      </c>
      <c r="AN16" s="12">
        <v>-1.2312046670697199E-2</v>
      </c>
      <c r="AO16" s="12">
        <v>-9.7262650134935999E-3</v>
      </c>
      <c r="AP16" s="12">
        <v>-3.1313251104978001E-3</v>
      </c>
      <c r="AQ16" s="12">
        <v>1.5878060885258E-3</v>
      </c>
      <c r="AR16" s="12">
        <v>-1.1195602295276999E-3</v>
      </c>
      <c r="AS16" s="12">
        <v>-4.4981073759105998E-3</v>
      </c>
    </row>
    <row r="17" spans="1:45" ht="15" customHeight="1" x14ac:dyDescent="0.3">
      <c r="A17" s="6" t="s">
        <v>1412</v>
      </c>
      <c r="B17" s="22">
        <v>0.25</v>
      </c>
      <c r="C17" s="13" t="s">
        <v>33</v>
      </c>
      <c r="E17" s="6" t="s">
        <v>1413</v>
      </c>
      <c r="F17" s="12">
        <v>1.9172474733865099E-2</v>
      </c>
      <c r="G17" s="12">
        <v>1.2797762491336699E-2</v>
      </c>
      <c r="H17" s="12">
        <v>-7.5103548497385805E-2</v>
      </c>
      <c r="I17" s="12">
        <v>0.69732949623042773</v>
      </c>
      <c r="J17" s="12">
        <v>1.76298361870433E-2</v>
      </c>
      <c r="K17" s="12">
        <v>2.6431564580753999E-3</v>
      </c>
      <c r="L17" s="12">
        <v>-0.10057970875030919</v>
      </c>
      <c r="M17" s="12">
        <v>-2.4793113723530599E-2</v>
      </c>
      <c r="N17" s="12">
        <v>1</v>
      </c>
      <c r="O17" s="12">
        <v>-4.5570765841967996E-3</v>
      </c>
      <c r="P17" s="12">
        <v>3.7009064611512E-3</v>
      </c>
      <c r="Q17" s="12">
        <v>-4.2899520068941203E-2</v>
      </c>
      <c r="R17" s="12">
        <v>0.29905367257603771</v>
      </c>
      <c r="S17" s="12">
        <v>-3.348154174713E-3</v>
      </c>
      <c r="T17" s="12">
        <v>4.2869748018935002E-3</v>
      </c>
      <c r="U17" s="12">
        <v>1.06000131070252E-2</v>
      </c>
      <c r="V17" s="12">
        <v>1.4930078626770001E-4</v>
      </c>
      <c r="W17" s="12">
        <v>-2.235813988113E-3</v>
      </c>
      <c r="X17" s="12">
        <v>-5.6530068395603001E-3</v>
      </c>
      <c r="Y17" s="12">
        <v>-1.51034293023E-3</v>
      </c>
      <c r="Z17" s="12">
        <v>-3.3815466519005002E-3</v>
      </c>
      <c r="AA17" s="12">
        <v>3.2151384125578999E-3</v>
      </c>
      <c r="AB17" s="12">
        <v>1.8265429726234E-2</v>
      </c>
      <c r="AC17" s="12">
        <v>7.0199361986925E-3</v>
      </c>
      <c r="AD17" s="12">
        <v>3.4514996318250703E-2</v>
      </c>
      <c r="AE17" s="12">
        <v>3.2676460476158499E-2</v>
      </c>
      <c r="AF17" s="12">
        <v>-3.0488263850855998E-3</v>
      </c>
      <c r="AG17" s="12">
        <v>5.2667820871617997E-3</v>
      </c>
      <c r="AH17" s="12">
        <v>1.1009338134479999E-4</v>
      </c>
      <c r="AI17" s="12">
        <v>2.46377791675143E-2</v>
      </c>
      <c r="AJ17" s="12">
        <v>1.1088785560631001E-3</v>
      </c>
      <c r="AK17" s="12">
        <v>4.3890470333349998E-3</v>
      </c>
      <c r="AL17" s="12">
        <v>8.5220780517680002E-3</v>
      </c>
      <c r="AM17" s="12">
        <v>-2.5950536210061499E-2</v>
      </c>
      <c r="AN17" s="12">
        <v>-1.48260914223627E-2</v>
      </c>
      <c r="AO17" s="12">
        <v>0.1664934994678319</v>
      </c>
      <c r="AP17" s="12">
        <v>-1.8031104664456999E-3</v>
      </c>
      <c r="AQ17" s="12">
        <v>-2.138209188945E-4</v>
      </c>
      <c r="AR17" s="12">
        <v>-9.7833270511739996E-4</v>
      </c>
      <c r="AS17" s="12">
        <v>-1.7931648442826001E-3</v>
      </c>
    </row>
    <row r="18" spans="1:45" ht="15" customHeight="1" x14ac:dyDescent="0.3">
      <c r="A18" s="6" t="s">
        <v>1414</v>
      </c>
      <c r="B18" s="22">
        <v>0.23431265930056841</v>
      </c>
      <c r="C18" s="13" t="s">
        <v>33</v>
      </c>
      <c r="E18" s="6" t="s">
        <v>1415</v>
      </c>
      <c r="F18" s="12">
        <v>-0.13894458609503851</v>
      </c>
      <c r="G18" s="12">
        <v>-6.2711979931060001E-4</v>
      </c>
      <c r="H18" s="12">
        <v>4.0063271554985E-3</v>
      </c>
      <c r="I18" s="12">
        <v>-8.4283047653117994E-3</v>
      </c>
      <c r="J18" s="12">
        <v>0.26536092790845289</v>
      </c>
      <c r="K18" s="12">
        <v>0.3548763272527532</v>
      </c>
      <c r="L18" s="12">
        <v>5.9290754935134998E-3</v>
      </c>
      <c r="M18" s="12">
        <v>-9.8678893188090008E-4</v>
      </c>
      <c r="N18" s="12">
        <v>-4.5570765841967996E-3</v>
      </c>
      <c r="O18" s="12">
        <v>1</v>
      </c>
      <c r="P18" s="12">
        <v>-1.7155264686064999E-3</v>
      </c>
      <c r="Q18" s="12">
        <v>1.633697742407E-3</v>
      </c>
      <c r="R18" s="12">
        <v>2.5512055767156002E-3</v>
      </c>
      <c r="S18" s="12">
        <v>6.2699355223962997E-3</v>
      </c>
      <c r="T18" s="12">
        <v>4.5020008767513E-3</v>
      </c>
      <c r="U18" s="12">
        <v>1.5309556738275999E-3</v>
      </c>
      <c r="V18" s="12">
        <v>2.8097682694020001E-3</v>
      </c>
      <c r="W18" s="12">
        <v>1.0951203104894299E-2</v>
      </c>
      <c r="X18" s="12">
        <v>3.3750191865862E-3</v>
      </c>
      <c r="Y18" s="12">
        <v>6.7729870477747506E-2</v>
      </c>
      <c r="Z18" s="12">
        <v>7.4289676367253393E-2</v>
      </c>
      <c r="AA18" s="12">
        <v>3.0788377648158999E-3</v>
      </c>
      <c r="AB18" s="12">
        <v>-5.8123285396128998E-3</v>
      </c>
      <c r="AC18" s="12">
        <v>-5.3655319187510004E-3</v>
      </c>
      <c r="AD18" s="12">
        <v>6.4394609198898996E-3</v>
      </c>
      <c r="AE18" s="12">
        <v>-2.2188309885106E-3</v>
      </c>
      <c r="AF18" s="12">
        <v>-5.9779256451584998E-3</v>
      </c>
      <c r="AG18" s="12">
        <v>4.1769223425517999E-3</v>
      </c>
      <c r="AH18" s="12">
        <v>-7.7367879502760004E-3</v>
      </c>
      <c r="AI18" s="12">
        <v>2.5548086502719998E-4</v>
      </c>
      <c r="AJ18" s="12">
        <v>0.44386554083091079</v>
      </c>
      <c r="AK18" s="12">
        <v>5.3952982688175001E-3</v>
      </c>
      <c r="AL18" s="12">
        <v>2.0674688742780998E-3</v>
      </c>
      <c r="AM18" s="12">
        <v>1.1526678677199001E-3</v>
      </c>
      <c r="AN18" s="12">
        <v>6.5780863117894002E-3</v>
      </c>
      <c r="AO18" s="12">
        <v>-6.8236721459550003E-4</v>
      </c>
      <c r="AP18" s="12">
        <v>7.2160085137210797E-2</v>
      </c>
      <c r="AQ18" s="12">
        <v>-1.3028727948473E-3</v>
      </c>
      <c r="AR18" s="12">
        <v>-1.4467843395752E-3</v>
      </c>
      <c r="AS18" s="12">
        <v>-8.8703221299664004E-3</v>
      </c>
    </row>
    <row r="19" spans="1:45" ht="15" customHeight="1" x14ac:dyDescent="0.3">
      <c r="A19" s="6" t="s">
        <v>1416</v>
      </c>
      <c r="B19" s="22">
        <v>0.10278331603134069</v>
      </c>
      <c r="C19" s="13" t="s">
        <v>33</v>
      </c>
      <c r="E19" s="6" t="s">
        <v>1417</v>
      </c>
      <c r="F19" s="12">
        <v>-9.5842292225949005E-3</v>
      </c>
      <c r="G19" s="12">
        <v>1.2128605402748E-3</v>
      </c>
      <c r="H19" s="12">
        <v>4.9104892557814001E-3</v>
      </c>
      <c r="I19" s="12">
        <v>5.3520444952029995E-4</v>
      </c>
      <c r="J19" s="12">
        <v>-8.4724458591156002E-3</v>
      </c>
      <c r="K19" s="12">
        <v>-6.3689607565539002E-3</v>
      </c>
      <c r="L19" s="12">
        <v>3.3030327672512998E-3</v>
      </c>
      <c r="M19" s="12">
        <v>2.6760235071892E-3</v>
      </c>
      <c r="N19" s="12">
        <v>3.7009064611512E-3</v>
      </c>
      <c r="O19" s="12">
        <v>-1.7155264686064999E-3</v>
      </c>
      <c r="P19" s="12">
        <v>1</v>
      </c>
      <c r="Q19" s="12">
        <v>-3.7874422465211002E-3</v>
      </c>
      <c r="R19" s="12">
        <v>8.8127826811940004E-4</v>
      </c>
      <c r="S19" s="12">
        <v>1.1432792544961001E-3</v>
      </c>
      <c r="T19" s="12">
        <v>1.3502888320086001E-3</v>
      </c>
      <c r="U19" s="12">
        <v>5.5794034474202997E-3</v>
      </c>
      <c r="V19" s="12">
        <v>1.7843021000475499E-2</v>
      </c>
      <c r="W19" s="12">
        <v>2.2028757619549099E-2</v>
      </c>
      <c r="X19" s="12">
        <v>4.9619598206016996E-3</v>
      </c>
      <c r="Y19" s="12">
        <v>1.12948181022093E-2</v>
      </c>
      <c r="Z19" s="12">
        <v>-2.3510130920509002E-3</v>
      </c>
      <c r="AA19" s="12">
        <v>-4.0007034401236003E-3</v>
      </c>
      <c r="AB19" s="12">
        <v>-2.5861335208503E-3</v>
      </c>
      <c r="AC19" s="12">
        <v>1.6882971307592E-3</v>
      </c>
      <c r="AD19" s="12">
        <v>-3.1418122093392E-3</v>
      </c>
      <c r="AE19" s="12">
        <v>2.5909411468604E-3</v>
      </c>
      <c r="AF19" s="12">
        <v>0.25624253019528931</v>
      </c>
      <c r="AG19" s="12">
        <v>2.9055102841977699E-2</v>
      </c>
      <c r="AH19" s="12">
        <v>0.19786494195634649</v>
      </c>
      <c r="AI19" s="12">
        <v>3.2291888067390002E-4</v>
      </c>
      <c r="AJ19" s="12">
        <v>-5.3204888994711997E-3</v>
      </c>
      <c r="AK19" s="12">
        <v>-2.1015967829925001E-3</v>
      </c>
      <c r="AL19" s="12">
        <v>-5.4194660241809996E-4</v>
      </c>
      <c r="AM19" s="12">
        <v>-1.775367523045E-3</v>
      </c>
      <c r="AN19" s="12">
        <v>2.9766730569884779E-5</v>
      </c>
      <c r="AO19" s="12">
        <v>-2.5560851019257999E-3</v>
      </c>
      <c r="AP19" s="12">
        <v>-1.0516891524661299E-2</v>
      </c>
      <c r="AQ19" s="12">
        <v>0.52563380458189857</v>
      </c>
      <c r="AR19" s="12">
        <v>3.7361615615717103E-2</v>
      </c>
      <c r="AS19" s="12">
        <v>4.5994795017613001E-3</v>
      </c>
    </row>
    <row r="20" spans="1:45" ht="15" customHeight="1" x14ac:dyDescent="0.3">
      <c r="A20" s="6" t="s">
        <v>1418</v>
      </c>
      <c r="B20" s="22">
        <v>0.94394</v>
      </c>
      <c r="C20" s="13" t="s">
        <v>33</v>
      </c>
      <c r="E20" s="6" t="s">
        <v>1419</v>
      </c>
      <c r="F20" s="12">
        <v>1.0856885025372499E-2</v>
      </c>
      <c r="G20" s="12">
        <v>2.5590342397877001E-3</v>
      </c>
      <c r="H20" s="12">
        <v>1.0097800100145E-2</v>
      </c>
      <c r="I20" s="12">
        <v>-3.8772810078907399E-2</v>
      </c>
      <c r="J20" s="12">
        <v>5.8809622961155002E-3</v>
      </c>
      <c r="K20" s="12">
        <v>-5.9825399405595003E-3</v>
      </c>
      <c r="L20" s="12">
        <v>1.6885988969305401E-2</v>
      </c>
      <c r="M20" s="12">
        <v>4.9053053180116001E-3</v>
      </c>
      <c r="N20" s="12">
        <v>-4.2899520068941203E-2</v>
      </c>
      <c r="O20" s="12">
        <v>1.633697742407E-3</v>
      </c>
      <c r="P20" s="12">
        <v>-3.7874422465211002E-3</v>
      </c>
      <c r="Q20" s="12">
        <v>1</v>
      </c>
      <c r="R20" s="12">
        <v>-0.13066601666195021</v>
      </c>
      <c r="S20" s="12">
        <v>6.9285100080529001E-3</v>
      </c>
      <c r="T20" s="12">
        <v>6.8061080601107002E-3</v>
      </c>
      <c r="U20" s="12">
        <v>5.4290959241729995E-4</v>
      </c>
      <c r="V20" s="12">
        <v>2.4239309295954999E-3</v>
      </c>
      <c r="W20" s="12">
        <v>1.1098302265493E-3</v>
      </c>
      <c r="X20" s="12">
        <v>2.4914995813262999E-3</v>
      </c>
      <c r="Y20" s="12">
        <v>2.2111139808566002E-3</v>
      </c>
      <c r="Z20" s="12">
        <v>3.7056883269661E-3</v>
      </c>
      <c r="AA20" s="12">
        <v>7.5877968982200001E-3</v>
      </c>
      <c r="AB20" s="12">
        <v>5.1915520176983802E-2</v>
      </c>
      <c r="AC20" s="12">
        <v>-3.5133034603004E-3</v>
      </c>
      <c r="AD20" s="12">
        <v>0.18904076242195941</v>
      </c>
      <c r="AE20" s="12">
        <v>1.34345737633552E-2</v>
      </c>
      <c r="AF20" s="12">
        <v>-1.9653356350227999E-3</v>
      </c>
      <c r="AG20" s="12">
        <v>6.9712770945745996E-3</v>
      </c>
      <c r="AH20" s="12">
        <v>-2.2326628031946001E-3</v>
      </c>
      <c r="AI20" s="12">
        <v>6.0278912798396499E-2</v>
      </c>
      <c r="AJ20" s="12">
        <v>-5.1299195783349998E-4</v>
      </c>
      <c r="AK20" s="12">
        <v>4.8730818031740997E-3</v>
      </c>
      <c r="AL20" s="12">
        <v>9.3228663489600995E-3</v>
      </c>
      <c r="AM20" s="12">
        <v>3.5237507608095E-3</v>
      </c>
      <c r="AN20" s="12">
        <v>2.1364442686779002E-3</v>
      </c>
      <c r="AO20" s="12">
        <v>-4.2428684293982902E-2</v>
      </c>
      <c r="AP20" s="12">
        <v>-3.6001847727178998E-3</v>
      </c>
      <c r="AQ20" s="12">
        <v>-1.8375831454047001E-3</v>
      </c>
      <c r="AR20" s="12">
        <v>4.841735576113194E-5</v>
      </c>
      <c r="AS20" s="12">
        <v>1.7926880677914001E-3</v>
      </c>
    </row>
    <row r="21" spans="1:45" ht="15" customHeight="1" x14ac:dyDescent="0.3">
      <c r="A21" s="6" t="s">
        <v>1420</v>
      </c>
      <c r="B21" s="22">
        <v>-5.7107456319044408E-3</v>
      </c>
      <c r="C21" s="13" t="s">
        <v>33</v>
      </c>
      <c r="E21" s="6" t="s">
        <v>1421</v>
      </c>
      <c r="F21" s="12">
        <v>1.2030069861761399E-2</v>
      </c>
      <c r="G21" s="12">
        <v>6.6986588624377997E-3</v>
      </c>
      <c r="H21" s="12">
        <v>1.1489841101557799E-2</v>
      </c>
      <c r="I21" s="12">
        <v>0.26049775184941287</v>
      </c>
      <c r="J21" s="12">
        <v>1.44442139743386E-2</v>
      </c>
      <c r="K21" s="12">
        <v>3.5641807005863E-3</v>
      </c>
      <c r="L21" s="12">
        <v>1.8809434599940299E-2</v>
      </c>
      <c r="M21" s="12">
        <v>7.0244343696970997E-3</v>
      </c>
      <c r="N21" s="12">
        <v>0.29905367257603771</v>
      </c>
      <c r="O21" s="12">
        <v>2.5512055767156002E-3</v>
      </c>
      <c r="P21" s="12">
        <v>8.8127826811940004E-4</v>
      </c>
      <c r="Q21" s="12">
        <v>-0.13066601666195021</v>
      </c>
      <c r="R21" s="12">
        <v>1</v>
      </c>
      <c r="S21" s="12">
        <v>-4.5958781389969002E-3</v>
      </c>
      <c r="T21" s="12">
        <v>-1.5357538150869E-3</v>
      </c>
      <c r="U21" s="12">
        <v>7.0933114239153001E-3</v>
      </c>
      <c r="V21" s="12">
        <v>-3.9446004986007999E-3</v>
      </c>
      <c r="W21" s="12">
        <v>1.9755691791203001E-3</v>
      </c>
      <c r="X21" s="12">
        <v>-1.398784383129E-3</v>
      </c>
      <c r="Y21" s="12">
        <v>9.4509589116549997E-4</v>
      </c>
      <c r="Z21" s="12">
        <v>-2.098638639789E-4</v>
      </c>
      <c r="AA21" s="12">
        <v>-2.8215709010669999E-4</v>
      </c>
      <c r="AB21" s="12">
        <v>4.6565516102920902E-2</v>
      </c>
      <c r="AC21" s="12">
        <v>-1.0015994891609999E-4</v>
      </c>
      <c r="AD21" s="12">
        <v>0.1746003649215854</v>
      </c>
      <c r="AE21" s="12">
        <v>1.13614764654338E-2</v>
      </c>
      <c r="AF21" s="12">
        <v>2.0647456506769999E-4</v>
      </c>
      <c r="AG21" s="12">
        <v>4.2977292221574002E-3</v>
      </c>
      <c r="AH21" s="12">
        <v>-4.0974955372779999E-4</v>
      </c>
      <c r="AI21" s="12">
        <v>5.8646339382456503E-2</v>
      </c>
      <c r="AJ21" s="12">
        <v>6.4933342195430998E-3</v>
      </c>
      <c r="AK21" s="12">
        <v>6.8146211462715997E-3</v>
      </c>
      <c r="AL21" s="12">
        <v>1.27055172448256E-2</v>
      </c>
      <c r="AM21" s="12">
        <v>1.2707091353534E-3</v>
      </c>
      <c r="AN21" s="12">
        <v>-7.2943793943043003E-3</v>
      </c>
      <c r="AO21" s="12">
        <v>0.24005277242466799</v>
      </c>
      <c r="AP21" s="12">
        <v>2.0704897706886002E-3</v>
      </c>
      <c r="AQ21" s="12">
        <v>-2.1001042403305998E-3</v>
      </c>
      <c r="AR21" s="12">
        <v>5.6646989786105001E-3</v>
      </c>
      <c r="AS21" s="12">
        <v>-7.6894669963060004E-4</v>
      </c>
    </row>
    <row r="22" spans="1:45" ht="15" customHeight="1" x14ac:dyDescent="0.3">
      <c r="A22" s="6" t="s">
        <v>1422</v>
      </c>
      <c r="B22" s="22">
        <v>-6.8597092466481754E-2</v>
      </c>
      <c r="C22" s="13" t="s">
        <v>33</v>
      </c>
      <c r="E22" s="6" t="s">
        <v>1423</v>
      </c>
      <c r="F22" s="12">
        <v>2.8663634037083999E-3</v>
      </c>
      <c r="G22" s="12">
        <v>1.0920779806226999E-3</v>
      </c>
      <c r="H22" s="12">
        <v>-2.5596173292699999E-3</v>
      </c>
      <c r="I22" s="12">
        <v>-1.5608109072021E-3</v>
      </c>
      <c r="J22" s="12">
        <v>-1.086504215729E-4</v>
      </c>
      <c r="K22" s="12">
        <v>4.7205445983827003E-3</v>
      </c>
      <c r="L22" s="12">
        <v>-3.5484965503725001E-3</v>
      </c>
      <c r="M22" s="12">
        <v>-2.5065838283364001E-3</v>
      </c>
      <c r="N22" s="12">
        <v>-3.348154174713E-3</v>
      </c>
      <c r="O22" s="12">
        <v>6.2699355223962997E-3</v>
      </c>
      <c r="P22" s="12">
        <v>1.1432792544961001E-3</v>
      </c>
      <c r="Q22" s="12">
        <v>6.9285100080529001E-3</v>
      </c>
      <c r="R22" s="12">
        <v>-4.5958781389969002E-3</v>
      </c>
      <c r="S22" s="12">
        <v>1</v>
      </c>
      <c r="T22" s="12">
        <v>-1.2521871912922001E-3</v>
      </c>
      <c r="U22" s="12">
        <v>-4.5771682124416003E-3</v>
      </c>
      <c r="V22" s="12">
        <v>5.2197434527364002E-3</v>
      </c>
      <c r="W22" s="12">
        <v>-1.2007688645679999E-4</v>
      </c>
      <c r="X22" s="12">
        <v>-4.7054017453722003E-3</v>
      </c>
      <c r="Y22" s="12">
        <v>-5.8503425607917001E-3</v>
      </c>
      <c r="Z22" s="12">
        <v>2.5955270575360001E-3</v>
      </c>
      <c r="AA22" s="12">
        <v>1.09079640621591E-2</v>
      </c>
      <c r="AB22" s="12">
        <v>-8.1468530262019995E-4</v>
      </c>
      <c r="AC22" s="12">
        <v>5.2309415967422999E-3</v>
      </c>
      <c r="AD22" s="12">
        <v>2.7236892952959002E-3</v>
      </c>
      <c r="AE22" s="12">
        <v>2.0593996345009999E-3</v>
      </c>
      <c r="AF22" s="12">
        <v>4.3416455970734001E-3</v>
      </c>
      <c r="AG22" s="12">
        <v>4.9003666786629997E-3</v>
      </c>
      <c r="AH22" s="12">
        <v>3.1763898807098002E-3</v>
      </c>
      <c r="AI22" s="12">
        <v>-6.6712451310673004E-3</v>
      </c>
      <c r="AJ22" s="12">
        <v>7.4484739041959999E-3</v>
      </c>
      <c r="AK22" s="12">
        <v>-7.4128545513219004E-3</v>
      </c>
      <c r="AL22" s="12">
        <v>-6.2844680162966E-3</v>
      </c>
      <c r="AM22" s="12">
        <v>9.7350732443520003E-4</v>
      </c>
      <c r="AN22" s="12">
        <v>0.44655782498921581</v>
      </c>
      <c r="AO22" s="12">
        <v>-5.3221371046755003E-3</v>
      </c>
      <c r="AP22" s="12">
        <v>-1.7178873987417E-3</v>
      </c>
      <c r="AQ22" s="12">
        <v>5.0478292492749004E-3</v>
      </c>
      <c r="AR22" s="12">
        <v>5.1053034394097996E-3</v>
      </c>
      <c r="AS22" s="12">
        <v>1.8038057846678E-3</v>
      </c>
    </row>
    <row r="23" spans="1:45" ht="15" customHeight="1" x14ac:dyDescent="0.3">
      <c r="A23" s="6" t="s">
        <v>1424</v>
      </c>
      <c r="B23" s="22">
        <v>-0.17208407161917669</v>
      </c>
      <c r="C23" s="13" t="s">
        <v>33</v>
      </c>
      <c r="E23" s="6" t="s">
        <v>1425</v>
      </c>
      <c r="F23" s="12">
        <v>-4.2197923768745003E-3</v>
      </c>
      <c r="G23" s="12">
        <v>-9.6092091581509995E-4</v>
      </c>
      <c r="H23" s="12">
        <v>0.2327888705511057</v>
      </c>
      <c r="I23" s="12">
        <v>5.1141687156222001E-3</v>
      </c>
      <c r="J23" s="12">
        <v>2.1888536742814E-3</v>
      </c>
      <c r="K23" s="12">
        <v>1.3106950290551001E-3</v>
      </c>
      <c r="L23" s="12">
        <v>0.28015367220733861</v>
      </c>
      <c r="M23" s="12">
        <v>-2.6641843870826E-2</v>
      </c>
      <c r="N23" s="12">
        <v>4.2869748018935002E-3</v>
      </c>
      <c r="O23" s="12">
        <v>4.5020008767513E-3</v>
      </c>
      <c r="P23" s="12">
        <v>1.3502888320086001E-3</v>
      </c>
      <c r="Q23" s="12">
        <v>6.8061080601107002E-3</v>
      </c>
      <c r="R23" s="12">
        <v>-1.5357538150869E-3</v>
      </c>
      <c r="S23" s="12">
        <v>-1.2521871912922001E-3</v>
      </c>
      <c r="T23" s="12">
        <v>1</v>
      </c>
      <c r="U23" s="12">
        <v>-0.1465751939294645</v>
      </c>
      <c r="V23" s="12">
        <v>-8.3351768694688994E-3</v>
      </c>
      <c r="W23" s="12">
        <v>1.4334634422774001E-3</v>
      </c>
      <c r="X23" s="12">
        <v>2.4226748976349001E-3</v>
      </c>
      <c r="Y23" s="12">
        <v>7.5516245633530004E-3</v>
      </c>
      <c r="Z23" s="12">
        <v>3.9174865416786997E-3</v>
      </c>
      <c r="AA23" s="12">
        <v>1.6511423138929501E-2</v>
      </c>
      <c r="AB23" s="12">
        <v>1.5649227659166999E-3</v>
      </c>
      <c r="AC23" s="12">
        <v>6.7795122122005997E-3</v>
      </c>
      <c r="AD23" s="12">
        <v>-2.343421154695881E-5</v>
      </c>
      <c r="AE23" s="12">
        <v>0.29606675997327803</v>
      </c>
      <c r="AF23" s="12">
        <v>-3.2151923935141999E-3</v>
      </c>
      <c r="AG23" s="12">
        <v>2.0466422574459998E-3</v>
      </c>
      <c r="AH23" s="12">
        <v>4.6181196960490998E-3</v>
      </c>
      <c r="AI23" s="12">
        <v>8.0105331489797003E-3</v>
      </c>
      <c r="AJ23" s="12">
        <v>-2.3385357414279999E-4</v>
      </c>
      <c r="AK23" s="12">
        <v>-1.40550799492322E-2</v>
      </c>
      <c r="AL23" s="12">
        <v>4.4183370145085997E-3</v>
      </c>
      <c r="AM23" s="12">
        <v>0.45162615812736218</v>
      </c>
      <c r="AN23" s="12">
        <v>-8.1855195447799994E-3</v>
      </c>
      <c r="AO23" s="12">
        <v>2.4927795179822002E-3</v>
      </c>
      <c r="AP23" s="12">
        <v>5.4602580677712001E-3</v>
      </c>
      <c r="AQ23" s="12">
        <v>2.4762881625096998E-3</v>
      </c>
      <c r="AR23" s="12">
        <v>7.4669245687521908E-5</v>
      </c>
      <c r="AS23" s="12">
        <v>-1.6213490466116E-3</v>
      </c>
    </row>
    <row r="24" spans="1:45" ht="15" customHeight="1" x14ac:dyDescent="0.3">
      <c r="E24" s="6" t="s">
        <v>1426</v>
      </c>
      <c r="F24" s="12">
        <v>1.3419035123764E-3</v>
      </c>
      <c r="G24" s="12">
        <v>9.3688743508072003E-3</v>
      </c>
      <c r="H24" s="12">
        <v>-4.0194492306469397E-2</v>
      </c>
      <c r="I24" s="12">
        <v>6.3921265108425997E-3</v>
      </c>
      <c r="J24" s="12">
        <v>6.4657831423533003E-3</v>
      </c>
      <c r="K24" s="12">
        <v>-3.2891636022216002E-3</v>
      </c>
      <c r="L24" s="12">
        <v>-4.7933819510476698E-2</v>
      </c>
      <c r="M24" s="12">
        <v>0.19373570859584729</v>
      </c>
      <c r="N24" s="12">
        <v>1.06000131070252E-2</v>
      </c>
      <c r="O24" s="12">
        <v>1.5309556738275999E-3</v>
      </c>
      <c r="P24" s="12">
        <v>5.5794034474202997E-3</v>
      </c>
      <c r="Q24" s="12">
        <v>5.4290959241729995E-4</v>
      </c>
      <c r="R24" s="12">
        <v>7.0933114239153001E-3</v>
      </c>
      <c r="S24" s="12">
        <v>-4.5771682124416003E-3</v>
      </c>
      <c r="T24" s="12">
        <v>-0.1465751939294645</v>
      </c>
      <c r="U24" s="12">
        <v>1</v>
      </c>
      <c r="V24" s="12">
        <v>-5.2949967734720004E-4</v>
      </c>
      <c r="W24" s="12">
        <v>-2.5059013160315001E-3</v>
      </c>
      <c r="X24" s="12">
        <v>1.4949752199099999E-4</v>
      </c>
      <c r="Y24" s="12">
        <v>-1.2206840352151E-3</v>
      </c>
      <c r="Z24" s="12">
        <v>5.0787458835827998E-3</v>
      </c>
      <c r="AA24" s="12">
        <v>-0.11436410055691321</v>
      </c>
      <c r="AB24" s="12">
        <v>-6.1340505628128998E-3</v>
      </c>
      <c r="AC24" s="12">
        <v>-3.7932673665126999E-3</v>
      </c>
      <c r="AD24" s="12">
        <v>5.6820575469659004E-3</v>
      </c>
      <c r="AE24" s="12">
        <v>0.12322570865345769</v>
      </c>
      <c r="AF24" s="12">
        <v>-9.6123626315130714E-5</v>
      </c>
      <c r="AG24" s="12">
        <v>3.1097871150579E-3</v>
      </c>
      <c r="AH24" s="12">
        <v>1.7987067685154999E-3</v>
      </c>
      <c r="AI24" s="12">
        <v>-8.6667565929711993E-3</v>
      </c>
      <c r="AJ24" s="12">
        <v>-4.0956716644762999E-3</v>
      </c>
      <c r="AK24" s="12">
        <v>7.5351090145404698E-2</v>
      </c>
      <c r="AL24" s="12">
        <v>-3.8942811650277999E-3</v>
      </c>
      <c r="AM24" s="12">
        <v>-0.13148677136409259</v>
      </c>
      <c r="AN24" s="12">
        <v>-4.3853069786310003E-3</v>
      </c>
      <c r="AO24" s="12">
        <v>5.8901779022688004E-3</v>
      </c>
      <c r="AP24" s="12">
        <v>-1.4168302118077001E-3</v>
      </c>
      <c r="AQ24" s="12">
        <v>-2.2860109862639999E-3</v>
      </c>
      <c r="AR24" s="12">
        <v>2.7047600791744002E-3</v>
      </c>
      <c r="AS24" s="12">
        <v>-1.3862227429762E-3</v>
      </c>
    </row>
    <row r="25" spans="1:45" ht="15" customHeight="1" x14ac:dyDescent="0.3">
      <c r="E25" s="6" t="s">
        <v>1427</v>
      </c>
      <c r="F25" s="12">
        <v>-2.8427166740372001E-3</v>
      </c>
      <c r="G25" s="12">
        <v>4.2275178895354003E-3</v>
      </c>
      <c r="H25" s="12">
        <v>-3.4602830616399998E-4</v>
      </c>
      <c r="I25" s="12">
        <v>-8.8718339407640003E-4</v>
      </c>
      <c r="J25" s="12">
        <v>-5.8456663213559995E-4</v>
      </c>
      <c r="K25" s="12">
        <v>-1.477564809458E-4</v>
      </c>
      <c r="L25" s="12">
        <v>-2.9066524076238002E-3</v>
      </c>
      <c r="M25" s="12">
        <v>-4.9185852125041996E-3</v>
      </c>
      <c r="N25" s="12">
        <v>1.4930078626770001E-4</v>
      </c>
      <c r="O25" s="12">
        <v>2.8097682694020001E-3</v>
      </c>
      <c r="P25" s="12">
        <v>1.7843021000475499E-2</v>
      </c>
      <c r="Q25" s="12">
        <v>2.4239309295954999E-3</v>
      </c>
      <c r="R25" s="12">
        <v>-3.9446004986007999E-3</v>
      </c>
      <c r="S25" s="12">
        <v>5.2197434527364002E-3</v>
      </c>
      <c r="T25" s="12">
        <v>-8.3351768694688994E-3</v>
      </c>
      <c r="U25" s="12">
        <v>-5.2949967734720004E-4</v>
      </c>
      <c r="V25" s="12">
        <v>1</v>
      </c>
      <c r="W25" s="12">
        <v>-8.91751240346874E-2</v>
      </c>
      <c r="X25" s="12">
        <v>-7.5303850899708605E-2</v>
      </c>
      <c r="Y25" s="12">
        <v>-6.6586727004880802E-2</v>
      </c>
      <c r="Z25" s="12">
        <v>-6.0321443049442501E-2</v>
      </c>
      <c r="AA25" s="12">
        <v>6.1101768350756997E-3</v>
      </c>
      <c r="AB25" s="12">
        <v>-3.7221331444685E-3</v>
      </c>
      <c r="AC25" s="12">
        <v>-4.2446231620278004E-3</v>
      </c>
      <c r="AD25" s="12">
        <v>-3.1095172777012002E-3</v>
      </c>
      <c r="AE25" s="12">
        <v>-5.8899215950903002E-3</v>
      </c>
      <c r="AF25" s="12">
        <v>1.0569405718015099E-2</v>
      </c>
      <c r="AG25" s="12">
        <v>5.2782553754330698E-2</v>
      </c>
      <c r="AH25" s="12">
        <v>1.7548443620381399E-2</v>
      </c>
      <c r="AI25" s="12">
        <v>-4.9637885946644004E-3</v>
      </c>
      <c r="AJ25" s="12">
        <v>5.9511520945630999E-3</v>
      </c>
      <c r="AK25" s="12">
        <v>1.4630691235231999E-3</v>
      </c>
      <c r="AL25" s="12">
        <v>5.1284534378619002E-3</v>
      </c>
      <c r="AM25" s="12">
        <v>-7.2341651906309996E-4</v>
      </c>
      <c r="AN25" s="12">
        <v>2.7047405033829997E-4</v>
      </c>
      <c r="AO25" s="12">
        <v>1.5232465646053E-3</v>
      </c>
      <c r="AP25" s="12">
        <v>2.0830029455487498E-2</v>
      </c>
      <c r="AQ25" s="12">
        <v>-6.0019035034715998E-3</v>
      </c>
      <c r="AR25" s="12">
        <v>2.77195744592241E-2</v>
      </c>
      <c r="AS25" s="12">
        <v>0.31698676763353739</v>
      </c>
    </row>
    <row r="26" spans="1:45" ht="15" customHeight="1" x14ac:dyDescent="0.3">
      <c r="A26" s="3" t="s">
        <v>1428</v>
      </c>
      <c r="E26" s="6" t="s">
        <v>1429</v>
      </c>
      <c r="F26" s="12">
        <v>1.9997117660636998E-3</v>
      </c>
      <c r="G26" s="12">
        <v>-2.6128657511175E-3</v>
      </c>
      <c r="H26" s="12">
        <v>-7.8069211485629997E-4</v>
      </c>
      <c r="I26" s="12">
        <v>1.6313592591419999E-3</v>
      </c>
      <c r="J26" s="12">
        <v>6.2647396507654997E-3</v>
      </c>
      <c r="K26" s="12">
        <v>9.1625672464398008E-3</v>
      </c>
      <c r="L26" s="12">
        <v>-5.0725858016849995E-4</v>
      </c>
      <c r="M26" s="12">
        <v>1.4586923607000999E-3</v>
      </c>
      <c r="N26" s="12">
        <v>-2.235813988113E-3</v>
      </c>
      <c r="O26" s="12">
        <v>1.0951203104894299E-2</v>
      </c>
      <c r="P26" s="12">
        <v>2.2028757619549099E-2</v>
      </c>
      <c r="Q26" s="12">
        <v>1.1098302265493E-3</v>
      </c>
      <c r="R26" s="12">
        <v>1.9755691791203001E-3</v>
      </c>
      <c r="S26" s="12">
        <v>-1.2007688645679999E-4</v>
      </c>
      <c r="T26" s="12">
        <v>1.4334634422774001E-3</v>
      </c>
      <c r="U26" s="12">
        <v>-2.5059013160315001E-3</v>
      </c>
      <c r="V26" s="12">
        <v>-8.9175124034687497E-2</v>
      </c>
      <c r="W26" s="12">
        <v>1</v>
      </c>
      <c r="X26" s="12">
        <v>-9.00197807096874E-2</v>
      </c>
      <c r="Y26" s="12">
        <v>-6.4485469940435303E-2</v>
      </c>
      <c r="Z26" s="12">
        <v>-6.5140811748147398E-2</v>
      </c>
      <c r="AA26" s="12">
        <v>-6.6889947169306001E-3</v>
      </c>
      <c r="AB26" s="12">
        <v>1.6290583759938999E-3</v>
      </c>
      <c r="AC26" s="12">
        <v>3.7246462099114999E-3</v>
      </c>
      <c r="AD26" s="12">
        <v>-2.1673347476700001E-4</v>
      </c>
      <c r="AE26" s="12">
        <v>-4.0283495637932001E-3</v>
      </c>
      <c r="AF26" s="12">
        <v>1.32151766686106E-2</v>
      </c>
      <c r="AG26" s="12">
        <v>6.5432767243127604E-2</v>
      </c>
      <c r="AH26" s="12">
        <v>9.7194401864621992E-3</v>
      </c>
      <c r="AI26" s="12">
        <v>-4.2165412174769001E-3</v>
      </c>
      <c r="AJ26" s="12">
        <v>1.8000420511358799E-2</v>
      </c>
      <c r="AK26" s="12">
        <v>-2.9910204393231001E-3</v>
      </c>
      <c r="AL26" s="12">
        <v>-5.4291450048518999E-3</v>
      </c>
      <c r="AM26" s="12">
        <v>3.7224115486985E-3</v>
      </c>
      <c r="AN26" s="12">
        <v>-2.8719631768744001E-3</v>
      </c>
      <c r="AO26" s="12">
        <v>-1.6468768965248999E-3</v>
      </c>
      <c r="AP26" s="12">
        <v>1.04544712477259E-2</v>
      </c>
      <c r="AQ26" s="12">
        <v>-4.3738515763399998E-3</v>
      </c>
      <c r="AR26" s="12">
        <v>3.7694446500709099E-2</v>
      </c>
      <c r="AS26" s="12">
        <v>-3.9319094468874501E-2</v>
      </c>
    </row>
    <row r="27" spans="1:45" ht="30" customHeight="1" x14ac:dyDescent="0.3">
      <c r="A27" s="11" t="s">
        <v>195</v>
      </c>
      <c r="B27" s="11" t="s">
        <v>1047</v>
      </c>
      <c r="C27" s="11" t="s">
        <v>1430</v>
      </c>
      <c r="E27" s="6" t="s">
        <v>1431</v>
      </c>
      <c r="F27" s="12">
        <v>1.9479369985813001E-3</v>
      </c>
      <c r="G27" s="12">
        <v>2.656169713516E-4</v>
      </c>
      <c r="H27" s="12">
        <v>1.3547385118973E-3</v>
      </c>
      <c r="I27" s="12">
        <v>-1.883437976777E-3</v>
      </c>
      <c r="J27" s="12">
        <v>4.9573659149775998E-3</v>
      </c>
      <c r="K27" s="12">
        <v>1.1291758078217499E-2</v>
      </c>
      <c r="L27" s="12">
        <v>-3.0713805035020001E-4</v>
      </c>
      <c r="M27" s="12">
        <v>-8.3095218654679571E-5</v>
      </c>
      <c r="N27" s="12">
        <v>-5.6530068395603001E-3</v>
      </c>
      <c r="O27" s="12">
        <v>3.3750191865862E-3</v>
      </c>
      <c r="P27" s="12">
        <v>4.9619598206016996E-3</v>
      </c>
      <c r="Q27" s="12">
        <v>2.4914995813262999E-3</v>
      </c>
      <c r="R27" s="12">
        <v>-1.398784383129E-3</v>
      </c>
      <c r="S27" s="12">
        <v>-4.7054017453722003E-3</v>
      </c>
      <c r="T27" s="12">
        <v>2.4226748976349001E-3</v>
      </c>
      <c r="U27" s="12">
        <v>1.4949752199099999E-4</v>
      </c>
      <c r="V27" s="12">
        <v>-7.5303850899708605E-2</v>
      </c>
      <c r="W27" s="12">
        <v>-9.00197807096874E-2</v>
      </c>
      <c r="X27" s="12">
        <v>1</v>
      </c>
      <c r="Y27" s="12">
        <v>-5.96941486405132E-2</v>
      </c>
      <c r="Z27" s="12">
        <v>-6.0758979553664397E-2</v>
      </c>
      <c r="AA27" s="12">
        <v>-7.8902233339699801E-5</v>
      </c>
      <c r="AB27" s="12">
        <v>-2.5267349632809E-3</v>
      </c>
      <c r="AC27" s="12">
        <v>2.6770907688439998E-4</v>
      </c>
      <c r="AD27" s="12">
        <v>-3.2830845752866E-3</v>
      </c>
      <c r="AE27" s="12">
        <v>2.5522914558820002E-4</v>
      </c>
      <c r="AF27" s="12">
        <v>7.7220346171641002E-3</v>
      </c>
      <c r="AG27" s="12">
        <v>5.7358867925372203E-2</v>
      </c>
      <c r="AH27" s="12">
        <v>2.3688599960260699E-2</v>
      </c>
      <c r="AI27" s="12">
        <v>5.635821097935E-4</v>
      </c>
      <c r="AJ27" s="12">
        <v>1.17048371597538E-2</v>
      </c>
      <c r="AK27" s="12">
        <v>7.3836809733979995E-4</v>
      </c>
      <c r="AL27" s="12">
        <v>-2.9164626796122999E-3</v>
      </c>
      <c r="AM27" s="12">
        <v>1.6149799187845E-3</v>
      </c>
      <c r="AN27" s="12">
        <v>-4.5072084239489998E-4</v>
      </c>
      <c r="AO27" s="12">
        <v>-2.5634816712215001E-3</v>
      </c>
      <c r="AP27" s="12">
        <v>2.2513678582629901E-2</v>
      </c>
      <c r="AQ27" s="12">
        <v>-1.53100800637887E-2</v>
      </c>
      <c r="AR27" s="12">
        <v>2.93967596503125E-2</v>
      </c>
      <c r="AS27" s="12">
        <v>-3.23070202597419E-2</v>
      </c>
    </row>
    <row r="28" spans="1:45" ht="15" customHeight="1" x14ac:dyDescent="0.3">
      <c r="A28" s="6" t="s">
        <v>197</v>
      </c>
      <c r="B28" s="57">
        <f>SUMIFS(S_Markets!$AI$8:$AI$763,S_Markets!$C$8:$C$763,A28,S_Markets!$AH$8:$AH$763,TRUE)</f>
        <v>0</v>
      </c>
      <c r="C28" s="46" t="str">
        <f t="shared" ref="C28:C57" si="0">IF(A_bankroll="","-",B28*A_bankroll)</f>
        <v>-</v>
      </c>
      <c r="E28" s="6" t="s">
        <v>1432</v>
      </c>
      <c r="F28" s="12">
        <v>8.9954547466715006E-3</v>
      </c>
      <c r="G28" s="12">
        <v>1.0985232280349E-2</v>
      </c>
      <c r="H28" s="12">
        <v>-2.8213608453667E-3</v>
      </c>
      <c r="I28" s="12">
        <v>-1.5493885551568999E-3</v>
      </c>
      <c r="J28" s="12">
        <v>1.25167773025112E-2</v>
      </c>
      <c r="K28" s="12">
        <v>1.45506586896922E-2</v>
      </c>
      <c r="L28" s="12">
        <v>-2.8665575782691002E-3</v>
      </c>
      <c r="M28" s="12">
        <v>-7.9026929226340002E-4</v>
      </c>
      <c r="N28" s="12">
        <v>-1.51034293023E-3</v>
      </c>
      <c r="O28" s="12">
        <v>6.7729870477747506E-2</v>
      </c>
      <c r="P28" s="12">
        <v>1.12948181022093E-2</v>
      </c>
      <c r="Q28" s="12">
        <v>2.2111139808566002E-3</v>
      </c>
      <c r="R28" s="12">
        <v>9.4509589116549997E-4</v>
      </c>
      <c r="S28" s="12">
        <v>-5.8503425607917001E-3</v>
      </c>
      <c r="T28" s="12">
        <v>7.5516245633530004E-3</v>
      </c>
      <c r="U28" s="12">
        <v>-1.2206840352151E-3</v>
      </c>
      <c r="V28" s="12">
        <v>-6.6586727004880802E-2</v>
      </c>
      <c r="W28" s="12">
        <v>-6.4485469940435303E-2</v>
      </c>
      <c r="X28" s="12">
        <v>-5.96941486405132E-2</v>
      </c>
      <c r="Y28" s="12">
        <v>1</v>
      </c>
      <c r="Z28" s="12">
        <v>-9.1399636721230901E-2</v>
      </c>
      <c r="AA28" s="12">
        <v>-1.6163591420275999E-3</v>
      </c>
      <c r="AB28" s="12">
        <v>1.1518771456607E-3</v>
      </c>
      <c r="AC28" s="12">
        <v>4.6217709463660002E-4</v>
      </c>
      <c r="AD28" s="12">
        <v>2.3993651245800998E-3</v>
      </c>
      <c r="AE28" s="12">
        <v>-8.0869384838470003E-4</v>
      </c>
      <c r="AF28" s="12">
        <v>-5.6535254534257298E-2</v>
      </c>
      <c r="AG28" s="12">
        <v>2.88370057329831E-2</v>
      </c>
      <c r="AH28" s="12">
        <v>-3.6577250816677703E-2</v>
      </c>
      <c r="AI28" s="12">
        <v>-2.3057952310048999E-3</v>
      </c>
      <c r="AJ28" s="12">
        <v>5.5875444845177397E-2</v>
      </c>
      <c r="AK28" s="12">
        <v>3.2822607321985001E-3</v>
      </c>
      <c r="AL28" s="12">
        <v>1.0143236413464999E-3</v>
      </c>
      <c r="AM28" s="12">
        <v>4.6906110319557002E-3</v>
      </c>
      <c r="AN28" s="12">
        <v>-3.7647508789371001E-3</v>
      </c>
      <c r="AO28" s="12">
        <v>5.6396234766574998E-3</v>
      </c>
      <c r="AP28" s="12">
        <v>0.19102738073215389</v>
      </c>
      <c r="AQ28" s="12">
        <v>3.2093645438541797E-2</v>
      </c>
      <c r="AR28" s="12">
        <v>1.6014222389093499E-2</v>
      </c>
      <c r="AS28" s="12">
        <v>-1.9460353055352101E-2</v>
      </c>
    </row>
    <row r="29" spans="1:45" ht="15" customHeight="1" x14ac:dyDescent="0.3">
      <c r="A29" s="6" t="s">
        <v>198</v>
      </c>
      <c r="B29" s="57">
        <f>SUMIFS(S_Markets!$AI$8:$AI$763,S_Markets!$C$8:$C$763,A29,S_Markets!$AH$8:$AH$763,TRUE)</f>
        <v>0</v>
      </c>
      <c r="C29" s="46" t="str">
        <f t="shared" si="0"/>
        <v>-</v>
      </c>
      <c r="E29" s="6" t="s">
        <v>1433</v>
      </c>
      <c r="F29" s="12">
        <v>1.28153860462155E-2</v>
      </c>
      <c r="G29" s="12">
        <v>6.6170347879255E-3</v>
      </c>
      <c r="H29" s="12">
        <v>1.3263721554235999E-3</v>
      </c>
      <c r="I29" s="12">
        <v>-4.3626702649024003E-3</v>
      </c>
      <c r="J29" s="12">
        <v>1.4770479165185601E-2</v>
      </c>
      <c r="K29" s="12">
        <v>2.2051444587685601E-2</v>
      </c>
      <c r="L29" s="12">
        <v>1.1293144750913E-3</v>
      </c>
      <c r="M29" s="12">
        <v>-1.6509210887193E-3</v>
      </c>
      <c r="N29" s="12">
        <v>-3.3815466519005002E-3</v>
      </c>
      <c r="O29" s="12">
        <v>7.4289676367253393E-2</v>
      </c>
      <c r="P29" s="12">
        <v>-2.3510130920509002E-3</v>
      </c>
      <c r="Q29" s="12">
        <v>3.7056883269661E-3</v>
      </c>
      <c r="R29" s="12">
        <v>-2.098638639789E-4</v>
      </c>
      <c r="S29" s="12">
        <v>2.5955270575360001E-3</v>
      </c>
      <c r="T29" s="12">
        <v>3.9174865416786997E-3</v>
      </c>
      <c r="U29" s="12">
        <v>5.0787458835827998E-3</v>
      </c>
      <c r="V29" s="12">
        <v>-6.0321443049442501E-2</v>
      </c>
      <c r="W29" s="12">
        <v>-6.5140811748147398E-2</v>
      </c>
      <c r="X29" s="12">
        <v>-6.0758979553664397E-2</v>
      </c>
      <c r="Y29" s="12">
        <v>-9.1399636721230901E-2</v>
      </c>
      <c r="Z29" s="12">
        <v>1</v>
      </c>
      <c r="AA29" s="12">
        <v>-3.1640856953003E-3</v>
      </c>
      <c r="AB29" s="12">
        <v>1.6605768985567999E-3</v>
      </c>
      <c r="AC29" s="12">
        <v>-3.4381474711631999E-3</v>
      </c>
      <c r="AD29" s="12">
        <v>1.4104232775111001E-3</v>
      </c>
      <c r="AE29" s="12">
        <v>6.5818219600280003E-4</v>
      </c>
      <c r="AF29" s="12">
        <v>-4.7141235408380097E-2</v>
      </c>
      <c r="AG29" s="12">
        <v>2.8463690352272E-2</v>
      </c>
      <c r="AH29" s="12">
        <v>-4.5042713037670601E-2</v>
      </c>
      <c r="AI29" s="12">
        <v>5.7528244327459998E-3</v>
      </c>
      <c r="AJ29" s="12">
        <v>5.8117195381448397E-2</v>
      </c>
      <c r="AK29" s="12">
        <v>-1.8265194930848E-3</v>
      </c>
      <c r="AL29" s="12">
        <v>-3.7855798246346E-3</v>
      </c>
      <c r="AM29" s="12">
        <v>3.016054098027E-4</v>
      </c>
      <c r="AN29" s="12">
        <v>4.7384674459622998E-3</v>
      </c>
      <c r="AO29" s="12">
        <v>-1.9359402824962E-3</v>
      </c>
      <c r="AP29" s="12">
        <v>-3.5611716972166703E-2</v>
      </c>
      <c r="AQ29" s="12">
        <v>2.08250094943155E-2</v>
      </c>
      <c r="AR29" s="12">
        <v>1.5028310422613199E-2</v>
      </c>
      <c r="AS29" s="12">
        <v>-7.4669564966542996E-3</v>
      </c>
    </row>
    <row r="30" spans="1:45" ht="15" customHeight="1" x14ac:dyDescent="0.3">
      <c r="A30" s="6" t="s">
        <v>199</v>
      </c>
      <c r="B30" s="57">
        <f>SUMIFS(S_Markets!$AI$8:$AI$763,S_Markets!$C$8:$C$763,A30,S_Markets!$AH$8:$AH$763,TRUE)</f>
        <v>0</v>
      </c>
      <c r="C30" s="46" t="str">
        <f t="shared" si="0"/>
        <v>-</v>
      </c>
      <c r="E30" s="6" t="s">
        <v>1434</v>
      </c>
      <c r="F30" s="12">
        <v>-4.4523075094395998E-3</v>
      </c>
      <c r="G30" s="12">
        <v>-2.2778620555184001E-3</v>
      </c>
      <c r="H30" s="12">
        <v>2.987568892913E-3</v>
      </c>
      <c r="I30" s="12">
        <v>2.2911626922295001E-3</v>
      </c>
      <c r="J30" s="12">
        <v>9.6829588061499996E-4</v>
      </c>
      <c r="K30" s="12">
        <v>-1.6560713558087001E-3</v>
      </c>
      <c r="L30" s="12">
        <v>2.509048294243E-4</v>
      </c>
      <c r="M30" s="12">
        <v>-4.8702584118515399E-2</v>
      </c>
      <c r="N30" s="12">
        <v>3.2151384125578999E-3</v>
      </c>
      <c r="O30" s="12">
        <v>3.0788377648158999E-3</v>
      </c>
      <c r="P30" s="12">
        <v>-4.0007034401236003E-3</v>
      </c>
      <c r="Q30" s="12">
        <v>7.5877968982200001E-3</v>
      </c>
      <c r="R30" s="12">
        <v>-2.8215709010669999E-4</v>
      </c>
      <c r="S30" s="12">
        <v>1.09079640621591E-2</v>
      </c>
      <c r="T30" s="12">
        <v>1.6511423138929501E-2</v>
      </c>
      <c r="U30" s="12">
        <v>-0.11436410055691321</v>
      </c>
      <c r="V30" s="12">
        <v>6.1101768350756997E-3</v>
      </c>
      <c r="W30" s="12">
        <v>-6.6889947169306001E-3</v>
      </c>
      <c r="X30" s="12">
        <v>-7.8902233339699814E-5</v>
      </c>
      <c r="Y30" s="12">
        <v>-1.6163591420275999E-3</v>
      </c>
      <c r="Z30" s="12">
        <v>-3.1640856953003E-3</v>
      </c>
      <c r="AA30" s="12">
        <v>1</v>
      </c>
      <c r="AB30" s="12">
        <v>-7.5280359934318197E-2</v>
      </c>
      <c r="AC30" s="12">
        <v>-0.1090726159086161</v>
      </c>
      <c r="AD30" s="12">
        <v>-3.2693170088062398E-2</v>
      </c>
      <c r="AE30" s="12">
        <v>-5.8036807667045102E-2</v>
      </c>
      <c r="AF30" s="12">
        <v>-2.9636501408808998E-3</v>
      </c>
      <c r="AG30" s="12">
        <v>2.1418213269231001E-3</v>
      </c>
      <c r="AH30" s="12">
        <v>2.8637422511751001E-3</v>
      </c>
      <c r="AI30" s="12">
        <v>-2.1274923284551599E-2</v>
      </c>
      <c r="AJ30" s="12">
        <v>1.3553063165836999E-3</v>
      </c>
      <c r="AK30" s="12">
        <v>0.36772379120458298</v>
      </c>
      <c r="AL30" s="12">
        <v>6.9565731834742295E-2</v>
      </c>
      <c r="AM30" s="12">
        <v>3.0433596190519999E-2</v>
      </c>
      <c r="AN30" s="12">
        <v>-1.67399096995304E-2</v>
      </c>
      <c r="AO30" s="12">
        <v>1.6981333416285299E-2</v>
      </c>
      <c r="AP30" s="12">
        <v>-2.8212131457555E-3</v>
      </c>
      <c r="AQ30" s="12">
        <v>6.0145800334649997E-4</v>
      </c>
      <c r="AR30" s="12">
        <v>8.7464329380599996E-4</v>
      </c>
      <c r="AS30" s="12">
        <v>-9.3599009925539995E-4</v>
      </c>
    </row>
    <row r="31" spans="1:45" ht="15" customHeight="1" x14ac:dyDescent="0.3">
      <c r="A31" s="6" t="s">
        <v>200</v>
      </c>
      <c r="B31" s="57">
        <f>SUMIFS(S_Markets!$AI$8:$AI$763,S_Markets!$C$8:$C$763,A31,S_Markets!$AH$8:$AH$763,TRUE)</f>
        <v>0</v>
      </c>
      <c r="C31" s="46" t="str">
        <f t="shared" si="0"/>
        <v>-</v>
      </c>
      <c r="E31" s="6" t="s">
        <v>1435</v>
      </c>
      <c r="F31" s="12">
        <v>-8.6187662638400003E-4</v>
      </c>
      <c r="G31" s="12">
        <v>-8.2681874756090001E-4</v>
      </c>
      <c r="H31" s="12">
        <v>9.2695308939031995E-3</v>
      </c>
      <c r="I31" s="12">
        <v>1.5061045615711701E-2</v>
      </c>
      <c r="J31" s="12">
        <v>-7.4700195184449003E-3</v>
      </c>
      <c r="K31" s="12">
        <v>-6.2612059050635004E-3</v>
      </c>
      <c r="L31" s="12">
        <v>1.15662968443073E-2</v>
      </c>
      <c r="M31" s="12">
        <v>8.1986273653128008E-3</v>
      </c>
      <c r="N31" s="12">
        <v>1.8265429726234E-2</v>
      </c>
      <c r="O31" s="12">
        <v>-5.8123285396128998E-3</v>
      </c>
      <c r="P31" s="12">
        <v>-2.5861335208503E-3</v>
      </c>
      <c r="Q31" s="12">
        <v>5.1915520176983802E-2</v>
      </c>
      <c r="R31" s="12">
        <v>4.6565516102920902E-2</v>
      </c>
      <c r="S31" s="12">
        <v>-8.1468530262019995E-4</v>
      </c>
      <c r="T31" s="12">
        <v>1.5649227659166999E-3</v>
      </c>
      <c r="U31" s="12">
        <v>-6.1340505628128998E-3</v>
      </c>
      <c r="V31" s="12">
        <v>-3.7221331444685E-3</v>
      </c>
      <c r="W31" s="12">
        <v>1.6290583759938999E-3</v>
      </c>
      <c r="X31" s="12">
        <v>-2.5267349632809E-3</v>
      </c>
      <c r="Y31" s="12">
        <v>1.1518771456607E-3</v>
      </c>
      <c r="Z31" s="12">
        <v>1.6605768985567999E-3</v>
      </c>
      <c r="AA31" s="12">
        <v>-7.5280359934318197E-2</v>
      </c>
      <c r="AB31" s="12">
        <v>1</v>
      </c>
      <c r="AC31" s="12">
        <v>-6.4843048124727201E-2</v>
      </c>
      <c r="AD31" s="12">
        <v>-5.69725954467541E-2</v>
      </c>
      <c r="AE31" s="12">
        <v>-7.80227509110719E-2</v>
      </c>
      <c r="AF31" s="12">
        <v>-2.1273014834980999E-3</v>
      </c>
      <c r="AG31" s="12">
        <v>1.6497974744908001E-3</v>
      </c>
      <c r="AH31" s="12">
        <v>2.7628154002198998E-3</v>
      </c>
      <c r="AI31" s="12">
        <v>0.52416656602504219</v>
      </c>
      <c r="AJ31" s="12">
        <v>-4.4599677534763E-3</v>
      </c>
      <c r="AK31" s="12">
        <v>-1.50338311461352E-2</v>
      </c>
      <c r="AL31" s="12">
        <v>2.5402960358330201E-2</v>
      </c>
      <c r="AM31" s="12">
        <v>6.1189454952858997E-2</v>
      </c>
      <c r="AN31" s="12">
        <v>3.1491869111350101E-2</v>
      </c>
      <c r="AO31" s="12">
        <v>6.7425936561219299E-2</v>
      </c>
      <c r="AP31" s="12">
        <v>-4.0842655759502553E-5</v>
      </c>
      <c r="AQ31" s="12">
        <v>-2.3027016143604001E-3</v>
      </c>
      <c r="AR31" s="12">
        <v>-1.1600509248665999E-3</v>
      </c>
      <c r="AS31" s="12">
        <v>2.1672769367100001E-4</v>
      </c>
    </row>
    <row r="32" spans="1:45" ht="15" customHeight="1" x14ac:dyDescent="0.3">
      <c r="A32" s="6" t="s">
        <v>201</v>
      </c>
      <c r="B32" s="57">
        <f>SUMIFS(S_Markets!$AI$8:$AI$763,S_Markets!$C$8:$C$763,A32,S_Markets!$AH$8:$AH$763,TRUE)</f>
        <v>6.1219400545634997E-3</v>
      </c>
      <c r="C32" s="46" t="str">
        <f t="shared" si="0"/>
        <v>-</v>
      </c>
      <c r="E32" s="6" t="s">
        <v>1436</v>
      </c>
      <c r="F32" s="12">
        <v>4.8048786165896E-3</v>
      </c>
      <c r="G32" s="12">
        <v>-4.6749413828548001E-3</v>
      </c>
      <c r="H32" s="12">
        <v>-8.7192119326069998E-4</v>
      </c>
      <c r="I32" s="12">
        <v>4.4390180488554001E-3</v>
      </c>
      <c r="J32" s="12">
        <v>-4.6831812226803002E-3</v>
      </c>
      <c r="K32" s="12">
        <v>-2.3611798080607001E-3</v>
      </c>
      <c r="L32" s="12">
        <v>-7.9022999582979995E-4</v>
      </c>
      <c r="M32" s="12">
        <v>-8.6399511466120002E-3</v>
      </c>
      <c r="N32" s="12">
        <v>7.0199361986925E-3</v>
      </c>
      <c r="O32" s="12">
        <v>-5.3655319187510004E-3</v>
      </c>
      <c r="P32" s="12">
        <v>1.6882971307592E-3</v>
      </c>
      <c r="Q32" s="12">
        <v>-3.5133034603004E-3</v>
      </c>
      <c r="R32" s="12">
        <v>-1.0015994891609999E-4</v>
      </c>
      <c r="S32" s="12">
        <v>5.2309415967422999E-3</v>
      </c>
      <c r="T32" s="12">
        <v>6.7795122122005997E-3</v>
      </c>
      <c r="U32" s="12">
        <v>-3.7932673665126999E-3</v>
      </c>
      <c r="V32" s="12">
        <v>-4.2446231620278004E-3</v>
      </c>
      <c r="W32" s="12">
        <v>3.7246462099114999E-3</v>
      </c>
      <c r="X32" s="12">
        <v>2.6770907688439998E-4</v>
      </c>
      <c r="Y32" s="12">
        <v>4.6217709463660002E-4</v>
      </c>
      <c r="Z32" s="12">
        <v>-3.4381474711631999E-3</v>
      </c>
      <c r="AA32" s="12">
        <v>-0.1090726159086161</v>
      </c>
      <c r="AB32" s="12">
        <v>-6.4843048124727201E-2</v>
      </c>
      <c r="AC32" s="12">
        <v>1</v>
      </c>
      <c r="AD32" s="12">
        <v>-2.4912789637908501E-2</v>
      </c>
      <c r="AE32" s="12">
        <v>-3.0649586502674801E-2</v>
      </c>
      <c r="AF32" s="12">
        <v>-4.4387133554605E-3</v>
      </c>
      <c r="AG32" s="12">
        <v>8.4151616417549996E-4</v>
      </c>
      <c r="AH32" s="12">
        <v>-1.6839776962094999E-3</v>
      </c>
      <c r="AI32" s="12">
        <v>1.4806890711627E-3</v>
      </c>
      <c r="AJ32" s="12">
        <v>-4.5545351159154996E-3</v>
      </c>
      <c r="AK32" s="12">
        <v>-6.9152016579310499E-2</v>
      </c>
      <c r="AL32" s="12">
        <v>8.9656776330217097E-2</v>
      </c>
      <c r="AM32" s="12">
        <v>1.27418704729948E-2</v>
      </c>
      <c r="AN32" s="12">
        <v>-2.59471413005983E-2</v>
      </c>
      <c r="AO32" s="12">
        <v>-1.9370241248725E-3</v>
      </c>
      <c r="AP32" s="12">
        <v>-3.4189342995854001E-3</v>
      </c>
      <c r="AQ32" s="12">
        <v>-1.0667279016536E-3</v>
      </c>
      <c r="AR32" s="12">
        <v>-2.5440663303832999E-3</v>
      </c>
      <c r="AS32" s="12">
        <v>1.4478306481777001E-3</v>
      </c>
    </row>
    <row r="33" spans="1:45" ht="15" customHeight="1" x14ac:dyDescent="0.3">
      <c r="A33" s="6" t="s">
        <v>202</v>
      </c>
      <c r="B33" s="57">
        <f>SUMIFS(S_Markets!$AI$8:$AI$763,S_Markets!$C$8:$C$763,A33,S_Markets!$AH$8:$AH$763,TRUE)</f>
        <v>0</v>
      </c>
      <c r="C33" s="46" t="str">
        <f t="shared" si="0"/>
        <v>-</v>
      </c>
      <c r="E33" s="6" t="s">
        <v>1437</v>
      </c>
      <c r="F33" s="12">
        <v>3.7167565294711998E-3</v>
      </c>
      <c r="G33" s="12">
        <v>5.0114043792653003E-3</v>
      </c>
      <c r="H33" s="12">
        <v>2.2425926919170901E-2</v>
      </c>
      <c r="I33" s="12">
        <v>2.6479961150280298E-2</v>
      </c>
      <c r="J33" s="12">
        <v>1.8624727860225801E-2</v>
      </c>
      <c r="K33" s="12">
        <v>4.3099769041697999E-3</v>
      </c>
      <c r="L33" s="12">
        <v>3.4036508951695403E-2</v>
      </c>
      <c r="M33" s="12">
        <v>2.1146340336939701E-2</v>
      </c>
      <c r="N33" s="12">
        <v>3.4514996318250703E-2</v>
      </c>
      <c r="O33" s="12">
        <v>6.4394609198898996E-3</v>
      </c>
      <c r="P33" s="12">
        <v>-3.1418122093392E-3</v>
      </c>
      <c r="Q33" s="12">
        <v>0.18904076242195941</v>
      </c>
      <c r="R33" s="12">
        <v>0.1746003649215854</v>
      </c>
      <c r="S33" s="12">
        <v>2.7236892952959002E-3</v>
      </c>
      <c r="T33" s="12">
        <v>-2.343421154695881E-5</v>
      </c>
      <c r="U33" s="12">
        <v>5.6820575469659004E-3</v>
      </c>
      <c r="V33" s="12">
        <v>-3.1095172777012002E-3</v>
      </c>
      <c r="W33" s="12">
        <v>-2.1673347476700001E-4</v>
      </c>
      <c r="X33" s="12">
        <v>-3.2830845752866E-3</v>
      </c>
      <c r="Y33" s="12">
        <v>2.3993651245800998E-3</v>
      </c>
      <c r="Z33" s="12">
        <v>1.4104232775111001E-3</v>
      </c>
      <c r="AA33" s="12">
        <v>-3.2693170088062398E-2</v>
      </c>
      <c r="AB33" s="12">
        <v>-5.69725954467541E-2</v>
      </c>
      <c r="AC33" s="12">
        <v>-2.4912789637908501E-2</v>
      </c>
      <c r="AD33" s="12">
        <v>1</v>
      </c>
      <c r="AE33" s="12">
        <v>-2.9854646273260399E-2</v>
      </c>
      <c r="AF33" s="12">
        <v>-1.2245027929299999E-4</v>
      </c>
      <c r="AG33" s="12">
        <v>1.6223055919290001E-3</v>
      </c>
      <c r="AH33" s="12">
        <v>-1.9062894948390001E-3</v>
      </c>
      <c r="AI33" s="12">
        <v>-6.1049006109230301E-2</v>
      </c>
      <c r="AJ33" s="12">
        <v>6.7073542416284998E-3</v>
      </c>
      <c r="AK33" s="12">
        <v>1.44899428278532E-2</v>
      </c>
      <c r="AL33" s="12">
        <v>-1.3151577713571099E-2</v>
      </c>
      <c r="AM33" s="12">
        <v>3.5339489595934102E-2</v>
      </c>
      <c r="AN33" s="12">
        <v>3.1824860195390201E-2</v>
      </c>
      <c r="AO33" s="12">
        <v>4.3795630274969903E-2</v>
      </c>
      <c r="AP33" s="12">
        <v>-1.9855240230209998E-3</v>
      </c>
      <c r="AQ33" s="12">
        <v>1.2244067394622999E-3</v>
      </c>
      <c r="AR33" s="12">
        <v>9.6808703010519998E-4</v>
      </c>
      <c r="AS33" s="12">
        <v>-3.6045741777425001E-3</v>
      </c>
    </row>
    <row r="34" spans="1:45" ht="15" customHeight="1" x14ac:dyDescent="0.3">
      <c r="A34" s="6" t="s">
        <v>203</v>
      </c>
      <c r="B34" s="57">
        <f>SUMIFS(S_Markets!$AI$8:$AI$763,S_Markets!$C$8:$C$763,A34,S_Markets!$AH$8:$AH$763,TRUE)</f>
        <v>0</v>
      </c>
      <c r="C34" s="46" t="str">
        <f t="shared" si="0"/>
        <v>-</v>
      </c>
      <c r="E34" s="6" t="s">
        <v>1438</v>
      </c>
      <c r="F34" s="12">
        <v>6.1908190705370998E-3</v>
      </c>
      <c r="G34" s="12">
        <v>1.1204655397076E-3</v>
      </c>
      <c r="H34" s="12">
        <v>2.2815301461596198E-2</v>
      </c>
      <c r="I34" s="12">
        <v>2.1715562979185699E-2</v>
      </c>
      <c r="J34" s="12">
        <v>7.1165380563642999E-3</v>
      </c>
      <c r="K34" s="12">
        <v>4.8247275827210002E-4</v>
      </c>
      <c r="L34" s="12">
        <v>3.3634920046316602E-2</v>
      </c>
      <c r="M34" s="12">
        <v>1.64548122337233E-2</v>
      </c>
      <c r="N34" s="12">
        <v>3.2676460476158499E-2</v>
      </c>
      <c r="O34" s="12">
        <v>-2.2188309885106E-3</v>
      </c>
      <c r="P34" s="12">
        <v>2.5909411468604E-3</v>
      </c>
      <c r="Q34" s="12">
        <v>1.34345737633552E-2</v>
      </c>
      <c r="R34" s="12">
        <v>1.13614764654338E-2</v>
      </c>
      <c r="S34" s="12">
        <v>2.0593996345009999E-3</v>
      </c>
      <c r="T34" s="12">
        <v>0.29606675997327803</v>
      </c>
      <c r="U34" s="12">
        <v>0.12322570865345769</v>
      </c>
      <c r="V34" s="12">
        <v>-5.8899215950903002E-3</v>
      </c>
      <c r="W34" s="12">
        <v>-4.0283495637932001E-3</v>
      </c>
      <c r="X34" s="12">
        <v>2.5522914558820002E-4</v>
      </c>
      <c r="Y34" s="12">
        <v>-8.0869384838470003E-4</v>
      </c>
      <c r="Z34" s="12">
        <v>6.5818219600280003E-4</v>
      </c>
      <c r="AA34" s="12">
        <v>-5.8036807667045102E-2</v>
      </c>
      <c r="AB34" s="12">
        <v>-7.80227509110719E-2</v>
      </c>
      <c r="AC34" s="12">
        <v>-3.0649586502674801E-2</v>
      </c>
      <c r="AD34" s="12">
        <v>-2.9854646273260399E-2</v>
      </c>
      <c r="AE34" s="12">
        <v>1</v>
      </c>
      <c r="AF34" s="12">
        <v>2.1905654205441002E-3</v>
      </c>
      <c r="AG34" s="12">
        <v>1.6269356547796E-3</v>
      </c>
      <c r="AH34" s="12">
        <v>6.3280141514690004E-4</v>
      </c>
      <c r="AI34" s="12">
        <v>-7.2298349207732607E-2</v>
      </c>
      <c r="AJ34" s="12">
        <v>1.3560677199233001E-3</v>
      </c>
      <c r="AK34" s="12">
        <v>4.2968008360520001E-3</v>
      </c>
      <c r="AL34" s="12">
        <v>-2.5514818776948998E-3</v>
      </c>
      <c r="AM34" s="12">
        <v>5.1433910182698502E-2</v>
      </c>
      <c r="AN34" s="12">
        <v>3.80953546244263E-2</v>
      </c>
      <c r="AO34" s="12">
        <v>6.3679286833165996E-2</v>
      </c>
      <c r="AP34" s="12">
        <v>-1.3444419888729001E-3</v>
      </c>
      <c r="AQ34" s="12">
        <v>1.2114605530317E-3</v>
      </c>
      <c r="AR34" s="12">
        <v>1.8110885056606999E-3</v>
      </c>
      <c r="AS34" s="12">
        <v>-7.2091747357994999E-3</v>
      </c>
    </row>
    <row r="35" spans="1:45" ht="15" customHeight="1" x14ac:dyDescent="0.3">
      <c r="A35" s="6" t="s">
        <v>204</v>
      </c>
      <c r="B35" s="57">
        <f>SUMIFS(S_Markets!$AI$8:$AI$763,S_Markets!$C$8:$C$763,A35,S_Markets!$AH$8:$AH$763,TRUE)</f>
        <v>0</v>
      </c>
      <c r="C35" s="46" t="str">
        <f t="shared" si="0"/>
        <v>-</v>
      </c>
      <c r="E35" s="6" t="s">
        <v>1386</v>
      </c>
      <c r="F35" s="12">
        <v>9.4732299906050994E-3</v>
      </c>
      <c r="G35" s="12">
        <v>1.6681489838552499E-2</v>
      </c>
      <c r="H35" s="12">
        <v>8.7148596164809999E-4</v>
      </c>
      <c r="I35" s="12">
        <v>-2.3033992823361998E-3</v>
      </c>
      <c r="J35" s="12">
        <v>1.7667565170296001E-3</v>
      </c>
      <c r="K35" s="12">
        <v>1.1914481578038399E-2</v>
      </c>
      <c r="L35" s="12">
        <v>2.9579445589868998E-3</v>
      </c>
      <c r="M35" s="12">
        <v>-2.3884969985970002E-3</v>
      </c>
      <c r="N35" s="12">
        <v>-3.0488263850855998E-3</v>
      </c>
      <c r="O35" s="12">
        <v>-5.9779256451584998E-3</v>
      </c>
      <c r="P35" s="12">
        <v>0.25624253019528931</v>
      </c>
      <c r="Q35" s="12">
        <v>-1.9653356350227999E-3</v>
      </c>
      <c r="R35" s="12">
        <v>2.0647456506769999E-4</v>
      </c>
      <c r="S35" s="12">
        <v>4.3416455970734001E-3</v>
      </c>
      <c r="T35" s="12">
        <v>-3.2151923935141999E-3</v>
      </c>
      <c r="U35" s="12">
        <v>-9.6123626315130714E-5</v>
      </c>
      <c r="V35" s="12">
        <v>1.0569405718015099E-2</v>
      </c>
      <c r="W35" s="12">
        <v>1.32151766686106E-2</v>
      </c>
      <c r="X35" s="12">
        <v>7.7220346171641002E-3</v>
      </c>
      <c r="Y35" s="12">
        <v>-5.6535254534257298E-2</v>
      </c>
      <c r="Z35" s="12">
        <v>-4.7141235408380097E-2</v>
      </c>
      <c r="AA35" s="12">
        <v>-2.9636501408808998E-3</v>
      </c>
      <c r="AB35" s="12">
        <v>-2.1273014834980999E-3</v>
      </c>
      <c r="AC35" s="12">
        <v>-4.4387133554605E-3</v>
      </c>
      <c r="AD35" s="12">
        <v>-1.2245027929299999E-4</v>
      </c>
      <c r="AE35" s="12">
        <v>2.1905654205441002E-3</v>
      </c>
      <c r="AF35" s="12">
        <v>1</v>
      </c>
      <c r="AG35" s="12">
        <v>-2.5641393584546798E-2</v>
      </c>
      <c r="AH35" s="12">
        <v>-3.6760443883198803E-2</v>
      </c>
      <c r="AI35" s="12">
        <v>-1.19161065585485E-2</v>
      </c>
      <c r="AJ35" s="12">
        <v>2.4017154821520101E-2</v>
      </c>
      <c r="AK35" s="12">
        <v>9.4692738665749007E-3</v>
      </c>
      <c r="AL35" s="12">
        <v>-1.0353605000485801E-2</v>
      </c>
      <c r="AM35" s="12">
        <v>1.31294423770137E-2</v>
      </c>
      <c r="AN35" s="12">
        <v>1.6963735559360201E-2</v>
      </c>
      <c r="AO35" s="12">
        <v>9.4967747147232003E-3</v>
      </c>
      <c r="AP35" s="12">
        <v>-6.3639945090859407E-2</v>
      </c>
      <c r="AQ35" s="12">
        <v>6.4872846578826304E-2</v>
      </c>
      <c r="AR35" s="12">
        <v>-3.9268282485380002E-2</v>
      </c>
      <c r="AS35" s="12">
        <v>3.72415058727033E-2</v>
      </c>
    </row>
    <row r="36" spans="1:45" ht="15" customHeight="1" x14ac:dyDescent="0.3">
      <c r="A36" s="6" t="s">
        <v>205</v>
      </c>
      <c r="B36" s="57">
        <f>SUMIFS(S_Markets!$AI$8:$AI$763,S_Markets!$C$8:$C$763,A36,S_Markets!$AH$8:$AH$763,TRUE)</f>
        <v>0</v>
      </c>
      <c r="C36" s="46" t="str">
        <f t="shared" si="0"/>
        <v>-</v>
      </c>
      <c r="E36" s="6" t="s">
        <v>1439</v>
      </c>
      <c r="F36" s="12">
        <v>1.4117126917080999E-3</v>
      </c>
      <c r="G36" s="12">
        <v>-2.3928639678233001E-3</v>
      </c>
      <c r="H36" s="12">
        <v>-4.033151702962E-4</v>
      </c>
      <c r="I36" s="12">
        <v>2.4197571469286002E-3</v>
      </c>
      <c r="J36" s="12">
        <v>5.0441392626768998E-3</v>
      </c>
      <c r="K36" s="12">
        <v>5.8203999343142999E-3</v>
      </c>
      <c r="L36" s="12">
        <v>7.0953725390100004E-4</v>
      </c>
      <c r="M36" s="12">
        <v>-2.3176759744834999E-3</v>
      </c>
      <c r="N36" s="12">
        <v>5.2667820871617997E-3</v>
      </c>
      <c r="O36" s="12">
        <v>4.1769223425517999E-3</v>
      </c>
      <c r="P36" s="12">
        <v>2.9055102841977699E-2</v>
      </c>
      <c r="Q36" s="12">
        <v>6.9712770945745996E-3</v>
      </c>
      <c r="R36" s="12">
        <v>4.2977292221574002E-3</v>
      </c>
      <c r="S36" s="12">
        <v>4.9003666786629997E-3</v>
      </c>
      <c r="T36" s="12">
        <v>2.0466422574459998E-3</v>
      </c>
      <c r="U36" s="12">
        <v>3.1097871150579E-3</v>
      </c>
      <c r="V36" s="12">
        <v>5.2782553754330698E-2</v>
      </c>
      <c r="W36" s="12">
        <v>6.5432767243127604E-2</v>
      </c>
      <c r="X36" s="12">
        <v>5.7358867925372203E-2</v>
      </c>
      <c r="Y36" s="12">
        <v>2.88370057329831E-2</v>
      </c>
      <c r="Z36" s="12">
        <v>2.8463690352272E-2</v>
      </c>
      <c r="AA36" s="12">
        <v>2.1418213269231001E-3</v>
      </c>
      <c r="AB36" s="12">
        <v>1.6497974744908001E-3</v>
      </c>
      <c r="AC36" s="12">
        <v>8.4151616417549996E-4</v>
      </c>
      <c r="AD36" s="12">
        <v>1.6223055919290001E-3</v>
      </c>
      <c r="AE36" s="12">
        <v>1.6269356547796E-3</v>
      </c>
      <c r="AF36" s="12">
        <v>-2.5641393584546798E-2</v>
      </c>
      <c r="AG36" s="12">
        <v>1</v>
      </c>
      <c r="AH36" s="12">
        <v>-2.3752414435456198E-2</v>
      </c>
      <c r="AI36" s="12">
        <v>-1.07714432083341E-2</v>
      </c>
      <c r="AJ36" s="12">
        <v>3.2967566548136797E-2</v>
      </c>
      <c r="AK36" s="12">
        <v>5.5924225463792002E-3</v>
      </c>
      <c r="AL36" s="12">
        <v>-9.9657499751435001E-3</v>
      </c>
      <c r="AM36" s="12">
        <v>1.05260209571505E-2</v>
      </c>
      <c r="AN36" s="12">
        <v>1.0399364584772201E-2</v>
      </c>
      <c r="AO36" s="12">
        <v>1.2447405006978199E-2</v>
      </c>
      <c r="AP36" s="12">
        <v>-2.9900468049699602E-2</v>
      </c>
      <c r="AQ36" s="12">
        <v>3.2059781298171497E-2</v>
      </c>
      <c r="AR36" s="12">
        <v>0.62945859812293126</v>
      </c>
      <c r="AS36" s="12">
        <v>1.9477778188860401E-2</v>
      </c>
    </row>
    <row r="37" spans="1:45" ht="15" customHeight="1" x14ac:dyDescent="0.3">
      <c r="A37" s="6" t="s">
        <v>206</v>
      </c>
      <c r="B37" s="57">
        <f>SUMIFS(S_Markets!$AI$8:$AI$763,S_Markets!$C$8:$C$763,A37,S_Markets!$AH$8:$AH$763,TRUE)</f>
        <v>0</v>
      </c>
      <c r="C37" s="46" t="str">
        <f t="shared" si="0"/>
        <v>-</v>
      </c>
      <c r="E37" s="6" t="s">
        <v>1388</v>
      </c>
      <c r="F37" s="12">
        <v>5.2684069718820998E-3</v>
      </c>
      <c r="G37" s="12">
        <v>1.39574201101807E-2</v>
      </c>
      <c r="H37" s="12">
        <v>2.3418178030586E-3</v>
      </c>
      <c r="I37" s="12">
        <v>-3.4805604386008752E-5</v>
      </c>
      <c r="J37" s="12">
        <v>7.4327803524836004E-3</v>
      </c>
      <c r="K37" s="12">
        <v>1.50565323796726E-2</v>
      </c>
      <c r="L37" s="12">
        <v>1.0530203785951999E-3</v>
      </c>
      <c r="M37" s="12">
        <v>3.5078256774831E-3</v>
      </c>
      <c r="N37" s="12">
        <v>1.1009338134479999E-4</v>
      </c>
      <c r="O37" s="12">
        <v>-7.7367879502760004E-3</v>
      </c>
      <c r="P37" s="12">
        <v>0.19786494195634649</v>
      </c>
      <c r="Q37" s="12">
        <v>-2.2326628031946001E-3</v>
      </c>
      <c r="R37" s="12">
        <v>-4.0974955372779999E-4</v>
      </c>
      <c r="S37" s="12">
        <v>3.1763898807098002E-3</v>
      </c>
      <c r="T37" s="12">
        <v>4.6181196960490998E-3</v>
      </c>
      <c r="U37" s="12">
        <v>1.7987067685154999E-3</v>
      </c>
      <c r="V37" s="12">
        <v>1.7548443620381399E-2</v>
      </c>
      <c r="W37" s="12">
        <v>9.7194401864621992E-3</v>
      </c>
      <c r="X37" s="12">
        <v>2.3688599960260699E-2</v>
      </c>
      <c r="Y37" s="12">
        <v>-3.6577250816677703E-2</v>
      </c>
      <c r="Z37" s="12">
        <v>-4.5042713037670601E-2</v>
      </c>
      <c r="AA37" s="12">
        <v>2.8637422511751001E-3</v>
      </c>
      <c r="AB37" s="12">
        <v>2.7628154002198998E-3</v>
      </c>
      <c r="AC37" s="12">
        <v>-1.6839776962094999E-3</v>
      </c>
      <c r="AD37" s="12">
        <v>-1.9062894948390001E-3</v>
      </c>
      <c r="AE37" s="12">
        <v>6.3280141514690004E-4</v>
      </c>
      <c r="AF37" s="12">
        <v>-3.6760443883198803E-2</v>
      </c>
      <c r="AG37" s="12">
        <v>-2.3752414435456198E-2</v>
      </c>
      <c r="AH37" s="12">
        <v>1</v>
      </c>
      <c r="AI37" s="12">
        <v>-1.0500223733343E-2</v>
      </c>
      <c r="AJ37" s="12">
        <v>1.75593071119657E-2</v>
      </c>
      <c r="AK37" s="12">
        <v>6.6155833435868E-3</v>
      </c>
      <c r="AL37" s="12">
        <v>-1.3402631691694899E-2</v>
      </c>
      <c r="AM37" s="12">
        <v>1.14539418337926E-2</v>
      </c>
      <c r="AN37" s="12">
        <v>1.3610983576844799E-2</v>
      </c>
      <c r="AO37" s="12">
        <v>1.28231286495997E-2</v>
      </c>
      <c r="AP37" s="12">
        <v>-4.3104931254562801E-2</v>
      </c>
      <c r="AQ37" s="12">
        <v>5.6977045467718097E-2</v>
      </c>
      <c r="AR37" s="12">
        <v>-3.3688402030681797E-2</v>
      </c>
      <c r="AS37" s="12">
        <v>4.13063920305844E-2</v>
      </c>
    </row>
    <row r="38" spans="1:45" ht="15" customHeight="1" x14ac:dyDescent="0.3">
      <c r="A38" s="6" t="s">
        <v>207</v>
      </c>
      <c r="B38" s="57">
        <f>SUMIFS(S_Markets!$AI$8:$AI$763,S_Markets!$C$8:$C$763,A38,S_Markets!$AH$8:$AH$763,TRUE)</f>
        <v>0</v>
      </c>
      <c r="C38" s="46" t="str">
        <f t="shared" si="0"/>
        <v>-</v>
      </c>
      <c r="E38" s="6" t="s">
        <v>1440</v>
      </c>
      <c r="F38" s="12">
        <v>1.8633239691671999E-3</v>
      </c>
      <c r="G38" s="12">
        <v>1.8328593580574E-3</v>
      </c>
      <c r="H38" s="12">
        <v>1.4150654248318101E-2</v>
      </c>
      <c r="I38" s="12">
        <v>1.77185581975376E-2</v>
      </c>
      <c r="J38" s="12">
        <v>3.0620851591111999E-3</v>
      </c>
      <c r="K38" s="12">
        <v>-2.6498095690405E-3</v>
      </c>
      <c r="L38" s="12">
        <v>2.30933837894894E-2</v>
      </c>
      <c r="M38" s="12">
        <v>9.2851449826535995E-3</v>
      </c>
      <c r="N38" s="12">
        <v>2.46377791675143E-2</v>
      </c>
      <c r="O38" s="12">
        <v>2.5548086502719998E-4</v>
      </c>
      <c r="P38" s="12">
        <v>3.2291888067390002E-4</v>
      </c>
      <c r="Q38" s="12">
        <v>6.0278912798396499E-2</v>
      </c>
      <c r="R38" s="12">
        <v>5.8646339382456503E-2</v>
      </c>
      <c r="S38" s="12">
        <v>-6.6712451310673004E-3</v>
      </c>
      <c r="T38" s="12">
        <v>8.0105331489797003E-3</v>
      </c>
      <c r="U38" s="12">
        <v>-8.6667565929711993E-3</v>
      </c>
      <c r="V38" s="12">
        <v>-4.9637885946644004E-3</v>
      </c>
      <c r="W38" s="12">
        <v>-4.2165412174769001E-3</v>
      </c>
      <c r="X38" s="12">
        <v>5.635821097935E-4</v>
      </c>
      <c r="Y38" s="12">
        <v>-2.3057952310048999E-3</v>
      </c>
      <c r="Z38" s="12">
        <v>5.7528244327459998E-3</v>
      </c>
      <c r="AA38" s="12">
        <v>-2.1274923284551599E-2</v>
      </c>
      <c r="AB38" s="12">
        <v>0.52416656602504219</v>
      </c>
      <c r="AC38" s="12">
        <v>1.4806890711627E-3</v>
      </c>
      <c r="AD38" s="12">
        <v>-6.1049006109230301E-2</v>
      </c>
      <c r="AE38" s="12">
        <v>-7.2298349207732607E-2</v>
      </c>
      <c r="AF38" s="12">
        <v>-1.19161065585485E-2</v>
      </c>
      <c r="AG38" s="12">
        <v>-1.07714432083341E-2</v>
      </c>
      <c r="AH38" s="12">
        <v>-1.0500223733343E-2</v>
      </c>
      <c r="AI38" s="12">
        <v>1</v>
      </c>
      <c r="AJ38" s="12">
        <v>1.56279038022046E-2</v>
      </c>
      <c r="AK38" s="12">
        <v>1.51035551412761E-2</v>
      </c>
      <c r="AL38" s="12">
        <v>-3.4522901717000502E-2</v>
      </c>
      <c r="AM38" s="12">
        <v>4.2184394456561698E-2</v>
      </c>
      <c r="AN38" s="12">
        <v>2.6137814931037999E-2</v>
      </c>
      <c r="AO38" s="12">
        <v>3.8866128922465E-2</v>
      </c>
      <c r="AP38" s="12">
        <v>-7.1492409479089998E-4</v>
      </c>
      <c r="AQ38" s="12">
        <v>2.4669878060165E-3</v>
      </c>
      <c r="AR38" s="12">
        <v>-4.3090741312072998E-3</v>
      </c>
      <c r="AS38" s="12">
        <v>-2.3885510625289998E-3</v>
      </c>
    </row>
    <row r="39" spans="1:45" ht="15" customHeight="1" x14ac:dyDescent="0.3">
      <c r="A39" s="6" t="s">
        <v>208</v>
      </c>
      <c r="B39" s="57">
        <f>SUMIFS(S_Markets!$AI$8:$AI$763,S_Markets!$C$8:$C$763,A39,S_Markets!$AH$8:$AH$763,TRUE)</f>
        <v>0</v>
      </c>
      <c r="C39" s="46" t="str">
        <f t="shared" si="0"/>
        <v>-</v>
      </c>
      <c r="E39" s="6" t="s">
        <v>1390</v>
      </c>
      <c r="F39" s="12">
        <v>-2.7766135023741499E-2</v>
      </c>
      <c r="G39" s="12">
        <v>-2.07640491157275E-2</v>
      </c>
      <c r="H39" s="12">
        <v>-9.1844002851120994E-3</v>
      </c>
      <c r="I39" s="12">
        <v>-6.2896247862657996E-3</v>
      </c>
      <c r="J39" s="12">
        <v>0.18017780948328929</v>
      </c>
      <c r="K39" s="12">
        <v>0.2689245763171122</v>
      </c>
      <c r="L39" s="12">
        <v>-1.9540973741625999E-3</v>
      </c>
      <c r="M39" s="12">
        <v>-2.4408197717945999E-3</v>
      </c>
      <c r="N39" s="12">
        <v>1.1088785560631001E-3</v>
      </c>
      <c r="O39" s="12">
        <v>0.44386554083091079</v>
      </c>
      <c r="P39" s="12">
        <v>-5.3204888994711997E-3</v>
      </c>
      <c r="Q39" s="12">
        <v>-5.1299195783349998E-4</v>
      </c>
      <c r="R39" s="12">
        <v>6.4933342195430998E-3</v>
      </c>
      <c r="S39" s="12">
        <v>7.4484739041959999E-3</v>
      </c>
      <c r="T39" s="12">
        <v>-2.3385357414279999E-4</v>
      </c>
      <c r="U39" s="12">
        <v>-4.0956716644762999E-3</v>
      </c>
      <c r="V39" s="12">
        <v>5.9511520945630999E-3</v>
      </c>
      <c r="W39" s="12">
        <v>1.8000420511358799E-2</v>
      </c>
      <c r="X39" s="12">
        <v>1.17048371597538E-2</v>
      </c>
      <c r="Y39" s="12">
        <v>5.5875444845177397E-2</v>
      </c>
      <c r="Z39" s="12">
        <v>5.8117195381448397E-2</v>
      </c>
      <c r="AA39" s="12">
        <v>1.3553063165836999E-3</v>
      </c>
      <c r="AB39" s="12">
        <v>-4.4599677534763E-3</v>
      </c>
      <c r="AC39" s="12">
        <v>-4.5545351159154996E-3</v>
      </c>
      <c r="AD39" s="12">
        <v>6.7073542416284998E-3</v>
      </c>
      <c r="AE39" s="12">
        <v>1.3560677199233001E-3</v>
      </c>
      <c r="AF39" s="12">
        <v>2.4017154821520101E-2</v>
      </c>
      <c r="AG39" s="12">
        <v>3.2967566548136797E-2</v>
      </c>
      <c r="AH39" s="12">
        <v>1.75593071119657E-2</v>
      </c>
      <c r="AI39" s="12">
        <v>1.56279038022046E-2</v>
      </c>
      <c r="AJ39" s="12">
        <v>1</v>
      </c>
      <c r="AK39" s="12">
        <v>-5.1467035078748002E-3</v>
      </c>
      <c r="AL39" s="12">
        <v>1.3060215255871499E-2</v>
      </c>
      <c r="AM39" s="12">
        <v>-1.5063065470764501E-2</v>
      </c>
      <c r="AN39" s="12">
        <v>-8.0982636741945002E-3</v>
      </c>
      <c r="AO39" s="12">
        <v>-1.33393059863245E-2</v>
      </c>
      <c r="AP39" s="12">
        <v>4.3812738451867998E-2</v>
      </c>
      <c r="AQ39" s="12">
        <v>-3.85893124470231E-2</v>
      </c>
      <c r="AR39" s="12">
        <v>2.58280426815106E-2</v>
      </c>
      <c r="AS39" s="12">
        <v>-2.8484015714100301E-2</v>
      </c>
    </row>
    <row r="40" spans="1:45" ht="15" customHeight="1" x14ac:dyDescent="0.3">
      <c r="A40" s="6" t="s">
        <v>209</v>
      </c>
      <c r="B40" s="57">
        <f>SUMIFS(S_Markets!$AI$8:$AI$763,S_Markets!$C$8:$C$763,A40,S_Markets!$AH$8:$AH$763,TRUE)</f>
        <v>0</v>
      </c>
      <c r="C40" s="46" t="str">
        <f t="shared" si="0"/>
        <v>-</v>
      </c>
      <c r="E40" s="6" t="s">
        <v>1441</v>
      </c>
      <c r="F40" s="12">
        <v>2.8466292861490002E-4</v>
      </c>
      <c r="G40" s="12">
        <v>4.7473258308159999E-4</v>
      </c>
      <c r="H40" s="12">
        <v>-1.9326807469984E-3</v>
      </c>
      <c r="I40" s="12">
        <v>1.9876905396533002E-3</v>
      </c>
      <c r="J40" s="12">
        <v>7.2771651143154004E-3</v>
      </c>
      <c r="K40" s="12">
        <v>2.4452785474350998E-3</v>
      </c>
      <c r="L40" s="12">
        <v>-6.7992738678947003E-3</v>
      </c>
      <c r="M40" s="12">
        <v>5.0106181331349198E-2</v>
      </c>
      <c r="N40" s="12">
        <v>4.3890470333349998E-3</v>
      </c>
      <c r="O40" s="12">
        <v>5.3952982688175001E-3</v>
      </c>
      <c r="P40" s="12">
        <v>-2.1015967829925001E-3</v>
      </c>
      <c r="Q40" s="12">
        <v>4.8730818031740997E-3</v>
      </c>
      <c r="R40" s="12">
        <v>6.8146211462715997E-3</v>
      </c>
      <c r="S40" s="12">
        <v>-7.4128545513219004E-3</v>
      </c>
      <c r="T40" s="12">
        <v>-1.40550799492322E-2</v>
      </c>
      <c r="U40" s="12">
        <v>7.5351090145404698E-2</v>
      </c>
      <c r="V40" s="12">
        <v>1.4630691235231999E-3</v>
      </c>
      <c r="W40" s="12">
        <v>-2.9910204393231001E-3</v>
      </c>
      <c r="X40" s="12">
        <v>7.3836809733979995E-4</v>
      </c>
      <c r="Y40" s="12">
        <v>3.2822607321985001E-3</v>
      </c>
      <c r="Z40" s="12">
        <v>-1.8265194930848E-3</v>
      </c>
      <c r="AA40" s="12">
        <v>0.36772379120458298</v>
      </c>
      <c r="AB40" s="12">
        <v>-1.50338311461352E-2</v>
      </c>
      <c r="AC40" s="12">
        <v>-6.9152016579310499E-2</v>
      </c>
      <c r="AD40" s="12">
        <v>1.44899428278532E-2</v>
      </c>
      <c r="AE40" s="12">
        <v>4.2968008360520001E-3</v>
      </c>
      <c r="AF40" s="12">
        <v>9.4692738665749007E-3</v>
      </c>
      <c r="AG40" s="12">
        <v>5.5924225463792002E-3</v>
      </c>
      <c r="AH40" s="12">
        <v>6.6155833435868E-3</v>
      </c>
      <c r="AI40" s="12">
        <v>1.51035551412761E-2</v>
      </c>
      <c r="AJ40" s="12">
        <v>-5.1467035078748002E-3</v>
      </c>
      <c r="AK40" s="12">
        <v>1</v>
      </c>
      <c r="AL40" s="12">
        <v>1.8647242016382098E-2</v>
      </c>
      <c r="AM40" s="12">
        <v>-3.1905489855602702E-2</v>
      </c>
      <c r="AN40" s="12">
        <v>-3.5195281048525102E-2</v>
      </c>
      <c r="AO40" s="12">
        <v>-2.08750678386555E-2</v>
      </c>
      <c r="AP40" s="12">
        <v>1.7529078585017E-3</v>
      </c>
      <c r="AQ40" s="12">
        <v>-3.5267515048418999E-3</v>
      </c>
      <c r="AR40" s="12">
        <v>-4.6212441707513003E-3</v>
      </c>
      <c r="AS40" s="12">
        <v>1.3161082943237E-3</v>
      </c>
    </row>
    <row r="41" spans="1:45" ht="15" customHeight="1" x14ac:dyDescent="0.3">
      <c r="A41" s="6" t="s">
        <v>210</v>
      </c>
      <c r="B41" s="57">
        <f>SUMIFS(S_Markets!$AI$8:$AI$763,S_Markets!$C$8:$C$763,A41,S_Markets!$AH$8:$AH$763,TRUE)</f>
        <v>0</v>
      </c>
      <c r="C41" s="46" t="str">
        <f t="shared" si="0"/>
        <v>-</v>
      </c>
      <c r="E41" s="6" t="s">
        <v>1392</v>
      </c>
      <c r="F41" s="12">
        <v>-2.8137155268135E-3</v>
      </c>
      <c r="G41" s="12">
        <v>-7.1147335447901998E-3</v>
      </c>
      <c r="H41" s="12">
        <v>1.4188695547293999E-3</v>
      </c>
      <c r="I41" s="12">
        <v>3.5412756460463002E-3</v>
      </c>
      <c r="J41" s="12">
        <v>-4.6454912359749999E-4</v>
      </c>
      <c r="K41" s="12">
        <v>9.0615094949109999E-4</v>
      </c>
      <c r="L41" s="12">
        <v>-4.1830239369570002E-4</v>
      </c>
      <c r="M41" s="12">
        <v>4.9000195558972998E-3</v>
      </c>
      <c r="N41" s="12">
        <v>8.5220780517680002E-3</v>
      </c>
      <c r="O41" s="12">
        <v>2.0674688742780998E-3</v>
      </c>
      <c r="P41" s="12">
        <v>-5.4194660241809996E-4</v>
      </c>
      <c r="Q41" s="12">
        <v>9.3228663489600995E-3</v>
      </c>
      <c r="R41" s="12">
        <v>1.27055172448255E-2</v>
      </c>
      <c r="S41" s="12">
        <v>-6.2844680162966E-3</v>
      </c>
      <c r="T41" s="12">
        <v>4.4183370145085997E-3</v>
      </c>
      <c r="U41" s="12">
        <v>-3.8942811650277999E-3</v>
      </c>
      <c r="V41" s="12">
        <v>5.1284534378619002E-3</v>
      </c>
      <c r="W41" s="12">
        <v>-5.4291450048518999E-3</v>
      </c>
      <c r="X41" s="12">
        <v>-2.9164626796122999E-3</v>
      </c>
      <c r="Y41" s="12">
        <v>1.0143236413464999E-3</v>
      </c>
      <c r="Z41" s="12">
        <v>-3.7855798246346E-3</v>
      </c>
      <c r="AA41" s="12">
        <v>6.9565731834742295E-2</v>
      </c>
      <c r="AB41" s="12">
        <v>2.5402960358330201E-2</v>
      </c>
      <c r="AC41" s="12">
        <v>8.9656776330217097E-2</v>
      </c>
      <c r="AD41" s="12">
        <v>-1.3151577713571099E-2</v>
      </c>
      <c r="AE41" s="12">
        <v>-2.5514818776948998E-3</v>
      </c>
      <c r="AF41" s="12">
        <v>-1.0353605000485801E-2</v>
      </c>
      <c r="AG41" s="12">
        <v>-9.9657499751435001E-3</v>
      </c>
      <c r="AH41" s="12">
        <v>-1.3402631691694899E-2</v>
      </c>
      <c r="AI41" s="12">
        <v>-3.4522901717000502E-2</v>
      </c>
      <c r="AJ41" s="12">
        <v>1.3060215255871499E-2</v>
      </c>
      <c r="AK41" s="12">
        <v>1.8647242016382098E-2</v>
      </c>
      <c r="AL41" s="12">
        <v>1</v>
      </c>
      <c r="AM41" s="12">
        <v>3.1708192255477698E-2</v>
      </c>
      <c r="AN41" s="12">
        <v>1.9040338985902801E-2</v>
      </c>
      <c r="AO41" s="12">
        <v>4.4050423374750999E-2</v>
      </c>
      <c r="AP41" s="12">
        <v>2.4316940426954E-3</v>
      </c>
      <c r="AQ41" s="12">
        <v>-4.6070666161612001E-3</v>
      </c>
      <c r="AR41" s="12">
        <v>2.1047426409968998E-3</v>
      </c>
      <c r="AS41" s="12">
        <v>-2.5460859637319998E-4</v>
      </c>
    </row>
    <row r="42" spans="1:45" ht="15" customHeight="1" x14ac:dyDescent="0.3">
      <c r="A42" s="6" t="s">
        <v>211</v>
      </c>
      <c r="B42" s="57">
        <f>SUMIFS(S_Markets!$AI$8:$AI$763,S_Markets!$C$8:$C$763,A42,S_Markets!$AH$8:$AH$763,TRUE)</f>
        <v>0</v>
      </c>
      <c r="C42" s="46" t="str">
        <f t="shared" si="0"/>
        <v>-</v>
      </c>
      <c r="E42" s="6" t="s">
        <v>1393</v>
      </c>
      <c r="F42" s="12">
        <v>-7.3725484658659001E-3</v>
      </c>
      <c r="G42" s="12">
        <v>-6.9859347196189001E-3</v>
      </c>
      <c r="H42" s="12">
        <v>0.1681796015845311</v>
      </c>
      <c r="I42" s="12">
        <v>-1.41675531439367E-2</v>
      </c>
      <c r="J42" s="12">
        <v>-8.6512822927242994E-3</v>
      </c>
      <c r="K42" s="12">
        <v>-1.7763148950543E-3</v>
      </c>
      <c r="L42" s="12">
        <v>0.21198340863432061</v>
      </c>
      <c r="M42" s="12">
        <v>-2.30002042443571E-2</v>
      </c>
      <c r="N42" s="12">
        <v>-2.5950536210061499E-2</v>
      </c>
      <c r="O42" s="12">
        <v>1.1526678677199001E-3</v>
      </c>
      <c r="P42" s="12">
        <v>-1.775367523045E-3</v>
      </c>
      <c r="Q42" s="12">
        <v>3.5237507608095E-3</v>
      </c>
      <c r="R42" s="12">
        <v>1.2707091353534E-3</v>
      </c>
      <c r="S42" s="12">
        <v>9.7350732443520003E-4</v>
      </c>
      <c r="T42" s="12">
        <v>0.45162615812736229</v>
      </c>
      <c r="U42" s="12">
        <v>-0.13148677136409259</v>
      </c>
      <c r="V42" s="12">
        <v>-7.2341651906309996E-4</v>
      </c>
      <c r="W42" s="12">
        <v>3.7224115486985E-3</v>
      </c>
      <c r="X42" s="12">
        <v>1.6149799187845E-3</v>
      </c>
      <c r="Y42" s="12">
        <v>4.6906110319557002E-3</v>
      </c>
      <c r="Z42" s="12">
        <v>3.016054098027E-4</v>
      </c>
      <c r="AA42" s="12">
        <v>3.0433596190519999E-2</v>
      </c>
      <c r="AB42" s="12">
        <v>6.1189454952858997E-2</v>
      </c>
      <c r="AC42" s="12">
        <v>1.27418704729948E-2</v>
      </c>
      <c r="AD42" s="12">
        <v>3.5339489595934102E-2</v>
      </c>
      <c r="AE42" s="12">
        <v>5.1433910182698502E-2</v>
      </c>
      <c r="AF42" s="12">
        <v>1.31294423770137E-2</v>
      </c>
      <c r="AG42" s="12">
        <v>1.05260209571505E-2</v>
      </c>
      <c r="AH42" s="12">
        <v>1.14539418337926E-2</v>
      </c>
      <c r="AI42" s="12">
        <v>4.2184394456561698E-2</v>
      </c>
      <c r="AJ42" s="12">
        <v>-1.5063065470764501E-2</v>
      </c>
      <c r="AK42" s="12">
        <v>-3.1905489855602702E-2</v>
      </c>
      <c r="AL42" s="12">
        <v>3.1708192255477698E-2</v>
      </c>
      <c r="AM42" s="12">
        <v>1</v>
      </c>
      <c r="AN42" s="12">
        <v>-3.31341219200912E-2</v>
      </c>
      <c r="AO42" s="12">
        <v>-2.2358568338640701E-2</v>
      </c>
      <c r="AP42" s="12">
        <v>3.2066117177521002E-3</v>
      </c>
      <c r="AQ42" s="12">
        <v>8.2142709859099996E-4</v>
      </c>
      <c r="AR42" s="12">
        <v>-3.713754478181E-4</v>
      </c>
      <c r="AS42" s="12">
        <v>-3.529828584881E-4</v>
      </c>
    </row>
    <row r="43" spans="1:45" ht="15" customHeight="1" x14ac:dyDescent="0.3">
      <c r="A43" s="6" t="s">
        <v>212</v>
      </c>
      <c r="B43" s="57">
        <f>SUMIFS(S_Markets!$AI$8:$AI$763,S_Markets!$C$8:$C$763,A43,S_Markets!$AH$8:$AH$763,TRUE)</f>
        <v>0</v>
      </c>
      <c r="C43" s="46" t="str">
        <f t="shared" si="0"/>
        <v>-</v>
      </c>
      <c r="E43" s="6" t="s">
        <v>1442</v>
      </c>
      <c r="F43" s="12">
        <v>-1.7971335130453001E-3</v>
      </c>
      <c r="G43" s="12">
        <v>5.1467412836585999E-3</v>
      </c>
      <c r="H43" s="12">
        <v>-1.0991318274103301E-2</v>
      </c>
      <c r="I43" s="12">
        <v>-6.8926737842336999E-3</v>
      </c>
      <c r="J43" s="12">
        <v>-4.7372175289970002E-4</v>
      </c>
      <c r="K43" s="12">
        <v>2.4029176651463998E-3</v>
      </c>
      <c r="L43" s="12">
        <v>-1.2152659710785401E-2</v>
      </c>
      <c r="M43" s="12">
        <v>-1.2312046670697199E-2</v>
      </c>
      <c r="N43" s="12">
        <v>-1.48260914223627E-2</v>
      </c>
      <c r="O43" s="12">
        <v>6.5780863117894002E-3</v>
      </c>
      <c r="P43" s="12">
        <v>2.9766730569884779E-5</v>
      </c>
      <c r="Q43" s="12">
        <v>2.1364442686779002E-3</v>
      </c>
      <c r="R43" s="12">
        <v>-7.2943793943043003E-3</v>
      </c>
      <c r="S43" s="12">
        <v>0.44655782498921581</v>
      </c>
      <c r="T43" s="12">
        <v>-8.1855195447799994E-3</v>
      </c>
      <c r="U43" s="12">
        <v>-4.3853069786310003E-3</v>
      </c>
      <c r="V43" s="12">
        <v>2.7047405033829997E-4</v>
      </c>
      <c r="W43" s="12">
        <v>-2.8719631768744001E-3</v>
      </c>
      <c r="X43" s="12">
        <v>-4.5072084239489998E-4</v>
      </c>
      <c r="Y43" s="12">
        <v>-3.7647508789371001E-3</v>
      </c>
      <c r="Z43" s="12">
        <v>4.7384674459622998E-3</v>
      </c>
      <c r="AA43" s="12">
        <v>-1.67399096995304E-2</v>
      </c>
      <c r="AB43" s="12">
        <v>3.1491869111350101E-2</v>
      </c>
      <c r="AC43" s="12">
        <v>-2.59471413005983E-2</v>
      </c>
      <c r="AD43" s="12">
        <v>3.1824860195390201E-2</v>
      </c>
      <c r="AE43" s="12">
        <v>3.80953546244263E-2</v>
      </c>
      <c r="AF43" s="12">
        <v>1.6963735559360201E-2</v>
      </c>
      <c r="AG43" s="12">
        <v>1.0399364584772201E-2</v>
      </c>
      <c r="AH43" s="12">
        <v>1.3610983576844799E-2</v>
      </c>
      <c r="AI43" s="12">
        <v>2.6137814931037999E-2</v>
      </c>
      <c r="AJ43" s="12">
        <v>-8.0982636741945002E-3</v>
      </c>
      <c r="AK43" s="12">
        <v>-3.5195281048525102E-2</v>
      </c>
      <c r="AL43" s="12">
        <v>1.9040338985902801E-2</v>
      </c>
      <c r="AM43" s="12">
        <v>-3.31341219200912E-2</v>
      </c>
      <c r="AN43" s="12">
        <v>1</v>
      </c>
      <c r="AO43" s="12">
        <v>-3.5579385507093803E-2</v>
      </c>
      <c r="AP43" s="12">
        <v>1.9440096554596E-3</v>
      </c>
      <c r="AQ43" s="12">
        <v>1.197685186148E-4</v>
      </c>
      <c r="AR43" s="12">
        <v>-2.440640429171E-4</v>
      </c>
      <c r="AS43" s="12">
        <v>4.8123045242461004E-3</v>
      </c>
    </row>
    <row r="44" spans="1:45" ht="15" customHeight="1" x14ac:dyDescent="0.3">
      <c r="A44" s="6" t="s">
        <v>213</v>
      </c>
      <c r="B44" s="57">
        <f>SUMIFS(S_Markets!$AI$8:$AI$763,S_Markets!$C$8:$C$763,A44,S_Markets!$AH$8:$AH$763,TRUE)</f>
        <v>0</v>
      </c>
      <c r="C44" s="46" t="str">
        <f t="shared" si="0"/>
        <v>-</v>
      </c>
      <c r="E44" s="6" t="s">
        <v>1443</v>
      </c>
      <c r="F44" s="12">
        <v>3.5542834038340002E-3</v>
      </c>
      <c r="G44" s="12">
        <v>2.2191212162252002E-3</v>
      </c>
      <c r="H44" s="12">
        <v>-8.2640232748409006E-3</v>
      </c>
      <c r="I44" s="12">
        <v>0.1202609346650311</v>
      </c>
      <c r="J44" s="12">
        <v>-1.2658975755521001E-3</v>
      </c>
      <c r="K44" s="12">
        <v>1.4546075556728E-3</v>
      </c>
      <c r="L44" s="12">
        <v>-1.0076235729517999E-2</v>
      </c>
      <c r="M44" s="12">
        <v>-9.7262650134935999E-3</v>
      </c>
      <c r="N44" s="12">
        <v>0.1664934994678319</v>
      </c>
      <c r="O44" s="12">
        <v>-6.8236721459550003E-4</v>
      </c>
      <c r="P44" s="12">
        <v>-2.5560851019257999E-3</v>
      </c>
      <c r="Q44" s="12">
        <v>-4.2428684293982902E-2</v>
      </c>
      <c r="R44" s="12">
        <v>0.24005277242466799</v>
      </c>
      <c r="S44" s="12">
        <v>-5.3221371046755003E-3</v>
      </c>
      <c r="T44" s="12">
        <v>2.4927795179822002E-3</v>
      </c>
      <c r="U44" s="12">
        <v>5.8901779022688004E-3</v>
      </c>
      <c r="V44" s="12">
        <v>1.5232465646053E-3</v>
      </c>
      <c r="W44" s="12">
        <v>-1.6468768965248999E-3</v>
      </c>
      <c r="X44" s="12">
        <v>-2.5634816712215001E-3</v>
      </c>
      <c r="Y44" s="12">
        <v>5.6396234766574998E-3</v>
      </c>
      <c r="Z44" s="12">
        <v>-1.9359402824962E-3</v>
      </c>
      <c r="AA44" s="12">
        <v>1.6981333416285299E-2</v>
      </c>
      <c r="AB44" s="12">
        <v>6.7425936561219396E-2</v>
      </c>
      <c r="AC44" s="12">
        <v>-1.9370241248725E-3</v>
      </c>
      <c r="AD44" s="12">
        <v>4.3795630274969903E-2</v>
      </c>
      <c r="AE44" s="12">
        <v>6.3679286833165996E-2</v>
      </c>
      <c r="AF44" s="12">
        <v>9.4967747147232003E-3</v>
      </c>
      <c r="AG44" s="12">
        <v>1.2447405006978199E-2</v>
      </c>
      <c r="AH44" s="12">
        <v>1.28231286495997E-2</v>
      </c>
      <c r="AI44" s="12">
        <v>3.8866128922465E-2</v>
      </c>
      <c r="AJ44" s="12">
        <v>-1.33393059863245E-2</v>
      </c>
      <c r="AK44" s="12">
        <v>-2.08750678386555E-2</v>
      </c>
      <c r="AL44" s="12">
        <v>4.4050423374750999E-2</v>
      </c>
      <c r="AM44" s="12">
        <v>-2.2358568338640701E-2</v>
      </c>
      <c r="AN44" s="12">
        <v>-3.5579385507093803E-2</v>
      </c>
      <c r="AO44" s="12">
        <v>1</v>
      </c>
      <c r="AP44" s="12">
        <v>5.9176607880639996E-4</v>
      </c>
      <c r="AQ44" s="12">
        <v>1.1388919106608E-3</v>
      </c>
      <c r="AR44" s="12">
        <v>1.6721581431844001E-3</v>
      </c>
      <c r="AS44" s="12">
        <v>-1.4311384578723E-3</v>
      </c>
    </row>
    <row r="45" spans="1:45" ht="15" customHeight="1" x14ac:dyDescent="0.3">
      <c r="A45" s="6" t="s">
        <v>214</v>
      </c>
      <c r="B45" s="57">
        <f>SUMIFS(S_Markets!$AI$8:$AI$763,S_Markets!$C$8:$C$763,A45,S_Markets!$AH$8:$AH$763,TRUE)</f>
        <v>5.7721984997517002E-3</v>
      </c>
      <c r="C45" s="46" t="str">
        <f t="shared" si="0"/>
        <v>-</v>
      </c>
      <c r="E45" s="6" t="s">
        <v>1444</v>
      </c>
      <c r="F45" s="12">
        <v>6.8861872208027999E-3</v>
      </c>
      <c r="G45" s="12">
        <v>1.03317958962745E-2</v>
      </c>
      <c r="H45" s="12">
        <v>3.6512527254403001E-3</v>
      </c>
      <c r="I45" s="12">
        <v>4.615776632382E-4</v>
      </c>
      <c r="J45" s="12">
        <v>6.9866230445589997E-3</v>
      </c>
      <c r="K45" s="12">
        <v>1.99415461541123E-2</v>
      </c>
      <c r="L45" s="12">
        <v>1.4367973889195E-3</v>
      </c>
      <c r="M45" s="12">
        <v>-3.1313251104978001E-3</v>
      </c>
      <c r="N45" s="12">
        <v>-1.8031104664456999E-3</v>
      </c>
      <c r="O45" s="12">
        <v>7.2160085137210797E-2</v>
      </c>
      <c r="P45" s="12">
        <v>-1.0516891524661299E-2</v>
      </c>
      <c r="Q45" s="12">
        <v>-3.6001847727178998E-3</v>
      </c>
      <c r="R45" s="12">
        <v>2.0704897706886002E-3</v>
      </c>
      <c r="S45" s="12">
        <v>-1.7178873987417E-3</v>
      </c>
      <c r="T45" s="12">
        <v>5.4602580677712001E-3</v>
      </c>
      <c r="U45" s="12">
        <v>-1.4168302118077001E-3</v>
      </c>
      <c r="V45" s="12">
        <v>2.0830029455487498E-2</v>
      </c>
      <c r="W45" s="12">
        <v>1.04544712477259E-2</v>
      </c>
      <c r="X45" s="12">
        <v>2.2513678582629901E-2</v>
      </c>
      <c r="Y45" s="12">
        <v>0.19102738073215389</v>
      </c>
      <c r="Z45" s="12">
        <v>-3.5611716972166703E-2</v>
      </c>
      <c r="AA45" s="12">
        <v>-2.8212131457555E-3</v>
      </c>
      <c r="AB45" s="12">
        <v>-4.0842655759502553E-5</v>
      </c>
      <c r="AC45" s="12">
        <v>-3.4189342995854001E-3</v>
      </c>
      <c r="AD45" s="12">
        <v>-1.9855240230209998E-3</v>
      </c>
      <c r="AE45" s="12">
        <v>-1.3444419888729001E-3</v>
      </c>
      <c r="AF45" s="12">
        <v>-6.3639945090859407E-2</v>
      </c>
      <c r="AG45" s="12">
        <v>-2.9900468049699602E-2</v>
      </c>
      <c r="AH45" s="12">
        <v>-4.3104931254562801E-2</v>
      </c>
      <c r="AI45" s="12">
        <v>-7.1492409479089998E-4</v>
      </c>
      <c r="AJ45" s="12">
        <v>4.3812738451867998E-2</v>
      </c>
      <c r="AK45" s="12">
        <v>1.7529078585017E-3</v>
      </c>
      <c r="AL45" s="12">
        <v>2.4316940426954E-3</v>
      </c>
      <c r="AM45" s="12">
        <v>3.2066117177521002E-3</v>
      </c>
      <c r="AN45" s="12">
        <v>1.9440096554596E-3</v>
      </c>
      <c r="AO45" s="12">
        <v>5.9176607880639996E-4</v>
      </c>
      <c r="AP45" s="12">
        <v>1</v>
      </c>
      <c r="AQ45" s="12">
        <v>8.1850919212009904E-2</v>
      </c>
      <c r="AR45" s="12">
        <v>-4.57565200819183E-2</v>
      </c>
      <c r="AS45" s="12">
        <v>7.8837224191388694E-2</v>
      </c>
    </row>
    <row r="46" spans="1:45" ht="15" customHeight="1" x14ac:dyDescent="0.3">
      <c r="A46" s="6" t="s">
        <v>215</v>
      </c>
      <c r="B46" s="57">
        <f>SUMIFS(S_Markets!$AI$8:$AI$763,S_Markets!$C$8:$C$763,A46,S_Markets!$AH$8:$AH$763,TRUE)</f>
        <v>0</v>
      </c>
      <c r="C46" s="46" t="str">
        <f t="shared" si="0"/>
        <v>-</v>
      </c>
      <c r="E46" s="6" t="s">
        <v>1397</v>
      </c>
      <c r="F46" s="12">
        <v>-1.07801875070157E-2</v>
      </c>
      <c r="G46" s="12">
        <v>-8.1473637512355004E-3</v>
      </c>
      <c r="H46" s="12">
        <v>8.4204789672889004E-3</v>
      </c>
      <c r="I46" s="12">
        <v>-1.5355732768708001E-3</v>
      </c>
      <c r="J46" s="12">
        <v>-9.9496602187806992E-3</v>
      </c>
      <c r="K46" s="12">
        <v>-1.41030869745878E-2</v>
      </c>
      <c r="L46" s="12">
        <v>5.3117320412990002E-3</v>
      </c>
      <c r="M46" s="12">
        <v>1.5878060885258E-3</v>
      </c>
      <c r="N46" s="12">
        <v>-2.138209188945E-4</v>
      </c>
      <c r="O46" s="12">
        <v>-1.3028727948473E-3</v>
      </c>
      <c r="P46" s="12">
        <v>0.52563380458189857</v>
      </c>
      <c r="Q46" s="12">
        <v>-1.8375831454047001E-3</v>
      </c>
      <c r="R46" s="12">
        <v>-2.1001042403305998E-3</v>
      </c>
      <c r="S46" s="12">
        <v>5.0478292492749004E-3</v>
      </c>
      <c r="T46" s="12">
        <v>2.4762881625096998E-3</v>
      </c>
      <c r="U46" s="12">
        <v>-2.2860109862639999E-3</v>
      </c>
      <c r="V46" s="12">
        <v>-6.0019035034715998E-3</v>
      </c>
      <c r="W46" s="12">
        <v>-4.3738515763399998E-3</v>
      </c>
      <c r="X46" s="12">
        <v>-1.53100800637887E-2</v>
      </c>
      <c r="Y46" s="12">
        <v>3.2093645438541797E-2</v>
      </c>
      <c r="Z46" s="12">
        <v>2.08250094943155E-2</v>
      </c>
      <c r="AA46" s="12">
        <v>6.0145800334649997E-4</v>
      </c>
      <c r="AB46" s="12">
        <v>-2.3027016143604001E-3</v>
      </c>
      <c r="AC46" s="12">
        <v>-1.0667279016536E-3</v>
      </c>
      <c r="AD46" s="12">
        <v>1.2244067394622999E-3</v>
      </c>
      <c r="AE46" s="12">
        <v>1.2114605530317E-3</v>
      </c>
      <c r="AF46" s="12">
        <v>6.4872846578826304E-2</v>
      </c>
      <c r="AG46" s="12">
        <v>3.2059781298171497E-2</v>
      </c>
      <c r="AH46" s="12">
        <v>5.6977045467718097E-2</v>
      </c>
      <c r="AI46" s="12">
        <v>2.4669878060165E-3</v>
      </c>
      <c r="AJ46" s="12">
        <v>-3.8589312447023003E-2</v>
      </c>
      <c r="AK46" s="12">
        <v>-3.5267515048418999E-3</v>
      </c>
      <c r="AL46" s="12">
        <v>-4.6070666161612001E-3</v>
      </c>
      <c r="AM46" s="12">
        <v>8.2142709859099996E-4</v>
      </c>
      <c r="AN46" s="12">
        <v>1.197685186148E-4</v>
      </c>
      <c r="AO46" s="12">
        <v>1.1388919106608E-3</v>
      </c>
      <c r="AP46" s="12">
        <v>8.1850919212009904E-2</v>
      </c>
      <c r="AQ46" s="12">
        <v>1</v>
      </c>
      <c r="AR46" s="12">
        <v>4.8659838707837397E-2</v>
      </c>
      <c r="AS46" s="12">
        <v>-7.0467479547715997E-2</v>
      </c>
    </row>
    <row r="47" spans="1:45" ht="15" customHeight="1" x14ac:dyDescent="0.3">
      <c r="A47" s="6" t="s">
        <v>216</v>
      </c>
      <c r="B47" s="57">
        <f>SUMIFS(S_Markets!$AI$8:$AI$763,S_Markets!$C$8:$C$763,A47,S_Markets!$AH$8:$AH$763,TRUE)</f>
        <v>0</v>
      </c>
      <c r="C47" s="46" t="str">
        <f t="shared" si="0"/>
        <v>-</v>
      </c>
      <c r="E47" s="6" t="s">
        <v>1445</v>
      </c>
      <c r="F47" s="12">
        <v>2.747016601662E-4</v>
      </c>
      <c r="G47" s="12">
        <v>2.8466065777600001E-4</v>
      </c>
      <c r="H47" s="12">
        <v>-4.9889176798085001E-3</v>
      </c>
      <c r="I47" s="12">
        <v>-2.4517934787400002E-3</v>
      </c>
      <c r="J47" s="12">
        <v>3.4696501310862E-3</v>
      </c>
      <c r="K47" s="12">
        <v>1.3303864524668999E-3</v>
      </c>
      <c r="L47" s="12">
        <v>-4.3339898196953002E-3</v>
      </c>
      <c r="M47" s="12">
        <v>-1.1195602295276999E-3</v>
      </c>
      <c r="N47" s="12">
        <v>-9.7833270511739996E-4</v>
      </c>
      <c r="O47" s="12">
        <v>-1.4467843395752E-3</v>
      </c>
      <c r="P47" s="12">
        <v>3.7361615615717103E-2</v>
      </c>
      <c r="Q47" s="12">
        <v>4.841735576113194E-5</v>
      </c>
      <c r="R47" s="12">
        <v>5.6646989786105001E-3</v>
      </c>
      <c r="S47" s="12">
        <v>5.1053034394097996E-3</v>
      </c>
      <c r="T47" s="12">
        <v>7.4669245687521894E-5</v>
      </c>
      <c r="U47" s="12">
        <v>2.7047600791744002E-3</v>
      </c>
      <c r="V47" s="12">
        <v>2.77195744592241E-2</v>
      </c>
      <c r="W47" s="12">
        <v>3.7694446500709099E-2</v>
      </c>
      <c r="X47" s="12">
        <v>2.93967596503125E-2</v>
      </c>
      <c r="Y47" s="12">
        <v>1.6014222389093499E-2</v>
      </c>
      <c r="Z47" s="12">
        <v>1.5028310422613199E-2</v>
      </c>
      <c r="AA47" s="12">
        <v>8.7464329380599996E-4</v>
      </c>
      <c r="AB47" s="12">
        <v>-1.1600509248665999E-3</v>
      </c>
      <c r="AC47" s="12">
        <v>-2.5440663303832999E-3</v>
      </c>
      <c r="AD47" s="12">
        <v>9.6808703010519998E-4</v>
      </c>
      <c r="AE47" s="12">
        <v>1.8110885056606999E-3</v>
      </c>
      <c r="AF47" s="12">
        <v>-3.9268282485380002E-2</v>
      </c>
      <c r="AG47" s="12">
        <v>0.62945859812293126</v>
      </c>
      <c r="AH47" s="12">
        <v>-3.3688402030681797E-2</v>
      </c>
      <c r="AI47" s="12">
        <v>-4.3090741312072998E-3</v>
      </c>
      <c r="AJ47" s="12">
        <v>2.58280426815106E-2</v>
      </c>
      <c r="AK47" s="12">
        <v>-4.6212441707513003E-3</v>
      </c>
      <c r="AL47" s="12">
        <v>2.1047426409968998E-3</v>
      </c>
      <c r="AM47" s="12">
        <v>-3.713754478181E-4</v>
      </c>
      <c r="AN47" s="12">
        <v>-2.440640429171E-4</v>
      </c>
      <c r="AO47" s="12">
        <v>1.6721581431844001E-3</v>
      </c>
      <c r="AP47" s="12">
        <v>-4.57565200819183E-2</v>
      </c>
      <c r="AQ47" s="12">
        <v>4.8659838707837397E-2</v>
      </c>
      <c r="AR47" s="12">
        <v>0.99999999999999978</v>
      </c>
      <c r="AS47" s="12">
        <v>3.37709580865245E-2</v>
      </c>
    </row>
    <row r="48" spans="1:45" ht="15" customHeight="1" x14ac:dyDescent="0.3">
      <c r="A48" s="6" t="s">
        <v>217</v>
      </c>
      <c r="B48" s="57">
        <f>SUMIFS(S_Markets!$AI$8:$AI$763,S_Markets!$C$8:$C$763,A48,S_Markets!$AH$8:$AH$763,TRUE)</f>
        <v>0</v>
      </c>
      <c r="C48" s="46" t="str">
        <f t="shared" si="0"/>
        <v>-</v>
      </c>
      <c r="E48" s="6" t="s">
        <v>1399</v>
      </c>
      <c r="F48" s="12">
        <v>-2.1030782508224999E-3</v>
      </c>
      <c r="G48" s="12">
        <v>5.6586305182365002E-3</v>
      </c>
      <c r="H48" s="12">
        <v>4.8673926058706001E-3</v>
      </c>
      <c r="I48" s="12">
        <v>-2.2041904610341999E-3</v>
      </c>
      <c r="J48" s="12">
        <v>-7.1685621291840999E-3</v>
      </c>
      <c r="K48" s="12">
        <v>-2.4121450035153999E-3</v>
      </c>
      <c r="L48" s="12">
        <v>2.8397062809129998E-4</v>
      </c>
      <c r="M48" s="12">
        <v>-4.4981073759105998E-3</v>
      </c>
      <c r="N48" s="12">
        <v>-1.7931648442826001E-3</v>
      </c>
      <c r="O48" s="12">
        <v>-8.8703221299664004E-3</v>
      </c>
      <c r="P48" s="12">
        <v>4.5994795017613001E-3</v>
      </c>
      <c r="Q48" s="12">
        <v>1.7926880677914001E-3</v>
      </c>
      <c r="R48" s="12">
        <v>-7.6894669963060004E-4</v>
      </c>
      <c r="S48" s="12">
        <v>1.8038057846678E-3</v>
      </c>
      <c r="T48" s="12">
        <v>-1.6213490466116E-3</v>
      </c>
      <c r="U48" s="12">
        <v>-1.3862227429762E-3</v>
      </c>
      <c r="V48" s="12">
        <v>0.31698676763353739</v>
      </c>
      <c r="W48" s="12">
        <v>-3.9319094468874501E-2</v>
      </c>
      <c r="X48" s="12">
        <v>-3.23070202597419E-2</v>
      </c>
      <c r="Y48" s="12">
        <v>-1.9460353055352101E-2</v>
      </c>
      <c r="Z48" s="12">
        <v>-7.4669564966542996E-3</v>
      </c>
      <c r="AA48" s="12">
        <v>-9.3599009925539995E-4</v>
      </c>
      <c r="AB48" s="12">
        <v>2.1672769367100001E-4</v>
      </c>
      <c r="AC48" s="12">
        <v>1.4478306481777001E-3</v>
      </c>
      <c r="AD48" s="12">
        <v>-3.6045741777425001E-3</v>
      </c>
      <c r="AE48" s="12">
        <v>-7.2091747357994999E-3</v>
      </c>
      <c r="AF48" s="12">
        <v>3.72415058727033E-2</v>
      </c>
      <c r="AG48" s="12">
        <v>1.9477778188860401E-2</v>
      </c>
      <c r="AH48" s="12">
        <v>4.13063920305844E-2</v>
      </c>
      <c r="AI48" s="12">
        <v>-2.3885510625289998E-3</v>
      </c>
      <c r="AJ48" s="12">
        <v>-2.8484015714100301E-2</v>
      </c>
      <c r="AK48" s="12">
        <v>1.3161082943237E-3</v>
      </c>
      <c r="AL48" s="12">
        <v>-2.5460859637319998E-4</v>
      </c>
      <c r="AM48" s="12">
        <v>-3.529828584881E-4</v>
      </c>
      <c r="AN48" s="12">
        <v>4.8123045242461004E-3</v>
      </c>
      <c r="AO48" s="12">
        <v>-1.4311384578723E-3</v>
      </c>
      <c r="AP48" s="12">
        <v>7.8837224191388694E-2</v>
      </c>
      <c r="AQ48" s="12">
        <v>-7.0467479547716094E-2</v>
      </c>
      <c r="AR48" s="12">
        <v>3.37709580865245E-2</v>
      </c>
      <c r="AS48" s="12">
        <v>1</v>
      </c>
    </row>
    <row r="49" spans="1:14" ht="15" customHeight="1" x14ac:dyDescent="0.3">
      <c r="A49" s="6" t="s">
        <v>218</v>
      </c>
      <c r="B49" s="57">
        <f>SUMIFS(S_Markets!$AI$8:$AI$763,S_Markets!$C$8:$C$763,A49,S_Markets!$AH$8:$AH$763,TRUE)</f>
        <v>0</v>
      </c>
      <c r="C49" s="46" t="str">
        <f t="shared" si="0"/>
        <v>-</v>
      </c>
    </row>
    <row r="50" spans="1:14" ht="15" customHeight="1" x14ac:dyDescent="0.3">
      <c r="A50" s="6" t="s">
        <v>219</v>
      </c>
      <c r="B50" s="57">
        <f>SUMIFS(S_Markets!$AI$8:$AI$763,S_Markets!$C$8:$C$763,A50,S_Markets!$AH$8:$AH$763,TRUE)</f>
        <v>0</v>
      </c>
      <c r="C50" s="46" t="str">
        <f t="shared" si="0"/>
        <v>-</v>
      </c>
    </row>
    <row r="51" spans="1:14" ht="15" customHeight="1" x14ac:dyDescent="0.3">
      <c r="A51" s="6" t="s">
        <v>220</v>
      </c>
      <c r="B51" s="57">
        <f>SUMIFS(S_Markets!$AI$8:$AI$763,S_Markets!$C$8:$C$763,A51,S_Markets!$AH$8:$AH$763,TRUE)</f>
        <v>0</v>
      </c>
      <c r="C51" s="46" t="str">
        <f t="shared" si="0"/>
        <v>-</v>
      </c>
    </row>
    <row r="52" spans="1:14" ht="15" customHeight="1" x14ac:dyDescent="0.3">
      <c r="A52" s="6" t="s">
        <v>221</v>
      </c>
      <c r="B52" s="57">
        <f>SUMIFS(S_Markets!$AI$8:$AI$763,S_Markets!$C$8:$C$763,A52,S_Markets!$AH$8:$AH$763,TRUE)</f>
        <v>0</v>
      </c>
      <c r="C52" s="46" t="str">
        <f t="shared" si="0"/>
        <v>-</v>
      </c>
    </row>
    <row r="53" spans="1:14" ht="15" customHeight="1" x14ac:dyDescent="0.3">
      <c r="A53" s="6" t="s">
        <v>222</v>
      </c>
      <c r="B53" s="57">
        <f>SUMIFS(S_Markets!$AI$8:$AI$763,S_Markets!$C$8:$C$763,A53,S_Markets!$AH$8:$AH$763,TRUE)</f>
        <v>0</v>
      </c>
      <c r="C53" s="46" t="str">
        <f t="shared" si="0"/>
        <v>-</v>
      </c>
      <c r="E53" s="3" t="s">
        <v>1446</v>
      </c>
    </row>
    <row r="54" spans="1:14" ht="15" customHeight="1" x14ac:dyDescent="0.3">
      <c r="A54" s="6" t="s">
        <v>223</v>
      </c>
      <c r="B54" s="57">
        <f>SUMIFS(S_Markets!$AI$8:$AI$763,S_Markets!$C$8:$C$763,A54,S_Markets!$AH$8:$AH$763,TRUE)</f>
        <v>0</v>
      </c>
      <c r="C54" s="46" t="str">
        <f t="shared" si="0"/>
        <v>-</v>
      </c>
      <c r="F54" s="11" t="s">
        <v>1447</v>
      </c>
      <c r="G54" s="11" t="s">
        <v>1448</v>
      </c>
      <c r="H54" s="11" t="s">
        <v>1449</v>
      </c>
      <c r="I54" s="11" t="s">
        <v>1450</v>
      </c>
      <c r="J54" s="11" t="s">
        <v>1451</v>
      </c>
      <c r="K54" s="11" t="s">
        <v>1452</v>
      </c>
      <c r="L54" s="11" t="s">
        <v>1453</v>
      </c>
      <c r="M54" s="11" t="s">
        <v>1454</v>
      </c>
      <c r="N54" s="11" t="s">
        <v>1455</v>
      </c>
    </row>
    <row r="55" spans="1:14" ht="15" customHeight="1" x14ac:dyDescent="0.3">
      <c r="A55" s="6" t="s">
        <v>224</v>
      </c>
      <c r="B55" s="57">
        <f>SUMIFS(S_Markets!$AI$8:$AI$763,S_Markets!$C$8:$C$763,A55,S_Markets!$AH$8:$AH$763,TRUE)</f>
        <v>8.1758484704372997E-3</v>
      </c>
      <c r="C55" s="46" t="str">
        <f t="shared" si="0"/>
        <v>-</v>
      </c>
      <c r="E55" s="6" t="s">
        <v>1456</v>
      </c>
      <c r="F55" s="12">
        <v>1</v>
      </c>
      <c r="G55" s="12">
        <v>0.3548763272527532</v>
      </c>
      <c r="H55" s="12">
        <v>9.1625672464398008E-3</v>
      </c>
      <c r="I55" s="12">
        <v>2.939035713411E-3</v>
      </c>
      <c r="J55" s="12">
        <v>3.3563031988714E-3</v>
      </c>
      <c r="K55" s="12">
        <v>2.9186841886293001E-3</v>
      </c>
      <c r="L55" s="12">
        <v>8.2039593183860001E-4</v>
      </c>
      <c r="M55" s="12">
        <v>3.9814716657979998E-4</v>
      </c>
      <c r="N55" s="12">
        <v>-1.782944732701455E-5</v>
      </c>
    </row>
    <row r="56" spans="1:14" ht="15" customHeight="1" x14ac:dyDescent="0.3">
      <c r="A56" s="6" t="s">
        <v>225</v>
      </c>
      <c r="B56" s="57">
        <f>SUMIFS(S_Markets!$AI$8:$AI$763,S_Markets!$C$8:$C$763,A56,S_Markets!$AH$8:$AH$763,TRUE)</f>
        <v>0</v>
      </c>
      <c r="C56" s="46" t="str">
        <f t="shared" si="0"/>
        <v>-</v>
      </c>
      <c r="E56" s="6" t="s">
        <v>1457</v>
      </c>
      <c r="F56" s="12">
        <v>0.3548763272527532</v>
      </c>
      <c r="G56" s="12">
        <v>1</v>
      </c>
      <c r="H56" s="12">
        <v>1.0951203104894299E-2</v>
      </c>
      <c r="I56" s="12">
        <v>9.1608153084226998E-3</v>
      </c>
      <c r="J56" s="12">
        <v>1.9990152185628998E-3</v>
      </c>
      <c r="K56" s="12">
        <v>-1.5797019920529001E-3</v>
      </c>
      <c r="L56" s="12">
        <v>-3.1103239590848002E-3</v>
      </c>
      <c r="M56" s="12">
        <v>1.9102350226547001E-3</v>
      </c>
      <c r="N56" s="12">
        <v>-4.3016732491745003E-3</v>
      </c>
    </row>
    <row r="57" spans="1:14" ht="15" customHeight="1" x14ac:dyDescent="0.3">
      <c r="A57" s="6" t="s">
        <v>226</v>
      </c>
      <c r="B57" s="57">
        <f>SUMIFS(S_Markets!$AI$8:$AI$763,S_Markets!$C$8:$C$763,A57,S_Markets!$AH$8:$AH$763,TRUE)</f>
        <v>0</v>
      </c>
      <c r="C57" s="46" t="str">
        <f t="shared" si="0"/>
        <v>-</v>
      </c>
      <c r="E57" s="6" t="s">
        <v>1458</v>
      </c>
      <c r="F57" s="12">
        <v>9.1625672464398008E-3</v>
      </c>
      <c r="G57" s="12">
        <v>1.0951203104894299E-2</v>
      </c>
      <c r="H57" s="12">
        <v>1</v>
      </c>
      <c r="I57" s="12">
        <v>-6.4854703070839001E-3</v>
      </c>
      <c r="J57" s="12">
        <v>2.3919568235099999E-4</v>
      </c>
      <c r="K57" s="12">
        <v>-1.7206937670039999E-4</v>
      </c>
      <c r="L57" s="12">
        <v>-3.1955665535290001E-4</v>
      </c>
      <c r="M57" s="12">
        <v>2.3946650509851001E-3</v>
      </c>
      <c r="N57" s="12">
        <v>-4.0968016935455003E-3</v>
      </c>
    </row>
    <row r="58" spans="1:14" ht="15" customHeight="1" x14ac:dyDescent="0.3">
      <c r="A58" s="39" t="s">
        <v>1459</v>
      </c>
      <c r="B58" s="58">
        <f>SUM(B28:B57)</f>
        <v>2.00699870247525E-2</v>
      </c>
      <c r="C58" s="40"/>
      <c r="E58" s="6" t="s">
        <v>1460</v>
      </c>
      <c r="F58" s="12">
        <v>2.939035713411E-3</v>
      </c>
      <c r="G58" s="12">
        <v>9.1608153084226998E-3</v>
      </c>
      <c r="H58" s="12">
        <v>-6.4854703070839001E-3</v>
      </c>
      <c r="I58" s="12">
        <v>1</v>
      </c>
      <c r="J58" s="12">
        <v>5.1507998810019001E-3</v>
      </c>
      <c r="K58" s="12">
        <v>-2.0230729582580999E-3</v>
      </c>
      <c r="L58" s="12">
        <v>-2.4766786054624498E-2</v>
      </c>
      <c r="M58" s="12">
        <v>1.4268786792238999E-3</v>
      </c>
      <c r="N58" s="12">
        <v>-2.73412776399359E-2</v>
      </c>
    </row>
    <row r="59" spans="1:14" ht="15" customHeight="1" x14ac:dyDescent="0.3">
      <c r="E59" s="6" t="s">
        <v>1451</v>
      </c>
      <c r="F59" s="12">
        <v>3.3563031988714E-3</v>
      </c>
      <c r="G59" s="12">
        <v>1.9990152185628998E-3</v>
      </c>
      <c r="H59" s="12">
        <v>2.3919568235099999E-4</v>
      </c>
      <c r="I59" s="12">
        <v>5.1507998810019001E-3</v>
      </c>
      <c r="J59" s="12">
        <v>1</v>
      </c>
      <c r="K59" s="12">
        <v>-5.0550086173307999E-3</v>
      </c>
      <c r="L59" s="12">
        <v>-3.7261723624250001E-4</v>
      </c>
      <c r="M59" s="12">
        <v>3.4109403383379998E-4</v>
      </c>
      <c r="N59" s="12">
        <v>-2.3710156018036999E-3</v>
      </c>
    </row>
    <row r="60" spans="1:14" ht="15" customHeight="1" x14ac:dyDescent="0.3">
      <c r="E60" s="6" t="s">
        <v>1452</v>
      </c>
      <c r="F60" s="12">
        <v>2.9186841886293001E-3</v>
      </c>
      <c r="G60" s="12">
        <v>-1.5797019920529001E-3</v>
      </c>
      <c r="H60" s="12">
        <v>-1.7206937670039999E-4</v>
      </c>
      <c r="I60" s="12">
        <v>-2.0230729582580999E-3</v>
      </c>
      <c r="J60" s="12">
        <v>-5.0550086173307999E-3</v>
      </c>
      <c r="K60" s="12">
        <v>1</v>
      </c>
      <c r="L60" s="12">
        <v>-0.21610226884887659</v>
      </c>
      <c r="M60" s="12">
        <v>4.8085459109881001E-3</v>
      </c>
      <c r="N60" s="12">
        <v>1.9821096513613001E-3</v>
      </c>
    </row>
    <row r="61" spans="1:14" ht="15" customHeight="1" x14ac:dyDescent="0.3">
      <c r="E61" s="6" t="s">
        <v>1453</v>
      </c>
      <c r="F61" s="12">
        <v>8.2039593183860001E-4</v>
      </c>
      <c r="G61" s="12">
        <v>-3.1103239590848002E-3</v>
      </c>
      <c r="H61" s="12">
        <v>-3.1955665535290001E-4</v>
      </c>
      <c r="I61" s="12">
        <v>-2.4766786054624498E-2</v>
      </c>
      <c r="J61" s="12">
        <v>-3.7261723624250001E-4</v>
      </c>
      <c r="K61" s="12">
        <v>-0.21610226884887659</v>
      </c>
      <c r="L61" s="12">
        <v>1</v>
      </c>
      <c r="M61" s="12">
        <v>6.4469630617320002E-4</v>
      </c>
      <c r="N61" s="12">
        <v>-2.2729250064589001E-3</v>
      </c>
    </row>
    <row r="62" spans="1:14" ht="15" customHeight="1" x14ac:dyDescent="0.3">
      <c r="E62" s="6" t="s">
        <v>1454</v>
      </c>
      <c r="F62" s="12">
        <v>3.9814716657979998E-4</v>
      </c>
      <c r="G62" s="12">
        <v>1.9102350226547001E-3</v>
      </c>
      <c r="H62" s="12">
        <v>2.3946650509851001E-3</v>
      </c>
      <c r="I62" s="12">
        <v>1.4268786792238999E-3</v>
      </c>
      <c r="J62" s="12">
        <v>3.4109403383379998E-4</v>
      </c>
      <c r="K62" s="12">
        <v>4.8085459109881001E-3</v>
      </c>
      <c r="L62" s="12">
        <v>6.4469630617320002E-4</v>
      </c>
      <c r="M62" s="12">
        <v>1</v>
      </c>
      <c r="N62" s="12">
        <v>-1.5833868190421E-3</v>
      </c>
    </row>
    <row r="63" spans="1:14" ht="15" customHeight="1" x14ac:dyDescent="0.3">
      <c r="E63" s="6" t="s">
        <v>1455</v>
      </c>
      <c r="F63" s="12">
        <v>-1.782944732701455E-5</v>
      </c>
      <c r="G63" s="12">
        <v>-4.3016732491745003E-3</v>
      </c>
      <c r="H63" s="12">
        <v>-4.0968016935455003E-3</v>
      </c>
      <c r="I63" s="12">
        <v>-2.73412776399359E-2</v>
      </c>
      <c r="J63" s="12">
        <v>-2.3710156018036999E-3</v>
      </c>
      <c r="K63" s="12">
        <v>1.9821096513613001E-3</v>
      </c>
      <c r="L63" s="12">
        <v>-2.2729250064589001E-3</v>
      </c>
      <c r="M63" s="12">
        <v>-1.5833868190421E-3</v>
      </c>
      <c r="N63" s="12">
        <v>1</v>
      </c>
    </row>
  </sheetData>
  <conditionalFormatting sqref="F9:AS48">
    <cfRule type="colorScale" priority="1">
      <colorScale>
        <cfvo type="num" val="-0.3"/>
        <cfvo type="num" val="1"/>
        <color rgb="FFFFFFFF"/>
        <color rgb="FF8EA9DB"/>
      </colorScale>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L96"/>
  <sheetViews>
    <sheetView showGridLines="0" workbookViewId="0"/>
  </sheetViews>
  <sheetFormatPr defaultRowHeight="14.4" x14ac:dyDescent="0.3"/>
  <cols>
    <col min="1" max="1" width="34" customWidth="1"/>
    <col min="2" max="2" width="44" customWidth="1"/>
    <col min="3" max="12" width="14" customWidth="1"/>
  </cols>
  <sheetData>
    <row r="1" spans="1:12" ht="15" customHeight="1" x14ac:dyDescent="0.3">
      <c r="A1" s="1" t="s">
        <v>0</v>
      </c>
      <c r="B1" s="2"/>
      <c r="C1" s="2"/>
      <c r="D1" s="2"/>
      <c r="E1" s="2"/>
      <c r="F1" s="2"/>
      <c r="G1" s="2"/>
      <c r="H1" s="2"/>
      <c r="I1" s="2"/>
      <c r="J1" s="2"/>
      <c r="K1" s="2"/>
      <c r="L1" s="2"/>
    </row>
    <row r="2" spans="1:12" ht="15" customHeight="1" x14ac:dyDescent="0.3">
      <c r="A2" s="3" t="s">
        <v>1461</v>
      </c>
    </row>
    <row r="3" spans="1:12" ht="15" customHeight="1" x14ac:dyDescent="0.3">
      <c r="A3" s="4" t="s">
        <v>2</v>
      </c>
    </row>
    <row r="4" spans="1:12" ht="6" customHeight="1" x14ac:dyDescent="0.3"/>
    <row r="5" spans="1:12" ht="30" customHeight="1" x14ac:dyDescent="0.3">
      <c r="A5" s="11" t="s">
        <v>1355</v>
      </c>
      <c r="B5" s="11" t="s">
        <v>1462</v>
      </c>
    </row>
    <row r="6" spans="1:12" ht="15" customHeight="1" x14ac:dyDescent="0.3">
      <c r="A6" s="6" t="s">
        <v>1463</v>
      </c>
      <c r="B6" s="30">
        <f>COUNTIF(S_Markets!$AH$8:$AH$763,TRUE)+COUNTIF(M_Players!$O$8:$O$243,TRUE)</f>
        <v>9</v>
      </c>
    </row>
    <row r="7" spans="1:12" ht="15" customHeight="1" x14ac:dyDescent="0.3">
      <c r="A7" s="6" t="s">
        <v>1464</v>
      </c>
      <c r="B7" s="30">
        <f>COUNTIF(S_Markets!$W$8:$W$763,TRUE)</f>
        <v>52</v>
      </c>
    </row>
    <row r="8" spans="1:12" ht="15" customHeight="1" x14ac:dyDescent="0.3">
      <c r="A8" s="6" t="s">
        <v>1465</v>
      </c>
      <c r="B8" s="57">
        <f>SUMIFS(S_Markets!$AI$8:$AI$763,S_Markets!$AH$8:$AH$763,TRUE)+SUMIFS(M_Players!$P$8:$P$243,M_Players!$O$8:$O$243,TRUE)</f>
        <v>4.9001016824396601E-2</v>
      </c>
    </row>
    <row r="9" spans="1:12" ht="15" customHeight="1" x14ac:dyDescent="0.3">
      <c r="A9" s="6" t="s">
        <v>1466</v>
      </c>
      <c r="B9" s="59" t="str">
        <f>IF(A_bankroll="","-",(SUMIFS(S_Markets!$AI$8:$AI$763,S_Markets!$AH$8:$AH$763,TRUE)+SUMIFS(M_Players!$P$8:$P$243,M_Players!$O$8:$O$243,TRUE))*A_bankroll)</f>
        <v>-</v>
      </c>
    </row>
    <row r="10" spans="1:12" ht="15" customHeight="1" x14ac:dyDescent="0.3">
      <c r="A10" s="6" t="s">
        <v>1467</v>
      </c>
      <c r="B10" s="57">
        <f>Exposure!B10</f>
        <v>4.9331481456325918E-2</v>
      </c>
    </row>
    <row r="11" spans="1:12" ht="15" customHeight="1" x14ac:dyDescent="0.3">
      <c r="A11" s="6" t="s">
        <v>1468</v>
      </c>
      <c r="B11" s="42">
        <f>Exposure!B11</f>
        <v>0.77871999999999997</v>
      </c>
    </row>
    <row r="12" spans="1:12" ht="15" customHeight="1" x14ac:dyDescent="0.3">
      <c r="A12" s="6" t="s">
        <v>1469</v>
      </c>
      <c r="B12" s="57">
        <f>MAX(Exposure!B28:B57)</f>
        <v>8.1758484704372997E-3</v>
      </c>
    </row>
    <row r="13" spans="1:12" ht="15" customHeight="1" x14ac:dyDescent="0.3">
      <c r="A13" s="6" t="s">
        <v>10</v>
      </c>
      <c r="B13" s="7" t="str">
        <f>Sim_Stale</f>
        <v>OK - sims match current assumptions</v>
      </c>
    </row>
    <row r="14" spans="1:12" ht="15" customHeight="1" x14ac:dyDescent="0.3"/>
    <row r="15" spans="1:12" ht="15" customHeight="1" x14ac:dyDescent="0.3">
      <c r="A15" s="3" t="s">
        <v>1470</v>
      </c>
    </row>
    <row r="16" spans="1:12" ht="30" customHeight="1" x14ac:dyDescent="0.3">
      <c r="A16" s="11" t="s">
        <v>1471</v>
      </c>
      <c r="B16" s="11" t="s">
        <v>1472</v>
      </c>
      <c r="C16" s="11" t="s">
        <v>1279</v>
      </c>
      <c r="D16" s="11" t="s">
        <v>1343</v>
      </c>
    </row>
    <row r="17" spans="1:4" ht="15" customHeight="1" x14ac:dyDescent="0.3">
      <c r="A17" s="6">
        <v>1</v>
      </c>
      <c r="B17" s="7" t="str">
        <f>IFERROR(INDEX(_xlfn.ANCHORARRAY(Bet_Card!$A$8),1,1)&amp;" - "&amp;INDEX(_xlfn.ANCHORARRAY(Bet_Card!$A$8),1,2)&amp;" "&amp;INDEX(_xlfn.ANCHORARRAY(Bet_Card!$A$8),1,3)&amp;" "&amp;IF(ISNUMBER(INDEX(_xlfn.ANCHORARRAY(Bet_Card!$A$8),1,4)),INDEX(_xlfn.ANCHORARRAY(Bet_Card!$A$8),1,4),""),"-")</f>
        <v>WINS - Washington Wizards UNDER 35.5</v>
      </c>
      <c r="C17" s="42">
        <f>IFERROR(INDEX(_xlfn.ANCHORARRAY(Bet_Card!$A$8),1,8),0)</f>
        <v>0.41058285714285736</v>
      </c>
      <c r="D17" s="42">
        <f>IFERROR(INDEX(_xlfn.ANCHORARRAY(Bet_Card!$A$8),1,9),0)</f>
        <v>0.34796571428571438</v>
      </c>
    </row>
    <row r="18" spans="1:4" ht="15" customHeight="1" x14ac:dyDescent="0.3">
      <c r="A18" s="6">
        <v>2</v>
      </c>
      <c r="B18" s="7" t="str">
        <f>IFERROR(INDEX(_xlfn.ANCHORARRAY(Bet_Card!$A$8),2,1)&amp;" - "&amp;INDEX(_xlfn.ANCHORARRAY(Bet_Card!$A$8),2,2)&amp;" "&amp;INDEX(_xlfn.ANCHORARRAY(Bet_Card!$A$8),2,3)&amp;" "&amp;IF(ISNUMBER(INDEX(_xlfn.ANCHORARRAY(Bet_Card!$A$8),2,4)),INDEX(_xlfn.ANCHORARRAY(Bet_Card!$A$8),2,4),""),"-")</f>
        <v>WINS - Miami Heat UNDER 46.5</v>
      </c>
      <c r="C18" s="42">
        <f>IFERROR(INDEX(_xlfn.ANCHORARRAY(Bet_Card!$A$8),2,8),0)</f>
        <v>0.52705666666666673</v>
      </c>
      <c r="D18" s="42">
        <f>IFERROR(INDEX(_xlfn.ANCHORARRAY(Bet_Card!$A$8),2,9),0)</f>
        <v>0.45419999999999999</v>
      </c>
    </row>
    <row r="19" spans="1:4" ht="15" customHeight="1" x14ac:dyDescent="0.3">
      <c r="A19" s="6">
        <v>3</v>
      </c>
      <c r="B19" s="7" t="str">
        <f>IFERROR(INDEX(_xlfn.ANCHORARRAY(Bet_Card!$A$8),3,1)&amp;" - "&amp;INDEX(_xlfn.ANCHORARRAY(Bet_Card!$A$8),3,2)&amp;" "&amp;INDEX(_xlfn.ANCHORARRAY(Bet_Card!$A$8),3,3)&amp;" "&amp;IF(ISNUMBER(INDEX(_xlfn.ANCHORARRAY(Bet_Card!$A$8),3,4)),INDEX(_xlfn.ANCHORARRAY(Bet_Card!$A$8),3,4),""),"-")</f>
        <v>WINS - Golden State Warriors OVER 39.5</v>
      </c>
      <c r="C19" s="42">
        <f>IFERROR(INDEX(_xlfn.ANCHORARRAY(Bet_Card!$A$8),3,8),0)</f>
        <v>0.50609799999999994</v>
      </c>
      <c r="D19" s="42">
        <f>IFERROR(INDEX(_xlfn.ANCHORARRAY(Bet_Card!$A$8),3,9),0)</f>
        <v>0.47353066666666671</v>
      </c>
    </row>
    <row r="20" spans="1:4" ht="15" customHeight="1" x14ac:dyDescent="0.3">
      <c r="A20" s="6">
        <v>4</v>
      </c>
      <c r="B20" s="7" t="str">
        <f>IFERROR(INDEX(_xlfn.ANCHORARRAY(Bet_Card!$A$8),4,1)&amp;" - "&amp;INDEX(_xlfn.ANCHORARRAY(Bet_Card!$A$8),4,2)&amp;" "&amp;INDEX(_xlfn.ANCHORARRAY(Bet_Card!$A$8),4,3)&amp;" "&amp;IF(ISNUMBER(INDEX(_xlfn.ANCHORARRAY(Bet_Card!$A$8),4,4)),INDEX(_xlfn.ANCHORARRAY(Bet_Card!$A$8),4,4),""),"-")</f>
        <v xml:space="preserve">PLAYOFFS - Houston Rockets YES </v>
      </c>
      <c r="C20" s="42">
        <f>IFERROR(INDEX(_xlfn.ANCHORARRAY(Bet_Card!$A$8),4,8),0)</f>
        <v>9.5356363636363684E-2</v>
      </c>
      <c r="D20" s="42">
        <f>IFERROR(INDEX(_xlfn.ANCHORARRAY(Bet_Card!$A$8),4,9),0)</f>
        <v>6.9466666666666801E-2</v>
      </c>
    </row>
    <row r="21" spans="1:4" ht="15" customHeight="1" x14ac:dyDescent="0.3">
      <c r="A21" s="6">
        <v>5</v>
      </c>
      <c r="B21" s="7" t="str">
        <f>IFERROR(INDEX(_xlfn.ANCHORARRAY(Bet_Card!$A$8),5,1)&amp;" - "&amp;INDEX(_xlfn.ANCHORARRAY(Bet_Card!$A$8),5,2)&amp;" "&amp;INDEX(_xlfn.ANCHORARRAY(Bet_Card!$A$8),5,3)&amp;" "&amp;IF(ISNUMBER(INDEX(_xlfn.ANCHORARRAY(Bet_Card!$A$8),5,4)),INDEX(_xlfn.ANCHORARRAY(Bet_Card!$A$8),5,4),""),"-")</f>
        <v>WINS - Utah Jazz UNDER 37.5</v>
      </c>
      <c r="C21" s="42">
        <f>IFERROR(INDEX(_xlfn.ANCHORARRAY(Bet_Card!$A$8),5,8),0)</f>
        <v>0.48311299999999968</v>
      </c>
      <c r="D21" s="42">
        <f>IFERROR(INDEX(_xlfn.ANCHORARRAY(Bet_Card!$A$8),5,9),0)</f>
        <v>0.3740793333333331</v>
      </c>
    </row>
    <row r="22" spans="1:4" ht="15" customHeight="1" x14ac:dyDescent="0.3">
      <c r="A22" s="6">
        <v>6</v>
      </c>
      <c r="B22" s="7" t="str">
        <f>IFERROR(INDEX(_xlfn.ANCHORARRAY(Bet_Card!$A$8),6,1)&amp;" - "&amp;INDEX(_xlfn.ANCHORARRAY(Bet_Card!$A$8),6,2)&amp;" "&amp;INDEX(_xlfn.ANCHORARRAY(Bet_Card!$A$8),6,3)&amp;" "&amp;IF(ISNUMBER(INDEX(_xlfn.ANCHORARRAY(Bet_Card!$A$8),6,4)),INDEX(_xlfn.ANCHORARRAY(Bet_Card!$A$8),6,4),""),"-")</f>
        <v xml:space="preserve">PLAYOFFS - Miami Heat NO </v>
      </c>
      <c r="C22" s="42">
        <f>IFERROR(INDEX(_xlfn.ANCHORARRAY(Bet_Card!$A$8),6,8),0)</f>
        <v>0.97894550000000002</v>
      </c>
      <c r="D22" s="42">
        <f>IFERROR(INDEX(_xlfn.ANCHORARRAY(Bet_Card!$A$8),6,9),0)</f>
        <v>0.81130033333333307</v>
      </c>
    </row>
    <row r="23" spans="1:4" ht="15" customHeight="1" x14ac:dyDescent="0.3">
      <c r="A23" s="6">
        <v>7</v>
      </c>
      <c r="B23" s="7" t="str">
        <f>IFERROR(INDEX(_xlfn.ANCHORARRAY(Bet_Card!$A$8),7,1)&amp;" - "&amp;INDEX(_xlfn.ANCHORARRAY(Bet_Card!$A$8),7,2)&amp;" "&amp;INDEX(_xlfn.ANCHORARRAY(Bet_Card!$A$8),7,3)&amp;" "&amp;IF(ISNUMBER(INDEX(_xlfn.ANCHORARRAY(Bet_Card!$A$8),7,4)),INDEX(_xlfn.ANCHORARRAY(Bet_Card!$A$8),7,4),""),"-")</f>
        <v xml:space="preserve">PLAYIN_EAST - Brooklyn Nets YES </v>
      </c>
      <c r="C23" s="42">
        <f>IFERROR(INDEX(_xlfn.ANCHORARRAY(Bet_Card!$A$8),7,8),0)</f>
        <v>2.5682</v>
      </c>
      <c r="D23" s="42">
        <f>IFERROR(INDEX(_xlfn.ANCHORARRAY(Bet_Card!$A$8),7,9),0)</f>
        <v>2.3037000000000001</v>
      </c>
    </row>
    <row r="24" spans="1:4" ht="15" customHeight="1" x14ac:dyDescent="0.3">
      <c r="A24" s="6">
        <v>8</v>
      </c>
      <c r="B24" s="7" t="str">
        <f>IFERROR(INDEX(_xlfn.ANCHORARRAY(Bet_Card!$A$8),8,1)&amp;" - "&amp;INDEX(_xlfn.ANCHORARRAY(Bet_Card!$A$8),8,2)&amp;" "&amp;INDEX(_xlfn.ANCHORARRAY(Bet_Card!$A$8),8,3)&amp;" "&amp;IF(ISNUMBER(INDEX(_xlfn.ANCHORARRAY(Bet_Card!$A$8),8,4)),INDEX(_xlfn.ANCHORARRAY(Bet_Card!$A$8),8,4),""),"-")</f>
        <v xml:space="preserve">DIV_SOUTHWEST - Houston Rockets YES </v>
      </c>
      <c r="C24" s="42">
        <f>IFERROR(INDEX(_xlfn.ANCHORARRAY(Bet_Card!$A$8),8,8),0)</f>
        <v>1.5437500000000002</v>
      </c>
      <c r="D24" s="42">
        <f>IFERROR(INDEX(_xlfn.ANCHORARRAY(Bet_Card!$A$8),8,9),0)</f>
        <v>1.4751466666666671</v>
      </c>
    </row>
    <row r="25" spans="1:4" ht="15" customHeight="1" x14ac:dyDescent="0.3">
      <c r="A25" s="6">
        <v>9</v>
      </c>
      <c r="B25" s="7" t="str">
        <f>IFERROR(INDEX(_xlfn.ANCHORARRAY(Bet_Card!$A$8),9,1)&amp;" - "&amp;INDEX(_xlfn.ANCHORARRAY(Bet_Card!$A$8),9,2)&amp;" "&amp;INDEX(_xlfn.ANCHORARRAY(Bet_Card!$A$8),9,3)&amp;" "&amp;IF(ISNUMBER(INDEX(_xlfn.ANCHORARRAY(Bet_Card!$A$8),9,4)),INDEX(_xlfn.ANCHORARRAY(Bet_Card!$A$8),9,4),""),"-")</f>
        <v xml:space="preserve">DIV_ATLANTIC - Toronto Raptors YES </v>
      </c>
      <c r="C25" s="42">
        <f>IFERROR(INDEX(_xlfn.ANCHORARRAY(Bet_Card!$A$8),9,8),0)</f>
        <v>1.5057499999999999</v>
      </c>
      <c r="D25" s="42">
        <f>IFERROR(INDEX(_xlfn.ANCHORARRAY(Bet_Card!$A$8),9,9),0)</f>
        <v>1.3141499999999999</v>
      </c>
    </row>
    <row r="26" spans="1:4" ht="15" customHeight="1" x14ac:dyDescent="0.3">
      <c r="A26" s="6">
        <v>10</v>
      </c>
      <c r="B26" s="7" t="str">
        <f>IFERROR(INDEX(_xlfn.ANCHORARRAY(Bet_Card!$A$8),10,1)&amp;" - "&amp;INDEX(_xlfn.ANCHORARRAY(Bet_Card!$A$8),10,2)&amp;" "&amp;INDEX(_xlfn.ANCHORARRAY(Bet_Card!$A$8),10,3)&amp;" "&amp;IF(ISNUMBER(INDEX(_xlfn.ANCHORARRAY(Bet_Card!$A$8),10,4)),INDEX(_xlfn.ANCHORARRAY(Bet_Card!$A$8),10,4),""),"-")</f>
        <v>WINS - Atlanta Hawks UNDER 44.5</v>
      </c>
      <c r="C26" s="42">
        <f>IFERROR(INDEX(_xlfn.ANCHORARRAY(Bet_Card!$A$8),10,8),0)</f>
        <v>0.19529000000000019</v>
      </c>
      <c r="D26" s="42">
        <f>IFERROR(INDEX(_xlfn.ANCHORARRAY(Bet_Card!$A$8),10,9),0)</f>
        <v>6.07039999999998E-2</v>
      </c>
    </row>
    <row r="27" spans="1:4" ht="15" customHeight="1" x14ac:dyDescent="0.3"/>
    <row r="28" spans="1:4" ht="15" customHeight="1" x14ac:dyDescent="0.3"/>
    <row r="29" spans="1:4" ht="15" customHeight="1" x14ac:dyDescent="0.3"/>
    <row r="30" spans="1:4" ht="15" customHeight="1" x14ac:dyDescent="0.3">
      <c r="A30" s="3" t="s">
        <v>1473</v>
      </c>
    </row>
    <row r="31" spans="1:4" ht="30" customHeight="1" x14ac:dyDescent="0.3">
      <c r="A31" s="11" t="s">
        <v>195</v>
      </c>
      <c r="B31" s="11" t="s">
        <v>1474</v>
      </c>
      <c r="C31" s="11" t="s">
        <v>1475</v>
      </c>
    </row>
    <row r="32" spans="1:4" ht="15" customHeight="1" x14ac:dyDescent="0.3">
      <c r="A32" s="7" t="str">
        <f>M_WinDist!A8</f>
        <v>BOS</v>
      </c>
      <c r="B32" s="31">
        <f>M_WinDist!B8</f>
        <v>51.5</v>
      </c>
      <c r="C32" s="31">
        <f>M_WinDist!C8</f>
        <v>51.027760980836348</v>
      </c>
    </row>
    <row r="33" spans="1:3" ht="15" customHeight="1" x14ac:dyDescent="0.3">
      <c r="A33" s="7" t="str">
        <f>M_WinDist!A9</f>
        <v>DET</v>
      </c>
      <c r="B33" s="31">
        <f>M_WinDist!B9</f>
        <v>49.5</v>
      </c>
      <c r="C33" s="31">
        <f>M_WinDist!C9</f>
        <v>47.135260415501001</v>
      </c>
    </row>
    <row r="34" spans="1:3" ht="15" customHeight="1" x14ac:dyDescent="0.3">
      <c r="A34" s="7" t="str">
        <f>M_WinDist!A10</f>
        <v>NYK</v>
      </c>
      <c r="B34" s="31">
        <f>M_WinDist!B10</f>
        <v>52.5</v>
      </c>
      <c r="C34" s="31">
        <f>M_WinDist!C10</f>
        <v>43.790963947959305</v>
      </c>
    </row>
    <row r="35" spans="1:3" ht="15" customHeight="1" x14ac:dyDescent="0.3">
      <c r="A35" s="7" t="str">
        <f>M_WinDist!A11</f>
        <v>PHI</v>
      </c>
      <c r="B35" s="31">
        <f>M_WinDist!B11</f>
        <v>50.5</v>
      </c>
      <c r="C35" s="31">
        <f>M_WinDist!C11</f>
        <v>44.550706616595875</v>
      </c>
    </row>
    <row r="36" spans="1:3" ht="15" customHeight="1" x14ac:dyDescent="0.3">
      <c r="A36" s="7" t="str">
        <f>M_WinDist!A12</f>
        <v>OKC</v>
      </c>
      <c r="B36" s="31">
        <f>M_WinDist!B12</f>
        <v>61.5</v>
      </c>
      <c r="C36" s="31">
        <f>M_WinDist!C12</f>
        <v>58.724035584789235</v>
      </c>
    </row>
    <row r="37" spans="1:3" ht="15" customHeight="1" x14ac:dyDescent="0.3">
      <c r="A37" s="7" t="str">
        <f>M_WinDist!A13</f>
        <v>SAS</v>
      </c>
      <c r="B37" s="31">
        <f>M_WinDist!B13</f>
        <v>59.5</v>
      </c>
      <c r="C37" s="31">
        <f>M_WinDist!C13</f>
        <v>53.937441613975466</v>
      </c>
    </row>
    <row r="38" spans="1:3" ht="15" customHeight="1" x14ac:dyDescent="0.3">
      <c r="A38" s="7" t="str">
        <f>M_WinDist!A14</f>
        <v>ATL</v>
      </c>
      <c r="B38" s="31">
        <f>M_WinDist!B14</f>
        <v>44.5</v>
      </c>
      <c r="C38" s="31">
        <f>M_WinDist!C14</f>
        <v>40.786749281555615</v>
      </c>
    </row>
    <row r="39" spans="1:3" ht="15" customHeight="1" x14ac:dyDescent="0.3">
      <c r="A39" s="7" t="str">
        <f>M_WinDist!A15</f>
        <v>MIL</v>
      </c>
      <c r="B39" s="31">
        <f>M_WinDist!B15</f>
        <v>25.5</v>
      </c>
      <c r="C39" s="31">
        <f>M_WinDist!C15</f>
        <v>30.058542071731551</v>
      </c>
    </row>
    <row r="40" spans="1:3" ht="15" customHeight="1" x14ac:dyDescent="0.3">
      <c r="A40" s="7" t="str">
        <f>M_WinDist!A16</f>
        <v>ORL</v>
      </c>
      <c r="B40" s="31">
        <f>M_WinDist!B16</f>
        <v>43.5</v>
      </c>
      <c r="C40" s="31">
        <f>M_WinDist!C16</f>
        <v>43.96500120297366</v>
      </c>
    </row>
    <row r="41" spans="1:3" ht="15" customHeight="1" x14ac:dyDescent="0.3">
      <c r="A41" s="7" t="str">
        <f>M_WinDist!A17</f>
        <v>WAS</v>
      </c>
      <c r="B41" s="31">
        <f>M_WinDist!B17</f>
        <v>35.5</v>
      </c>
      <c r="C41" s="31">
        <f>M_WinDist!C17</f>
        <v>27.814166659206549</v>
      </c>
    </row>
    <row r="42" spans="1:3" ht="15" customHeight="1" x14ac:dyDescent="0.3">
      <c r="A42" s="7" t="str">
        <f>M_WinDist!A18</f>
        <v>BKN</v>
      </c>
      <c r="B42" s="31">
        <f>M_WinDist!B18</f>
        <v>24.5</v>
      </c>
      <c r="C42" s="31">
        <f>M_WinDist!C18</f>
        <v>31.30890021121553</v>
      </c>
    </row>
    <row r="43" spans="1:3" ht="15" customHeight="1" x14ac:dyDescent="0.3">
      <c r="A43" s="7" t="str">
        <f>M_WinDist!A19</f>
        <v>CHA</v>
      </c>
      <c r="B43" s="31">
        <f>M_WinDist!B19</f>
        <v>39.5</v>
      </c>
      <c r="C43" s="31">
        <f>M_WinDist!C19</f>
        <v>37.818211825207889</v>
      </c>
    </row>
    <row r="44" spans="1:3" ht="15" customHeight="1" x14ac:dyDescent="0.3">
      <c r="A44" s="7" t="str">
        <f>M_WinDist!A20</f>
        <v>CHI</v>
      </c>
      <c r="B44" s="31">
        <f>M_WinDist!B20</f>
        <v>28.5</v>
      </c>
      <c r="C44" s="31">
        <f>M_WinDist!C20</f>
        <v>31.948128137493921</v>
      </c>
    </row>
    <row r="45" spans="1:3" ht="15" customHeight="1" x14ac:dyDescent="0.3">
      <c r="A45" s="7" t="str">
        <f>M_WinDist!A21</f>
        <v>MIA</v>
      </c>
      <c r="B45" s="31">
        <f>M_WinDist!B21</f>
        <v>46.5</v>
      </c>
      <c r="C45" s="31">
        <f>M_WinDist!C21</f>
        <v>37.316596617560769</v>
      </c>
    </row>
    <row r="46" spans="1:3" ht="15" customHeight="1" x14ac:dyDescent="0.3">
      <c r="A46" s="7" t="str">
        <f>M_WinDist!A22</f>
        <v>MIN</v>
      </c>
      <c r="B46" s="31">
        <f>M_WinDist!B22</f>
        <v>47.5</v>
      </c>
      <c r="C46" s="31">
        <f>M_WinDist!C22</f>
        <v>44.371378152861226</v>
      </c>
    </row>
    <row r="47" spans="1:3" ht="15" customHeight="1" x14ac:dyDescent="0.3">
      <c r="A47" s="7" t="str">
        <f>M_WinDist!A23</f>
        <v>TOR</v>
      </c>
      <c r="B47" s="31">
        <f>M_WinDist!B23</f>
        <v>45.5</v>
      </c>
      <c r="C47" s="31">
        <f>M_WinDist!C23</f>
        <v>50.058631025067847</v>
      </c>
    </row>
    <row r="48" spans="1:3" ht="15" customHeight="1" x14ac:dyDescent="0.3">
      <c r="A48" s="7" t="str">
        <f>M_WinDist!A24</f>
        <v>IND</v>
      </c>
      <c r="B48" s="31">
        <f>M_WinDist!B24</f>
        <v>44.5</v>
      </c>
      <c r="C48" s="31">
        <f>M_WinDist!C24</f>
        <v>42.076646842599409</v>
      </c>
    </row>
    <row r="49" spans="1:3" ht="15" customHeight="1" x14ac:dyDescent="0.3">
      <c r="A49" s="7" t="str">
        <f>M_WinDist!A25</f>
        <v>MEM</v>
      </c>
      <c r="B49" s="31">
        <f>M_WinDist!B25</f>
        <v>28.5</v>
      </c>
      <c r="C49" s="31">
        <f>M_WinDist!C25</f>
        <v>36.359431930191491</v>
      </c>
    </row>
    <row r="50" spans="1:3" ht="15" customHeight="1" x14ac:dyDescent="0.3">
      <c r="A50" s="7" t="str">
        <f>M_WinDist!A26</f>
        <v>NOP</v>
      </c>
      <c r="B50" s="31">
        <f>M_WinDist!B26</f>
        <v>28.5</v>
      </c>
      <c r="C50" s="31">
        <f>M_WinDist!C26</f>
        <v>32.030757259195234</v>
      </c>
    </row>
    <row r="51" spans="1:3" ht="15" customHeight="1" x14ac:dyDescent="0.3">
      <c r="A51" s="7" t="str">
        <f>M_WinDist!A27</f>
        <v>UTA</v>
      </c>
      <c r="B51" s="31">
        <f>M_WinDist!B27</f>
        <v>37.5</v>
      </c>
      <c r="C51" s="31">
        <f>M_WinDist!C27</f>
        <v>33.269441131889621</v>
      </c>
    </row>
    <row r="52" spans="1:3" ht="15" customHeight="1" x14ac:dyDescent="0.3">
      <c r="A52" s="7" t="str">
        <f>M_WinDist!A28</f>
        <v>DAL</v>
      </c>
      <c r="B52" s="31">
        <f>M_WinDist!B28</f>
        <v>34.5</v>
      </c>
      <c r="C52" s="31">
        <f>M_WinDist!C28</f>
        <v>34.028578995706546</v>
      </c>
    </row>
    <row r="53" spans="1:3" ht="15" customHeight="1" x14ac:dyDescent="0.3">
      <c r="A53" s="7" t="str">
        <f>M_WinDist!A29</f>
        <v>HOU</v>
      </c>
      <c r="B53" s="31">
        <f>M_WinDist!B29</f>
        <v>47.5</v>
      </c>
      <c r="C53" s="31">
        <f>M_WinDist!C29</f>
        <v>53.617480537140423</v>
      </c>
    </row>
    <row r="54" spans="1:3" ht="15" customHeight="1" x14ac:dyDescent="0.3">
      <c r="A54" s="7" t="str">
        <f>M_WinDist!A30</f>
        <v>GSW</v>
      </c>
      <c r="B54" s="31">
        <f>M_WinDist!B30</f>
        <v>39.5</v>
      </c>
      <c r="C54" s="31">
        <f>M_WinDist!C30</f>
        <v>43.943176092197312</v>
      </c>
    </row>
    <row r="55" spans="1:3" ht="15" customHeight="1" x14ac:dyDescent="0.3">
      <c r="A55" s="7" t="str">
        <f>M_WinDist!A31</f>
        <v>LAL</v>
      </c>
      <c r="B55" s="31">
        <f>M_WinDist!B31</f>
        <v>45.5</v>
      </c>
      <c r="C55" s="31">
        <f>M_WinDist!C31</f>
        <v>46.022965553361551</v>
      </c>
    </row>
    <row r="56" spans="1:3" ht="15" customHeight="1" x14ac:dyDescent="0.3">
      <c r="A56" s="7" t="str">
        <f>M_WinDist!A32</f>
        <v>PHX</v>
      </c>
      <c r="B56" s="31">
        <f>M_WinDist!B32</f>
        <v>39.5</v>
      </c>
      <c r="C56" s="31">
        <f>M_WinDist!C32</f>
        <v>39.538134765854018</v>
      </c>
    </row>
    <row r="57" spans="1:3" ht="15" customHeight="1" x14ac:dyDescent="0.3">
      <c r="A57" s="7" t="str">
        <f>M_WinDist!A33</f>
        <v>POR</v>
      </c>
      <c r="B57" s="31">
        <f>M_WinDist!B33</f>
        <v>42.5</v>
      </c>
      <c r="C57" s="31">
        <f>M_WinDist!C33</f>
        <v>45.495811331143926</v>
      </c>
    </row>
    <row r="58" spans="1:3" ht="15" customHeight="1" x14ac:dyDescent="0.3">
      <c r="A58" s="7" t="str">
        <f>M_WinDist!A34</f>
        <v>LAC</v>
      </c>
      <c r="B58" s="31">
        <f>M_WinDist!B34</f>
        <v>29.5</v>
      </c>
      <c r="C58" s="31">
        <f>M_WinDist!C34</f>
        <v>31.055588994594057</v>
      </c>
    </row>
    <row r="59" spans="1:3" ht="15" customHeight="1" x14ac:dyDescent="0.3">
      <c r="A59" s="7" t="str">
        <f>M_WinDist!A35</f>
        <v>SAC</v>
      </c>
      <c r="B59" s="31">
        <f>M_WinDist!B35</f>
        <v>20.5</v>
      </c>
      <c r="C59" s="31">
        <f>M_WinDist!C35</f>
        <v>23.909143947268561</v>
      </c>
    </row>
    <row r="60" spans="1:3" ht="15" customHeight="1" x14ac:dyDescent="0.3">
      <c r="A60" s="7" t="str">
        <f>M_WinDist!A36</f>
        <v>CLE</v>
      </c>
      <c r="B60" s="31">
        <f>M_WinDist!B36</f>
        <v>47.5</v>
      </c>
      <c r="C60" s="31">
        <f>M_WinDist!C36</f>
        <v>46.600687058800119</v>
      </c>
    </row>
    <row r="61" spans="1:3" ht="15" customHeight="1" x14ac:dyDescent="0.3">
      <c r="A61" s="7" t="str">
        <f>M_WinDist!A37</f>
        <v>DEN</v>
      </c>
      <c r="B61" s="31">
        <f>M_WinDist!B37</f>
        <v>49.5</v>
      </c>
      <c r="C61" s="31">
        <f>M_WinDist!C37</f>
        <v>47.439681215525937</v>
      </c>
    </row>
    <row r="62" spans="1:3" ht="15" customHeight="1" x14ac:dyDescent="0.3"/>
    <row r="63" spans="1:3" ht="15" customHeight="1" x14ac:dyDescent="0.3"/>
    <row r="64" spans="1:3" ht="15" customHeight="1" x14ac:dyDescent="0.3"/>
    <row r="65" spans="1:3" ht="15" customHeight="1" x14ac:dyDescent="0.3">
      <c r="A65" s="3" t="s">
        <v>1476</v>
      </c>
    </row>
    <row r="66" spans="1:3" ht="30" customHeight="1" x14ac:dyDescent="0.3">
      <c r="A66" s="11" t="s">
        <v>195</v>
      </c>
      <c r="B66" s="11" t="s">
        <v>1477</v>
      </c>
      <c r="C66" s="11" t="s">
        <v>1478</v>
      </c>
    </row>
    <row r="67" spans="1:3" ht="15" customHeight="1" x14ac:dyDescent="0.3">
      <c r="A67" s="7" t="str">
        <f>S_Markets!C35</f>
        <v>SAS</v>
      </c>
      <c r="B67" s="42">
        <f>S_Markets!I35</f>
        <v>0.25118441200397795</v>
      </c>
      <c r="C67" s="42">
        <f>S_Markets!J35</f>
        <v>0.10163</v>
      </c>
    </row>
    <row r="68" spans="1:3" ht="15" customHeight="1" x14ac:dyDescent="0.3">
      <c r="A68" s="7" t="str">
        <f>S_Markets!C29</f>
        <v>OKC</v>
      </c>
      <c r="B68" s="42">
        <f>S_Markets!I29</f>
        <v>0.25118441200397795</v>
      </c>
      <c r="C68" s="42">
        <f>S_Markets!J29</f>
        <v>0.22633</v>
      </c>
    </row>
    <row r="69" spans="1:3" ht="15" customHeight="1" x14ac:dyDescent="0.3">
      <c r="A69" s="7" t="str">
        <f>S_Markets!C31</f>
        <v>PHI</v>
      </c>
      <c r="B69" s="42">
        <f>S_Markets!I31</f>
        <v>8.9155050838218536E-2</v>
      </c>
      <c r="C69" s="42">
        <f>S_Markets!J31</f>
        <v>3.3660000000000002E-2</v>
      </c>
    </row>
    <row r="70" spans="1:3" ht="15" customHeight="1" x14ac:dyDescent="0.3">
      <c r="A70" s="7" t="str">
        <f>S_Markets!C28</f>
        <v>NYK</v>
      </c>
      <c r="B70" s="42">
        <f>S_Markets!I28</f>
        <v>8.2247714149514636E-2</v>
      </c>
      <c r="C70" s="42">
        <f>S_Markets!J28</f>
        <v>2.87E-2</v>
      </c>
    </row>
    <row r="71" spans="1:3" ht="15" customHeight="1" x14ac:dyDescent="0.3">
      <c r="A71" s="7" t="str">
        <f>S_Markets!C10</f>
        <v>BOS</v>
      </c>
      <c r="B71" s="42">
        <f>S_Markets!I10</f>
        <v>5.4571644329192905E-2</v>
      </c>
      <c r="C71" s="42">
        <f>S_Markets!J10</f>
        <v>8.5879999999999998E-2</v>
      </c>
    </row>
    <row r="72" spans="1:3" ht="15" customHeight="1" x14ac:dyDescent="0.3">
      <c r="A72" s="7" t="str">
        <f>S_Markets!C14</f>
        <v>CLE</v>
      </c>
      <c r="B72" s="42">
        <f>S_Markets!I14</f>
        <v>3.0783641580231089E-2</v>
      </c>
      <c r="C72" s="42">
        <f>S_Markets!J14</f>
        <v>4.6609999999999999E-2</v>
      </c>
    </row>
    <row r="73" spans="1:3" ht="15" customHeight="1" x14ac:dyDescent="0.3">
      <c r="A73" s="7" t="str">
        <f>S_Markets!C26</f>
        <v>MIN</v>
      </c>
      <c r="B73" s="42">
        <f>S_Markets!I26</f>
        <v>3.0783641580231089E-2</v>
      </c>
      <c r="C73" s="42">
        <f>S_Markets!J26</f>
        <v>2.4330000000000001E-2</v>
      </c>
    </row>
    <row r="74" spans="1:3" ht="15" customHeight="1" x14ac:dyDescent="0.3">
      <c r="A74" s="7" t="str">
        <f>S_Markets!C36</f>
        <v>TOR</v>
      </c>
      <c r="B74" s="42">
        <f>S_Markets!I36</f>
        <v>2.8155532984986568E-2</v>
      </c>
      <c r="C74" s="42">
        <f>S_Markets!J36</f>
        <v>8.0030000000000004E-2</v>
      </c>
    </row>
    <row r="75" spans="1:3" ht="15" customHeight="1" x14ac:dyDescent="0.3">
      <c r="A75" s="7" t="str">
        <f>S_Markets!C16</f>
        <v>DEN</v>
      </c>
      <c r="B75" s="42">
        <f>S_Markets!I16</f>
        <v>2.6984057562211648E-2</v>
      </c>
      <c r="C75" s="42">
        <f>S_Markets!J16</f>
        <v>4.6010000000000002E-2</v>
      </c>
    </row>
    <row r="76" spans="1:3" ht="15" customHeight="1" x14ac:dyDescent="0.3">
      <c r="A76" s="7" t="str">
        <f>S_Markets!C24</f>
        <v>MIA</v>
      </c>
      <c r="B76" s="42">
        <f>S_Markets!I24</f>
        <v>2.4878720982614358E-2</v>
      </c>
      <c r="C76" s="42">
        <f>S_Markets!J24</f>
        <v>8.5100000000000002E-3</v>
      </c>
    </row>
    <row r="77" spans="1:3" ht="15" customHeight="1" x14ac:dyDescent="0.3">
      <c r="A77" s="7" t="str">
        <f>S_Markets!C17</f>
        <v>DET</v>
      </c>
      <c r="B77" s="42">
        <f>S_Markets!I17</f>
        <v>2.3929522910412789E-2</v>
      </c>
      <c r="C77" s="42">
        <f>S_Markets!J17</f>
        <v>4.6249999999999999E-2</v>
      </c>
    </row>
    <row r="78" spans="1:3" ht="15" customHeight="1" x14ac:dyDescent="0.3">
      <c r="A78" s="7" t="str">
        <f>S_Markets!C22</f>
        <v>LAL</v>
      </c>
      <c r="B78" s="42">
        <f>S_Markets!I22</f>
        <v>1.8118413839951487E-2</v>
      </c>
      <c r="C78" s="42">
        <f>S_Markets!J22</f>
        <v>3.4819999999999997E-2</v>
      </c>
    </row>
    <row r="79" spans="1:3" ht="15" customHeight="1" x14ac:dyDescent="0.3">
      <c r="A79" s="7" t="str">
        <f>S_Markets!C19</f>
        <v>HOU</v>
      </c>
      <c r="B79" s="42">
        <f>S_Markets!I19</f>
        <v>1.3230777321611098E-2</v>
      </c>
      <c r="C79" s="42">
        <f>S_Markets!J19</f>
        <v>9.1990000000000002E-2</v>
      </c>
    </row>
    <row r="80" spans="1:3" ht="15" customHeight="1" x14ac:dyDescent="0.3">
      <c r="A80" s="7" t="str">
        <f>S_Markets!C20</f>
        <v>IND</v>
      </c>
      <c r="B80" s="42">
        <f>S_Markets!I20</f>
        <v>1.2894615456174987E-2</v>
      </c>
      <c r="C80" s="42">
        <f>S_Markets!J20</f>
        <v>1.8239999999999999E-2</v>
      </c>
    </row>
    <row r="81" spans="1:3" ht="15" customHeight="1" x14ac:dyDescent="0.3">
      <c r="A81" s="7" t="str">
        <f>S_Markets!C18</f>
        <v>GSW</v>
      </c>
      <c r="B81" s="42">
        <f>S_Markets!I18</f>
        <v>1.1964164450396957E-2</v>
      </c>
      <c r="C81" s="42">
        <f>S_Markets!J18</f>
        <v>2.2679999999999999E-2</v>
      </c>
    </row>
    <row r="82" spans="1:3" ht="15" customHeight="1" x14ac:dyDescent="0.3">
      <c r="A82" s="7" t="str">
        <f>S_Markets!C30</f>
        <v>ORL</v>
      </c>
      <c r="B82" s="42">
        <f>S_Markets!I30</f>
        <v>1.1401895822062667E-2</v>
      </c>
      <c r="C82" s="42">
        <f>S_Markets!J30</f>
        <v>2.681E-2</v>
      </c>
    </row>
    <row r="83" spans="1:3" ht="15" customHeight="1" x14ac:dyDescent="0.3">
      <c r="A83" s="7" t="str">
        <f>S_Markets!C9</f>
        <v>ATL</v>
      </c>
      <c r="B83" s="42">
        <f>S_Markets!I9</f>
        <v>9.7295800994913507E-3</v>
      </c>
      <c r="C83" s="42">
        <f>S_Markets!J9</f>
        <v>1.5689999999999999E-2</v>
      </c>
    </row>
    <row r="84" spans="1:3" ht="15" customHeight="1" x14ac:dyDescent="0.3">
      <c r="A84" s="7" t="str">
        <f>S_Markets!C12</f>
        <v>CHA</v>
      </c>
      <c r="B84" s="42">
        <f>S_Markets!I12</f>
        <v>6.1544724355321713E-3</v>
      </c>
      <c r="C84" s="42">
        <f>S_Markets!J12</f>
        <v>8.5000000000000006E-3</v>
      </c>
    </row>
    <row r="85" spans="1:3" ht="15" customHeight="1" x14ac:dyDescent="0.3">
      <c r="A85" s="7" t="str">
        <f>S_Markets!C33</f>
        <v>POR</v>
      </c>
      <c r="B85" s="42">
        <f>S_Markets!I33</f>
        <v>4.917527402131543E-3</v>
      </c>
      <c r="C85" s="42">
        <f>S_Markets!J33</f>
        <v>2.6360000000000001E-2</v>
      </c>
    </row>
    <row r="86" spans="1:3" ht="15" customHeight="1" x14ac:dyDescent="0.3">
      <c r="A86" s="7" t="str">
        <f>S_Markets!C37</f>
        <v>UTA</v>
      </c>
      <c r="B86" s="42">
        <f>S_Markets!I37</f>
        <v>3.4716321778757854E-3</v>
      </c>
      <c r="C86" s="42">
        <f>S_Markets!J37</f>
        <v>1.98E-3</v>
      </c>
    </row>
    <row r="87" spans="1:3" ht="15" customHeight="1" x14ac:dyDescent="0.3">
      <c r="A87" s="7" t="str">
        <f>S_Markets!C38</f>
        <v>WAS</v>
      </c>
      <c r="B87" s="42">
        <f>S_Markets!I38</f>
        <v>2.7246056272470097E-3</v>
      </c>
      <c r="C87" s="42">
        <f>S_Markets!J38</f>
        <v>6.4999999999999997E-4</v>
      </c>
    </row>
    <row r="88" spans="1:3" ht="15" customHeight="1" x14ac:dyDescent="0.3">
      <c r="A88" s="7" t="str">
        <f>S_Markets!C15</f>
        <v>DAL</v>
      </c>
      <c r="B88" s="42">
        <f>S_Markets!I15</f>
        <v>2.3095310156766853E-3</v>
      </c>
      <c r="C88" s="42">
        <f>S_Markets!J15</f>
        <v>2.5200000000000001E-3</v>
      </c>
    </row>
    <row r="89" spans="1:3" ht="15" customHeight="1" x14ac:dyDescent="0.3">
      <c r="A89" s="7" t="str">
        <f>S_Markets!C32</f>
        <v>PHX</v>
      </c>
      <c r="B89" s="42">
        <f>S_Markets!I32</f>
        <v>1.8865148208312753E-3</v>
      </c>
      <c r="C89" s="42">
        <f>S_Markets!J32</f>
        <v>9.5300000000000003E-3</v>
      </c>
    </row>
    <row r="90" spans="1:3" ht="15" customHeight="1" x14ac:dyDescent="0.3">
      <c r="A90" s="7" t="str">
        <f>S_Markets!C21</f>
        <v>LAC</v>
      </c>
      <c r="B90" s="42">
        <f>S_Markets!I21</f>
        <v>1.0482741504970515E-3</v>
      </c>
      <c r="C90" s="42">
        <f>S_Markets!J21</f>
        <v>1.0499999999999999E-3</v>
      </c>
    </row>
    <row r="91" spans="1:3" ht="15" customHeight="1" x14ac:dyDescent="0.3">
      <c r="A91" s="7" t="str">
        <f>S_Markets!C11</f>
        <v>BKN</v>
      </c>
      <c r="B91" s="42">
        <f>S_Markets!I11</f>
        <v>1.0482741504970515E-3</v>
      </c>
      <c r="C91" s="42">
        <f>S_Markets!J11</f>
        <v>1.6900000000000001E-3</v>
      </c>
    </row>
    <row r="92" spans="1:3" ht="15" customHeight="1" x14ac:dyDescent="0.3">
      <c r="A92" s="7" t="str">
        <f>S_Markets!C13</f>
        <v>CHI</v>
      </c>
      <c r="B92" s="42">
        <f>S_Markets!I13</f>
        <v>1.0482741504970515E-3</v>
      </c>
      <c r="C92" s="42">
        <f>S_Markets!J13</f>
        <v>2.2899999999999999E-3</v>
      </c>
    </row>
    <row r="93" spans="1:3" ht="15" customHeight="1" x14ac:dyDescent="0.3">
      <c r="A93" s="7" t="str">
        <f>S_Markets!C27</f>
        <v>NOP</v>
      </c>
      <c r="B93" s="42">
        <f>S_Markets!I27</f>
        <v>1.0482741504970515E-3</v>
      </c>
      <c r="C93" s="42">
        <f>S_Markets!J27</f>
        <v>1.6299999999999999E-3</v>
      </c>
    </row>
    <row r="94" spans="1:3" ht="15" customHeight="1" x14ac:dyDescent="0.3">
      <c r="A94" s="7" t="str">
        <f>S_Markets!C25</f>
        <v>MIL</v>
      </c>
      <c r="B94" s="42">
        <f>S_Markets!I25</f>
        <v>1.0482741504970515E-3</v>
      </c>
      <c r="C94" s="42">
        <f>S_Markets!J25</f>
        <v>1.2800000000000001E-3</v>
      </c>
    </row>
    <row r="95" spans="1:3" ht="15" customHeight="1" x14ac:dyDescent="0.3">
      <c r="A95" s="7" t="str">
        <f>S_Markets!C23</f>
        <v>MEM</v>
      </c>
      <c r="B95" s="42">
        <f>S_Markets!I23</f>
        <v>1.0482741504970515E-3</v>
      </c>
      <c r="C95" s="42">
        <f>S_Markets!J23</f>
        <v>4.1700000000000001E-3</v>
      </c>
    </row>
    <row r="96" spans="1:3" ht="15" customHeight="1" x14ac:dyDescent="0.3">
      <c r="A96" s="7" t="str">
        <f>S_Markets!C34</f>
        <v>SAC</v>
      </c>
      <c r="B96" s="42">
        <f>S_Markets!I34</f>
        <v>1.0482741504970515E-3</v>
      </c>
      <c r="C96" s="42">
        <f>S_Markets!J34</f>
        <v>1.8000000000000001E-4</v>
      </c>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J32"/>
  <sheetViews>
    <sheetView showGridLines="0" workbookViewId="0"/>
  </sheetViews>
  <sheetFormatPr defaultRowHeight="14.4" x14ac:dyDescent="0.3"/>
  <cols>
    <col min="1" max="1" width="34" customWidth="1"/>
    <col min="2" max="10" width="14" customWidth="1"/>
  </cols>
  <sheetData>
    <row r="1" spans="1:10" ht="15" customHeight="1" x14ac:dyDescent="0.3">
      <c r="A1" s="1" t="s">
        <v>0</v>
      </c>
      <c r="B1" s="2"/>
      <c r="C1" s="2"/>
      <c r="D1" s="2"/>
      <c r="E1" s="2"/>
      <c r="F1" s="2"/>
      <c r="G1" s="2"/>
      <c r="H1" s="2"/>
      <c r="I1" s="2"/>
      <c r="J1" s="2"/>
    </row>
    <row r="2" spans="1:10" ht="15" customHeight="1" x14ac:dyDescent="0.3">
      <c r="A2" s="3" t="s">
        <v>1479</v>
      </c>
    </row>
    <row r="3" spans="1:10" ht="15" customHeight="1" x14ac:dyDescent="0.3">
      <c r="A3" s="4" t="s">
        <v>2</v>
      </c>
    </row>
    <row r="4" spans="1:10" ht="6" customHeight="1" x14ac:dyDescent="0.3"/>
    <row r="5" spans="1:10" ht="15" customHeight="1" x14ac:dyDescent="0.3">
      <c r="A5" s="4" t="s">
        <v>1480</v>
      </c>
    </row>
    <row r="6" spans="1:10" ht="15" customHeight="1" x14ac:dyDescent="0.3"/>
    <row r="7" spans="1:10" ht="30" customHeight="1" x14ac:dyDescent="0.3">
      <c r="A7" s="11" t="s">
        <v>1481</v>
      </c>
      <c r="B7" s="11" t="s">
        <v>1482</v>
      </c>
      <c r="C7" s="11" t="s">
        <v>1483</v>
      </c>
      <c r="D7" s="11" t="s">
        <v>1484</v>
      </c>
      <c r="E7" s="11" t="s">
        <v>1485</v>
      </c>
      <c r="F7" s="11" t="s">
        <v>1486</v>
      </c>
      <c r="G7" s="11" t="s">
        <v>1487</v>
      </c>
      <c r="H7" s="11" t="s">
        <v>1488</v>
      </c>
    </row>
    <row r="8" spans="1:10" ht="15" customHeight="1" x14ac:dyDescent="0.3">
      <c r="A8" s="6" t="s">
        <v>1489</v>
      </c>
      <c r="B8" s="22">
        <v>0.2238</v>
      </c>
      <c r="C8" s="22">
        <v>0.1028833333333333</v>
      </c>
      <c r="D8" s="22">
        <v>9.0433333333333296E-2</v>
      </c>
      <c r="E8" s="22">
        <v>8.6083333333333303E-2</v>
      </c>
      <c r="F8" s="22">
        <v>8.09E-2</v>
      </c>
      <c r="G8" s="22">
        <v>4.6949999999999999E-2</v>
      </c>
      <c r="H8" s="12">
        <v>0</v>
      </c>
    </row>
    <row r="9" spans="1:10" ht="15" customHeight="1" x14ac:dyDescent="0.3">
      <c r="A9" s="6" t="s">
        <v>1490</v>
      </c>
      <c r="B9" s="22">
        <v>0.23285</v>
      </c>
      <c r="C9" s="22">
        <v>0.1029666666666666</v>
      </c>
      <c r="D9" s="22">
        <v>9.4266666666666596E-2</v>
      </c>
      <c r="E9" s="22">
        <v>8.6083333333333303E-2</v>
      </c>
      <c r="F9" s="22">
        <v>8.2049999999999998E-2</v>
      </c>
      <c r="G9" s="22">
        <v>4.6100000000000002E-2</v>
      </c>
      <c r="H9" s="12">
        <v>9.0316666666666379E-2</v>
      </c>
    </row>
    <row r="10" spans="1:10" ht="15" customHeight="1" x14ac:dyDescent="0.3">
      <c r="A10" s="6" t="s">
        <v>1491</v>
      </c>
      <c r="B10" s="22">
        <v>0.21560000000000001</v>
      </c>
      <c r="C10" s="22">
        <v>9.8549999999999999E-2</v>
      </c>
      <c r="D10" s="22">
        <v>9.2066666666666602E-2</v>
      </c>
      <c r="E10" s="22">
        <v>8.43E-2</v>
      </c>
      <c r="F10" s="22">
        <v>7.9383333333333306E-2</v>
      </c>
      <c r="G10" s="22">
        <v>4.8116666666666599E-2</v>
      </c>
      <c r="H10" s="12">
        <v>0.1266000000000034</v>
      </c>
    </row>
    <row r="11" spans="1:10" ht="15" customHeight="1" x14ac:dyDescent="0.3">
      <c r="A11" s="6" t="s">
        <v>1492</v>
      </c>
      <c r="B11" s="22">
        <v>0.2235</v>
      </c>
      <c r="C11" s="22">
        <v>9.9699999999999997E-2</v>
      </c>
      <c r="D11" s="22">
        <v>9.2866666666666597E-2</v>
      </c>
      <c r="E11" s="22">
        <v>8.7216666666666595E-2</v>
      </c>
      <c r="F11" s="22">
        <v>7.9533333333333303E-2</v>
      </c>
      <c r="G11" s="22">
        <v>4.7316666666666597E-2</v>
      </c>
      <c r="H11" s="12">
        <v>0.10368333333333619</v>
      </c>
    </row>
    <row r="12" spans="1:10" ht="15" customHeight="1" x14ac:dyDescent="0.3">
      <c r="A12" s="6" t="s">
        <v>1493</v>
      </c>
      <c r="B12" s="22">
        <v>0.22505</v>
      </c>
      <c r="C12" s="22">
        <v>0.1020833333333333</v>
      </c>
      <c r="D12" s="22">
        <v>9.1866666666666597E-2</v>
      </c>
      <c r="E12" s="22">
        <v>8.7283333333333296E-2</v>
      </c>
      <c r="F12" s="22">
        <v>7.9966666666666603E-2</v>
      </c>
      <c r="G12" s="22">
        <v>4.7500000000000001E-2</v>
      </c>
      <c r="H12" s="12">
        <v>0.131766666666671</v>
      </c>
    </row>
    <row r="13" spans="1:10" ht="15" customHeight="1" x14ac:dyDescent="0.3">
      <c r="A13" s="6" t="s">
        <v>1494</v>
      </c>
      <c r="B13" s="22">
        <v>0.2259166666666666</v>
      </c>
      <c r="C13" s="22">
        <v>0.1020333333333333</v>
      </c>
      <c r="D13" s="22">
        <v>9.1116666666666596E-2</v>
      </c>
      <c r="E13" s="22">
        <v>8.5449999999999998E-2</v>
      </c>
      <c r="F13" s="22">
        <v>8.0799999999999997E-2</v>
      </c>
      <c r="G13" s="22">
        <v>4.6399999999999997E-2</v>
      </c>
      <c r="H13" s="12">
        <v>2.2199999999997999E-2</v>
      </c>
    </row>
    <row r="14" spans="1:10" ht="15" customHeight="1" x14ac:dyDescent="0.3">
      <c r="A14" s="6" t="s">
        <v>1495</v>
      </c>
      <c r="B14" s="22">
        <v>0.2215833333333333</v>
      </c>
      <c r="C14" s="22">
        <v>0.1005833333333333</v>
      </c>
      <c r="D14" s="22">
        <v>9.2283333333333301E-2</v>
      </c>
      <c r="E14" s="22">
        <v>8.5050000000000001E-2</v>
      </c>
      <c r="F14" s="22">
        <v>7.8516666666666596E-2</v>
      </c>
      <c r="G14" s="22">
        <v>4.7916666666666601E-2</v>
      </c>
      <c r="H14" s="12">
        <v>5.2150000000011687E-2</v>
      </c>
    </row>
    <row r="15" spans="1:10" ht="15" customHeight="1" x14ac:dyDescent="0.3">
      <c r="A15" s="6" t="s">
        <v>1496</v>
      </c>
      <c r="B15" s="22">
        <v>0.18171666666666661</v>
      </c>
      <c r="C15" s="22">
        <v>0.1071666666666666</v>
      </c>
      <c r="D15" s="22">
        <v>0.10274999999999999</v>
      </c>
      <c r="E15" s="22">
        <v>8.5349999999999995E-2</v>
      </c>
      <c r="F15" s="22">
        <v>7.7200000000000005E-2</v>
      </c>
      <c r="G15" s="22">
        <v>5.0883333333333301E-2</v>
      </c>
      <c r="H15" s="12">
        <v>0</v>
      </c>
    </row>
    <row r="16" spans="1:10" ht="15" customHeight="1" x14ac:dyDescent="0.3">
      <c r="A16" s="6" t="s">
        <v>1497</v>
      </c>
      <c r="B16" s="22">
        <v>0.26869999999999999</v>
      </c>
      <c r="C16" s="22">
        <v>9.7216666666666604E-2</v>
      </c>
      <c r="D16" s="22">
        <v>8.0049999999999996E-2</v>
      </c>
      <c r="E16" s="22">
        <v>8.3400000000000002E-2</v>
      </c>
      <c r="F16" s="22">
        <v>8.3849999999999994E-2</v>
      </c>
      <c r="G16" s="22">
        <v>4.2983333333333297E-2</v>
      </c>
      <c r="H16" s="12">
        <v>0</v>
      </c>
    </row>
    <row r="17" spans="1:8" ht="15" customHeight="1" x14ac:dyDescent="0.3">
      <c r="A17" s="6" t="s">
        <v>1498</v>
      </c>
      <c r="B17" s="22">
        <v>0.20424999999999999</v>
      </c>
      <c r="C17" s="22">
        <v>0.10601666666666661</v>
      </c>
      <c r="D17" s="22">
        <v>9.6549999999999997E-2</v>
      </c>
      <c r="E17" s="22">
        <v>8.5300000000000001E-2</v>
      </c>
      <c r="F17" s="22">
        <v>7.7166666666666606E-2</v>
      </c>
      <c r="G17" s="22">
        <v>4.87E-2</v>
      </c>
      <c r="H17" s="12">
        <v>0</v>
      </c>
    </row>
    <row r="18" spans="1:8" ht="15" customHeight="1" x14ac:dyDescent="0.3">
      <c r="A18" s="6" t="s">
        <v>1499</v>
      </c>
      <c r="B18" s="22">
        <v>0.24585000000000001</v>
      </c>
      <c r="C18" s="22">
        <v>9.7666666666666596E-2</v>
      </c>
      <c r="D18" s="22">
        <v>8.5150000000000003E-2</v>
      </c>
      <c r="E18" s="22">
        <v>8.5466666666666594E-2</v>
      </c>
      <c r="F18" s="22">
        <v>8.2650000000000001E-2</v>
      </c>
      <c r="G18" s="22">
        <v>4.4749999999999998E-2</v>
      </c>
      <c r="H18" s="12">
        <v>0</v>
      </c>
    </row>
    <row r="19" spans="1:8" ht="15" customHeight="1" x14ac:dyDescent="0.3">
      <c r="A19" s="6" t="s">
        <v>1500</v>
      </c>
      <c r="B19" s="22">
        <v>0.23135</v>
      </c>
      <c r="C19" s="22">
        <v>0.10118333333333331</v>
      </c>
      <c r="D19" s="22">
        <v>9.1483333333333305E-2</v>
      </c>
      <c r="E19" s="22">
        <v>8.6133333333333298E-2</v>
      </c>
      <c r="F19" s="22">
        <v>7.9600000000000004E-2</v>
      </c>
      <c r="G19" s="22">
        <v>4.5833333333333302E-2</v>
      </c>
      <c r="H19" s="12">
        <v>0</v>
      </c>
    </row>
    <row r="20" spans="1:8" ht="15" customHeight="1" x14ac:dyDescent="0.3">
      <c r="A20" s="6" t="s">
        <v>1501</v>
      </c>
      <c r="B20" s="22">
        <v>0.2255833333333333</v>
      </c>
      <c r="C20" s="22">
        <v>0.1016666666666666</v>
      </c>
      <c r="D20" s="22">
        <v>9.1649999999999995E-2</v>
      </c>
      <c r="E20" s="22">
        <v>8.6683333333333307E-2</v>
      </c>
      <c r="F20" s="22">
        <v>7.8916666666666593E-2</v>
      </c>
      <c r="G20" s="22">
        <v>4.7816666666666598E-2</v>
      </c>
      <c r="H20" s="12">
        <v>2.5399999999990541E-2</v>
      </c>
    </row>
    <row r="21" spans="1:8" ht="15" customHeight="1" x14ac:dyDescent="0.3">
      <c r="A21" s="6" t="s">
        <v>1502</v>
      </c>
      <c r="B21" s="22">
        <v>0.22213333333333329</v>
      </c>
      <c r="C21" s="22">
        <v>0.1040333333333333</v>
      </c>
      <c r="D21" s="22">
        <v>9.2866666666666597E-2</v>
      </c>
      <c r="E21" s="22">
        <v>8.5150000000000003E-2</v>
      </c>
      <c r="F21" s="22">
        <v>8.0783333333333304E-2</v>
      </c>
      <c r="G21" s="22">
        <v>4.6699999999999998E-2</v>
      </c>
      <c r="H21" s="12">
        <v>4.1083333333332923E-2</v>
      </c>
    </row>
    <row r="22" spans="1:8" ht="15" customHeight="1" x14ac:dyDescent="0.3">
      <c r="A22" s="6" t="s">
        <v>1503</v>
      </c>
      <c r="B22" s="22">
        <v>0.22478333333333331</v>
      </c>
      <c r="C22" s="22">
        <v>9.83333333333333E-2</v>
      </c>
      <c r="D22" s="22">
        <v>9.0950000000000003E-2</v>
      </c>
      <c r="E22" s="22">
        <v>8.6333333333333304E-2</v>
      </c>
      <c r="F22" s="22">
        <v>8.1183333333333302E-2</v>
      </c>
      <c r="G22" s="22">
        <v>4.6983333333333301E-2</v>
      </c>
      <c r="H22" s="12">
        <v>0.1575333333333333</v>
      </c>
    </row>
    <row r="23" spans="1:8" ht="15" customHeight="1" x14ac:dyDescent="0.3">
      <c r="A23" s="6" t="s">
        <v>1504</v>
      </c>
      <c r="B23" s="22">
        <v>0.22434999999999999</v>
      </c>
      <c r="C23" s="22">
        <v>0.1021666666666666</v>
      </c>
      <c r="D23" s="22">
        <v>9.1316666666666602E-2</v>
      </c>
      <c r="E23" s="22">
        <v>8.57333333333333E-2</v>
      </c>
      <c r="F23" s="22">
        <v>8.0933333333333302E-2</v>
      </c>
      <c r="G23" s="22">
        <v>4.7550000000000002E-2</v>
      </c>
      <c r="H23" s="12">
        <v>1.6200000000004881E-2</v>
      </c>
    </row>
    <row r="24" spans="1:8" ht="15" customHeight="1" x14ac:dyDescent="0.3"/>
    <row r="25" spans="1:8" ht="15" customHeight="1" x14ac:dyDescent="0.3">
      <c r="A25" s="3" t="s">
        <v>1505</v>
      </c>
    </row>
    <row r="26" spans="1:8" ht="30" customHeight="1" x14ac:dyDescent="0.3">
      <c r="A26" s="11" t="s">
        <v>195</v>
      </c>
      <c r="B26" s="11" t="s">
        <v>1506</v>
      </c>
      <c r="C26" s="11" t="s">
        <v>1507</v>
      </c>
      <c r="D26" s="11" t="s">
        <v>1508</v>
      </c>
    </row>
    <row r="27" spans="1:8" ht="15" customHeight="1" x14ac:dyDescent="0.3">
      <c r="A27" s="6" t="s">
        <v>217</v>
      </c>
      <c r="B27" s="22">
        <v>0.18171666666666661</v>
      </c>
      <c r="C27" s="22">
        <v>0.26869999999999999</v>
      </c>
      <c r="D27" s="34">
        <f t="shared" ref="D27:D32" si="0">C27-B27</f>
        <v>8.6983333333333385E-2</v>
      </c>
    </row>
    <row r="28" spans="1:8" ht="15" customHeight="1" x14ac:dyDescent="0.3">
      <c r="A28" s="6" t="s">
        <v>223</v>
      </c>
      <c r="B28" s="22">
        <v>9.7216666666666604E-2</v>
      </c>
      <c r="C28" s="22">
        <v>0.1071666666666666</v>
      </c>
      <c r="D28" s="34">
        <f t="shared" si="0"/>
        <v>9.9500000000000005E-3</v>
      </c>
    </row>
    <row r="29" spans="1:8" ht="15" customHeight="1" x14ac:dyDescent="0.3">
      <c r="A29" s="6" t="s">
        <v>207</v>
      </c>
      <c r="B29" s="22">
        <v>8.0049999999999996E-2</v>
      </c>
      <c r="C29" s="22">
        <v>0.10274999999999999</v>
      </c>
      <c r="D29" s="34">
        <f t="shared" si="0"/>
        <v>2.2699999999999998E-2</v>
      </c>
    </row>
    <row r="30" spans="1:8" ht="15" customHeight="1" x14ac:dyDescent="0.3">
      <c r="A30" s="6" t="s">
        <v>199</v>
      </c>
      <c r="B30" s="22">
        <v>8.3400000000000002E-2</v>
      </c>
      <c r="C30" s="22">
        <v>8.7283333333333296E-2</v>
      </c>
      <c r="D30" s="34">
        <f t="shared" si="0"/>
        <v>3.8833333333332942E-3</v>
      </c>
    </row>
    <row r="31" spans="1:8" ht="15" customHeight="1" x14ac:dyDescent="0.3">
      <c r="A31" s="6" t="s">
        <v>224</v>
      </c>
      <c r="B31" s="22">
        <v>7.7166666666666606E-2</v>
      </c>
      <c r="C31" s="22">
        <v>8.3849999999999994E-2</v>
      </c>
      <c r="D31" s="34">
        <f t="shared" si="0"/>
        <v>6.6833333333333883E-3</v>
      </c>
    </row>
    <row r="32" spans="1:8" ht="15" customHeight="1" x14ac:dyDescent="0.3">
      <c r="A32" s="6" t="s">
        <v>205</v>
      </c>
      <c r="B32" s="22">
        <v>4.2983333333333297E-2</v>
      </c>
      <c r="C32" s="22">
        <v>5.0883333333333301E-2</v>
      </c>
      <c r="D32" s="34">
        <f t="shared" si="0"/>
        <v>7.9000000000000042E-3</v>
      </c>
    </row>
  </sheetData>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H45"/>
  <sheetViews>
    <sheetView showGridLines="0" workbookViewId="0"/>
  </sheetViews>
  <sheetFormatPr defaultRowHeight="14.4" x14ac:dyDescent="0.3"/>
  <cols>
    <col min="1" max="1" width="40" customWidth="1"/>
    <col min="2" max="8" width="14" customWidth="1"/>
  </cols>
  <sheetData>
    <row r="1" spans="1:8" ht="15" customHeight="1" x14ac:dyDescent="0.3">
      <c r="A1" s="1" t="s">
        <v>0</v>
      </c>
      <c r="B1" s="2"/>
      <c r="C1" s="2"/>
      <c r="D1" s="2"/>
      <c r="E1" s="2"/>
      <c r="F1" s="2"/>
      <c r="G1" s="2"/>
      <c r="H1" s="2"/>
    </row>
    <row r="2" spans="1:8" ht="15" customHeight="1" x14ac:dyDescent="0.3">
      <c r="A2" s="3" t="s">
        <v>1509</v>
      </c>
    </row>
    <row r="3" spans="1:8" ht="15" customHeight="1" x14ac:dyDescent="0.3">
      <c r="A3" s="4" t="s">
        <v>2</v>
      </c>
    </row>
    <row r="4" spans="1:8" ht="6" customHeight="1" x14ac:dyDescent="0.3"/>
    <row r="5" spans="1:8" ht="15" customHeight="1" x14ac:dyDescent="0.3">
      <c r="A5" s="4" t="s">
        <v>1510</v>
      </c>
    </row>
    <row r="6" spans="1:8" ht="15" customHeight="1" x14ac:dyDescent="0.3"/>
    <row r="7" spans="1:8" ht="30" customHeight="1" x14ac:dyDescent="0.3">
      <c r="A7" s="11" t="s">
        <v>1478</v>
      </c>
      <c r="B7" s="11" t="s">
        <v>1511</v>
      </c>
      <c r="C7" s="11" t="s">
        <v>1512</v>
      </c>
      <c r="D7" s="11" t="s">
        <v>1513</v>
      </c>
      <c r="E7" s="11" t="s">
        <v>1514</v>
      </c>
      <c r="F7" s="11" t="s">
        <v>1515</v>
      </c>
      <c r="G7" s="11" t="s">
        <v>1516</v>
      </c>
    </row>
    <row r="8" spans="1:8" ht="15" customHeight="1" x14ac:dyDescent="0.3">
      <c r="A8" s="6" t="s">
        <v>1517</v>
      </c>
      <c r="B8" s="12">
        <v>8.9223567837936617</v>
      </c>
      <c r="C8" s="12">
        <v>8.4237998771426792</v>
      </c>
      <c r="D8" s="12">
        <v>9.4184053832251529</v>
      </c>
      <c r="E8" s="12">
        <v>7.1073620439142511</v>
      </c>
      <c r="F8" s="15">
        <v>0.65497522942419106</v>
      </c>
      <c r="G8" s="12" t="s">
        <v>33</v>
      </c>
    </row>
    <row r="9" spans="1:8" ht="15" customHeight="1" x14ac:dyDescent="0.3">
      <c r="A9" s="6" t="s">
        <v>1518</v>
      </c>
      <c r="B9" s="12">
        <v>10.23451670979939</v>
      </c>
      <c r="C9" s="12">
        <v>9.5952928401152189</v>
      </c>
      <c r="D9" s="12">
        <v>10.852262521255989</v>
      </c>
      <c r="E9" s="12">
        <v>8.2110539956401247</v>
      </c>
      <c r="F9" s="15">
        <v>0.54530590270603052</v>
      </c>
      <c r="G9" s="12">
        <v>1.3110863420163781</v>
      </c>
    </row>
    <row r="10" spans="1:8" ht="15" customHeight="1" x14ac:dyDescent="0.3">
      <c r="A10" s="6" t="s">
        <v>1519</v>
      </c>
      <c r="B10" s="12">
        <v>10.213156627053349</v>
      </c>
      <c r="C10" s="12">
        <v>9.5961960921489666</v>
      </c>
      <c r="D10" s="12">
        <v>10.82937637890592</v>
      </c>
      <c r="E10" s="12">
        <v>8.1102298371307544</v>
      </c>
      <c r="F10" s="15">
        <v>0.52890227103344289</v>
      </c>
      <c r="G10" s="12">
        <v>1.279429961469567</v>
      </c>
    </row>
    <row r="11" spans="1:8" ht="15" customHeight="1" x14ac:dyDescent="0.3">
      <c r="A11" s="6" t="s">
        <v>1520</v>
      </c>
      <c r="B11" s="12">
        <v>11.478826198587029</v>
      </c>
      <c r="C11" s="12">
        <v>10.701650106785181</v>
      </c>
      <c r="D11" s="12">
        <v>12.242514401507581</v>
      </c>
      <c r="E11" s="12">
        <v>8.8177205778960186</v>
      </c>
      <c r="F11" s="15">
        <v>0.54530590270603052</v>
      </c>
      <c r="G11" s="12">
        <v>2.5432115115245448</v>
      </c>
    </row>
    <row r="12" spans="1:8" ht="15" customHeight="1" x14ac:dyDescent="0.3">
      <c r="A12" s="6" t="s">
        <v>1521</v>
      </c>
      <c r="B12" s="12">
        <v>10.211547381912929</v>
      </c>
      <c r="C12" s="12">
        <v>9.607303581667189</v>
      </c>
      <c r="D12" s="12">
        <v>10.83121980280265</v>
      </c>
      <c r="E12" s="12">
        <v>8.0854632619600402</v>
      </c>
      <c r="F12" s="15">
        <v>0.53585598908724674</v>
      </c>
      <c r="G12" s="12">
        <v>1.2773317164349529</v>
      </c>
    </row>
    <row r="13" spans="1:8" ht="15" customHeight="1" x14ac:dyDescent="0.3"/>
    <row r="14" spans="1:8" ht="15" customHeight="1" x14ac:dyDescent="0.3"/>
    <row r="15" spans="1:8" ht="15" customHeight="1" x14ac:dyDescent="0.3">
      <c r="A15" s="3" t="s">
        <v>1522</v>
      </c>
    </row>
    <row r="16" spans="1:8" ht="30" customHeight="1" x14ac:dyDescent="0.3">
      <c r="A16" s="11" t="s">
        <v>1523</v>
      </c>
      <c r="B16" s="11" t="s">
        <v>1478</v>
      </c>
      <c r="C16" s="11" t="s">
        <v>1524</v>
      </c>
      <c r="D16" s="11" t="s">
        <v>1525</v>
      </c>
      <c r="E16" s="11" t="s">
        <v>1526</v>
      </c>
    </row>
    <row r="17" spans="1:5" ht="15" customHeight="1" x14ac:dyDescent="0.3">
      <c r="A17" s="16">
        <v>2019</v>
      </c>
      <c r="B17" s="12">
        <v>7.6505432358173984</v>
      </c>
      <c r="C17" s="12">
        <v>9.0865020820276001</v>
      </c>
      <c r="D17" s="12">
        <v>8.5747208433006517</v>
      </c>
      <c r="E17" s="12">
        <v>8.5633391159514503</v>
      </c>
    </row>
    <row r="18" spans="1:5" ht="15" customHeight="1" x14ac:dyDescent="0.3">
      <c r="A18" s="16">
        <v>2020</v>
      </c>
      <c r="B18" s="12">
        <v>9.3388461296057947</v>
      </c>
      <c r="C18" s="12">
        <v>10.308773461196219</v>
      </c>
      <c r="D18" s="12">
        <v>10.21866336792197</v>
      </c>
      <c r="E18" s="12">
        <v>10.15729950602741</v>
      </c>
    </row>
    <row r="19" spans="1:5" ht="15" customHeight="1" x14ac:dyDescent="0.3">
      <c r="A19" s="16">
        <v>2021</v>
      </c>
      <c r="B19" s="12">
        <v>9.8191532545549656</v>
      </c>
      <c r="C19" s="12">
        <v>11.70249178006552</v>
      </c>
      <c r="D19" s="12">
        <v>11.82659136155932</v>
      </c>
      <c r="E19" s="12">
        <v>11.84251390929338</v>
      </c>
    </row>
    <row r="20" spans="1:5" ht="15" customHeight="1" x14ac:dyDescent="0.3">
      <c r="A20" s="16">
        <v>2022</v>
      </c>
      <c r="B20" s="12">
        <v>9.0964775718935602</v>
      </c>
      <c r="C20" s="12">
        <v>9.0898524711891255</v>
      </c>
      <c r="D20" s="12">
        <v>9.0939748978430313</v>
      </c>
      <c r="E20" s="12">
        <v>9.1053569302809318</v>
      </c>
    </row>
    <row r="21" spans="1:5" ht="15" customHeight="1" x14ac:dyDescent="0.3">
      <c r="A21" s="16">
        <v>2023</v>
      </c>
      <c r="B21" s="12">
        <v>6.1468967316515828</v>
      </c>
      <c r="C21" s="12">
        <v>7.8634184663124813</v>
      </c>
      <c r="D21" s="12">
        <v>8.1417259427458131</v>
      </c>
      <c r="E21" s="12">
        <v>8.2755162677792651</v>
      </c>
    </row>
    <row r="22" spans="1:5" ht="15" customHeight="1" x14ac:dyDescent="0.3">
      <c r="A22" s="16">
        <v>2024</v>
      </c>
      <c r="B22" s="12">
        <v>9.4451007762781298</v>
      </c>
      <c r="C22" s="12">
        <v>10.620421087891209</v>
      </c>
      <c r="D22" s="12">
        <v>10.883439640415871</v>
      </c>
      <c r="E22" s="12">
        <v>10.71201162140993</v>
      </c>
    </row>
    <row r="23" spans="1:5" ht="15" customHeight="1" x14ac:dyDescent="0.3">
      <c r="A23" s="16">
        <v>2025</v>
      </c>
      <c r="B23" s="12">
        <v>9.3211390875833384</v>
      </c>
      <c r="C23" s="12">
        <v>10.721459780755779</v>
      </c>
      <c r="D23" s="12">
        <v>10.616275808337461</v>
      </c>
      <c r="E23" s="12">
        <v>10.50985925156586</v>
      </c>
    </row>
    <row r="24" spans="1:5" ht="15" customHeight="1" x14ac:dyDescent="0.3">
      <c r="A24" s="16">
        <v>2026</v>
      </c>
      <c r="B24" s="12">
        <v>9.9036947114091394</v>
      </c>
      <c r="C24" s="12">
        <v>11.83119614422111</v>
      </c>
      <c r="D24" s="12">
        <v>11.68377992322649</v>
      </c>
      <c r="E24" s="12">
        <v>11.86856878109772</v>
      </c>
    </row>
    <row r="25" spans="1:5" ht="15" customHeight="1" x14ac:dyDescent="0.3"/>
    <row r="26" spans="1:5" ht="15" customHeight="1" x14ac:dyDescent="0.3"/>
    <row r="27" spans="1:5" ht="15" customHeight="1" x14ac:dyDescent="0.3">
      <c r="A27" s="3" t="s">
        <v>1527</v>
      </c>
    </row>
    <row r="28" spans="1:5" ht="15" customHeight="1" x14ac:dyDescent="0.3">
      <c r="A28" s="6" t="s">
        <v>1528</v>
      </c>
      <c r="B28" s="15">
        <v>90</v>
      </c>
    </row>
    <row r="29" spans="1:5" ht="15" customHeight="1" x14ac:dyDescent="0.3">
      <c r="A29" s="6" t="s">
        <v>1529</v>
      </c>
      <c r="B29" s="15">
        <v>0.45555555555555549</v>
      </c>
    </row>
    <row r="30" spans="1:5" ht="15" customHeight="1" x14ac:dyDescent="0.3">
      <c r="A30" s="6" t="s">
        <v>1530</v>
      </c>
      <c r="B30" s="15">
        <v>0.76666666666666672</v>
      </c>
    </row>
    <row r="31" spans="1:5" ht="15" customHeight="1" x14ac:dyDescent="0.3">
      <c r="A31" s="6" t="s">
        <v>1531</v>
      </c>
      <c r="B31" s="15">
        <v>0.8666666666666667</v>
      </c>
    </row>
    <row r="32" spans="1:5" ht="15" customHeight="1" x14ac:dyDescent="0.3">
      <c r="A32" s="6" t="s">
        <v>1532</v>
      </c>
      <c r="B32" s="15">
        <v>1.1591330919929479</v>
      </c>
    </row>
    <row r="33" spans="1:4" ht="15" customHeight="1" x14ac:dyDescent="0.3">
      <c r="A33" s="6" t="s">
        <v>1533</v>
      </c>
      <c r="B33" s="15">
        <v>1.003558625577859</v>
      </c>
    </row>
    <row r="34" spans="1:4" ht="15" customHeight="1" x14ac:dyDescent="0.3">
      <c r="A34" s="6" t="s">
        <v>1534</v>
      </c>
      <c r="B34" s="15">
        <v>1.2363520063108799</v>
      </c>
    </row>
    <row r="35" spans="1:4" ht="15" customHeight="1" x14ac:dyDescent="0.3">
      <c r="A35" s="6" t="s">
        <v>1535</v>
      </c>
      <c r="B35" s="15">
        <v>3.5</v>
      </c>
    </row>
    <row r="36" spans="1:4" ht="15" customHeight="1" x14ac:dyDescent="0.3"/>
    <row r="37" spans="1:4" ht="15" customHeight="1" x14ac:dyDescent="0.3"/>
    <row r="38" spans="1:4" ht="15" customHeight="1" x14ac:dyDescent="0.3">
      <c r="A38" s="3" t="s">
        <v>1536</v>
      </c>
    </row>
    <row r="39" spans="1:4" ht="30" customHeight="1" x14ac:dyDescent="0.3">
      <c r="A39" s="11" t="s">
        <v>1537</v>
      </c>
      <c r="B39" s="11" t="s">
        <v>1538</v>
      </c>
      <c r="C39" s="11" t="s">
        <v>1539</v>
      </c>
      <c r="D39" s="11" t="s">
        <v>1540</v>
      </c>
    </row>
    <row r="40" spans="1:4" ht="15" customHeight="1" x14ac:dyDescent="0.3">
      <c r="A40" s="10" t="s">
        <v>1541</v>
      </c>
      <c r="B40" s="16">
        <v>7</v>
      </c>
      <c r="C40" s="22">
        <v>0.19284642857142861</v>
      </c>
      <c r="D40" s="22">
        <v>0</v>
      </c>
    </row>
    <row r="41" spans="1:4" ht="15" customHeight="1" x14ac:dyDescent="0.3">
      <c r="A41" s="10" t="s">
        <v>1542</v>
      </c>
      <c r="B41" s="16">
        <v>10</v>
      </c>
      <c r="C41" s="22">
        <v>0.32537250000000001</v>
      </c>
      <c r="D41" s="22">
        <v>0.4</v>
      </c>
    </row>
    <row r="42" spans="1:4" ht="15" customHeight="1" x14ac:dyDescent="0.3">
      <c r="A42" s="10" t="s">
        <v>1543</v>
      </c>
      <c r="B42" s="16">
        <v>12</v>
      </c>
      <c r="C42" s="22">
        <v>0.51565416666666664</v>
      </c>
      <c r="D42" s="22">
        <v>0.33333333333333331</v>
      </c>
    </row>
    <row r="43" spans="1:4" ht="15" customHeight="1" x14ac:dyDescent="0.3">
      <c r="A43" s="10" t="s">
        <v>1544</v>
      </c>
      <c r="B43" s="16">
        <v>21</v>
      </c>
      <c r="C43" s="22">
        <v>0.68923452380952377</v>
      </c>
      <c r="D43" s="22">
        <v>0.61904761904761907</v>
      </c>
    </row>
    <row r="44" spans="1:4" ht="15" customHeight="1" x14ac:dyDescent="0.3">
      <c r="A44" s="10" t="s">
        <v>1545</v>
      </c>
      <c r="B44" s="16">
        <v>25</v>
      </c>
      <c r="C44" s="22">
        <v>0.82508700000000001</v>
      </c>
      <c r="D44" s="22">
        <v>0.96</v>
      </c>
    </row>
    <row r="45" spans="1:4" ht="15" customHeight="1" x14ac:dyDescent="0.3">
      <c r="A45" s="10" t="s">
        <v>1546</v>
      </c>
      <c r="B45" s="16">
        <v>15</v>
      </c>
      <c r="C45" s="22">
        <v>0.94049333333333329</v>
      </c>
      <c r="D45" s="22">
        <v>1</v>
      </c>
    </row>
  </sheetData>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R107"/>
  <sheetViews>
    <sheetView showGridLines="0" workbookViewId="0"/>
  </sheetViews>
  <sheetFormatPr defaultRowHeight="14.4" x14ac:dyDescent="0.3"/>
  <cols>
    <col min="1" max="1" width="24" customWidth="1"/>
    <col min="2" max="2" width="16" customWidth="1"/>
    <col min="3" max="3" width="28" customWidth="1"/>
    <col min="4" max="14" width="14" customWidth="1"/>
    <col min="15" max="15" width="20" customWidth="1"/>
    <col min="16" max="18" width="14" customWidth="1"/>
  </cols>
  <sheetData>
    <row r="1" spans="1:18" ht="15" customHeight="1" x14ac:dyDescent="0.3">
      <c r="A1" s="1" t="s">
        <v>0</v>
      </c>
      <c r="B1" s="2"/>
      <c r="C1" s="2"/>
      <c r="D1" s="2"/>
      <c r="E1" s="2"/>
      <c r="F1" s="2"/>
      <c r="G1" s="2"/>
      <c r="H1" s="2"/>
      <c r="I1" s="2"/>
      <c r="J1" s="2"/>
      <c r="K1" s="2"/>
      <c r="L1" s="2"/>
    </row>
    <row r="2" spans="1:18" ht="15" customHeight="1" x14ac:dyDescent="0.3">
      <c r="A2" s="3" t="s">
        <v>1547</v>
      </c>
    </row>
    <row r="3" spans="1:18" ht="15" customHeight="1" x14ac:dyDescent="0.3">
      <c r="A3" s="4" t="s">
        <v>2</v>
      </c>
    </row>
    <row r="4" spans="1:18" ht="6" customHeight="1" x14ac:dyDescent="0.3"/>
    <row r="5" spans="1:18" ht="15" customHeight="1" x14ac:dyDescent="0.3"/>
    <row r="6" spans="1:18" ht="15" customHeight="1" x14ac:dyDescent="0.3"/>
    <row r="7" spans="1:18" ht="30" customHeight="1" x14ac:dyDescent="0.3">
      <c r="A7" s="11" t="s">
        <v>1548</v>
      </c>
      <c r="B7" s="11" t="s">
        <v>230</v>
      </c>
      <c r="C7" s="11" t="s">
        <v>231</v>
      </c>
      <c r="D7" s="11" t="s">
        <v>232</v>
      </c>
      <c r="E7" s="11" t="s">
        <v>233</v>
      </c>
      <c r="F7" s="11" t="s">
        <v>1549</v>
      </c>
      <c r="G7" s="11" t="s">
        <v>1430</v>
      </c>
      <c r="H7" s="11" t="s">
        <v>1550</v>
      </c>
      <c r="I7" s="11" t="s">
        <v>1551</v>
      </c>
      <c r="J7" s="11" t="s">
        <v>1552</v>
      </c>
      <c r="K7" s="11" t="s">
        <v>1553</v>
      </c>
      <c r="L7" s="11" t="s">
        <v>1554</v>
      </c>
      <c r="M7" s="11" t="s">
        <v>1555</v>
      </c>
      <c r="O7" s="11" t="s">
        <v>1556</v>
      </c>
      <c r="P7" s="11" t="s">
        <v>1430</v>
      </c>
      <c r="Q7" s="11" t="s">
        <v>1554</v>
      </c>
      <c r="R7" s="11" t="s">
        <v>1557</v>
      </c>
    </row>
    <row r="8" spans="1:18" ht="15" customHeight="1" x14ac:dyDescent="0.3">
      <c r="A8" s="60"/>
      <c r="B8" s="10"/>
      <c r="C8" s="10"/>
      <c r="D8" s="10"/>
      <c r="E8" s="24"/>
      <c r="F8" s="25"/>
      <c r="G8" s="21"/>
      <c r="H8" s="25"/>
      <c r="I8" s="14" t="str">
        <f t="shared" ref="I8:I39" si="0">IF(OR(F8="",H8=""),"-",(IF(H8&gt;0,100/(H8+100),-H8/(-H8+100))-IF(F8&gt;0,100/(F8+100),-F8/(-F8+100)))*100)</f>
        <v>-</v>
      </c>
      <c r="J8" s="10"/>
      <c r="K8" s="10"/>
      <c r="L8" s="46" t="str">
        <f t="shared" ref="L8:L39" si="1">IF(OR(G8="",K8=""),"-",IF(K8="W",G8*IF(F8&gt;0,F8/100,100/-F8),IF(K8="L",-G8,0)))</f>
        <v>-</v>
      </c>
      <c r="M8" s="34" t="str">
        <f t="shared" ref="M8:M39" si="2">IF(OR(L8="-",G8=""),"-",L8/G8)</f>
        <v>-</v>
      </c>
      <c r="O8" s="6" t="s">
        <v>236</v>
      </c>
      <c r="P8" s="46">
        <f>SUMIF(B8:B107,"TITLE*",G8:G107)</f>
        <v>0</v>
      </c>
      <c r="Q8" s="46">
        <f>SUMPRODUCT((LEFT($B$8:$B$107,5)="TITLE")*ISNUMBER(L8:L107),L8:L107)</f>
        <v>0</v>
      </c>
      <c r="R8" s="34" t="str">
        <f t="shared" ref="R8:R15" si="3">IF(P8=0,"-",Q8/P8)</f>
        <v>-</v>
      </c>
    </row>
    <row r="9" spans="1:18" ht="15" customHeight="1" x14ac:dyDescent="0.3">
      <c r="A9" s="60"/>
      <c r="B9" s="10"/>
      <c r="C9" s="10"/>
      <c r="D9" s="10"/>
      <c r="E9" s="24"/>
      <c r="F9" s="25"/>
      <c r="G9" s="21"/>
      <c r="H9" s="25"/>
      <c r="I9" s="14" t="str">
        <f t="shared" si="0"/>
        <v>-</v>
      </c>
      <c r="J9" s="10"/>
      <c r="K9" s="10"/>
      <c r="L9" s="46" t="str">
        <f t="shared" si="1"/>
        <v>-</v>
      </c>
      <c r="M9" s="34" t="str">
        <f t="shared" si="2"/>
        <v>-</v>
      </c>
      <c r="O9" s="6" t="s">
        <v>1558</v>
      </c>
      <c r="P9" s="46">
        <f>SUMIF(B8:B107,"CONF*",G8:G107)</f>
        <v>0</v>
      </c>
      <c r="Q9" s="46">
        <f>SUMPRODUCT((LEFT($B$8:$B$107,4)="CONF")*ISNUMBER(L8:L107),L8:L107)</f>
        <v>0</v>
      </c>
      <c r="R9" s="34" t="str">
        <f t="shared" si="3"/>
        <v>-</v>
      </c>
    </row>
    <row r="10" spans="1:18" ht="15" customHeight="1" x14ac:dyDescent="0.3">
      <c r="A10" s="60"/>
      <c r="B10" s="10"/>
      <c r="C10" s="10"/>
      <c r="D10" s="10"/>
      <c r="E10" s="24"/>
      <c r="F10" s="25"/>
      <c r="G10" s="21"/>
      <c r="H10" s="25"/>
      <c r="I10" s="14" t="str">
        <f t="shared" si="0"/>
        <v>-</v>
      </c>
      <c r="J10" s="10"/>
      <c r="K10" s="10"/>
      <c r="L10" s="46" t="str">
        <f t="shared" si="1"/>
        <v>-</v>
      </c>
      <c r="M10" s="34" t="str">
        <f t="shared" si="2"/>
        <v>-</v>
      </c>
      <c r="O10" s="6" t="s">
        <v>1559</v>
      </c>
      <c r="P10" s="46">
        <f>SUMIF(B8:B107,"DIV*",G8:G107)</f>
        <v>0</v>
      </c>
      <c r="Q10" s="46">
        <f>SUMPRODUCT((LEFT($B$8:$B$107,3)="DIV")*ISNUMBER(L8:L107),L8:L107)</f>
        <v>0</v>
      </c>
      <c r="R10" s="34" t="str">
        <f t="shared" si="3"/>
        <v>-</v>
      </c>
    </row>
    <row r="11" spans="1:18" ht="15" customHeight="1" x14ac:dyDescent="0.3">
      <c r="A11" s="60"/>
      <c r="B11" s="10"/>
      <c r="C11" s="10"/>
      <c r="D11" s="10"/>
      <c r="E11" s="24"/>
      <c r="F11" s="25"/>
      <c r="G11" s="21"/>
      <c r="H11" s="25"/>
      <c r="I11" s="14" t="str">
        <f t="shared" si="0"/>
        <v>-</v>
      </c>
      <c r="J11" s="10"/>
      <c r="K11" s="10"/>
      <c r="L11" s="46" t="str">
        <f t="shared" si="1"/>
        <v>-</v>
      </c>
      <c r="M11" s="34" t="str">
        <f t="shared" si="2"/>
        <v>-</v>
      </c>
      <c r="O11" s="6" t="s">
        <v>286</v>
      </c>
      <c r="P11" s="46">
        <f>SUMIF(B8:B107,"CUP*",G8:G107)</f>
        <v>0</v>
      </c>
      <c r="Q11" s="46">
        <f>SUMPRODUCT((LEFT($B$8:$B$107,3)="CUP")*ISNUMBER(L8:L107),L8:L107)</f>
        <v>0</v>
      </c>
      <c r="R11" s="34" t="str">
        <f t="shared" si="3"/>
        <v>-</v>
      </c>
    </row>
    <row r="12" spans="1:18" ht="15" customHeight="1" x14ac:dyDescent="0.3">
      <c r="A12" s="60"/>
      <c r="B12" s="10"/>
      <c r="C12" s="10"/>
      <c r="D12" s="10"/>
      <c r="E12" s="24"/>
      <c r="F12" s="25"/>
      <c r="G12" s="21"/>
      <c r="H12" s="25"/>
      <c r="I12" s="14" t="str">
        <f t="shared" si="0"/>
        <v>-</v>
      </c>
      <c r="J12" s="10"/>
      <c r="K12" s="10"/>
      <c r="L12" s="46" t="str">
        <f t="shared" si="1"/>
        <v>-</v>
      </c>
      <c r="M12" s="34" t="str">
        <f t="shared" si="2"/>
        <v>-</v>
      </c>
      <c r="O12" s="6" t="s">
        <v>1560</v>
      </c>
      <c r="P12" s="46">
        <f>SUMIF(B8:B107,"PLAYIN*",G8:G107)</f>
        <v>0</v>
      </c>
      <c r="Q12" s="46">
        <f>SUMPRODUCT((LEFT($B$8:$B$107,6)="PLAYIN")*ISNUMBER(L8:L107),L8:L107)</f>
        <v>0</v>
      </c>
      <c r="R12" s="34" t="str">
        <f t="shared" si="3"/>
        <v>-</v>
      </c>
    </row>
    <row r="13" spans="1:18" ht="15" customHeight="1" x14ac:dyDescent="0.3">
      <c r="A13" s="60"/>
      <c r="B13" s="10"/>
      <c r="C13" s="10"/>
      <c r="D13" s="10"/>
      <c r="E13" s="24"/>
      <c r="F13" s="25"/>
      <c r="G13" s="21"/>
      <c r="H13" s="25"/>
      <c r="I13" s="14" t="str">
        <f t="shared" si="0"/>
        <v>-</v>
      </c>
      <c r="J13" s="10"/>
      <c r="K13" s="10"/>
      <c r="L13" s="46" t="str">
        <f t="shared" si="1"/>
        <v>-</v>
      </c>
      <c r="M13" s="34" t="str">
        <f t="shared" si="2"/>
        <v>-</v>
      </c>
      <c r="O13" s="6" t="s">
        <v>284</v>
      </c>
      <c r="P13" s="46">
        <f>SUMIF(B8:B107,"PLAYOFFS*",G8:G107)</f>
        <v>0</v>
      </c>
      <c r="Q13" s="46">
        <f>SUMPRODUCT((LEFT($B$8:$B$107,8)="PLAYOFFS")*ISNUMBER(L8:L107),L8:L107)</f>
        <v>0</v>
      </c>
      <c r="R13" s="34" t="str">
        <f t="shared" si="3"/>
        <v>-</v>
      </c>
    </row>
    <row r="14" spans="1:18" ht="15" customHeight="1" x14ac:dyDescent="0.3">
      <c r="A14" s="60"/>
      <c r="B14" s="10"/>
      <c r="C14" s="10"/>
      <c r="D14" s="10"/>
      <c r="E14" s="24"/>
      <c r="F14" s="25"/>
      <c r="G14" s="21"/>
      <c r="H14" s="25"/>
      <c r="I14" s="14" t="str">
        <f t="shared" si="0"/>
        <v>-</v>
      </c>
      <c r="J14" s="10"/>
      <c r="K14" s="10"/>
      <c r="L14" s="46" t="str">
        <f t="shared" si="1"/>
        <v>-</v>
      </c>
      <c r="M14" s="34" t="str">
        <f t="shared" si="2"/>
        <v>-</v>
      </c>
      <c r="O14" s="6" t="s">
        <v>279</v>
      </c>
      <c r="P14" s="46">
        <f>SUMIF(B8:B107,"WINS*",G8:G107)</f>
        <v>0</v>
      </c>
      <c r="Q14" s="46">
        <f>SUMPRODUCT((LEFT($B$8:$B$107,4)="WINS")*ISNUMBER(L8:L107),L8:L107)</f>
        <v>0</v>
      </c>
      <c r="R14" s="34" t="str">
        <f t="shared" si="3"/>
        <v>-</v>
      </c>
    </row>
    <row r="15" spans="1:18" ht="15" customHeight="1" x14ac:dyDescent="0.3">
      <c r="A15" s="60"/>
      <c r="B15" s="10"/>
      <c r="C15" s="10"/>
      <c r="D15" s="10"/>
      <c r="E15" s="24"/>
      <c r="F15" s="25"/>
      <c r="G15" s="21"/>
      <c r="H15" s="25"/>
      <c r="I15" s="14" t="str">
        <f t="shared" si="0"/>
        <v>-</v>
      </c>
      <c r="J15" s="10"/>
      <c r="K15" s="10"/>
      <c r="L15" s="46" t="str">
        <f t="shared" si="1"/>
        <v>-</v>
      </c>
      <c r="M15" s="34" t="str">
        <f t="shared" si="2"/>
        <v>-</v>
      </c>
      <c r="O15" s="6" t="s">
        <v>1561</v>
      </c>
      <c r="P15" s="46">
        <f>SUM(G8:G107)-SUM(P8:P14)</f>
        <v>0</v>
      </c>
      <c r="Q15" s="46">
        <f>SUMPRODUCT(--ISNUMBER(L8:L107),L8:L107)-SUM(Q8:Q14)</f>
        <v>0</v>
      </c>
      <c r="R15" s="34" t="str">
        <f t="shared" si="3"/>
        <v>-</v>
      </c>
    </row>
    <row r="16" spans="1:18" ht="15" customHeight="1" x14ac:dyDescent="0.3">
      <c r="A16" s="60"/>
      <c r="B16" s="10"/>
      <c r="C16" s="10"/>
      <c r="D16" s="10"/>
      <c r="E16" s="24"/>
      <c r="F16" s="25"/>
      <c r="G16" s="21"/>
      <c r="H16" s="25"/>
      <c r="I16" s="14" t="str">
        <f t="shared" si="0"/>
        <v>-</v>
      </c>
      <c r="J16" s="10"/>
      <c r="K16" s="10"/>
      <c r="L16" s="46" t="str">
        <f t="shared" si="1"/>
        <v>-</v>
      </c>
      <c r="M16" s="34" t="str">
        <f t="shared" si="2"/>
        <v>-</v>
      </c>
    </row>
    <row r="17" spans="1:13" ht="15" customHeight="1" x14ac:dyDescent="0.3">
      <c r="A17" s="60"/>
      <c r="B17" s="10"/>
      <c r="C17" s="10"/>
      <c r="D17" s="10"/>
      <c r="E17" s="24"/>
      <c r="F17" s="25"/>
      <c r="G17" s="21"/>
      <c r="H17" s="25"/>
      <c r="I17" s="14" t="str">
        <f t="shared" si="0"/>
        <v>-</v>
      </c>
      <c r="J17" s="10"/>
      <c r="K17" s="10"/>
      <c r="L17" s="46" t="str">
        <f t="shared" si="1"/>
        <v>-</v>
      </c>
      <c r="M17" s="34" t="str">
        <f t="shared" si="2"/>
        <v>-</v>
      </c>
    </row>
    <row r="18" spans="1:13" ht="15" customHeight="1" x14ac:dyDescent="0.3">
      <c r="A18" s="60"/>
      <c r="B18" s="10"/>
      <c r="C18" s="10"/>
      <c r="D18" s="10"/>
      <c r="E18" s="24"/>
      <c r="F18" s="25"/>
      <c r="G18" s="21"/>
      <c r="H18" s="25"/>
      <c r="I18" s="14" t="str">
        <f t="shared" si="0"/>
        <v>-</v>
      </c>
      <c r="J18" s="10"/>
      <c r="K18" s="10"/>
      <c r="L18" s="46" t="str">
        <f t="shared" si="1"/>
        <v>-</v>
      </c>
      <c r="M18" s="34" t="str">
        <f t="shared" si="2"/>
        <v>-</v>
      </c>
    </row>
    <row r="19" spans="1:13" ht="15" customHeight="1" x14ac:dyDescent="0.3">
      <c r="A19" s="60"/>
      <c r="B19" s="10"/>
      <c r="C19" s="10"/>
      <c r="D19" s="10"/>
      <c r="E19" s="24"/>
      <c r="F19" s="25"/>
      <c r="G19" s="21"/>
      <c r="H19" s="25"/>
      <c r="I19" s="14" t="str">
        <f t="shared" si="0"/>
        <v>-</v>
      </c>
      <c r="J19" s="10"/>
      <c r="K19" s="10"/>
      <c r="L19" s="46" t="str">
        <f t="shared" si="1"/>
        <v>-</v>
      </c>
      <c r="M19" s="34" t="str">
        <f t="shared" si="2"/>
        <v>-</v>
      </c>
    </row>
    <row r="20" spans="1:13" ht="15" customHeight="1" x14ac:dyDescent="0.3">
      <c r="A20" s="60"/>
      <c r="B20" s="10"/>
      <c r="C20" s="10"/>
      <c r="D20" s="10"/>
      <c r="E20" s="24"/>
      <c r="F20" s="25"/>
      <c r="G20" s="21"/>
      <c r="H20" s="25"/>
      <c r="I20" s="14" t="str">
        <f t="shared" si="0"/>
        <v>-</v>
      </c>
      <c r="J20" s="10"/>
      <c r="K20" s="10"/>
      <c r="L20" s="46" t="str">
        <f t="shared" si="1"/>
        <v>-</v>
      </c>
      <c r="M20" s="34" t="str">
        <f t="shared" si="2"/>
        <v>-</v>
      </c>
    </row>
    <row r="21" spans="1:13" ht="15" customHeight="1" x14ac:dyDescent="0.3">
      <c r="A21" s="60"/>
      <c r="B21" s="10"/>
      <c r="C21" s="10"/>
      <c r="D21" s="10"/>
      <c r="E21" s="24"/>
      <c r="F21" s="25"/>
      <c r="G21" s="21"/>
      <c r="H21" s="25"/>
      <c r="I21" s="14" t="str">
        <f t="shared" si="0"/>
        <v>-</v>
      </c>
      <c r="J21" s="10"/>
      <c r="K21" s="10"/>
      <c r="L21" s="46" t="str">
        <f t="shared" si="1"/>
        <v>-</v>
      </c>
      <c r="M21" s="34" t="str">
        <f t="shared" si="2"/>
        <v>-</v>
      </c>
    </row>
    <row r="22" spans="1:13" ht="15" customHeight="1" x14ac:dyDescent="0.3">
      <c r="A22" s="60"/>
      <c r="B22" s="10"/>
      <c r="C22" s="10"/>
      <c r="D22" s="10"/>
      <c r="E22" s="24"/>
      <c r="F22" s="25"/>
      <c r="G22" s="21"/>
      <c r="H22" s="25"/>
      <c r="I22" s="14" t="str">
        <f t="shared" si="0"/>
        <v>-</v>
      </c>
      <c r="J22" s="10"/>
      <c r="K22" s="10"/>
      <c r="L22" s="46" t="str">
        <f t="shared" si="1"/>
        <v>-</v>
      </c>
      <c r="M22" s="34" t="str">
        <f t="shared" si="2"/>
        <v>-</v>
      </c>
    </row>
    <row r="23" spans="1:13" ht="15" customHeight="1" x14ac:dyDescent="0.3">
      <c r="A23" s="60"/>
      <c r="B23" s="10"/>
      <c r="C23" s="10"/>
      <c r="D23" s="10"/>
      <c r="E23" s="24"/>
      <c r="F23" s="25"/>
      <c r="G23" s="21"/>
      <c r="H23" s="25"/>
      <c r="I23" s="14" t="str">
        <f t="shared" si="0"/>
        <v>-</v>
      </c>
      <c r="J23" s="10"/>
      <c r="K23" s="10"/>
      <c r="L23" s="46" t="str">
        <f t="shared" si="1"/>
        <v>-</v>
      </c>
      <c r="M23" s="34" t="str">
        <f t="shared" si="2"/>
        <v>-</v>
      </c>
    </row>
    <row r="24" spans="1:13" ht="15" customHeight="1" x14ac:dyDescent="0.3">
      <c r="A24" s="60"/>
      <c r="B24" s="10"/>
      <c r="C24" s="10"/>
      <c r="D24" s="10"/>
      <c r="E24" s="24"/>
      <c r="F24" s="25"/>
      <c r="G24" s="21"/>
      <c r="H24" s="25"/>
      <c r="I24" s="14" t="str">
        <f t="shared" si="0"/>
        <v>-</v>
      </c>
      <c r="J24" s="10"/>
      <c r="K24" s="10"/>
      <c r="L24" s="46" t="str">
        <f t="shared" si="1"/>
        <v>-</v>
      </c>
      <c r="M24" s="34" t="str">
        <f t="shared" si="2"/>
        <v>-</v>
      </c>
    </row>
    <row r="25" spans="1:13" ht="15" customHeight="1" x14ac:dyDescent="0.3">
      <c r="A25" s="60"/>
      <c r="B25" s="10"/>
      <c r="C25" s="10"/>
      <c r="D25" s="10"/>
      <c r="E25" s="24"/>
      <c r="F25" s="25"/>
      <c r="G25" s="21"/>
      <c r="H25" s="25"/>
      <c r="I25" s="14" t="str">
        <f t="shared" si="0"/>
        <v>-</v>
      </c>
      <c r="J25" s="10"/>
      <c r="K25" s="10"/>
      <c r="L25" s="46" t="str">
        <f t="shared" si="1"/>
        <v>-</v>
      </c>
      <c r="M25" s="34" t="str">
        <f t="shared" si="2"/>
        <v>-</v>
      </c>
    </row>
    <row r="26" spans="1:13" ht="15" customHeight="1" x14ac:dyDescent="0.3">
      <c r="A26" s="60"/>
      <c r="B26" s="10"/>
      <c r="C26" s="10"/>
      <c r="D26" s="10"/>
      <c r="E26" s="24"/>
      <c r="F26" s="25"/>
      <c r="G26" s="21"/>
      <c r="H26" s="25"/>
      <c r="I26" s="14" t="str">
        <f t="shared" si="0"/>
        <v>-</v>
      </c>
      <c r="J26" s="10"/>
      <c r="K26" s="10"/>
      <c r="L26" s="46" t="str">
        <f t="shared" si="1"/>
        <v>-</v>
      </c>
      <c r="M26" s="34" t="str">
        <f t="shared" si="2"/>
        <v>-</v>
      </c>
    </row>
    <row r="27" spans="1:13" ht="15" customHeight="1" x14ac:dyDescent="0.3">
      <c r="A27" s="60"/>
      <c r="B27" s="10"/>
      <c r="C27" s="10"/>
      <c r="D27" s="10"/>
      <c r="E27" s="24"/>
      <c r="F27" s="25"/>
      <c r="G27" s="21"/>
      <c r="H27" s="25"/>
      <c r="I27" s="14" t="str">
        <f t="shared" si="0"/>
        <v>-</v>
      </c>
      <c r="J27" s="10"/>
      <c r="K27" s="10"/>
      <c r="L27" s="46" t="str">
        <f t="shared" si="1"/>
        <v>-</v>
      </c>
      <c r="M27" s="34" t="str">
        <f t="shared" si="2"/>
        <v>-</v>
      </c>
    </row>
    <row r="28" spans="1:13" ht="15" customHeight="1" x14ac:dyDescent="0.3">
      <c r="A28" s="60"/>
      <c r="B28" s="10"/>
      <c r="C28" s="10"/>
      <c r="D28" s="10"/>
      <c r="E28" s="24"/>
      <c r="F28" s="25"/>
      <c r="G28" s="21"/>
      <c r="H28" s="25"/>
      <c r="I28" s="14" t="str">
        <f t="shared" si="0"/>
        <v>-</v>
      </c>
      <c r="J28" s="10"/>
      <c r="K28" s="10"/>
      <c r="L28" s="46" t="str">
        <f t="shared" si="1"/>
        <v>-</v>
      </c>
      <c r="M28" s="34" t="str">
        <f t="shared" si="2"/>
        <v>-</v>
      </c>
    </row>
    <row r="29" spans="1:13" ht="15" customHeight="1" x14ac:dyDescent="0.3">
      <c r="A29" s="60"/>
      <c r="B29" s="10"/>
      <c r="C29" s="10"/>
      <c r="D29" s="10"/>
      <c r="E29" s="24"/>
      <c r="F29" s="25"/>
      <c r="G29" s="21"/>
      <c r="H29" s="25"/>
      <c r="I29" s="14" t="str">
        <f t="shared" si="0"/>
        <v>-</v>
      </c>
      <c r="J29" s="10"/>
      <c r="K29" s="10"/>
      <c r="L29" s="46" t="str">
        <f t="shared" si="1"/>
        <v>-</v>
      </c>
      <c r="M29" s="34" t="str">
        <f t="shared" si="2"/>
        <v>-</v>
      </c>
    </row>
    <row r="30" spans="1:13" ht="15" customHeight="1" x14ac:dyDescent="0.3">
      <c r="A30" s="60"/>
      <c r="B30" s="10"/>
      <c r="C30" s="10"/>
      <c r="D30" s="10"/>
      <c r="E30" s="24"/>
      <c r="F30" s="25"/>
      <c r="G30" s="21"/>
      <c r="H30" s="25"/>
      <c r="I30" s="14" t="str">
        <f t="shared" si="0"/>
        <v>-</v>
      </c>
      <c r="J30" s="10"/>
      <c r="K30" s="10"/>
      <c r="L30" s="46" t="str">
        <f t="shared" si="1"/>
        <v>-</v>
      </c>
      <c r="M30" s="34" t="str">
        <f t="shared" si="2"/>
        <v>-</v>
      </c>
    </row>
    <row r="31" spans="1:13" ht="15" customHeight="1" x14ac:dyDescent="0.3">
      <c r="A31" s="60"/>
      <c r="B31" s="10"/>
      <c r="C31" s="10"/>
      <c r="D31" s="10"/>
      <c r="E31" s="24"/>
      <c r="F31" s="25"/>
      <c r="G31" s="21"/>
      <c r="H31" s="25"/>
      <c r="I31" s="14" t="str">
        <f t="shared" si="0"/>
        <v>-</v>
      </c>
      <c r="J31" s="10"/>
      <c r="K31" s="10"/>
      <c r="L31" s="46" t="str">
        <f t="shared" si="1"/>
        <v>-</v>
      </c>
      <c r="M31" s="34" t="str">
        <f t="shared" si="2"/>
        <v>-</v>
      </c>
    </row>
    <row r="32" spans="1:13" ht="15" customHeight="1" x14ac:dyDescent="0.3">
      <c r="A32" s="60"/>
      <c r="B32" s="10"/>
      <c r="C32" s="10"/>
      <c r="D32" s="10"/>
      <c r="E32" s="24"/>
      <c r="F32" s="25"/>
      <c r="G32" s="21"/>
      <c r="H32" s="25"/>
      <c r="I32" s="14" t="str">
        <f t="shared" si="0"/>
        <v>-</v>
      </c>
      <c r="J32" s="10"/>
      <c r="K32" s="10"/>
      <c r="L32" s="46" t="str">
        <f t="shared" si="1"/>
        <v>-</v>
      </c>
      <c r="M32" s="34" t="str">
        <f t="shared" si="2"/>
        <v>-</v>
      </c>
    </row>
    <row r="33" spans="1:13" ht="15" customHeight="1" x14ac:dyDescent="0.3">
      <c r="A33" s="60"/>
      <c r="B33" s="10"/>
      <c r="C33" s="10"/>
      <c r="D33" s="10"/>
      <c r="E33" s="24"/>
      <c r="F33" s="25"/>
      <c r="G33" s="21"/>
      <c r="H33" s="25"/>
      <c r="I33" s="14" t="str">
        <f t="shared" si="0"/>
        <v>-</v>
      </c>
      <c r="J33" s="10"/>
      <c r="K33" s="10"/>
      <c r="L33" s="46" t="str">
        <f t="shared" si="1"/>
        <v>-</v>
      </c>
      <c r="M33" s="34" t="str">
        <f t="shared" si="2"/>
        <v>-</v>
      </c>
    </row>
    <row r="34" spans="1:13" ht="15" customHeight="1" x14ac:dyDescent="0.3">
      <c r="A34" s="60"/>
      <c r="B34" s="10"/>
      <c r="C34" s="10"/>
      <c r="D34" s="10"/>
      <c r="E34" s="24"/>
      <c r="F34" s="25"/>
      <c r="G34" s="21"/>
      <c r="H34" s="25"/>
      <c r="I34" s="14" t="str">
        <f t="shared" si="0"/>
        <v>-</v>
      </c>
      <c r="J34" s="10"/>
      <c r="K34" s="10"/>
      <c r="L34" s="46" t="str">
        <f t="shared" si="1"/>
        <v>-</v>
      </c>
      <c r="M34" s="34" t="str">
        <f t="shared" si="2"/>
        <v>-</v>
      </c>
    </row>
    <row r="35" spans="1:13" ht="15" customHeight="1" x14ac:dyDescent="0.3">
      <c r="A35" s="60"/>
      <c r="B35" s="10"/>
      <c r="C35" s="10"/>
      <c r="D35" s="10"/>
      <c r="E35" s="24"/>
      <c r="F35" s="25"/>
      <c r="G35" s="21"/>
      <c r="H35" s="25"/>
      <c r="I35" s="14" t="str">
        <f t="shared" si="0"/>
        <v>-</v>
      </c>
      <c r="J35" s="10"/>
      <c r="K35" s="10"/>
      <c r="L35" s="46" t="str">
        <f t="shared" si="1"/>
        <v>-</v>
      </c>
      <c r="M35" s="34" t="str">
        <f t="shared" si="2"/>
        <v>-</v>
      </c>
    </row>
    <row r="36" spans="1:13" ht="15" customHeight="1" x14ac:dyDescent="0.3">
      <c r="A36" s="60"/>
      <c r="B36" s="10"/>
      <c r="C36" s="10"/>
      <c r="D36" s="10"/>
      <c r="E36" s="24"/>
      <c r="F36" s="25"/>
      <c r="G36" s="21"/>
      <c r="H36" s="25"/>
      <c r="I36" s="14" t="str">
        <f t="shared" si="0"/>
        <v>-</v>
      </c>
      <c r="J36" s="10"/>
      <c r="K36" s="10"/>
      <c r="L36" s="46" t="str">
        <f t="shared" si="1"/>
        <v>-</v>
      </c>
      <c r="M36" s="34" t="str">
        <f t="shared" si="2"/>
        <v>-</v>
      </c>
    </row>
    <row r="37" spans="1:13" ht="15" customHeight="1" x14ac:dyDescent="0.3">
      <c r="A37" s="60"/>
      <c r="B37" s="10"/>
      <c r="C37" s="10"/>
      <c r="D37" s="10"/>
      <c r="E37" s="24"/>
      <c r="F37" s="25"/>
      <c r="G37" s="21"/>
      <c r="H37" s="25"/>
      <c r="I37" s="14" t="str">
        <f t="shared" si="0"/>
        <v>-</v>
      </c>
      <c r="J37" s="10"/>
      <c r="K37" s="10"/>
      <c r="L37" s="46" t="str">
        <f t="shared" si="1"/>
        <v>-</v>
      </c>
      <c r="M37" s="34" t="str">
        <f t="shared" si="2"/>
        <v>-</v>
      </c>
    </row>
    <row r="38" spans="1:13" ht="15" customHeight="1" x14ac:dyDescent="0.3">
      <c r="A38" s="60"/>
      <c r="B38" s="10"/>
      <c r="C38" s="10"/>
      <c r="D38" s="10"/>
      <c r="E38" s="24"/>
      <c r="F38" s="25"/>
      <c r="G38" s="21"/>
      <c r="H38" s="25"/>
      <c r="I38" s="14" t="str">
        <f t="shared" si="0"/>
        <v>-</v>
      </c>
      <c r="J38" s="10"/>
      <c r="K38" s="10"/>
      <c r="L38" s="46" t="str">
        <f t="shared" si="1"/>
        <v>-</v>
      </c>
      <c r="M38" s="34" t="str">
        <f t="shared" si="2"/>
        <v>-</v>
      </c>
    </row>
    <row r="39" spans="1:13" ht="15" customHeight="1" x14ac:dyDescent="0.3">
      <c r="A39" s="60"/>
      <c r="B39" s="10"/>
      <c r="C39" s="10"/>
      <c r="D39" s="10"/>
      <c r="E39" s="24"/>
      <c r="F39" s="25"/>
      <c r="G39" s="21"/>
      <c r="H39" s="25"/>
      <c r="I39" s="14" t="str">
        <f t="shared" si="0"/>
        <v>-</v>
      </c>
      <c r="J39" s="10"/>
      <c r="K39" s="10"/>
      <c r="L39" s="46" t="str">
        <f t="shared" si="1"/>
        <v>-</v>
      </c>
      <c r="M39" s="34" t="str">
        <f t="shared" si="2"/>
        <v>-</v>
      </c>
    </row>
    <row r="40" spans="1:13" ht="15" customHeight="1" x14ac:dyDescent="0.3">
      <c r="A40" s="60"/>
      <c r="B40" s="10"/>
      <c r="C40" s="10"/>
      <c r="D40" s="10"/>
      <c r="E40" s="24"/>
      <c r="F40" s="25"/>
      <c r="G40" s="21"/>
      <c r="H40" s="25"/>
      <c r="I40" s="14" t="str">
        <f t="shared" ref="I40:I71" si="4">IF(OR(F40="",H40=""),"-",(IF(H40&gt;0,100/(H40+100),-H40/(-H40+100))-IF(F40&gt;0,100/(F40+100),-F40/(-F40+100)))*100)</f>
        <v>-</v>
      </c>
      <c r="J40" s="10"/>
      <c r="K40" s="10"/>
      <c r="L40" s="46" t="str">
        <f t="shared" ref="L40:L71" si="5">IF(OR(G40="",K40=""),"-",IF(K40="W",G40*IF(F40&gt;0,F40/100,100/-F40),IF(K40="L",-G40,0)))</f>
        <v>-</v>
      </c>
      <c r="M40" s="34" t="str">
        <f t="shared" ref="M40:M71" si="6">IF(OR(L40="-",G40=""),"-",L40/G40)</f>
        <v>-</v>
      </c>
    </row>
    <row r="41" spans="1:13" ht="15" customHeight="1" x14ac:dyDescent="0.3">
      <c r="A41" s="60"/>
      <c r="B41" s="10"/>
      <c r="C41" s="10"/>
      <c r="D41" s="10"/>
      <c r="E41" s="24"/>
      <c r="F41" s="25"/>
      <c r="G41" s="21"/>
      <c r="H41" s="25"/>
      <c r="I41" s="14" t="str">
        <f t="shared" si="4"/>
        <v>-</v>
      </c>
      <c r="J41" s="10"/>
      <c r="K41" s="10"/>
      <c r="L41" s="46" t="str">
        <f t="shared" si="5"/>
        <v>-</v>
      </c>
      <c r="M41" s="34" t="str">
        <f t="shared" si="6"/>
        <v>-</v>
      </c>
    </row>
    <row r="42" spans="1:13" ht="15" customHeight="1" x14ac:dyDescent="0.3">
      <c r="A42" s="60"/>
      <c r="B42" s="10"/>
      <c r="C42" s="10"/>
      <c r="D42" s="10"/>
      <c r="E42" s="24"/>
      <c r="F42" s="25"/>
      <c r="G42" s="21"/>
      <c r="H42" s="25"/>
      <c r="I42" s="14" t="str">
        <f t="shared" si="4"/>
        <v>-</v>
      </c>
      <c r="J42" s="10"/>
      <c r="K42" s="10"/>
      <c r="L42" s="46" t="str">
        <f t="shared" si="5"/>
        <v>-</v>
      </c>
      <c r="M42" s="34" t="str">
        <f t="shared" si="6"/>
        <v>-</v>
      </c>
    </row>
    <row r="43" spans="1:13" ht="15" customHeight="1" x14ac:dyDescent="0.3">
      <c r="A43" s="60"/>
      <c r="B43" s="10"/>
      <c r="C43" s="10"/>
      <c r="D43" s="10"/>
      <c r="E43" s="24"/>
      <c r="F43" s="25"/>
      <c r="G43" s="21"/>
      <c r="H43" s="25"/>
      <c r="I43" s="14" t="str">
        <f t="shared" si="4"/>
        <v>-</v>
      </c>
      <c r="J43" s="10"/>
      <c r="K43" s="10"/>
      <c r="L43" s="46" t="str">
        <f t="shared" si="5"/>
        <v>-</v>
      </c>
      <c r="M43" s="34" t="str">
        <f t="shared" si="6"/>
        <v>-</v>
      </c>
    </row>
    <row r="44" spans="1:13" ht="15" customHeight="1" x14ac:dyDescent="0.3">
      <c r="A44" s="60"/>
      <c r="B44" s="10"/>
      <c r="C44" s="10"/>
      <c r="D44" s="10"/>
      <c r="E44" s="24"/>
      <c r="F44" s="25"/>
      <c r="G44" s="21"/>
      <c r="H44" s="25"/>
      <c r="I44" s="14" t="str">
        <f t="shared" si="4"/>
        <v>-</v>
      </c>
      <c r="J44" s="10"/>
      <c r="K44" s="10"/>
      <c r="L44" s="46" t="str">
        <f t="shared" si="5"/>
        <v>-</v>
      </c>
      <c r="M44" s="34" t="str">
        <f t="shared" si="6"/>
        <v>-</v>
      </c>
    </row>
    <row r="45" spans="1:13" ht="15" customHeight="1" x14ac:dyDescent="0.3">
      <c r="A45" s="60"/>
      <c r="B45" s="10"/>
      <c r="C45" s="10"/>
      <c r="D45" s="10"/>
      <c r="E45" s="24"/>
      <c r="F45" s="25"/>
      <c r="G45" s="21"/>
      <c r="H45" s="25"/>
      <c r="I45" s="14" t="str">
        <f t="shared" si="4"/>
        <v>-</v>
      </c>
      <c r="J45" s="10"/>
      <c r="K45" s="10"/>
      <c r="L45" s="46" t="str">
        <f t="shared" si="5"/>
        <v>-</v>
      </c>
      <c r="M45" s="34" t="str">
        <f t="shared" si="6"/>
        <v>-</v>
      </c>
    </row>
    <row r="46" spans="1:13" ht="15" customHeight="1" x14ac:dyDescent="0.3">
      <c r="A46" s="60"/>
      <c r="B46" s="10"/>
      <c r="C46" s="10"/>
      <c r="D46" s="10"/>
      <c r="E46" s="24"/>
      <c r="F46" s="25"/>
      <c r="G46" s="21"/>
      <c r="H46" s="25"/>
      <c r="I46" s="14" t="str">
        <f t="shared" si="4"/>
        <v>-</v>
      </c>
      <c r="J46" s="10"/>
      <c r="K46" s="10"/>
      <c r="L46" s="46" t="str">
        <f t="shared" si="5"/>
        <v>-</v>
      </c>
      <c r="M46" s="34" t="str">
        <f t="shared" si="6"/>
        <v>-</v>
      </c>
    </row>
    <row r="47" spans="1:13" ht="15" customHeight="1" x14ac:dyDescent="0.3">
      <c r="A47" s="60"/>
      <c r="B47" s="10"/>
      <c r="C47" s="10"/>
      <c r="D47" s="10"/>
      <c r="E47" s="24"/>
      <c r="F47" s="25"/>
      <c r="G47" s="21"/>
      <c r="H47" s="25"/>
      <c r="I47" s="14" t="str">
        <f t="shared" si="4"/>
        <v>-</v>
      </c>
      <c r="J47" s="10"/>
      <c r="K47" s="10"/>
      <c r="L47" s="46" t="str">
        <f t="shared" si="5"/>
        <v>-</v>
      </c>
      <c r="M47" s="34" t="str">
        <f t="shared" si="6"/>
        <v>-</v>
      </c>
    </row>
    <row r="48" spans="1:13" ht="15" customHeight="1" x14ac:dyDescent="0.3">
      <c r="A48" s="60"/>
      <c r="B48" s="10"/>
      <c r="C48" s="10"/>
      <c r="D48" s="10"/>
      <c r="E48" s="24"/>
      <c r="F48" s="25"/>
      <c r="G48" s="21"/>
      <c r="H48" s="25"/>
      <c r="I48" s="14" t="str">
        <f t="shared" si="4"/>
        <v>-</v>
      </c>
      <c r="J48" s="10"/>
      <c r="K48" s="10"/>
      <c r="L48" s="46" t="str">
        <f t="shared" si="5"/>
        <v>-</v>
      </c>
      <c r="M48" s="34" t="str">
        <f t="shared" si="6"/>
        <v>-</v>
      </c>
    </row>
    <row r="49" spans="1:13" ht="15" customHeight="1" x14ac:dyDescent="0.3">
      <c r="A49" s="60"/>
      <c r="B49" s="10"/>
      <c r="C49" s="10"/>
      <c r="D49" s="10"/>
      <c r="E49" s="24"/>
      <c r="F49" s="25"/>
      <c r="G49" s="21"/>
      <c r="H49" s="25"/>
      <c r="I49" s="14" t="str">
        <f t="shared" si="4"/>
        <v>-</v>
      </c>
      <c r="J49" s="10"/>
      <c r="K49" s="10"/>
      <c r="L49" s="46" t="str">
        <f t="shared" si="5"/>
        <v>-</v>
      </c>
      <c r="M49" s="34" t="str">
        <f t="shared" si="6"/>
        <v>-</v>
      </c>
    </row>
    <row r="50" spans="1:13" ht="15" customHeight="1" x14ac:dyDescent="0.3">
      <c r="A50" s="60"/>
      <c r="B50" s="10"/>
      <c r="C50" s="10"/>
      <c r="D50" s="10"/>
      <c r="E50" s="24"/>
      <c r="F50" s="25"/>
      <c r="G50" s="21"/>
      <c r="H50" s="25"/>
      <c r="I50" s="14" t="str">
        <f t="shared" si="4"/>
        <v>-</v>
      </c>
      <c r="J50" s="10"/>
      <c r="K50" s="10"/>
      <c r="L50" s="46" t="str">
        <f t="shared" si="5"/>
        <v>-</v>
      </c>
      <c r="M50" s="34" t="str">
        <f t="shared" si="6"/>
        <v>-</v>
      </c>
    </row>
    <row r="51" spans="1:13" ht="15" customHeight="1" x14ac:dyDescent="0.3">
      <c r="A51" s="60"/>
      <c r="B51" s="10"/>
      <c r="C51" s="10"/>
      <c r="D51" s="10"/>
      <c r="E51" s="24"/>
      <c r="F51" s="25"/>
      <c r="G51" s="21"/>
      <c r="H51" s="25"/>
      <c r="I51" s="14" t="str">
        <f t="shared" si="4"/>
        <v>-</v>
      </c>
      <c r="J51" s="10"/>
      <c r="K51" s="10"/>
      <c r="L51" s="46" t="str">
        <f t="shared" si="5"/>
        <v>-</v>
      </c>
      <c r="M51" s="34" t="str">
        <f t="shared" si="6"/>
        <v>-</v>
      </c>
    </row>
    <row r="52" spans="1:13" ht="15" customHeight="1" x14ac:dyDescent="0.3">
      <c r="A52" s="60"/>
      <c r="B52" s="10"/>
      <c r="C52" s="10"/>
      <c r="D52" s="10"/>
      <c r="E52" s="24"/>
      <c r="F52" s="25"/>
      <c r="G52" s="21"/>
      <c r="H52" s="25"/>
      <c r="I52" s="14" t="str">
        <f t="shared" si="4"/>
        <v>-</v>
      </c>
      <c r="J52" s="10"/>
      <c r="K52" s="10"/>
      <c r="L52" s="46" t="str">
        <f t="shared" si="5"/>
        <v>-</v>
      </c>
      <c r="M52" s="34" t="str">
        <f t="shared" si="6"/>
        <v>-</v>
      </c>
    </row>
    <row r="53" spans="1:13" ht="15" customHeight="1" x14ac:dyDescent="0.3">
      <c r="A53" s="60"/>
      <c r="B53" s="10"/>
      <c r="C53" s="10"/>
      <c r="D53" s="10"/>
      <c r="E53" s="24"/>
      <c r="F53" s="25"/>
      <c r="G53" s="21"/>
      <c r="H53" s="25"/>
      <c r="I53" s="14" t="str">
        <f t="shared" si="4"/>
        <v>-</v>
      </c>
      <c r="J53" s="10"/>
      <c r="K53" s="10"/>
      <c r="L53" s="46" t="str">
        <f t="shared" si="5"/>
        <v>-</v>
      </c>
      <c r="M53" s="34" t="str">
        <f t="shared" si="6"/>
        <v>-</v>
      </c>
    </row>
    <row r="54" spans="1:13" ht="15" customHeight="1" x14ac:dyDescent="0.3">
      <c r="A54" s="60"/>
      <c r="B54" s="10"/>
      <c r="C54" s="10"/>
      <c r="D54" s="10"/>
      <c r="E54" s="24"/>
      <c r="F54" s="25"/>
      <c r="G54" s="21"/>
      <c r="H54" s="25"/>
      <c r="I54" s="14" t="str">
        <f t="shared" si="4"/>
        <v>-</v>
      </c>
      <c r="J54" s="10"/>
      <c r="K54" s="10"/>
      <c r="L54" s="46" t="str">
        <f t="shared" si="5"/>
        <v>-</v>
      </c>
      <c r="M54" s="34" t="str">
        <f t="shared" si="6"/>
        <v>-</v>
      </c>
    </row>
    <row r="55" spans="1:13" ht="15" customHeight="1" x14ac:dyDescent="0.3">
      <c r="A55" s="60"/>
      <c r="B55" s="10"/>
      <c r="C55" s="10"/>
      <c r="D55" s="10"/>
      <c r="E55" s="24"/>
      <c r="F55" s="25"/>
      <c r="G55" s="21"/>
      <c r="H55" s="25"/>
      <c r="I55" s="14" t="str">
        <f t="shared" si="4"/>
        <v>-</v>
      </c>
      <c r="J55" s="10"/>
      <c r="K55" s="10"/>
      <c r="L55" s="46" t="str">
        <f t="shared" si="5"/>
        <v>-</v>
      </c>
      <c r="M55" s="34" t="str">
        <f t="shared" si="6"/>
        <v>-</v>
      </c>
    </row>
    <row r="56" spans="1:13" ht="15" customHeight="1" x14ac:dyDescent="0.3">
      <c r="A56" s="60"/>
      <c r="B56" s="10"/>
      <c r="C56" s="10"/>
      <c r="D56" s="10"/>
      <c r="E56" s="24"/>
      <c r="F56" s="25"/>
      <c r="G56" s="21"/>
      <c r="H56" s="25"/>
      <c r="I56" s="14" t="str">
        <f t="shared" si="4"/>
        <v>-</v>
      </c>
      <c r="J56" s="10"/>
      <c r="K56" s="10"/>
      <c r="L56" s="46" t="str">
        <f t="shared" si="5"/>
        <v>-</v>
      </c>
      <c r="M56" s="34" t="str">
        <f t="shared" si="6"/>
        <v>-</v>
      </c>
    </row>
    <row r="57" spans="1:13" ht="15" customHeight="1" x14ac:dyDescent="0.3">
      <c r="A57" s="60"/>
      <c r="B57" s="10"/>
      <c r="C57" s="10"/>
      <c r="D57" s="10"/>
      <c r="E57" s="24"/>
      <c r="F57" s="25"/>
      <c r="G57" s="21"/>
      <c r="H57" s="25"/>
      <c r="I57" s="14" t="str">
        <f t="shared" si="4"/>
        <v>-</v>
      </c>
      <c r="J57" s="10"/>
      <c r="K57" s="10"/>
      <c r="L57" s="46" t="str">
        <f t="shared" si="5"/>
        <v>-</v>
      </c>
      <c r="M57" s="34" t="str">
        <f t="shared" si="6"/>
        <v>-</v>
      </c>
    </row>
    <row r="58" spans="1:13" ht="15" customHeight="1" x14ac:dyDescent="0.3">
      <c r="A58" s="60"/>
      <c r="B58" s="10"/>
      <c r="C58" s="10"/>
      <c r="D58" s="10"/>
      <c r="E58" s="24"/>
      <c r="F58" s="25"/>
      <c r="G58" s="21"/>
      <c r="H58" s="25"/>
      <c r="I58" s="14" t="str">
        <f t="shared" si="4"/>
        <v>-</v>
      </c>
      <c r="J58" s="10"/>
      <c r="K58" s="10"/>
      <c r="L58" s="46" t="str">
        <f t="shared" si="5"/>
        <v>-</v>
      </c>
      <c r="M58" s="34" t="str">
        <f t="shared" si="6"/>
        <v>-</v>
      </c>
    </row>
    <row r="59" spans="1:13" ht="15" customHeight="1" x14ac:dyDescent="0.3">
      <c r="A59" s="60"/>
      <c r="B59" s="10"/>
      <c r="C59" s="10"/>
      <c r="D59" s="10"/>
      <c r="E59" s="24"/>
      <c r="F59" s="25"/>
      <c r="G59" s="21"/>
      <c r="H59" s="25"/>
      <c r="I59" s="14" t="str">
        <f t="shared" si="4"/>
        <v>-</v>
      </c>
      <c r="J59" s="10"/>
      <c r="K59" s="10"/>
      <c r="L59" s="46" t="str">
        <f t="shared" si="5"/>
        <v>-</v>
      </c>
      <c r="M59" s="34" t="str">
        <f t="shared" si="6"/>
        <v>-</v>
      </c>
    </row>
    <row r="60" spans="1:13" ht="15" customHeight="1" x14ac:dyDescent="0.3">
      <c r="A60" s="60"/>
      <c r="B60" s="10"/>
      <c r="C60" s="10"/>
      <c r="D60" s="10"/>
      <c r="E60" s="24"/>
      <c r="F60" s="25"/>
      <c r="G60" s="21"/>
      <c r="H60" s="25"/>
      <c r="I60" s="14" t="str">
        <f t="shared" si="4"/>
        <v>-</v>
      </c>
      <c r="J60" s="10"/>
      <c r="K60" s="10"/>
      <c r="L60" s="46" t="str">
        <f t="shared" si="5"/>
        <v>-</v>
      </c>
      <c r="M60" s="34" t="str">
        <f t="shared" si="6"/>
        <v>-</v>
      </c>
    </row>
    <row r="61" spans="1:13" ht="15" customHeight="1" x14ac:dyDescent="0.3">
      <c r="A61" s="60"/>
      <c r="B61" s="10"/>
      <c r="C61" s="10"/>
      <c r="D61" s="10"/>
      <c r="E61" s="24"/>
      <c r="F61" s="25"/>
      <c r="G61" s="21"/>
      <c r="H61" s="25"/>
      <c r="I61" s="14" t="str">
        <f t="shared" si="4"/>
        <v>-</v>
      </c>
      <c r="J61" s="10"/>
      <c r="K61" s="10"/>
      <c r="L61" s="46" t="str">
        <f t="shared" si="5"/>
        <v>-</v>
      </c>
      <c r="M61" s="34" t="str">
        <f t="shared" si="6"/>
        <v>-</v>
      </c>
    </row>
    <row r="62" spans="1:13" ht="15" customHeight="1" x14ac:dyDescent="0.3">
      <c r="A62" s="60"/>
      <c r="B62" s="10"/>
      <c r="C62" s="10"/>
      <c r="D62" s="10"/>
      <c r="E62" s="24"/>
      <c r="F62" s="25"/>
      <c r="G62" s="21"/>
      <c r="H62" s="25"/>
      <c r="I62" s="14" t="str">
        <f t="shared" si="4"/>
        <v>-</v>
      </c>
      <c r="J62" s="10"/>
      <c r="K62" s="10"/>
      <c r="L62" s="46" t="str">
        <f t="shared" si="5"/>
        <v>-</v>
      </c>
      <c r="M62" s="34" t="str">
        <f t="shared" si="6"/>
        <v>-</v>
      </c>
    </row>
    <row r="63" spans="1:13" ht="15" customHeight="1" x14ac:dyDescent="0.3">
      <c r="A63" s="60"/>
      <c r="B63" s="10"/>
      <c r="C63" s="10"/>
      <c r="D63" s="10"/>
      <c r="E63" s="24"/>
      <c r="F63" s="25"/>
      <c r="G63" s="21"/>
      <c r="H63" s="25"/>
      <c r="I63" s="14" t="str">
        <f t="shared" si="4"/>
        <v>-</v>
      </c>
      <c r="J63" s="10"/>
      <c r="K63" s="10"/>
      <c r="L63" s="46" t="str">
        <f t="shared" si="5"/>
        <v>-</v>
      </c>
      <c r="M63" s="34" t="str">
        <f t="shared" si="6"/>
        <v>-</v>
      </c>
    </row>
    <row r="64" spans="1:13" ht="15" customHeight="1" x14ac:dyDescent="0.3">
      <c r="A64" s="60"/>
      <c r="B64" s="10"/>
      <c r="C64" s="10"/>
      <c r="D64" s="10"/>
      <c r="E64" s="24"/>
      <c r="F64" s="25"/>
      <c r="G64" s="21"/>
      <c r="H64" s="25"/>
      <c r="I64" s="14" t="str">
        <f t="shared" si="4"/>
        <v>-</v>
      </c>
      <c r="J64" s="10"/>
      <c r="K64" s="10"/>
      <c r="L64" s="46" t="str">
        <f t="shared" si="5"/>
        <v>-</v>
      </c>
      <c r="M64" s="34" t="str">
        <f t="shared" si="6"/>
        <v>-</v>
      </c>
    </row>
    <row r="65" spans="1:13" ht="15" customHeight="1" x14ac:dyDescent="0.3">
      <c r="A65" s="60"/>
      <c r="B65" s="10"/>
      <c r="C65" s="10"/>
      <c r="D65" s="10"/>
      <c r="E65" s="24"/>
      <c r="F65" s="25"/>
      <c r="G65" s="21"/>
      <c r="H65" s="25"/>
      <c r="I65" s="14" t="str">
        <f t="shared" si="4"/>
        <v>-</v>
      </c>
      <c r="J65" s="10"/>
      <c r="K65" s="10"/>
      <c r="L65" s="46" t="str">
        <f t="shared" si="5"/>
        <v>-</v>
      </c>
      <c r="M65" s="34" t="str">
        <f t="shared" si="6"/>
        <v>-</v>
      </c>
    </row>
    <row r="66" spans="1:13" ht="15" customHeight="1" x14ac:dyDescent="0.3">
      <c r="A66" s="60"/>
      <c r="B66" s="10"/>
      <c r="C66" s="10"/>
      <c r="D66" s="10"/>
      <c r="E66" s="24"/>
      <c r="F66" s="25"/>
      <c r="G66" s="21"/>
      <c r="H66" s="25"/>
      <c r="I66" s="14" t="str">
        <f t="shared" si="4"/>
        <v>-</v>
      </c>
      <c r="J66" s="10"/>
      <c r="K66" s="10"/>
      <c r="L66" s="46" t="str">
        <f t="shared" si="5"/>
        <v>-</v>
      </c>
      <c r="M66" s="34" t="str">
        <f t="shared" si="6"/>
        <v>-</v>
      </c>
    </row>
    <row r="67" spans="1:13" ht="15" customHeight="1" x14ac:dyDescent="0.3">
      <c r="A67" s="60"/>
      <c r="B67" s="10"/>
      <c r="C67" s="10"/>
      <c r="D67" s="10"/>
      <c r="E67" s="24"/>
      <c r="F67" s="25"/>
      <c r="G67" s="21"/>
      <c r="H67" s="25"/>
      <c r="I67" s="14" t="str">
        <f t="shared" si="4"/>
        <v>-</v>
      </c>
      <c r="J67" s="10"/>
      <c r="K67" s="10"/>
      <c r="L67" s="46" t="str">
        <f t="shared" si="5"/>
        <v>-</v>
      </c>
      <c r="M67" s="34" t="str">
        <f t="shared" si="6"/>
        <v>-</v>
      </c>
    </row>
    <row r="68" spans="1:13" ht="15" customHeight="1" x14ac:dyDescent="0.3">
      <c r="A68" s="60"/>
      <c r="B68" s="10"/>
      <c r="C68" s="10"/>
      <c r="D68" s="10"/>
      <c r="E68" s="24"/>
      <c r="F68" s="25"/>
      <c r="G68" s="21"/>
      <c r="H68" s="25"/>
      <c r="I68" s="14" t="str">
        <f t="shared" si="4"/>
        <v>-</v>
      </c>
      <c r="J68" s="10"/>
      <c r="K68" s="10"/>
      <c r="L68" s="46" t="str">
        <f t="shared" si="5"/>
        <v>-</v>
      </c>
      <c r="M68" s="34" t="str">
        <f t="shared" si="6"/>
        <v>-</v>
      </c>
    </row>
    <row r="69" spans="1:13" ht="15" customHeight="1" x14ac:dyDescent="0.3">
      <c r="A69" s="60"/>
      <c r="B69" s="10"/>
      <c r="C69" s="10"/>
      <c r="D69" s="10"/>
      <c r="E69" s="24"/>
      <c r="F69" s="25"/>
      <c r="G69" s="21"/>
      <c r="H69" s="25"/>
      <c r="I69" s="14" t="str">
        <f t="shared" si="4"/>
        <v>-</v>
      </c>
      <c r="J69" s="10"/>
      <c r="K69" s="10"/>
      <c r="L69" s="46" t="str">
        <f t="shared" si="5"/>
        <v>-</v>
      </c>
      <c r="M69" s="34" t="str">
        <f t="shared" si="6"/>
        <v>-</v>
      </c>
    </row>
    <row r="70" spans="1:13" ht="15" customHeight="1" x14ac:dyDescent="0.3">
      <c r="A70" s="60"/>
      <c r="B70" s="10"/>
      <c r="C70" s="10"/>
      <c r="D70" s="10"/>
      <c r="E70" s="24"/>
      <c r="F70" s="25"/>
      <c r="G70" s="21"/>
      <c r="H70" s="25"/>
      <c r="I70" s="14" t="str">
        <f t="shared" si="4"/>
        <v>-</v>
      </c>
      <c r="J70" s="10"/>
      <c r="K70" s="10"/>
      <c r="L70" s="46" t="str">
        <f t="shared" si="5"/>
        <v>-</v>
      </c>
      <c r="M70" s="34" t="str">
        <f t="shared" si="6"/>
        <v>-</v>
      </c>
    </row>
    <row r="71" spans="1:13" ht="15" customHeight="1" x14ac:dyDescent="0.3">
      <c r="A71" s="60"/>
      <c r="B71" s="10"/>
      <c r="C71" s="10"/>
      <c r="D71" s="10"/>
      <c r="E71" s="24"/>
      <c r="F71" s="25"/>
      <c r="G71" s="21"/>
      <c r="H71" s="25"/>
      <c r="I71" s="14" t="str">
        <f t="shared" si="4"/>
        <v>-</v>
      </c>
      <c r="J71" s="10"/>
      <c r="K71" s="10"/>
      <c r="L71" s="46" t="str">
        <f t="shared" si="5"/>
        <v>-</v>
      </c>
      <c r="M71" s="34" t="str">
        <f t="shared" si="6"/>
        <v>-</v>
      </c>
    </row>
    <row r="72" spans="1:13" ht="15" customHeight="1" x14ac:dyDescent="0.3">
      <c r="A72" s="60"/>
      <c r="B72" s="10"/>
      <c r="C72" s="10"/>
      <c r="D72" s="10"/>
      <c r="E72" s="24"/>
      <c r="F72" s="25"/>
      <c r="G72" s="21"/>
      <c r="H72" s="25"/>
      <c r="I72" s="14" t="str">
        <f t="shared" ref="I72:I103" si="7">IF(OR(F72="",H72=""),"-",(IF(H72&gt;0,100/(H72+100),-H72/(-H72+100))-IF(F72&gt;0,100/(F72+100),-F72/(-F72+100)))*100)</f>
        <v>-</v>
      </c>
      <c r="J72" s="10"/>
      <c r="K72" s="10"/>
      <c r="L72" s="46" t="str">
        <f t="shared" ref="L72:L103" si="8">IF(OR(G72="",K72=""),"-",IF(K72="W",G72*IF(F72&gt;0,F72/100,100/-F72),IF(K72="L",-G72,0)))</f>
        <v>-</v>
      </c>
      <c r="M72" s="34" t="str">
        <f t="shared" ref="M72:M103" si="9">IF(OR(L72="-",G72=""),"-",L72/G72)</f>
        <v>-</v>
      </c>
    </row>
    <row r="73" spans="1:13" ht="15" customHeight="1" x14ac:dyDescent="0.3">
      <c r="A73" s="60"/>
      <c r="B73" s="10"/>
      <c r="C73" s="10"/>
      <c r="D73" s="10"/>
      <c r="E73" s="24"/>
      <c r="F73" s="25"/>
      <c r="G73" s="21"/>
      <c r="H73" s="25"/>
      <c r="I73" s="14" t="str">
        <f t="shared" si="7"/>
        <v>-</v>
      </c>
      <c r="J73" s="10"/>
      <c r="K73" s="10"/>
      <c r="L73" s="46" t="str">
        <f t="shared" si="8"/>
        <v>-</v>
      </c>
      <c r="M73" s="34" t="str">
        <f t="shared" si="9"/>
        <v>-</v>
      </c>
    </row>
    <row r="74" spans="1:13" ht="15" customHeight="1" x14ac:dyDescent="0.3">
      <c r="A74" s="60"/>
      <c r="B74" s="10"/>
      <c r="C74" s="10"/>
      <c r="D74" s="10"/>
      <c r="E74" s="24"/>
      <c r="F74" s="25"/>
      <c r="G74" s="21"/>
      <c r="H74" s="25"/>
      <c r="I74" s="14" t="str">
        <f t="shared" si="7"/>
        <v>-</v>
      </c>
      <c r="J74" s="10"/>
      <c r="K74" s="10"/>
      <c r="L74" s="46" t="str">
        <f t="shared" si="8"/>
        <v>-</v>
      </c>
      <c r="M74" s="34" t="str">
        <f t="shared" si="9"/>
        <v>-</v>
      </c>
    </row>
    <row r="75" spans="1:13" ht="15" customHeight="1" x14ac:dyDescent="0.3">
      <c r="A75" s="60"/>
      <c r="B75" s="10"/>
      <c r="C75" s="10"/>
      <c r="D75" s="10"/>
      <c r="E75" s="24"/>
      <c r="F75" s="25"/>
      <c r="G75" s="21"/>
      <c r="H75" s="25"/>
      <c r="I75" s="14" t="str">
        <f t="shared" si="7"/>
        <v>-</v>
      </c>
      <c r="J75" s="10"/>
      <c r="K75" s="10"/>
      <c r="L75" s="46" t="str">
        <f t="shared" si="8"/>
        <v>-</v>
      </c>
      <c r="M75" s="34" t="str">
        <f t="shared" si="9"/>
        <v>-</v>
      </c>
    </row>
    <row r="76" spans="1:13" ht="15" customHeight="1" x14ac:dyDescent="0.3">
      <c r="A76" s="60"/>
      <c r="B76" s="10"/>
      <c r="C76" s="10"/>
      <c r="D76" s="10"/>
      <c r="E76" s="24"/>
      <c r="F76" s="25"/>
      <c r="G76" s="21"/>
      <c r="H76" s="25"/>
      <c r="I76" s="14" t="str">
        <f t="shared" si="7"/>
        <v>-</v>
      </c>
      <c r="J76" s="10"/>
      <c r="K76" s="10"/>
      <c r="L76" s="46" t="str">
        <f t="shared" si="8"/>
        <v>-</v>
      </c>
      <c r="M76" s="34" t="str">
        <f t="shared" si="9"/>
        <v>-</v>
      </c>
    </row>
    <row r="77" spans="1:13" ht="15" customHeight="1" x14ac:dyDescent="0.3">
      <c r="A77" s="60"/>
      <c r="B77" s="10"/>
      <c r="C77" s="10"/>
      <c r="D77" s="10"/>
      <c r="E77" s="24"/>
      <c r="F77" s="25"/>
      <c r="G77" s="21"/>
      <c r="H77" s="25"/>
      <c r="I77" s="14" t="str">
        <f t="shared" si="7"/>
        <v>-</v>
      </c>
      <c r="J77" s="10"/>
      <c r="K77" s="10"/>
      <c r="L77" s="46" t="str">
        <f t="shared" si="8"/>
        <v>-</v>
      </c>
      <c r="M77" s="34" t="str">
        <f t="shared" si="9"/>
        <v>-</v>
      </c>
    </row>
    <row r="78" spans="1:13" ht="15" customHeight="1" x14ac:dyDescent="0.3">
      <c r="A78" s="60"/>
      <c r="B78" s="10"/>
      <c r="C78" s="10"/>
      <c r="D78" s="10"/>
      <c r="E78" s="24"/>
      <c r="F78" s="25"/>
      <c r="G78" s="21"/>
      <c r="H78" s="25"/>
      <c r="I78" s="14" t="str">
        <f t="shared" si="7"/>
        <v>-</v>
      </c>
      <c r="J78" s="10"/>
      <c r="K78" s="10"/>
      <c r="L78" s="46" t="str">
        <f t="shared" si="8"/>
        <v>-</v>
      </c>
      <c r="M78" s="34" t="str">
        <f t="shared" si="9"/>
        <v>-</v>
      </c>
    </row>
    <row r="79" spans="1:13" ht="15" customHeight="1" x14ac:dyDescent="0.3">
      <c r="A79" s="60"/>
      <c r="B79" s="10"/>
      <c r="C79" s="10"/>
      <c r="D79" s="10"/>
      <c r="E79" s="24"/>
      <c r="F79" s="25"/>
      <c r="G79" s="21"/>
      <c r="H79" s="25"/>
      <c r="I79" s="14" t="str">
        <f t="shared" si="7"/>
        <v>-</v>
      </c>
      <c r="J79" s="10"/>
      <c r="K79" s="10"/>
      <c r="L79" s="46" t="str">
        <f t="shared" si="8"/>
        <v>-</v>
      </c>
      <c r="M79" s="34" t="str">
        <f t="shared" si="9"/>
        <v>-</v>
      </c>
    </row>
    <row r="80" spans="1:13" ht="15" customHeight="1" x14ac:dyDescent="0.3">
      <c r="A80" s="60"/>
      <c r="B80" s="10"/>
      <c r="C80" s="10"/>
      <c r="D80" s="10"/>
      <c r="E80" s="24"/>
      <c r="F80" s="25"/>
      <c r="G80" s="21"/>
      <c r="H80" s="25"/>
      <c r="I80" s="14" t="str">
        <f t="shared" si="7"/>
        <v>-</v>
      </c>
      <c r="J80" s="10"/>
      <c r="K80" s="10"/>
      <c r="L80" s="46" t="str">
        <f t="shared" si="8"/>
        <v>-</v>
      </c>
      <c r="M80" s="34" t="str">
        <f t="shared" si="9"/>
        <v>-</v>
      </c>
    </row>
    <row r="81" spans="1:13" ht="15" customHeight="1" x14ac:dyDescent="0.3">
      <c r="A81" s="60"/>
      <c r="B81" s="10"/>
      <c r="C81" s="10"/>
      <c r="D81" s="10"/>
      <c r="E81" s="24"/>
      <c r="F81" s="25"/>
      <c r="G81" s="21"/>
      <c r="H81" s="25"/>
      <c r="I81" s="14" t="str">
        <f t="shared" si="7"/>
        <v>-</v>
      </c>
      <c r="J81" s="10"/>
      <c r="K81" s="10"/>
      <c r="L81" s="46" t="str">
        <f t="shared" si="8"/>
        <v>-</v>
      </c>
      <c r="M81" s="34" t="str">
        <f t="shared" si="9"/>
        <v>-</v>
      </c>
    </row>
    <row r="82" spans="1:13" ht="15" customHeight="1" x14ac:dyDescent="0.3">
      <c r="A82" s="60"/>
      <c r="B82" s="10"/>
      <c r="C82" s="10"/>
      <c r="D82" s="10"/>
      <c r="E82" s="24"/>
      <c r="F82" s="25"/>
      <c r="G82" s="21"/>
      <c r="H82" s="25"/>
      <c r="I82" s="14" t="str">
        <f t="shared" si="7"/>
        <v>-</v>
      </c>
      <c r="J82" s="10"/>
      <c r="K82" s="10"/>
      <c r="L82" s="46" t="str">
        <f t="shared" si="8"/>
        <v>-</v>
      </c>
      <c r="M82" s="34" t="str">
        <f t="shared" si="9"/>
        <v>-</v>
      </c>
    </row>
    <row r="83" spans="1:13" ht="15" customHeight="1" x14ac:dyDescent="0.3">
      <c r="A83" s="60"/>
      <c r="B83" s="10"/>
      <c r="C83" s="10"/>
      <c r="D83" s="10"/>
      <c r="E83" s="24"/>
      <c r="F83" s="25"/>
      <c r="G83" s="21"/>
      <c r="H83" s="25"/>
      <c r="I83" s="14" t="str">
        <f t="shared" si="7"/>
        <v>-</v>
      </c>
      <c r="J83" s="10"/>
      <c r="K83" s="10"/>
      <c r="L83" s="46" t="str">
        <f t="shared" si="8"/>
        <v>-</v>
      </c>
      <c r="M83" s="34" t="str">
        <f t="shared" si="9"/>
        <v>-</v>
      </c>
    </row>
    <row r="84" spans="1:13" ht="15" customHeight="1" x14ac:dyDescent="0.3">
      <c r="A84" s="60"/>
      <c r="B84" s="10"/>
      <c r="C84" s="10"/>
      <c r="D84" s="10"/>
      <c r="E84" s="24"/>
      <c r="F84" s="25"/>
      <c r="G84" s="21"/>
      <c r="H84" s="25"/>
      <c r="I84" s="14" t="str">
        <f t="shared" si="7"/>
        <v>-</v>
      </c>
      <c r="J84" s="10"/>
      <c r="K84" s="10"/>
      <c r="L84" s="46" t="str">
        <f t="shared" si="8"/>
        <v>-</v>
      </c>
      <c r="M84" s="34" t="str">
        <f t="shared" si="9"/>
        <v>-</v>
      </c>
    </row>
    <row r="85" spans="1:13" ht="15" customHeight="1" x14ac:dyDescent="0.3">
      <c r="A85" s="60"/>
      <c r="B85" s="10"/>
      <c r="C85" s="10"/>
      <c r="D85" s="10"/>
      <c r="E85" s="24"/>
      <c r="F85" s="25"/>
      <c r="G85" s="21"/>
      <c r="H85" s="25"/>
      <c r="I85" s="14" t="str">
        <f t="shared" si="7"/>
        <v>-</v>
      </c>
      <c r="J85" s="10"/>
      <c r="K85" s="10"/>
      <c r="L85" s="46" t="str">
        <f t="shared" si="8"/>
        <v>-</v>
      </c>
      <c r="M85" s="34" t="str">
        <f t="shared" si="9"/>
        <v>-</v>
      </c>
    </row>
    <row r="86" spans="1:13" ht="15" customHeight="1" x14ac:dyDescent="0.3">
      <c r="A86" s="60"/>
      <c r="B86" s="10"/>
      <c r="C86" s="10"/>
      <c r="D86" s="10"/>
      <c r="E86" s="24"/>
      <c r="F86" s="25"/>
      <c r="G86" s="21"/>
      <c r="H86" s="25"/>
      <c r="I86" s="14" t="str">
        <f t="shared" si="7"/>
        <v>-</v>
      </c>
      <c r="J86" s="10"/>
      <c r="K86" s="10"/>
      <c r="L86" s="46" t="str">
        <f t="shared" si="8"/>
        <v>-</v>
      </c>
      <c r="M86" s="34" t="str">
        <f t="shared" si="9"/>
        <v>-</v>
      </c>
    </row>
    <row r="87" spans="1:13" ht="15" customHeight="1" x14ac:dyDescent="0.3">
      <c r="A87" s="60"/>
      <c r="B87" s="10"/>
      <c r="C87" s="10"/>
      <c r="D87" s="10"/>
      <c r="E87" s="24"/>
      <c r="F87" s="25"/>
      <c r="G87" s="21"/>
      <c r="H87" s="25"/>
      <c r="I87" s="14" t="str">
        <f t="shared" si="7"/>
        <v>-</v>
      </c>
      <c r="J87" s="10"/>
      <c r="K87" s="10"/>
      <c r="L87" s="46" t="str">
        <f t="shared" si="8"/>
        <v>-</v>
      </c>
      <c r="M87" s="34" t="str">
        <f t="shared" si="9"/>
        <v>-</v>
      </c>
    </row>
    <row r="88" spans="1:13" ht="15" customHeight="1" x14ac:dyDescent="0.3">
      <c r="A88" s="60"/>
      <c r="B88" s="10"/>
      <c r="C88" s="10"/>
      <c r="D88" s="10"/>
      <c r="E88" s="24"/>
      <c r="F88" s="25"/>
      <c r="G88" s="21"/>
      <c r="H88" s="25"/>
      <c r="I88" s="14" t="str">
        <f t="shared" si="7"/>
        <v>-</v>
      </c>
      <c r="J88" s="10"/>
      <c r="K88" s="10"/>
      <c r="L88" s="46" t="str">
        <f t="shared" si="8"/>
        <v>-</v>
      </c>
      <c r="M88" s="34" t="str">
        <f t="shared" si="9"/>
        <v>-</v>
      </c>
    </row>
    <row r="89" spans="1:13" ht="15" customHeight="1" x14ac:dyDescent="0.3">
      <c r="A89" s="60"/>
      <c r="B89" s="10"/>
      <c r="C89" s="10"/>
      <c r="D89" s="10"/>
      <c r="E89" s="24"/>
      <c r="F89" s="25"/>
      <c r="G89" s="21"/>
      <c r="H89" s="25"/>
      <c r="I89" s="14" t="str">
        <f t="shared" si="7"/>
        <v>-</v>
      </c>
      <c r="J89" s="10"/>
      <c r="K89" s="10"/>
      <c r="L89" s="46" t="str">
        <f t="shared" si="8"/>
        <v>-</v>
      </c>
      <c r="M89" s="34" t="str">
        <f t="shared" si="9"/>
        <v>-</v>
      </c>
    </row>
    <row r="90" spans="1:13" ht="15" customHeight="1" x14ac:dyDescent="0.3">
      <c r="A90" s="60"/>
      <c r="B90" s="10"/>
      <c r="C90" s="10"/>
      <c r="D90" s="10"/>
      <c r="E90" s="24"/>
      <c r="F90" s="25"/>
      <c r="G90" s="21"/>
      <c r="H90" s="25"/>
      <c r="I90" s="14" t="str">
        <f t="shared" si="7"/>
        <v>-</v>
      </c>
      <c r="J90" s="10"/>
      <c r="K90" s="10"/>
      <c r="L90" s="46" t="str">
        <f t="shared" si="8"/>
        <v>-</v>
      </c>
      <c r="M90" s="34" t="str">
        <f t="shared" si="9"/>
        <v>-</v>
      </c>
    </row>
    <row r="91" spans="1:13" ht="15" customHeight="1" x14ac:dyDescent="0.3">
      <c r="A91" s="60"/>
      <c r="B91" s="10"/>
      <c r="C91" s="10"/>
      <c r="D91" s="10"/>
      <c r="E91" s="24"/>
      <c r="F91" s="25"/>
      <c r="G91" s="21"/>
      <c r="H91" s="25"/>
      <c r="I91" s="14" t="str">
        <f t="shared" si="7"/>
        <v>-</v>
      </c>
      <c r="J91" s="10"/>
      <c r="K91" s="10"/>
      <c r="L91" s="46" t="str">
        <f t="shared" si="8"/>
        <v>-</v>
      </c>
      <c r="M91" s="34" t="str">
        <f t="shared" si="9"/>
        <v>-</v>
      </c>
    </row>
    <row r="92" spans="1:13" ht="15" customHeight="1" x14ac:dyDescent="0.3">
      <c r="A92" s="60"/>
      <c r="B92" s="10"/>
      <c r="C92" s="10"/>
      <c r="D92" s="10"/>
      <c r="E92" s="24"/>
      <c r="F92" s="25"/>
      <c r="G92" s="21"/>
      <c r="H92" s="25"/>
      <c r="I92" s="14" t="str">
        <f t="shared" si="7"/>
        <v>-</v>
      </c>
      <c r="J92" s="10"/>
      <c r="K92" s="10"/>
      <c r="L92" s="46" t="str">
        <f t="shared" si="8"/>
        <v>-</v>
      </c>
      <c r="M92" s="34" t="str">
        <f t="shared" si="9"/>
        <v>-</v>
      </c>
    </row>
    <row r="93" spans="1:13" ht="15" customHeight="1" x14ac:dyDescent="0.3">
      <c r="A93" s="60"/>
      <c r="B93" s="10"/>
      <c r="C93" s="10"/>
      <c r="D93" s="10"/>
      <c r="E93" s="24"/>
      <c r="F93" s="25"/>
      <c r="G93" s="21"/>
      <c r="H93" s="25"/>
      <c r="I93" s="14" t="str">
        <f t="shared" si="7"/>
        <v>-</v>
      </c>
      <c r="J93" s="10"/>
      <c r="K93" s="10"/>
      <c r="L93" s="46" t="str">
        <f t="shared" si="8"/>
        <v>-</v>
      </c>
      <c r="M93" s="34" t="str">
        <f t="shared" si="9"/>
        <v>-</v>
      </c>
    </row>
    <row r="94" spans="1:13" ht="15" customHeight="1" x14ac:dyDescent="0.3">
      <c r="A94" s="60"/>
      <c r="B94" s="10"/>
      <c r="C94" s="10"/>
      <c r="D94" s="10"/>
      <c r="E94" s="24"/>
      <c r="F94" s="25"/>
      <c r="G94" s="21"/>
      <c r="H94" s="25"/>
      <c r="I94" s="14" t="str">
        <f t="shared" si="7"/>
        <v>-</v>
      </c>
      <c r="J94" s="10"/>
      <c r="K94" s="10"/>
      <c r="L94" s="46" t="str">
        <f t="shared" si="8"/>
        <v>-</v>
      </c>
      <c r="M94" s="34" t="str">
        <f t="shared" si="9"/>
        <v>-</v>
      </c>
    </row>
    <row r="95" spans="1:13" ht="15" customHeight="1" x14ac:dyDescent="0.3">
      <c r="A95" s="60"/>
      <c r="B95" s="10"/>
      <c r="C95" s="10"/>
      <c r="D95" s="10"/>
      <c r="E95" s="24"/>
      <c r="F95" s="25"/>
      <c r="G95" s="21"/>
      <c r="H95" s="25"/>
      <c r="I95" s="14" t="str">
        <f t="shared" si="7"/>
        <v>-</v>
      </c>
      <c r="J95" s="10"/>
      <c r="K95" s="10"/>
      <c r="L95" s="46" t="str">
        <f t="shared" si="8"/>
        <v>-</v>
      </c>
      <c r="M95" s="34" t="str">
        <f t="shared" si="9"/>
        <v>-</v>
      </c>
    </row>
    <row r="96" spans="1:13" ht="15" customHeight="1" x14ac:dyDescent="0.3">
      <c r="A96" s="60"/>
      <c r="B96" s="10"/>
      <c r="C96" s="10"/>
      <c r="D96" s="10"/>
      <c r="E96" s="24"/>
      <c r="F96" s="25"/>
      <c r="G96" s="21"/>
      <c r="H96" s="25"/>
      <c r="I96" s="14" t="str">
        <f t="shared" si="7"/>
        <v>-</v>
      </c>
      <c r="J96" s="10"/>
      <c r="K96" s="10"/>
      <c r="L96" s="46" t="str">
        <f t="shared" si="8"/>
        <v>-</v>
      </c>
      <c r="M96" s="34" t="str">
        <f t="shared" si="9"/>
        <v>-</v>
      </c>
    </row>
    <row r="97" spans="1:13" ht="15" customHeight="1" x14ac:dyDescent="0.3">
      <c r="A97" s="60"/>
      <c r="B97" s="10"/>
      <c r="C97" s="10"/>
      <c r="D97" s="10"/>
      <c r="E97" s="24"/>
      <c r="F97" s="25"/>
      <c r="G97" s="21"/>
      <c r="H97" s="25"/>
      <c r="I97" s="14" t="str">
        <f t="shared" si="7"/>
        <v>-</v>
      </c>
      <c r="J97" s="10"/>
      <c r="K97" s="10"/>
      <c r="L97" s="46" t="str">
        <f t="shared" si="8"/>
        <v>-</v>
      </c>
      <c r="M97" s="34" t="str">
        <f t="shared" si="9"/>
        <v>-</v>
      </c>
    </row>
    <row r="98" spans="1:13" ht="15" customHeight="1" x14ac:dyDescent="0.3">
      <c r="A98" s="60"/>
      <c r="B98" s="10"/>
      <c r="C98" s="10"/>
      <c r="D98" s="10"/>
      <c r="E98" s="24"/>
      <c r="F98" s="25"/>
      <c r="G98" s="21"/>
      <c r="H98" s="25"/>
      <c r="I98" s="14" t="str">
        <f t="shared" si="7"/>
        <v>-</v>
      </c>
      <c r="J98" s="10"/>
      <c r="K98" s="10"/>
      <c r="L98" s="46" t="str">
        <f t="shared" si="8"/>
        <v>-</v>
      </c>
      <c r="M98" s="34" t="str">
        <f t="shared" si="9"/>
        <v>-</v>
      </c>
    </row>
    <row r="99" spans="1:13" ht="15" customHeight="1" x14ac:dyDescent="0.3">
      <c r="A99" s="60"/>
      <c r="B99" s="10"/>
      <c r="C99" s="10"/>
      <c r="D99" s="10"/>
      <c r="E99" s="24"/>
      <c r="F99" s="25"/>
      <c r="G99" s="21"/>
      <c r="H99" s="25"/>
      <c r="I99" s="14" t="str">
        <f t="shared" si="7"/>
        <v>-</v>
      </c>
      <c r="J99" s="10"/>
      <c r="K99" s="10"/>
      <c r="L99" s="46" t="str">
        <f t="shared" si="8"/>
        <v>-</v>
      </c>
      <c r="M99" s="34" t="str">
        <f t="shared" si="9"/>
        <v>-</v>
      </c>
    </row>
    <row r="100" spans="1:13" ht="15" customHeight="1" x14ac:dyDescent="0.3">
      <c r="A100" s="60"/>
      <c r="B100" s="10"/>
      <c r="C100" s="10"/>
      <c r="D100" s="10"/>
      <c r="E100" s="24"/>
      <c r="F100" s="25"/>
      <c r="G100" s="21"/>
      <c r="H100" s="25"/>
      <c r="I100" s="14" t="str">
        <f t="shared" si="7"/>
        <v>-</v>
      </c>
      <c r="J100" s="10"/>
      <c r="K100" s="10"/>
      <c r="L100" s="46" t="str">
        <f t="shared" si="8"/>
        <v>-</v>
      </c>
      <c r="M100" s="34" t="str">
        <f t="shared" si="9"/>
        <v>-</v>
      </c>
    </row>
    <row r="101" spans="1:13" ht="15" customHeight="1" x14ac:dyDescent="0.3">
      <c r="A101" s="60"/>
      <c r="B101" s="10"/>
      <c r="C101" s="10"/>
      <c r="D101" s="10"/>
      <c r="E101" s="24"/>
      <c r="F101" s="25"/>
      <c r="G101" s="21"/>
      <c r="H101" s="25"/>
      <c r="I101" s="14" t="str">
        <f t="shared" si="7"/>
        <v>-</v>
      </c>
      <c r="J101" s="10"/>
      <c r="K101" s="10"/>
      <c r="L101" s="46" t="str">
        <f t="shared" si="8"/>
        <v>-</v>
      </c>
      <c r="M101" s="34" t="str">
        <f t="shared" si="9"/>
        <v>-</v>
      </c>
    </row>
    <row r="102" spans="1:13" ht="15" customHeight="1" x14ac:dyDescent="0.3">
      <c r="A102" s="60"/>
      <c r="B102" s="10"/>
      <c r="C102" s="10"/>
      <c r="D102" s="10"/>
      <c r="E102" s="24"/>
      <c r="F102" s="25"/>
      <c r="G102" s="21"/>
      <c r="H102" s="25"/>
      <c r="I102" s="14" t="str">
        <f t="shared" si="7"/>
        <v>-</v>
      </c>
      <c r="J102" s="10"/>
      <c r="K102" s="10"/>
      <c r="L102" s="46" t="str">
        <f t="shared" si="8"/>
        <v>-</v>
      </c>
      <c r="M102" s="34" t="str">
        <f t="shared" si="9"/>
        <v>-</v>
      </c>
    </row>
    <row r="103" spans="1:13" ht="15" customHeight="1" x14ac:dyDescent="0.3">
      <c r="A103" s="60"/>
      <c r="B103" s="10"/>
      <c r="C103" s="10"/>
      <c r="D103" s="10"/>
      <c r="E103" s="24"/>
      <c r="F103" s="25"/>
      <c r="G103" s="21"/>
      <c r="H103" s="25"/>
      <c r="I103" s="14" t="str">
        <f t="shared" si="7"/>
        <v>-</v>
      </c>
      <c r="J103" s="10"/>
      <c r="K103" s="10"/>
      <c r="L103" s="46" t="str">
        <f t="shared" si="8"/>
        <v>-</v>
      </c>
      <c r="M103" s="34" t="str">
        <f t="shared" si="9"/>
        <v>-</v>
      </c>
    </row>
    <row r="104" spans="1:13" ht="15" customHeight="1" x14ac:dyDescent="0.3">
      <c r="A104" s="60"/>
      <c r="B104" s="10"/>
      <c r="C104" s="10"/>
      <c r="D104" s="10"/>
      <c r="E104" s="24"/>
      <c r="F104" s="25"/>
      <c r="G104" s="21"/>
      <c r="H104" s="25"/>
      <c r="I104" s="14" t="str">
        <f t="shared" ref="I104:I135" si="10">IF(OR(F104="",H104=""),"-",(IF(H104&gt;0,100/(H104+100),-H104/(-H104+100))-IF(F104&gt;0,100/(F104+100),-F104/(-F104+100)))*100)</f>
        <v>-</v>
      </c>
      <c r="J104" s="10"/>
      <c r="K104" s="10"/>
      <c r="L104" s="46" t="str">
        <f t="shared" ref="L104:L135" si="11">IF(OR(G104="",K104=""),"-",IF(K104="W",G104*IF(F104&gt;0,F104/100,100/-F104),IF(K104="L",-G104,0)))</f>
        <v>-</v>
      </c>
      <c r="M104" s="34" t="str">
        <f t="shared" ref="M104:M135" si="12">IF(OR(L104="-",G104=""),"-",L104/G104)</f>
        <v>-</v>
      </c>
    </row>
    <row r="105" spans="1:13" ht="15" customHeight="1" x14ac:dyDescent="0.3">
      <c r="A105" s="60"/>
      <c r="B105" s="10"/>
      <c r="C105" s="10"/>
      <c r="D105" s="10"/>
      <c r="E105" s="24"/>
      <c r="F105" s="25"/>
      <c r="G105" s="21"/>
      <c r="H105" s="25"/>
      <c r="I105" s="14" t="str">
        <f t="shared" si="10"/>
        <v>-</v>
      </c>
      <c r="J105" s="10"/>
      <c r="K105" s="10"/>
      <c r="L105" s="46" t="str">
        <f t="shared" si="11"/>
        <v>-</v>
      </c>
      <c r="M105" s="34" t="str">
        <f t="shared" si="12"/>
        <v>-</v>
      </c>
    </row>
    <row r="106" spans="1:13" ht="15" customHeight="1" x14ac:dyDescent="0.3">
      <c r="A106" s="60"/>
      <c r="B106" s="10"/>
      <c r="C106" s="10"/>
      <c r="D106" s="10"/>
      <c r="E106" s="24"/>
      <c r="F106" s="25"/>
      <c r="G106" s="21"/>
      <c r="H106" s="25"/>
      <c r="I106" s="14" t="str">
        <f t="shared" si="10"/>
        <v>-</v>
      </c>
      <c r="J106" s="10"/>
      <c r="K106" s="10"/>
      <c r="L106" s="46" t="str">
        <f t="shared" si="11"/>
        <v>-</v>
      </c>
      <c r="M106" s="34" t="str">
        <f t="shared" si="12"/>
        <v>-</v>
      </c>
    </row>
    <row r="107" spans="1:13" ht="15" customHeight="1" x14ac:dyDescent="0.3">
      <c r="A107" s="60"/>
      <c r="B107" s="10"/>
      <c r="C107" s="10"/>
      <c r="D107" s="10"/>
      <c r="E107" s="24"/>
      <c r="F107" s="25"/>
      <c r="G107" s="21"/>
      <c r="H107" s="25"/>
      <c r="I107" s="14" t="str">
        <f t="shared" si="10"/>
        <v>-</v>
      </c>
      <c r="J107" s="10"/>
      <c r="K107" s="10"/>
      <c r="L107" s="46" t="str">
        <f t="shared" si="11"/>
        <v>-</v>
      </c>
      <c r="M107" s="34" t="str">
        <f t="shared" si="12"/>
        <v>-</v>
      </c>
    </row>
  </sheetData>
  <dataValidations count="1">
    <dataValidation type="list" allowBlank="1" sqref="K8:K107" xr:uid="{00000000-0002-0000-1100-000000000000}">
      <formula1>"W,L,P"</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F37"/>
  <sheetViews>
    <sheetView showGridLines="0" workbookViewId="0"/>
  </sheetViews>
  <sheetFormatPr defaultRowHeight="14.4" x14ac:dyDescent="0.3"/>
  <cols>
    <col min="1" max="1" width="82" customWidth="1"/>
    <col min="2" max="2" width="16" customWidth="1"/>
    <col min="3" max="6" width="14" customWidth="1"/>
  </cols>
  <sheetData>
    <row r="1" spans="1:6" ht="15" customHeight="1" x14ac:dyDescent="0.3">
      <c r="A1" s="1" t="s">
        <v>0</v>
      </c>
      <c r="B1" s="2"/>
      <c r="C1" s="2"/>
      <c r="D1" s="2"/>
      <c r="E1" s="2"/>
      <c r="F1" s="2"/>
    </row>
    <row r="2" spans="1:6" ht="15" customHeight="1" x14ac:dyDescent="0.3">
      <c r="A2" s="3" t="s">
        <v>1562</v>
      </c>
    </row>
    <row r="3" spans="1:6" ht="15" customHeight="1" x14ac:dyDescent="0.3">
      <c r="A3" s="4" t="s">
        <v>2</v>
      </c>
    </row>
    <row r="4" spans="1:6" ht="6" customHeight="1" x14ac:dyDescent="0.3"/>
    <row r="5" spans="1:6" ht="15" customHeight="1" x14ac:dyDescent="0.3"/>
    <row r="6" spans="1:6" ht="15" customHeight="1" x14ac:dyDescent="0.3"/>
    <row r="7" spans="1:6" ht="30" customHeight="1" x14ac:dyDescent="0.3">
      <c r="A7" s="11" t="s">
        <v>1563</v>
      </c>
      <c r="B7" s="11" t="s">
        <v>1564</v>
      </c>
      <c r="C7" s="11" t="s">
        <v>907</v>
      </c>
      <c r="E7" s="11" t="s">
        <v>1565</v>
      </c>
    </row>
    <row r="8" spans="1:6" ht="15" customHeight="1" x14ac:dyDescent="0.3">
      <c r="A8" s="6" t="s">
        <v>1566</v>
      </c>
      <c r="B8" s="18">
        <f>MAX(ABS(SUMIF(M_DeVig!$B$8:$B$694,"CLUTCH",M_DeVig!$Q$8:$Q$694)-IF(LEFT("CLUTCH",6)="PLAYIN",A_playin_slots,1)),ABS(SUMIF(M_DeVig!$B$8:$B$694,"CONF_EAST",M_DeVig!$Q$8:$Q$694)-IF(LEFT("CONF_EAST",6)="PLAYIN",A_playin_slots,1)),ABS(SUMIF(M_DeVig!$B$8:$B$694,"CONF_WEST",M_DeVig!$Q$8:$Q$694)-IF(LEFT("CONF_WEST",6)="PLAYIN",A_playin_slots,1)),ABS(SUMIF(M_DeVig!$B$8:$B$694,"COY",M_DeVig!$Q$8:$Q$694)-IF(LEFT("COY",6)="PLAYIN",A_playin_slots,1)),ABS(SUMIF(M_DeVig!$B$8:$B$694,"CUP",M_DeVig!$Q$8:$Q$694)-IF(LEFT("CUP",6)="PLAYIN",A_playin_slots,1)),ABS(SUMIF(M_DeVig!$B$8:$B$694,"CUP_EAST_A",M_DeVig!$Q$8:$Q$694)-IF(LEFT("CUP_EAST_A",6)="PLAYIN",A_playin_slots,1)),ABS(SUMIF(M_DeVig!$B$8:$B$694,"CUP_EAST_B",M_DeVig!$Q$8:$Q$694)-IF(LEFT("CUP_EAST_B",6)="PLAYIN",A_playin_slots,1)),ABS(SUMIF(M_DeVig!$B$8:$B$694,"CUP_EAST_C",M_DeVig!$Q$8:$Q$694)-IF(LEFT("CUP_EAST_C",6)="PLAYIN",A_playin_slots,1)),ABS(SUMIF(M_DeVig!$B$8:$B$694,"CUP_MVP",M_DeVig!$Q$8:$Q$694)-IF(LEFT("CUP_MVP",6)="PLAYIN",A_playin_slots,1)),ABS(SUMIF(M_DeVig!$B$8:$B$694,"CUP_WEST_A",M_DeVig!$Q$8:$Q$694)-IF(LEFT("CUP_WEST_A",6)="PLAYIN",A_playin_slots,1)),ABS(SUMIF(M_DeVig!$B$8:$B$694,"CUP_WEST_B",M_DeVig!$Q$8:$Q$694)-IF(LEFT("CUP_WEST_B",6)="PLAYIN",A_playin_slots,1)),ABS(SUMIF(M_DeVig!$B$8:$B$694,"CUP_WEST_C",M_DeVig!$Q$8:$Q$694)-IF(LEFT("CUP_WEST_C",6)="PLAYIN",A_playin_slots,1)),ABS(SUMIF(M_DeVig!$B$8:$B$694,"DIV_ATLANTIC",M_DeVig!$Q$8:$Q$694)-IF(LEFT("DIV_ATLANTIC",6)="PLAYIN",A_playin_slots,1)),ABS(SUMIF(M_DeVig!$B$8:$B$694,"DIV_CENTRAL",M_DeVig!$Q$8:$Q$694)-IF(LEFT("DIV_CENTRAL",6)="PLAYIN",A_playin_slots,1)),ABS(SUMIF(M_DeVig!$B$8:$B$694,"DIV_NORTHWEST",M_DeVig!$Q$8:$Q$694)-IF(LEFT("DIV_NORTHWEST",6)="PLAYIN",A_playin_slots,1)),ABS(SUMIF(M_DeVig!$B$8:$B$694,"DIV_PACIFIC",M_DeVig!$Q$8:$Q$694)-IF(LEFT("DIV_PACIFIC",6)="PLAYIN",A_playin_slots,1)),ABS(SUMIF(M_DeVig!$B$8:$B$694,"DIV_SOUTHEAST",M_DeVig!$Q$8:$Q$694)-IF(LEFT("DIV_SOUTHEAST",6)="PLAYIN",A_playin_slots,1)),ABS(SUMIF(M_DeVig!$B$8:$B$694,"DIV_SOUTHWEST",M_DeVig!$Q$8:$Q$694)-IF(LEFT("DIV_SOUTHWEST",6)="PLAYIN",A_playin_slots,1)),ABS(SUMIF(M_DeVig!$B$8:$B$694,"DPOY",M_DeVig!$Q$8:$Q$694)-IF(LEFT("DPOY",6)="PLAYIN",A_playin_slots,1)),ABS(SUMIF(M_DeVig!$B$8:$B$694,"LDR_APG",M_DeVig!$Q$8:$Q$694)-IF(LEFT("LDR_APG",6)="PLAYIN",A_playin_slots,1)),ABS(SUMIF(M_DeVig!$B$8:$B$694,"LDR_BPG",M_DeVig!$Q$8:$Q$694)-IF(LEFT("LDR_BPG",6)="PLAYIN",A_playin_slots,1)),ABS(SUMIF(M_DeVig!$B$8:$B$694,"LDR_PPG",M_DeVig!$Q$8:$Q$694)-IF(LEFT("LDR_PPG",6)="PLAYIN",A_playin_slots,1)),ABS(SUMIF(M_DeVig!$B$8:$B$694,"LDR_RPG",M_DeVig!$Q$8:$Q$694)-IF(LEFT("LDR_RPG",6)="PLAYIN",A_playin_slots,1)),ABS(SUMIF(M_DeVig!$B$8:$B$694,"LDR_SPG",M_DeVig!$Q$8:$Q$694)-IF(LEFT("LDR_SPG",6)="PLAYIN",A_playin_slots,1)),ABS(SUMIF(M_DeVig!$B$8:$B$694,"LDR_TPG",M_DeVig!$Q$8:$Q$694)-IF(LEFT("LDR_TPG",6)="PLAYIN",A_playin_slots,1)),ABS(SUMIF(M_DeVig!$B$8:$B$694,"MIP",M_DeVig!$Q$8:$Q$694)-IF(LEFT("MIP",6)="PLAYIN",A_playin_slots,1)),ABS(SUMIF(M_DeVig!$B$8:$B$694,"MVP",M_DeVig!$Q$8:$Q$694)-IF(LEFT("MVP",6)="PLAYIN",A_playin_slots,1)),ABS(SUMIF(M_DeVig!$B$8:$B$694,"PLAYIN_EAST",M_DeVig!$Q$8:$Q$694)-IF(LEFT("PLAYIN_EAST",6)="PLAYIN",A_playin_slots,1)),ABS(SUMIF(M_DeVig!$B$8:$B$694,"PLAYIN_WEST",M_DeVig!$Q$8:$Q$694)-IF(LEFT("PLAYIN_WEST",6)="PLAYIN",A_playin_slots,1)),ABS(SUMIF(M_DeVig!$B$8:$B$694,"ROY",M_DeVig!$Q$8:$Q$694)-IF(LEFT("ROY",6)="PLAYIN",A_playin_slots,1)),ABS(SUMIF(M_DeVig!$B$8:$B$694,"SMOY",M_DeVig!$Q$8:$Q$694)-IF(LEFT("SMOY",6)="PLAYIN",A_playin_slots,1)),ABS(SUMIF(M_DeVig!$B$8:$B$694,"TITLE",M_DeVig!$Q$8:$Q$694)-IF(LEFT("TITLE",6)="PLAYIN",A_playin_slots,1)))</f>
        <v>3.9203484902827768E-9</v>
      </c>
      <c r="C8" s="6" t="str">
        <f t="shared" ref="C8:C19" si="0">IF(ABS(B8)&lt;0.0001,"OK","CHECK")</f>
        <v>OK</v>
      </c>
      <c r="E8" s="16">
        <v>687</v>
      </c>
    </row>
    <row r="9" spans="1:6" ht="15" customHeight="1" x14ac:dyDescent="0.3">
      <c r="A9" s="6" t="s">
        <v>1567</v>
      </c>
      <c r="B9" s="18">
        <f>SUMPRODUCT(((M_DeVig!$B$8:$B$694="WINS")+(M_DeVig!$B$8:$B$694="PLAYOFFS"))*(ABS(SUMIF(M_DeVig!$G$8:$G$694,M_DeVig!$G$8:$G$694,M_DeVig!$Q$8:$Q$694)-1)&gt;0.000001))</f>
        <v>0</v>
      </c>
      <c r="C9" s="6" t="str">
        <f t="shared" si="0"/>
        <v>OK</v>
      </c>
    </row>
    <row r="10" spans="1:6" ht="15" customHeight="1" x14ac:dyDescent="0.3">
      <c r="A10" s="6" t="s">
        <v>1568</v>
      </c>
      <c r="B10" s="18">
        <f>ABS(SUM(M_Sims!$I$15:$I$44)-1)</f>
        <v>2.2204460492503131E-16</v>
      </c>
      <c r="C10" s="6" t="str">
        <f t="shared" si="0"/>
        <v>OK</v>
      </c>
    </row>
    <row r="11" spans="1:6" ht="15" customHeight="1" x14ac:dyDescent="0.3">
      <c r="A11" s="6" t="s">
        <v>1569</v>
      </c>
      <c r="B11" s="18">
        <f>ABS(SUM(M_Sims!$H$15:$H$44)-2)</f>
        <v>0</v>
      </c>
      <c r="C11" s="6" t="str">
        <f t="shared" si="0"/>
        <v>OK</v>
      </c>
    </row>
    <row r="12" spans="1:6" ht="15" customHeight="1" x14ac:dyDescent="0.3">
      <c r="A12" s="6" t="s">
        <v>1570</v>
      </c>
      <c r="B12" s="18">
        <f>ABS(SUM(M_Sims!$G$15:$G$44)-6)</f>
        <v>8.8817841970012523E-16</v>
      </c>
      <c r="C12" s="6" t="str">
        <f t="shared" si="0"/>
        <v>OK</v>
      </c>
    </row>
    <row r="13" spans="1:6" ht="15" customHeight="1" x14ac:dyDescent="0.3">
      <c r="A13" s="6" t="s">
        <v>1571</v>
      </c>
      <c r="B13" s="18">
        <f>ABS(SUM(M_Sims!$K$15:$K$44)-1)</f>
        <v>0</v>
      </c>
      <c r="C13" s="6" t="str">
        <f t="shared" si="0"/>
        <v>OK</v>
      </c>
    </row>
    <row r="14" spans="1:6" ht="15" customHeight="1" x14ac:dyDescent="0.3">
      <c r="A14" s="6" t="s">
        <v>1572</v>
      </c>
      <c r="B14" s="18">
        <f>ABS(SUM(M_Sims!$J$15:$J$44)-6)</f>
        <v>1.7763568394002505E-15</v>
      </c>
      <c r="C14" s="6" t="str">
        <f t="shared" si="0"/>
        <v>OK</v>
      </c>
    </row>
    <row r="15" spans="1:6" ht="15" customHeight="1" x14ac:dyDescent="0.3">
      <c r="A15" s="6" t="s">
        <v>1573</v>
      </c>
      <c r="B15" s="18">
        <f>ABS(M_TeamRatings!K38-A_leaguew)</f>
        <v>0</v>
      </c>
      <c r="C15" s="6" t="str">
        <f t="shared" si="0"/>
        <v>OK</v>
      </c>
    </row>
    <row r="16" spans="1:6" ht="15" customHeight="1" x14ac:dyDescent="0.3">
      <c r="A16" s="6" t="s">
        <v>1574</v>
      </c>
      <c r="B16" s="18">
        <f>SUMPRODUCT(--(M_Sims!$F$15:$F$44&gt;M_Sims!$D$15:$D$44+0.000001))</f>
        <v>0</v>
      </c>
      <c r="C16" s="6" t="str">
        <f t="shared" si="0"/>
        <v>OK</v>
      </c>
    </row>
    <row r="17" spans="1:3" ht="15" customHeight="1" x14ac:dyDescent="0.3">
      <c r="A17" s="6" t="s">
        <v>1575</v>
      </c>
      <c r="B17" s="18">
        <f>SUMPRODUCT(--(M_Sims!$H$15:$H$44&gt;M_Sims!$D$15:$D$44+0.000001))</f>
        <v>0</v>
      </c>
      <c r="C17" s="6" t="str">
        <f t="shared" si="0"/>
        <v>OK</v>
      </c>
    </row>
    <row r="18" spans="1:3" ht="15" customHeight="1" x14ac:dyDescent="0.3">
      <c r="A18" s="6" t="s">
        <v>1576</v>
      </c>
      <c r="B18" s="18">
        <f>SUMPRODUCT(--(M_Sims!$I$15:$I$44&gt;M_Sims!$H$15:$H$44+0.000001))</f>
        <v>0</v>
      </c>
      <c r="C18" s="6" t="str">
        <f t="shared" si="0"/>
        <v>OK</v>
      </c>
    </row>
    <row r="19" spans="1:3" ht="15" customHeight="1" x14ac:dyDescent="0.3">
      <c r="A19" s="6" t="s">
        <v>1577</v>
      </c>
      <c r="B19" s="18">
        <f>COUNTA(Odds_Input!$B$8:$B$694)-$E$8</f>
        <v>0</v>
      </c>
      <c r="C19" s="6" t="str">
        <f t="shared" si="0"/>
        <v>OK</v>
      </c>
    </row>
    <row r="20" spans="1:3" ht="15" customHeight="1" x14ac:dyDescent="0.3">
      <c r="A20" s="6" t="s">
        <v>1578</v>
      </c>
      <c r="B20" s="18">
        <f>COUNTIF(Odds_Input!$G$8:$G$694,"IMPUTED_20C_LADDER")</f>
        <v>4</v>
      </c>
      <c r="C20" s="6" t="str">
        <f>"INFO"</f>
        <v>INFO</v>
      </c>
    </row>
    <row r="21" spans="1:3" ht="15" customHeight="1" x14ac:dyDescent="0.3">
      <c r="A21" s="6" t="s">
        <v>1579</v>
      </c>
      <c r="B21" s="18">
        <f>COUNTIF(Odds_Input!$G$8:$G$694,"BACKFILL*")</f>
        <v>11</v>
      </c>
      <c r="C21" s="6" t="str">
        <f>"INFO"</f>
        <v>INFO</v>
      </c>
    </row>
    <row r="22" spans="1:3" ht="15" customHeight="1" x14ac:dyDescent="0.3">
      <c r="A22" s="6" t="s">
        <v>1580</v>
      </c>
      <c r="B22" s="18">
        <f>MAX(INDEX(ABS(M_TeamRatings!T8:T37),0))</f>
        <v>0</v>
      </c>
      <c r="C22" s="6" t="str">
        <f>IF(ABS(B22)&lt;0.0001,"OK","CHECK")</f>
        <v>OK</v>
      </c>
    </row>
    <row r="23" spans="1:3" ht="15" customHeight="1" x14ac:dyDescent="0.3">
      <c r="A23" s="6" t="s">
        <v>1581</v>
      </c>
      <c r="B23" s="18">
        <f>COUNTIF(M_WinDist!I8:I37,"CHECK*")</f>
        <v>2</v>
      </c>
      <c r="C23" s="6" t="str">
        <f>IF(B23=0,"OK","FLAG")</f>
        <v>FLAG</v>
      </c>
    </row>
    <row r="24" spans="1:3" ht="15" customHeight="1" x14ac:dyDescent="0.3">
      <c r="A24" s="6" t="s">
        <v>1582</v>
      </c>
      <c r="B24" s="18">
        <f>IF(A_HashCurrent=M_Sims!B9,0,1)</f>
        <v>0</v>
      </c>
      <c r="C24" s="6" t="str">
        <f t="shared" ref="C24:C35" si="1">IF(ABS(B24)&lt;0.0001,"OK","CHECK")</f>
        <v>OK</v>
      </c>
    </row>
    <row r="25" spans="1:3" ht="15" customHeight="1" x14ac:dyDescent="0.3">
      <c r="A25" s="6" t="s">
        <v>1583</v>
      </c>
      <c r="B25" s="18">
        <f>COUNTIF(S_Markets!$AH$8:$AH$763,TRUE)+COUNTIF(M_Players!$O$8:$O$243,TRUE)-M_Sims!B12-M_Players!$B$6</f>
        <v>0</v>
      </c>
      <c r="C25" s="6" t="str">
        <f t="shared" si="1"/>
        <v>OK</v>
      </c>
    </row>
    <row r="26" spans="1:3" ht="15" customHeight="1" x14ac:dyDescent="0.3">
      <c r="A26" s="6" t="s">
        <v>1584</v>
      </c>
      <c r="B26" s="18">
        <f>COUNTIF(S_Markets!$W$8:$W$763,TRUE)-M_Sims!D12</f>
        <v>0</v>
      </c>
      <c r="C26" s="6" t="str">
        <f t="shared" si="1"/>
        <v>OK</v>
      </c>
    </row>
    <row r="27" spans="1:3" ht="15" customHeight="1" x14ac:dyDescent="0.3">
      <c r="A27" s="6" t="s">
        <v>1585</v>
      </c>
      <c r="B27" s="18">
        <f>MAX(0,Exposure!B14+Exposure!B15-A_t1_cap)</f>
        <v>0</v>
      </c>
      <c r="C27" s="6" t="str">
        <f t="shared" si="1"/>
        <v>OK</v>
      </c>
    </row>
    <row r="28" spans="1:3" ht="15" customHeight="1" x14ac:dyDescent="0.3">
      <c r="A28" s="6" t="s">
        <v>1586</v>
      </c>
      <c r="B28" s="18">
        <f>SUMPRODUCT(--ISERROR(M_DeVig!A8:S694))</f>
        <v>0</v>
      </c>
      <c r="C28" s="6" t="str">
        <f t="shared" si="1"/>
        <v>OK</v>
      </c>
    </row>
    <row r="29" spans="1:3" ht="15" customHeight="1" x14ac:dyDescent="0.3">
      <c r="A29" s="6" t="s">
        <v>1587</v>
      </c>
      <c r="B29" s="18">
        <f>SUMPRODUCT(--ISERROR(M_TeamRatings!A8:T37))</f>
        <v>0</v>
      </c>
      <c r="C29" s="6" t="str">
        <f t="shared" si="1"/>
        <v>OK</v>
      </c>
    </row>
    <row r="30" spans="1:3" ht="15" customHeight="1" x14ac:dyDescent="0.3">
      <c r="A30" s="6" t="s">
        <v>1588</v>
      </c>
      <c r="B30" s="18">
        <f>SUMPRODUCT(--ISERROR(M_WinDist!A8:N37))</f>
        <v>0</v>
      </c>
      <c r="C30" s="6" t="str">
        <f t="shared" si="1"/>
        <v>OK</v>
      </c>
    </row>
    <row r="31" spans="1:3" ht="15" customHeight="1" x14ac:dyDescent="0.3">
      <c r="A31" s="6" t="s">
        <v>1589</v>
      </c>
      <c r="B31" s="18">
        <f>SUMPRODUCT(--ISERROR(S_Markets!A8:AA763))</f>
        <v>0</v>
      </c>
      <c r="C31" s="6" t="str">
        <f t="shared" si="1"/>
        <v>OK</v>
      </c>
    </row>
    <row r="32" spans="1:3" ht="15" customHeight="1" x14ac:dyDescent="0.3">
      <c r="A32" s="6" t="s">
        <v>1590</v>
      </c>
      <c r="B32" s="18">
        <f>SUMPRODUCT(--ISERROR(Bet_Card!A8:P80))</f>
        <v>0</v>
      </c>
      <c r="C32" s="6" t="str">
        <f t="shared" si="1"/>
        <v>OK</v>
      </c>
    </row>
    <row r="33" spans="1:3" ht="15" customHeight="1" x14ac:dyDescent="0.3">
      <c r="A33" s="6" t="s">
        <v>1591</v>
      </c>
      <c r="B33" s="18">
        <f>SUMPRODUCT(--ISERROR(Tier1_Card!A8:N60))</f>
        <v>0</v>
      </c>
      <c r="C33" s="6" t="str">
        <f t="shared" si="1"/>
        <v>OK</v>
      </c>
    </row>
    <row r="34" spans="1:3" ht="15" customHeight="1" x14ac:dyDescent="0.3">
      <c r="A34" s="6" t="s">
        <v>1592</v>
      </c>
      <c r="B34" s="18">
        <f>SUMPRODUCT(--ISERROR(Exposure!A8:C58))</f>
        <v>0</v>
      </c>
      <c r="C34" s="6" t="str">
        <f t="shared" si="1"/>
        <v>OK</v>
      </c>
    </row>
    <row r="35" spans="1:3" ht="15" customHeight="1" x14ac:dyDescent="0.3">
      <c r="A35" s="6" t="s">
        <v>1593</v>
      </c>
      <c r="B35" s="18">
        <f>SUMPRODUCT(--ISERROR(Dashboard!A6:D80))</f>
        <v>0</v>
      </c>
      <c r="C35" s="6" t="str">
        <f t="shared" si="1"/>
        <v>OK</v>
      </c>
    </row>
    <row r="36" spans="1:3" ht="15" customHeight="1" x14ac:dyDescent="0.3"/>
    <row r="37" spans="1:3" ht="15" customHeight="1" x14ac:dyDescent="0.3">
      <c r="A37" s="39" t="s">
        <v>1594</v>
      </c>
      <c r="B37" s="61">
        <f>COUNTIF(C8:C35,"CHECK")</f>
        <v>0</v>
      </c>
      <c r="C37" s="40"/>
    </row>
  </sheetData>
  <conditionalFormatting sqref="B8:B35">
    <cfRule type="cellIs" dxfId="1" priority="1" operator="lessThan">
      <formula>0.0001</formula>
    </cfRule>
    <cfRule type="cellIs" dxfId="0" priority="2" operator="greaterThanOrEqual">
      <formula>0.0001</formula>
    </cfRule>
  </conditionalFormatting>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G105"/>
  <sheetViews>
    <sheetView showGridLines="0" workbookViewId="0"/>
  </sheetViews>
  <sheetFormatPr defaultRowHeight="14.4" x14ac:dyDescent="0.3"/>
  <cols>
    <col min="1" max="1" width="24" customWidth="1"/>
    <col min="2" max="2" width="60" customWidth="1"/>
    <col min="3" max="3" width="28" customWidth="1"/>
    <col min="4" max="5" width="14" customWidth="1"/>
    <col min="6" max="6" width="50" customWidth="1"/>
    <col min="7" max="7" width="60" customWidth="1"/>
  </cols>
  <sheetData>
    <row r="1" spans="1:7" ht="15" customHeight="1" x14ac:dyDescent="0.3">
      <c r="A1" s="1" t="s">
        <v>0</v>
      </c>
      <c r="B1" s="2"/>
      <c r="C1" s="2"/>
      <c r="D1" s="2"/>
      <c r="E1" s="2"/>
      <c r="F1" s="2"/>
      <c r="G1" s="2"/>
    </row>
    <row r="2" spans="1:7" ht="15" customHeight="1" x14ac:dyDescent="0.3">
      <c r="A2" s="3" t="s">
        <v>1595</v>
      </c>
    </row>
    <row r="3" spans="1:7" ht="15" customHeight="1" x14ac:dyDescent="0.3">
      <c r="A3" s="4" t="s">
        <v>2</v>
      </c>
    </row>
    <row r="4" spans="1:7" ht="6" customHeight="1" x14ac:dyDescent="0.3"/>
    <row r="5" spans="1:7" ht="15" customHeight="1" x14ac:dyDescent="0.3"/>
    <row r="6" spans="1:7" ht="15" customHeight="1" x14ac:dyDescent="0.3"/>
    <row r="7" spans="1:7" ht="30" customHeight="1" x14ac:dyDescent="0.3">
      <c r="A7" s="11" t="s">
        <v>975</v>
      </c>
      <c r="B7" s="11" t="s">
        <v>1596</v>
      </c>
      <c r="C7" s="11" t="s">
        <v>1597</v>
      </c>
      <c r="D7" s="11" t="s">
        <v>1598</v>
      </c>
      <c r="E7" s="11" t="s">
        <v>907</v>
      </c>
      <c r="F7" s="11" t="s">
        <v>1599</v>
      </c>
      <c r="G7" s="11" t="s">
        <v>1600</v>
      </c>
    </row>
    <row r="8" spans="1:7" ht="15" customHeight="1" x14ac:dyDescent="0.3">
      <c r="A8" s="10" t="s">
        <v>1601</v>
      </c>
      <c r="B8" s="10" t="s">
        <v>1602</v>
      </c>
      <c r="C8" s="10" t="s">
        <v>1603</v>
      </c>
      <c r="D8" s="16">
        <v>1009</v>
      </c>
      <c r="E8" s="10" t="s">
        <v>1604</v>
      </c>
      <c r="F8" s="10" t="s">
        <v>33</v>
      </c>
      <c r="G8" s="10" t="s">
        <v>1605</v>
      </c>
    </row>
    <row r="9" spans="1:7" ht="15" customHeight="1" x14ac:dyDescent="0.3">
      <c r="A9" s="10" t="s">
        <v>1606</v>
      </c>
      <c r="B9" s="10" t="s">
        <v>1607</v>
      </c>
      <c r="C9" s="10" t="s">
        <v>1608</v>
      </c>
      <c r="D9" s="16">
        <v>5837</v>
      </c>
      <c r="E9" s="10" t="s">
        <v>1604</v>
      </c>
      <c r="F9" s="10" t="s">
        <v>33</v>
      </c>
      <c r="G9" s="10" t="s">
        <v>1609</v>
      </c>
    </row>
    <row r="10" spans="1:7" ht="15" customHeight="1" x14ac:dyDescent="0.3">
      <c r="A10" s="10" t="s">
        <v>1610</v>
      </c>
      <c r="B10" s="10" t="s">
        <v>1611</v>
      </c>
      <c r="C10" s="10" t="s">
        <v>1612</v>
      </c>
      <c r="D10" s="16">
        <v>1</v>
      </c>
      <c r="E10" s="10" t="s">
        <v>1604</v>
      </c>
      <c r="F10" s="10" t="s">
        <v>33</v>
      </c>
      <c r="G10" s="10" t="s">
        <v>1605</v>
      </c>
    </row>
    <row r="11" spans="1:7" ht="15" customHeight="1" x14ac:dyDescent="0.3">
      <c r="A11" s="10" t="s">
        <v>1613</v>
      </c>
      <c r="B11" s="10" t="s">
        <v>1611</v>
      </c>
      <c r="C11" s="10" t="s">
        <v>1612</v>
      </c>
      <c r="D11" s="16">
        <v>1</v>
      </c>
      <c r="E11" s="10" t="s">
        <v>1604</v>
      </c>
      <c r="F11" s="10" t="s">
        <v>33</v>
      </c>
      <c r="G11" s="10" t="s">
        <v>1605</v>
      </c>
    </row>
    <row r="12" spans="1:7" ht="15" customHeight="1" x14ac:dyDescent="0.3">
      <c r="A12" s="10" t="s">
        <v>1614</v>
      </c>
      <c r="B12" s="10" t="s">
        <v>1615</v>
      </c>
      <c r="C12" s="10" t="s">
        <v>1612</v>
      </c>
      <c r="D12" s="16">
        <v>10</v>
      </c>
      <c r="E12" s="10" t="s">
        <v>1604</v>
      </c>
      <c r="F12" s="10" t="s">
        <v>33</v>
      </c>
      <c r="G12" s="10" t="s">
        <v>1605</v>
      </c>
    </row>
    <row r="13" spans="1:7" ht="15" customHeight="1" x14ac:dyDescent="0.3">
      <c r="A13" s="10" t="s">
        <v>1616</v>
      </c>
      <c r="B13" s="10" t="s">
        <v>1611</v>
      </c>
      <c r="C13" s="10" t="s">
        <v>1612</v>
      </c>
      <c r="D13" s="16">
        <v>1</v>
      </c>
      <c r="E13" s="10" t="s">
        <v>1604</v>
      </c>
      <c r="F13" s="10" t="s">
        <v>33</v>
      </c>
      <c r="G13" s="10" t="s">
        <v>1605</v>
      </c>
    </row>
    <row r="14" spans="1:7" ht="15" customHeight="1" x14ac:dyDescent="0.3">
      <c r="A14" s="10" t="s">
        <v>1617</v>
      </c>
      <c r="B14" s="10" t="s">
        <v>1611</v>
      </c>
      <c r="C14" s="10" t="s">
        <v>1612</v>
      </c>
      <c r="D14" s="16">
        <v>1</v>
      </c>
      <c r="E14" s="10" t="s">
        <v>1604</v>
      </c>
      <c r="F14" s="10" t="s">
        <v>33</v>
      </c>
      <c r="G14" s="10" t="s">
        <v>1605</v>
      </c>
    </row>
    <row r="15" spans="1:7" ht="15" customHeight="1" x14ac:dyDescent="0.3">
      <c r="A15" s="10" t="s">
        <v>1618</v>
      </c>
      <c r="B15" s="10" t="s">
        <v>1615</v>
      </c>
      <c r="C15" s="10" t="s">
        <v>1612</v>
      </c>
      <c r="D15" s="16">
        <v>324</v>
      </c>
      <c r="E15" s="10" t="s">
        <v>1604</v>
      </c>
      <c r="F15" s="10" t="s">
        <v>33</v>
      </c>
      <c r="G15" s="10" t="s">
        <v>1605</v>
      </c>
    </row>
    <row r="16" spans="1:7" ht="15" customHeight="1" x14ac:dyDescent="0.3">
      <c r="A16" s="10" t="s">
        <v>1619</v>
      </c>
      <c r="B16" s="10" t="s">
        <v>1611</v>
      </c>
      <c r="C16" s="10" t="s">
        <v>1612</v>
      </c>
      <c r="D16" s="16">
        <v>1</v>
      </c>
      <c r="E16" s="10" t="s">
        <v>1604</v>
      </c>
      <c r="F16" s="10" t="s">
        <v>33</v>
      </c>
      <c r="G16" s="10" t="s">
        <v>1605</v>
      </c>
    </row>
    <row r="17" spans="1:7" ht="15" customHeight="1" x14ac:dyDescent="0.3">
      <c r="A17" s="10" t="s">
        <v>1620</v>
      </c>
      <c r="B17" s="10" t="s">
        <v>1611</v>
      </c>
      <c r="C17" s="10" t="s">
        <v>1612</v>
      </c>
      <c r="D17" s="16">
        <v>1</v>
      </c>
      <c r="E17" s="10" t="s">
        <v>1604</v>
      </c>
      <c r="F17" s="10" t="s">
        <v>33</v>
      </c>
      <c r="G17" s="10" t="s">
        <v>1605</v>
      </c>
    </row>
    <row r="18" spans="1:7" ht="15" customHeight="1" x14ac:dyDescent="0.3">
      <c r="A18" s="10" t="s">
        <v>1621</v>
      </c>
      <c r="B18" s="10" t="s">
        <v>1615</v>
      </c>
      <c r="C18" s="10" t="s">
        <v>1612</v>
      </c>
      <c r="D18" s="16">
        <v>242</v>
      </c>
      <c r="E18" s="10" t="s">
        <v>1604</v>
      </c>
      <c r="F18" s="10" t="s">
        <v>33</v>
      </c>
      <c r="G18" s="10" t="s">
        <v>1605</v>
      </c>
    </row>
    <row r="19" spans="1:7" ht="15" customHeight="1" x14ac:dyDescent="0.3">
      <c r="A19" s="10" t="s">
        <v>1622</v>
      </c>
      <c r="B19" s="10" t="s">
        <v>1611</v>
      </c>
      <c r="C19" s="10" t="s">
        <v>1612</v>
      </c>
      <c r="D19" s="16">
        <v>1</v>
      </c>
      <c r="E19" s="10" t="s">
        <v>1604</v>
      </c>
      <c r="F19" s="10" t="s">
        <v>33</v>
      </c>
      <c r="G19" s="10" t="s">
        <v>1605</v>
      </c>
    </row>
    <row r="20" spans="1:7" ht="15" customHeight="1" x14ac:dyDescent="0.3">
      <c r="A20" s="10" t="s">
        <v>1623</v>
      </c>
      <c r="B20" s="10" t="s">
        <v>1611</v>
      </c>
      <c r="C20" s="10" t="s">
        <v>1612</v>
      </c>
      <c r="D20" s="16">
        <v>1</v>
      </c>
      <c r="E20" s="10" t="s">
        <v>1604</v>
      </c>
      <c r="F20" s="10" t="s">
        <v>33</v>
      </c>
      <c r="G20" s="10" t="s">
        <v>1605</v>
      </c>
    </row>
    <row r="21" spans="1:7" ht="15" customHeight="1" x14ac:dyDescent="0.3">
      <c r="A21" s="10" t="s">
        <v>1624</v>
      </c>
      <c r="B21" s="10" t="s">
        <v>1625</v>
      </c>
      <c r="C21" s="10" t="s">
        <v>1626</v>
      </c>
      <c r="D21" s="16">
        <v>63122</v>
      </c>
      <c r="E21" s="10" t="s">
        <v>1604</v>
      </c>
      <c r="F21" s="10" t="s">
        <v>33</v>
      </c>
      <c r="G21" s="10" t="s">
        <v>1627</v>
      </c>
    </row>
    <row r="22" spans="1:7" ht="15" customHeight="1" x14ac:dyDescent="0.3">
      <c r="A22" s="10" t="s">
        <v>1628</v>
      </c>
      <c r="B22" s="10" t="s">
        <v>1615</v>
      </c>
      <c r="C22" s="10" t="s">
        <v>1629</v>
      </c>
      <c r="D22" s="16">
        <v>31</v>
      </c>
      <c r="E22" s="10" t="s">
        <v>1604</v>
      </c>
      <c r="F22" s="10" t="s">
        <v>33</v>
      </c>
      <c r="G22" s="10" t="s">
        <v>1605</v>
      </c>
    </row>
    <row r="23" spans="1:7" ht="15" customHeight="1" x14ac:dyDescent="0.3">
      <c r="A23" s="10" t="s">
        <v>1630</v>
      </c>
      <c r="B23" s="10" t="s">
        <v>1631</v>
      </c>
      <c r="C23" s="10" t="s">
        <v>1632</v>
      </c>
      <c r="D23" s="16">
        <v>1</v>
      </c>
      <c r="E23" s="10" t="s">
        <v>1604</v>
      </c>
      <c r="F23" s="10" t="s">
        <v>33</v>
      </c>
      <c r="G23" s="10" t="s">
        <v>1605</v>
      </c>
    </row>
    <row r="24" spans="1:7" ht="15" customHeight="1" x14ac:dyDescent="0.3">
      <c r="A24" s="10" t="s">
        <v>1633</v>
      </c>
      <c r="B24" s="10" t="s">
        <v>1634</v>
      </c>
      <c r="C24" s="10" t="s">
        <v>1635</v>
      </c>
      <c r="D24" s="16">
        <v>33</v>
      </c>
      <c r="E24" s="10" t="s">
        <v>1604</v>
      </c>
      <c r="F24" s="10" t="s">
        <v>33</v>
      </c>
      <c r="G24" s="10" t="s">
        <v>1605</v>
      </c>
    </row>
    <row r="25" spans="1:7" ht="15" customHeight="1" x14ac:dyDescent="0.3">
      <c r="A25" s="10" t="s">
        <v>1636</v>
      </c>
      <c r="B25" s="10" t="s">
        <v>1637</v>
      </c>
      <c r="C25" s="10" t="s">
        <v>1638</v>
      </c>
      <c r="D25" s="16">
        <v>1</v>
      </c>
      <c r="E25" s="10" t="s">
        <v>1604</v>
      </c>
      <c r="F25" s="10" t="s">
        <v>33</v>
      </c>
      <c r="G25" s="10" t="s">
        <v>1605</v>
      </c>
    </row>
    <row r="26" spans="1:7" ht="15" customHeight="1" x14ac:dyDescent="0.3">
      <c r="A26" s="10" t="s">
        <v>1639</v>
      </c>
      <c r="B26" s="10" t="s">
        <v>1602</v>
      </c>
      <c r="C26" s="10" t="s">
        <v>1640</v>
      </c>
      <c r="D26" s="16">
        <v>1</v>
      </c>
      <c r="E26" s="10" t="s">
        <v>1604</v>
      </c>
      <c r="F26" s="10" t="s">
        <v>33</v>
      </c>
      <c r="G26" s="10" t="s">
        <v>1605</v>
      </c>
    </row>
    <row r="27" spans="1:7" ht="15" customHeight="1" x14ac:dyDescent="0.3">
      <c r="A27" s="10" t="s">
        <v>1641</v>
      </c>
      <c r="B27" s="10" t="s">
        <v>1642</v>
      </c>
      <c r="C27" s="10" t="s">
        <v>1643</v>
      </c>
      <c r="D27" s="16">
        <v>530</v>
      </c>
      <c r="E27" s="10" t="s">
        <v>1604</v>
      </c>
      <c r="F27" s="10" t="s">
        <v>33</v>
      </c>
      <c r="G27" s="10" t="s">
        <v>1644</v>
      </c>
    </row>
    <row r="28" spans="1:7" ht="15" customHeight="1" x14ac:dyDescent="0.3">
      <c r="A28" s="10" t="s">
        <v>1645</v>
      </c>
      <c r="B28" s="10" t="s">
        <v>1646</v>
      </c>
      <c r="C28" s="10" t="s">
        <v>1647</v>
      </c>
      <c r="D28" s="16">
        <v>896</v>
      </c>
      <c r="E28" s="10" t="s">
        <v>1604</v>
      </c>
      <c r="F28" s="10" t="s">
        <v>33</v>
      </c>
      <c r="G28" s="10" t="s">
        <v>1609</v>
      </c>
    </row>
    <row r="29" spans="1:7" ht="15" customHeight="1" x14ac:dyDescent="0.3">
      <c r="A29" s="10" t="s">
        <v>1648</v>
      </c>
      <c r="B29" s="10" t="s">
        <v>1602</v>
      </c>
      <c r="C29" s="10" t="s">
        <v>1640</v>
      </c>
      <c r="D29" s="16">
        <v>840</v>
      </c>
      <c r="E29" s="10" t="s">
        <v>1604</v>
      </c>
      <c r="F29" s="10" t="s">
        <v>33</v>
      </c>
      <c r="G29" s="10" t="s">
        <v>1605</v>
      </c>
    </row>
    <row r="30" spans="1:7" ht="15" customHeight="1" x14ac:dyDescent="0.3">
      <c r="A30" s="10" t="s">
        <v>1649</v>
      </c>
      <c r="B30" s="10" t="s">
        <v>1650</v>
      </c>
      <c r="C30" s="10" t="s">
        <v>1651</v>
      </c>
      <c r="D30" s="16">
        <v>3086</v>
      </c>
      <c r="E30" s="10" t="s">
        <v>1604</v>
      </c>
      <c r="F30" s="10" t="s">
        <v>1652</v>
      </c>
      <c r="G30" s="10" t="s">
        <v>1653</v>
      </c>
    </row>
    <row r="31" spans="1:7" ht="15" customHeight="1" x14ac:dyDescent="0.3">
      <c r="A31" s="10" t="s">
        <v>1654</v>
      </c>
      <c r="B31" s="10" t="s">
        <v>1655</v>
      </c>
      <c r="C31" s="10" t="s">
        <v>1656</v>
      </c>
      <c r="D31" s="16">
        <v>1</v>
      </c>
      <c r="E31" s="10" t="s">
        <v>1604</v>
      </c>
      <c r="F31" s="10" t="s">
        <v>33</v>
      </c>
      <c r="G31" s="10" t="s">
        <v>1605</v>
      </c>
    </row>
    <row r="32" spans="1:7" ht="15" customHeight="1" x14ac:dyDescent="0.3">
      <c r="A32" s="10" t="s">
        <v>1657</v>
      </c>
      <c r="B32" s="10" t="s">
        <v>1658</v>
      </c>
      <c r="C32" s="10" t="s">
        <v>1659</v>
      </c>
      <c r="D32" s="16">
        <v>15974</v>
      </c>
      <c r="E32" s="10" t="s">
        <v>1604</v>
      </c>
      <c r="F32" s="10" t="s">
        <v>33</v>
      </c>
      <c r="G32" s="10" t="s">
        <v>1605</v>
      </c>
    </row>
    <row r="33" spans="1:7" ht="15" customHeight="1" x14ac:dyDescent="0.3">
      <c r="A33" s="10" t="s">
        <v>100</v>
      </c>
      <c r="B33" s="10" t="s">
        <v>1660</v>
      </c>
      <c r="C33" s="10" t="s">
        <v>1661</v>
      </c>
      <c r="D33" s="16">
        <v>16921</v>
      </c>
      <c r="E33" s="10" t="s">
        <v>1604</v>
      </c>
      <c r="F33" s="10" t="s">
        <v>1652</v>
      </c>
      <c r="G33" s="10" t="s">
        <v>1609</v>
      </c>
    </row>
    <row r="34" spans="1:7" ht="15" customHeight="1" x14ac:dyDescent="0.3">
      <c r="A34" s="10" t="s">
        <v>1662</v>
      </c>
      <c r="B34" s="10" t="s">
        <v>1663</v>
      </c>
      <c r="C34" s="10" t="s">
        <v>1664</v>
      </c>
      <c r="D34" s="16">
        <v>33416</v>
      </c>
      <c r="E34" s="10" t="s">
        <v>1604</v>
      </c>
      <c r="F34" s="10" t="s">
        <v>33</v>
      </c>
      <c r="G34" s="10" t="s">
        <v>1605</v>
      </c>
    </row>
    <row r="35" spans="1:7" ht="15" customHeight="1" x14ac:dyDescent="0.3">
      <c r="A35" s="10" t="s">
        <v>1665</v>
      </c>
      <c r="B35" s="10" t="s">
        <v>1666</v>
      </c>
      <c r="C35" s="10" t="s">
        <v>1667</v>
      </c>
      <c r="D35" s="16">
        <v>135</v>
      </c>
      <c r="E35" s="10" t="s">
        <v>1604</v>
      </c>
      <c r="F35" s="10" t="s">
        <v>33</v>
      </c>
      <c r="G35" s="10" t="s">
        <v>1605</v>
      </c>
    </row>
    <row r="36" spans="1:7" ht="15" customHeight="1" x14ac:dyDescent="0.3">
      <c r="A36" s="10" t="s">
        <v>1668</v>
      </c>
      <c r="B36" s="10" t="s">
        <v>1669</v>
      </c>
      <c r="C36" s="10" t="s">
        <v>1670</v>
      </c>
      <c r="D36" s="16">
        <v>12</v>
      </c>
      <c r="E36" s="10" t="s">
        <v>1604</v>
      </c>
      <c r="F36" s="10" t="s">
        <v>33</v>
      </c>
      <c r="G36" s="10" t="s">
        <v>1671</v>
      </c>
    </row>
    <row r="37" spans="1:7" ht="15" customHeight="1" x14ac:dyDescent="0.3">
      <c r="A37" s="10" t="s">
        <v>1672</v>
      </c>
      <c r="B37" s="10" t="s">
        <v>1673</v>
      </c>
      <c r="C37" s="10" t="s">
        <v>1674</v>
      </c>
      <c r="D37" s="16">
        <v>1</v>
      </c>
      <c r="E37" s="10" t="s">
        <v>1604</v>
      </c>
      <c r="F37" s="10" t="s">
        <v>33</v>
      </c>
      <c r="G37" s="10" t="s">
        <v>1605</v>
      </c>
    </row>
    <row r="38" spans="1:7" ht="15" customHeight="1" x14ac:dyDescent="0.3">
      <c r="A38" s="10" t="s">
        <v>1675</v>
      </c>
      <c r="B38" s="10" t="s">
        <v>1611</v>
      </c>
      <c r="C38" s="10" t="s">
        <v>1612</v>
      </c>
      <c r="D38" s="16">
        <v>1</v>
      </c>
      <c r="E38" s="10" t="s">
        <v>1604</v>
      </c>
      <c r="F38" s="10" t="s">
        <v>33</v>
      </c>
      <c r="G38" s="10" t="s">
        <v>1605</v>
      </c>
    </row>
    <row r="39" spans="1:7" ht="15" customHeight="1" x14ac:dyDescent="0.3">
      <c r="A39" s="10" t="s">
        <v>1676</v>
      </c>
      <c r="B39" s="10" t="s">
        <v>1637</v>
      </c>
      <c r="C39" s="10" t="s">
        <v>1638</v>
      </c>
      <c r="D39" s="16">
        <v>1</v>
      </c>
      <c r="E39" s="10" t="s">
        <v>1604</v>
      </c>
      <c r="F39" s="10" t="s">
        <v>33</v>
      </c>
      <c r="G39" s="10" t="s">
        <v>1605</v>
      </c>
    </row>
    <row r="40" spans="1:7" ht="15" customHeight="1" x14ac:dyDescent="0.3">
      <c r="A40" s="10" t="s">
        <v>1677</v>
      </c>
      <c r="B40" s="10" t="s">
        <v>1602</v>
      </c>
      <c r="C40" s="10" t="s">
        <v>1640</v>
      </c>
      <c r="D40" s="16">
        <v>1</v>
      </c>
      <c r="E40" s="10" t="s">
        <v>1604</v>
      </c>
      <c r="F40" s="10" t="s">
        <v>33</v>
      </c>
      <c r="G40" s="10" t="s">
        <v>1605</v>
      </c>
    </row>
    <row r="41" spans="1:7" ht="15" customHeight="1" x14ac:dyDescent="0.3">
      <c r="A41" s="10" t="s">
        <v>1678</v>
      </c>
      <c r="B41" s="10" t="s">
        <v>1679</v>
      </c>
      <c r="C41" s="10" t="s">
        <v>1670</v>
      </c>
      <c r="D41" s="16">
        <v>687</v>
      </c>
      <c r="E41" s="10" t="s">
        <v>1604</v>
      </c>
      <c r="F41" s="10" t="s">
        <v>33</v>
      </c>
      <c r="G41" s="10" t="s">
        <v>1680</v>
      </c>
    </row>
    <row r="42" spans="1:7" ht="15" customHeight="1" x14ac:dyDescent="0.3">
      <c r="A42" s="10" t="s">
        <v>1681</v>
      </c>
      <c r="B42" s="10" t="s">
        <v>1631</v>
      </c>
      <c r="C42" s="10" t="s">
        <v>1632</v>
      </c>
      <c r="D42" s="16">
        <v>1</v>
      </c>
      <c r="E42" s="10" t="s">
        <v>1604</v>
      </c>
      <c r="F42" s="10" t="s">
        <v>33</v>
      </c>
      <c r="G42" s="10" t="s">
        <v>1605</v>
      </c>
    </row>
    <row r="43" spans="1:7" ht="15" customHeight="1" x14ac:dyDescent="0.3">
      <c r="A43" s="10" t="s">
        <v>1682</v>
      </c>
      <c r="B43" s="10" t="s">
        <v>1631</v>
      </c>
      <c r="C43" s="10" t="s">
        <v>1632</v>
      </c>
      <c r="D43" s="16">
        <v>1</v>
      </c>
      <c r="E43" s="10" t="s">
        <v>1604</v>
      </c>
      <c r="F43" s="10" t="s">
        <v>33</v>
      </c>
      <c r="G43" s="10" t="s">
        <v>1605</v>
      </c>
    </row>
    <row r="44" spans="1:7" ht="15" customHeight="1" x14ac:dyDescent="0.3">
      <c r="A44" s="10" t="s">
        <v>1683</v>
      </c>
      <c r="B44" s="10" t="s">
        <v>1631</v>
      </c>
      <c r="C44" s="10" t="s">
        <v>1632</v>
      </c>
      <c r="D44" s="16">
        <v>1</v>
      </c>
      <c r="E44" s="10" t="s">
        <v>1604</v>
      </c>
      <c r="F44" s="10" t="s">
        <v>33</v>
      </c>
      <c r="G44" s="10" t="s">
        <v>1605</v>
      </c>
    </row>
    <row r="45" spans="1:7" ht="15" customHeight="1" x14ac:dyDescent="0.3">
      <c r="A45" s="10" t="s">
        <v>1684</v>
      </c>
      <c r="B45" s="10" t="s">
        <v>1631</v>
      </c>
      <c r="C45" s="10" t="s">
        <v>1632</v>
      </c>
      <c r="D45" s="16">
        <v>1</v>
      </c>
      <c r="E45" s="10" t="s">
        <v>1604</v>
      </c>
      <c r="F45" s="10" t="s">
        <v>33</v>
      </c>
      <c r="G45" s="10" t="s">
        <v>1605</v>
      </c>
    </row>
    <row r="46" spans="1:7" ht="15" customHeight="1" x14ac:dyDescent="0.3">
      <c r="A46" s="10" t="s">
        <v>1685</v>
      </c>
      <c r="B46" s="10" t="s">
        <v>1673</v>
      </c>
      <c r="C46" s="10" t="s">
        <v>1638</v>
      </c>
      <c r="D46" s="16">
        <v>305</v>
      </c>
      <c r="E46" s="10" t="s">
        <v>1604</v>
      </c>
      <c r="F46" s="10" t="s">
        <v>33</v>
      </c>
      <c r="G46" s="10" t="s">
        <v>1605</v>
      </c>
    </row>
    <row r="47" spans="1:7" ht="15" customHeight="1" x14ac:dyDescent="0.3">
      <c r="A47" s="10" t="s">
        <v>1686</v>
      </c>
      <c r="B47" s="10" t="s">
        <v>1687</v>
      </c>
      <c r="C47" s="10" t="s">
        <v>1688</v>
      </c>
      <c r="D47" s="16">
        <v>287</v>
      </c>
      <c r="E47" s="10" t="s">
        <v>1604</v>
      </c>
      <c r="F47" s="10" t="s">
        <v>33</v>
      </c>
      <c r="G47" s="10" t="s">
        <v>1689</v>
      </c>
    </row>
    <row r="48" spans="1:7" ht="15" customHeight="1" x14ac:dyDescent="0.3">
      <c r="A48" s="10" t="s">
        <v>1690</v>
      </c>
      <c r="B48" s="10" t="s">
        <v>1691</v>
      </c>
      <c r="C48" s="10" t="s">
        <v>1629</v>
      </c>
      <c r="D48" s="16">
        <v>61</v>
      </c>
      <c r="E48" s="10" t="s">
        <v>1604</v>
      </c>
      <c r="F48" s="10" t="s">
        <v>33</v>
      </c>
      <c r="G48" s="10" t="s">
        <v>1605</v>
      </c>
    </row>
    <row r="49" spans="1:7" ht="15" customHeight="1" x14ac:dyDescent="0.3">
      <c r="A49" s="10" t="s">
        <v>1692</v>
      </c>
      <c r="B49" s="10" t="s">
        <v>1693</v>
      </c>
      <c r="C49" s="10" t="s">
        <v>1629</v>
      </c>
      <c r="D49" s="16">
        <v>61</v>
      </c>
      <c r="E49" s="10" t="s">
        <v>1604</v>
      </c>
      <c r="F49" s="10" t="s">
        <v>33</v>
      </c>
      <c r="G49" s="10" t="s">
        <v>1605</v>
      </c>
    </row>
    <row r="50" spans="1:7" ht="15" customHeight="1" x14ac:dyDescent="0.3">
      <c r="A50" s="10" t="s">
        <v>1694</v>
      </c>
      <c r="B50" s="10" t="s">
        <v>1673</v>
      </c>
      <c r="C50" s="10" t="s">
        <v>1674</v>
      </c>
      <c r="D50" s="16">
        <v>1</v>
      </c>
      <c r="E50" s="10" t="s">
        <v>1604</v>
      </c>
      <c r="F50" s="10" t="s">
        <v>33</v>
      </c>
      <c r="G50" s="10" t="s">
        <v>1605</v>
      </c>
    </row>
    <row r="51" spans="1:7" ht="15" customHeight="1" x14ac:dyDescent="0.3">
      <c r="A51" s="10" t="s">
        <v>1695</v>
      </c>
      <c r="B51" s="10" t="s">
        <v>1602</v>
      </c>
      <c r="C51" s="10" t="s">
        <v>1674</v>
      </c>
      <c r="D51" s="16">
        <v>2</v>
      </c>
      <c r="E51" s="10" t="s">
        <v>1604</v>
      </c>
      <c r="F51" s="10" t="s">
        <v>33</v>
      </c>
      <c r="G51" s="10" t="s">
        <v>1605</v>
      </c>
    </row>
    <row r="52" spans="1:7" ht="15" customHeight="1" x14ac:dyDescent="0.3">
      <c r="A52" s="10" t="s">
        <v>1696</v>
      </c>
      <c r="B52" s="10" t="s">
        <v>1697</v>
      </c>
      <c r="C52" s="10" t="s">
        <v>1698</v>
      </c>
      <c r="D52" s="16">
        <v>5924</v>
      </c>
      <c r="E52" s="10" t="s">
        <v>1604</v>
      </c>
      <c r="F52" s="10" t="s">
        <v>1652</v>
      </c>
      <c r="G52" s="10" t="s">
        <v>1609</v>
      </c>
    </row>
    <row r="53" spans="1:7" ht="15" customHeight="1" x14ac:dyDescent="0.3">
      <c r="A53" s="10" t="s">
        <v>1699</v>
      </c>
      <c r="B53" s="10" t="s">
        <v>1700</v>
      </c>
      <c r="C53" s="10" t="s">
        <v>1701</v>
      </c>
      <c r="D53" s="16">
        <v>2817</v>
      </c>
      <c r="E53" s="10" t="s">
        <v>1604</v>
      </c>
      <c r="F53" s="10" t="s">
        <v>33</v>
      </c>
      <c r="G53" s="10" t="s">
        <v>1605</v>
      </c>
    </row>
    <row r="54" spans="1:7" ht="15" customHeight="1" x14ac:dyDescent="0.3">
      <c r="A54" s="10" t="s">
        <v>1702</v>
      </c>
      <c r="B54" s="10" t="s">
        <v>1700</v>
      </c>
      <c r="C54" s="10" t="s">
        <v>1703</v>
      </c>
      <c r="D54" s="16">
        <v>5634</v>
      </c>
      <c r="E54" s="10" t="s">
        <v>1604</v>
      </c>
      <c r="F54" s="10" t="s">
        <v>33</v>
      </c>
      <c r="G54" s="10" t="s">
        <v>1605</v>
      </c>
    </row>
    <row r="55" spans="1:7" ht="15" customHeight="1" x14ac:dyDescent="0.3">
      <c r="A55" s="10" t="s">
        <v>1704</v>
      </c>
      <c r="B55" s="10" t="s">
        <v>1615</v>
      </c>
      <c r="C55" s="10" t="s">
        <v>1629</v>
      </c>
      <c r="D55" s="16">
        <v>628</v>
      </c>
      <c r="E55" s="10" t="s">
        <v>1604</v>
      </c>
      <c r="F55" s="10" t="s">
        <v>33</v>
      </c>
      <c r="G55" s="10" t="s">
        <v>1605</v>
      </c>
    </row>
    <row r="56" spans="1:7" ht="15" customHeight="1" x14ac:dyDescent="0.3">
      <c r="A56" s="10" t="s">
        <v>1705</v>
      </c>
      <c r="B56" s="10" t="s">
        <v>1706</v>
      </c>
      <c r="C56" s="10" t="s">
        <v>1707</v>
      </c>
      <c r="D56" s="16">
        <v>46904</v>
      </c>
      <c r="E56" s="10" t="s">
        <v>1604</v>
      </c>
      <c r="F56" s="10" t="s">
        <v>1652</v>
      </c>
      <c r="G56" s="10" t="s">
        <v>1708</v>
      </c>
    </row>
    <row r="57" spans="1:7" ht="15" customHeight="1" x14ac:dyDescent="0.3">
      <c r="A57" s="10" t="s">
        <v>1709</v>
      </c>
      <c r="B57" s="10" t="s">
        <v>1710</v>
      </c>
      <c r="C57" s="10" t="s">
        <v>1711</v>
      </c>
      <c r="D57" s="16">
        <v>17740</v>
      </c>
      <c r="E57" s="10" t="s">
        <v>1604</v>
      </c>
      <c r="F57" s="10" t="s">
        <v>33</v>
      </c>
      <c r="G57" s="10" t="s">
        <v>1605</v>
      </c>
    </row>
    <row r="58" spans="1:7" ht="15" customHeight="1" x14ac:dyDescent="0.3">
      <c r="A58" s="10" t="s">
        <v>1712</v>
      </c>
      <c r="B58" s="10" t="s">
        <v>1710</v>
      </c>
      <c r="C58" s="10" t="s">
        <v>1713</v>
      </c>
      <c r="D58" s="16">
        <v>17740</v>
      </c>
      <c r="E58" s="10" t="s">
        <v>1604</v>
      </c>
      <c r="F58" s="10" t="s">
        <v>33</v>
      </c>
      <c r="G58" s="10" t="s">
        <v>1605</v>
      </c>
    </row>
    <row r="59" spans="1:7" ht="15" customHeight="1" x14ac:dyDescent="0.3">
      <c r="A59" s="10" t="s">
        <v>1714</v>
      </c>
      <c r="B59" s="10" t="s">
        <v>1710</v>
      </c>
      <c r="C59" s="10" t="s">
        <v>1715</v>
      </c>
      <c r="D59" s="16">
        <v>17714</v>
      </c>
      <c r="E59" s="10" t="s">
        <v>1604</v>
      </c>
      <c r="F59" s="10" t="s">
        <v>33</v>
      </c>
      <c r="G59" s="10" t="s">
        <v>1605</v>
      </c>
    </row>
    <row r="60" spans="1:7" ht="15" customHeight="1" x14ac:dyDescent="0.3">
      <c r="A60" s="10" t="s">
        <v>1716</v>
      </c>
      <c r="B60" s="10" t="s">
        <v>1710</v>
      </c>
      <c r="C60" s="10" t="s">
        <v>1717</v>
      </c>
      <c r="D60" s="16">
        <v>17740</v>
      </c>
      <c r="E60" s="10" t="s">
        <v>1604</v>
      </c>
      <c r="F60" s="10" t="s">
        <v>33</v>
      </c>
      <c r="G60" s="10" t="s">
        <v>1605</v>
      </c>
    </row>
    <row r="61" spans="1:7" ht="15" customHeight="1" x14ac:dyDescent="0.3">
      <c r="A61" s="10" t="s">
        <v>1718</v>
      </c>
      <c r="B61" s="10" t="s">
        <v>1655</v>
      </c>
      <c r="C61" s="10" t="s">
        <v>1656</v>
      </c>
      <c r="D61" s="16">
        <v>1</v>
      </c>
      <c r="E61" s="10" t="s">
        <v>1604</v>
      </c>
      <c r="F61" s="10" t="s">
        <v>33</v>
      </c>
      <c r="G61" s="10" t="s">
        <v>1605</v>
      </c>
    </row>
    <row r="62" spans="1:7" ht="15" customHeight="1" x14ac:dyDescent="0.3">
      <c r="A62" s="10" t="s">
        <v>1719</v>
      </c>
      <c r="B62" s="10" t="s">
        <v>1631</v>
      </c>
      <c r="C62" s="10" t="s">
        <v>1632</v>
      </c>
      <c r="D62" s="16">
        <v>1</v>
      </c>
      <c r="E62" s="10" t="s">
        <v>1604</v>
      </c>
      <c r="F62" s="10" t="s">
        <v>33</v>
      </c>
      <c r="G62" s="10" t="s">
        <v>1605</v>
      </c>
    </row>
    <row r="63" spans="1:7" ht="15" customHeight="1" x14ac:dyDescent="0.3">
      <c r="A63" s="10" t="s">
        <v>1720</v>
      </c>
      <c r="B63" s="10" t="s">
        <v>1631</v>
      </c>
      <c r="C63" s="10" t="s">
        <v>1632</v>
      </c>
      <c r="D63" s="16">
        <v>1</v>
      </c>
      <c r="E63" s="10" t="s">
        <v>1604</v>
      </c>
      <c r="F63" s="10" t="s">
        <v>33</v>
      </c>
      <c r="G63" s="10" t="s">
        <v>1605</v>
      </c>
    </row>
    <row r="64" spans="1:7" ht="15" customHeight="1" x14ac:dyDescent="0.3">
      <c r="A64" s="10" t="s">
        <v>1721</v>
      </c>
      <c r="B64" s="10" t="s">
        <v>1631</v>
      </c>
      <c r="C64" s="10" t="s">
        <v>1632</v>
      </c>
      <c r="D64" s="16">
        <v>1</v>
      </c>
      <c r="E64" s="10" t="s">
        <v>1604</v>
      </c>
      <c r="F64" s="10" t="s">
        <v>33</v>
      </c>
      <c r="G64" s="10" t="s">
        <v>1605</v>
      </c>
    </row>
    <row r="65" spans="1:7" ht="15" customHeight="1" x14ac:dyDescent="0.3">
      <c r="A65" s="10" t="s">
        <v>1722</v>
      </c>
      <c r="B65" s="10" t="s">
        <v>1723</v>
      </c>
      <c r="C65" s="10" t="s">
        <v>1724</v>
      </c>
      <c r="D65" s="16">
        <v>1</v>
      </c>
      <c r="E65" s="10" t="s">
        <v>1604</v>
      </c>
      <c r="F65" s="10" t="s">
        <v>33</v>
      </c>
      <c r="G65" s="10" t="s">
        <v>1605</v>
      </c>
    </row>
    <row r="66" spans="1:7" ht="15" customHeight="1" x14ac:dyDescent="0.3">
      <c r="A66" s="10" t="s">
        <v>1725</v>
      </c>
      <c r="B66" s="10" t="s">
        <v>1631</v>
      </c>
      <c r="C66" s="10" t="s">
        <v>1638</v>
      </c>
      <c r="D66" s="16">
        <v>2</v>
      </c>
      <c r="E66" s="10" t="s">
        <v>1604</v>
      </c>
      <c r="F66" s="10" t="s">
        <v>33</v>
      </c>
      <c r="G66" s="10" t="s">
        <v>1605</v>
      </c>
    </row>
    <row r="67" spans="1:7" ht="15" customHeight="1" x14ac:dyDescent="0.3">
      <c r="A67" s="10" t="s">
        <v>1726</v>
      </c>
      <c r="B67" s="10" t="s">
        <v>1637</v>
      </c>
      <c r="C67" s="10" t="s">
        <v>1638</v>
      </c>
      <c r="D67" s="16">
        <v>1</v>
      </c>
      <c r="E67" s="10" t="s">
        <v>1604</v>
      </c>
      <c r="F67" s="10" t="s">
        <v>33</v>
      </c>
      <c r="G67" s="10" t="s">
        <v>1605</v>
      </c>
    </row>
    <row r="68" spans="1:7" ht="15" customHeight="1" x14ac:dyDescent="0.3">
      <c r="A68" s="10" t="s">
        <v>181</v>
      </c>
      <c r="B68" s="10" t="s">
        <v>1615</v>
      </c>
      <c r="C68" s="10" t="s">
        <v>1629</v>
      </c>
      <c r="D68" s="16">
        <v>160</v>
      </c>
      <c r="E68" s="10" t="s">
        <v>1604</v>
      </c>
      <c r="F68" s="10" t="s">
        <v>33</v>
      </c>
      <c r="G68" s="10" t="s">
        <v>1605</v>
      </c>
    </row>
    <row r="69" spans="1:7" ht="15" customHeight="1" x14ac:dyDescent="0.3">
      <c r="A69" s="10" t="s">
        <v>1727</v>
      </c>
      <c r="B69" s="10" t="s">
        <v>1637</v>
      </c>
      <c r="C69" s="10" t="s">
        <v>1638</v>
      </c>
      <c r="D69" s="16">
        <v>1</v>
      </c>
      <c r="E69" s="10" t="s">
        <v>1604</v>
      </c>
      <c r="F69" s="10" t="s">
        <v>33</v>
      </c>
      <c r="G69" s="10" t="s">
        <v>1605</v>
      </c>
    </row>
    <row r="70" spans="1:7" ht="15" customHeight="1" x14ac:dyDescent="0.3">
      <c r="A70" s="10" t="s">
        <v>1728</v>
      </c>
      <c r="B70" s="10" t="s">
        <v>1729</v>
      </c>
      <c r="C70" s="10" t="s">
        <v>1730</v>
      </c>
      <c r="D70" s="16">
        <v>1400</v>
      </c>
      <c r="E70" s="10" t="s">
        <v>1604</v>
      </c>
      <c r="F70" s="10" t="s">
        <v>33</v>
      </c>
      <c r="G70" s="10" t="s">
        <v>1605</v>
      </c>
    </row>
    <row r="71" spans="1:7" ht="15" customHeight="1" x14ac:dyDescent="0.3">
      <c r="A71" s="10" t="s">
        <v>1731</v>
      </c>
      <c r="B71" s="10" t="s">
        <v>1637</v>
      </c>
      <c r="C71" s="10" t="s">
        <v>1638</v>
      </c>
      <c r="D71" s="16">
        <v>1</v>
      </c>
      <c r="E71" s="10" t="s">
        <v>1604</v>
      </c>
      <c r="F71" s="10" t="s">
        <v>33</v>
      </c>
      <c r="G71" s="10" t="s">
        <v>1605</v>
      </c>
    </row>
    <row r="72" spans="1:7" ht="15" customHeight="1" x14ac:dyDescent="0.3">
      <c r="A72" s="10" t="s">
        <v>1732</v>
      </c>
      <c r="B72" s="10" t="s">
        <v>1666</v>
      </c>
      <c r="C72" s="10" t="s">
        <v>1667</v>
      </c>
      <c r="D72" s="16">
        <v>627</v>
      </c>
      <c r="E72" s="10" t="s">
        <v>1604</v>
      </c>
      <c r="F72" s="10" t="s">
        <v>33</v>
      </c>
      <c r="G72" s="10" t="s">
        <v>1605</v>
      </c>
    </row>
    <row r="73" spans="1:7" ht="15" customHeight="1" x14ac:dyDescent="0.3">
      <c r="A73" s="10" t="s">
        <v>1733</v>
      </c>
      <c r="B73" s="10" t="s">
        <v>1637</v>
      </c>
      <c r="C73" s="10" t="s">
        <v>1638</v>
      </c>
      <c r="D73" s="16">
        <v>1</v>
      </c>
      <c r="E73" s="10" t="s">
        <v>1604</v>
      </c>
      <c r="F73" s="10" t="s">
        <v>33</v>
      </c>
      <c r="G73" s="10" t="s">
        <v>1605</v>
      </c>
    </row>
    <row r="74" spans="1:7" ht="15" customHeight="1" x14ac:dyDescent="0.3">
      <c r="A74" s="10" t="s">
        <v>1734</v>
      </c>
      <c r="B74" s="10" t="s">
        <v>1735</v>
      </c>
      <c r="C74" s="10" t="s">
        <v>1736</v>
      </c>
      <c r="D74" s="16">
        <v>5</v>
      </c>
      <c r="E74" s="10" t="s">
        <v>1604</v>
      </c>
      <c r="F74" s="10" t="s">
        <v>33</v>
      </c>
      <c r="G74" s="10" t="s">
        <v>1605</v>
      </c>
    </row>
    <row r="75" spans="1:7" ht="15" customHeight="1" x14ac:dyDescent="0.3">
      <c r="A75" s="10" t="s">
        <v>1737</v>
      </c>
      <c r="B75" s="10" t="s">
        <v>1738</v>
      </c>
      <c r="C75" s="10" t="s">
        <v>1739</v>
      </c>
      <c r="D75" s="16">
        <v>1207</v>
      </c>
      <c r="E75" s="10" t="s">
        <v>1604</v>
      </c>
      <c r="F75" s="10" t="s">
        <v>1652</v>
      </c>
      <c r="G75" s="10" t="s">
        <v>1740</v>
      </c>
    </row>
    <row r="76" spans="1:7" ht="15" customHeight="1" x14ac:dyDescent="0.3">
      <c r="A76" s="10" t="s">
        <v>1741</v>
      </c>
      <c r="B76" s="10" t="s">
        <v>1666</v>
      </c>
      <c r="C76" s="10" t="s">
        <v>1667</v>
      </c>
      <c r="D76" s="16">
        <v>1200</v>
      </c>
      <c r="E76" s="10" t="s">
        <v>1604</v>
      </c>
      <c r="F76" s="10" t="s">
        <v>33</v>
      </c>
      <c r="G76" s="10" t="s">
        <v>1605</v>
      </c>
    </row>
    <row r="77" spans="1:7" ht="15" customHeight="1" x14ac:dyDescent="0.3">
      <c r="A77" s="10" t="s">
        <v>1742</v>
      </c>
      <c r="B77" s="10" t="s">
        <v>1602</v>
      </c>
      <c r="C77" s="10" t="s">
        <v>1640</v>
      </c>
      <c r="D77" s="16">
        <v>1</v>
      </c>
      <c r="E77" s="10" t="s">
        <v>1604</v>
      </c>
      <c r="F77" s="10" t="s">
        <v>33</v>
      </c>
      <c r="G77" s="10" t="s">
        <v>1605</v>
      </c>
    </row>
    <row r="78" spans="1:7" ht="15" customHeight="1" x14ac:dyDescent="0.3">
      <c r="A78" s="10" t="s">
        <v>1743</v>
      </c>
      <c r="B78" s="10" t="s">
        <v>1615</v>
      </c>
      <c r="C78" s="10" t="s">
        <v>1612</v>
      </c>
      <c r="D78" s="16">
        <v>32</v>
      </c>
      <c r="E78" s="10" t="s">
        <v>1604</v>
      </c>
      <c r="F78" s="10" t="s">
        <v>33</v>
      </c>
      <c r="G78" s="10" t="s">
        <v>1605</v>
      </c>
    </row>
    <row r="79" spans="1:7" ht="15" customHeight="1" x14ac:dyDescent="0.3">
      <c r="A79" s="10" t="s">
        <v>1744</v>
      </c>
      <c r="B79" s="10" t="s">
        <v>1723</v>
      </c>
      <c r="C79" s="10" t="s">
        <v>1724</v>
      </c>
      <c r="D79" s="16">
        <v>1</v>
      </c>
      <c r="E79" s="10" t="s">
        <v>1604</v>
      </c>
      <c r="F79" s="10" t="s">
        <v>33</v>
      </c>
      <c r="G79" s="10" t="s">
        <v>1605</v>
      </c>
    </row>
    <row r="80" spans="1:7" ht="15" customHeight="1" x14ac:dyDescent="0.3">
      <c r="A80" s="10" t="s">
        <v>1745</v>
      </c>
      <c r="B80" s="10" t="s">
        <v>1637</v>
      </c>
      <c r="C80" s="10" t="s">
        <v>1638</v>
      </c>
      <c r="D80" s="16">
        <v>1</v>
      </c>
      <c r="E80" s="10" t="s">
        <v>1604</v>
      </c>
      <c r="F80" s="10" t="s">
        <v>33</v>
      </c>
      <c r="G80" s="10" t="s">
        <v>1605</v>
      </c>
    </row>
    <row r="81" spans="1:7" ht="15" customHeight="1" x14ac:dyDescent="0.3">
      <c r="A81" s="10" t="s">
        <v>1746</v>
      </c>
      <c r="B81" s="10" t="s">
        <v>1723</v>
      </c>
      <c r="C81" s="10" t="s">
        <v>1724</v>
      </c>
      <c r="D81" s="16">
        <v>1</v>
      </c>
      <c r="E81" s="10" t="s">
        <v>1604</v>
      </c>
      <c r="F81" s="10" t="s">
        <v>33</v>
      </c>
      <c r="G81" s="10" t="s">
        <v>1605</v>
      </c>
    </row>
    <row r="82" spans="1:7" ht="15" customHeight="1" x14ac:dyDescent="0.3">
      <c r="A82" s="10" t="s">
        <v>1747</v>
      </c>
      <c r="B82" s="10" t="s">
        <v>1637</v>
      </c>
      <c r="C82" s="10" t="s">
        <v>1638</v>
      </c>
      <c r="D82" s="16">
        <v>1</v>
      </c>
      <c r="E82" s="10" t="s">
        <v>1604</v>
      </c>
      <c r="F82" s="10" t="s">
        <v>33</v>
      </c>
      <c r="G82" s="10" t="s">
        <v>1605</v>
      </c>
    </row>
    <row r="83" spans="1:7" ht="15" customHeight="1" x14ac:dyDescent="0.3">
      <c r="A83" s="10" t="s">
        <v>1748</v>
      </c>
      <c r="B83" s="10" t="s">
        <v>1655</v>
      </c>
      <c r="C83" s="10" t="s">
        <v>1656</v>
      </c>
      <c r="D83" s="16">
        <v>1</v>
      </c>
      <c r="E83" s="10" t="s">
        <v>1604</v>
      </c>
      <c r="F83" s="10" t="s">
        <v>33</v>
      </c>
      <c r="G83" s="10" t="s">
        <v>1605</v>
      </c>
    </row>
    <row r="84" spans="1:7" ht="15" customHeight="1" x14ac:dyDescent="0.3">
      <c r="A84" s="10" t="s">
        <v>1749</v>
      </c>
      <c r="B84" s="10" t="s">
        <v>1655</v>
      </c>
      <c r="C84" s="10" t="s">
        <v>1656</v>
      </c>
      <c r="D84" s="16">
        <v>1</v>
      </c>
      <c r="E84" s="10" t="s">
        <v>1604</v>
      </c>
      <c r="F84" s="10" t="s">
        <v>33</v>
      </c>
      <c r="G84" s="10" t="s">
        <v>1605</v>
      </c>
    </row>
    <row r="85" spans="1:7" ht="15" customHeight="1" x14ac:dyDescent="0.3">
      <c r="A85" s="10" t="s">
        <v>1750</v>
      </c>
      <c r="B85" s="10" t="s">
        <v>1655</v>
      </c>
      <c r="C85" s="10" t="s">
        <v>1656</v>
      </c>
      <c r="D85" s="16">
        <v>1</v>
      </c>
      <c r="E85" s="10" t="s">
        <v>1604</v>
      </c>
      <c r="F85" s="10" t="s">
        <v>33</v>
      </c>
      <c r="G85" s="10" t="s">
        <v>1605</v>
      </c>
    </row>
    <row r="86" spans="1:7" ht="15" customHeight="1" x14ac:dyDescent="0.3">
      <c r="A86" s="10" t="s">
        <v>1751</v>
      </c>
      <c r="B86" s="10" t="s">
        <v>1723</v>
      </c>
      <c r="C86" s="10" t="s">
        <v>1724</v>
      </c>
      <c r="D86" s="16">
        <v>1</v>
      </c>
      <c r="E86" s="10" t="s">
        <v>1604</v>
      </c>
      <c r="F86" s="10" t="s">
        <v>33</v>
      </c>
      <c r="G86" s="10" t="s">
        <v>1605</v>
      </c>
    </row>
    <row r="87" spans="1:7" ht="15" customHeight="1" x14ac:dyDescent="0.3">
      <c r="A87" s="10" t="s">
        <v>1752</v>
      </c>
      <c r="B87" s="10" t="s">
        <v>1723</v>
      </c>
      <c r="C87" s="10" t="s">
        <v>1724</v>
      </c>
      <c r="D87" s="16">
        <v>1</v>
      </c>
      <c r="E87" s="10" t="s">
        <v>1604</v>
      </c>
      <c r="F87" s="10" t="s">
        <v>33</v>
      </c>
      <c r="G87" s="10" t="s">
        <v>1605</v>
      </c>
    </row>
    <row r="88" spans="1:7" ht="15" customHeight="1" x14ac:dyDescent="0.3">
      <c r="A88" s="10" t="s">
        <v>1753</v>
      </c>
      <c r="B88" s="10" t="s">
        <v>1723</v>
      </c>
      <c r="C88" s="10" t="s">
        <v>1724</v>
      </c>
      <c r="D88" s="16">
        <v>1</v>
      </c>
      <c r="E88" s="10" t="s">
        <v>1604</v>
      </c>
      <c r="F88" s="10" t="s">
        <v>33</v>
      </c>
      <c r="G88" s="10" t="s">
        <v>1605</v>
      </c>
    </row>
    <row r="89" spans="1:7" ht="15" customHeight="1" x14ac:dyDescent="0.3">
      <c r="A89" s="10" t="s">
        <v>1754</v>
      </c>
      <c r="B89" s="10" t="s">
        <v>1655</v>
      </c>
      <c r="C89" s="10" t="s">
        <v>1638</v>
      </c>
      <c r="D89" s="16">
        <v>3</v>
      </c>
      <c r="E89" s="10" t="s">
        <v>1604</v>
      </c>
      <c r="F89" s="10" t="s">
        <v>33</v>
      </c>
      <c r="G89" s="10" t="s">
        <v>1605</v>
      </c>
    </row>
    <row r="90" spans="1:7" ht="15" customHeight="1" x14ac:dyDescent="0.3">
      <c r="A90" s="10" t="s">
        <v>1755</v>
      </c>
      <c r="B90" s="10" t="s">
        <v>1655</v>
      </c>
      <c r="C90" s="10" t="s">
        <v>1638</v>
      </c>
      <c r="D90" s="16">
        <v>3</v>
      </c>
      <c r="E90" s="10" t="s">
        <v>1604</v>
      </c>
      <c r="F90" s="10" t="s">
        <v>33</v>
      </c>
      <c r="G90" s="10" t="s">
        <v>1605</v>
      </c>
    </row>
    <row r="91" spans="1:7" ht="15" customHeight="1" x14ac:dyDescent="0.3">
      <c r="A91" s="10" t="s">
        <v>1756</v>
      </c>
      <c r="B91" s="10" t="s">
        <v>1723</v>
      </c>
      <c r="C91" s="10" t="s">
        <v>1724</v>
      </c>
      <c r="D91" s="16">
        <v>1</v>
      </c>
      <c r="E91" s="10" t="s">
        <v>1604</v>
      </c>
      <c r="F91" s="10" t="s">
        <v>33</v>
      </c>
      <c r="G91" s="10" t="s">
        <v>1605</v>
      </c>
    </row>
    <row r="92" spans="1:7" ht="15" customHeight="1" x14ac:dyDescent="0.3">
      <c r="A92" s="10" t="s">
        <v>1757</v>
      </c>
      <c r="B92" s="10" t="s">
        <v>1723</v>
      </c>
      <c r="C92" s="10" t="s">
        <v>1724</v>
      </c>
      <c r="D92" s="16">
        <v>1</v>
      </c>
      <c r="E92" s="10" t="s">
        <v>1604</v>
      </c>
      <c r="F92" s="10" t="s">
        <v>33</v>
      </c>
      <c r="G92" s="10" t="s">
        <v>1605</v>
      </c>
    </row>
    <row r="93" spans="1:7" ht="15" customHeight="1" x14ac:dyDescent="0.3">
      <c r="A93" s="10" t="s">
        <v>1758</v>
      </c>
      <c r="B93" s="10" t="s">
        <v>1723</v>
      </c>
      <c r="C93" s="10" t="s">
        <v>1724</v>
      </c>
      <c r="D93" s="16">
        <v>1</v>
      </c>
      <c r="E93" s="10" t="s">
        <v>1604</v>
      </c>
      <c r="F93" s="10" t="s">
        <v>33</v>
      </c>
      <c r="G93" s="10" t="s">
        <v>1605</v>
      </c>
    </row>
    <row r="94" spans="1:7" ht="15" customHeight="1" x14ac:dyDescent="0.3">
      <c r="A94" s="10" t="s">
        <v>1759</v>
      </c>
      <c r="B94" s="10" t="s">
        <v>1655</v>
      </c>
      <c r="C94" s="10" t="s">
        <v>1656</v>
      </c>
      <c r="D94" s="16">
        <v>1</v>
      </c>
      <c r="E94" s="10" t="s">
        <v>1604</v>
      </c>
      <c r="F94" s="10" t="s">
        <v>33</v>
      </c>
      <c r="G94" s="10" t="s">
        <v>1605</v>
      </c>
    </row>
    <row r="95" spans="1:7" ht="15" customHeight="1" x14ac:dyDescent="0.3">
      <c r="A95" s="10" t="s">
        <v>1760</v>
      </c>
      <c r="B95" s="10" t="s">
        <v>1655</v>
      </c>
      <c r="C95" s="10" t="s">
        <v>1656</v>
      </c>
      <c r="D95" s="16">
        <v>1</v>
      </c>
      <c r="E95" s="10" t="s">
        <v>1604</v>
      </c>
      <c r="F95" s="10" t="s">
        <v>33</v>
      </c>
      <c r="G95" s="10" t="s">
        <v>1605</v>
      </c>
    </row>
    <row r="96" spans="1:7" ht="15" customHeight="1" x14ac:dyDescent="0.3">
      <c r="A96" s="10" t="s">
        <v>1761</v>
      </c>
      <c r="B96" s="10" t="s">
        <v>1655</v>
      </c>
      <c r="C96" s="10" t="s">
        <v>1656</v>
      </c>
      <c r="D96" s="16">
        <v>1</v>
      </c>
      <c r="E96" s="10" t="s">
        <v>1604</v>
      </c>
      <c r="F96" s="10" t="s">
        <v>33</v>
      </c>
      <c r="G96" s="10" t="s">
        <v>1605</v>
      </c>
    </row>
    <row r="97" spans="1:7" ht="15" customHeight="1" x14ac:dyDescent="0.3">
      <c r="A97" s="10" t="s">
        <v>1762</v>
      </c>
      <c r="B97" s="10" t="s">
        <v>1723</v>
      </c>
      <c r="C97" s="10" t="s">
        <v>1724</v>
      </c>
      <c r="D97" s="16">
        <v>1</v>
      </c>
      <c r="E97" s="10" t="s">
        <v>1604</v>
      </c>
      <c r="F97" s="10" t="s">
        <v>33</v>
      </c>
      <c r="G97" s="10" t="s">
        <v>1605</v>
      </c>
    </row>
    <row r="98" spans="1:7" ht="15" customHeight="1" x14ac:dyDescent="0.3">
      <c r="A98" s="10" t="s">
        <v>1763</v>
      </c>
      <c r="B98" s="10" t="s">
        <v>1764</v>
      </c>
      <c r="C98" s="10" t="s">
        <v>1765</v>
      </c>
      <c r="D98" s="16">
        <v>6365</v>
      </c>
      <c r="E98" s="10" t="s">
        <v>1604</v>
      </c>
      <c r="F98" s="10" t="s">
        <v>1652</v>
      </c>
      <c r="G98" s="10" t="s">
        <v>1609</v>
      </c>
    </row>
    <row r="99" spans="1:7" ht="15" customHeight="1" x14ac:dyDescent="0.3">
      <c r="A99" s="10" t="s">
        <v>1766</v>
      </c>
      <c r="B99" s="10" t="s">
        <v>1615</v>
      </c>
      <c r="C99" s="10" t="s">
        <v>1629</v>
      </c>
      <c r="D99" s="16">
        <v>31</v>
      </c>
      <c r="E99" s="10" t="s">
        <v>1604</v>
      </c>
      <c r="F99" s="10" t="s">
        <v>33</v>
      </c>
      <c r="G99" s="10" t="s">
        <v>1605</v>
      </c>
    </row>
    <row r="100" spans="1:7" ht="15" customHeight="1" x14ac:dyDescent="0.3">
      <c r="A100" s="10" t="s">
        <v>1767</v>
      </c>
      <c r="B100" s="10" t="s">
        <v>1602</v>
      </c>
      <c r="C100" s="10" t="s">
        <v>1603</v>
      </c>
      <c r="D100" s="16">
        <v>390</v>
      </c>
      <c r="E100" s="10" t="s">
        <v>1604</v>
      </c>
      <c r="F100" s="10" t="s">
        <v>33</v>
      </c>
      <c r="G100" s="10" t="s">
        <v>1605</v>
      </c>
    </row>
    <row r="101" spans="1:7" ht="15" customHeight="1" x14ac:dyDescent="0.3">
      <c r="A101" s="10" t="s">
        <v>1768</v>
      </c>
      <c r="B101" s="10" t="s">
        <v>1637</v>
      </c>
      <c r="C101" s="10" t="s">
        <v>1638</v>
      </c>
      <c r="D101" s="16">
        <v>1</v>
      </c>
      <c r="E101" s="10" t="s">
        <v>1604</v>
      </c>
      <c r="F101" s="10" t="s">
        <v>33</v>
      </c>
      <c r="G101" s="10" t="s">
        <v>1605</v>
      </c>
    </row>
    <row r="102" spans="1:7" ht="15" customHeight="1" x14ac:dyDescent="0.3">
      <c r="A102" s="10" t="s">
        <v>1769</v>
      </c>
      <c r="B102" s="10" t="s">
        <v>1655</v>
      </c>
      <c r="C102" s="10" t="s">
        <v>1656</v>
      </c>
      <c r="D102" s="16">
        <v>1</v>
      </c>
      <c r="E102" s="10" t="s">
        <v>1604</v>
      </c>
      <c r="F102" s="10" t="s">
        <v>33</v>
      </c>
      <c r="G102" s="10" t="s">
        <v>1605</v>
      </c>
    </row>
    <row r="103" spans="1:7" ht="15" customHeight="1" x14ac:dyDescent="0.3">
      <c r="A103" s="10" t="s">
        <v>1770</v>
      </c>
      <c r="B103" s="10" t="s">
        <v>1655</v>
      </c>
      <c r="C103" s="10" t="s">
        <v>1656</v>
      </c>
      <c r="D103" s="16">
        <v>1</v>
      </c>
      <c r="E103" s="10" t="s">
        <v>1604</v>
      </c>
      <c r="F103" s="10" t="s">
        <v>33</v>
      </c>
      <c r="G103" s="10" t="s">
        <v>1605</v>
      </c>
    </row>
    <row r="104" spans="1:7" ht="15" customHeight="1" x14ac:dyDescent="0.3">
      <c r="A104" s="10" t="s">
        <v>1771</v>
      </c>
      <c r="B104" s="10" t="s">
        <v>1631</v>
      </c>
      <c r="C104" s="10" t="s">
        <v>1632</v>
      </c>
      <c r="D104" s="16">
        <v>1</v>
      </c>
      <c r="E104" s="10" t="s">
        <v>1604</v>
      </c>
      <c r="F104" s="10" t="s">
        <v>33</v>
      </c>
      <c r="G104" s="10" t="s">
        <v>1605</v>
      </c>
    </row>
    <row r="105" spans="1:7" ht="15" customHeight="1" x14ac:dyDescent="0.3">
      <c r="A105" s="10" t="s">
        <v>1772</v>
      </c>
      <c r="B105" s="10" t="s">
        <v>1631</v>
      </c>
      <c r="C105" s="10" t="s">
        <v>1632</v>
      </c>
      <c r="D105" s="16">
        <v>1</v>
      </c>
      <c r="E105" s="10" t="s">
        <v>1604</v>
      </c>
      <c r="F105" s="10" t="s">
        <v>33</v>
      </c>
      <c r="G105" s="10" t="s">
        <v>1605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N37"/>
  <sheetViews>
    <sheetView showGridLines="0" workbookViewId="0"/>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1773</v>
      </c>
    </row>
    <row r="3" spans="1:14" ht="15" customHeight="1" x14ac:dyDescent="0.3">
      <c r="A3" s="4" t="s">
        <v>2</v>
      </c>
    </row>
    <row r="4" spans="1:14" ht="6" customHeight="1" x14ac:dyDescent="0.3"/>
    <row r="5" spans="1:14" ht="15" customHeight="1" x14ac:dyDescent="0.3"/>
    <row r="6" spans="1:14" ht="15" customHeight="1" x14ac:dyDescent="0.3"/>
    <row r="7" spans="1:14" ht="30" customHeight="1" x14ac:dyDescent="0.3">
      <c r="A7" s="11" t="s">
        <v>195</v>
      </c>
      <c r="B7" s="11" t="s">
        <v>853</v>
      </c>
      <c r="C7" s="11" t="s">
        <v>854</v>
      </c>
      <c r="D7" s="11" t="s">
        <v>1774</v>
      </c>
      <c r="E7" s="11" t="s">
        <v>1775</v>
      </c>
      <c r="F7" s="11" t="s">
        <v>858</v>
      </c>
      <c r="G7" s="11" t="s">
        <v>1776</v>
      </c>
      <c r="H7" s="11" t="s">
        <v>1777</v>
      </c>
      <c r="I7" s="11" t="s">
        <v>1778</v>
      </c>
      <c r="J7" s="11" t="s">
        <v>1779</v>
      </c>
      <c r="K7" s="11" t="s">
        <v>1780</v>
      </c>
      <c r="L7" s="11" t="s">
        <v>1781</v>
      </c>
      <c r="M7" s="11" t="s">
        <v>1782</v>
      </c>
      <c r="N7" s="11" t="s">
        <v>1783</v>
      </c>
    </row>
    <row r="8" spans="1:14" ht="15" customHeight="1" x14ac:dyDescent="0.3">
      <c r="A8" s="10" t="s">
        <v>197</v>
      </c>
      <c r="B8" s="10" t="s">
        <v>1784</v>
      </c>
      <c r="C8" s="10" t="s">
        <v>1785</v>
      </c>
      <c r="D8" s="12">
        <v>2.38</v>
      </c>
      <c r="E8" s="16">
        <v>46</v>
      </c>
      <c r="F8" s="15">
        <v>0.62869901415685114</v>
      </c>
      <c r="G8" s="24">
        <v>101.7</v>
      </c>
      <c r="H8" s="24">
        <v>116.1</v>
      </c>
      <c r="I8" s="24">
        <v>113.7</v>
      </c>
      <c r="J8" s="15">
        <v>-2.5531487680220728</v>
      </c>
      <c r="K8" s="15">
        <v>0.12388151192799331</v>
      </c>
      <c r="L8" s="15">
        <v>-8.7386955274649403E-2</v>
      </c>
      <c r="M8" s="12">
        <v>40.786749281555608</v>
      </c>
      <c r="N8" s="15">
        <v>-0.59308261704110354</v>
      </c>
    </row>
    <row r="9" spans="1:14" ht="15" customHeight="1" x14ac:dyDescent="0.3">
      <c r="A9" s="10" t="s">
        <v>198</v>
      </c>
      <c r="B9" s="10" t="s">
        <v>1784</v>
      </c>
      <c r="C9" s="10" t="s">
        <v>1786</v>
      </c>
      <c r="D9" s="12">
        <v>-9.6999999999999993</v>
      </c>
      <c r="E9" s="16">
        <v>20</v>
      </c>
      <c r="F9" s="15">
        <v>0.67060747857713499</v>
      </c>
      <c r="G9" s="24">
        <v>97.1</v>
      </c>
      <c r="H9" s="24">
        <v>108.7</v>
      </c>
      <c r="I9" s="24">
        <v>119</v>
      </c>
      <c r="J9" s="15">
        <v>-3.2471868844690319</v>
      </c>
      <c r="K9" s="15">
        <v>-1.4744287845205251</v>
      </c>
      <c r="L9" s="15">
        <v>-3.97126776398426</v>
      </c>
      <c r="M9" s="12">
        <v>31.308900211215541</v>
      </c>
      <c r="N9" s="15">
        <v>-5.1058731768689647</v>
      </c>
    </row>
    <row r="10" spans="1:14" ht="15" customHeight="1" x14ac:dyDescent="0.3">
      <c r="A10" s="10" t="s">
        <v>199</v>
      </c>
      <c r="B10" s="10" t="s">
        <v>1784</v>
      </c>
      <c r="C10" s="10" t="s">
        <v>1786</v>
      </c>
      <c r="D10" s="12">
        <v>7.37</v>
      </c>
      <c r="E10" s="16">
        <v>56</v>
      </c>
      <c r="F10" s="15">
        <v>0.63555852487033393</v>
      </c>
      <c r="G10" s="24">
        <v>94.8</v>
      </c>
      <c r="H10" s="24">
        <v>120.8</v>
      </c>
      <c r="I10" s="24">
        <v>112.7</v>
      </c>
      <c r="J10" s="15">
        <v>1.215017560640441</v>
      </c>
      <c r="K10" s="15">
        <v>2.4181717965690179</v>
      </c>
      <c r="L10" s="15">
        <v>4.1092264857515737</v>
      </c>
      <c r="M10" s="12">
        <v>51.027760980836362</v>
      </c>
      <c r="N10" s="15">
        <v>3.691129869132078</v>
      </c>
    </row>
    <row r="11" spans="1:14" ht="15" customHeight="1" x14ac:dyDescent="0.3">
      <c r="A11" s="10" t="s">
        <v>200</v>
      </c>
      <c r="B11" s="10" t="s">
        <v>1784</v>
      </c>
      <c r="C11" s="10" t="s">
        <v>1785</v>
      </c>
      <c r="D11" s="12">
        <v>4.4800000000000004</v>
      </c>
      <c r="E11" s="16">
        <v>44</v>
      </c>
      <c r="F11" s="15">
        <v>0.58377687533305611</v>
      </c>
      <c r="G11" s="24">
        <v>96.8</v>
      </c>
      <c r="H11" s="24">
        <v>119.4</v>
      </c>
      <c r="I11" s="24">
        <v>114.4</v>
      </c>
      <c r="J11" s="15">
        <v>-0.7286496105124427</v>
      </c>
      <c r="K11" s="15">
        <v>-0.1097789761434034</v>
      </c>
      <c r="L11" s="15">
        <v>-1.3038492106955299</v>
      </c>
      <c r="M11" s="12">
        <v>37.818211825207889</v>
      </c>
      <c r="N11" s="15">
        <v>-1.529847724781374</v>
      </c>
    </row>
    <row r="12" spans="1:14" ht="15" customHeight="1" x14ac:dyDescent="0.3">
      <c r="A12" s="10" t="s">
        <v>201</v>
      </c>
      <c r="B12" s="10" t="s">
        <v>1784</v>
      </c>
      <c r="C12" s="10" t="s">
        <v>1787</v>
      </c>
      <c r="D12" s="12">
        <v>-5.09</v>
      </c>
      <c r="E12" s="16">
        <v>31</v>
      </c>
      <c r="F12" s="15">
        <v>0.48218317910205211</v>
      </c>
      <c r="G12" s="24">
        <v>102.5</v>
      </c>
      <c r="H12" s="24">
        <v>113</v>
      </c>
      <c r="I12" s="24">
        <v>118.1</v>
      </c>
      <c r="J12" s="15">
        <v>-2.9147031177038398</v>
      </c>
      <c r="K12" s="15">
        <v>-1.023934030858892</v>
      </c>
      <c r="L12" s="15">
        <v>-3.7093217193871619</v>
      </c>
      <c r="M12" s="12">
        <v>31.948128137493921</v>
      </c>
      <c r="N12" s="15">
        <v>-4.6406549095475604</v>
      </c>
    </row>
    <row r="13" spans="1:14" ht="15" customHeight="1" x14ac:dyDescent="0.3">
      <c r="A13" s="10" t="s">
        <v>202</v>
      </c>
      <c r="B13" s="10" t="s">
        <v>1784</v>
      </c>
      <c r="C13" s="10" t="s">
        <v>1787</v>
      </c>
      <c r="D13" s="12">
        <v>3.78</v>
      </c>
      <c r="E13" s="16">
        <v>52</v>
      </c>
      <c r="F13" s="15">
        <v>0.68096463885154745</v>
      </c>
      <c r="G13" s="24">
        <v>99.9</v>
      </c>
      <c r="H13" s="24">
        <v>119.2</v>
      </c>
      <c r="I13" s="24">
        <v>115.1</v>
      </c>
      <c r="J13" s="15">
        <v>2.2447751614926719</v>
      </c>
      <c r="K13" s="15">
        <v>0.39447125791476367</v>
      </c>
      <c r="L13" s="15">
        <v>2.2950777989632578</v>
      </c>
      <c r="M13" s="12">
        <v>46.600687058800119</v>
      </c>
      <c r="N13" s="15">
        <v>1.704157864462476</v>
      </c>
    </row>
    <row r="14" spans="1:14" ht="15" customHeight="1" x14ac:dyDescent="0.3">
      <c r="A14" s="10" t="s">
        <v>203</v>
      </c>
      <c r="B14" s="10" t="s">
        <v>1788</v>
      </c>
      <c r="C14" s="10" t="s">
        <v>1789</v>
      </c>
      <c r="D14" s="12">
        <v>-5.33</v>
      </c>
      <c r="E14" s="16">
        <v>26</v>
      </c>
      <c r="F14" s="15">
        <v>0.57845022892038467</v>
      </c>
      <c r="G14" s="24">
        <v>101.7</v>
      </c>
      <c r="H14" s="24">
        <v>111.2</v>
      </c>
      <c r="I14" s="24">
        <v>116.5</v>
      </c>
      <c r="J14" s="15">
        <v>-3.015118613198954</v>
      </c>
      <c r="K14" s="15">
        <v>0.41659110977153641</v>
      </c>
      <c r="L14" s="15">
        <v>-2.8567840706329042</v>
      </c>
      <c r="M14" s="12">
        <v>34.028578995706553</v>
      </c>
      <c r="N14" s="15">
        <v>-3.8088732263057592</v>
      </c>
    </row>
    <row r="15" spans="1:14" ht="15" customHeight="1" x14ac:dyDescent="0.3">
      <c r="A15" s="10" t="s">
        <v>204</v>
      </c>
      <c r="B15" s="10" t="s">
        <v>1788</v>
      </c>
      <c r="C15" s="10" t="s">
        <v>1790</v>
      </c>
      <c r="D15" s="12">
        <v>4.97</v>
      </c>
      <c r="E15" s="16">
        <v>54</v>
      </c>
      <c r="F15" s="15">
        <v>0.60324974136608034</v>
      </c>
      <c r="G15" s="24">
        <v>98.4</v>
      </c>
      <c r="H15" s="24">
        <v>122.6</v>
      </c>
      <c r="I15" s="24">
        <v>117.4</v>
      </c>
      <c r="J15" s="15">
        <v>4.2354504875976069</v>
      </c>
      <c r="K15" s="15">
        <v>-1.425872334220865</v>
      </c>
      <c r="L15" s="15">
        <v>2.638885057313062</v>
      </c>
      <c r="M15" s="12">
        <v>47.43968121552593</v>
      </c>
      <c r="N15" s="15">
        <v>2.1582465548327652</v>
      </c>
    </row>
    <row r="16" spans="1:14" ht="15" customHeight="1" x14ac:dyDescent="0.3">
      <c r="A16" s="10" t="s">
        <v>205</v>
      </c>
      <c r="B16" s="10" t="s">
        <v>1784</v>
      </c>
      <c r="C16" s="10" t="s">
        <v>1787</v>
      </c>
      <c r="D16" s="12">
        <v>7.53</v>
      </c>
      <c r="E16" s="16">
        <v>60</v>
      </c>
      <c r="F16" s="15">
        <v>0.67332707996834518</v>
      </c>
      <c r="G16" s="24">
        <v>99.3</v>
      </c>
      <c r="H16" s="24">
        <v>117.9</v>
      </c>
      <c r="I16" s="24">
        <v>109.7</v>
      </c>
      <c r="J16" s="15">
        <v>-0.2872988205801284</v>
      </c>
      <c r="K16" s="15">
        <v>1.9044047533769319</v>
      </c>
      <c r="L16" s="15">
        <v>2.514137966046456</v>
      </c>
      <c r="M16" s="12">
        <v>47.135260415501001</v>
      </c>
      <c r="N16" s="15">
        <v>2.1880355696586098</v>
      </c>
    </row>
    <row r="17" spans="1:14" ht="15" customHeight="1" x14ac:dyDescent="0.3">
      <c r="A17" s="10" t="s">
        <v>206</v>
      </c>
      <c r="B17" s="10" t="s">
        <v>1788</v>
      </c>
      <c r="C17" s="10" t="s">
        <v>1791</v>
      </c>
      <c r="D17" s="12">
        <v>-0.34</v>
      </c>
      <c r="E17" s="16">
        <v>37</v>
      </c>
      <c r="F17" s="15">
        <v>0.74428018417198871</v>
      </c>
      <c r="G17" s="24">
        <v>99</v>
      </c>
      <c r="H17" s="24">
        <v>115</v>
      </c>
      <c r="I17" s="24">
        <v>115.6</v>
      </c>
      <c r="J17" s="15">
        <v>-1.1408594124958999</v>
      </c>
      <c r="K17" s="15">
        <v>1.306291904377292</v>
      </c>
      <c r="L17" s="15">
        <v>1.2060695476687859</v>
      </c>
      <c r="M17" s="12">
        <v>43.943176092197312</v>
      </c>
      <c r="N17" s="15">
        <v>0.39595070272864941</v>
      </c>
    </row>
    <row r="18" spans="1:14" ht="15" customHeight="1" x14ac:dyDescent="0.3">
      <c r="A18" s="10" t="s">
        <v>207</v>
      </c>
      <c r="B18" s="10" t="s">
        <v>1788</v>
      </c>
      <c r="C18" s="10" t="s">
        <v>1789</v>
      </c>
      <c r="D18" s="12">
        <v>4.87</v>
      </c>
      <c r="E18" s="16">
        <v>52</v>
      </c>
      <c r="F18" s="15">
        <v>0.68683930663604698</v>
      </c>
      <c r="G18" s="24">
        <v>96.1</v>
      </c>
      <c r="H18" s="24">
        <v>118.6</v>
      </c>
      <c r="I18" s="24">
        <v>113.2</v>
      </c>
      <c r="J18" s="15">
        <v>1.316418210376278</v>
      </c>
      <c r="K18" s="15">
        <v>1.9840368891652811</v>
      </c>
      <c r="L18" s="15">
        <v>5.1704548309196019</v>
      </c>
      <c r="M18" s="12">
        <v>53.617480537140423</v>
      </c>
      <c r="N18" s="15">
        <v>4.4481536442451501</v>
      </c>
    </row>
    <row r="19" spans="1:14" ht="15" customHeight="1" x14ac:dyDescent="0.3">
      <c r="A19" s="10" t="s">
        <v>208</v>
      </c>
      <c r="B19" s="10" t="s">
        <v>1784</v>
      </c>
      <c r="C19" s="10" t="s">
        <v>1787</v>
      </c>
      <c r="D19" s="12">
        <v>-7.64</v>
      </c>
      <c r="E19" s="16">
        <v>19</v>
      </c>
      <c r="F19" s="15">
        <v>0.75761535031880112</v>
      </c>
      <c r="G19" s="24">
        <v>101</v>
      </c>
      <c r="H19" s="24">
        <v>110.9</v>
      </c>
      <c r="I19" s="24">
        <v>118.8</v>
      </c>
      <c r="J19" s="15">
        <v>-7.1956477057864496E-2</v>
      </c>
      <c r="K19" s="15">
        <v>-0.90840581568175316</v>
      </c>
      <c r="L19" s="15">
        <v>0.44119377494788592</v>
      </c>
      <c r="M19" s="12">
        <v>42.076646842599409</v>
      </c>
      <c r="N19" s="15">
        <v>-0.77549853345387065</v>
      </c>
    </row>
    <row r="20" spans="1:14" ht="15" customHeight="1" x14ac:dyDescent="0.3">
      <c r="A20" s="10" t="s">
        <v>209</v>
      </c>
      <c r="B20" s="10" t="s">
        <v>1788</v>
      </c>
      <c r="C20" s="10" t="s">
        <v>1791</v>
      </c>
      <c r="D20" s="12">
        <v>0.96</v>
      </c>
      <c r="E20" s="16">
        <v>42</v>
      </c>
      <c r="F20" s="15">
        <v>0.50340435745196899</v>
      </c>
      <c r="G20" s="24">
        <v>96.5</v>
      </c>
      <c r="H20" s="24">
        <v>117.3</v>
      </c>
      <c r="I20" s="24">
        <v>116.1</v>
      </c>
      <c r="J20" s="15">
        <v>-4.4788926758582646</v>
      </c>
      <c r="K20" s="15">
        <v>-1.186689093305604</v>
      </c>
      <c r="L20" s="15">
        <v>-4.0750709123110083</v>
      </c>
      <c r="M20" s="12">
        <v>31.055588994594061</v>
      </c>
      <c r="N20" s="15">
        <v>-4.3910804327244941</v>
      </c>
    </row>
    <row r="21" spans="1:14" ht="15" customHeight="1" x14ac:dyDescent="0.3">
      <c r="A21" s="10" t="s">
        <v>210</v>
      </c>
      <c r="B21" s="10" t="s">
        <v>1788</v>
      </c>
      <c r="C21" s="10" t="s">
        <v>1791</v>
      </c>
      <c r="D21" s="12">
        <v>1.68</v>
      </c>
      <c r="E21" s="16">
        <v>53</v>
      </c>
      <c r="F21" s="15">
        <v>0.4236463251687273</v>
      </c>
      <c r="G21" s="24">
        <v>98.3</v>
      </c>
      <c r="H21" s="24">
        <v>118.2</v>
      </c>
      <c r="I21" s="24">
        <v>116.4</v>
      </c>
      <c r="J21" s="15">
        <v>1.6781972263614859</v>
      </c>
      <c r="K21" s="15">
        <v>0.45601665758032489</v>
      </c>
      <c r="L21" s="15">
        <v>2.0583361658037438</v>
      </c>
      <c r="M21" s="12">
        <v>46.022965553361551</v>
      </c>
      <c r="N21" s="15">
        <v>1.3854287026624521</v>
      </c>
    </row>
    <row r="22" spans="1:14" ht="15" customHeight="1" x14ac:dyDescent="0.3">
      <c r="A22" s="10" t="s">
        <v>211</v>
      </c>
      <c r="B22" s="10" t="s">
        <v>1788</v>
      </c>
      <c r="C22" s="10" t="s">
        <v>1789</v>
      </c>
      <c r="D22" s="12">
        <v>-5.83</v>
      </c>
      <c r="E22" s="16">
        <v>25</v>
      </c>
      <c r="F22" s="15">
        <v>0.59926849386774383</v>
      </c>
      <c r="G22" s="24">
        <v>101.3</v>
      </c>
      <c r="H22" s="24">
        <v>112.9</v>
      </c>
      <c r="I22" s="24">
        <v>118.8</v>
      </c>
      <c r="J22" s="15">
        <v>-2.402366562984779</v>
      </c>
      <c r="K22" s="15">
        <v>-1.7560834021572711</v>
      </c>
      <c r="L22" s="15">
        <v>-1.9016353957610721</v>
      </c>
      <c r="M22" s="12">
        <v>36.359431930191491</v>
      </c>
      <c r="N22" s="15">
        <v>-2.950265830767925</v>
      </c>
    </row>
    <row r="23" spans="1:14" ht="15" customHeight="1" x14ac:dyDescent="0.3">
      <c r="A23" s="10" t="s">
        <v>212</v>
      </c>
      <c r="B23" s="10" t="s">
        <v>1784</v>
      </c>
      <c r="C23" s="10" t="s">
        <v>1785</v>
      </c>
      <c r="D23" s="12">
        <v>2.35</v>
      </c>
      <c r="E23" s="16">
        <v>43</v>
      </c>
      <c r="F23" s="15">
        <v>0.48064223652156929</v>
      </c>
      <c r="G23" s="24">
        <v>103.4</v>
      </c>
      <c r="H23" s="24">
        <v>116.7</v>
      </c>
      <c r="I23" s="24">
        <v>114.5</v>
      </c>
      <c r="J23" s="15">
        <v>-2.3866251031652839</v>
      </c>
      <c r="K23" s="15">
        <v>0.21356753945380469</v>
      </c>
      <c r="L23" s="15">
        <v>-1.5094036211824231</v>
      </c>
      <c r="M23" s="12">
        <v>37.316596617560783</v>
      </c>
      <c r="N23" s="15">
        <v>-1.8714637503391049</v>
      </c>
    </row>
    <row r="24" spans="1:14" ht="15" customHeight="1" x14ac:dyDescent="0.3">
      <c r="A24" s="10" t="s">
        <v>213</v>
      </c>
      <c r="B24" s="10" t="s">
        <v>1784</v>
      </c>
      <c r="C24" s="10" t="s">
        <v>1787</v>
      </c>
      <c r="D24" s="12">
        <v>-6.12</v>
      </c>
      <c r="E24" s="16">
        <v>32</v>
      </c>
      <c r="F24" s="15">
        <v>0.52292451862807132</v>
      </c>
      <c r="G24" s="24">
        <v>97.6</v>
      </c>
      <c r="H24" s="24">
        <v>112.9</v>
      </c>
      <c r="I24" s="24">
        <v>119.3</v>
      </c>
      <c r="J24" s="15">
        <v>-3.22584105802204</v>
      </c>
      <c r="K24" s="15">
        <v>-1.7288692204979459</v>
      </c>
      <c r="L24" s="15">
        <v>-4.4836458305598024</v>
      </c>
      <c r="M24" s="12">
        <v>30.058542071731569</v>
      </c>
      <c r="N24" s="15">
        <v>-5.4286825989160707</v>
      </c>
    </row>
    <row r="25" spans="1:14" ht="15" customHeight="1" x14ac:dyDescent="0.3">
      <c r="A25" s="10" t="s">
        <v>214</v>
      </c>
      <c r="B25" s="10" t="s">
        <v>1788</v>
      </c>
      <c r="C25" s="10" t="s">
        <v>1790</v>
      </c>
      <c r="D25" s="12">
        <v>3.07</v>
      </c>
      <c r="E25" s="16">
        <v>49</v>
      </c>
      <c r="F25" s="15">
        <v>0.59754043603660834</v>
      </c>
      <c r="G25" s="24">
        <v>100.5</v>
      </c>
      <c r="H25" s="24">
        <v>116.8</v>
      </c>
      <c r="I25" s="24">
        <v>113.5</v>
      </c>
      <c r="J25" s="15">
        <v>0.60690481262687035</v>
      </c>
      <c r="K25" s="15">
        <v>0.2402823570330441</v>
      </c>
      <c r="L25" s="15">
        <v>1.3815403484084749</v>
      </c>
      <c r="M25" s="12">
        <v>44.371378152861233</v>
      </c>
      <c r="N25" s="15">
        <v>0.83673522208964557</v>
      </c>
    </row>
    <row r="26" spans="1:14" ht="15" customHeight="1" x14ac:dyDescent="0.3">
      <c r="A26" s="10" t="s">
        <v>215</v>
      </c>
      <c r="B26" s="10" t="s">
        <v>1788</v>
      </c>
      <c r="C26" s="10" t="s">
        <v>1789</v>
      </c>
      <c r="D26" s="12">
        <v>-4.26</v>
      </c>
      <c r="E26" s="16">
        <v>26</v>
      </c>
      <c r="F26" s="15">
        <v>0.70628653037414968</v>
      </c>
      <c r="G26" s="24">
        <v>100.3</v>
      </c>
      <c r="H26" s="24">
        <v>114.4</v>
      </c>
      <c r="I26" s="24">
        <v>118.9</v>
      </c>
      <c r="J26" s="15">
        <v>-1.2249877918544141</v>
      </c>
      <c r="K26" s="15">
        <v>-2.5985234770427978</v>
      </c>
      <c r="L26" s="15">
        <v>-3.6754615410244842</v>
      </c>
      <c r="M26" s="12">
        <v>32.030757259195227</v>
      </c>
      <c r="N26" s="15">
        <v>-4.408700692123551</v>
      </c>
    </row>
    <row r="27" spans="1:14" ht="15" customHeight="1" x14ac:dyDescent="0.3">
      <c r="A27" s="10" t="s">
        <v>216</v>
      </c>
      <c r="B27" s="10" t="s">
        <v>1784</v>
      </c>
      <c r="C27" s="10" t="s">
        <v>1786</v>
      </c>
      <c r="D27" s="12">
        <v>6.05</v>
      </c>
      <c r="E27" s="16">
        <v>53</v>
      </c>
      <c r="F27" s="15">
        <v>0.7244656431214791</v>
      </c>
      <c r="G27" s="24">
        <v>96.8</v>
      </c>
      <c r="H27" s="24">
        <v>119.8</v>
      </c>
      <c r="I27" s="24">
        <v>113.3</v>
      </c>
      <c r="J27" s="15">
        <v>-0.5463291884331386</v>
      </c>
      <c r="K27" s="15">
        <v>3.6070730358774603E-2</v>
      </c>
      <c r="L27" s="15">
        <v>1.1436952872779409</v>
      </c>
      <c r="M27" s="12">
        <v>43.790963947959312</v>
      </c>
      <c r="N27" s="15">
        <v>0.76837147632827874</v>
      </c>
    </row>
    <row r="28" spans="1:14" ht="15" customHeight="1" x14ac:dyDescent="0.3">
      <c r="A28" s="10" t="s">
        <v>217</v>
      </c>
      <c r="B28" s="10" t="s">
        <v>1788</v>
      </c>
      <c r="C28" s="10" t="s">
        <v>1790</v>
      </c>
      <c r="D28" s="12">
        <v>11.04</v>
      </c>
      <c r="E28" s="16">
        <v>64</v>
      </c>
      <c r="F28" s="15">
        <v>0.73849041199001153</v>
      </c>
      <c r="G28" s="24">
        <v>99.3</v>
      </c>
      <c r="H28" s="24">
        <v>118.9</v>
      </c>
      <c r="I28" s="24">
        <v>107.7</v>
      </c>
      <c r="J28" s="15">
        <v>1.514207457365788</v>
      </c>
      <c r="K28" s="15">
        <v>4.9253260806429884</v>
      </c>
      <c r="L28" s="15">
        <v>7.2630447214094662</v>
      </c>
      <c r="M28" s="12">
        <v>58.724035584789242</v>
      </c>
      <c r="N28" s="15">
        <v>6.7639155893977154</v>
      </c>
    </row>
    <row r="29" spans="1:14" ht="15" customHeight="1" x14ac:dyDescent="0.3">
      <c r="A29" s="10" t="s">
        <v>218</v>
      </c>
      <c r="B29" s="10" t="s">
        <v>1784</v>
      </c>
      <c r="C29" s="10" t="s">
        <v>1785</v>
      </c>
      <c r="D29" s="12">
        <v>0.81</v>
      </c>
      <c r="E29" s="16">
        <v>45</v>
      </c>
      <c r="F29" s="15">
        <v>0.80235573056149811</v>
      </c>
      <c r="G29" s="24">
        <v>100</v>
      </c>
      <c r="H29" s="24">
        <v>114.9</v>
      </c>
      <c r="I29" s="24">
        <v>114.3</v>
      </c>
      <c r="J29" s="15">
        <v>-0.22726576256391601</v>
      </c>
      <c r="K29" s="15">
        <v>1.293359570454921</v>
      </c>
      <c r="L29" s="15">
        <v>1.215013151672516</v>
      </c>
      <c r="M29" s="12">
        <v>43.965001202973667</v>
      </c>
      <c r="N29" s="15">
        <v>0.47310927206586573</v>
      </c>
    </row>
    <row r="30" spans="1:14" ht="15" customHeight="1" x14ac:dyDescent="0.3">
      <c r="A30" s="10" t="s">
        <v>219</v>
      </c>
      <c r="B30" s="10" t="s">
        <v>1784</v>
      </c>
      <c r="C30" s="10" t="s">
        <v>1786</v>
      </c>
      <c r="D30" s="12">
        <v>-0.27</v>
      </c>
      <c r="E30" s="16">
        <v>45</v>
      </c>
      <c r="F30" s="15">
        <v>0.43119104754774928</v>
      </c>
      <c r="G30" s="24">
        <v>99.4</v>
      </c>
      <c r="H30" s="24">
        <v>115.4</v>
      </c>
      <c r="I30" s="24">
        <v>115.5</v>
      </c>
      <c r="J30" s="15">
        <v>1.240402872711011</v>
      </c>
      <c r="K30" s="15">
        <v>-0.16126420842316219</v>
      </c>
      <c r="L30" s="15">
        <v>1.455026471007111</v>
      </c>
      <c r="M30" s="12">
        <v>44.550706616595882</v>
      </c>
      <c r="N30" s="15">
        <v>0.62093936496949698</v>
      </c>
    </row>
    <row r="31" spans="1:14" ht="15" customHeight="1" x14ac:dyDescent="0.3">
      <c r="A31" s="10" t="s">
        <v>220</v>
      </c>
      <c r="B31" s="10" t="s">
        <v>1788</v>
      </c>
      <c r="C31" s="10" t="s">
        <v>1791</v>
      </c>
      <c r="D31" s="12">
        <v>1.75</v>
      </c>
      <c r="E31" s="16">
        <v>45</v>
      </c>
      <c r="F31" s="15">
        <v>0.69114369078951476</v>
      </c>
      <c r="G31" s="24">
        <v>97.2</v>
      </c>
      <c r="H31" s="24">
        <v>115.4</v>
      </c>
      <c r="I31" s="24">
        <v>113.9</v>
      </c>
      <c r="J31" s="15">
        <v>-0.76441327371413037</v>
      </c>
      <c r="K31" s="15">
        <v>-0.42700949705503599</v>
      </c>
      <c r="L31" s="15">
        <v>-0.59905051089990025</v>
      </c>
      <c r="M31" s="12">
        <v>39.538134765854018</v>
      </c>
      <c r="N31" s="15">
        <v>-1.131579348649091</v>
      </c>
    </row>
    <row r="32" spans="1:14" ht="15" customHeight="1" x14ac:dyDescent="0.3">
      <c r="A32" s="10" t="s">
        <v>221</v>
      </c>
      <c r="B32" s="10" t="s">
        <v>1788</v>
      </c>
      <c r="C32" s="10" t="s">
        <v>1790</v>
      </c>
      <c r="D32" s="12">
        <v>-0.28999999999999998</v>
      </c>
      <c r="E32" s="16">
        <v>42</v>
      </c>
      <c r="F32" s="15">
        <v>0.69210270396643814</v>
      </c>
      <c r="G32" s="24">
        <v>100.5</v>
      </c>
      <c r="H32" s="24">
        <v>114.4</v>
      </c>
      <c r="I32" s="24">
        <v>114.7</v>
      </c>
      <c r="J32" s="15">
        <v>0.35401622880627159</v>
      </c>
      <c r="K32" s="15">
        <v>-7.8160656900729004E-3</v>
      </c>
      <c r="L32" s="15">
        <v>1.842316249079345</v>
      </c>
      <c r="M32" s="12">
        <v>45.495811331143919</v>
      </c>
      <c r="N32" s="15">
        <v>0.98768984292031237</v>
      </c>
    </row>
    <row r="33" spans="1:14" ht="15" customHeight="1" x14ac:dyDescent="0.3">
      <c r="A33" s="10" t="s">
        <v>222</v>
      </c>
      <c r="B33" s="10" t="s">
        <v>1788</v>
      </c>
      <c r="C33" s="10" t="s">
        <v>1791</v>
      </c>
      <c r="D33" s="12">
        <v>-9.58</v>
      </c>
      <c r="E33" s="16">
        <v>22</v>
      </c>
      <c r="F33" s="15">
        <v>0.68594390634731484</v>
      </c>
      <c r="G33" s="24">
        <v>99.2</v>
      </c>
      <c r="H33" s="24">
        <v>111.4</v>
      </c>
      <c r="I33" s="24">
        <v>121.5</v>
      </c>
      <c r="J33" s="15">
        <v>-4.6385531955521273</v>
      </c>
      <c r="K33" s="15">
        <v>-2.9053629997603641</v>
      </c>
      <c r="L33" s="15">
        <v>-7.0035772183108183</v>
      </c>
      <c r="M33" s="12">
        <v>23.909143947268561</v>
      </c>
      <c r="N33" s="15">
        <v>-7.8923151548668127</v>
      </c>
    </row>
    <row r="34" spans="1:14" ht="15" customHeight="1" x14ac:dyDescent="0.3">
      <c r="A34" s="10" t="s">
        <v>223</v>
      </c>
      <c r="B34" s="10" t="s">
        <v>1788</v>
      </c>
      <c r="C34" s="10" t="s">
        <v>1789</v>
      </c>
      <c r="D34" s="12">
        <v>8.2799999999999994</v>
      </c>
      <c r="E34" s="16">
        <v>62</v>
      </c>
      <c r="F34" s="15">
        <v>0.76366048673179443</v>
      </c>
      <c r="G34" s="24">
        <v>99.9</v>
      </c>
      <c r="H34" s="24">
        <v>119.6</v>
      </c>
      <c r="I34" s="24">
        <v>111.3</v>
      </c>
      <c r="J34" s="15">
        <v>1.8224579040888951</v>
      </c>
      <c r="K34" s="15">
        <v>1.7121929994256271</v>
      </c>
      <c r="L34" s="15">
        <v>5.3015700952196552</v>
      </c>
      <c r="M34" s="12">
        <v>53.937441613975452</v>
      </c>
      <c r="N34" s="15">
        <v>4.7363952076923059</v>
      </c>
    </row>
    <row r="35" spans="1:14" ht="15" customHeight="1" x14ac:dyDescent="0.3">
      <c r="A35" s="10" t="s">
        <v>224</v>
      </c>
      <c r="B35" s="10" t="s">
        <v>1784</v>
      </c>
      <c r="C35" s="10" t="s">
        <v>1786</v>
      </c>
      <c r="D35" s="12">
        <v>2.75</v>
      </c>
      <c r="E35" s="16">
        <v>46</v>
      </c>
      <c r="F35" s="15">
        <v>0.63130303795269083</v>
      </c>
      <c r="G35" s="24">
        <v>98.4</v>
      </c>
      <c r="H35" s="24">
        <v>115.9</v>
      </c>
      <c r="I35" s="24">
        <v>113</v>
      </c>
      <c r="J35" s="15">
        <v>0.3555951461734162</v>
      </c>
      <c r="K35" s="15">
        <v>1.574631491637339</v>
      </c>
      <c r="L35" s="15">
        <v>3.7120915231223521</v>
      </c>
      <c r="M35" s="12">
        <v>50.058631025067839</v>
      </c>
      <c r="N35" s="15">
        <v>2.9610035881076828</v>
      </c>
    </row>
    <row r="36" spans="1:14" ht="15" customHeight="1" x14ac:dyDescent="0.3">
      <c r="A36" s="10" t="s">
        <v>225</v>
      </c>
      <c r="B36" s="10" t="s">
        <v>1788</v>
      </c>
      <c r="C36" s="10" t="s">
        <v>1790</v>
      </c>
      <c r="D36" s="12">
        <v>-8.0500000000000007</v>
      </c>
      <c r="E36" s="16">
        <v>22</v>
      </c>
      <c r="F36" s="15">
        <v>0.66012777634717801</v>
      </c>
      <c r="G36" s="24">
        <v>102.3</v>
      </c>
      <c r="H36" s="24">
        <v>114.1</v>
      </c>
      <c r="I36" s="24">
        <v>122.3</v>
      </c>
      <c r="J36" s="15">
        <v>-1.0346093000304259</v>
      </c>
      <c r="K36" s="15">
        <v>-3.260171355707933</v>
      </c>
      <c r="L36" s="15">
        <v>-3.1678674143917882</v>
      </c>
      <c r="M36" s="12">
        <v>33.269441131889607</v>
      </c>
      <c r="N36" s="15">
        <v>-4.2484965663900747</v>
      </c>
    </row>
    <row r="37" spans="1:14" ht="15" customHeight="1" x14ac:dyDescent="0.3">
      <c r="A37" s="10" t="s">
        <v>226</v>
      </c>
      <c r="B37" s="10" t="s">
        <v>1784</v>
      </c>
      <c r="C37" s="10" t="s">
        <v>1785</v>
      </c>
      <c r="D37" s="12">
        <v>-11.62</v>
      </c>
      <c r="E37" s="16">
        <v>17</v>
      </c>
      <c r="F37" s="15">
        <v>0.65079777793360005</v>
      </c>
      <c r="G37" s="24">
        <v>101.4</v>
      </c>
      <c r="H37" s="24">
        <v>111</v>
      </c>
      <c r="I37" s="24">
        <v>122.7</v>
      </c>
      <c r="J37" s="15">
        <v>-2.5579415976732252</v>
      </c>
      <c r="K37" s="15">
        <v>-3.4959977783349792</v>
      </c>
      <c r="L37" s="15">
        <v>-5.4033573101954264</v>
      </c>
      <c r="M37" s="12">
        <v>27.81416665920656</v>
      </c>
      <c r="N37" s="15">
        <v>-6.6059901713147902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J634"/>
  <sheetViews>
    <sheetView showGridLines="0" workbookViewId="0"/>
  </sheetViews>
  <sheetFormatPr defaultRowHeight="14.4" x14ac:dyDescent="0.3"/>
  <cols>
    <col min="1" max="1" width="14" customWidth="1"/>
    <col min="2" max="2" width="28" customWidth="1"/>
    <col min="3" max="10" width="14" customWidth="1"/>
  </cols>
  <sheetData>
    <row r="1" spans="1:10" ht="15" customHeight="1" x14ac:dyDescent="0.3">
      <c r="A1" s="1" t="s">
        <v>0</v>
      </c>
      <c r="B1" s="2"/>
      <c r="C1" s="2"/>
      <c r="D1" s="2"/>
      <c r="E1" s="2"/>
      <c r="F1" s="2"/>
      <c r="G1" s="2"/>
      <c r="H1" s="2"/>
    </row>
    <row r="2" spans="1:10" ht="15" customHeight="1" x14ac:dyDescent="0.3">
      <c r="A2" s="3" t="s">
        <v>1792</v>
      </c>
    </row>
    <row r="3" spans="1:10" ht="15" customHeight="1" x14ac:dyDescent="0.3">
      <c r="A3" s="4" t="s">
        <v>2</v>
      </c>
    </row>
    <row r="4" spans="1:10" ht="6" customHeight="1" x14ac:dyDescent="0.3"/>
    <row r="5" spans="1:10" ht="15" customHeight="1" x14ac:dyDescent="0.3"/>
    <row r="6" spans="1:10" ht="15" customHeight="1" x14ac:dyDescent="0.3"/>
    <row r="7" spans="1:10" ht="30" customHeight="1" x14ac:dyDescent="0.3">
      <c r="A7" s="11" t="s">
        <v>195</v>
      </c>
      <c r="B7" s="11" t="s">
        <v>189</v>
      </c>
      <c r="C7" s="11" t="s">
        <v>1793</v>
      </c>
      <c r="D7" s="11" t="s">
        <v>1794</v>
      </c>
      <c r="E7" s="11" t="s">
        <v>1795</v>
      </c>
      <c r="F7" s="11" t="s">
        <v>875</v>
      </c>
      <c r="G7" s="11" t="s">
        <v>876</v>
      </c>
      <c r="H7" s="11" t="s">
        <v>877</v>
      </c>
      <c r="I7" s="11" t="s">
        <v>1796</v>
      </c>
      <c r="J7" s="11" t="s">
        <v>1797</v>
      </c>
    </row>
    <row r="8" spans="1:10" ht="15" customHeight="1" x14ac:dyDescent="0.3">
      <c r="A8" s="10" t="s">
        <v>197</v>
      </c>
      <c r="B8" s="10" t="s">
        <v>316</v>
      </c>
      <c r="C8" s="10" t="s">
        <v>1798</v>
      </c>
      <c r="D8" s="24">
        <v>24</v>
      </c>
      <c r="E8" s="15">
        <v>2.420577837703163</v>
      </c>
      <c r="F8" s="24">
        <v>1729.599919365799</v>
      </c>
      <c r="G8" s="24">
        <v>28.207876848042911</v>
      </c>
      <c r="H8" s="24">
        <v>61.316203579703313</v>
      </c>
      <c r="I8" s="16">
        <v>0</v>
      </c>
      <c r="J8" s="24">
        <v>1</v>
      </c>
    </row>
    <row r="9" spans="1:10" ht="15" customHeight="1" x14ac:dyDescent="0.3">
      <c r="A9" s="10" t="s">
        <v>197</v>
      </c>
      <c r="B9" s="10" t="s">
        <v>332</v>
      </c>
      <c r="C9" s="10" t="s">
        <v>1799</v>
      </c>
      <c r="D9" s="24">
        <v>23</v>
      </c>
      <c r="E9" s="15">
        <v>1.70262971333376</v>
      </c>
      <c r="F9" s="24">
        <v>1714.8943558508199</v>
      </c>
      <c r="G9" s="24">
        <v>25.9299236312572</v>
      </c>
      <c r="H9" s="24">
        <v>66.135727209917519</v>
      </c>
      <c r="I9" s="16">
        <v>0</v>
      </c>
      <c r="J9" s="24">
        <v>1.2</v>
      </c>
    </row>
    <row r="10" spans="1:10" ht="15" customHeight="1" x14ac:dyDescent="0.3">
      <c r="A10" s="10" t="s">
        <v>197</v>
      </c>
      <c r="B10" s="10" t="s">
        <v>1800</v>
      </c>
      <c r="C10" s="10" t="s">
        <v>1801</v>
      </c>
      <c r="D10" s="24">
        <v>28</v>
      </c>
      <c r="E10" s="15">
        <v>1.0240114569381109</v>
      </c>
      <c r="F10" s="24">
        <v>1583.0927308338789</v>
      </c>
      <c r="G10" s="24">
        <v>23.849744885709629</v>
      </c>
      <c r="H10" s="24">
        <v>66.377763721172627</v>
      </c>
      <c r="I10" s="16">
        <v>0</v>
      </c>
      <c r="J10" s="24">
        <v>1.2</v>
      </c>
    </row>
    <row r="11" spans="1:10" ht="15" customHeight="1" x14ac:dyDescent="0.3">
      <c r="A11" s="10" t="s">
        <v>197</v>
      </c>
      <c r="B11" s="10" t="s">
        <v>1802</v>
      </c>
      <c r="C11" s="10" t="s">
        <v>1803</v>
      </c>
      <c r="D11" s="24">
        <v>25</v>
      </c>
      <c r="E11" s="15">
        <v>1.6962469297865961</v>
      </c>
      <c r="F11" s="24">
        <v>1560.8407717532741</v>
      </c>
      <c r="G11" s="24">
        <v>23.923691525717601</v>
      </c>
      <c r="H11" s="24">
        <v>65.242471885051444</v>
      </c>
      <c r="I11" s="16">
        <v>0</v>
      </c>
      <c r="J11" s="24">
        <v>2</v>
      </c>
    </row>
    <row r="12" spans="1:10" ht="15" customHeight="1" x14ac:dyDescent="0.3">
      <c r="A12" s="10" t="s">
        <v>197</v>
      </c>
      <c r="B12" s="10" t="s">
        <v>1804</v>
      </c>
      <c r="C12" s="10" t="s">
        <v>1805</v>
      </c>
      <c r="D12" s="24">
        <v>35</v>
      </c>
      <c r="E12" s="15">
        <v>0.46075624679885629</v>
      </c>
      <c r="F12" s="24">
        <v>1534.0107435150751</v>
      </c>
      <c r="G12" s="24">
        <v>25.331059825088531</v>
      </c>
      <c r="H12" s="24">
        <v>60.558490410880928</v>
      </c>
      <c r="I12" s="16">
        <v>0</v>
      </c>
      <c r="J12" s="24">
        <v>1.4</v>
      </c>
    </row>
    <row r="13" spans="1:10" ht="15" customHeight="1" x14ac:dyDescent="0.3">
      <c r="A13" s="10" t="s">
        <v>197</v>
      </c>
      <c r="B13" s="10" t="s">
        <v>488</v>
      </c>
      <c r="C13" s="10" t="s">
        <v>1806</v>
      </c>
      <c r="D13" s="24">
        <v>27</v>
      </c>
      <c r="E13" s="15">
        <v>-0.56526811186765369</v>
      </c>
      <c r="F13" s="24">
        <v>1449.7159033142259</v>
      </c>
      <c r="G13" s="24">
        <v>22.88930701501905</v>
      </c>
      <c r="H13" s="24">
        <v>63.335945573318611</v>
      </c>
      <c r="I13" s="16">
        <v>0</v>
      </c>
      <c r="J13" s="24">
        <v>-0.2</v>
      </c>
    </row>
    <row r="14" spans="1:10" ht="15" customHeight="1" x14ac:dyDescent="0.3">
      <c r="A14" s="10" t="s">
        <v>197</v>
      </c>
      <c r="B14" s="10" t="s">
        <v>1807</v>
      </c>
      <c r="C14" s="10" t="s">
        <v>1808</v>
      </c>
      <c r="D14" s="24">
        <v>27</v>
      </c>
      <c r="E14" s="15">
        <v>-2.0257826169874651</v>
      </c>
      <c r="F14" s="24">
        <v>1110.1888530858339</v>
      </c>
      <c r="G14" s="24">
        <v>18.615566296910451</v>
      </c>
      <c r="H14" s="24">
        <v>59.637662125276741</v>
      </c>
      <c r="I14" s="16">
        <v>0</v>
      </c>
      <c r="J14" s="24">
        <v>-1.8</v>
      </c>
    </row>
    <row r="15" spans="1:10" ht="15" customHeight="1" x14ac:dyDescent="0.3">
      <c r="A15" s="10" t="s">
        <v>197</v>
      </c>
      <c r="B15" s="10" t="s">
        <v>347</v>
      </c>
      <c r="C15" s="10" t="s">
        <v>1809</v>
      </c>
      <c r="D15" s="24">
        <v>19</v>
      </c>
      <c r="E15" s="15">
        <v>-1.6831063290160759</v>
      </c>
      <c r="F15" s="24">
        <v>1095.972250277149</v>
      </c>
      <c r="G15" s="24">
        <v>18.950623285452629</v>
      </c>
      <c r="H15" s="24">
        <v>57.833045054431963</v>
      </c>
      <c r="I15" s="16">
        <v>1</v>
      </c>
      <c r="J15" s="24" t="s">
        <v>33</v>
      </c>
    </row>
    <row r="16" spans="1:10" ht="15" customHeight="1" x14ac:dyDescent="0.3">
      <c r="A16" s="10" t="s">
        <v>197</v>
      </c>
      <c r="B16" s="10" t="s">
        <v>359</v>
      </c>
      <c r="C16" s="10" t="s">
        <v>1810</v>
      </c>
      <c r="D16" s="24">
        <v>27</v>
      </c>
      <c r="E16" s="15">
        <v>8.0555014044576698E-2</v>
      </c>
      <c r="F16" s="24">
        <v>1090.0960651600969</v>
      </c>
      <c r="G16" s="24">
        <v>17.35902796079807</v>
      </c>
      <c r="H16" s="24">
        <v>62.797068339417571</v>
      </c>
      <c r="I16" s="16">
        <v>0</v>
      </c>
      <c r="J16" s="24">
        <v>0</v>
      </c>
    </row>
    <row r="17" spans="1:10" ht="15" customHeight="1" x14ac:dyDescent="0.3">
      <c r="A17" s="10" t="s">
        <v>197</v>
      </c>
      <c r="B17" s="10" t="s">
        <v>1811</v>
      </c>
      <c r="C17" s="10" t="s">
        <v>1812</v>
      </c>
      <c r="D17" s="24">
        <v>33</v>
      </c>
      <c r="E17" s="15">
        <v>-1.6581075310134401</v>
      </c>
      <c r="F17" s="24">
        <v>1039.3141204134679</v>
      </c>
      <c r="G17" s="24">
        <v>19.818596869862631</v>
      </c>
      <c r="H17" s="24">
        <v>52.441357339172299</v>
      </c>
      <c r="I17" s="16">
        <v>0</v>
      </c>
      <c r="J17" s="24">
        <v>-0.8</v>
      </c>
    </row>
    <row r="18" spans="1:10" ht="15" customHeight="1" x14ac:dyDescent="0.3">
      <c r="A18" s="10" t="s">
        <v>197</v>
      </c>
      <c r="B18" s="10" t="s">
        <v>1813</v>
      </c>
      <c r="C18" s="10" t="s">
        <v>1814</v>
      </c>
      <c r="D18" s="24">
        <v>25</v>
      </c>
      <c r="E18" s="15">
        <v>-2.5782312848089628</v>
      </c>
      <c r="F18" s="24">
        <v>993.84401700424178</v>
      </c>
      <c r="G18" s="24">
        <v>16.377994376275559</v>
      </c>
      <c r="H18" s="24">
        <v>60.681667985176531</v>
      </c>
      <c r="I18" s="16">
        <v>0</v>
      </c>
      <c r="J18" s="24">
        <v>-1.6</v>
      </c>
    </row>
    <row r="19" spans="1:10" ht="15" customHeight="1" x14ac:dyDescent="0.3">
      <c r="A19" s="10" t="s">
        <v>197</v>
      </c>
      <c r="B19" s="10" t="s">
        <v>1815</v>
      </c>
      <c r="C19" s="10" t="s">
        <v>1816</v>
      </c>
      <c r="D19" s="24">
        <v>30</v>
      </c>
      <c r="E19" s="15">
        <v>-0.55777035878197612</v>
      </c>
      <c r="F19" s="24">
        <v>904.74351579784502</v>
      </c>
      <c r="G19" s="24">
        <v>15.202514607305959</v>
      </c>
      <c r="H19" s="24">
        <v>59.512754249421818</v>
      </c>
      <c r="I19" s="16">
        <v>0</v>
      </c>
      <c r="J19" s="24">
        <v>-0.7</v>
      </c>
    </row>
    <row r="20" spans="1:10" ht="15" customHeight="1" x14ac:dyDescent="0.3">
      <c r="A20" s="10" t="s">
        <v>197</v>
      </c>
      <c r="B20" s="10" t="s">
        <v>1817</v>
      </c>
      <c r="C20" s="10" t="s">
        <v>1818</v>
      </c>
      <c r="D20" s="24">
        <v>23</v>
      </c>
      <c r="E20" s="15">
        <v>0.29039849087799491</v>
      </c>
      <c r="F20" s="24">
        <v>798.91908107340544</v>
      </c>
      <c r="G20" s="24">
        <v>12.808465784748449</v>
      </c>
      <c r="H20" s="24">
        <v>62.374299506246118</v>
      </c>
      <c r="I20" s="16">
        <v>0</v>
      </c>
      <c r="J20" s="24">
        <v>0.9</v>
      </c>
    </row>
    <row r="21" spans="1:10" ht="15" customHeight="1" x14ac:dyDescent="0.3">
      <c r="A21" s="10" t="s">
        <v>197</v>
      </c>
      <c r="B21" s="10" t="s">
        <v>1819</v>
      </c>
      <c r="C21" s="10" t="s">
        <v>1820</v>
      </c>
      <c r="D21" s="24">
        <v>22</v>
      </c>
      <c r="E21" s="15">
        <v>-7.6121039931339202E-2</v>
      </c>
      <c r="F21" s="24">
        <v>643.54416822483427</v>
      </c>
      <c r="G21" s="24">
        <v>14.7806192200793</v>
      </c>
      <c r="H21" s="24">
        <v>43.539729874820587</v>
      </c>
      <c r="I21" s="16">
        <v>1</v>
      </c>
      <c r="J21" s="24" t="s">
        <v>33</v>
      </c>
    </row>
    <row r="22" spans="1:10" ht="15" customHeight="1" x14ac:dyDescent="0.3">
      <c r="A22" s="10" t="s">
        <v>197</v>
      </c>
      <c r="B22" s="10" t="s">
        <v>1821</v>
      </c>
      <c r="C22" s="10" t="s">
        <v>1822</v>
      </c>
      <c r="D22" s="24">
        <v>21</v>
      </c>
      <c r="E22" s="15">
        <v>-0.55485403312526116</v>
      </c>
      <c r="F22" s="24">
        <v>541.95748804870709</v>
      </c>
      <c r="G22" s="24">
        <v>9.8281051843308553</v>
      </c>
      <c r="H22" s="24">
        <v>55.143639377482522</v>
      </c>
      <c r="I22" s="16">
        <v>0</v>
      </c>
      <c r="J22" s="24">
        <v>-0.6</v>
      </c>
    </row>
    <row r="23" spans="1:10" ht="15" customHeight="1" x14ac:dyDescent="0.3">
      <c r="A23" s="10" t="s">
        <v>197</v>
      </c>
      <c r="B23" s="10" t="s">
        <v>1823</v>
      </c>
      <c r="C23" s="10" t="s">
        <v>1824</v>
      </c>
      <c r="D23" s="24">
        <v>23</v>
      </c>
      <c r="E23" s="15">
        <v>-1.3488091667937741</v>
      </c>
      <c r="F23" s="24">
        <v>471.01182640548689</v>
      </c>
      <c r="G23" s="24">
        <v>11.399689186716889</v>
      </c>
      <c r="H23" s="24">
        <v>41.317953383704349</v>
      </c>
      <c r="I23" s="16">
        <v>0</v>
      </c>
      <c r="J23" s="24">
        <v>-1.2</v>
      </c>
    </row>
    <row r="24" spans="1:10" ht="15" customHeight="1" x14ac:dyDescent="0.3">
      <c r="A24" s="10" t="s">
        <v>197</v>
      </c>
      <c r="B24" s="10" t="s">
        <v>1825</v>
      </c>
      <c r="C24" s="10" t="s">
        <v>1826</v>
      </c>
      <c r="D24" s="24">
        <v>25</v>
      </c>
      <c r="E24" s="15">
        <v>-2.07245833419675</v>
      </c>
      <c r="F24" s="24">
        <v>423.53731287670269</v>
      </c>
      <c r="G24" s="24">
        <v>9.404595863802232</v>
      </c>
      <c r="H24" s="24">
        <v>45.035142286855127</v>
      </c>
      <c r="I24" s="16">
        <v>0</v>
      </c>
      <c r="J24" s="24">
        <v>-1.7</v>
      </c>
    </row>
    <row r="25" spans="1:10" ht="15" customHeight="1" x14ac:dyDescent="0.3">
      <c r="A25" s="10" t="s">
        <v>197</v>
      </c>
      <c r="B25" s="10" t="s">
        <v>1827</v>
      </c>
      <c r="C25" s="10" t="s">
        <v>1828</v>
      </c>
      <c r="D25" s="24">
        <v>27</v>
      </c>
      <c r="E25" s="15">
        <v>-3.1867960702466678</v>
      </c>
      <c r="F25" s="24">
        <v>331.57229233305083</v>
      </c>
      <c r="G25" s="24">
        <v>10.92916635448073</v>
      </c>
      <c r="H25" s="24">
        <v>30.338296772023529</v>
      </c>
      <c r="I25" s="16">
        <v>1</v>
      </c>
      <c r="J25" s="24" t="s">
        <v>33</v>
      </c>
    </row>
    <row r="26" spans="1:10" ht="15" customHeight="1" x14ac:dyDescent="0.3">
      <c r="A26" s="10" t="s">
        <v>197</v>
      </c>
      <c r="B26" s="10" t="s">
        <v>1829</v>
      </c>
      <c r="C26" s="10" t="s">
        <v>1830</v>
      </c>
      <c r="D26" s="24">
        <v>22</v>
      </c>
      <c r="E26" s="15">
        <v>-3.1867960702466678</v>
      </c>
      <c r="F26" s="24">
        <v>331.57229233305083</v>
      </c>
      <c r="G26" s="24">
        <v>10.92916635448073</v>
      </c>
      <c r="H26" s="24">
        <v>30.338296772023529</v>
      </c>
      <c r="I26" s="16">
        <v>1</v>
      </c>
      <c r="J26" s="24" t="s">
        <v>33</v>
      </c>
    </row>
    <row r="27" spans="1:10" ht="15" customHeight="1" x14ac:dyDescent="0.3">
      <c r="A27" s="10" t="s">
        <v>197</v>
      </c>
      <c r="B27" s="10" t="s">
        <v>1831</v>
      </c>
      <c r="C27" s="10" t="s">
        <v>1832</v>
      </c>
      <c r="D27" s="24">
        <v>23</v>
      </c>
      <c r="E27" s="15">
        <v>-3.1867960702466678</v>
      </c>
      <c r="F27" s="24">
        <v>331.57229233305083</v>
      </c>
      <c r="G27" s="24">
        <v>10.92916635448073</v>
      </c>
      <c r="H27" s="24">
        <v>30.338296772023529</v>
      </c>
      <c r="I27" s="16">
        <v>1</v>
      </c>
      <c r="J27" s="24" t="s">
        <v>33</v>
      </c>
    </row>
    <row r="28" spans="1:10" ht="15" customHeight="1" x14ac:dyDescent="0.3">
      <c r="A28" s="10" t="s">
        <v>197</v>
      </c>
      <c r="B28" s="10" t="s">
        <v>1833</v>
      </c>
      <c r="C28" s="10" t="s">
        <v>1834</v>
      </c>
      <c r="D28" s="24">
        <v>22</v>
      </c>
      <c r="E28" s="15">
        <v>-1.607989884524351</v>
      </c>
      <c r="F28" s="24">
        <v>0</v>
      </c>
      <c r="G28" s="24">
        <v>0</v>
      </c>
      <c r="H28" s="24">
        <v>0</v>
      </c>
      <c r="I28" s="16">
        <v>1</v>
      </c>
      <c r="J28" s="24" t="s">
        <v>33</v>
      </c>
    </row>
    <row r="29" spans="1:10" ht="15" customHeight="1" x14ac:dyDescent="0.3">
      <c r="A29" s="10" t="s">
        <v>198</v>
      </c>
      <c r="B29" s="10" t="s">
        <v>466</v>
      </c>
      <c r="C29" s="10" t="s">
        <v>1835</v>
      </c>
      <c r="D29" s="24">
        <v>31</v>
      </c>
      <c r="E29" s="15">
        <v>0.55210903489740715</v>
      </c>
      <c r="F29" s="24">
        <v>1945.321537366849</v>
      </c>
      <c r="G29" s="24">
        <v>30.194633777807979</v>
      </c>
      <c r="H29" s="24">
        <v>64.426068276959668</v>
      </c>
      <c r="I29" s="16">
        <v>0</v>
      </c>
      <c r="J29" s="24">
        <v>-0.1</v>
      </c>
    </row>
    <row r="30" spans="1:10" ht="15" customHeight="1" x14ac:dyDescent="0.3">
      <c r="A30" s="10" t="s">
        <v>198</v>
      </c>
      <c r="B30" s="10" t="s">
        <v>1836</v>
      </c>
      <c r="C30" s="10" t="s">
        <v>1837</v>
      </c>
      <c r="D30" s="24">
        <v>28</v>
      </c>
      <c r="E30" s="15">
        <v>1.475640789718208</v>
      </c>
      <c r="F30" s="24">
        <v>1903.808357692061</v>
      </c>
      <c r="G30" s="24">
        <v>30.269767169003689</v>
      </c>
      <c r="H30" s="24">
        <v>62.894714289099817</v>
      </c>
      <c r="I30" s="16">
        <v>0</v>
      </c>
      <c r="J30" s="24">
        <v>1.3</v>
      </c>
    </row>
    <row r="31" spans="1:10" ht="15" customHeight="1" x14ac:dyDescent="0.3">
      <c r="A31" s="10" t="s">
        <v>198</v>
      </c>
      <c r="B31" s="10" t="s">
        <v>388</v>
      </c>
      <c r="C31" s="10" t="s">
        <v>1838</v>
      </c>
      <c r="D31" s="24">
        <v>20</v>
      </c>
      <c r="E31" s="15">
        <v>-0.62092393886208641</v>
      </c>
      <c r="F31" s="24">
        <v>1400.518361314096</v>
      </c>
      <c r="G31" s="24">
        <v>21.62901817184267</v>
      </c>
      <c r="H31" s="24">
        <v>64.751823230577074</v>
      </c>
      <c r="I31" s="16">
        <v>0</v>
      </c>
      <c r="J31" s="24">
        <v>-1</v>
      </c>
    </row>
    <row r="32" spans="1:10" ht="15" customHeight="1" x14ac:dyDescent="0.3">
      <c r="A32" s="10" t="s">
        <v>198</v>
      </c>
      <c r="B32" s="10" t="s">
        <v>1839</v>
      </c>
      <c r="C32" s="10" t="s">
        <v>1840</v>
      </c>
      <c r="D32" s="24">
        <v>20</v>
      </c>
      <c r="E32" s="15">
        <v>-3.1014860294846041</v>
      </c>
      <c r="F32" s="24">
        <v>1390.264418404204</v>
      </c>
      <c r="G32" s="24">
        <v>22.522893137525859</v>
      </c>
      <c r="H32" s="24">
        <v>61.726724444998368</v>
      </c>
      <c r="I32" s="16">
        <v>1</v>
      </c>
      <c r="J32" s="24" t="s">
        <v>33</v>
      </c>
    </row>
    <row r="33" spans="1:10" ht="15" customHeight="1" x14ac:dyDescent="0.3">
      <c r="A33" s="10" t="s">
        <v>198</v>
      </c>
      <c r="B33" s="10" t="s">
        <v>1841</v>
      </c>
      <c r="C33" s="10" t="s">
        <v>1842</v>
      </c>
      <c r="D33" s="24">
        <v>22</v>
      </c>
      <c r="E33" s="15">
        <v>-1.9094844028947</v>
      </c>
      <c r="F33" s="24">
        <v>1374.776688830168</v>
      </c>
      <c r="G33" s="24">
        <v>22.58837128760057</v>
      </c>
      <c r="H33" s="24">
        <v>60.862143238491228</v>
      </c>
      <c r="I33" s="16">
        <v>0</v>
      </c>
      <c r="J33" s="24">
        <v>-1.6</v>
      </c>
    </row>
    <row r="34" spans="1:10" ht="15" customHeight="1" x14ac:dyDescent="0.3">
      <c r="A34" s="10" t="s">
        <v>198</v>
      </c>
      <c r="B34" s="10" t="s">
        <v>1843</v>
      </c>
      <c r="C34" s="10" t="s">
        <v>1844</v>
      </c>
      <c r="D34" s="24">
        <v>29</v>
      </c>
      <c r="E34" s="15">
        <v>-2.4328717680070731</v>
      </c>
      <c r="F34" s="24">
        <v>1319.818809161244</v>
      </c>
      <c r="G34" s="24">
        <v>21.665181825987439</v>
      </c>
      <c r="H34" s="24">
        <v>60.918889107965761</v>
      </c>
      <c r="I34" s="16">
        <v>0</v>
      </c>
      <c r="J34" s="24">
        <v>-2.4</v>
      </c>
    </row>
    <row r="35" spans="1:10" ht="15" customHeight="1" x14ac:dyDescent="0.3">
      <c r="A35" s="10" t="s">
        <v>198</v>
      </c>
      <c r="B35" s="10" t="s">
        <v>1845</v>
      </c>
      <c r="C35" s="10" t="s">
        <v>1846</v>
      </c>
      <c r="D35" s="24">
        <v>26</v>
      </c>
      <c r="E35" s="15">
        <v>0.83809071962110693</v>
      </c>
      <c r="F35" s="24">
        <v>1290.179089392961</v>
      </c>
      <c r="G35" s="24">
        <v>19.807608545201521</v>
      </c>
      <c r="H35" s="24">
        <v>65.135530442695099</v>
      </c>
      <c r="I35" s="16">
        <v>0</v>
      </c>
      <c r="J35" s="24">
        <v>0.8</v>
      </c>
    </row>
    <row r="36" spans="1:10" ht="15" customHeight="1" x14ac:dyDescent="0.3">
      <c r="A36" s="10" t="s">
        <v>198</v>
      </c>
      <c r="B36" s="10" t="s">
        <v>1847</v>
      </c>
      <c r="C36" s="10" t="s">
        <v>1848</v>
      </c>
      <c r="D36" s="24">
        <v>20</v>
      </c>
      <c r="E36" s="15">
        <v>-3.2848360324300301</v>
      </c>
      <c r="F36" s="24">
        <v>1135.190712431666</v>
      </c>
      <c r="G36" s="24">
        <v>19.163618449360861</v>
      </c>
      <c r="H36" s="24">
        <v>59.236762380307503</v>
      </c>
      <c r="I36" s="16">
        <v>0</v>
      </c>
      <c r="J36" s="24">
        <v>-2.4</v>
      </c>
    </row>
    <row r="37" spans="1:10" ht="15" customHeight="1" x14ac:dyDescent="0.3">
      <c r="A37" s="10" t="s">
        <v>198</v>
      </c>
      <c r="B37" s="10" t="s">
        <v>1849</v>
      </c>
      <c r="C37" s="10" t="s">
        <v>1850</v>
      </c>
      <c r="D37" s="24">
        <v>21</v>
      </c>
      <c r="E37" s="15">
        <v>-3.5993882364454528</v>
      </c>
      <c r="F37" s="24">
        <v>1134.388773852241</v>
      </c>
      <c r="G37" s="24">
        <v>18.38770892892348</v>
      </c>
      <c r="H37" s="24">
        <v>61.692774137177658</v>
      </c>
      <c r="I37" s="16">
        <v>0</v>
      </c>
      <c r="J37" s="24">
        <v>-3.3</v>
      </c>
    </row>
    <row r="38" spans="1:10" ht="15" customHeight="1" x14ac:dyDescent="0.3">
      <c r="A38" s="10" t="s">
        <v>198</v>
      </c>
      <c r="B38" s="10" t="s">
        <v>1851</v>
      </c>
      <c r="C38" s="10" t="s">
        <v>1852</v>
      </c>
      <c r="D38" s="24">
        <v>22</v>
      </c>
      <c r="E38" s="15">
        <v>-1.310734606351476</v>
      </c>
      <c r="F38" s="24">
        <v>1082.4432307067909</v>
      </c>
      <c r="G38" s="24">
        <v>18.153776409772171</v>
      </c>
      <c r="H38" s="24">
        <v>59.626339240584237</v>
      </c>
      <c r="I38" s="16">
        <v>0</v>
      </c>
      <c r="J38" s="24">
        <v>-1.3</v>
      </c>
    </row>
    <row r="39" spans="1:10" ht="15" customHeight="1" x14ac:dyDescent="0.3">
      <c r="A39" s="10" t="s">
        <v>198</v>
      </c>
      <c r="B39" s="10" t="s">
        <v>1853</v>
      </c>
      <c r="C39" s="10" t="s">
        <v>1854</v>
      </c>
      <c r="D39" s="24">
        <v>24</v>
      </c>
      <c r="E39" s="15">
        <v>1.266880428609781</v>
      </c>
      <c r="F39" s="24">
        <v>1065.4012904712879</v>
      </c>
      <c r="G39" s="24">
        <v>16.548049293569971</v>
      </c>
      <c r="H39" s="24">
        <v>64.382288907325631</v>
      </c>
      <c r="I39" s="16">
        <v>0</v>
      </c>
      <c r="J39" s="24">
        <v>1</v>
      </c>
    </row>
    <row r="40" spans="1:10" ht="15" customHeight="1" x14ac:dyDescent="0.3">
      <c r="A40" s="10" t="s">
        <v>198</v>
      </c>
      <c r="B40" s="10" t="s">
        <v>1855</v>
      </c>
      <c r="C40" s="10" t="s">
        <v>1856</v>
      </c>
      <c r="D40" s="24">
        <v>20</v>
      </c>
      <c r="E40" s="15">
        <v>-3.808178871803821</v>
      </c>
      <c r="F40" s="24">
        <v>978.68917381295239</v>
      </c>
      <c r="G40" s="24">
        <v>17.761903513172989</v>
      </c>
      <c r="H40" s="24">
        <v>55.100466742605278</v>
      </c>
      <c r="I40" s="16">
        <v>0</v>
      </c>
      <c r="J40" s="24">
        <v>-3.4</v>
      </c>
    </row>
    <row r="41" spans="1:10" ht="15" customHeight="1" x14ac:dyDescent="0.3">
      <c r="A41" s="10" t="s">
        <v>198</v>
      </c>
      <c r="B41" s="10" t="s">
        <v>1857</v>
      </c>
      <c r="C41" s="10" t="s">
        <v>1858</v>
      </c>
      <c r="D41" s="24">
        <v>29</v>
      </c>
      <c r="E41" s="15">
        <v>-0.74313631069060371</v>
      </c>
      <c r="F41" s="24">
        <v>730.72262727143857</v>
      </c>
      <c r="G41" s="24">
        <v>14.41864303076656</v>
      </c>
      <c r="H41" s="24">
        <v>50.679015057950991</v>
      </c>
      <c r="I41" s="16">
        <v>0</v>
      </c>
      <c r="J41" s="24">
        <v>-1.6</v>
      </c>
    </row>
    <row r="42" spans="1:10" ht="15" customHeight="1" x14ac:dyDescent="0.3">
      <c r="A42" s="10" t="s">
        <v>198</v>
      </c>
      <c r="B42" s="10" t="s">
        <v>1859</v>
      </c>
      <c r="C42" s="10" t="s">
        <v>1860</v>
      </c>
      <c r="D42" s="24">
        <v>24</v>
      </c>
      <c r="E42" s="15">
        <v>-0.73876702815027051</v>
      </c>
      <c r="F42" s="24">
        <v>721.27288010003565</v>
      </c>
      <c r="G42" s="24">
        <v>15.77665426101634</v>
      </c>
      <c r="H42" s="24">
        <v>45.717733821566981</v>
      </c>
      <c r="I42" s="16">
        <v>0</v>
      </c>
      <c r="J42" s="24">
        <v>-1</v>
      </c>
    </row>
    <row r="43" spans="1:10" ht="15" customHeight="1" x14ac:dyDescent="0.3">
      <c r="A43" s="10" t="s">
        <v>198</v>
      </c>
      <c r="B43" s="10" t="s">
        <v>1861</v>
      </c>
      <c r="C43" s="10" t="s">
        <v>1862</v>
      </c>
      <c r="D43" s="24">
        <v>22</v>
      </c>
      <c r="E43" s="15">
        <v>-1.049309436257069</v>
      </c>
      <c r="F43" s="24">
        <v>641.87245744313225</v>
      </c>
      <c r="G43" s="24">
        <v>15.702409436617611</v>
      </c>
      <c r="H43" s="24">
        <v>40.877322683122912</v>
      </c>
      <c r="I43" s="16">
        <v>1</v>
      </c>
      <c r="J43" s="24" t="s">
        <v>33</v>
      </c>
    </row>
    <row r="44" spans="1:10" ht="15" customHeight="1" x14ac:dyDescent="0.3">
      <c r="A44" s="10" t="s">
        <v>198</v>
      </c>
      <c r="B44" s="10" t="s">
        <v>1863</v>
      </c>
      <c r="C44" s="10" t="s">
        <v>1864</v>
      </c>
      <c r="D44" s="24">
        <v>23</v>
      </c>
      <c r="E44" s="15">
        <v>1.8734687869054061</v>
      </c>
      <c r="F44" s="24">
        <v>635.07704945758155</v>
      </c>
      <c r="G44" s="24">
        <v>11.230542247056089</v>
      </c>
      <c r="H44" s="24">
        <v>56.549099365532129</v>
      </c>
      <c r="I44" s="16">
        <v>0</v>
      </c>
      <c r="J44" s="24">
        <v>1.6</v>
      </c>
    </row>
    <row r="45" spans="1:10" ht="15" customHeight="1" x14ac:dyDescent="0.3">
      <c r="A45" s="10" t="s">
        <v>198</v>
      </c>
      <c r="B45" s="10" t="s">
        <v>1865</v>
      </c>
      <c r="C45" s="10" t="s">
        <v>1866</v>
      </c>
      <c r="D45" s="24">
        <v>22</v>
      </c>
      <c r="E45" s="15">
        <v>-2.8583569699770361</v>
      </c>
      <c r="F45" s="24">
        <v>484.08469172339608</v>
      </c>
      <c r="G45" s="24">
        <v>13.80298592105993</v>
      </c>
      <c r="H45" s="24">
        <v>35.071012496274683</v>
      </c>
      <c r="I45" s="16">
        <v>1</v>
      </c>
      <c r="J45" s="24" t="s">
        <v>33</v>
      </c>
    </row>
    <row r="46" spans="1:10" ht="15" customHeight="1" x14ac:dyDescent="0.3">
      <c r="A46" s="10" t="s">
        <v>198</v>
      </c>
      <c r="B46" s="10" t="s">
        <v>1867</v>
      </c>
      <c r="C46" s="10" t="s">
        <v>1868</v>
      </c>
      <c r="D46" s="24">
        <v>24</v>
      </c>
      <c r="E46" s="15">
        <v>-1.103636321041582</v>
      </c>
      <c r="F46" s="24">
        <v>446.16985056789491</v>
      </c>
      <c r="G46" s="24">
        <v>10.81971504344023</v>
      </c>
      <c r="H46" s="24">
        <v>41.236746880722933</v>
      </c>
      <c r="I46" s="16">
        <v>0</v>
      </c>
      <c r="J46" s="24" t="s">
        <v>33</v>
      </c>
    </row>
    <row r="47" spans="1:10" ht="15" customHeight="1" x14ac:dyDescent="0.3">
      <c r="A47" s="10" t="s">
        <v>199</v>
      </c>
      <c r="B47" s="10" t="s">
        <v>448</v>
      </c>
      <c r="C47" s="10" t="s">
        <v>1869</v>
      </c>
      <c r="D47" s="24">
        <v>32</v>
      </c>
      <c r="E47" s="15">
        <v>2.5570388327108828</v>
      </c>
      <c r="F47" s="24">
        <v>2007.520182315214</v>
      </c>
      <c r="G47" s="24">
        <v>31.28748049975162</v>
      </c>
      <c r="H47" s="24">
        <v>64.163689445404557</v>
      </c>
      <c r="I47" s="16">
        <v>0</v>
      </c>
      <c r="J47" s="24">
        <v>2</v>
      </c>
    </row>
    <row r="48" spans="1:10" ht="15" customHeight="1" x14ac:dyDescent="0.3">
      <c r="A48" s="10" t="s">
        <v>199</v>
      </c>
      <c r="B48" s="10" t="s">
        <v>384</v>
      </c>
      <c r="C48" s="10" t="s">
        <v>1870</v>
      </c>
      <c r="D48" s="24">
        <v>28</v>
      </c>
      <c r="E48" s="15">
        <v>1.894751613919073</v>
      </c>
      <c r="F48" s="24">
        <v>1810.4074007668571</v>
      </c>
      <c r="G48" s="24">
        <v>27.247734639874729</v>
      </c>
      <c r="H48" s="24">
        <v>66.442492364759033</v>
      </c>
      <c r="I48" s="16">
        <v>0</v>
      </c>
      <c r="J48" s="24">
        <v>1.2</v>
      </c>
    </row>
    <row r="49" spans="1:10" ht="15" customHeight="1" x14ac:dyDescent="0.3">
      <c r="A49" s="10" t="s">
        <v>199</v>
      </c>
      <c r="B49" s="10" t="s">
        <v>301</v>
      </c>
      <c r="C49" s="10" t="s">
        <v>1871</v>
      </c>
      <c r="D49" s="24">
        <v>28</v>
      </c>
      <c r="E49" s="15">
        <v>4.5803603281432217</v>
      </c>
      <c r="F49" s="24">
        <v>1613.610883179429</v>
      </c>
      <c r="G49" s="24">
        <v>32.363100352860492</v>
      </c>
      <c r="H49" s="24">
        <v>49.859589025339083</v>
      </c>
      <c r="I49" s="16">
        <v>0</v>
      </c>
      <c r="J49" s="24">
        <v>4.3</v>
      </c>
    </row>
    <row r="50" spans="1:10" ht="15" customHeight="1" x14ac:dyDescent="0.3">
      <c r="A50" s="10" t="s">
        <v>199</v>
      </c>
      <c r="B50" s="10" t="s">
        <v>1872</v>
      </c>
      <c r="C50" s="10" t="s">
        <v>1873</v>
      </c>
      <c r="D50" s="24">
        <v>28</v>
      </c>
      <c r="E50" s="15">
        <v>0.86260870581384741</v>
      </c>
      <c r="F50" s="24">
        <v>1431.0842115460989</v>
      </c>
      <c r="G50" s="24">
        <v>21.898350262439891</v>
      </c>
      <c r="H50" s="24">
        <v>65.35123396946932</v>
      </c>
      <c r="I50" s="16">
        <v>0</v>
      </c>
      <c r="J50" s="24">
        <v>0.9</v>
      </c>
    </row>
    <row r="51" spans="1:10" ht="15" customHeight="1" x14ac:dyDescent="0.3">
      <c r="A51" s="10" t="s">
        <v>199</v>
      </c>
      <c r="B51" s="10" t="s">
        <v>447</v>
      </c>
      <c r="C51" s="10" t="s">
        <v>1874</v>
      </c>
      <c r="D51" s="24">
        <v>36</v>
      </c>
      <c r="E51" s="15">
        <v>1.106371508555551</v>
      </c>
      <c r="F51" s="24">
        <v>1428.3316613906311</v>
      </c>
      <c r="G51" s="24">
        <v>29.283188270538211</v>
      </c>
      <c r="H51" s="24">
        <v>48.776507810376437</v>
      </c>
      <c r="I51" s="16">
        <v>0</v>
      </c>
      <c r="J51" s="24">
        <v>1.5</v>
      </c>
    </row>
    <row r="52" spans="1:10" ht="15" customHeight="1" x14ac:dyDescent="0.3">
      <c r="A52" s="10" t="s">
        <v>199</v>
      </c>
      <c r="B52" s="10" t="s">
        <v>501</v>
      </c>
      <c r="C52" s="10" t="s">
        <v>1875</v>
      </c>
      <c r="D52" s="24">
        <v>27</v>
      </c>
      <c r="E52" s="15">
        <v>1.716890407334775</v>
      </c>
      <c r="F52" s="24">
        <v>1244.816317195686</v>
      </c>
      <c r="G52" s="24">
        <v>19.372869269797171</v>
      </c>
      <c r="H52" s="24">
        <v>64.25565051101583</v>
      </c>
      <c r="I52" s="16">
        <v>0</v>
      </c>
      <c r="J52" s="24">
        <v>1.4</v>
      </c>
    </row>
    <row r="53" spans="1:10" ht="15" customHeight="1" x14ac:dyDescent="0.3">
      <c r="A53" s="10" t="s">
        <v>199</v>
      </c>
      <c r="B53" s="10" t="s">
        <v>1876</v>
      </c>
      <c r="C53" s="10" t="s">
        <v>1877</v>
      </c>
      <c r="D53" s="24">
        <v>39</v>
      </c>
      <c r="E53" s="15">
        <v>-0.96078016074367079</v>
      </c>
      <c r="F53" s="24">
        <v>1149.6891536833391</v>
      </c>
      <c r="G53" s="24">
        <v>21.344096153293481</v>
      </c>
      <c r="H53" s="24">
        <v>53.864504049563017</v>
      </c>
      <c r="I53" s="16">
        <v>0</v>
      </c>
      <c r="J53" s="24">
        <v>-1.6</v>
      </c>
    </row>
    <row r="54" spans="1:10" ht="15" customHeight="1" x14ac:dyDescent="0.3">
      <c r="A54" s="10" t="s">
        <v>199</v>
      </c>
      <c r="B54" s="10" t="s">
        <v>461</v>
      </c>
      <c r="C54" s="10" t="s">
        <v>1878</v>
      </c>
      <c r="D54" s="24">
        <v>28</v>
      </c>
      <c r="E54" s="15">
        <v>2.6121524825091922</v>
      </c>
      <c r="F54" s="24">
        <v>1023.623545386058</v>
      </c>
      <c r="G54" s="24">
        <v>18.34870431135046</v>
      </c>
      <c r="H54" s="24">
        <v>55.787238598250639</v>
      </c>
      <c r="I54" s="16">
        <v>0</v>
      </c>
      <c r="J54" s="24">
        <v>2.9</v>
      </c>
    </row>
    <row r="55" spans="1:10" ht="15" customHeight="1" x14ac:dyDescent="0.3">
      <c r="A55" s="10" t="s">
        <v>199</v>
      </c>
      <c r="B55" s="10" t="s">
        <v>1879</v>
      </c>
      <c r="C55" s="10" t="s">
        <v>1880</v>
      </c>
      <c r="D55" s="24">
        <v>26</v>
      </c>
      <c r="E55" s="15">
        <v>0.27038945831358902</v>
      </c>
      <c r="F55" s="24">
        <v>996.95371728555722</v>
      </c>
      <c r="G55" s="24">
        <v>16.126807103418351</v>
      </c>
      <c r="H55" s="24">
        <v>61.819659086406283</v>
      </c>
      <c r="I55" s="16">
        <v>0</v>
      </c>
      <c r="J55" s="24">
        <v>0.2</v>
      </c>
    </row>
    <row r="56" spans="1:10" ht="15" customHeight="1" x14ac:dyDescent="0.3">
      <c r="A56" s="10" t="s">
        <v>199</v>
      </c>
      <c r="B56" s="10" t="s">
        <v>402</v>
      </c>
      <c r="C56" s="10" t="s">
        <v>1881</v>
      </c>
      <c r="D56" s="24">
        <v>20</v>
      </c>
      <c r="E56" s="15">
        <v>-0.45338275780165882</v>
      </c>
      <c r="F56" s="24">
        <v>897.27790467245597</v>
      </c>
      <c r="G56" s="24">
        <v>13.71120677252329</v>
      </c>
      <c r="H56" s="24">
        <v>65.441205836860775</v>
      </c>
      <c r="I56" s="16">
        <v>0</v>
      </c>
      <c r="J56" s="24">
        <v>-0.7</v>
      </c>
    </row>
    <row r="57" spans="1:10" ht="15" customHeight="1" x14ac:dyDescent="0.3">
      <c r="A57" s="10" t="s">
        <v>199</v>
      </c>
      <c r="B57" s="10" t="s">
        <v>1882</v>
      </c>
      <c r="C57" s="10" t="s">
        <v>1883</v>
      </c>
      <c r="D57" s="24">
        <v>22</v>
      </c>
      <c r="E57" s="15">
        <v>0.63076897477489913</v>
      </c>
      <c r="F57" s="24">
        <v>850.4071902454549</v>
      </c>
      <c r="G57" s="24">
        <v>13.73289960212823</v>
      </c>
      <c r="H57" s="24">
        <v>61.92480939084885</v>
      </c>
      <c r="I57" s="16">
        <v>0</v>
      </c>
      <c r="J57" s="24">
        <v>0.9</v>
      </c>
    </row>
    <row r="58" spans="1:10" ht="15" customHeight="1" x14ac:dyDescent="0.3">
      <c r="A58" s="10" t="s">
        <v>199</v>
      </c>
      <c r="B58" s="10" t="s">
        <v>1884</v>
      </c>
      <c r="C58" s="10" t="s">
        <v>1885</v>
      </c>
      <c r="D58" s="24">
        <v>24</v>
      </c>
      <c r="E58" s="15">
        <v>-1.0597822320428301</v>
      </c>
      <c r="F58" s="24">
        <v>769.40521655284761</v>
      </c>
      <c r="G58" s="24">
        <v>14.580460706258361</v>
      </c>
      <c r="H58" s="24">
        <v>52.769609414508849</v>
      </c>
      <c r="I58" s="16">
        <v>0</v>
      </c>
      <c r="J58" s="24">
        <v>-0.4</v>
      </c>
    </row>
    <row r="59" spans="1:10" ht="15" customHeight="1" x14ac:dyDescent="0.3">
      <c r="A59" s="10" t="s">
        <v>199</v>
      </c>
      <c r="B59" s="10" t="s">
        <v>1886</v>
      </c>
      <c r="C59" s="10" t="s">
        <v>1887</v>
      </c>
      <c r="D59" s="24">
        <v>27</v>
      </c>
      <c r="E59" s="15">
        <v>1.2831075485231449</v>
      </c>
      <c r="F59" s="24">
        <v>738.66838670842594</v>
      </c>
      <c r="G59" s="24">
        <v>12.239806754932671</v>
      </c>
      <c r="H59" s="24">
        <v>60.349677204727158</v>
      </c>
      <c r="I59" s="16">
        <v>0</v>
      </c>
      <c r="J59" s="24">
        <v>1.3</v>
      </c>
    </row>
    <row r="60" spans="1:10" ht="15" customHeight="1" x14ac:dyDescent="0.3">
      <c r="A60" s="10" t="s">
        <v>199</v>
      </c>
      <c r="B60" s="10" t="s">
        <v>1888</v>
      </c>
      <c r="C60" s="10" t="s">
        <v>1889</v>
      </c>
      <c r="D60" s="24">
        <v>19</v>
      </c>
      <c r="E60" s="15">
        <v>-2.7205718748889001</v>
      </c>
      <c r="F60" s="24">
        <v>662.62151513112781</v>
      </c>
      <c r="G60" s="24">
        <v>16.017132706763341</v>
      </c>
      <c r="H60" s="24">
        <v>41.369546426454441</v>
      </c>
      <c r="I60" s="16">
        <v>1</v>
      </c>
      <c r="J60" s="24" t="s">
        <v>33</v>
      </c>
    </row>
    <row r="61" spans="1:10" ht="15" customHeight="1" x14ac:dyDescent="0.3">
      <c r="A61" s="10" t="s">
        <v>199</v>
      </c>
      <c r="B61" s="10" t="s">
        <v>1890</v>
      </c>
      <c r="C61" s="10" t="s">
        <v>1891</v>
      </c>
      <c r="D61" s="24">
        <v>23</v>
      </c>
      <c r="E61" s="15">
        <v>-1.6627030274760219</v>
      </c>
      <c r="F61" s="24">
        <v>514.07205044102045</v>
      </c>
      <c r="G61" s="24">
        <v>14.260033726063741</v>
      </c>
      <c r="H61" s="24">
        <v>36.049848150178398</v>
      </c>
      <c r="I61" s="16">
        <v>1</v>
      </c>
      <c r="J61" s="24" t="s">
        <v>33</v>
      </c>
    </row>
    <row r="62" spans="1:10" ht="15" customHeight="1" x14ac:dyDescent="0.3">
      <c r="A62" s="10" t="s">
        <v>199</v>
      </c>
      <c r="B62" s="10" t="s">
        <v>1892</v>
      </c>
      <c r="C62" s="10" t="s">
        <v>1893</v>
      </c>
      <c r="D62" s="24">
        <v>26</v>
      </c>
      <c r="E62" s="15">
        <v>-0.69992526057852811</v>
      </c>
      <c r="F62" s="24">
        <v>513.50234510181463</v>
      </c>
      <c r="G62" s="24">
        <v>10.936226600117459</v>
      </c>
      <c r="H62" s="24">
        <v>46.954252492930181</v>
      </c>
      <c r="I62" s="16">
        <v>0</v>
      </c>
      <c r="J62" s="24">
        <v>-0.8</v>
      </c>
    </row>
    <row r="63" spans="1:10" ht="15" customHeight="1" x14ac:dyDescent="0.3">
      <c r="A63" s="10" t="s">
        <v>199</v>
      </c>
      <c r="B63" s="10" t="s">
        <v>1894</v>
      </c>
      <c r="C63" s="10" t="s">
        <v>1895</v>
      </c>
      <c r="D63" s="24">
        <v>23</v>
      </c>
      <c r="E63" s="15">
        <v>-2.0235359444174001</v>
      </c>
      <c r="F63" s="24">
        <v>498.29184466697171</v>
      </c>
      <c r="G63" s="24">
        <v>12.36950986771595</v>
      </c>
      <c r="H63" s="24">
        <v>40.283879474278812</v>
      </c>
      <c r="I63" s="16">
        <v>0</v>
      </c>
      <c r="J63" s="24">
        <v>-2.6</v>
      </c>
    </row>
    <row r="64" spans="1:10" ht="15" customHeight="1" x14ac:dyDescent="0.3">
      <c r="A64" s="10" t="s">
        <v>199</v>
      </c>
      <c r="B64" s="10" t="s">
        <v>1896</v>
      </c>
      <c r="C64" s="10" t="s">
        <v>1897</v>
      </c>
      <c r="D64" s="24">
        <v>24</v>
      </c>
      <c r="E64" s="15">
        <v>-2.1432777895404409</v>
      </c>
      <c r="F64" s="24">
        <v>403.54323043117751</v>
      </c>
      <c r="G64" s="24">
        <v>8.5061784403436267</v>
      </c>
      <c r="H64" s="24">
        <v>47.441190337276232</v>
      </c>
      <c r="I64" s="16">
        <v>0</v>
      </c>
      <c r="J64" s="24">
        <v>-2.8</v>
      </c>
    </row>
    <row r="65" spans="1:10" ht="15" customHeight="1" x14ac:dyDescent="0.3">
      <c r="A65" s="10" t="s">
        <v>199</v>
      </c>
      <c r="B65" s="10" t="s">
        <v>1898</v>
      </c>
      <c r="C65" s="10" t="s">
        <v>1899</v>
      </c>
      <c r="D65" s="24">
        <v>23</v>
      </c>
      <c r="E65" s="15">
        <v>-3.1867960702466678</v>
      </c>
      <c r="F65" s="24">
        <v>375.39108109994442</v>
      </c>
      <c r="G65" s="24">
        <v>12.37350547134576</v>
      </c>
      <c r="H65" s="24">
        <v>30.338296772023529</v>
      </c>
      <c r="I65" s="16">
        <v>1</v>
      </c>
      <c r="J65" s="24" t="s">
        <v>33</v>
      </c>
    </row>
    <row r="66" spans="1:10" ht="15" customHeight="1" x14ac:dyDescent="0.3">
      <c r="A66" s="10" t="s">
        <v>199</v>
      </c>
      <c r="B66" s="10" t="s">
        <v>1900</v>
      </c>
      <c r="C66" s="10" t="s">
        <v>1901</v>
      </c>
      <c r="D66" s="24">
        <v>27</v>
      </c>
      <c r="E66" s="15">
        <v>-3.1867960702466678</v>
      </c>
      <c r="F66" s="24">
        <v>375.39108109994442</v>
      </c>
      <c r="G66" s="24">
        <v>12.37350547134576</v>
      </c>
      <c r="H66" s="24">
        <v>30.338296772023529</v>
      </c>
      <c r="I66" s="16">
        <v>1</v>
      </c>
      <c r="J66" s="24" t="s">
        <v>33</v>
      </c>
    </row>
    <row r="67" spans="1:10" ht="15" customHeight="1" x14ac:dyDescent="0.3">
      <c r="A67" s="10" t="s">
        <v>199</v>
      </c>
      <c r="B67" s="10" t="s">
        <v>1902</v>
      </c>
      <c r="C67" s="10" t="s">
        <v>1903</v>
      </c>
      <c r="D67" s="24">
        <v>23</v>
      </c>
      <c r="E67" s="15">
        <v>-3.1867960702466678</v>
      </c>
      <c r="F67" s="24">
        <v>375.39108109994442</v>
      </c>
      <c r="G67" s="24">
        <v>12.37350547134576</v>
      </c>
      <c r="H67" s="24">
        <v>30.338296772023529</v>
      </c>
      <c r="I67" s="16">
        <v>1</v>
      </c>
      <c r="J67" s="24" t="s">
        <v>33</v>
      </c>
    </row>
    <row r="68" spans="1:10" ht="15" customHeight="1" x14ac:dyDescent="0.3">
      <c r="A68" s="10" t="s">
        <v>200</v>
      </c>
      <c r="B68" s="10" t="s">
        <v>405</v>
      </c>
      <c r="C68" s="10" t="s">
        <v>1904</v>
      </c>
      <c r="D68" s="24">
        <v>21</v>
      </c>
      <c r="E68" s="15">
        <v>1.760149149025922</v>
      </c>
      <c r="F68" s="24">
        <v>1669.114077050534</v>
      </c>
      <c r="G68" s="24">
        <v>24.582952530364739</v>
      </c>
      <c r="H68" s="24">
        <v>67.897217593730943</v>
      </c>
      <c r="I68" s="16">
        <v>0</v>
      </c>
      <c r="J68" s="24">
        <v>0</v>
      </c>
    </row>
    <row r="69" spans="1:10" ht="15" customHeight="1" x14ac:dyDescent="0.3">
      <c r="A69" s="10" t="s">
        <v>200</v>
      </c>
      <c r="B69" s="10" t="s">
        <v>383</v>
      </c>
      <c r="C69" s="10" t="s">
        <v>1905</v>
      </c>
      <c r="D69" s="24">
        <v>23</v>
      </c>
      <c r="E69" s="15">
        <v>1.2268064422126781</v>
      </c>
      <c r="F69" s="24">
        <v>1511.184760350621</v>
      </c>
      <c r="G69" s="24">
        <v>25.701326241059331</v>
      </c>
      <c r="H69" s="24">
        <v>58.797929187654823</v>
      </c>
      <c r="I69" s="16">
        <v>0</v>
      </c>
      <c r="J69" s="24">
        <v>1.2</v>
      </c>
    </row>
    <row r="70" spans="1:10" ht="15" customHeight="1" x14ac:dyDescent="0.3">
      <c r="A70" s="10" t="s">
        <v>200</v>
      </c>
      <c r="B70" s="10" t="s">
        <v>408</v>
      </c>
      <c r="C70" s="10" t="s">
        <v>1906</v>
      </c>
      <c r="D70" s="24">
        <v>26</v>
      </c>
      <c r="E70" s="15">
        <v>4.5699990566648398E-2</v>
      </c>
      <c r="F70" s="24">
        <v>1494.956389087406</v>
      </c>
      <c r="G70" s="24">
        <v>25.31873731577382</v>
      </c>
      <c r="H70" s="24">
        <v>59.045455957870139</v>
      </c>
      <c r="I70" s="16">
        <v>0</v>
      </c>
      <c r="J70" s="24">
        <v>0.6</v>
      </c>
    </row>
    <row r="71" spans="1:10" ht="15" customHeight="1" x14ac:dyDescent="0.3">
      <c r="A71" s="10" t="s">
        <v>200</v>
      </c>
      <c r="B71" s="10" t="s">
        <v>389</v>
      </c>
      <c r="C71" s="10" t="s">
        <v>1907</v>
      </c>
      <c r="D71" s="24">
        <v>27</v>
      </c>
      <c r="E71" s="15">
        <v>1.1734173509657591</v>
      </c>
      <c r="F71" s="24">
        <v>1448.6179468811631</v>
      </c>
      <c r="G71" s="24">
        <v>21.886811495029161</v>
      </c>
      <c r="H71" s="24">
        <v>66.186796884971898</v>
      </c>
      <c r="I71" s="16">
        <v>0</v>
      </c>
      <c r="J71" s="24">
        <v>0.9</v>
      </c>
    </row>
    <row r="72" spans="1:10" ht="15" customHeight="1" x14ac:dyDescent="0.3">
      <c r="A72" s="10" t="s">
        <v>200</v>
      </c>
      <c r="B72" s="10" t="s">
        <v>1908</v>
      </c>
      <c r="C72" s="10" t="s">
        <v>1909</v>
      </c>
      <c r="D72" s="24">
        <v>33</v>
      </c>
      <c r="E72" s="15">
        <v>-0.81565579815330014</v>
      </c>
      <c r="F72" s="24">
        <v>1415.8201125398209</v>
      </c>
      <c r="G72" s="24">
        <v>22.168120544652918</v>
      </c>
      <c r="H72" s="24">
        <v>63.867395058952113</v>
      </c>
      <c r="I72" s="16">
        <v>0</v>
      </c>
      <c r="J72" s="24">
        <v>-1.5</v>
      </c>
    </row>
    <row r="73" spans="1:10" ht="15" customHeight="1" x14ac:dyDescent="0.3">
      <c r="A73" s="10" t="s">
        <v>200</v>
      </c>
      <c r="B73" s="10" t="s">
        <v>1910</v>
      </c>
      <c r="C73" s="10" t="s">
        <v>1911</v>
      </c>
      <c r="D73" s="24">
        <v>33</v>
      </c>
      <c r="E73" s="15">
        <v>-2.4333559358752042</v>
      </c>
      <c r="F73" s="24">
        <v>1383.475064988568</v>
      </c>
      <c r="G73" s="24">
        <v>22.365904828096209</v>
      </c>
      <c r="H73" s="24">
        <v>61.85643172596518</v>
      </c>
      <c r="I73" s="16">
        <v>0</v>
      </c>
      <c r="J73" s="24">
        <v>-2.2999999999999998</v>
      </c>
    </row>
    <row r="74" spans="1:10" ht="15" customHeight="1" x14ac:dyDescent="0.3">
      <c r="A74" s="10" t="s">
        <v>200</v>
      </c>
      <c r="B74" s="10" t="s">
        <v>370</v>
      </c>
      <c r="C74" s="10" t="s">
        <v>1912</v>
      </c>
      <c r="D74" s="24">
        <v>31</v>
      </c>
      <c r="E74" s="15">
        <v>0.57474171747912728</v>
      </c>
      <c r="F74" s="24">
        <v>1334.8984065881741</v>
      </c>
      <c r="G74" s="24">
        <v>23.45173564822603</v>
      </c>
      <c r="H74" s="24">
        <v>56.921092178913</v>
      </c>
      <c r="I74" s="16">
        <v>0</v>
      </c>
      <c r="J74" s="24">
        <v>0.3</v>
      </c>
    </row>
    <row r="75" spans="1:10" ht="15" customHeight="1" x14ac:dyDescent="0.3">
      <c r="A75" s="10" t="s">
        <v>200</v>
      </c>
      <c r="B75" s="10" t="s">
        <v>1913</v>
      </c>
      <c r="C75" s="10" t="s">
        <v>1914</v>
      </c>
      <c r="D75" s="24">
        <v>23</v>
      </c>
      <c r="E75" s="15">
        <v>-1.319803756032385</v>
      </c>
      <c r="F75" s="24">
        <v>1229.183647302398</v>
      </c>
      <c r="G75" s="24">
        <v>18.022196638884878</v>
      </c>
      <c r="H75" s="24">
        <v>68.203875028768607</v>
      </c>
      <c r="I75" s="16">
        <v>0</v>
      </c>
      <c r="J75" s="24">
        <v>-1.5</v>
      </c>
    </row>
    <row r="76" spans="1:10" ht="15" customHeight="1" x14ac:dyDescent="0.3">
      <c r="A76" s="10" t="s">
        <v>200</v>
      </c>
      <c r="B76" s="10" t="s">
        <v>464</v>
      </c>
      <c r="C76" s="10" t="s">
        <v>1915</v>
      </c>
      <c r="D76" s="24">
        <v>24</v>
      </c>
      <c r="E76" s="15">
        <v>1.4290370493403719</v>
      </c>
      <c r="F76" s="24">
        <v>1198.642666687409</v>
      </c>
      <c r="G76" s="24">
        <v>18.487927189140649</v>
      </c>
      <c r="H76" s="24">
        <v>64.833805024473577</v>
      </c>
      <c r="I76" s="16">
        <v>0</v>
      </c>
      <c r="J76" s="24">
        <v>1.5</v>
      </c>
    </row>
    <row r="77" spans="1:10" ht="15" customHeight="1" x14ac:dyDescent="0.3">
      <c r="A77" s="10" t="s">
        <v>200</v>
      </c>
      <c r="B77" s="10" t="s">
        <v>494</v>
      </c>
      <c r="C77" s="10" t="s">
        <v>1916</v>
      </c>
      <c r="D77" s="24">
        <v>24</v>
      </c>
      <c r="E77" s="15">
        <v>1.183409668512982</v>
      </c>
      <c r="F77" s="24">
        <v>1086.1562904524151</v>
      </c>
      <c r="G77" s="24">
        <v>17.066744048909388</v>
      </c>
      <c r="H77" s="24">
        <v>63.64168158494315</v>
      </c>
      <c r="I77" s="16">
        <v>0</v>
      </c>
      <c r="J77" s="24">
        <v>0.6</v>
      </c>
    </row>
    <row r="78" spans="1:10" ht="15" customHeight="1" x14ac:dyDescent="0.3">
      <c r="A78" s="10" t="s">
        <v>200</v>
      </c>
      <c r="B78" s="10" t="s">
        <v>1917</v>
      </c>
      <c r="C78" s="10" t="s">
        <v>1918</v>
      </c>
      <c r="D78" s="24">
        <v>27</v>
      </c>
      <c r="E78" s="15">
        <v>0.38324750839542188</v>
      </c>
      <c r="F78" s="24">
        <v>988.26600295501044</v>
      </c>
      <c r="G78" s="24">
        <v>19.801726298739752</v>
      </c>
      <c r="H78" s="24">
        <v>49.908073066230962</v>
      </c>
      <c r="I78" s="16">
        <v>0</v>
      </c>
      <c r="J78" s="24">
        <v>1.2</v>
      </c>
    </row>
    <row r="79" spans="1:10" ht="15" customHeight="1" x14ac:dyDescent="0.3">
      <c r="A79" s="10" t="s">
        <v>200</v>
      </c>
      <c r="B79" s="10" t="s">
        <v>1919</v>
      </c>
      <c r="C79" s="10" t="s">
        <v>1920</v>
      </c>
      <c r="D79" s="24">
        <v>20</v>
      </c>
      <c r="E79" s="15">
        <v>-1.788005977362622</v>
      </c>
      <c r="F79" s="24">
        <v>852.63176554305676</v>
      </c>
      <c r="G79" s="24">
        <v>16.96481357748733</v>
      </c>
      <c r="H79" s="24">
        <v>50.258834949681827</v>
      </c>
      <c r="I79" s="16">
        <v>1</v>
      </c>
      <c r="J79" s="24" t="s">
        <v>33</v>
      </c>
    </row>
    <row r="80" spans="1:10" ht="15" customHeight="1" x14ac:dyDescent="0.3">
      <c r="A80" s="10" t="s">
        <v>200</v>
      </c>
      <c r="B80" s="10" t="s">
        <v>1921</v>
      </c>
      <c r="C80" s="10" t="s">
        <v>1922</v>
      </c>
      <c r="D80" s="24">
        <v>21</v>
      </c>
      <c r="E80" s="15">
        <v>-1.745200790394132</v>
      </c>
      <c r="F80" s="24">
        <v>819.64388878216778</v>
      </c>
      <c r="G80" s="24">
        <v>14.93596936180529</v>
      </c>
      <c r="H80" s="24">
        <v>54.877180645414683</v>
      </c>
      <c r="I80" s="16">
        <v>0</v>
      </c>
      <c r="J80" s="24">
        <v>-1.8</v>
      </c>
    </row>
    <row r="81" spans="1:10" ht="15" customHeight="1" x14ac:dyDescent="0.3">
      <c r="A81" s="10" t="s">
        <v>200</v>
      </c>
      <c r="B81" s="10" t="s">
        <v>1923</v>
      </c>
      <c r="C81" s="10" t="s">
        <v>1924</v>
      </c>
      <c r="D81" s="24">
        <v>20</v>
      </c>
      <c r="E81" s="15">
        <v>-2.5676003732653059</v>
      </c>
      <c r="F81" s="24">
        <v>747.80543358279238</v>
      </c>
      <c r="G81" s="24">
        <v>15.959181770623291</v>
      </c>
      <c r="H81" s="24">
        <v>46.857379302446937</v>
      </c>
      <c r="I81" s="16">
        <v>1</v>
      </c>
      <c r="J81" s="24" t="s">
        <v>33</v>
      </c>
    </row>
    <row r="82" spans="1:10" ht="15" customHeight="1" x14ac:dyDescent="0.3">
      <c r="A82" s="10" t="s">
        <v>200</v>
      </c>
      <c r="B82" s="10" t="s">
        <v>1925</v>
      </c>
      <c r="C82" s="10" t="s">
        <v>1926</v>
      </c>
      <c r="D82" s="24">
        <v>33</v>
      </c>
      <c r="E82" s="15">
        <v>-2.1652561357282738</v>
      </c>
      <c r="F82" s="24">
        <v>593.98058275331334</v>
      </c>
      <c r="G82" s="24">
        <v>11.501188082254791</v>
      </c>
      <c r="H82" s="24">
        <v>51.645149918882488</v>
      </c>
      <c r="I82" s="16">
        <v>0</v>
      </c>
      <c r="J82" s="24">
        <v>-2.2999999999999998</v>
      </c>
    </row>
    <row r="83" spans="1:10" ht="15" customHeight="1" x14ac:dyDescent="0.3">
      <c r="A83" s="10" t="s">
        <v>200</v>
      </c>
      <c r="B83" s="10" t="s">
        <v>1927</v>
      </c>
      <c r="C83" s="10" t="s">
        <v>1928</v>
      </c>
      <c r="D83" s="24">
        <v>21</v>
      </c>
      <c r="E83" s="15">
        <v>-1.0763379681384231</v>
      </c>
      <c r="F83" s="24">
        <v>521.54792960074917</v>
      </c>
      <c r="G83" s="24">
        <v>10.29452475377253</v>
      </c>
      <c r="H83" s="24">
        <v>50.662652436638481</v>
      </c>
      <c r="I83" s="16">
        <v>0</v>
      </c>
      <c r="J83" s="24">
        <v>-1.6</v>
      </c>
    </row>
    <row r="84" spans="1:10" ht="15" customHeight="1" x14ac:dyDescent="0.3">
      <c r="A84" s="10" t="s">
        <v>200</v>
      </c>
      <c r="B84" s="10" t="s">
        <v>1929</v>
      </c>
      <c r="C84" s="10" t="s">
        <v>1930</v>
      </c>
      <c r="D84" s="24">
        <v>24</v>
      </c>
      <c r="E84" s="15">
        <v>-1.721157994512619</v>
      </c>
      <c r="F84" s="24">
        <v>376.0526715325214</v>
      </c>
      <c r="G84" s="24">
        <v>8.1033406183978673</v>
      </c>
      <c r="H84" s="24">
        <v>46.407116427850681</v>
      </c>
      <c r="I84" s="16">
        <v>0</v>
      </c>
      <c r="J84" s="24">
        <v>-2</v>
      </c>
    </row>
    <row r="85" spans="1:10" ht="15" customHeight="1" x14ac:dyDescent="0.3">
      <c r="A85" s="10" t="s">
        <v>200</v>
      </c>
      <c r="B85" s="10" t="s">
        <v>1931</v>
      </c>
      <c r="C85" s="10" t="s">
        <v>1932</v>
      </c>
      <c r="D85" s="24">
        <v>21</v>
      </c>
      <c r="E85" s="15">
        <v>-3.1867960702466678</v>
      </c>
      <c r="F85" s="24">
        <v>336.00745444062733</v>
      </c>
      <c r="G85" s="24">
        <v>11.075356568812939</v>
      </c>
      <c r="H85" s="24">
        <v>30.338296772023529</v>
      </c>
      <c r="I85" s="16">
        <v>1</v>
      </c>
      <c r="J85" s="24" t="s">
        <v>33</v>
      </c>
    </row>
    <row r="86" spans="1:10" ht="15" customHeight="1" x14ac:dyDescent="0.3">
      <c r="A86" s="10" t="s">
        <v>200</v>
      </c>
      <c r="B86" s="10" t="s">
        <v>1933</v>
      </c>
      <c r="C86" s="10" t="s">
        <v>1934</v>
      </c>
      <c r="D86" s="24">
        <v>23</v>
      </c>
      <c r="E86" s="15">
        <v>-3.1867960702466678</v>
      </c>
      <c r="F86" s="24">
        <v>336.00745444062733</v>
      </c>
      <c r="G86" s="24">
        <v>11.075356568812939</v>
      </c>
      <c r="H86" s="24">
        <v>30.338296772023529</v>
      </c>
      <c r="I86" s="16">
        <v>1</v>
      </c>
      <c r="J86" s="24" t="s">
        <v>33</v>
      </c>
    </row>
    <row r="87" spans="1:10" ht="15" customHeight="1" x14ac:dyDescent="0.3">
      <c r="A87" s="10" t="s">
        <v>200</v>
      </c>
      <c r="B87" s="10" t="s">
        <v>1935</v>
      </c>
      <c r="C87" s="10" t="s">
        <v>1936</v>
      </c>
      <c r="D87" s="24">
        <v>27</v>
      </c>
      <c r="E87" s="15">
        <v>-3.1867960702466678</v>
      </c>
      <c r="F87" s="24">
        <v>336.00745444062733</v>
      </c>
      <c r="G87" s="24">
        <v>11.075356568812939</v>
      </c>
      <c r="H87" s="24">
        <v>30.338296772023529</v>
      </c>
      <c r="I87" s="16">
        <v>1</v>
      </c>
      <c r="J87" s="24" t="s">
        <v>33</v>
      </c>
    </row>
    <row r="88" spans="1:10" ht="15" customHeight="1" x14ac:dyDescent="0.3">
      <c r="A88" s="10" t="s">
        <v>201</v>
      </c>
      <c r="B88" s="10" t="s">
        <v>496</v>
      </c>
      <c r="C88" s="10" t="s">
        <v>1937</v>
      </c>
      <c r="D88" s="24">
        <v>27</v>
      </c>
      <c r="E88" s="15">
        <v>-0.67187244868913798</v>
      </c>
      <c r="F88" s="24">
        <v>1622.8553093029541</v>
      </c>
      <c r="G88" s="24">
        <v>24.679834437382532</v>
      </c>
      <c r="H88" s="24">
        <v>65.756328853033793</v>
      </c>
      <c r="I88" s="16">
        <v>0</v>
      </c>
      <c r="J88" s="24">
        <v>-2.2000000000000002</v>
      </c>
    </row>
    <row r="89" spans="1:10" ht="15" customHeight="1" x14ac:dyDescent="0.3">
      <c r="A89" s="10" t="s">
        <v>201</v>
      </c>
      <c r="B89" s="10" t="s">
        <v>468</v>
      </c>
      <c r="C89" s="10" t="s">
        <v>1938</v>
      </c>
      <c r="D89" s="24">
        <v>24</v>
      </c>
      <c r="E89" s="15">
        <v>1.578169725693102</v>
      </c>
      <c r="F89" s="24">
        <v>1534.592283614106</v>
      </c>
      <c r="G89" s="24">
        <v>25.591702755494541</v>
      </c>
      <c r="H89" s="24">
        <v>59.964446222111143</v>
      </c>
      <c r="I89" s="16">
        <v>0</v>
      </c>
      <c r="J89" s="24">
        <v>0.1</v>
      </c>
    </row>
    <row r="90" spans="1:10" ht="15" customHeight="1" x14ac:dyDescent="0.3">
      <c r="A90" s="10" t="s">
        <v>201</v>
      </c>
      <c r="B90" s="10" t="s">
        <v>340</v>
      </c>
      <c r="C90" s="10" t="s">
        <v>1939</v>
      </c>
      <c r="D90" s="24">
        <v>20</v>
      </c>
      <c r="E90" s="15">
        <v>-0.38198568613208689</v>
      </c>
      <c r="F90" s="24">
        <v>1528.2468602317649</v>
      </c>
      <c r="G90" s="24">
        <v>22.73684334382277</v>
      </c>
      <c r="H90" s="24">
        <v>67.214557320990878</v>
      </c>
      <c r="I90" s="16">
        <v>1</v>
      </c>
      <c r="J90" s="24" t="s">
        <v>33</v>
      </c>
    </row>
    <row r="91" spans="1:10" ht="15" customHeight="1" x14ac:dyDescent="0.3">
      <c r="A91" s="10" t="s">
        <v>201</v>
      </c>
      <c r="B91" s="10" t="s">
        <v>507</v>
      </c>
      <c r="C91" s="10" t="s">
        <v>1940</v>
      </c>
      <c r="D91" s="24">
        <v>33</v>
      </c>
      <c r="E91" s="15">
        <v>0.56657576419090638</v>
      </c>
      <c r="F91" s="24">
        <v>1461.3797731435361</v>
      </c>
      <c r="G91" s="24">
        <v>25.44177160184487</v>
      </c>
      <c r="H91" s="24">
        <v>57.440173428707539</v>
      </c>
      <c r="I91" s="16">
        <v>0</v>
      </c>
      <c r="J91" s="24">
        <v>0.5</v>
      </c>
    </row>
    <row r="92" spans="1:10" ht="15" customHeight="1" x14ac:dyDescent="0.3">
      <c r="A92" s="10" t="s">
        <v>201</v>
      </c>
      <c r="B92" s="10" t="s">
        <v>393</v>
      </c>
      <c r="C92" s="10" t="s">
        <v>1941</v>
      </c>
      <c r="D92" s="24">
        <v>22</v>
      </c>
      <c r="E92" s="15">
        <v>-0.85347772169757063</v>
      </c>
      <c r="F92" s="24">
        <v>1438.1641862729291</v>
      </c>
      <c r="G92" s="24">
        <v>21.52936274418542</v>
      </c>
      <c r="H92" s="24">
        <v>66.800127962976688</v>
      </c>
      <c r="I92" s="16">
        <v>0</v>
      </c>
      <c r="J92" s="24">
        <v>-1.3</v>
      </c>
    </row>
    <row r="93" spans="1:10" ht="15" customHeight="1" x14ac:dyDescent="0.3">
      <c r="A93" s="10" t="s">
        <v>201</v>
      </c>
      <c r="B93" s="10" t="s">
        <v>1942</v>
      </c>
      <c r="C93" s="10" t="s">
        <v>1943</v>
      </c>
      <c r="D93" s="24">
        <v>26</v>
      </c>
      <c r="E93" s="15">
        <v>0.3630603816063</v>
      </c>
      <c r="F93" s="24">
        <v>1317.2977695103759</v>
      </c>
      <c r="G93" s="24">
        <v>21.880922384396332</v>
      </c>
      <c r="H93" s="24">
        <v>60.203027384703113</v>
      </c>
      <c r="I93" s="16">
        <v>0</v>
      </c>
      <c r="J93" s="24">
        <v>-0.4</v>
      </c>
    </row>
    <row r="94" spans="1:10" ht="15" customHeight="1" x14ac:dyDescent="0.3">
      <c r="A94" s="10" t="s">
        <v>201</v>
      </c>
      <c r="B94" s="10" t="s">
        <v>1944</v>
      </c>
      <c r="C94" s="10" t="s">
        <v>1945</v>
      </c>
      <c r="D94" s="24">
        <v>25</v>
      </c>
      <c r="E94" s="15">
        <v>-2.058778835292014</v>
      </c>
      <c r="F94" s="24">
        <v>1298.145915999462</v>
      </c>
      <c r="G94" s="24">
        <v>21.384743851719069</v>
      </c>
      <c r="H94" s="24">
        <v>60.704300458343234</v>
      </c>
      <c r="I94" s="16">
        <v>0</v>
      </c>
      <c r="J94" s="24">
        <v>-2.1</v>
      </c>
    </row>
    <row r="95" spans="1:10" ht="15" customHeight="1" x14ac:dyDescent="0.3">
      <c r="A95" s="10" t="s">
        <v>201</v>
      </c>
      <c r="B95" s="10" t="s">
        <v>1946</v>
      </c>
      <c r="C95" s="10" t="s">
        <v>1947</v>
      </c>
      <c r="D95" s="24">
        <v>25</v>
      </c>
      <c r="E95" s="15">
        <v>-3.1435272698061252</v>
      </c>
      <c r="F95" s="24">
        <v>1244.9184256181379</v>
      </c>
      <c r="G95" s="24">
        <v>19.539410988851959</v>
      </c>
      <c r="H95" s="24">
        <v>63.713201300101389</v>
      </c>
      <c r="I95" s="16">
        <v>0</v>
      </c>
      <c r="J95" s="24">
        <v>-3</v>
      </c>
    </row>
    <row r="96" spans="1:10" ht="15" customHeight="1" x14ac:dyDescent="0.3">
      <c r="A96" s="10" t="s">
        <v>201</v>
      </c>
      <c r="B96" s="10" t="s">
        <v>1948</v>
      </c>
      <c r="C96" s="10" t="s">
        <v>1949</v>
      </c>
      <c r="D96" s="24">
        <v>33</v>
      </c>
      <c r="E96" s="15">
        <v>-1.0351675059327159</v>
      </c>
      <c r="F96" s="24">
        <v>1044.6480561243709</v>
      </c>
      <c r="G96" s="24">
        <v>18.09426975051937</v>
      </c>
      <c r="H96" s="24">
        <v>57.733640015750602</v>
      </c>
      <c r="I96" s="16">
        <v>0</v>
      </c>
      <c r="J96" s="24">
        <v>-0.9</v>
      </c>
    </row>
    <row r="97" spans="1:10" ht="15" customHeight="1" x14ac:dyDescent="0.3">
      <c r="A97" s="10" t="s">
        <v>201</v>
      </c>
      <c r="B97" s="10" t="s">
        <v>1950</v>
      </c>
      <c r="C97" s="10" t="s">
        <v>1951</v>
      </c>
      <c r="D97" s="24">
        <v>26</v>
      </c>
      <c r="E97" s="15">
        <v>0.98575853418177561</v>
      </c>
      <c r="F97" s="24">
        <v>926.42178130667457</v>
      </c>
      <c r="G97" s="24">
        <v>15.73771178294462</v>
      </c>
      <c r="H97" s="24">
        <v>58.866358342555401</v>
      </c>
      <c r="I97" s="16">
        <v>0</v>
      </c>
      <c r="J97" s="24">
        <v>1.5</v>
      </c>
    </row>
    <row r="98" spans="1:10" ht="15" customHeight="1" x14ac:dyDescent="0.3">
      <c r="A98" s="10" t="s">
        <v>201</v>
      </c>
      <c r="B98" s="10" t="s">
        <v>1952</v>
      </c>
      <c r="C98" s="10" t="s">
        <v>1953</v>
      </c>
      <c r="D98" s="24">
        <v>24</v>
      </c>
      <c r="E98" s="15">
        <v>-3.8966004549214941</v>
      </c>
      <c r="F98" s="24">
        <v>883.12054453929784</v>
      </c>
      <c r="G98" s="24">
        <v>15.25150154947362</v>
      </c>
      <c r="H98" s="24">
        <v>57.903842560982291</v>
      </c>
      <c r="I98" s="16">
        <v>0</v>
      </c>
      <c r="J98" s="24">
        <v>-3.7</v>
      </c>
    </row>
    <row r="99" spans="1:10" ht="15" customHeight="1" x14ac:dyDescent="0.3">
      <c r="A99" s="10" t="s">
        <v>201</v>
      </c>
      <c r="B99" s="10" t="s">
        <v>351</v>
      </c>
      <c r="C99" s="10" t="s">
        <v>1954</v>
      </c>
      <c r="D99" s="24">
        <v>21</v>
      </c>
      <c r="E99" s="15">
        <v>-1.5776792238184141</v>
      </c>
      <c r="F99" s="24">
        <v>851.60520692818568</v>
      </c>
      <c r="G99" s="24">
        <v>17.265170190538509</v>
      </c>
      <c r="H99" s="24">
        <v>49.325039807303718</v>
      </c>
      <c r="I99" s="16">
        <v>1</v>
      </c>
      <c r="J99" s="24" t="s">
        <v>33</v>
      </c>
    </row>
    <row r="100" spans="1:10" ht="15" customHeight="1" x14ac:dyDescent="0.3">
      <c r="A100" s="10" t="s">
        <v>201</v>
      </c>
      <c r="B100" s="10" t="s">
        <v>1955</v>
      </c>
      <c r="C100" s="10" t="s">
        <v>1956</v>
      </c>
      <c r="D100" s="24">
        <v>28</v>
      </c>
      <c r="E100" s="15">
        <v>-0.59951247816129916</v>
      </c>
      <c r="F100" s="24">
        <v>742.4549753243266</v>
      </c>
      <c r="G100" s="24">
        <v>15.59622105670751</v>
      </c>
      <c r="H100" s="24">
        <v>47.604799433451021</v>
      </c>
      <c r="I100" s="16">
        <v>0</v>
      </c>
      <c r="J100" s="24">
        <v>-0.3</v>
      </c>
    </row>
    <row r="101" spans="1:10" ht="15" customHeight="1" x14ac:dyDescent="0.3">
      <c r="A101" s="10" t="s">
        <v>201</v>
      </c>
      <c r="B101" s="10" t="s">
        <v>1957</v>
      </c>
      <c r="C101" s="10" t="s">
        <v>1958</v>
      </c>
      <c r="D101" s="24">
        <v>22</v>
      </c>
      <c r="E101" s="15">
        <v>-0.55356217485127746</v>
      </c>
      <c r="F101" s="24">
        <v>590.84897252740757</v>
      </c>
      <c r="G101" s="24">
        <v>11.19983586884802</v>
      </c>
      <c r="H101" s="24">
        <v>52.75514565091396</v>
      </c>
      <c r="I101" s="16">
        <v>0</v>
      </c>
      <c r="J101" s="24">
        <v>-0.7</v>
      </c>
    </row>
    <row r="102" spans="1:10" ht="15" customHeight="1" x14ac:dyDescent="0.3">
      <c r="A102" s="10" t="s">
        <v>201</v>
      </c>
      <c r="B102" s="10" t="s">
        <v>1959</v>
      </c>
      <c r="C102" s="10" t="s">
        <v>1960</v>
      </c>
      <c r="D102" s="24">
        <v>26</v>
      </c>
      <c r="E102" s="15">
        <v>-2.009533803441558</v>
      </c>
      <c r="F102" s="24">
        <v>538.85074645016107</v>
      </c>
      <c r="G102" s="24">
        <v>12.059469519846861</v>
      </c>
      <c r="H102" s="24">
        <v>44.682790197640777</v>
      </c>
      <c r="I102" s="16">
        <v>0</v>
      </c>
      <c r="J102" s="24" t="s">
        <v>33</v>
      </c>
    </row>
    <row r="103" spans="1:10" ht="15" customHeight="1" x14ac:dyDescent="0.3">
      <c r="A103" s="10" t="s">
        <v>201</v>
      </c>
      <c r="B103" s="10" t="s">
        <v>1961</v>
      </c>
      <c r="C103" s="10" t="s">
        <v>1962</v>
      </c>
      <c r="D103" s="24">
        <v>24</v>
      </c>
      <c r="E103" s="15">
        <v>-2.1654442026815519</v>
      </c>
      <c r="F103" s="24">
        <v>536.72949028642836</v>
      </c>
      <c r="G103" s="24">
        <v>16.38285696680822</v>
      </c>
      <c r="H103" s="24">
        <v>32.761653927263467</v>
      </c>
      <c r="I103" s="16">
        <v>0</v>
      </c>
      <c r="J103" s="24" t="s">
        <v>33</v>
      </c>
    </row>
    <row r="104" spans="1:10" ht="15" customHeight="1" x14ac:dyDescent="0.3">
      <c r="A104" s="10" t="s">
        <v>201</v>
      </c>
      <c r="B104" s="10" t="s">
        <v>1963</v>
      </c>
      <c r="C104" s="10" t="s">
        <v>1964</v>
      </c>
      <c r="D104" s="24">
        <v>25</v>
      </c>
      <c r="E104" s="15">
        <v>-1.501657359004859</v>
      </c>
      <c r="F104" s="24">
        <v>413.50305983215088</v>
      </c>
      <c r="G104" s="24">
        <v>10.142488428285541</v>
      </c>
      <c r="H104" s="24">
        <v>40.769389361980132</v>
      </c>
      <c r="I104" s="16">
        <v>0</v>
      </c>
      <c r="J104" s="24">
        <v>-1.7</v>
      </c>
    </row>
    <row r="105" spans="1:10" ht="15" customHeight="1" x14ac:dyDescent="0.3">
      <c r="A105" s="10" t="s">
        <v>201</v>
      </c>
      <c r="B105" s="10" t="s">
        <v>1965</v>
      </c>
      <c r="C105" s="10" t="s">
        <v>1966</v>
      </c>
      <c r="D105" s="24">
        <v>19</v>
      </c>
      <c r="E105" s="15">
        <v>-1.219256590382763</v>
      </c>
      <c r="F105" s="24">
        <v>396.52065455496421</v>
      </c>
      <c r="G105" s="24">
        <v>9.7812628358455207</v>
      </c>
      <c r="H105" s="24">
        <v>40.538799663150847</v>
      </c>
      <c r="I105" s="16">
        <v>0</v>
      </c>
      <c r="J105" s="24">
        <v>-1.7</v>
      </c>
    </row>
    <row r="106" spans="1:10" ht="15" customHeight="1" x14ac:dyDescent="0.3">
      <c r="A106" s="10" t="s">
        <v>201</v>
      </c>
      <c r="B106" s="10" t="s">
        <v>1967</v>
      </c>
      <c r="C106" s="10" t="s">
        <v>1968</v>
      </c>
      <c r="D106" s="24">
        <v>26</v>
      </c>
      <c r="E106" s="15">
        <v>-2.0900469046191379</v>
      </c>
      <c r="F106" s="24">
        <v>366.83373999286772</v>
      </c>
      <c r="G106" s="24">
        <v>8.4499693892403336</v>
      </c>
      <c r="H106" s="24">
        <v>43.412434187036347</v>
      </c>
      <c r="I106" s="16">
        <v>0</v>
      </c>
      <c r="J106" s="24" t="s">
        <v>33</v>
      </c>
    </row>
    <row r="107" spans="1:10" ht="15" customHeight="1" x14ac:dyDescent="0.3">
      <c r="A107" s="10" t="s">
        <v>201</v>
      </c>
      <c r="B107" s="10" t="s">
        <v>1969</v>
      </c>
      <c r="C107" s="10" t="s">
        <v>1970</v>
      </c>
      <c r="D107" s="24">
        <v>22</v>
      </c>
      <c r="E107" s="15">
        <v>-3.1867960702466678</v>
      </c>
      <c r="F107" s="24">
        <v>347.61318694236581</v>
      </c>
      <c r="G107" s="24">
        <v>11.457900539193</v>
      </c>
      <c r="H107" s="24">
        <v>30.338296772023529</v>
      </c>
      <c r="I107" s="16">
        <v>1</v>
      </c>
      <c r="J107" s="24" t="s">
        <v>33</v>
      </c>
    </row>
    <row r="108" spans="1:10" ht="15" customHeight="1" x14ac:dyDescent="0.3">
      <c r="A108" s="10" t="s">
        <v>201</v>
      </c>
      <c r="B108" s="10" t="s">
        <v>1971</v>
      </c>
      <c r="C108" s="10" t="s">
        <v>1972</v>
      </c>
      <c r="D108" s="24">
        <v>23</v>
      </c>
      <c r="E108" s="15">
        <v>-3.1867960702466678</v>
      </c>
      <c r="F108" s="24">
        <v>347.61318694236581</v>
      </c>
      <c r="G108" s="24">
        <v>11.457900539193</v>
      </c>
      <c r="H108" s="24">
        <v>30.338296772023529</v>
      </c>
      <c r="I108" s="16">
        <v>1</v>
      </c>
      <c r="J108" s="24" t="s">
        <v>33</v>
      </c>
    </row>
    <row r="109" spans="1:10" ht="15" customHeight="1" x14ac:dyDescent="0.3">
      <c r="A109" s="10" t="s">
        <v>201</v>
      </c>
      <c r="B109" s="10" t="s">
        <v>1973</v>
      </c>
      <c r="C109" s="10" t="s">
        <v>1974</v>
      </c>
      <c r="D109" s="24">
        <v>25</v>
      </c>
      <c r="E109" s="15">
        <v>-1.8143772633667989</v>
      </c>
      <c r="F109" s="24">
        <v>247.63587455516441</v>
      </c>
      <c r="G109" s="24">
        <v>8.1624844142048847</v>
      </c>
      <c r="H109" s="24">
        <v>30.338296772023529</v>
      </c>
      <c r="I109" s="16">
        <v>0</v>
      </c>
      <c r="J109" s="24" t="s">
        <v>33</v>
      </c>
    </row>
    <row r="110" spans="1:10" ht="15" customHeight="1" x14ac:dyDescent="0.3">
      <c r="A110" s="10" t="s">
        <v>202</v>
      </c>
      <c r="B110" s="10" t="s">
        <v>453</v>
      </c>
      <c r="C110" s="10" t="s">
        <v>1975</v>
      </c>
      <c r="D110" s="24">
        <v>37</v>
      </c>
      <c r="E110" s="15">
        <v>3.1776273101488139</v>
      </c>
      <c r="F110" s="24">
        <v>1913.0093482198729</v>
      </c>
      <c r="G110" s="24">
        <v>31.884688809247471</v>
      </c>
      <c r="H110" s="24">
        <v>59.997742479614402</v>
      </c>
      <c r="I110" s="16">
        <v>0</v>
      </c>
      <c r="J110" s="24">
        <v>2.9</v>
      </c>
    </row>
    <row r="111" spans="1:10" ht="15" customHeight="1" x14ac:dyDescent="0.3">
      <c r="A111" s="10" t="s">
        <v>202</v>
      </c>
      <c r="B111" s="10" t="s">
        <v>303</v>
      </c>
      <c r="C111" s="10" t="s">
        <v>1976</v>
      </c>
      <c r="D111" s="24">
        <v>30</v>
      </c>
      <c r="E111" s="15">
        <v>4.4639709651762534</v>
      </c>
      <c r="F111" s="24">
        <v>1889.149462881225</v>
      </c>
      <c r="G111" s="24">
        <v>30.119502932560572</v>
      </c>
      <c r="H111" s="24">
        <v>62.72180079170456</v>
      </c>
      <c r="I111" s="16">
        <v>0</v>
      </c>
      <c r="J111" s="24">
        <v>4.2</v>
      </c>
    </row>
    <row r="112" spans="1:10" ht="15" customHeight="1" x14ac:dyDescent="0.3">
      <c r="A112" s="10" t="s">
        <v>202</v>
      </c>
      <c r="B112" s="10" t="s">
        <v>326</v>
      </c>
      <c r="C112" s="10" t="s">
        <v>1977</v>
      </c>
      <c r="D112" s="24">
        <v>25</v>
      </c>
      <c r="E112" s="15">
        <v>3.1791295525346479</v>
      </c>
      <c r="F112" s="24">
        <v>1782.8844292746501</v>
      </c>
      <c r="G112" s="24">
        <v>28.435078781563249</v>
      </c>
      <c r="H112" s="24">
        <v>62.7001754758857</v>
      </c>
      <c r="I112" s="16">
        <v>0</v>
      </c>
      <c r="J112" s="24">
        <v>2.4</v>
      </c>
    </row>
    <row r="113" spans="1:10" ht="15" customHeight="1" x14ac:dyDescent="0.3">
      <c r="A113" s="10" t="s">
        <v>202</v>
      </c>
      <c r="B113" s="10" t="s">
        <v>1978</v>
      </c>
      <c r="C113" s="10" t="s">
        <v>1979</v>
      </c>
      <c r="D113" s="24">
        <v>28</v>
      </c>
      <c r="E113" s="15">
        <v>3.2151110314364528</v>
      </c>
      <c r="F113" s="24">
        <v>1586.14826483108</v>
      </c>
      <c r="G113" s="24">
        <v>26.067550493461191</v>
      </c>
      <c r="H113" s="24">
        <v>60.84761455545857</v>
      </c>
      <c r="I113" s="16">
        <v>0</v>
      </c>
      <c r="J113" s="24">
        <v>3.1</v>
      </c>
    </row>
    <row r="114" spans="1:10" ht="15" customHeight="1" x14ac:dyDescent="0.3">
      <c r="A114" s="10" t="s">
        <v>202</v>
      </c>
      <c r="B114" s="10" t="s">
        <v>1980</v>
      </c>
      <c r="C114" s="10" t="s">
        <v>1981</v>
      </c>
      <c r="D114" s="24">
        <v>31</v>
      </c>
      <c r="E114" s="15">
        <v>-3.1867960702466678</v>
      </c>
      <c r="F114" s="24">
        <v>1493.6492607831051</v>
      </c>
      <c r="G114" s="24">
        <v>23.267599836805921</v>
      </c>
      <c r="H114" s="24">
        <v>64.194384949855134</v>
      </c>
      <c r="I114" s="16">
        <v>1</v>
      </c>
      <c r="J114" s="24" t="s">
        <v>33</v>
      </c>
    </row>
    <row r="115" spans="1:10" ht="15" customHeight="1" x14ac:dyDescent="0.3">
      <c r="A115" s="10" t="s">
        <v>202</v>
      </c>
      <c r="B115" s="10" t="s">
        <v>387</v>
      </c>
      <c r="C115" s="10" t="s">
        <v>1982</v>
      </c>
      <c r="D115" s="24">
        <v>24</v>
      </c>
      <c r="E115" s="15">
        <v>-0.75886214741334856</v>
      </c>
      <c r="F115" s="24">
        <v>1389.879559393213</v>
      </c>
      <c r="G115" s="24">
        <v>23.250762924511179</v>
      </c>
      <c r="H115" s="24">
        <v>59.777804449074168</v>
      </c>
      <c r="I115" s="16">
        <v>0</v>
      </c>
      <c r="J115" s="24">
        <v>-0.7</v>
      </c>
    </row>
    <row r="116" spans="1:10" ht="15" customHeight="1" x14ac:dyDescent="0.3">
      <c r="A116" s="10" t="s">
        <v>202</v>
      </c>
      <c r="B116" s="10" t="s">
        <v>379</v>
      </c>
      <c r="C116" s="10" t="s">
        <v>1983</v>
      </c>
      <c r="D116" s="24">
        <v>23</v>
      </c>
      <c r="E116" s="15">
        <v>-0.4811305470171286</v>
      </c>
      <c r="F116" s="24">
        <v>1197.0390909545299</v>
      </c>
      <c r="G116" s="24">
        <v>19.65074275294916</v>
      </c>
      <c r="H116" s="24">
        <v>60.915717334647837</v>
      </c>
      <c r="I116" s="16">
        <v>0</v>
      </c>
      <c r="J116" s="24">
        <v>-1.3</v>
      </c>
    </row>
    <row r="117" spans="1:10" ht="15" customHeight="1" x14ac:dyDescent="0.3">
      <c r="A117" s="10" t="s">
        <v>202</v>
      </c>
      <c r="B117" s="10" t="s">
        <v>512</v>
      </c>
      <c r="C117" s="10" t="s">
        <v>1984</v>
      </c>
      <c r="D117" s="24">
        <v>30</v>
      </c>
      <c r="E117" s="15">
        <v>0.12565145935225239</v>
      </c>
      <c r="F117" s="24">
        <v>1195.876334236802</v>
      </c>
      <c r="G117" s="24">
        <v>20.548715487868321</v>
      </c>
      <c r="H117" s="24">
        <v>58.197133292483947</v>
      </c>
      <c r="I117" s="16">
        <v>0</v>
      </c>
      <c r="J117" s="24">
        <v>0.3</v>
      </c>
    </row>
    <row r="118" spans="1:10" ht="15" customHeight="1" x14ac:dyDescent="0.3">
      <c r="A118" s="10" t="s">
        <v>202</v>
      </c>
      <c r="B118" s="10" t="s">
        <v>1985</v>
      </c>
      <c r="C118" s="10" t="s">
        <v>1986</v>
      </c>
      <c r="D118" s="24">
        <v>26</v>
      </c>
      <c r="E118" s="15">
        <v>0.3189276064687141</v>
      </c>
      <c r="F118" s="24">
        <v>847.57643361067346</v>
      </c>
      <c r="G118" s="24">
        <v>14.028481024798969</v>
      </c>
      <c r="H118" s="24">
        <v>60.418261400672158</v>
      </c>
      <c r="I118" s="16">
        <v>0</v>
      </c>
      <c r="J118" s="24">
        <v>-0.7</v>
      </c>
    </row>
    <row r="119" spans="1:10" ht="15" customHeight="1" x14ac:dyDescent="0.3">
      <c r="A119" s="10" t="s">
        <v>202</v>
      </c>
      <c r="B119" s="10" t="s">
        <v>1987</v>
      </c>
      <c r="C119" s="10" t="s">
        <v>1988</v>
      </c>
      <c r="D119" s="24">
        <v>25</v>
      </c>
      <c r="E119" s="15">
        <v>-1.128079351674488</v>
      </c>
      <c r="F119" s="24">
        <v>800.62686148179137</v>
      </c>
      <c r="G119" s="24">
        <v>14.22334647724556</v>
      </c>
      <c r="H119" s="24">
        <v>56.289626549042453</v>
      </c>
      <c r="I119" s="16">
        <v>0</v>
      </c>
      <c r="J119" s="24">
        <v>-0.7</v>
      </c>
    </row>
    <row r="120" spans="1:10" ht="15" customHeight="1" x14ac:dyDescent="0.3">
      <c r="A120" s="10" t="s">
        <v>202</v>
      </c>
      <c r="B120" s="10" t="s">
        <v>1989</v>
      </c>
      <c r="C120" s="10" t="s">
        <v>1990</v>
      </c>
      <c r="D120" s="24">
        <v>29</v>
      </c>
      <c r="E120" s="15">
        <v>-0.53034271175600056</v>
      </c>
      <c r="F120" s="24">
        <v>738.00138546768051</v>
      </c>
      <c r="G120" s="24">
        <v>12.285391809572159</v>
      </c>
      <c r="H120" s="24">
        <v>60.071456971577177</v>
      </c>
      <c r="I120" s="16">
        <v>0</v>
      </c>
      <c r="J120" s="24">
        <v>-0.8</v>
      </c>
    </row>
    <row r="121" spans="1:10" ht="15" customHeight="1" x14ac:dyDescent="0.3">
      <c r="A121" s="10" t="s">
        <v>202</v>
      </c>
      <c r="B121" s="10" t="s">
        <v>1991</v>
      </c>
      <c r="C121" s="10" t="s">
        <v>1992</v>
      </c>
      <c r="D121" s="24">
        <v>22</v>
      </c>
      <c r="E121" s="15">
        <v>-1.40147518473634</v>
      </c>
      <c r="F121" s="24">
        <v>608.53890789911861</v>
      </c>
      <c r="G121" s="24">
        <v>10.63628176283129</v>
      </c>
      <c r="H121" s="24">
        <v>57.213500118591291</v>
      </c>
      <c r="I121" s="16">
        <v>0</v>
      </c>
      <c r="J121" s="24">
        <v>-1.4</v>
      </c>
    </row>
    <row r="122" spans="1:10" ht="15" customHeight="1" x14ac:dyDescent="0.3">
      <c r="A122" s="10" t="s">
        <v>202</v>
      </c>
      <c r="B122" s="10" t="s">
        <v>1993</v>
      </c>
      <c r="C122" s="10" t="s">
        <v>1994</v>
      </c>
      <c r="D122" s="24">
        <v>20</v>
      </c>
      <c r="E122" s="15">
        <v>-3.4369231898983159</v>
      </c>
      <c r="F122" s="24">
        <v>566.20615768413461</v>
      </c>
      <c r="G122" s="24">
        <v>14.80297397443608</v>
      </c>
      <c r="H122" s="24">
        <v>38.249486803255976</v>
      </c>
      <c r="I122" s="16">
        <v>1</v>
      </c>
      <c r="J122" s="24" t="s">
        <v>33</v>
      </c>
    </row>
    <row r="123" spans="1:10" ht="15" customHeight="1" x14ac:dyDescent="0.3">
      <c r="A123" s="10" t="s">
        <v>202</v>
      </c>
      <c r="B123" s="10" t="s">
        <v>1995</v>
      </c>
      <c r="C123" s="10" t="s">
        <v>1996</v>
      </c>
      <c r="D123" s="24">
        <v>25</v>
      </c>
      <c r="E123" s="15">
        <v>-0.8967324132723733</v>
      </c>
      <c r="F123" s="24">
        <v>533.4869969373143</v>
      </c>
      <c r="G123" s="24">
        <v>13.08547921090088</v>
      </c>
      <c r="H123" s="24">
        <v>40.769389361980132</v>
      </c>
      <c r="I123" s="16">
        <v>0</v>
      </c>
      <c r="J123" s="24" t="s">
        <v>33</v>
      </c>
    </row>
    <row r="124" spans="1:10" ht="15" customHeight="1" x14ac:dyDescent="0.3">
      <c r="A124" s="10" t="s">
        <v>202</v>
      </c>
      <c r="B124" s="10" t="s">
        <v>1997</v>
      </c>
      <c r="C124" s="10" t="s">
        <v>1998</v>
      </c>
      <c r="D124" s="24">
        <v>25</v>
      </c>
      <c r="E124" s="15">
        <v>-1.5016175090954991</v>
      </c>
      <c r="F124" s="24">
        <v>451.04960857250848</v>
      </c>
      <c r="G124" s="24">
        <v>10.5293076646419</v>
      </c>
      <c r="H124" s="24">
        <v>42.83753718083122</v>
      </c>
      <c r="I124" s="16">
        <v>0</v>
      </c>
      <c r="J124" s="24">
        <v>-1.6</v>
      </c>
    </row>
    <row r="125" spans="1:10" ht="15" customHeight="1" x14ac:dyDescent="0.3">
      <c r="A125" s="10" t="s">
        <v>202</v>
      </c>
      <c r="B125" s="10" t="s">
        <v>1999</v>
      </c>
      <c r="C125" s="10" t="s">
        <v>2000</v>
      </c>
      <c r="D125" s="24">
        <v>25</v>
      </c>
      <c r="E125" s="15">
        <v>-1.99460156557302</v>
      </c>
      <c r="F125" s="24">
        <v>441.43322730204102</v>
      </c>
      <c r="G125" s="24">
        <v>10.222567079090821</v>
      </c>
      <c r="H125" s="24">
        <v>43.18222848397307</v>
      </c>
      <c r="I125" s="16">
        <v>0</v>
      </c>
      <c r="J125" s="24">
        <v>-2.2000000000000002</v>
      </c>
    </row>
    <row r="126" spans="1:10" ht="15" customHeight="1" x14ac:dyDescent="0.3">
      <c r="A126" s="10" t="s">
        <v>202</v>
      </c>
      <c r="B126" s="10" t="s">
        <v>2001</v>
      </c>
      <c r="C126" s="10" t="s">
        <v>2002</v>
      </c>
      <c r="D126" s="24">
        <v>26</v>
      </c>
      <c r="E126" s="15">
        <v>-1.44118514782416</v>
      </c>
      <c r="F126" s="24">
        <v>391.48396516851648</v>
      </c>
      <c r="G126" s="24">
        <v>9.3373105705314963</v>
      </c>
      <c r="H126" s="24">
        <v>41.926844160462849</v>
      </c>
      <c r="I126" s="16">
        <v>0</v>
      </c>
      <c r="J126" s="24">
        <v>-1.5</v>
      </c>
    </row>
    <row r="127" spans="1:10" ht="15" customHeight="1" x14ac:dyDescent="0.3">
      <c r="A127" s="10" t="s">
        <v>202</v>
      </c>
      <c r="B127" s="10" t="s">
        <v>2003</v>
      </c>
      <c r="C127" s="10" t="s">
        <v>2004</v>
      </c>
      <c r="D127" s="24">
        <v>25</v>
      </c>
      <c r="E127" s="15">
        <v>-3.1867960702466678</v>
      </c>
      <c r="F127" s="24">
        <v>370.79214106034732</v>
      </c>
      <c r="G127" s="24">
        <v>12.221916867866931</v>
      </c>
      <c r="H127" s="24">
        <v>30.338296772023529</v>
      </c>
      <c r="I127" s="16">
        <v>1</v>
      </c>
      <c r="J127" s="24" t="s">
        <v>33</v>
      </c>
    </row>
    <row r="128" spans="1:10" ht="15" customHeight="1" x14ac:dyDescent="0.3">
      <c r="A128" s="10" t="s">
        <v>202</v>
      </c>
      <c r="B128" s="10" t="s">
        <v>2005</v>
      </c>
      <c r="C128" s="10" t="s">
        <v>2006</v>
      </c>
      <c r="D128" s="24">
        <v>25</v>
      </c>
      <c r="E128" s="15">
        <v>-3.1867960702466678</v>
      </c>
      <c r="F128" s="24">
        <v>370.79214106034732</v>
      </c>
      <c r="G128" s="24">
        <v>12.221916867866931</v>
      </c>
      <c r="H128" s="24">
        <v>30.338296772023529</v>
      </c>
      <c r="I128" s="16">
        <v>1</v>
      </c>
      <c r="J128" s="24" t="s">
        <v>33</v>
      </c>
    </row>
    <row r="129" spans="1:10" ht="15" customHeight="1" x14ac:dyDescent="0.3">
      <c r="A129" s="10" t="s">
        <v>202</v>
      </c>
      <c r="B129" s="10" t="s">
        <v>2007</v>
      </c>
      <c r="C129" s="10" t="s">
        <v>2008</v>
      </c>
      <c r="D129" s="24">
        <v>24</v>
      </c>
      <c r="E129" s="15">
        <v>-3.1867960702466678</v>
      </c>
      <c r="F129" s="24">
        <v>370.79214106034732</v>
      </c>
      <c r="G129" s="24">
        <v>12.221916867866931</v>
      </c>
      <c r="H129" s="24">
        <v>30.338296772023529</v>
      </c>
      <c r="I129" s="16">
        <v>1</v>
      </c>
      <c r="J129" s="24" t="s">
        <v>33</v>
      </c>
    </row>
    <row r="130" spans="1:10" ht="15" customHeight="1" x14ac:dyDescent="0.3">
      <c r="A130" s="10" t="s">
        <v>202</v>
      </c>
      <c r="B130" s="10" t="s">
        <v>2009</v>
      </c>
      <c r="C130" s="10" t="s">
        <v>2010</v>
      </c>
      <c r="D130" s="24">
        <v>22</v>
      </c>
      <c r="E130" s="15">
        <v>-3.1867960702466678</v>
      </c>
      <c r="F130" s="24">
        <v>370.79214106034732</v>
      </c>
      <c r="G130" s="24">
        <v>12.221916867866931</v>
      </c>
      <c r="H130" s="24">
        <v>30.338296772023529</v>
      </c>
      <c r="I130" s="16">
        <v>1</v>
      </c>
      <c r="J130" s="24" t="s">
        <v>33</v>
      </c>
    </row>
    <row r="131" spans="1:10" ht="15" customHeight="1" x14ac:dyDescent="0.3">
      <c r="A131" s="10" t="s">
        <v>202</v>
      </c>
      <c r="B131" s="10" t="s">
        <v>2011</v>
      </c>
      <c r="C131" s="10" t="s">
        <v>2012</v>
      </c>
      <c r="D131" s="24">
        <v>21</v>
      </c>
      <c r="E131" s="15">
        <v>-3.1867960702466678</v>
      </c>
      <c r="F131" s="24">
        <v>370.79214106034732</v>
      </c>
      <c r="G131" s="24">
        <v>12.221916867866931</v>
      </c>
      <c r="H131" s="24">
        <v>30.338296772023529</v>
      </c>
      <c r="I131" s="16">
        <v>1</v>
      </c>
      <c r="J131" s="24" t="s">
        <v>33</v>
      </c>
    </row>
    <row r="132" spans="1:10" ht="15" customHeight="1" x14ac:dyDescent="0.3">
      <c r="A132" s="10" t="s">
        <v>203</v>
      </c>
      <c r="B132" s="10" t="s">
        <v>305</v>
      </c>
      <c r="C132" s="10" t="s">
        <v>2013</v>
      </c>
      <c r="D132" s="24">
        <v>19</v>
      </c>
      <c r="E132" s="15">
        <v>1.2613184947074489</v>
      </c>
      <c r="F132" s="24">
        <v>1739.4724848469291</v>
      </c>
      <c r="G132" s="24">
        <v>27.188685134714099</v>
      </c>
      <c r="H132" s="24">
        <v>63.977808276796623</v>
      </c>
      <c r="I132" s="16">
        <v>0</v>
      </c>
      <c r="J132" s="24">
        <v>-0.1</v>
      </c>
    </row>
    <row r="133" spans="1:10" ht="15" customHeight="1" x14ac:dyDescent="0.3">
      <c r="A133" s="10" t="s">
        <v>203</v>
      </c>
      <c r="B133" s="10" t="s">
        <v>2014</v>
      </c>
      <c r="C133" s="10" t="s">
        <v>2015</v>
      </c>
      <c r="D133" s="24">
        <v>28</v>
      </c>
      <c r="E133" s="15">
        <v>-1.3950261748934969</v>
      </c>
      <c r="F133" s="24">
        <v>1595.8632121578401</v>
      </c>
      <c r="G133" s="24">
        <v>27.272910002573688</v>
      </c>
      <c r="H133" s="24">
        <v>58.514592392496503</v>
      </c>
      <c r="I133" s="16">
        <v>0</v>
      </c>
      <c r="J133" s="24">
        <v>-1.4</v>
      </c>
    </row>
    <row r="134" spans="1:10" ht="15" customHeight="1" x14ac:dyDescent="0.3">
      <c r="A134" s="10" t="s">
        <v>203</v>
      </c>
      <c r="B134" s="10" t="s">
        <v>2016</v>
      </c>
      <c r="C134" s="10" t="s">
        <v>2017</v>
      </c>
      <c r="D134" s="24">
        <v>28</v>
      </c>
      <c r="E134" s="15">
        <v>-1.1199178141088491</v>
      </c>
      <c r="F134" s="24">
        <v>1539.1786720890609</v>
      </c>
      <c r="G134" s="24">
        <v>23.990025101280452</v>
      </c>
      <c r="H134" s="24">
        <v>64.159110529938886</v>
      </c>
      <c r="I134" s="16">
        <v>0</v>
      </c>
      <c r="J134" s="24">
        <v>-1.6</v>
      </c>
    </row>
    <row r="135" spans="1:10" ht="15" customHeight="1" x14ac:dyDescent="0.3">
      <c r="A135" s="10" t="s">
        <v>203</v>
      </c>
      <c r="B135" s="10" t="s">
        <v>2018</v>
      </c>
      <c r="C135" s="10" t="s">
        <v>2019</v>
      </c>
      <c r="D135" s="24">
        <v>23</v>
      </c>
      <c r="E135" s="15">
        <v>-1.411368595326121</v>
      </c>
      <c r="F135" s="24">
        <v>1536.309871828184</v>
      </c>
      <c r="G135" s="24">
        <v>23.076815057769242</v>
      </c>
      <c r="H135" s="24">
        <v>66.573739399577846</v>
      </c>
      <c r="I135" s="16">
        <v>0</v>
      </c>
      <c r="J135" s="24">
        <v>-1.7</v>
      </c>
    </row>
    <row r="136" spans="1:10" ht="15" customHeight="1" x14ac:dyDescent="0.3">
      <c r="A136" s="10" t="s">
        <v>203</v>
      </c>
      <c r="B136" s="10" t="s">
        <v>2020</v>
      </c>
      <c r="C136" s="10" t="s">
        <v>2021</v>
      </c>
      <c r="D136" s="24">
        <v>25</v>
      </c>
      <c r="E136" s="15">
        <v>1.0886324226576569</v>
      </c>
      <c r="F136" s="24">
        <v>1515.694619475511</v>
      </c>
      <c r="G136" s="24">
        <v>23.719848853786399</v>
      </c>
      <c r="H136" s="24">
        <v>63.899843073138364</v>
      </c>
      <c r="I136" s="16">
        <v>0</v>
      </c>
      <c r="J136" s="24">
        <v>0</v>
      </c>
    </row>
    <row r="137" spans="1:10" ht="15" customHeight="1" x14ac:dyDescent="0.3">
      <c r="A137" s="10" t="s">
        <v>203</v>
      </c>
      <c r="B137" s="10" t="s">
        <v>2022</v>
      </c>
      <c r="C137" s="10" t="s">
        <v>2023</v>
      </c>
      <c r="D137" s="24">
        <v>21</v>
      </c>
      <c r="E137" s="15">
        <v>-1.8574848143046709</v>
      </c>
      <c r="F137" s="24">
        <v>1298.0365817833549</v>
      </c>
      <c r="G137" s="24">
        <v>20.33962858119633</v>
      </c>
      <c r="H137" s="24">
        <v>63.818106441892922</v>
      </c>
      <c r="I137" s="16">
        <v>0</v>
      </c>
      <c r="J137" s="24">
        <v>-2.1</v>
      </c>
    </row>
    <row r="138" spans="1:10" ht="15" customHeight="1" x14ac:dyDescent="0.3">
      <c r="A138" s="10" t="s">
        <v>203</v>
      </c>
      <c r="B138" s="10" t="s">
        <v>495</v>
      </c>
      <c r="C138" s="10" t="s">
        <v>2024</v>
      </c>
      <c r="D138" s="24">
        <v>28</v>
      </c>
      <c r="E138" s="15">
        <v>0.7941746016976361</v>
      </c>
      <c r="F138" s="24">
        <v>1148.9658801007649</v>
      </c>
      <c r="G138" s="24">
        <v>19.720259902148101</v>
      </c>
      <c r="H138" s="24">
        <v>58.26322197587313</v>
      </c>
      <c r="I138" s="16">
        <v>0</v>
      </c>
      <c r="J138" s="24">
        <v>-0.1</v>
      </c>
    </row>
    <row r="139" spans="1:10" ht="15" customHeight="1" x14ac:dyDescent="0.3">
      <c r="A139" s="10" t="s">
        <v>203</v>
      </c>
      <c r="B139" s="10" t="s">
        <v>2025</v>
      </c>
      <c r="C139" s="10" t="s">
        <v>2026</v>
      </c>
      <c r="D139" s="24">
        <v>20</v>
      </c>
      <c r="E139" s="15">
        <v>-0.85698915585069502</v>
      </c>
      <c r="F139" s="24">
        <v>1116.281446889124</v>
      </c>
      <c r="G139" s="24">
        <v>19.848923329497559</v>
      </c>
      <c r="H139" s="24">
        <v>56.238891569005858</v>
      </c>
      <c r="I139" s="16">
        <v>1</v>
      </c>
      <c r="J139" s="24" t="s">
        <v>33</v>
      </c>
    </row>
    <row r="140" spans="1:10" ht="15" customHeight="1" x14ac:dyDescent="0.3">
      <c r="A140" s="10" t="s">
        <v>203</v>
      </c>
      <c r="B140" s="10" t="s">
        <v>2027</v>
      </c>
      <c r="C140" s="10" t="s">
        <v>2028</v>
      </c>
      <c r="D140" s="24">
        <v>31</v>
      </c>
      <c r="E140" s="15">
        <v>-2.3747087389030361</v>
      </c>
      <c r="F140" s="24">
        <v>1037.0290606783681</v>
      </c>
      <c r="G140" s="24">
        <v>17.233437542155649</v>
      </c>
      <c r="H140" s="24">
        <v>60.175403667529153</v>
      </c>
      <c r="I140" s="16">
        <v>0</v>
      </c>
      <c r="J140" s="24">
        <v>-2.1</v>
      </c>
    </row>
    <row r="141" spans="1:10" ht="15" customHeight="1" x14ac:dyDescent="0.3">
      <c r="A141" s="10" t="s">
        <v>203</v>
      </c>
      <c r="B141" s="10" t="s">
        <v>506</v>
      </c>
      <c r="C141" s="10" t="s">
        <v>2029</v>
      </c>
      <c r="D141" s="24">
        <v>34</v>
      </c>
      <c r="E141" s="15">
        <v>1.422609944881932</v>
      </c>
      <c r="F141" s="24">
        <v>909.86450979414201</v>
      </c>
      <c r="G141" s="24">
        <v>29.990625928386791</v>
      </c>
      <c r="H141" s="24">
        <v>30.338296772023529</v>
      </c>
      <c r="I141" s="16">
        <v>0</v>
      </c>
      <c r="J141" s="24">
        <v>0.5</v>
      </c>
    </row>
    <row r="142" spans="1:10" ht="15" customHeight="1" x14ac:dyDescent="0.3">
      <c r="A142" s="10" t="s">
        <v>203</v>
      </c>
      <c r="B142" s="10" t="s">
        <v>491</v>
      </c>
      <c r="C142" s="10" t="s">
        <v>2030</v>
      </c>
      <c r="D142" s="24">
        <v>22</v>
      </c>
      <c r="E142" s="15">
        <v>1.433777861439625</v>
      </c>
      <c r="F142" s="24">
        <v>865.3512468053575</v>
      </c>
      <c r="G142" s="24">
        <v>19.188206034189861</v>
      </c>
      <c r="H142" s="24">
        <v>45.098079792527777</v>
      </c>
      <c r="I142" s="16">
        <v>0</v>
      </c>
      <c r="J142" s="24">
        <v>1.1000000000000001</v>
      </c>
    </row>
    <row r="143" spans="1:10" ht="15" customHeight="1" x14ac:dyDescent="0.3">
      <c r="A143" s="10" t="s">
        <v>203</v>
      </c>
      <c r="B143" s="10" t="s">
        <v>2031</v>
      </c>
      <c r="C143" s="10" t="s">
        <v>2032</v>
      </c>
      <c r="D143" s="24">
        <v>26</v>
      </c>
      <c r="E143" s="15">
        <v>-0.92632496143237342</v>
      </c>
      <c r="F143" s="24">
        <v>718.30001378637814</v>
      </c>
      <c r="G143" s="24">
        <v>13.19372322029986</v>
      </c>
      <c r="H143" s="24">
        <v>54.44255588757553</v>
      </c>
      <c r="I143" s="16">
        <v>0</v>
      </c>
      <c r="J143" s="24">
        <v>-0.6</v>
      </c>
    </row>
    <row r="144" spans="1:10" ht="15" customHeight="1" x14ac:dyDescent="0.3">
      <c r="A144" s="10" t="s">
        <v>203</v>
      </c>
      <c r="B144" s="10" t="s">
        <v>2033</v>
      </c>
      <c r="C144" s="10" t="s">
        <v>2034</v>
      </c>
      <c r="D144" s="24">
        <v>35</v>
      </c>
      <c r="E144" s="15">
        <v>-0.2777732285876004</v>
      </c>
      <c r="F144" s="24">
        <v>673.85278591780332</v>
      </c>
      <c r="G144" s="24">
        <v>11.78118807108433</v>
      </c>
      <c r="H144" s="24">
        <v>57.197354108258672</v>
      </c>
      <c r="I144" s="16">
        <v>0</v>
      </c>
      <c r="J144" s="24">
        <v>1</v>
      </c>
    </row>
    <row r="145" spans="1:10" ht="15" customHeight="1" x14ac:dyDescent="0.3">
      <c r="A145" s="10" t="s">
        <v>203</v>
      </c>
      <c r="B145" s="10" t="s">
        <v>2035</v>
      </c>
      <c r="C145" s="10" t="s">
        <v>2036</v>
      </c>
      <c r="D145" s="24">
        <v>20</v>
      </c>
      <c r="E145" s="15">
        <v>-2.8763566757298662</v>
      </c>
      <c r="F145" s="24">
        <v>658.10384192418348</v>
      </c>
      <c r="G145" s="24">
        <v>15.51722251252602</v>
      </c>
      <c r="H145" s="24">
        <v>42.411188045601577</v>
      </c>
      <c r="I145" s="16">
        <v>1</v>
      </c>
      <c r="J145" s="24" t="s">
        <v>33</v>
      </c>
    </row>
    <row r="146" spans="1:10" ht="15" customHeight="1" x14ac:dyDescent="0.3">
      <c r="A146" s="10" t="s">
        <v>203</v>
      </c>
      <c r="B146" s="10" t="s">
        <v>2037</v>
      </c>
      <c r="C146" s="10" t="s">
        <v>2038</v>
      </c>
      <c r="D146" s="24">
        <v>23</v>
      </c>
      <c r="E146" s="15">
        <v>-2.1142919847444732</v>
      </c>
      <c r="F146" s="24">
        <v>637.20743436396629</v>
      </c>
      <c r="G146" s="24">
        <v>10.733936862542199</v>
      </c>
      <c r="H146" s="24">
        <v>59.363814276531087</v>
      </c>
      <c r="I146" s="16">
        <v>0</v>
      </c>
      <c r="J146" s="24">
        <v>-2.2999999999999998</v>
      </c>
    </row>
    <row r="147" spans="1:10" ht="15" customHeight="1" x14ac:dyDescent="0.3">
      <c r="A147" s="10" t="s">
        <v>203</v>
      </c>
      <c r="B147" s="10" t="s">
        <v>2039</v>
      </c>
      <c r="C147" s="10" t="s">
        <v>2040</v>
      </c>
      <c r="D147" s="24">
        <v>23</v>
      </c>
      <c r="E147" s="15">
        <v>-1.377776405098172</v>
      </c>
      <c r="F147" s="24">
        <v>628.96707501583501</v>
      </c>
      <c r="G147" s="24">
        <v>14.15949111929976</v>
      </c>
      <c r="H147" s="24">
        <v>44.420175111981003</v>
      </c>
      <c r="I147" s="16">
        <v>0</v>
      </c>
      <c r="J147" s="24">
        <v>-1.5</v>
      </c>
    </row>
    <row r="148" spans="1:10" ht="15" customHeight="1" x14ac:dyDescent="0.3">
      <c r="A148" s="10" t="s">
        <v>203</v>
      </c>
      <c r="B148" s="10" t="s">
        <v>2041</v>
      </c>
      <c r="C148" s="10" t="s">
        <v>2042</v>
      </c>
      <c r="D148" s="24">
        <v>24</v>
      </c>
      <c r="E148" s="15">
        <v>-1.330855301556088</v>
      </c>
      <c r="F148" s="24">
        <v>618.91021571302792</v>
      </c>
      <c r="G148" s="24">
        <v>10.97296976656024</v>
      </c>
      <c r="H148" s="24">
        <v>56.403164218964321</v>
      </c>
      <c r="I148" s="16">
        <v>0</v>
      </c>
      <c r="J148" s="24">
        <v>-0.9</v>
      </c>
    </row>
    <row r="149" spans="1:10" ht="15" customHeight="1" x14ac:dyDescent="0.3">
      <c r="A149" s="10" t="s">
        <v>203</v>
      </c>
      <c r="B149" s="10" t="s">
        <v>2043</v>
      </c>
      <c r="C149" s="10" t="s">
        <v>2044</v>
      </c>
      <c r="D149" s="24">
        <v>23</v>
      </c>
      <c r="E149" s="15">
        <v>-3.951142873938235</v>
      </c>
      <c r="F149" s="24">
        <v>428.22084366199812</v>
      </c>
      <c r="G149" s="24">
        <v>12.751427875534899</v>
      </c>
      <c r="H149" s="24">
        <v>33.582187645321618</v>
      </c>
      <c r="I149" s="16">
        <v>1</v>
      </c>
      <c r="J149" s="24" t="s">
        <v>33</v>
      </c>
    </row>
    <row r="150" spans="1:10" ht="15" customHeight="1" x14ac:dyDescent="0.3">
      <c r="A150" s="10" t="s">
        <v>203</v>
      </c>
      <c r="B150" s="10" t="s">
        <v>2045</v>
      </c>
      <c r="C150" s="10" t="s">
        <v>2046</v>
      </c>
      <c r="D150" s="24">
        <v>25</v>
      </c>
      <c r="E150" s="15">
        <v>-3.1867960702466678</v>
      </c>
      <c r="F150" s="24">
        <v>356.02714975701218</v>
      </c>
      <c r="G150" s="24">
        <v>11.73523854791093</v>
      </c>
      <c r="H150" s="24">
        <v>30.338296772023529</v>
      </c>
      <c r="I150" s="16">
        <v>1</v>
      </c>
      <c r="J150" s="24" t="s">
        <v>33</v>
      </c>
    </row>
    <row r="151" spans="1:10" ht="15" customHeight="1" x14ac:dyDescent="0.3">
      <c r="A151" s="10" t="s">
        <v>203</v>
      </c>
      <c r="B151" s="10" t="s">
        <v>2047</v>
      </c>
      <c r="C151" s="10" t="s">
        <v>2048</v>
      </c>
      <c r="D151" s="24">
        <v>23</v>
      </c>
      <c r="E151" s="15">
        <v>-3.1867960702466678</v>
      </c>
      <c r="F151" s="24">
        <v>356.02714975701218</v>
      </c>
      <c r="G151" s="24">
        <v>11.73523854791093</v>
      </c>
      <c r="H151" s="24">
        <v>30.338296772023529</v>
      </c>
      <c r="I151" s="16">
        <v>1</v>
      </c>
      <c r="J151" s="24" t="s">
        <v>33</v>
      </c>
    </row>
    <row r="152" spans="1:10" ht="15" customHeight="1" x14ac:dyDescent="0.3">
      <c r="A152" s="10" t="s">
        <v>203</v>
      </c>
      <c r="B152" s="10" t="s">
        <v>2049</v>
      </c>
      <c r="C152" s="10" t="s">
        <v>2050</v>
      </c>
      <c r="D152" s="24">
        <v>26</v>
      </c>
      <c r="E152" s="15">
        <v>-1.953291264118461</v>
      </c>
      <c r="F152" s="24">
        <v>302.3359036541458</v>
      </c>
      <c r="G152" s="24">
        <v>8.8510444871989247</v>
      </c>
      <c r="H152" s="24">
        <v>34.15821760826168</v>
      </c>
      <c r="I152" s="16">
        <v>0</v>
      </c>
      <c r="J152" s="24" t="s">
        <v>33</v>
      </c>
    </row>
    <row r="153" spans="1:10" ht="15" customHeight="1" x14ac:dyDescent="0.3">
      <c r="A153" s="10" t="s">
        <v>204</v>
      </c>
      <c r="B153" s="10" t="s">
        <v>320</v>
      </c>
      <c r="C153" s="10" t="s">
        <v>2051</v>
      </c>
      <c r="D153" s="24">
        <v>29</v>
      </c>
      <c r="E153" s="15">
        <v>3.1248112005372</v>
      </c>
      <c r="F153" s="24">
        <v>1888.0550434502529</v>
      </c>
      <c r="G153" s="24">
        <v>29.530698006165</v>
      </c>
      <c r="H153" s="24">
        <v>63.93533410744616</v>
      </c>
      <c r="I153" s="16">
        <v>0</v>
      </c>
      <c r="J153" s="24">
        <v>3</v>
      </c>
    </row>
    <row r="154" spans="1:10" ht="15" customHeight="1" x14ac:dyDescent="0.3">
      <c r="A154" s="10" t="s">
        <v>204</v>
      </c>
      <c r="B154" s="10" t="s">
        <v>296</v>
      </c>
      <c r="C154" s="10" t="s">
        <v>2052</v>
      </c>
      <c r="D154" s="24">
        <v>31</v>
      </c>
      <c r="E154" s="15">
        <v>10.421075024166109</v>
      </c>
      <c r="F154" s="24">
        <v>1826.795577797071</v>
      </c>
      <c r="G154" s="24">
        <v>29.947368665182118</v>
      </c>
      <c r="H154" s="24">
        <v>61.00020333075102</v>
      </c>
      <c r="I154" s="16">
        <v>0</v>
      </c>
      <c r="J154" s="24">
        <v>7.4</v>
      </c>
    </row>
    <row r="155" spans="1:10" ht="15" customHeight="1" x14ac:dyDescent="0.3">
      <c r="A155" s="10" t="s">
        <v>204</v>
      </c>
      <c r="B155" s="10" t="s">
        <v>2053</v>
      </c>
      <c r="C155" s="10" t="s">
        <v>2054</v>
      </c>
      <c r="D155" s="24">
        <v>37</v>
      </c>
      <c r="E155" s="15">
        <v>-1.330347957507267</v>
      </c>
      <c r="F155" s="24">
        <v>1774.9023201470129</v>
      </c>
      <c r="G155" s="24">
        <v>28.827063911550471</v>
      </c>
      <c r="H155" s="24">
        <v>61.570693622940993</v>
      </c>
      <c r="I155" s="16">
        <v>0</v>
      </c>
      <c r="J155" s="24">
        <v>-2.1</v>
      </c>
    </row>
    <row r="156" spans="1:10" ht="15" customHeight="1" x14ac:dyDescent="0.3">
      <c r="A156" s="10" t="s">
        <v>204</v>
      </c>
      <c r="B156" s="10" t="s">
        <v>2055</v>
      </c>
      <c r="C156" s="10" t="s">
        <v>2056</v>
      </c>
      <c r="D156" s="24">
        <v>25</v>
      </c>
      <c r="E156" s="15">
        <v>0.382328297698104</v>
      </c>
      <c r="F156" s="24">
        <v>1469.415190304114</v>
      </c>
      <c r="G156" s="24">
        <v>25.261588919940621</v>
      </c>
      <c r="H156" s="24">
        <v>58.167963818942873</v>
      </c>
      <c r="I156" s="16">
        <v>0</v>
      </c>
      <c r="J156" s="24">
        <v>0.8</v>
      </c>
    </row>
    <row r="157" spans="1:10" ht="15" customHeight="1" x14ac:dyDescent="0.3">
      <c r="A157" s="10" t="s">
        <v>204</v>
      </c>
      <c r="B157" s="10" t="s">
        <v>2057</v>
      </c>
      <c r="C157" s="10" t="s">
        <v>2058</v>
      </c>
      <c r="D157" s="24">
        <v>30</v>
      </c>
      <c r="E157" s="15">
        <v>0.61597408014013888</v>
      </c>
      <c r="F157" s="24">
        <v>1461.4605000398551</v>
      </c>
      <c r="G157" s="24">
        <v>25.463920340336781</v>
      </c>
      <c r="H157" s="24">
        <v>57.393381714471928</v>
      </c>
      <c r="I157" s="16">
        <v>0</v>
      </c>
      <c r="J157" s="24">
        <v>0.7</v>
      </c>
    </row>
    <row r="158" spans="1:10" ht="15" customHeight="1" x14ac:dyDescent="0.3">
      <c r="A158" s="10" t="s">
        <v>204</v>
      </c>
      <c r="B158" s="10" t="s">
        <v>2059</v>
      </c>
      <c r="C158" s="10" t="s">
        <v>2060</v>
      </c>
      <c r="D158" s="24">
        <v>31</v>
      </c>
      <c r="E158" s="15">
        <v>2.1087697789249642</v>
      </c>
      <c r="F158" s="24">
        <v>1268.34501559049</v>
      </c>
      <c r="G158" s="24">
        <v>24.420665740842409</v>
      </c>
      <c r="H158" s="24">
        <v>51.937364404822219</v>
      </c>
      <c r="I158" s="16">
        <v>0</v>
      </c>
      <c r="J158" s="24">
        <v>3.1</v>
      </c>
    </row>
    <row r="159" spans="1:10" ht="15" customHeight="1" x14ac:dyDescent="0.3">
      <c r="A159" s="10" t="s">
        <v>204</v>
      </c>
      <c r="B159" s="10" t="s">
        <v>2061</v>
      </c>
      <c r="C159" s="10" t="s">
        <v>2062</v>
      </c>
      <c r="D159" s="24">
        <v>30</v>
      </c>
      <c r="E159" s="15">
        <v>-1.209275710028018</v>
      </c>
      <c r="F159" s="24">
        <v>1155.2958051827759</v>
      </c>
      <c r="G159" s="24">
        <v>18.366920575713959</v>
      </c>
      <c r="H159" s="24">
        <v>62.900898407019291</v>
      </c>
      <c r="I159" s="16">
        <v>0</v>
      </c>
      <c r="J159" s="24">
        <v>-1.5</v>
      </c>
    </row>
    <row r="160" spans="1:10" ht="15" customHeight="1" x14ac:dyDescent="0.3">
      <c r="A160" s="10" t="s">
        <v>204</v>
      </c>
      <c r="B160" s="10" t="s">
        <v>2063</v>
      </c>
      <c r="C160" s="10" t="s">
        <v>2064</v>
      </c>
      <c r="D160" s="24">
        <v>23</v>
      </c>
      <c r="E160" s="15">
        <v>-2.4502033780567301</v>
      </c>
      <c r="F160" s="24">
        <v>965.91761321360957</v>
      </c>
      <c r="G160" s="24">
        <v>15.93380065278483</v>
      </c>
      <c r="H160" s="24">
        <v>60.620666359647927</v>
      </c>
      <c r="I160" s="16">
        <v>0</v>
      </c>
      <c r="J160" s="24">
        <v>-2.2000000000000002</v>
      </c>
    </row>
    <row r="161" spans="1:10" ht="15" customHeight="1" x14ac:dyDescent="0.3">
      <c r="A161" s="10" t="s">
        <v>204</v>
      </c>
      <c r="B161" s="10" t="s">
        <v>2065</v>
      </c>
      <c r="C161" s="10" t="s">
        <v>2066</v>
      </c>
      <c r="D161" s="24">
        <v>25</v>
      </c>
      <c r="E161" s="15">
        <v>-1.4741056052880279</v>
      </c>
      <c r="F161" s="24">
        <v>942.78491257724238</v>
      </c>
      <c r="G161" s="24">
        <v>16.34241752183032</v>
      </c>
      <c r="H161" s="24">
        <v>57.689439846819702</v>
      </c>
      <c r="I161" s="16">
        <v>0</v>
      </c>
      <c r="J161" s="24">
        <v>-1</v>
      </c>
    </row>
    <row r="162" spans="1:10" ht="15" customHeight="1" x14ac:dyDescent="0.3">
      <c r="A162" s="10" t="s">
        <v>204</v>
      </c>
      <c r="B162" s="10" t="s">
        <v>2067</v>
      </c>
      <c r="C162" s="10" t="s">
        <v>2068</v>
      </c>
      <c r="D162" s="24">
        <v>27</v>
      </c>
      <c r="E162" s="15">
        <v>-0.72773654142209221</v>
      </c>
      <c r="F162" s="24">
        <v>883.85091314610361</v>
      </c>
      <c r="G162" s="24">
        <v>15.41400324877533</v>
      </c>
      <c r="H162" s="24">
        <v>57.340776362969002</v>
      </c>
      <c r="I162" s="16">
        <v>0</v>
      </c>
      <c r="J162" s="24">
        <v>-1.6</v>
      </c>
    </row>
    <row r="163" spans="1:10" ht="15" customHeight="1" x14ac:dyDescent="0.3">
      <c r="A163" s="10" t="s">
        <v>204</v>
      </c>
      <c r="B163" s="10" t="s">
        <v>2069</v>
      </c>
      <c r="C163" s="10" t="s">
        <v>2070</v>
      </c>
      <c r="D163" s="24">
        <v>24</v>
      </c>
      <c r="E163" s="15">
        <v>-2.0923752489244678</v>
      </c>
      <c r="F163" s="24">
        <v>862.98778371967069</v>
      </c>
      <c r="G163" s="24">
        <v>14.322984404430921</v>
      </c>
      <c r="H163" s="24">
        <v>60.25195303938883</v>
      </c>
      <c r="I163" s="16">
        <v>0</v>
      </c>
      <c r="J163" s="24">
        <v>-1.6</v>
      </c>
    </row>
    <row r="164" spans="1:10" ht="15" customHeight="1" x14ac:dyDescent="0.3">
      <c r="A164" s="10" t="s">
        <v>204</v>
      </c>
      <c r="B164" s="10" t="s">
        <v>2071</v>
      </c>
      <c r="C164" s="10" t="s">
        <v>2072</v>
      </c>
      <c r="D164" s="24">
        <v>22</v>
      </c>
      <c r="E164" s="15">
        <v>-1.1549566874055639</v>
      </c>
      <c r="F164" s="24">
        <v>777.30435056931003</v>
      </c>
      <c r="G164" s="24">
        <v>14.58770558166251</v>
      </c>
      <c r="H164" s="24">
        <v>53.28489433913591</v>
      </c>
      <c r="I164" s="16">
        <v>0</v>
      </c>
      <c r="J164" s="24">
        <v>-1.8</v>
      </c>
    </row>
    <row r="165" spans="1:10" ht="15" customHeight="1" x14ac:dyDescent="0.3">
      <c r="A165" s="10" t="s">
        <v>204</v>
      </c>
      <c r="B165" s="10" t="s">
        <v>2073</v>
      </c>
      <c r="C165" s="10" t="s">
        <v>2074</v>
      </c>
      <c r="D165" s="24">
        <v>27</v>
      </c>
      <c r="E165" s="15">
        <v>-1.6728267517573101</v>
      </c>
      <c r="F165" s="24">
        <v>767.61215276392431</v>
      </c>
      <c r="G165" s="24">
        <v>16.381884010398309</v>
      </c>
      <c r="H165" s="24">
        <v>46.857379302446937</v>
      </c>
      <c r="I165" s="16">
        <v>0</v>
      </c>
      <c r="J165" s="24" t="s">
        <v>33</v>
      </c>
    </row>
    <row r="166" spans="1:10" ht="15" customHeight="1" x14ac:dyDescent="0.3">
      <c r="A166" s="10" t="s">
        <v>204</v>
      </c>
      <c r="B166" s="10" t="s">
        <v>2075</v>
      </c>
      <c r="C166" s="10" t="s">
        <v>2076</v>
      </c>
      <c r="D166" s="24">
        <v>25</v>
      </c>
      <c r="E166" s="15">
        <v>-2.0647273365218881</v>
      </c>
      <c r="F166" s="24">
        <v>578.74403192045179</v>
      </c>
      <c r="G166" s="24">
        <v>9.9567379435953463</v>
      </c>
      <c r="H166" s="24">
        <v>58.125867648523162</v>
      </c>
      <c r="I166" s="16">
        <v>0</v>
      </c>
      <c r="J166" s="24">
        <v>-2</v>
      </c>
    </row>
    <row r="167" spans="1:10" ht="15" customHeight="1" x14ac:dyDescent="0.3">
      <c r="A167" s="10" t="s">
        <v>204</v>
      </c>
      <c r="B167" s="10" t="s">
        <v>2077</v>
      </c>
      <c r="C167" s="10" t="s">
        <v>2078</v>
      </c>
      <c r="D167" s="24">
        <v>23</v>
      </c>
      <c r="E167" s="15">
        <v>-1.6221542480154669</v>
      </c>
      <c r="F167" s="24">
        <v>515.32988616133946</v>
      </c>
      <c r="G167" s="24">
        <v>13.61248487840259</v>
      </c>
      <c r="H167" s="24">
        <v>37.857150311987191</v>
      </c>
      <c r="I167" s="16">
        <v>1</v>
      </c>
      <c r="J167" s="24" t="s">
        <v>33</v>
      </c>
    </row>
    <row r="168" spans="1:10" ht="15" customHeight="1" x14ac:dyDescent="0.3">
      <c r="A168" s="10" t="s">
        <v>204</v>
      </c>
      <c r="B168" s="10" t="s">
        <v>2079</v>
      </c>
      <c r="C168" s="10" t="s">
        <v>2080</v>
      </c>
      <c r="D168" s="24">
        <v>24</v>
      </c>
      <c r="E168" s="15">
        <v>-0.73549600933872061</v>
      </c>
      <c r="F168" s="24">
        <v>418.07104950253341</v>
      </c>
      <c r="G168" s="24">
        <v>8.6244202274973407</v>
      </c>
      <c r="H168" s="24">
        <v>48.475264246701776</v>
      </c>
      <c r="I168" s="16">
        <v>0</v>
      </c>
      <c r="J168" s="24">
        <v>-0.6</v>
      </c>
    </row>
    <row r="169" spans="1:10" ht="15" customHeight="1" x14ac:dyDescent="0.3">
      <c r="A169" s="10" t="s">
        <v>204</v>
      </c>
      <c r="B169" s="10" t="s">
        <v>2081</v>
      </c>
      <c r="C169" s="10" t="s">
        <v>2082</v>
      </c>
      <c r="D169" s="24">
        <v>24</v>
      </c>
      <c r="E169" s="15">
        <v>-2.79648059905099</v>
      </c>
      <c r="F169" s="24">
        <v>407.43973637485749</v>
      </c>
      <c r="G169" s="24">
        <v>12.23428397018515</v>
      </c>
      <c r="H169" s="24">
        <v>33.303112578372783</v>
      </c>
      <c r="I169" s="16">
        <v>1</v>
      </c>
      <c r="J169" s="24" t="s">
        <v>33</v>
      </c>
    </row>
    <row r="170" spans="1:10" ht="15" customHeight="1" x14ac:dyDescent="0.3">
      <c r="A170" s="10" t="s">
        <v>204</v>
      </c>
      <c r="B170" s="10" t="s">
        <v>2083</v>
      </c>
      <c r="C170" s="10" t="s">
        <v>2084</v>
      </c>
      <c r="D170" s="24">
        <v>25</v>
      </c>
      <c r="E170" s="15">
        <v>-3.1867960702466678</v>
      </c>
      <c r="F170" s="24">
        <v>343.94629123897693</v>
      </c>
      <c r="G170" s="24">
        <v>11.3370336450841</v>
      </c>
      <c r="H170" s="24">
        <v>30.338296772023529</v>
      </c>
      <c r="I170" s="16">
        <v>1</v>
      </c>
      <c r="J170" s="24" t="s">
        <v>33</v>
      </c>
    </row>
    <row r="171" spans="1:10" ht="15" customHeight="1" x14ac:dyDescent="0.3">
      <c r="A171" s="10" t="s">
        <v>204</v>
      </c>
      <c r="B171" s="10" t="s">
        <v>2085</v>
      </c>
      <c r="C171" s="10" t="s">
        <v>2086</v>
      </c>
      <c r="D171" s="24">
        <v>29</v>
      </c>
      <c r="E171" s="15">
        <v>-3.1867960702466678</v>
      </c>
      <c r="F171" s="24">
        <v>343.94629123897693</v>
      </c>
      <c r="G171" s="24">
        <v>11.3370336450841</v>
      </c>
      <c r="H171" s="24">
        <v>30.338296772023529</v>
      </c>
      <c r="I171" s="16">
        <v>1</v>
      </c>
      <c r="J171" s="24" t="s">
        <v>33</v>
      </c>
    </row>
    <row r="172" spans="1:10" ht="15" customHeight="1" x14ac:dyDescent="0.3">
      <c r="A172" s="10" t="s">
        <v>204</v>
      </c>
      <c r="B172" s="10" t="s">
        <v>2087</v>
      </c>
      <c r="C172" s="10" t="s">
        <v>2088</v>
      </c>
      <c r="D172" s="24">
        <v>26</v>
      </c>
      <c r="E172" s="15">
        <v>-3.1867960702466678</v>
      </c>
      <c r="F172" s="24">
        <v>343.94629123897693</v>
      </c>
      <c r="G172" s="24">
        <v>11.3370336450841</v>
      </c>
      <c r="H172" s="24">
        <v>30.338296772023529</v>
      </c>
      <c r="I172" s="16">
        <v>1</v>
      </c>
      <c r="J172" s="24" t="s">
        <v>33</v>
      </c>
    </row>
    <row r="173" spans="1:10" ht="15" customHeight="1" x14ac:dyDescent="0.3">
      <c r="A173" s="10" t="s">
        <v>204</v>
      </c>
      <c r="B173" s="10" t="s">
        <v>2089</v>
      </c>
      <c r="C173" s="10" t="s">
        <v>2090</v>
      </c>
      <c r="D173" s="24">
        <v>24</v>
      </c>
      <c r="E173" s="15">
        <v>-3.1867960702466678</v>
      </c>
      <c r="F173" s="24">
        <v>343.94629123897693</v>
      </c>
      <c r="G173" s="24">
        <v>11.3370336450841</v>
      </c>
      <c r="H173" s="24">
        <v>30.338296772023529</v>
      </c>
      <c r="I173" s="16">
        <v>1</v>
      </c>
      <c r="J173" s="24" t="s">
        <v>33</v>
      </c>
    </row>
    <row r="174" spans="1:10" ht="15" customHeight="1" x14ac:dyDescent="0.3">
      <c r="A174" s="10" t="s">
        <v>204</v>
      </c>
      <c r="B174" s="10" t="s">
        <v>2091</v>
      </c>
      <c r="C174" s="10" t="s">
        <v>2092</v>
      </c>
      <c r="D174" s="24">
        <v>26</v>
      </c>
      <c r="E174" s="15">
        <v>-1.6803755698199121</v>
      </c>
      <c r="F174" s="24">
        <v>339.90295258347322</v>
      </c>
      <c r="G174" s="24">
        <v>8.2126032715400576</v>
      </c>
      <c r="H174" s="24">
        <v>41.387966926561802</v>
      </c>
      <c r="I174" s="16">
        <v>0</v>
      </c>
      <c r="J174" s="24">
        <v>-1.9</v>
      </c>
    </row>
    <row r="175" spans="1:10" ht="15" customHeight="1" x14ac:dyDescent="0.3">
      <c r="A175" s="10" t="s">
        <v>205</v>
      </c>
      <c r="B175" s="10" t="s">
        <v>299</v>
      </c>
      <c r="C175" s="10" t="s">
        <v>2093</v>
      </c>
      <c r="D175" s="24">
        <v>25</v>
      </c>
      <c r="E175" s="15">
        <v>4.5475318536945242</v>
      </c>
      <c r="F175" s="24">
        <v>1943.023868398843</v>
      </c>
      <c r="G175" s="24">
        <v>31.16043270574357</v>
      </c>
      <c r="H175" s="24">
        <v>62.355484172743843</v>
      </c>
      <c r="I175" s="16">
        <v>0</v>
      </c>
      <c r="J175" s="24">
        <v>3.9</v>
      </c>
    </row>
    <row r="176" spans="1:10" ht="15" customHeight="1" x14ac:dyDescent="0.3">
      <c r="A176" s="10" t="s">
        <v>205</v>
      </c>
      <c r="B176" s="10" t="s">
        <v>460</v>
      </c>
      <c r="C176" s="10" t="s">
        <v>2094</v>
      </c>
      <c r="D176" s="24">
        <v>22</v>
      </c>
      <c r="E176" s="15">
        <v>3.2734134469876168</v>
      </c>
      <c r="F176" s="24">
        <v>1647.236439484037</v>
      </c>
      <c r="G176" s="24">
        <v>25.399191264207129</v>
      </c>
      <c r="H176" s="24">
        <v>64.853893273576148</v>
      </c>
      <c r="I176" s="16">
        <v>0</v>
      </c>
      <c r="J176" s="24">
        <v>2</v>
      </c>
    </row>
    <row r="177" spans="1:10" ht="15" customHeight="1" x14ac:dyDescent="0.3">
      <c r="A177" s="10" t="s">
        <v>205</v>
      </c>
      <c r="B177" s="10" t="s">
        <v>510</v>
      </c>
      <c r="C177" s="10" t="s">
        <v>2095</v>
      </c>
      <c r="D177" s="24">
        <v>32</v>
      </c>
      <c r="E177" s="15">
        <v>0.30580256321347349</v>
      </c>
      <c r="F177" s="24">
        <v>1563.9867157502861</v>
      </c>
      <c r="G177" s="24">
        <v>24.44605952684168</v>
      </c>
      <c r="H177" s="24">
        <v>63.977047672367583</v>
      </c>
      <c r="I177" s="16">
        <v>0</v>
      </c>
      <c r="J177" s="24">
        <v>1</v>
      </c>
    </row>
    <row r="178" spans="1:10" ht="15" customHeight="1" x14ac:dyDescent="0.3">
      <c r="A178" s="10" t="s">
        <v>205</v>
      </c>
      <c r="B178" s="10" t="s">
        <v>2096</v>
      </c>
      <c r="C178" s="10" t="s">
        <v>2097</v>
      </c>
      <c r="D178" s="24">
        <v>29</v>
      </c>
      <c r="E178" s="15">
        <v>1.5169134775489699E-2</v>
      </c>
      <c r="F178" s="24">
        <v>1529.8105611281021</v>
      </c>
      <c r="G178" s="24">
        <v>25.536233316289341</v>
      </c>
      <c r="H178" s="24">
        <v>59.907447671706912</v>
      </c>
      <c r="I178" s="16">
        <v>0</v>
      </c>
      <c r="J178" s="24">
        <v>0.3</v>
      </c>
    </row>
    <row r="179" spans="1:10" ht="15" customHeight="1" x14ac:dyDescent="0.3">
      <c r="A179" s="10" t="s">
        <v>205</v>
      </c>
      <c r="B179" s="10" t="s">
        <v>324</v>
      </c>
      <c r="C179" s="10" t="s">
        <v>2098</v>
      </c>
      <c r="D179" s="24">
        <v>23</v>
      </c>
      <c r="E179" s="15">
        <v>1.8161341380536009</v>
      </c>
      <c r="F179" s="24">
        <v>1460.24650452328</v>
      </c>
      <c r="G179" s="24">
        <v>22.889612380768021</v>
      </c>
      <c r="H179" s="24">
        <v>63.795160889233209</v>
      </c>
      <c r="I179" s="16">
        <v>0</v>
      </c>
      <c r="J179" s="24">
        <v>1</v>
      </c>
    </row>
    <row r="180" spans="1:10" ht="15" customHeight="1" x14ac:dyDescent="0.3">
      <c r="A180" s="10" t="s">
        <v>205</v>
      </c>
      <c r="B180" s="10" t="s">
        <v>2099</v>
      </c>
      <c r="C180" s="10" t="s">
        <v>2100</v>
      </c>
      <c r="D180" s="24">
        <v>28</v>
      </c>
      <c r="E180" s="15">
        <v>-0.40605268081621648</v>
      </c>
      <c r="F180" s="24">
        <v>1356.6546562470371</v>
      </c>
      <c r="G180" s="24">
        <v>21.567662111750099</v>
      </c>
      <c r="H180" s="24">
        <v>62.902258446822053</v>
      </c>
      <c r="I180" s="16">
        <v>0</v>
      </c>
      <c r="J180" s="24">
        <v>0.1</v>
      </c>
    </row>
    <row r="181" spans="1:10" ht="15" customHeight="1" x14ac:dyDescent="0.3">
      <c r="A181" s="10" t="s">
        <v>205</v>
      </c>
      <c r="B181" s="10" t="s">
        <v>2101</v>
      </c>
      <c r="C181" s="10" t="s">
        <v>2102</v>
      </c>
      <c r="D181" s="24">
        <v>27</v>
      </c>
      <c r="E181" s="15">
        <v>1.29020246619781</v>
      </c>
      <c r="F181" s="24">
        <v>1241.683746957422</v>
      </c>
      <c r="G181" s="24">
        <v>19.365407179383428</v>
      </c>
      <c r="H181" s="24">
        <v>64.118649066120796</v>
      </c>
      <c r="I181" s="16">
        <v>0</v>
      </c>
      <c r="J181" s="24">
        <v>0.7</v>
      </c>
    </row>
    <row r="182" spans="1:10" ht="15" customHeight="1" x14ac:dyDescent="0.3">
      <c r="A182" s="10" t="s">
        <v>205</v>
      </c>
      <c r="B182" s="10" t="s">
        <v>2103</v>
      </c>
      <c r="C182" s="10" t="s">
        <v>2104</v>
      </c>
      <c r="D182" s="24">
        <v>32</v>
      </c>
      <c r="E182" s="15">
        <v>-1.837539728430216</v>
      </c>
      <c r="F182" s="24">
        <v>1238.8113506157929</v>
      </c>
      <c r="G182" s="24">
        <v>23.953620522430519</v>
      </c>
      <c r="H182" s="24">
        <v>51.717081743686791</v>
      </c>
      <c r="I182" s="16">
        <v>0</v>
      </c>
      <c r="J182" s="24">
        <v>-1.1000000000000001</v>
      </c>
    </row>
    <row r="183" spans="1:10" ht="15" customHeight="1" x14ac:dyDescent="0.3">
      <c r="A183" s="10" t="s">
        <v>205</v>
      </c>
      <c r="B183" s="10" t="s">
        <v>2105</v>
      </c>
      <c r="C183" s="10" t="s">
        <v>2106</v>
      </c>
      <c r="D183" s="24">
        <v>21</v>
      </c>
      <c r="E183" s="15">
        <v>-0.41340037078487168</v>
      </c>
      <c r="F183" s="24">
        <v>1135.655997638725</v>
      </c>
      <c r="G183" s="24">
        <v>16.913962720501431</v>
      </c>
      <c r="H183" s="24">
        <v>67.14310634386085</v>
      </c>
      <c r="I183" s="16">
        <v>0</v>
      </c>
      <c r="J183" s="24">
        <v>0.1</v>
      </c>
    </row>
    <row r="184" spans="1:10" ht="15" customHeight="1" x14ac:dyDescent="0.3">
      <c r="A184" s="10" t="s">
        <v>205</v>
      </c>
      <c r="B184" s="10" t="s">
        <v>2107</v>
      </c>
      <c r="C184" s="10" t="s">
        <v>2108</v>
      </c>
      <c r="D184" s="24">
        <v>33</v>
      </c>
      <c r="E184" s="15">
        <v>0.38278680574062279</v>
      </c>
      <c r="F184" s="24">
        <v>1078.748197682542</v>
      </c>
      <c r="G184" s="24">
        <v>16.79779514380224</v>
      </c>
      <c r="H184" s="24">
        <v>64.219630519816192</v>
      </c>
      <c r="I184" s="16">
        <v>0</v>
      </c>
      <c r="J184" s="24">
        <v>0.7</v>
      </c>
    </row>
    <row r="185" spans="1:10" ht="15" customHeight="1" x14ac:dyDescent="0.3">
      <c r="A185" s="10" t="s">
        <v>205</v>
      </c>
      <c r="B185" s="10" t="s">
        <v>361</v>
      </c>
      <c r="C185" s="10" t="s">
        <v>2109</v>
      </c>
      <c r="D185" s="24">
        <v>25</v>
      </c>
      <c r="E185" s="15">
        <v>-0.92622780698914242</v>
      </c>
      <c r="F185" s="24">
        <v>1011.71989124609</v>
      </c>
      <c r="G185" s="24">
        <v>17.29813264564817</v>
      </c>
      <c r="H185" s="24">
        <v>58.487231655066338</v>
      </c>
      <c r="I185" s="16">
        <v>0</v>
      </c>
      <c r="J185" s="24">
        <v>-1.3</v>
      </c>
    </row>
    <row r="186" spans="1:10" ht="15" customHeight="1" x14ac:dyDescent="0.3">
      <c r="A186" s="10" t="s">
        <v>205</v>
      </c>
      <c r="B186" s="10" t="s">
        <v>353</v>
      </c>
      <c r="C186" s="10" t="s">
        <v>2110</v>
      </c>
      <c r="D186" s="24">
        <v>19</v>
      </c>
      <c r="E186" s="15">
        <v>-3.1501062271017939</v>
      </c>
      <c r="F186" s="24">
        <v>852.0543677164045</v>
      </c>
      <c r="G186" s="24">
        <v>17.88865201982243</v>
      </c>
      <c r="H186" s="24">
        <v>47.630999069814891</v>
      </c>
      <c r="I186" s="16">
        <v>1</v>
      </c>
      <c r="J186" s="24" t="s">
        <v>33</v>
      </c>
    </row>
    <row r="187" spans="1:10" ht="15" customHeight="1" x14ac:dyDescent="0.3">
      <c r="A187" s="10" t="s">
        <v>205</v>
      </c>
      <c r="B187" s="10" t="s">
        <v>2111</v>
      </c>
      <c r="C187" s="10" t="s">
        <v>2112</v>
      </c>
      <c r="D187" s="24">
        <v>27</v>
      </c>
      <c r="E187" s="15">
        <v>2.475043028649075</v>
      </c>
      <c r="F187" s="24">
        <v>807.81433907437167</v>
      </c>
      <c r="G187" s="24">
        <v>13.48512134913218</v>
      </c>
      <c r="H187" s="24">
        <v>59.904120857344587</v>
      </c>
      <c r="I187" s="16">
        <v>0</v>
      </c>
      <c r="J187" s="24">
        <v>2.1</v>
      </c>
    </row>
    <row r="188" spans="1:10" ht="15" customHeight="1" x14ac:dyDescent="0.3">
      <c r="A188" s="10" t="s">
        <v>205</v>
      </c>
      <c r="B188" s="10" t="s">
        <v>2113</v>
      </c>
      <c r="C188" s="10" t="s">
        <v>2114</v>
      </c>
      <c r="D188" s="24">
        <v>26</v>
      </c>
      <c r="E188" s="15">
        <v>-2.5466117307146519</v>
      </c>
      <c r="F188" s="24">
        <v>780.61442176892285</v>
      </c>
      <c r="G188" s="24">
        <v>16.594684031539241</v>
      </c>
      <c r="H188" s="24">
        <v>47.040029221726442</v>
      </c>
      <c r="I188" s="16">
        <v>0</v>
      </c>
      <c r="J188" s="24">
        <v>-1.6</v>
      </c>
    </row>
    <row r="189" spans="1:10" ht="15" customHeight="1" x14ac:dyDescent="0.3">
      <c r="A189" s="10" t="s">
        <v>205</v>
      </c>
      <c r="B189" s="10" t="s">
        <v>2115</v>
      </c>
      <c r="C189" s="10" t="s">
        <v>2116</v>
      </c>
      <c r="D189" s="24">
        <v>26</v>
      </c>
      <c r="E189" s="15">
        <v>-1.016317657437305</v>
      </c>
      <c r="F189" s="24">
        <v>446.9537714748277</v>
      </c>
      <c r="G189" s="24">
        <v>10.29015967608367</v>
      </c>
      <c r="H189" s="24">
        <v>43.435066660203049</v>
      </c>
      <c r="I189" s="16">
        <v>0</v>
      </c>
      <c r="J189" s="24">
        <v>-0.7</v>
      </c>
    </row>
    <row r="190" spans="1:10" ht="15" customHeight="1" x14ac:dyDescent="0.3">
      <c r="A190" s="10" t="s">
        <v>205</v>
      </c>
      <c r="B190" s="10" t="s">
        <v>2117</v>
      </c>
      <c r="C190" s="10" t="s">
        <v>2118</v>
      </c>
      <c r="D190" s="24">
        <v>24</v>
      </c>
      <c r="E190" s="15">
        <v>-2.7420471786670082</v>
      </c>
      <c r="F190" s="24">
        <v>444.28026664317201</v>
      </c>
      <c r="G190" s="24">
        <v>8.6138410634962685</v>
      </c>
      <c r="H190" s="24">
        <v>51.577485974978423</v>
      </c>
      <c r="I190" s="16">
        <v>0</v>
      </c>
      <c r="J190" s="24">
        <v>-3</v>
      </c>
    </row>
    <row r="191" spans="1:10" ht="15" customHeight="1" x14ac:dyDescent="0.3">
      <c r="A191" s="10" t="s">
        <v>205</v>
      </c>
      <c r="B191" s="10" t="s">
        <v>2119</v>
      </c>
      <c r="C191" s="10" t="s">
        <v>2120</v>
      </c>
      <c r="D191" s="24">
        <v>22</v>
      </c>
      <c r="E191" s="15">
        <v>-0.23262307568325941</v>
      </c>
      <c r="F191" s="24">
        <v>414.63916841432132</v>
      </c>
      <c r="G191" s="24">
        <v>12.860607177089969</v>
      </c>
      <c r="H191" s="24">
        <v>32.241025847750343</v>
      </c>
      <c r="I191" s="16">
        <v>1</v>
      </c>
      <c r="J191" s="24" t="s">
        <v>33</v>
      </c>
    </row>
    <row r="192" spans="1:10" ht="15" customHeight="1" x14ac:dyDescent="0.3">
      <c r="A192" s="10" t="s">
        <v>205</v>
      </c>
      <c r="B192" s="10" t="s">
        <v>2121</v>
      </c>
      <c r="C192" s="10" t="s">
        <v>2122</v>
      </c>
      <c r="D192" s="24">
        <v>25</v>
      </c>
      <c r="E192" s="15">
        <v>-3.1867960702466678</v>
      </c>
      <c r="F192" s="24">
        <v>371.30944962199771</v>
      </c>
      <c r="G192" s="24">
        <v>12.23896820616512</v>
      </c>
      <c r="H192" s="24">
        <v>30.338296772023529</v>
      </c>
      <c r="I192" s="16">
        <v>1</v>
      </c>
      <c r="J192" s="24" t="s">
        <v>33</v>
      </c>
    </row>
    <row r="193" spans="1:10" ht="15" customHeight="1" x14ac:dyDescent="0.3">
      <c r="A193" s="10" t="s">
        <v>205</v>
      </c>
      <c r="B193" s="10" t="s">
        <v>2123</v>
      </c>
      <c r="C193" s="10" t="s">
        <v>2124</v>
      </c>
      <c r="D193" s="24">
        <v>26</v>
      </c>
      <c r="E193" s="15">
        <v>-2.6095053601436322</v>
      </c>
      <c r="F193" s="24">
        <v>354.75628561382672</v>
      </c>
      <c r="G193" s="24">
        <v>7.8723436362732517</v>
      </c>
      <c r="H193" s="24">
        <v>45.063617901436963</v>
      </c>
      <c r="I193" s="16">
        <v>0</v>
      </c>
      <c r="J193" s="24">
        <v>-3.2</v>
      </c>
    </row>
    <row r="194" spans="1:10" ht="15" customHeight="1" x14ac:dyDescent="0.3">
      <c r="A194" s="10" t="s">
        <v>206</v>
      </c>
      <c r="B194" s="10" t="s">
        <v>2125</v>
      </c>
      <c r="C194" s="10" t="s">
        <v>2126</v>
      </c>
      <c r="D194" s="24">
        <v>23</v>
      </c>
      <c r="E194" s="15">
        <v>0.93253836234967125</v>
      </c>
      <c r="F194" s="24">
        <v>1719.5191242167959</v>
      </c>
      <c r="G194" s="24">
        <v>25.848063306656979</v>
      </c>
      <c r="H194" s="24">
        <v>66.524099071435913</v>
      </c>
      <c r="I194" s="16">
        <v>0</v>
      </c>
      <c r="J194" s="24">
        <v>0.7</v>
      </c>
    </row>
    <row r="195" spans="1:10" ht="15" customHeight="1" x14ac:dyDescent="0.3">
      <c r="A195" s="10" t="s">
        <v>206</v>
      </c>
      <c r="B195" s="10" t="s">
        <v>2127</v>
      </c>
      <c r="C195" s="10" t="s">
        <v>2128</v>
      </c>
      <c r="D195" s="24">
        <v>36</v>
      </c>
      <c r="E195" s="15">
        <v>-0.41682999556332889</v>
      </c>
      <c r="F195" s="24">
        <v>1533.5646169898421</v>
      </c>
      <c r="G195" s="24">
        <v>25.95362215927841</v>
      </c>
      <c r="H195" s="24">
        <v>59.088654661699842</v>
      </c>
      <c r="I195" s="16">
        <v>0</v>
      </c>
      <c r="J195" s="24">
        <v>0.1</v>
      </c>
    </row>
    <row r="196" spans="1:10" ht="15" customHeight="1" x14ac:dyDescent="0.3">
      <c r="A196" s="10" t="s">
        <v>206</v>
      </c>
      <c r="B196" s="10" t="s">
        <v>310</v>
      </c>
      <c r="C196" s="10" t="s">
        <v>2129</v>
      </c>
      <c r="D196" s="24">
        <v>38</v>
      </c>
      <c r="E196" s="15">
        <v>3.383199184550453</v>
      </c>
      <c r="F196" s="24">
        <v>1519.770590163035</v>
      </c>
      <c r="G196" s="24">
        <v>29.39071332669409</v>
      </c>
      <c r="H196" s="24">
        <v>51.709210772462093</v>
      </c>
      <c r="I196" s="16">
        <v>0</v>
      </c>
      <c r="J196" s="24">
        <v>2.2000000000000002</v>
      </c>
    </row>
    <row r="197" spans="1:10" ht="15" customHeight="1" x14ac:dyDescent="0.3">
      <c r="A197" s="10" t="s">
        <v>206</v>
      </c>
      <c r="B197" s="10" t="s">
        <v>2130</v>
      </c>
      <c r="C197" s="10" t="s">
        <v>2131</v>
      </c>
      <c r="D197" s="24">
        <v>40</v>
      </c>
      <c r="E197" s="15">
        <v>-0.21247803337691851</v>
      </c>
      <c r="F197" s="24">
        <v>1147.644826207201</v>
      </c>
      <c r="G197" s="24">
        <v>23.03070407969653</v>
      </c>
      <c r="H197" s="24">
        <v>49.831078643355283</v>
      </c>
      <c r="I197" s="16">
        <v>0</v>
      </c>
      <c r="J197" s="24">
        <v>-1</v>
      </c>
    </row>
    <row r="198" spans="1:10" ht="15" customHeight="1" x14ac:dyDescent="0.3">
      <c r="A198" s="10" t="s">
        <v>206</v>
      </c>
      <c r="B198" s="10" t="s">
        <v>2132</v>
      </c>
      <c r="C198" s="10" t="s">
        <v>2133</v>
      </c>
      <c r="D198" s="24">
        <v>23</v>
      </c>
      <c r="E198" s="15">
        <v>-0.72609884605924369</v>
      </c>
      <c r="F198" s="24">
        <v>1144.078593408984</v>
      </c>
      <c r="G198" s="24">
        <v>17.95396642773612</v>
      </c>
      <c r="H198" s="24">
        <v>63.722888087924566</v>
      </c>
      <c r="I198" s="16">
        <v>0</v>
      </c>
      <c r="J198" s="24">
        <v>-0.6</v>
      </c>
    </row>
    <row r="199" spans="1:10" ht="15" customHeight="1" x14ac:dyDescent="0.3">
      <c r="A199" s="10" t="s">
        <v>206</v>
      </c>
      <c r="B199" s="10" t="s">
        <v>2134</v>
      </c>
      <c r="C199" s="10" t="s">
        <v>2135</v>
      </c>
      <c r="D199" s="24">
        <v>28</v>
      </c>
      <c r="E199" s="15">
        <v>-0.37718572756968372</v>
      </c>
      <c r="F199" s="24">
        <v>1108.5366898323809</v>
      </c>
      <c r="G199" s="24">
        <v>21.319803201371801</v>
      </c>
      <c r="H199" s="24">
        <v>51.995634263690292</v>
      </c>
      <c r="I199" s="16">
        <v>0</v>
      </c>
      <c r="J199" s="24">
        <v>0.8</v>
      </c>
    </row>
    <row r="200" spans="1:10" ht="15" customHeight="1" x14ac:dyDescent="0.3">
      <c r="A200" s="10" t="s">
        <v>206</v>
      </c>
      <c r="B200" s="10" t="s">
        <v>500</v>
      </c>
      <c r="C200" s="10" t="s">
        <v>2136</v>
      </c>
      <c r="D200" s="24">
        <v>31</v>
      </c>
      <c r="E200" s="15">
        <v>2.156508395288236</v>
      </c>
      <c r="F200" s="24">
        <v>1094.914378442352</v>
      </c>
      <c r="G200" s="24">
        <v>24.715335193255129</v>
      </c>
      <c r="H200" s="24">
        <v>44.301012706522251</v>
      </c>
      <c r="I200" s="16">
        <v>0</v>
      </c>
      <c r="J200" s="24">
        <v>1.6</v>
      </c>
    </row>
    <row r="201" spans="1:10" ht="15" customHeight="1" x14ac:dyDescent="0.3">
      <c r="A201" s="10" t="s">
        <v>206</v>
      </c>
      <c r="B201" s="10" t="s">
        <v>343</v>
      </c>
      <c r="C201" s="10" t="s">
        <v>2137</v>
      </c>
      <c r="D201" s="24">
        <v>24</v>
      </c>
      <c r="E201" s="15">
        <v>0.54566877530516367</v>
      </c>
      <c r="F201" s="24">
        <v>1075.679627314694</v>
      </c>
      <c r="G201" s="24">
        <v>20.097565627618089</v>
      </c>
      <c r="H201" s="24">
        <v>53.522881688541133</v>
      </c>
      <c r="I201" s="16">
        <v>1</v>
      </c>
      <c r="J201" s="24" t="s">
        <v>33</v>
      </c>
    </row>
    <row r="202" spans="1:10" ht="15" customHeight="1" x14ac:dyDescent="0.3">
      <c r="A202" s="10" t="s">
        <v>206</v>
      </c>
      <c r="B202" s="10" t="s">
        <v>2138</v>
      </c>
      <c r="C202" s="10" t="s">
        <v>2139</v>
      </c>
      <c r="D202" s="24">
        <v>26</v>
      </c>
      <c r="E202" s="15">
        <v>0.1566299086809769</v>
      </c>
      <c r="F202" s="24">
        <v>1071.570748571208</v>
      </c>
      <c r="G202" s="24">
        <v>18.088260758956011</v>
      </c>
      <c r="H202" s="24">
        <v>59.241226276586211</v>
      </c>
      <c r="I202" s="16">
        <v>0</v>
      </c>
      <c r="J202" s="24">
        <v>-0.1</v>
      </c>
    </row>
    <row r="203" spans="1:10" ht="15" customHeight="1" x14ac:dyDescent="0.3">
      <c r="A203" s="10" t="s">
        <v>206</v>
      </c>
      <c r="B203" s="10" t="s">
        <v>2140</v>
      </c>
      <c r="C203" s="10" t="s">
        <v>2141</v>
      </c>
      <c r="D203" s="24">
        <v>24</v>
      </c>
      <c r="E203" s="15">
        <v>0.2012070053538956</v>
      </c>
      <c r="F203" s="24">
        <v>1022.493352922717</v>
      </c>
      <c r="G203" s="24">
        <v>16.44484385714744</v>
      </c>
      <c r="H203" s="24">
        <v>62.177139643579508</v>
      </c>
      <c r="I203" s="16">
        <v>0</v>
      </c>
      <c r="J203" s="24">
        <v>0.6</v>
      </c>
    </row>
    <row r="204" spans="1:10" ht="15" customHeight="1" x14ac:dyDescent="0.3">
      <c r="A204" s="10" t="s">
        <v>206</v>
      </c>
      <c r="B204" s="10" t="s">
        <v>2142</v>
      </c>
      <c r="C204" s="10" t="s">
        <v>2143</v>
      </c>
      <c r="D204" s="24">
        <v>24</v>
      </c>
      <c r="E204" s="15">
        <v>0.5146099560322317</v>
      </c>
      <c r="F204" s="24">
        <v>1007.804519500524</v>
      </c>
      <c r="G204" s="24">
        <v>21.519879152586281</v>
      </c>
      <c r="H204" s="24">
        <v>46.831328017908731</v>
      </c>
      <c r="I204" s="16">
        <v>0</v>
      </c>
      <c r="J204" s="24">
        <v>0.7</v>
      </c>
    </row>
    <row r="205" spans="1:10" ht="15" customHeight="1" x14ac:dyDescent="0.3">
      <c r="A205" s="10" t="s">
        <v>206</v>
      </c>
      <c r="B205" s="10" t="s">
        <v>2144</v>
      </c>
      <c r="C205" s="10" t="s">
        <v>2145</v>
      </c>
      <c r="D205" s="24">
        <v>33</v>
      </c>
      <c r="E205" s="15">
        <v>0.44799757663414652</v>
      </c>
      <c r="F205" s="24">
        <v>901.07393603507035</v>
      </c>
      <c r="G205" s="24">
        <v>14.67609955831424</v>
      </c>
      <c r="H205" s="24">
        <v>61.397371451094997</v>
      </c>
      <c r="I205" s="16">
        <v>0</v>
      </c>
      <c r="J205" s="24">
        <v>0.2</v>
      </c>
    </row>
    <row r="206" spans="1:10" ht="15" customHeight="1" x14ac:dyDescent="0.3">
      <c r="A206" s="10" t="s">
        <v>206</v>
      </c>
      <c r="B206" s="10" t="s">
        <v>2146</v>
      </c>
      <c r="C206" s="10" t="s">
        <v>2147</v>
      </c>
      <c r="D206" s="24">
        <v>37</v>
      </c>
      <c r="E206" s="15">
        <v>3.09127377729311</v>
      </c>
      <c r="F206" s="24">
        <v>833.00513172864476</v>
      </c>
      <c r="G206" s="24">
        <v>29.280482987740509</v>
      </c>
      <c r="H206" s="24">
        <v>28.449159533243261</v>
      </c>
      <c r="I206" s="16">
        <v>0</v>
      </c>
      <c r="J206" s="24">
        <v>2.2999999999999998</v>
      </c>
    </row>
    <row r="207" spans="1:10" ht="15" customHeight="1" x14ac:dyDescent="0.3">
      <c r="A207" s="10" t="s">
        <v>206</v>
      </c>
      <c r="B207" s="10" t="s">
        <v>2148</v>
      </c>
      <c r="C207" s="10" t="s">
        <v>2149</v>
      </c>
      <c r="D207" s="24">
        <v>26</v>
      </c>
      <c r="E207" s="15">
        <v>-2.8271124761075819</v>
      </c>
      <c r="F207" s="24">
        <v>763.61086325756685</v>
      </c>
      <c r="G207" s="24">
        <v>17.470940284636391</v>
      </c>
      <c r="H207" s="24">
        <v>43.707485162036271</v>
      </c>
      <c r="I207" s="16">
        <v>0</v>
      </c>
      <c r="J207" s="24" t="s">
        <v>33</v>
      </c>
    </row>
    <row r="208" spans="1:10" ht="15" customHeight="1" x14ac:dyDescent="0.3">
      <c r="A208" s="10" t="s">
        <v>206</v>
      </c>
      <c r="B208" s="10" t="s">
        <v>2150</v>
      </c>
      <c r="C208" s="10" t="s">
        <v>2151</v>
      </c>
      <c r="D208" s="24">
        <v>24</v>
      </c>
      <c r="E208" s="15">
        <v>-1.3840738617421311</v>
      </c>
      <c r="F208" s="24">
        <v>697.52372502560866</v>
      </c>
      <c r="G208" s="24">
        <v>11.875536496190399</v>
      </c>
      <c r="H208" s="24">
        <v>58.736186381926387</v>
      </c>
      <c r="I208" s="16">
        <v>0</v>
      </c>
      <c r="J208" s="24">
        <v>-1</v>
      </c>
    </row>
    <row r="209" spans="1:10" ht="15" customHeight="1" x14ac:dyDescent="0.3">
      <c r="A209" s="10" t="s">
        <v>206</v>
      </c>
      <c r="B209" s="10" t="s">
        <v>2152</v>
      </c>
      <c r="C209" s="10" t="s">
        <v>2153</v>
      </c>
      <c r="D209" s="24">
        <v>33</v>
      </c>
      <c r="E209" s="15">
        <v>-2.787386640472862</v>
      </c>
      <c r="F209" s="24">
        <v>670.91839397887873</v>
      </c>
      <c r="G209" s="24">
        <v>20.312593997806559</v>
      </c>
      <c r="H209" s="24">
        <v>33.02967577904267</v>
      </c>
      <c r="I209" s="16">
        <v>0</v>
      </c>
      <c r="J209" s="24" t="s">
        <v>33</v>
      </c>
    </row>
    <row r="210" spans="1:10" ht="15" customHeight="1" x14ac:dyDescent="0.3">
      <c r="A210" s="10" t="s">
        <v>206</v>
      </c>
      <c r="B210" s="10" t="s">
        <v>2154</v>
      </c>
      <c r="C210" s="10" t="s">
        <v>2155</v>
      </c>
      <c r="D210" s="24">
        <v>25</v>
      </c>
      <c r="E210" s="15">
        <v>-2.248595225295142</v>
      </c>
      <c r="F210" s="24">
        <v>636.45521988896508</v>
      </c>
      <c r="G210" s="24">
        <v>13.85412625147198</v>
      </c>
      <c r="H210" s="24">
        <v>45.939758909107873</v>
      </c>
      <c r="I210" s="16">
        <v>0</v>
      </c>
      <c r="J210" s="24">
        <v>-2</v>
      </c>
    </row>
    <row r="211" spans="1:10" ht="15" customHeight="1" x14ac:dyDescent="0.3">
      <c r="A211" s="10" t="s">
        <v>206</v>
      </c>
      <c r="B211" s="10" t="s">
        <v>2156</v>
      </c>
      <c r="C211" s="10" t="s">
        <v>2157</v>
      </c>
      <c r="D211" s="24">
        <v>25</v>
      </c>
      <c r="E211" s="15">
        <v>-8.6842934611084006E-3</v>
      </c>
      <c r="F211" s="24">
        <v>499.04505295110158</v>
      </c>
      <c r="G211" s="24">
        <v>10.76393821477915</v>
      </c>
      <c r="H211" s="24">
        <v>46.362682783323727</v>
      </c>
      <c r="I211" s="16">
        <v>0</v>
      </c>
      <c r="J211" s="24">
        <v>0.3</v>
      </c>
    </row>
    <row r="212" spans="1:10" ht="15" customHeight="1" x14ac:dyDescent="0.3">
      <c r="A212" s="10" t="s">
        <v>206</v>
      </c>
      <c r="B212" s="10" t="s">
        <v>2158</v>
      </c>
      <c r="C212" s="10" t="s">
        <v>2159</v>
      </c>
      <c r="D212" s="24">
        <v>27</v>
      </c>
      <c r="E212" s="15">
        <v>-2.1762964870122641</v>
      </c>
      <c r="F212" s="24">
        <v>479.52799221712507</v>
      </c>
      <c r="G212" s="24">
        <v>10.377194879683531</v>
      </c>
      <c r="H212" s="24">
        <v>46.209789618189092</v>
      </c>
      <c r="I212" s="16">
        <v>0</v>
      </c>
      <c r="J212" s="24">
        <v>-2.1</v>
      </c>
    </row>
    <row r="213" spans="1:10" ht="15" customHeight="1" x14ac:dyDescent="0.3">
      <c r="A213" s="10" t="s">
        <v>206</v>
      </c>
      <c r="B213" s="10" t="s">
        <v>2160</v>
      </c>
      <c r="C213" s="10" t="s">
        <v>2161</v>
      </c>
      <c r="D213" s="24">
        <v>24</v>
      </c>
      <c r="E213" s="15">
        <v>-3.1867960702466678</v>
      </c>
      <c r="F213" s="24">
        <v>376.63130867365169</v>
      </c>
      <c r="G213" s="24">
        <v>12.41438540547742</v>
      </c>
      <c r="H213" s="24">
        <v>30.338296772023529</v>
      </c>
      <c r="I213" s="16">
        <v>1</v>
      </c>
      <c r="J213" s="24" t="s">
        <v>33</v>
      </c>
    </row>
    <row r="214" spans="1:10" ht="15" customHeight="1" x14ac:dyDescent="0.3">
      <c r="A214" s="10" t="s">
        <v>206</v>
      </c>
      <c r="B214" s="10" t="s">
        <v>2162</v>
      </c>
      <c r="C214" s="10" t="s">
        <v>2163</v>
      </c>
      <c r="D214" s="24">
        <v>22</v>
      </c>
      <c r="E214" s="15">
        <v>-3.1867960702466678</v>
      </c>
      <c r="F214" s="24">
        <v>376.63130867365169</v>
      </c>
      <c r="G214" s="24">
        <v>12.41438540547742</v>
      </c>
      <c r="H214" s="24">
        <v>30.338296772023529</v>
      </c>
      <c r="I214" s="16">
        <v>1</v>
      </c>
      <c r="J214" s="24" t="s">
        <v>33</v>
      </c>
    </row>
    <row r="215" spans="1:10" ht="15" customHeight="1" x14ac:dyDescent="0.3">
      <c r="A215" s="10" t="s">
        <v>207</v>
      </c>
      <c r="B215" s="10" t="s">
        <v>328</v>
      </c>
      <c r="C215" s="10" t="s">
        <v>2164</v>
      </c>
      <c r="D215" s="24">
        <v>23</v>
      </c>
      <c r="E215" s="15">
        <v>2.596874011367809</v>
      </c>
      <c r="F215" s="24">
        <v>2051.8118595148499</v>
      </c>
      <c r="G215" s="24">
        <v>30.977014210540709</v>
      </c>
      <c r="H215" s="24">
        <v>66.236592254158239</v>
      </c>
      <c r="I215" s="16">
        <v>0</v>
      </c>
      <c r="J215" s="24">
        <v>1.4</v>
      </c>
    </row>
    <row r="216" spans="1:10" ht="15" customHeight="1" x14ac:dyDescent="0.3">
      <c r="A216" s="10" t="s">
        <v>207</v>
      </c>
      <c r="B216" s="10" t="s">
        <v>312</v>
      </c>
      <c r="C216" s="10" t="s">
        <v>2165</v>
      </c>
      <c r="D216" s="24">
        <v>38</v>
      </c>
      <c r="E216" s="15">
        <v>3.3934289381047562</v>
      </c>
      <c r="F216" s="24">
        <v>2017.30798754224</v>
      </c>
      <c r="G216" s="24">
        <v>33.756483513246437</v>
      </c>
      <c r="H216" s="24">
        <v>59.760608262132067</v>
      </c>
      <c r="I216" s="16">
        <v>0</v>
      </c>
      <c r="J216" s="24">
        <v>3.3</v>
      </c>
    </row>
    <row r="217" spans="1:10" ht="15" customHeight="1" x14ac:dyDescent="0.3">
      <c r="A217" s="10" t="s">
        <v>207</v>
      </c>
      <c r="B217" s="10" t="s">
        <v>2166</v>
      </c>
      <c r="C217" s="10" t="s">
        <v>2167</v>
      </c>
      <c r="D217" s="24">
        <v>23</v>
      </c>
      <c r="E217" s="15">
        <v>0.45758195389950129</v>
      </c>
      <c r="F217" s="24">
        <v>1984.3802198379749</v>
      </c>
      <c r="G217" s="24">
        <v>30.711303986760662</v>
      </c>
      <c r="H217" s="24">
        <v>64.614000782689715</v>
      </c>
      <c r="I217" s="16">
        <v>0</v>
      </c>
      <c r="J217" s="24">
        <v>0.6</v>
      </c>
    </row>
    <row r="218" spans="1:10" ht="15" customHeight="1" x14ac:dyDescent="0.3">
      <c r="A218" s="10" t="s">
        <v>207</v>
      </c>
      <c r="B218" s="10" t="s">
        <v>450</v>
      </c>
      <c r="C218" s="10" t="s">
        <v>2168</v>
      </c>
      <c r="D218" s="24">
        <v>24</v>
      </c>
      <c r="E218" s="15">
        <v>3.6083491842932438</v>
      </c>
      <c r="F218" s="24">
        <v>1959.3453727482411</v>
      </c>
      <c r="G218" s="24">
        <v>30.121050236115959</v>
      </c>
      <c r="H218" s="24">
        <v>65.049039040442636</v>
      </c>
      <c r="I218" s="16">
        <v>0</v>
      </c>
      <c r="J218" s="24">
        <v>2.2000000000000002</v>
      </c>
    </row>
    <row r="219" spans="1:10" ht="15" customHeight="1" x14ac:dyDescent="0.3">
      <c r="A219" s="10" t="s">
        <v>207</v>
      </c>
      <c r="B219" s="10" t="s">
        <v>483</v>
      </c>
      <c r="C219" s="10" t="s">
        <v>2169</v>
      </c>
      <c r="D219" s="24">
        <v>25</v>
      </c>
      <c r="E219" s="15">
        <v>0.9438417592291044</v>
      </c>
      <c r="F219" s="24">
        <v>1387.5971947524511</v>
      </c>
      <c r="G219" s="24">
        <v>23.073999279727371</v>
      </c>
      <c r="H219" s="24">
        <v>60.136830981510101</v>
      </c>
      <c r="I219" s="16">
        <v>0</v>
      </c>
      <c r="J219" s="24">
        <v>1.2</v>
      </c>
    </row>
    <row r="220" spans="1:10" ht="15" customHeight="1" x14ac:dyDescent="0.3">
      <c r="A220" s="10" t="s">
        <v>207</v>
      </c>
      <c r="B220" s="10" t="s">
        <v>489</v>
      </c>
      <c r="C220" s="10" t="s">
        <v>2170</v>
      </c>
      <c r="D220" s="24">
        <v>32</v>
      </c>
      <c r="E220" s="15">
        <v>-0.5519181517395032</v>
      </c>
      <c r="F220" s="24">
        <v>1364.293915370002</v>
      </c>
      <c r="G220" s="24">
        <v>24.158059047590228</v>
      </c>
      <c r="H220" s="24">
        <v>56.473655962277761</v>
      </c>
      <c r="I220" s="16">
        <v>0</v>
      </c>
      <c r="J220" s="24">
        <v>1.1000000000000001</v>
      </c>
    </row>
    <row r="221" spans="1:10" ht="15" customHeight="1" x14ac:dyDescent="0.3">
      <c r="A221" s="10" t="s">
        <v>207</v>
      </c>
      <c r="B221" s="10" t="s">
        <v>356</v>
      </c>
      <c r="C221" s="10" t="s">
        <v>2171</v>
      </c>
      <c r="D221" s="24">
        <v>22</v>
      </c>
      <c r="E221" s="15">
        <v>1.829726395638172</v>
      </c>
      <c r="F221" s="24">
        <v>1350.003521637758</v>
      </c>
      <c r="G221" s="24">
        <v>20.628378769140671</v>
      </c>
      <c r="H221" s="24">
        <v>65.443995223575982</v>
      </c>
      <c r="I221" s="16">
        <v>0</v>
      </c>
      <c r="J221" s="24">
        <v>0.9</v>
      </c>
    </row>
    <row r="222" spans="1:10" ht="15" customHeight="1" x14ac:dyDescent="0.3">
      <c r="A222" s="10" t="s">
        <v>207</v>
      </c>
      <c r="B222" s="10" t="s">
        <v>2172</v>
      </c>
      <c r="C222" s="10" t="s">
        <v>2173</v>
      </c>
      <c r="D222" s="24">
        <v>34</v>
      </c>
      <c r="E222" s="15">
        <v>-1.275978992529526</v>
      </c>
      <c r="F222" s="24">
        <v>1109.9160179031719</v>
      </c>
      <c r="G222" s="24">
        <v>23.324188304497401</v>
      </c>
      <c r="H222" s="24">
        <v>47.586479898601951</v>
      </c>
      <c r="I222" s="16">
        <v>0</v>
      </c>
      <c r="J222" s="24">
        <v>-0.6</v>
      </c>
    </row>
    <row r="223" spans="1:10" ht="15" customHeight="1" x14ac:dyDescent="0.3">
      <c r="A223" s="10" t="s">
        <v>207</v>
      </c>
      <c r="B223" s="10" t="s">
        <v>2174</v>
      </c>
      <c r="C223" s="10" t="s">
        <v>2175</v>
      </c>
      <c r="D223" s="24">
        <v>32</v>
      </c>
      <c r="E223" s="15">
        <v>0.29047544389061281</v>
      </c>
      <c r="F223" s="24">
        <v>1002.4745150873759</v>
      </c>
      <c r="G223" s="24">
        <v>16.247242398718459</v>
      </c>
      <c r="H223" s="24">
        <v>61.701209995269657</v>
      </c>
      <c r="I223" s="16">
        <v>0</v>
      </c>
      <c r="J223" s="24">
        <v>1.1000000000000001</v>
      </c>
    </row>
    <row r="224" spans="1:10" ht="15" customHeight="1" x14ac:dyDescent="0.3">
      <c r="A224" s="10" t="s">
        <v>207</v>
      </c>
      <c r="B224" s="10" t="s">
        <v>485</v>
      </c>
      <c r="C224" s="10" t="s">
        <v>2176</v>
      </c>
      <c r="D224" s="24">
        <v>32</v>
      </c>
      <c r="E224" s="15">
        <v>1.1682044299539991</v>
      </c>
      <c r="F224" s="24">
        <v>978.56074474580043</v>
      </c>
      <c r="G224" s="24">
        <v>32.254966457055048</v>
      </c>
      <c r="H224" s="24">
        <v>30.338296772023529</v>
      </c>
      <c r="I224" s="16">
        <v>0</v>
      </c>
      <c r="J224" s="24">
        <v>1.2</v>
      </c>
    </row>
    <row r="225" spans="1:10" ht="15" customHeight="1" x14ac:dyDescent="0.3">
      <c r="A225" s="10" t="s">
        <v>207</v>
      </c>
      <c r="B225" s="10" t="s">
        <v>2177</v>
      </c>
      <c r="C225" s="10" t="s">
        <v>2178</v>
      </c>
      <c r="D225" s="24">
        <v>33</v>
      </c>
      <c r="E225" s="15">
        <v>0.56403356284531259</v>
      </c>
      <c r="F225" s="24">
        <v>841.29426575073057</v>
      </c>
      <c r="G225" s="24">
        <v>16.587718578477372</v>
      </c>
      <c r="H225" s="24">
        <v>50.717900823463047</v>
      </c>
      <c r="I225" s="16">
        <v>0</v>
      </c>
      <c r="J225" s="24">
        <v>2</v>
      </c>
    </row>
    <row r="226" spans="1:10" ht="15" customHeight="1" x14ac:dyDescent="0.3">
      <c r="A226" s="10" t="s">
        <v>207</v>
      </c>
      <c r="B226" s="10" t="s">
        <v>2179</v>
      </c>
      <c r="C226" s="10" t="s">
        <v>2180</v>
      </c>
      <c r="D226" s="24">
        <v>26</v>
      </c>
      <c r="E226" s="15">
        <v>-0.54997239929207109</v>
      </c>
      <c r="F226" s="24">
        <v>695.97385463906471</v>
      </c>
      <c r="G226" s="24">
        <v>14.601457686107119</v>
      </c>
      <c r="H226" s="24">
        <v>47.664683184423737</v>
      </c>
      <c r="I226" s="16">
        <v>0</v>
      </c>
      <c r="J226" s="24">
        <v>0.2</v>
      </c>
    </row>
    <row r="227" spans="1:10" ht="15" customHeight="1" x14ac:dyDescent="0.3">
      <c r="A227" s="10" t="s">
        <v>207</v>
      </c>
      <c r="B227" s="10" t="s">
        <v>2181</v>
      </c>
      <c r="C227" s="10" t="s">
        <v>2182</v>
      </c>
      <c r="D227" s="24">
        <v>22</v>
      </c>
      <c r="E227" s="15">
        <v>-1.311631503884084</v>
      </c>
      <c r="F227" s="24">
        <v>640.18337417364171</v>
      </c>
      <c r="G227" s="24">
        <v>10.77440250934959</v>
      </c>
      <c r="H227" s="24">
        <v>59.417064994380567</v>
      </c>
      <c r="I227" s="16">
        <v>0</v>
      </c>
      <c r="J227" s="24">
        <v>-0.7</v>
      </c>
    </row>
    <row r="228" spans="1:10" ht="15" customHeight="1" x14ac:dyDescent="0.3">
      <c r="A228" s="10" t="s">
        <v>207</v>
      </c>
      <c r="B228" s="10" t="s">
        <v>2183</v>
      </c>
      <c r="C228" s="10" t="s">
        <v>2184</v>
      </c>
      <c r="D228" s="24">
        <v>23</v>
      </c>
      <c r="E228" s="15">
        <v>-1.7733909993183341</v>
      </c>
      <c r="F228" s="24">
        <v>607.83835368200914</v>
      </c>
      <c r="G228" s="24">
        <v>15.388418562492401</v>
      </c>
      <c r="H228" s="24">
        <v>39.499728397273323</v>
      </c>
      <c r="I228" s="16">
        <v>1</v>
      </c>
      <c r="J228" s="24" t="s">
        <v>33</v>
      </c>
    </row>
    <row r="229" spans="1:10" ht="15" customHeight="1" x14ac:dyDescent="0.3">
      <c r="A229" s="10" t="s">
        <v>207</v>
      </c>
      <c r="B229" s="10" t="s">
        <v>2185</v>
      </c>
      <c r="C229" s="10" t="s">
        <v>2186</v>
      </c>
      <c r="D229" s="24">
        <v>30</v>
      </c>
      <c r="E229" s="15">
        <v>-1.9586555682654461</v>
      </c>
      <c r="F229" s="24">
        <v>598.0149820590683</v>
      </c>
      <c r="G229" s="24">
        <v>10.88966800374863</v>
      </c>
      <c r="H229" s="24">
        <v>54.915813948892577</v>
      </c>
      <c r="I229" s="16">
        <v>0</v>
      </c>
      <c r="J229" s="24">
        <v>-1.5</v>
      </c>
    </row>
    <row r="230" spans="1:10" ht="15" customHeight="1" x14ac:dyDescent="0.3">
      <c r="A230" s="10" t="s">
        <v>207</v>
      </c>
      <c r="B230" s="10" t="s">
        <v>2187</v>
      </c>
      <c r="C230" s="10" t="s">
        <v>2188</v>
      </c>
      <c r="D230" s="24">
        <v>24</v>
      </c>
      <c r="E230" s="15">
        <v>-2.4543626032593679</v>
      </c>
      <c r="F230" s="24">
        <v>391.11598647570321</v>
      </c>
      <c r="G230" s="24">
        <v>9.2526234211864544</v>
      </c>
      <c r="H230" s="24">
        <v>42.270820790148477</v>
      </c>
      <c r="I230" s="16">
        <v>0</v>
      </c>
      <c r="J230" s="24">
        <v>-2.9</v>
      </c>
    </row>
    <row r="231" spans="1:10" ht="15" customHeight="1" x14ac:dyDescent="0.3">
      <c r="A231" s="10" t="s">
        <v>207</v>
      </c>
      <c r="B231" s="10" t="s">
        <v>2189</v>
      </c>
      <c r="C231" s="10" t="s">
        <v>2190</v>
      </c>
      <c r="D231" s="24">
        <v>23</v>
      </c>
      <c r="E231" s="15">
        <v>-3.1867960702466678</v>
      </c>
      <c r="F231" s="24">
        <v>375.12019841320171</v>
      </c>
      <c r="G231" s="24">
        <v>12.364576733889651</v>
      </c>
      <c r="H231" s="24">
        <v>30.338296772023529</v>
      </c>
      <c r="I231" s="16">
        <v>1</v>
      </c>
      <c r="J231" s="24" t="s">
        <v>33</v>
      </c>
    </row>
    <row r="232" spans="1:10" ht="15" customHeight="1" x14ac:dyDescent="0.3">
      <c r="A232" s="10" t="s">
        <v>207</v>
      </c>
      <c r="B232" s="10" t="s">
        <v>2191</v>
      </c>
      <c r="C232" s="10" t="s">
        <v>2192</v>
      </c>
      <c r="D232" s="24">
        <v>24</v>
      </c>
      <c r="E232" s="15">
        <v>-1.6515910989700739</v>
      </c>
      <c r="F232" s="24">
        <v>324.76763566671582</v>
      </c>
      <c r="G232" s="24">
        <v>7.2530043311101391</v>
      </c>
      <c r="H232" s="24">
        <v>44.776980798659913</v>
      </c>
      <c r="I232" s="16">
        <v>0</v>
      </c>
      <c r="J232" s="24">
        <v>-1.7</v>
      </c>
    </row>
    <row r="233" spans="1:10" ht="15" customHeight="1" x14ac:dyDescent="0.3">
      <c r="A233" s="10" t="s">
        <v>208</v>
      </c>
      <c r="B233" s="10" t="s">
        <v>455</v>
      </c>
      <c r="C233" s="10" t="s">
        <v>2193</v>
      </c>
      <c r="D233" s="24">
        <v>32</v>
      </c>
      <c r="E233" s="15">
        <v>0.97321224406976925</v>
      </c>
      <c r="F233" s="24">
        <v>2013.5460343043401</v>
      </c>
      <c r="G233" s="24">
        <v>31.290375607690709</v>
      </c>
      <c r="H233" s="24">
        <v>64.350331218441511</v>
      </c>
      <c r="I233" s="16">
        <v>0</v>
      </c>
      <c r="J233" s="24">
        <v>1</v>
      </c>
    </row>
    <row r="234" spans="1:10" ht="15" customHeight="1" x14ac:dyDescent="0.3">
      <c r="A234" s="10" t="s">
        <v>208</v>
      </c>
      <c r="B234" s="10" t="s">
        <v>2194</v>
      </c>
      <c r="C234" s="10" t="s">
        <v>2195</v>
      </c>
      <c r="D234" s="24">
        <v>30</v>
      </c>
      <c r="E234" s="15">
        <v>-1.0446404108021241</v>
      </c>
      <c r="F234" s="24">
        <v>1691.762268425362</v>
      </c>
      <c r="G234" s="24">
        <v>29.8539981498269</v>
      </c>
      <c r="H234" s="24">
        <v>56.667862707533921</v>
      </c>
      <c r="I234" s="16">
        <v>0</v>
      </c>
      <c r="J234" s="24">
        <v>-0.2</v>
      </c>
    </row>
    <row r="235" spans="1:10" ht="15" customHeight="1" x14ac:dyDescent="0.3">
      <c r="A235" s="10" t="s">
        <v>208</v>
      </c>
      <c r="B235" s="10" t="s">
        <v>334</v>
      </c>
      <c r="C235" s="10" t="s">
        <v>2196</v>
      </c>
      <c r="D235" s="24">
        <v>29</v>
      </c>
      <c r="E235" s="15">
        <v>1.171513597336584</v>
      </c>
      <c r="F235" s="24">
        <v>1655.014036987619</v>
      </c>
      <c r="G235" s="24">
        <v>28.357974224180939</v>
      </c>
      <c r="H235" s="24">
        <v>58.361504383355538</v>
      </c>
      <c r="I235" s="16">
        <v>0</v>
      </c>
      <c r="J235" s="24">
        <v>1.1000000000000001</v>
      </c>
    </row>
    <row r="236" spans="1:10" ht="15" customHeight="1" x14ac:dyDescent="0.3">
      <c r="A236" s="10" t="s">
        <v>208</v>
      </c>
      <c r="B236" s="10" t="s">
        <v>2197</v>
      </c>
      <c r="C236" s="10" t="s">
        <v>2198</v>
      </c>
      <c r="D236" s="24">
        <v>26</v>
      </c>
      <c r="E236" s="15">
        <v>-0.7180571146884378</v>
      </c>
      <c r="F236" s="24">
        <v>1635.0358180467649</v>
      </c>
      <c r="G236" s="24">
        <v>27.26642926705842</v>
      </c>
      <c r="H236" s="24">
        <v>59.965160895567372</v>
      </c>
      <c r="I236" s="16">
        <v>0</v>
      </c>
      <c r="J236" s="24">
        <v>-0.4</v>
      </c>
    </row>
    <row r="237" spans="1:10" ht="15" customHeight="1" x14ac:dyDescent="0.3">
      <c r="A237" s="10" t="s">
        <v>208</v>
      </c>
      <c r="B237" s="10" t="s">
        <v>304</v>
      </c>
      <c r="C237" s="10" t="s">
        <v>2199</v>
      </c>
      <c r="D237" s="24">
        <v>26</v>
      </c>
      <c r="E237" s="15">
        <v>4.4255491298696477</v>
      </c>
      <c r="F237" s="24">
        <v>1584.0202743265879</v>
      </c>
      <c r="G237" s="24">
        <v>30.261034551294308</v>
      </c>
      <c r="H237" s="24">
        <v>52.345212178439454</v>
      </c>
      <c r="I237" s="16">
        <v>0</v>
      </c>
      <c r="J237" s="24">
        <v>3.3</v>
      </c>
    </row>
    <row r="238" spans="1:10" ht="15" customHeight="1" x14ac:dyDescent="0.3">
      <c r="A238" s="10" t="s">
        <v>208</v>
      </c>
      <c r="B238" s="10" t="s">
        <v>2200</v>
      </c>
      <c r="C238" s="10" t="s">
        <v>2201</v>
      </c>
      <c r="D238" s="24">
        <v>26</v>
      </c>
      <c r="E238" s="15">
        <v>-0.80228749849536274</v>
      </c>
      <c r="F238" s="24">
        <v>1421.5066373227769</v>
      </c>
      <c r="G238" s="24">
        <v>25.806959488983509</v>
      </c>
      <c r="H238" s="24">
        <v>55.082298165717297</v>
      </c>
      <c r="I238" s="16">
        <v>0</v>
      </c>
      <c r="J238" s="24">
        <v>-0.1</v>
      </c>
    </row>
    <row r="239" spans="1:10" ht="15" customHeight="1" x14ac:dyDescent="0.3">
      <c r="A239" s="10" t="s">
        <v>208</v>
      </c>
      <c r="B239" s="10" t="s">
        <v>2202</v>
      </c>
      <c r="C239" s="10" t="s">
        <v>2203</v>
      </c>
      <c r="D239" s="24">
        <v>23</v>
      </c>
      <c r="E239" s="15">
        <v>-1.6663051931730291</v>
      </c>
      <c r="F239" s="24">
        <v>1305.675540387783</v>
      </c>
      <c r="G239" s="24">
        <v>19.770259944710372</v>
      </c>
      <c r="H239" s="24">
        <v>66.042406323399035</v>
      </c>
      <c r="I239" s="16">
        <v>0</v>
      </c>
      <c r="J239" s="24">
        <v>-2.2000000000000002</v>
      </c>
    </row>
    <row r="240" spans="1:10" ht="15" customHeight="1" x14ac:dyDescent="0.3">
      <c r="A240" s="10" t="s">
        <v>208</v>
      </c>
      <c r="B240" s="10" t="s">
        <v>2204</v>
      </c>
      <c r="C240" s="10" t="s">
        <v>2205</v>
      </c>
      <c r="D240" s="24">
        <v>25</v>
      </c>
      <c r="E240" s="15">
        <v>-1.690040425914427</v>
      </c>
      <c r="F240" s="24">
        <v>1149.6465591425231</v>
      </c>
      <c r="G240" s="24">
        <v>18.5565714271502</v>
      </c>
      <c r="H240" s="24">
        <v>61.95360838373783</v>
      </c>
      <c r="I240" s="16">
        <v>0</v>
      </c>
      <c r="J240" s="24">
        <v>-1.3</v>
      </c>
    </row>
    <row r="241" spans="1:10" ht="15" customHeight="1" x14ac:dyDescent="0.3">
      <c r="A241" s="10" t="s">
        <v>208</v>
      </c>
      <c r="B241" s="10" t="s">
        <v>497</v>
      </c>
      <c r="C241" s="10" t="s">
        <v>2206</v>
      </c>
      <c r="D241" s="24">
        <v>29</v>
      </c>
      <c r="E241" s="15">
        <v>0.21608799113452559</v>
      </c>
      <c r="F241" s="24">
        <v>1063.990528602317</v>
      </c>
      <c r="G241" s="24">
        <v>16.265246628854388</v>
      </c>
      <c r="H241" s="24">
        <v>65.41496436425426</v>
      </c>
      <c r="I241" s="16">
        <v>0</v>
      </c>
      <c r="J241" s="24">
        <v>-0.2</v>
      </c>
    </row>
    <row r="242" spans="1:10" ht="15" customHeight="1" x14ac:dyDescent="0.3">
      <c r="A242" s="10" t="s">
        <v>208</v>
      </c>
      <c r="B242" s="10" t="s">
        <v>2207</v>
      </c>
      <c r="C242" s="10" t="s">
        <v>2208</v>
      </c>
      <c r="D242" s="24">
        <v>34</v>
      </c>
      <c r="E242" s="15">
        <v>0.1673774669374411</v>
      </c>
      <c r="F242" s="24">
        <v>979.11192468247918</v>
      </c>
      <c r="G242" s="24">
        <v>16.818973396453181</v>
      </c>
      <c r="H242" s="24">
        <v>58.214725810135128</v>
      </c>
      <c r="I242" s="16">
        <v>0</v>
      </c>
      <c r="J242" s="24">
        <v>-0.7</v>
      </c>
    </row>
    <row r="243" spans="1:10" ht="15" customHeight="1" x14ac:dyDescent="0.3">
      <c r="A243" s="10" t="s">
        <v>208</v>
      </c>
      <c r="B243" s="10" t="s">
        <v>2209</v>
      </c>
      <c r="C243" s="10" t="s">
        <v>2210</v>
      </c>
      <c r="D243" s="24">
        <v>28</v>
      </c>
      <c r="E243" s="15">
        <v>0.60738753180448868</v>
      </c>
      <c r="F243" s="24">
        <v>971.38541712728556</v>
      </c>
      <c r="G243" s="24">
        <v>18.494195844279648</v>
      </c>
      <c r="H243" s="24">
        <v>52.523798563955403</v>
      </c>
      <c r="I243" s="16">
        <v>0</v>
      </c>
      <c r="J243" s="24">
        <v>-0.2</v>
      </c>
    </row>
    <row r="244" spans="1:10" ht="15" customHeight="1" x14ac:dyDescent="0.3">
      <c r="A244" s="10" t="s">
        <v>208</v>
      </c>
      <c r="B244" s="10" t="s">
        <v>2211</v>
      </c>
      <c r="C244" s="10" t="s">
        <v>2212</v>
      </c>
      <c r="D244" s="24">
        <v>28</v>
      </c>
      <c r="E244" s="15">
        <v>-1.249901719594791</v>
      </c>
      <c r="F244" s="24">
        <v>848.32381165921277</v>
      </c>
      <c r="G244" s="24">
        <v>15.695546969455989</v>
      </c>
      <c r="H244" s="24">
        <v>54.048693767096921</v>
      </c>
      <c r="I244" s="16">
        <v>0</v>
      </c>
      <c r="J244" s="24">
        <v>-1</v>
      </c>
    </row>
    <row r="245" spans="1:10" ht="15" customHeight="1" x14ac:dyDescent="0.3">
      <c r="A245" s="10" t="s">
        <v>208</v>
      </c>
      <c r="B245" s="10" t="s">
        <v>2213</v>
      </c>
      <c r="C245" s="10" t="s">
        <v>2214</v>
      </c>
      <c r="D245" s="24">
        <v>33</v>
      </c>
      <c r="E245" s="15">
        <v>-1.7541800598686961</v>
      </c>
      <c r="F245" s="24">
        <v>745.01498400048354</v>
      </c>
      <c r="G245" s="24">
        <v>15.42502767554436</v>
      </c>
      <c r="H245" s="24">
        <v>48.299101931704719</v>
      </c>
      <c r="I245" s="16">
        <v>0</v>
      </c>
      <c r="J245" s="24">
        <v>-2.2000000000000002</v>
      </c>
    </row>
    <row r="246" spans="1:10" ht="15" customHeight="1" x14ac:dyDescent="0.3">
      <c r="A246" s="10" t="s">
        <v>208</v>
      </c>
      <c r="B246" s="10" t="s">
        <v>2215</v>
      </c>
      <c r="C246" s="10" t="s">
        <v>2216</v>
      </c>
      <c r="D246" s="24">
        <v>26</v>
      </c>
      <c r="E246" s="15">
        <v>-1.6614578678949541</v>
      </c>
      <c r="F246" s="24">
        <v>714.98055714286511</v>
      </c>
      <c r="G246" s="24">
        <v>12.193205527041719</v>
      </c>
      <c r="H246" s="24">
        <v>58.637620399098751</v>
      </c>
      <c r="I246" s="16">
        <v>0</v>
      </c>
      <c r="J246" s="24">
        <v>-1.2</v>
      </c>
    </row>
    <row r="247" spans="1:10" ht="15" customHeight="1" x14ac:dyDescent="0.3">
      <c r="A247" s="10" t="s">
        <v>208</v>
      </c>
      <c r="B247" s="10" t="s">
        <v>2217</v>
      </c>
      <c r="C247" s="10" t="s">
        <v>2218</v>
      </c>
      <c r="D247" s="24">
        <v>26</v>
      </c>
      <c r="E247" s="15">
        <v>-0.72135507787220243</v>
      </c>
      <c r="F247" s="24">
        <v>695.10730203449236</v>
      </c>
      <c r="G247" s="24">
        <v>15.779181820538501</v>
      </c>
      <c r="H247" s="24">
        <v>44.052176465178121</v>
      </c>
      <c r="I247" s="16">
        <v>0</v>
      </c>
      <c r="J247" s="24">
        <v>-0.4</v>
      </c>
    </row>
    <row r="248" spans="1:10" ht="15" customHeight="1" x14ac:dyDescent="0.3">
      <c r="A248" s="10" t="s">
        <v>208</v>
      </c>
      <c r="B248" s="10" t="s">
        <v>2219</v>
      </c>
      <c r="C248" s="10" t="s">
        <v>2220</v>
      </c>
      <c r="D248" s="24">
        <v>23</v>
      </c>
      <c r="E248" s="15">
        <v>-2.726623496280141</v>
      </c>
      <c r="F248" s="24">
        <v>537.03210581084772</v>
      </c>
      <c r="G248" s="24">
        <v>14.61547071636484</v>
      </c>
      <c r="H248" s="24">
        <v>36.74408551272569</v>
      </c>
      <c r="I248" s="16">
        <v>1</v>
      </c>
      <c r="J248" s="24" t="s">
        <v>33</v>
      </c>
    </row>
    <row r="249" spans="1:10" ht="15" customHeight="1" x14ac:dyDescent="0.3">
      <c r="A249" s="10" t="s">
        <v>208</v>
      </c>
      <c r="B249" s="10" t="s">
        <v>2221</v>
      </c>
      <c r="C249" s="10" t="s">
        <v>2222</v>
      </c>
      <c r="D249" s="24">
        <v>21</v>
      </c>
      <c r="E249" s="15">
        <v>-1.1943613821090029</v>
      </c>
      <c r="F249" s="24">
        <v>456.54592683354957</v>
      </c>
      <c r="G249" s="24">
        <v>13.62567431185512</v>
      </c>
      <c r="H249" s="24">
        <v>33.506299679886538</v>
      </c>
      <c r="I249" s="16">
        <v>0</v>
      </c>
      <c r="J249" s="24">
        <v>-0.6</v>
      </c>
    </row>
    <row r="250" spans="1:10" ht="15" customHeight="1" x14ac:dyDescent="0.3">
      <c r="A250" s="10" t="s">
        <v>208</v>
      </c>
      <c r="B250" s="10" t="s">
        <v>2223</v>
      </c>
      <c r="C250" s="10" t="s">
        <v>2224</v>
      </c>
      <c r="D250" s="24">
        <v>39</v>
      </c>
      <c r="E250" s="15">
        <v>-3.1950332429307209</v>
      </c>
      <c r="F250" s="24">
        <v>212.30027316270991</v>
      </c>
      <c r="G250" s="24">
        <v>6.9977650610393756</v>
      </c>
      <c r="H250" s="24">
        <v>30.338296772023529</v>
      </c>
      <c r="I250" s="16">
        <v>0</v>
      </c>
      <c r="J250" s="24" t="s">
        <v>33</v>
      </c>
    </row>
    <row r="251" spans="1:10" ht="15" customHeight="1" x14ac:dyDescent="0.3">
      <c r="A251" s="10" t="s">
        <v>209</v>
      </c>
      <c r="B251" s="10" t="s">
        <v>2225</v>
      </c>
      <c r="C251" s="10" t="s">
        <v>2226</v>
      </c>
      <c r="D251" s="24">
        <v>28</v>
      </c>
      <c r="E251" s="15">
        <v>-1.261970516050227</v>
      </c>
      <c r="F251" s="24">
        <v>1539.844771486908</v>
      </c>
      <c r="G251" s="24">
        <v>24.949816524530078</v>
      </c>
      <c r="H251" s="24">
        <v>61.717679165013863</v>
      </c>
      <c r="I251" s="16">
        <v>0</v>
      </c>
      <c r="J251" s="24">
        <v>-1.1000000000000001</v>
      </c>
    </row>
    <row r="252" spans="1:10" ht="15" customHeight="1" x14ac:dyDescent="0.3">
      <c r="A252" s="10" t="s">
        <v>209</v>
      </c>
      <c r="B252" s="10" t="s">
        <v>469</v>
      </c>
      <c r="C252" s="10" t="s">
        <v>2227</v>
      </c>
      <c r="D252" s="24">
        <v>26</v>
      </c>
      <c r="E252" s="15">
        <v>1.14359563966302</v>
      </c>
      <c r="F252" s="24">
        <v>1527.716837709934</v>
      </c>
      <c r="G252" s="24">
        <v>26.39367719734355</v>
      </c>
      <c r="H252" s="24">
        <v>57.88192476127179</v>
      </c>
      <c r="I252" s="16">
        <v>0</v>
      </c>
      <c r="J252" s="24">
        <v>1</v>
      </c>
    </row>
    <row r="253" spans="1:10" ht="15" customHeight="1" x14ac:dyDescent="0.3">
      <c r="A253" s="10" t="s">
        <v>209</v>
      </c>
      <c r="B253" s="10" t="s">
        <v>2228</v>
      </c>
      <c r="C253" s="10" t="s">
        <v>2229</v>
      </c>
      <c r="D253" s="24">
        <v>29</v>
      </c>
      <c r="E253" s="15">
        <v>0.45658623730627529</v>
      </c>
      <c r="F253" s="24">
        <v>1517.3796038303781</v>
      </c>
      <c r="G253" s="24">
        <v>28.473711971688271</v>
      </c>
      <c r="H253" s="24">
        <v>53.290544110972448</v>
      </c>
      <c r="I253" s="16">
        <v>0</v>
      </c>
      <c r="J253" s="24">
        <v>0.4</v>
      </c>
    </row>
    <row r="254" spans="1:10" ht="15" customHeight="1" x14ac:dyDescent="0.3">
      <c r="A254" s="10" t="s">
        <v>209</v>
      </c>
      <c r="B254" s="10" t="s">
        <v>476</v>
      </c>
      <c r="C254" s="10" t="s">
        <v>2230</v>
      </c>
      <c r="D254" s="24">
        <v>32</v>
      </c>
      <c r="E254" s="15">
        <v>-6.2313176271374102E-2</v>
      </c>
      <c r="F254" s="24">
        <v>1415.5574457815351</v>
      </c>
      <c r="G254" s="24">
        <v>21.699721327215691</v>
      </c>
      <c r="H254" s="24">
        <v>65.233899755484401</v>
      </c>
      <c r="I254" s="16">
        <v>0</v>
      </c>
      <c r="J254" s="24">
        <v>0.5</v>
      </c>
    </row>
    <row r="255" spans="1:10" ht="15" customHeight="1" x14ac:dyDescent="0.3">
      <c r="A255" s="10" t="s">
        <v>209</v>
      </c>
      <c r="B255" s="10" t="s">
        <v>345</v>
      </c>
      <c r="C255" s="10" t="s">
        <v>2231</v>
      </c>
      <c r="D255" s="24">
        <v>19</v>
      </c>
      <c r="E255" s="15">
        <v>-1.108497288831308</v>
      </c>
      <c r="F255" s="24">
        <v>1407.481170559339</v>
      </c>
      <c r="G255" s="24">
        <v>21.92530034610941</v>
      </c>
      <c r="H255" s="24">
        <v>64.194384949855134</v>
      </c>
      <c r="I255" s="16">
        <v>1</v>
      </c>
      <c r="J255" s="24" t="s">
        <v>33</v>
      </c>
    </row>
    <row r="256" spans="1:10" ht="15" customHeight="1" x14ac:dyDescent="0.3">
      <c r="A256" s="10" t="s">
        <v>209</v>
      </c>
      <c r="B256" s="10" t="s">
        <v>2232</v>
      </c>
      <c r="C256" s="10" t="s">
        <v>2233</v>
      </c>
      <c r="D256" s="24">
        <v>38</v>
      </c>
      <c r="E256" s="15">
        <v>-0.8163860008915671</v>
      </c>
      <c r="F256" s="24">
        <v>1403.3468939647701</v>
      </c>
      <c r="G256" s="24">
        <v>23.12461822573751</v>
      </c>
      <c r="H256" s="24">
        <v>60.686272969594661</v>
      </c>
      <c r="I256" s="16">
        <v>0</v>
      </c>
      <c r="J256" s="24">
        <v>-0.9</v>
      </c>
    </row>
    <row r="257" spans="1:10" ht="15" customHeight="1" x14ac:dyDescent="0.3">
      <c r="A257" s="10" t="s">
        <v>209</v>
      </c>
      <c r="B257" s="10" t="s">
        <v>2234</v>
      </c>
      <c r="C257" s="10" t="s">
        <v>2235</v>
      </c>
      <c r="D257" s="24">
        <v>29</v>
      </c>
      <c r="E257" s="15">
        <v>0.39435777867143179</v>
      </c>
      <c r="F257" s="24">
        <v>1279.5699321812169</v>
      </c>
      <c r="G257" s="24">
        <v>21.84152261206285</v>
      </c>
      <c r="H257" s="24">
        <v>58.584282557046834</v>
      </c>
      <c r="I257" s="16">
        <v>0</v>
      </c>
      <c r="J257" s="24">
        <v>1.4</v>
      </c>
    </row>
    <row r="258" spans="1:10" ht="15" customHeight="1" x14ac:dyDescent="0.3">
      <c r="A258" s="10" t="s">
        <v>209</v>
      </c>
      <c r="B258" s="10" t="s">
        <v>2236</v>
      </c>
      <c r="C258" s="10" t="s">
        <v>2237</v>
      </c>
      <c r="D258" s="24">
        <v>22</v>
      </c>
      <c r="E258" s="15">
        <v>-2.087873095311918</v>
      </c>
      <c r="F258" s="24">
        <v>1067.590239053616</v>
      </c>
      <c r="G258" s="24">
        <v>16.64925201944293</v>
      </c>
      <c r="H258" s="24">
        <v>64.12241449687275</v>
      </c>
      <c r="I258" s="16">
        <v>0</v>
      </c>
      <c r="J258" s="24">
        <v>-1.7</v>
      </c>
    </row>
    <row r="259" spans="1:10" ht="15" customHeight="1" x14ac:dyDescent="0.3">
      <c r="A259" s="10" t="s">
        <v>209</v>
      </c>
      <c r="B259" s="10" t="s">
        <v>2238</v>
      </c>
      <c r="C259" s="10" t="s">
        <v>2239</v>
      </c>
      <c r="D259" s="24">
        <v>24</v>
      </c>
      <c r="E259" s="15">
        <v>-1.5254775196568511</v>
      </c>
      <c r="F259" s="24">
        <v>1049.154160993794</v>
      </c>
      <c r="G259" s="24">
        <v>16.575103434190289</v>
      </c>
      <c r="H259" s="24">
        <v>63.2969902818013</v>
      </c>
      <c r="I259" s="16">
        <v>0</v>
      </c>
      <c r="J259" s="24">
        <v>-1.1000000000000001</v>
      </c>
    </row>
    <row r="260" spans="1:10" ht="15" customHeight="1" x14ac:dyDescent="0.3">
      <c r="A260" s="10" t="s">
        <v>209</v>
      </c>
      <c r="B260" s="10" t="s">
        <v>2240</v>
      </c>
      <c r="C260" s="10" t="s">
        <v>2241</v>
      </c>
      <c r="D260" s="24">
        <v>33</v>
      </c>
      <c r="E260" s="15">
        <v>-1.7972504309695609</v>
      </c>
      <c r="F260" s="24">
        <v>1013.690711967373</v>
      </c>
      <c r="G260" s="24">
        <v>26.049161887516679</v>
      </c>
      <c r="H260" s="24">
        <v>38.914523098463121</v>
      </c>
      <c r="I260" s="16">
        <v>0</v>
      </c>
      <c r="J260" s="24">
        <v>-1.7</v>
      </c>
    </row>
    <row r="261" spans="1:10" ht="15" customHeight="1" x14ac:dyDescent="0.3">
      <c r="A261" s="10" t="s">
        <v>209</v>
      </c>
      <c r="B261" s="10" t="s">
        <v>2242</v>
      </c>
      <c r="C261" s="10" t="s">
        <v>2243</v>
      </c>
      <c r="D261" s="24">
        <v>30</v>
      </c>
      <c r="E261" s="15">
        <v>-0.1162874639834148</v>
      </c>
      <c r="F261" s="24">
        <v>962.31495816193717</v>
      </c>
      <c r="G261" s="24">
        <v>23.408007410829619</v>
      </c>
      <c r="H261" s="24">
        <v>41.110502969027863</v>
      </c>
      <c r="I261" s="16">
        <v>0</v>
      </c>
      <c r="J261" s="24">
        <v>0.1</v>
      </c>
    </row>
    <row r="262" spans="1:10" ht="15" customHeight="1" x14ac:dyDescent="0.3">
      <c r="A262" s="10" t="s">
        <v>209</v>
      </c>
      <c r="B262" s="10" t="s">
        <v>2244</v>
      </c>
      <c r="C262" s="10" t="s">
        <v>2245</v>
      </c>
      <c r="D262" s="24">
        <v>24</v>
      </c>
      <c r="E262" s="15">
        <v>-0.13474927674679149</v>
      </c>
      <c r="F262" s="24">
        <v>739.36116667294391</v>
      </c>
      <c r="G262" s="24">
        <v>13.6539561639868</v>
      </c>
      <c r="H262" s="24">
        <v>54.149959015033112</v>
      </c>
      <c r="I262" s="16">
        <v>0</v>
      </c>
      <c r="J262" s="24">
        <v>-0.1</v>
      </c>
    </row>
    <row r="263" spans="1:10" ht="15" customHeight="1" x14ac:dyDescent="0.3">
      <c r="A263" s="10" t="s">
        <v>209</v>
      </c>
      <c r="B263" s="10" t="s">
        <v>2246</v>
      </c>
      <c r="C263" s="10" t="s">
        <v>2247</v>
      </c>
      <c r="D263" s="24">
        <v>26</v>
      </c>
      <c r="E263" s="15">
        <v>-1.912027703295389</v>
      </c>
      <c r="F263" s="24">
        <v>704.06162920323652</v>
      </c>
      <c r="G263" s="24">
        <v>12.414590277493099</v>
      </c>
      <c r="H263" s="24">
        <v>56.712433794908073</v>
      </c>
      <c r="I263" s="16">
        <v>0</v>
      </c>
      <c r="J263" s="24">
        <v>-2.1</v>
      </c>
    </row>
    <row r="264" spans="1:10" ht="15" customHeight="1" x14ac:dyDescent="0.3">
      <c r="A264" s="10" t="s">
        <v>209</v>
      </c>
      <c r="B264" s="10" t="s">
        <v>2248</v>
      </c>
      <c r="C264" s="10" t="s">
        <v>2249</v>
      </c>
      <c r="D264" s="24">
        <v>23</v>
      </c>
      <c r="E264" s="15">
        <v>-2.4623143591145178</v>
      </c>
      <c r="F264" s="24">
        <v>589.40014448697821</v>
      </c>
      <c r="G264" s="24">
        <v>11.09056547026862</v>
      </c>
      <c r="H264" s="24">
        <v>53.144282504533329</v>
      </c>
      <c r="I264" s="16">
        <v>0</v>
      </c>
      <c r="J264" s="24">
        <v>-2.4</v>
      </c>
    </row>
    <row r="265" spans="1:10" ht="15" customHeight="1" x14ac:dyDescent="0.3">
      <c r="A265" s="10" t="s">
        <v>209</v>
      </c>
      <c r="B265" s="10" t="s">
        <v>2250</v>
      </c>
      <c r="C265" s="10" t="s">
        <v>2251</v>
      </c>
      <c r="D265" s="24">
        <v>22</v>
      </c>
      <c r="E265" s="15">
        <v>-1.4375139482733601</v>
      </c>
      <c r="F265" s="24">
        <v>513.83760393835462</v>
      </c>
      <c r="G265" s="24">
        <v>13.71115986312706</v>
      </c>
      <c r="H265" s="24">
        <v>37.475867035888029</v>
      </c>
      <c r="I265" s="16">
        <v>1</v>
      </c>
      <c r="J265" s="24" t="s">
        <v>33</v>
      </c>
    </row>
    <row r="266" spans="1:10" ht="15" customHeight="1" x14ac:dyDescent="0.3">
      <c r="A266" s="10" t="s">
        <v>209</v>
      </c>
      <c r="B266" s="10" t="s">
        <v>2252</v>
      </c>
      <c r="C266" s="10" t="s">
        <v>2253</v>
      </c>
      <c r="D266" s="24">
        <v>23</v>
      </c>
      <c r="E266" s="15">
        <v>-1.060849943875974</v>
      </c>
      <c r="F266" s="24">
        <v>466.49967934134099</v>
      </c>
      <c r="G266" s="24">
        <v>9.6918807194507295</v>
      </c>
      <c r="H266" s="24">
        <v>48.133039690131383</v>
      </c>
      <c r="I266" s="16">
        <v>0</v>
      </c>
      <c r="J266" s="24">
        <v>-0.9</v>
      </c>
    </row>
    <row r="267" spans="1:10" ht="15" customHeight="1" x14ac:dyDescent="0.3">
      <c r="A267" s="10" t="s">
        <v>209</v>
      </c>
      <c r="B267" s="10" t="s">
        <v>2254</v>
      </c>
      <c r="C267" s="10" t="s">
        <v>2255</v>
      </c>
      <c r="D267" s="24">
        <v>21</v>
      </c>
      <c r="E267" s="15">
        <v>-2.2582443949911322</v>
      </c>
      <c r="F267" s="24">
        <v>439.61202444862562</v>
      </c>
      <c r="G267" s="24">
        <v>7.9906552719262729</v>
      </c>
      <c r="H267" s="24">
        <v>55.015766478266578</v>
      </c>
      <c r="I267" s="16">
        <v>0</v>
      </c>
      <c r="J267" s="24">
        <v>-2.4</v>
      </c>
    </row>
    <row r="268" spans="1:10" ht="15" customHeight="1" x14ac:dyDescent="0.3">
      <c r="A268" s="10" t="s">
        <v>209</v>
      </c>
      <c r="B268" s="10" t="s">
        <v>2256</v>
      </c>
      <c r="C268" s="10" t="s">
        <v>2257</v>
      </c>
      <c r="D268" s="24">
        <v>25</v>
      </c>
      <c r="E268" s="15">
        <v>-1.106981649761273</v>
      </c>
      <c r="F268" s="24">
        <v>393.0742600641974</v>
      </c>
      <c r="G268" s="24">
        <v>8.4873340041217205</v>
      </c>
      <c r="H268" s="24">
        <v>46.313042455181801</v>
      </c>
      <c r="I268" s="16">
        <v>0</v>
      </c>
      <c r="J268" s="24">
        <v>-0.3</v>
      </c>
    </row>
    <row r="269" spans="1:10" ht="15" customHeight="1" x14ac:dyDescent="0.3">
      <c r="A269" s="10" t="s">
        <v>209</v>
      </c>
      <c r="B269" s="10" t="s">
        <v>2258</v>
      </c>
      <c r="C269" s="10" t="s">
        <v>2259</v>
      </c>
      <c r="D269" s="24">
        <v>22</v>
      </c>
      <c r="E269" s="15">
        <v>-3.0501330301565641</v>
      </c>
      <c r="F269" s="24">
        <v>379.2153137389638</v>
      </c>
      <c r="G269" s="24">
        <v>11.947671072231021</v>
      </c>
      <c r="H269" s="24">
        <v>31.739684784287579</v>
      </c>
      <c r="I269" s="16">
        <v>1</v>
      </c>
      <c r="J269" s="24" t="s">
        <v>33</v>
      </c>
    </row>
    <row r="270" spans="1:10" ht="15" customHeight="1" x14ac:dyDescent="0.3">
      <c r="A270" s="10" t="s">
        <v>209</v>
      </c>
      <c r="B270" s="10" t="s">
        <v>2260</v>
      </c>
      <c r="C270" s="10" t="s">
        <v>2261</v>
      </c>
      <c r="D270" s="24">
        <v>25</v>
      </c>
      <c r="E270" s="15">
        <v>-2.1527719131350622</v>
      </c>
      <c r="F270" s="24">
        <v>351.95163893811019</v>
      </c>
      <c r="G270" s="24">
        <v>8.282609264419742</v>
      </c>
      <c r="H270" s="24">
        <v>42.492845877689383</v>
      </c>
      <c r="I270" s="16">
        <v>0</v>
      </c>
      <c r="J270" s="24" t="s">
        <v>33</v>
      </c>
    </row>
    <row r="271" spans="1:10" ht="15" customHeight="1" x14ac:dyDescent="0.3">
      <c r="A271" s="10" t="s">
        <v>209</v>
      </c>
      <c r="B271" s="10" t="s">
        <v>2262</v>
      </c>
      <c r="C271" s="10" t="s">
        <v>2263</v>
      </c>
      <c r="D271" s="24">
        <v>23</v>
      </c>
      <c r="E271" s="15">
        <v>-3.1867960702466678</v>
      </c>
      <c r="F271" s="24">
        <v>349.40127541066988</v>
      </c>
      <c r="G271" s="24">
        <v>11.51683886660607</v>
      </c>
      <c r="H271" s="24">
        <v>30.338296772023529</v>
      </c>
      <c r="I271" s="16">
        <v>1</v>
      </c>
      <c r="J271" s="24" t="s">
        <v>33</v>
      </c>
    </row>
    <row r="272" spans="1:10" ht="15" customHeight="1" x14ac:dyDescent="0.3">
      <c r="A272" s="10" t="s">
        <v>209</v>
      </c>
      <c r="B272" s="10" t="s">
        <v>2264</v>
      </c>
      <c r="C272" s="10" t="s">
        <v>2265</v>
      </c>
      <c r="D272" s="24">
        <v>30</v>
      </c>
      <c r="E272" s="15">
        <v>-3.1867960702466678</v>
      </c>
      <c r="F272" s="24">
        <v>349.40127541066988</v>
      </c>
      <c r="G272" s="24">
        <v>11.51683886660607</v>
      </c>
      <c r="H272" s="24">
        <v>30.338296772023529</v>
      </c>
      <c r="I272" s="16">
        <v>1</v>
      </c>
      <c r="J272" s="24" t="s">
        <v>33</v>
      </c>
    </row>
    <row r="273" spans="1:10" ht="15" customHeight="1" x14ac:dyDescent="0.3">
      <c r="A273" s="10" t="s">
        <v>209</v>
      </c>
      <c r="B273" s="10" t="s">
        <v>2266</v>
      </c>
      <c r="C273" s="10" t="s">
        <v>2267</v>
      </c>
      <c r="D273" s="24">
        <v>26</v>
      </c>
      <c r="E273" s="15">
        <v>-0.12468564412140309</v>
      </c>
      <c r="F273" s="24">
        <v>220.5372626551061</v>
      </c>
      <c r="G273" s="24">
        <v>16.01478449449953</v>
      </c>
      <c r="H273" s="24">
        <v>13.77085422103883</v>
      </c>
      <c r="I273" s="16">
        <v>0</v>
      </c>
      <c r="J273" s="24">
        <v>-0.1</v>
      </c>
    </row>
    <row r="274" spans="1:10" ht="15" customHeight="1" x14ac:dyDescent="0.3">
      <c r="A274" s="10" t="s">
        <v>210</v>
      </c>
      <c r="B274" s="10" t="s">
        <v>297</v>
      </c>
      <c r="C274" s="10" t="s">
        <v>2268</v>
      </c>
      <c r="D274" s="24">
        <v>27</v>
      </c>
      <c r="E274" s="15">
        <v>6.843036832142964</v>
      </c>
      <c r="F274" s="24">
        <v>1991.5097934408161</v>
      </c>
      <c r="G274" s="24">
        <v>33.125934196024232</v>
      </c>
      <c r="H274" s="24">
        <v>60.11935487331364</v>
      </c>
      <c r="I274" s="16">
        <v>0</v>
      </c>
      <c r="J274" s="24">
        <v>4.8</v>
      </c>
    </row>
    <row r="275" spans="1:10" ht="15" customHeight="1" x14ac:dyDescent="0.3">
      <c r="A275" s="10" t="s">
        <v>210</v>
      </c>
      <c r="B275" s="10" t="s">
        <v>449</v>
      </c>
      <c r="C275" s="10" t="s">
        <v>2269</v>
      </c>
      <c r="D275" s="24">
        <v>28</v>
      </c>
      <c r="E275" s="15">
        <v>1.9130942871797769</v>
      </c>
      <c r="F275" s="24">
        <v>1853.6321300149441</v>
      </c>
      <c r="G275" s="24">
        <v>31.550715559382681</v>
      </c>
      <c r="H275" s="24">
        <v>58.750874493675397</v>
      </c>
      <c r="I275" s="16">
        <v>0</v>
      </c>
      <c r="J275" s="24">
        <v>1.7</v>
      </c>
    </row>
    <row r="276" spans="1:10" ht="15" customHeight="1" x14ac:dyDescent="0.3">
      <c r="A276" s="10" t="s">
        <v>210</v>
      </c>
      <c r="B276" s="10" t="s">
        <v>2270</v>
      </c>
      <c r="C276" s="10" t="s">
        <v>2271</v>
      </c>
      <c r="D276" s="24">
        <v>26</v>
      </c>
      <c r="E276" s="15">
        <v>-0.88743929962731116</v>
      </c>
      <c r="F276" s="24">
        <v>1663.9939286813831</v>
      </c>
      <c r="G276" s="24">
        <v>25.43437294219677</v>
      </c>
      <c r="H276" s="24">
        <v>65.423037259972787</v>
      </c>
      <c r="I276" s="16">
        <v>0</v>
      </c>
      <c r="J276" s="24">
        <v>-1.1000000000000001</v>
      </c>
    </row>
    <row r="277" spans="1:10" ht="15" customHeight="1" x14ac:dyDescent="0.3">
      <c r="A277" s="10" t="s">
        <v>210</v>
      </c>
      <c r="B277" s="10" t="s">
        <v>2272</v>
      </c>
      <c r="C277" s="10" t="s">
        <v>2273</v>
      </c>
      <c r="D277" s="24">
        <v>27</v>
      </c>
      <c r="E277" s="15">
        <v>0.16074786571315261</v>
      </c>
      <c r="F277" s="24">
        <v>1484.993783139347</v>
      </c>
      <c r="G277" s="24">
        <v>23.82164315551633</v>
      </c>
      <c r="H277" s="24">
        <v>62.338008064547381</v>
      </c>
      <c r="I277" s="16">
        <v>0</v>
      </c>
      <c r="J277" s="24">
        <v>-0.3</v>
      </c>
    </row>
    <row r="278" spans="1:10" ht="15" customHeight="1" x14ac:dyDescent="0.3">
      <c r="A278" s="10" t="s">
        <v>210</v>
      </c>
      <c r="B278" s="10" t="s">
        <v>2274</v>
      </c>
      <c r="C278" s="10" t="s">
        <v>2275</v>
      </c>
      <c r="D278" s="24">
        <v>24</v>
      </c>
      <c r="E278" s="15">
        <v>-0.33782496324194028</v>
      </c>
      <c r="F278" s="24">
        <v>1462.5562610486661</v>
      </c>
      <c r="G278" s="24">
        <v>21.950570051303881</v>
      </c>
      <c r="H278" s="24">
        <v>66.629534341491464</v>
      </c>
      <c r="I278" s="16">
        <v>0</v>
      </c>
      <c r="J278" s="24">
        <v>-0.4</v>
      </c>
    </row>
    <row r="279" spans="1:10" ht="15" customHeight="1" x14ac:dyDescent="0.3">
      <c r="A279" s="10" t="s">
        <v>210</v>
      </c>
      <c r="B279" s="10" t="s">
        <v>2276</v>
      </c>
      <c r="C279" s="10" t="s">
        <v>2277</v>
      </c>
      <c r="D279" s="24">
        <v>25</v>
      </c>
      <c r="E279" s="15">
        <v>-1.2692317168606191</v>
      </c>
      <c r="F279" s="24">
        <v>1277.2525319672841</v>
      </c>
      <c r="G279" s="24">
        <v>21.397642114297138</v>
      </c>
      <c r="H279" s="24">
        <v>59.691274634127538</v>
      </c>
      <c r="I279" s="16">
        <v>0</v>
      </c>
      <c r="J279" s="24">
        <v>-0.9</v>
      </c>
    </row>
    <row r="280" spans="1:10" ht="15" customHeight="1" x14ac:dyDescent="0.3">
      <c r="A280" s="10" t="s">
        <v>210</v>
      </c>
      <c r="B280" s="10" t="s">
        <v>333</v>
      </c>
      <c r="C280" s="10" t="s">
        <v>2278</v>
      </c>
      <c r="D280" s="24">
        <v>25</v>
      </c>
      <c r="E280" s="15">
        <v>1.1394591072579701</v>
      </c>
      <c r="F280" s="24">
        <v>1166.4741162012349</v>
      </c>
      <c r="G280" s="24">
        <v>25.136939395056341</v>
      </c>
      <c r="H280" s="24">
        <v>46.404778953743417</v>
      </c>
      <c r="I280" s="16">
        <v>0</v>
      </c>
      <c r="J280" s="24">
        <v>0.7</v>
      </c>
    </row>
    <row r="281" spans="1:10" ht="15" customHeight="1" x14ac:dyDescent="0.3">
      <c r="A281" s="10" t="s">
        <v>210</v>
      </c>
      <c r="B281" s="10" t="s">
        <v>380</v>
      </c>
      <c r="C281" s="10" t="s">
        <v>2279</v>
      </c>
      <c r="D281" s="24">
        <v>27</v>
      </c>
      <c r="E281" s="15">
        <v>2.1346080405109702</v>
      </c>
      <c r="F281" s="24">
        <v>1074.5296232174951</v>
      </c>
      <c r="G281" s="24">
        <v>16.488656008707238</v>
      </c>
      <c r="H281" s="24">
        <v>65.167811290990812</v>
      </c>
      <c r="I281" s="16">
        <v>0</v>
      </c>
      <c r="J281" s="24">
        <v>1.9</v>
      </c>
    </row>
    <row r="282" spans="1:10" ht="15" customHeight="1" x14ac:dyDescent="0.3">
      <c r="A282" s="10" t="s">
        <v>210</v>
      </c>
      <c r="B282" s="10" t="s">
        <v>2280</v>
      </c>
      <c r="C282" s="10" t="s">
        <v>2281</v>
      </c>
      <c r="D282" s="24">
        <v>27</v>
      </c>
      <c r="E282" s="15">
        <v>-0.20803310504509651</v>
      </c>
      <c r="F282" s="24">
        <v>961.45421517301963</v>
      </c>
      <c r="G282" s="24">
        <v>16.278112290866598</v>
      </c>
      <c r="H282" s="24">
        <v>59.064232878678247</v>
      </c>
      <c r="I282" s="16">
        <v>0</v>
      </c>
      <c r="J282" s="24">
        <v>0.7</v>
      </c>
    </row>
    <row r="283" spans="1:10" ht="15" customHeight="1" x14ac:dyDescent="0.3">
      <c r="A283" s="10" t="s">
        <v>210</v>
      </c>
      <c r="B283" s="10" t="s">
        <v>2282</v>
      </c>
      <c r="C283" s="10" t="s">
        <v>2283</v>
      </c>
      <c r="D283" s="24">
        <v>24</v>
      </c>
      <c r="E283" s="15">
        <v>-2.563746002186245</v>
      </c>
      <c r="F283" s="24">
        <v>867.55144261523458</v>
      </c>
      <c r="G283" s="24">
        <v>14.57937678758068</v>
      </c>
      <c r="H283" s="24">
        <v>59.505385947240967</v>
      </c>
      <c r="I283" s="16">
        <v>0</v>
      </c>
      <c r="J283" s="24">
        <v>-1.7</v>
      </c>
    </row>
    <row r="284" spans="1:10" ht="15" customHeight="1" x14ac:dyDescent="0.3">
      <c r="A284" s="10" t="s">
        <v>210</v>
      </c>
      <c r="B284" s="10" t="s">
        <v>473</v>
      </c>
      <c r="C284" s="10" t="s">
        <v>2284</v>
      </c>
      <c r="D284" s="24">
        <v>29</v>
      </c>
      <c r="E284" s="15">
        <v>1.206972072524136</v>
      </c>
      <c r="F284" s="24">
        <v>850.80102915724785</v>
      </c>
      <c r="G284" s="24">
        <v>17.809997666552469</v>
      </c>
      <c r="H284" s="24">
        <v>47.770979260433542</v>
      </c>
      <c r="I284" s="16">
        <v>0</v>
      </c>
      <c r="J284" s="24">
        <v>0.8</v>
      </c>
    </row>
    <row r="285" spans="1:10" ht="15" customHeight="1" x14ac:dyDescent="0.3">
      <c r="A285" s="10" t="s">
        <v>210</v>
      </c>
      <c r="B285" s="10" t="s">
        <v>2285</v>
      </c>
      <c r="C285" s="10" t="s">
        <v>2286</v>
      </c>
      <c r="D285" s="24">
        <v>25</v>
      </c>
      <c r="E285" s="15">
        <v>-1.4097263601169481</v>
      </c>
      <c r="F285" s="24">
        <v>829.088728806174</v>
      </c>
      <c r="G285" s="24">
        <v>13.68396347660947</v>
      </c>
      <c r="H285" s="24">
        <v>60.588347098658041</v>
      </c>
      <c r="I285" s="16">
        <v>0</v>
      </c>
      <c r="J285" s="24">
        <v>-1</v>
      </c>
    </row>
    <row r="286" spans="1:10" ht="15" customHeight="1" x14ac:dyDescent="0.3">
      <c r="A286" s="10" t="s">
        <v>210</v>
      </c>
      <c r="B286" s="10" t="s">
        <v>2287</v>
      </c>
      <c r="C286" s="10" t="s">
        <v>2288</v>
      </c>
      <c r="D286" s="24">
        <v>30</v>
      </c>
      <c r="E286" s="15">
        <v>-0.52362670639800801</v>
      </c>
      <c r="F286" s="24">
        <v>738.78411797744798</v>
      </c>
      <c r="G286" s="24">
        <v>14.522624235245379</v>
      </c>
      <c r="H286" s="24">
        <v>50.871254809752017</v>
      </c>
      <c r="I286" s="16">
        <v>0</v>
      </c>
      <c r="J286" s="24">
        <v>-0.4</v>
      </c>
    </row>
    <row r="287" spans="1:10" ht="15" customHeight="1" x14ac:dyDescent="0.3">
      <c r="A287" s="10" t="s">
        <v>210</v>
      </c>
      <c r="B287" s="10" t="s">
        <v>350</v>
      </c>
      <c r="C287" s="10" t="s">
        <v>2289</v>
      </c>
      <c r="D287" s="24">
        <v>21</v>
      </c>
      <c r="E287" s="15">
        <v>-3.144044869752443</v>
      </c>
      <c r="F287" s="24">
        <v>712.67900867920548</v>
      </c>
      <c r="G287" s="24">
        <v>16.587933770623231</v>
      </c>
      <c r="H287" s="24">
        <v>42.963699911880539</v>
      </c>
      <c r="I287" s="16">
        <v>1</v>
      </c>
      <c r="J287" s="24" t="s">
        <v>33</v>
      </c>
    </row>
    <row r="288" spans="1:10" ht="15" customHeight="1" x14ac:dyDescent="0.3">
      <c r="A288" s="10" t="s">
        <v>210</v>
      </c>
      <c r="B288" s="10" t="s">
        <v>2290</v>
      </c>
      <c r="C288" s="10" t="s">
        <v>2291</v>
      </c>
      <c r="D288" s="24">
        <v>22</v>
      </c>
      <c r="E288" s="15">
        <v>-1.998084004046242</v>
      </c>
      <c r="F288" s="24">
        <v>460.60258082867631</v>
      </c>
      <c r="G288" s="24">
        <v>8.6814162977359306</v>
      </c>
      <c r="H288" s="24">
        <v>53.056156395679253</v>
      </c>
      <c r="I288" s="16">
        <v>0</v>
      </c>
      <c r="J288" s="24">
        <v>-1.6</v>
      </c>
    </row>
    <row r="289" spans="1:10" ht="15" customHeight="1" x14ac:dyDescent="0.3">
      <c r="A289" s="10" t="s">
        <v>210</v>
      </c>
      <c r="B289" s="10" t="s">
        <v>2292</v>
      </c>
      <c r="C289" s="10" t="s">
        <v>2293</v>
      </c>
      <c r="D289" s="24">
        <v>24</v>
      </c>
      <c r="E289" s="15">
        <v>-1.0904569982476611</v>
      </c>
      <c r="F289" s="24">
        <v>391.59960775267967</v>
      </c>
      <c r="G289" s="24">
        <v>9.1154039504664404</v>
      </c>
      <c r="H289" s="24">
        <v>42.960203396432178</v>
      </c>
      <c r="I289" s="16">
        <v>0</v>
      </c>
      <c r="J289" s="24">
        <v>-1</v>
      </c>
    </row>
    <row r="290" spans="1:10" ht="15" customHeight="1" x14ac:dyDescent="0.3">
      <c r="A290" s="10" t="s">
        <v>210</v>
      </c>
      <c r="B290" s="10" t="s">
        <v>2294</v>
      </c>
      <c r="C290" s="10" t="s">
        <v>2295</v>
      </c>
      <c r="D290" s="24">
        <v>22</v>
      </c>
      <c r="E290" s="15">
        <v>-1.684579453835751</v>
      </c>
      <c r="F290" s="24">
        <v>386.91636225557869</v>
      </c>
      <c r="G290" s="24">
        <v>7.9618616806286511</v>
      </c>
      <c r="H290" s="24">
        <v>48.59621754004506</v>
      </c>
      <c r="I290" s="16">
        <v>0</v>
      </c>
      <c r="J290" s="24">
        <v>-1.8</v>
      </c>
    </row>
    <row r="291" spans="1:10" ht="15" customHeight="1" x14ac:dyDescent="0.3">
      <c r="A291" s="10" t="s">
        <v>210</v>
      </c>
      <c r="B291" s="10" t="s">
        <v>2296</v>
      </c>
      <c r="C291" s="10" t="s">
        <v>2297</v>
      </c>
      <c r="D291" s="24">
        <v>23</v>
      </c>
      <c r="E291" s="15">
        <v>-3.1867960702466678</v>
      </c>
      <c r="F291" s="24">
        <v>376.39518476089279</v>
      </c>
      <c r="G291" s="24">
        <v>12.40660237419741</v>
      </c>
      <c r="H291" s="24">
        <v>30.338296772023529</v>
      </c>
      <c r="I291" s="16">
        <v>1</v>
      </c>
      <c r="J291" s="24" t="s">
        <v>33</v>
      </c>
    </row>
    <row r="292" spans="1:10" ht="15" customHeight="1" x14ac:dyDescent="0.3">
      <c r="A292" s="10" t="s">
        <v>210</v>
      </c>
      <c r="B292" s="10" t="s">
        <v>2298</v>
      </c>
      <c r="C292" s="10" t="s">
        <v>2299</v>
      </c>
      <c r="D292" s="24">
        <v>24</v>
      </c>
      <c r="E292" s="15">
        <v>-3.1867960702466678</v>
      </c>
      <c r="F292" s="24">
        <v>376.39518476089279</v>
      </c>
      <c r="G292" s="24">
        <v>12.40660237419741</v>
      </c>
      <c r="H292" s="24">
        <v>30.338296772023529</v>
      </c>
      <c r="I292" s="16">
        <v>1</v>
      </c>
      <c r="J292" s="24" t="s">
        <v>33</v>
      </c>
    </row>
    <row r="293" spans="1:10" ht="15" customHeight="1" x14ac:dyDescent="0.3">
      <c r="A293" s="10" t="s">
        <v>210</v>
      </c>
      <c r="B293" s="10" t="s">
        <v>2300</v>
      </c>
      <c r="C293" s="10" t="s">
        <v>2301</v>
      </c>
      <c r="D293" s="24">
        <v>22</v>
      </c>
      <c r="E293" s="15">
        <v>-3.1867960702466678</v>
      </c>
      <c r="F293" s="24">
        <v>376.39518476089279</v>
      </c>
      <c r="G293" s="24">
        <v>12.40660237419741</v>
      </c>
      <c r="H293" s="24">
        <v>30.338296772023529</v>
      </c>
      <c r="I293" s="16">
        <v>1</v>
      </c>
      <c r="J293" s="24" t="s">
        <v>33</v>
      </c>
    </row>
    <row r="294" spans="1:10" ht="15" customHeight="1" x14ac:dyDescent="0.3">
      <c r="A294" s="10" t="s">
        <v>210</v>
      </c>
      <c r="B294" s="10" t="s">
        <v>2302</v>
      </c>
      <c r="C294" s="10" t="s">
        <v>2303</v>
      </c>
      <c r="D294" s="24">
        <v>23</v>
      </c>
      <c r="E294" s="15">
        <v>-3.1867960702466678</v>
      </c>
      <c r="F294" s="24">
        <v>376.39518476089279</v>
      </c>
      <c r="G294" s="24">
        <v>12.40660237419741</v>
      </c>
      <c r="H294" s="24">
        <v>30.338296772023529</v>
      </c>
      <c r="I294" s="16">
        <v>1</v>
      </c>
      <c r="J294" s="24" t="s">
        <v>33</v>
      </c>
    </row>
    <row r="295" spans="1:10" ht="15" customHeight="1" x14ac:dyDescent="0.3">
      <c r="A295" s="10" t="s">
        <v>211</v>
      </c>
      <c r="B295" s="10" t="s">
        <v>338</v>
      </c>
      <c r="C295" s="10" t="s">
        <v>2304</v>
      </c>
      <c r="D295" s="24">
        <v>19</v>
      </c>
      <c r="E295" s="15">
        <v>0.76555257577395119</v>
      </c>
      <c r="F295" s="24">
        <v>1645.2554736787661</v>
      </c>
      <c r="G295" s="24">
        <v>23.137340338680641</v>
      </c>
      <c r="H295" s="24">
        <v>71.108236711557282</v>
      </c>
      <c r="I295" s="16">
        <v>1</v>
      </c>
      <c r="J295" s="24" t="s">
        <v>33</v>
      </c>
    </row>
    <row r="296" spans="1:10" ht="15" customHeight="1" x14ac:dyDescent="0.3">
      <c r="A296" s="10" t="s">
        <v>211</v>
      </c>
      <c r="B296" s="10" t="s">
        <v>406</v>
      </c>
      <c r="C296" s="10" t="s">
        <v>2305</v>
      </c>
      <c r="D296" s="24">
        <v>23</v>
      </c>
      <c r="E296" s="15">
        <v>-1.5165375576528941</v>
      </c>
      <c r="F296" s="24">
        <v>1483.3175796843079</v>
      </c>
      <c r="G296" s="24">
        <v>21.837929058347768</v>
      </c>
      <c r="H296" s="24">
        <v>67.92391236921317</v>
      </c>
      <c r="I296" s="16">
        <v>0</v>
      </c>
      <c r="J296" s="24">
        <v>-1.2</v>
      </c>
    </row>
    <row r="297" spans="1:10" ht="15" customHeight="1" x14ac:dyDescent="0.3">
      <c r="A297" s="10" t="s">
        <v>211</v>
      </c>
      <c r="B297" s="10" t="s">
        <v>369</v>
      </c>
      <c r="C297" s="10" t="s">
        <v>2306</v>
      </c>
      <c r="D297" s="24">
        <v>32</v>
      </c>
      <c r="E297" s="15">
        <v>-0.77570464252399007</v>
      </c>
      <c r="F297" s="24">
        <v>1442.225518658068</v>
      </c>
      <c r="G297" s="24">
        <v>25.5577910203796</v>
      </c>
      <c r="H297" s="24">
        <v>56.42997540390121</v>
      </c>
      <c r="I297" s="16">
        <v>0</v>
      </c>
      <c r="J297" s="24">
        <v>-0.7</v>
      </c>
    </row>
    <row r="298" spans="1:10" ht="15" customHeight="1" x14ac:dyDescent="0.3">
      <c r="A298" s="10" t="s">
        <v>211</v>
      </c>
      <c r="B298" s="10" t="s">
        <v>409</v>
      </c>
      <c r="C298" s="10" t="s">
        <v>2307</v>
      </c>
      <c r="D298" s="24">
        <v>23</v>
      </c>
      <c r="E298" s="15">
        <v>7.7862817113619795E-2</v>
      </c>
      <c r="F298" s="24">
        <v>1394.8802361601361</v>
      </c>
      <c r="G298" s="24">
        <v>20.981820923496851</v>
      </c>
      <c r="H298" s="24">
        <v>66.480418513059377</v>
      </c>
      <c r="I298" s="16">
        <v>0</v>
      </c>
      <c r="J298" s="24">
        <v>-0.3</v>
      </c>
    </row>
    <row r="299" spans="1:10" ht="15" customHeight="1" x14ac:dyDescent="0.3">
      <c r="A299" s="10" t="s">
        <v>211</v>
      </c>
      <c r="B299" s="10" t="s">
        <v>498</v>
      </c>
      <c r="C299" s="10" t="s">
        <v>2308</v>
      </c>
      <c r="D299" s="24">
        <v>25</v>
      </c>
      <c r="E299" s="15">
        <v>-0.63909402699943607</v>
      </c>
      <c r="F299" s="24">
        <v>1140.0451527374439</v>
      </c>
      <c r="G299" s="24">
        <v>19.008510534394521</v>
      </c>
      <c r="H299" s="24">
        <v>59.975512056802913</v>
      </c>
      <c r="I299" s="16">
        <v>0</v>
      </c>
      <c r="J299" s="24">
        <v>-1.4</v>
      </c>
    </row>
    <row r="300" spans="1:10" ht="15" customHeight="1" x14ac:dyDescent="0.3">
      <c r="A300" s="10" t="s">
        <v>211</v>
      </c>
      <c r="B300" s="10" t="s">
        <v>2309</v>
      </c>
      <c r="C300" s="10" t="s">
        <v>2310</v>
      </c>
      <c r="D300" s="24">
        <v>26</v>
      </c>
      <c r="E300" s="15">
        <v>0.59012351982215372</v>
      </c>
      <c r="F300" s="24">
        <v>1046.468510903102</v>
      </c>
      <c r="G300" s="24">
        <v>17.440304224239171</v>
      </c>
      <c r="H300" s="24">
        <v>60.002881684178533</v>
      </c>
      <c r="I300" s="16">
        <v>0</v>
      </c>
      <c r="J300" s="24">
        <v>-0.6</v>
      </c>
    </row>
    <row r="301" spans="1:10" ht="15" customHeight="1" x14ac:dyDescent="0.3">
      <c r="A301" s="10" t="s">
        <v>211</v>
      </c>
      <c r="B301" s="10" t="s">
        <v>2311</v>
      </c>
      <c r="C301" s="10" t="s">
        <v>2312</v>
      </c>
      <c r="D301" s="24">
        <v>23</v>
      </c>
      <c r="E301" s="15">
        <v>-2.7844034092646921</v>
      </c>
      <c r="F301" s="24">
        <v>1042.6908670026389</v>
      </c>
      <c r="G301" s="24">
        <v>16.36289406035613</v>
      </c>
      <c r="H301" s="24">
        <v>63.722888087924566</v>
      </c>
      <c r="I301" s="16">
        <v>0</v>
      </c>
      <c r="J301" s="24">
        <v>-2.6</v>
      </c>
    </row>
    <row r="302" spans="1:10" ht="15" customHeight="1" x14ac:dyDescent="0.3">
      <c r="A302" s="10" t="s">
        <v>211</v>
      </c>
      <c r="B302" s="10" t="s">
        <v>2313</v>
      </c>
      <c r="C302" s="10" t="s">
        <v>2314</v>
      </c>
      <c r="D302" s="24">
        <v>26</v>
      </c>
      <c r="E302" s="15">
        <v>-0.415539000109242</v>
      </c>
      <c r="F302" s="24">
        <v>1023.519805297945</v>
      </c>
      <c r="G302" s="24">
        <v>16.96297965201742</v>
      </c>
      <c r="H302" s="24">
        <v>60.338444441641293</v>
      </c>
      <c r="I302" s="16">
        <v>0</v>
      </c>
      <c r="J302" s="24">
        <v>0.8</v>
      </c>
    </row>
    <row r="303" spans="1:10" ht="15" customHeight="1" x14ac:dyDescent="0.3">
      <c r="A303" s="10" t="s">
        <v>211</v>
      </c>
      <c r="B303" s="10" t="s">
        <v>2315</v>
      </c>
      <c r="C303" s="10" t="s">
        <v>2316</v>
      </c>
      <c r="D303" s="24">
        <v>21</v>
      </c>
      <c r="E303" s="15">
        <v>-0.68985052247516032</v>
      </c>
      <c r="F303" s="24">
        <v>987.82324600828383</v>
      </c>
      <c r="G303" s="24">
        <v>17.48084344990145</v>
      </c>
      <c r="H303" s="24">
        <v>56.508900662562297</v>
      </c>
      <c r="I303" s="16">
        <v>0</v>
      </c>
      <c r="J303" s="24">
        <v>-0.7</v>
      </c>
    </row>
    <row r="304" spans="1:10" ht="15" customHeight="1" x14ac:dyDescent="0.3">
      <c r="A304" s="10" t="s">
        <v>211</v>
      </c>
      <c r="B304" s="10" t="s">
        <v>2317</v>
      </c>
      <c r="C304" s="10" t="s">
        <v>2318</v>
      </c>
      <c r="D304" s="24">
        <v>22</v>
      </c>
      <c r="E304" s="15">
        <v>-0.6996444442431925</v>
      </c>
      <c r="F304" s="24">
        <v>885.47767848460728</v>
      </c>
      <c r="G304" s="24">
        <v>16.073364702031579</v>
      </c>
      <c r="H304" s="24">
        <v>55.089752201832887</v>
      </c>
      <c r="I304" s="16">
        <v>0</v>
      </c>
      <c r="J304" s="24">
        <v>-0.3</v>
      </c>
    </row>
    <row r="305" spans="1:10" ht="15" customHeight="1" x14ac:dyDescent="0.3">
      <c r="A305" s="10" t="s">
        <v>211</v>
      </c>
      <c r="B305" s="10" t="s">
        <v>2319</v>
      </c>
      <c r="C305" s="10" t="s">
        <v>2320</v>
      </c>
      <c r="D305" s="24">
        <v>25</v>
      </c>
      <c r="E305" s="15">
        <v>0.3974799965266933</v>
      </c>
      <c r="F305" s="24">
        <v>881.9976636218363</v>
      </c>
      <c r="G305" s="24">
        <v>17.77455297538749</v>
      </c>
      <c r="H305" s="24">
        <v>49.621369653748403</v>
      </c>
      <c r="I305" s="16">
        <v>0</v>
      </c>
      <c r="J305" s="24">
        <v>-0.1</v>
      </c>
    </row>
    <row r="306" spans="1:10" ht="15" customHeight="1" x14ac:dyDescent="0.3">
      <c r="A306" s="10" t="s">
        <v>211</v>
      </c>
      <c r="B306" s="10" t="s">
        <v>394</v>
      </c>
      <c r="C306" s="10" t="s">
        <v>2321</v>
      </c>
      <c r="D306" s="24">
        <v>24</v>
      </c>
      <c r="E306" s="15">
        <v>0.21679348660224529</v>
      </c>
      <c r="F306" s="24">
        <v>873.21469723673795</v>
      </c>
      <c r="G306" s="24">
        <v>17.900260238399071</v>
      </c>
      <c r="H306" s="24">
        <v>48.782234761232438</v>
      </c>
      <c r="I306" s="16">
        <v>0</v>
      </c>
      <c r="J306" s="24">
        <v>0.2</v>
      </c>
    </row>
    <row r="307" spans="1:10" ht="15" customHeight="1" x14ac:dyDescent="0.3">
      <c r="A307" s="10" t="s">
        <v>211</v>
      </c>
      <c r="B307" s="10" t="s">
        <v>2322</v>
      </c>
      <c r="C307" s="10" t="s">
        <v>2323</v>
      </c>
      <c r="D307" s="24">
        <v>26</v>
      </c>
      <c r="E307" s="15">
        <v>-0.60696946490624404</v>
      </c>
      <c r="F307" s="24">
        <v>856.67597005059577</v>
      </c>
      <c r="G307" s="24">
        <v>14.199248957004031</v>
      </c>
      <c r="H307" s="24">
        <v>60.332484671875918</v>
      </c>
      <c r="I307" s="16">
        <v>0</v>
      </c>
      <c r="J307" s="24">
        <v>-0.6</v>
      </c>
    </row>
    <row r="308" spans="1:10" ht="15" customHeight="1" x14ac:dyDescent="0.3">
      <c r="A308" s="10" t="s">
        <v>211</v>
      </c>
      <c r="B308" s="10" t="s">
        <v>2324</v>
      </c>
      <c r="C308" s="10" t="s">
        <v>2325</v>
      </c>
      <c r="D308" s="24">
        <v>23</v>
      </c>
      <c r="E308" s="15">
        <v>0.20080293662730639</v>
      </c>
      <c r="F308" s="24">
        <v>843.03246290918685</v>
      </c>
      <c r="G308" s="24">
        <v>15.591059434867629</v>
      </c>
      <c r="H308" s="24">
        <v>54.071531599952792</v>
      </c>
      <c r="I308" s="16">
        <v>0</v>
      </c>
      <c r="J308" s="24">
        <v>-0.4</v>
      </c>
    </row>
    <row r="309" spans="1:10" ht="15" customHeight="1" x14ac:dyDescent="0.3">
      <c r="A309" s="10" t="s">
        <v>211</v>
      </c>
      <c r="B309" s="10" t="s">
        <v>505</v>
      </c>
      <c r="C309" s="10" t="s">
        <v>2326</v>
      </c>
      <c r="D309" s="24">
        <v>29</v>
      </c>
      <c r="E309" s="15">
        <v>3.167213195037494</v>
      </c>
      <c r="F309" s="24">
        <v>815.69081533601991</v>
      </c>
      <c r="G309" s="24">
        <v>16.60166535406233</v>
      </c>
      <c r="H309" s="24">
        <v>49.13307176959961</v>
      </c>
      <c r="I309" s="16">
        <v>0</v>
      </c>
      <c r="J309" s="24">
        <v>2.9</v>
      </c>
    </row>
    <row r="310" spans="1:10" ht="15" customHeight="1" x14ac:dyDescent="0.3">
      <c r="A310" s="10" t="s">
        <v>211</v>
      </c>
      <c r="B310" s="10" t="s">
        <v>2327</v>
      </c>
      <c r="C310" s="10" t="s">
        <v>2328</v>
      </c>
      <c r="D310" s="24">
        <v>23</v>
      </c>
      <c r="E310" s="15">
        <v>-3.3493129191344342</v>
      </c>
      <c r="F310" s="24">
        <v>811.51255620232678</v>
      </c>
      <c r="G310" s="24">
        <v>16.029998430580211</v>
      </c>
      <c r="H310" s="24">
        <v>50.624618568534302</v>
      </c>
      <c r="I310" s="16">
        <v>0</v>
      </c>
      <c r="J310" s="24">
        <v>-2.6</v>
      </c>
    </row>
    <row r="311" spans="1:10" ht="15" customHeight="1" x14ac:dyDescent="0.3">
      <c r="A311" s="10" t="s">
        <v>211</v>
      </c>
      <c r="B311" s="10" t="s">
        <v>2329</v>
      </c>
      <c r="C311" s="10" t="s">
        <v>2330</v>
      </c>
      <c r="D311" s="24">
        <v>25</v>
      </c>
      <c r="E311" s="15">
        <v>-2.366730010578987</v>
      </c>
      <c r="F311" s="24">
        <v>755.40043228349646</v>
      </c>
      <c r="G311" s="24">
        <v>12.43222467286839</v>
      </c>
      <c r="H311" s="24">
        <v>60.761484944207403</v>
      </c>
      <c r="I311" s="16">
        <v>0</v>
      </c>
      <c r="J311" s="24">
        <v>-1.2</v>
      </c>
    </row>
    <row r="312" spans="1:10" ht="15" customHeight="1" x14ac:dyDescent="0.3">
      <c r="A312" s="10" t="s">
        <v>211</v>
      </c>
      <c r="B312" s="10" t="s">
        <v>2331</v>
      </c>
      <c r="C312" s="10" t="s">
        <v>2332</v>
      </c>
      <c r="D312" s="24">
        <v>24</v>
      </c>
      <c r="E312" s="15">
        <v>-0.18199287317383431</v>
      </c>
      <c r="F312" s="24">
        <v>727.49764576801579</v>
      </c>
      <c r="G312" s="24">
        <v>12.535865574963401</v>
      </c>
      <c r="H312" s="24">
        <v>58.033299848155082</v>
      </c>
      <c r="I312" s="16">
        <v>0</v>
      </c>
      <c r="J312" s="24">
        <v>-0.1</v>
      </c>
    </row>
    <row r="313" spans="1:10" ht="15" customHeight="1" x14ac:dyDescent="0.3">
      <c r="A313" s="10" t="s">
        <v>211</v>
      </c>
      <c r="B313" s="10" t="s">
        <v>2333</v>
      </c>
      <c r="C313" s="10" t="s">
        <v>2334</v>
      </c>
      <c r="D313" s="24">
        <v>19</v>
      </c>
      <c r="E313" s="15">
        <v>-2.815676990851474</v>
      </c>
      <c r="F313" s="24">
        <v>687.14342336357436</v>
      </c>
      <c r="G313" s="24">
        <v>15.3479571940917</v>
      </c>
      <c r="H313" s="24">
        <v>44.771002073689331</v>
      </c>
      <c r="I313" s="16">
        <v>1</v>
      </c>
      <c r="J313" s="24" t="s">
        <v>33</v>
      </c>
    </row>
    <row r="314" spans="1:10" ht="15" customHeight="1" x14ac:dyDescent="0.3">
      <c r="A314" s="10" t="s">
        <v>211</v>
      </c>
      <c r="B314" s="10" t="s">
        <v>2335</v>
      </c>
      <c r="C314" s="10" t="s">
        <v>2336</v>
      </c>
      <c r="D314" s="24">
        <v>22</v>
      </c>
      <c r="E314" s="15">
        <v>-3.1867960702466678</v>
      </c>
      <c r="F314" s="24">
        <v>336.13026461290781</v>
      </c>
      <c r="G314" s="24">
        <v>11.07940459343355</v>
      </c>
      <c r="H314" s="24">
        <v>30.338296772023529</v>
      </c>
      <c r="I314" s="16">
        <v>1</v>
      </c>
      <c r="J314" s="24" t="s">
        <v>33</v>
      </c>
    </row>
    <row r="315" spans="1:10" ht="15" customHeight="1" x14ac:dyDescent="0.3">
      <c r="A315" s="10" t="s">
        <v>212</v>
      </c>
      <c r="B315" s="10" t="s">
        <v>327</v>
      </c>
      <c r="C315" s="10" t="s">
        <v>2337</v>
      </c>
      <c r="D315" s="24">
        <v>29</v>
      </c>
      <c r="E315" s="15">
        <v>2.6163095766090909</v>
      </c>
      <c r="F315" s="24">
        <v>1741.9229479776459</v>
      </c>
      <c r="G315" s="24">
        <v>27.02368363400878</v>
      </c>
      <c r="H315" s="24">
        <v>64.459123025902727</v>
      </c>
      <c r="I315" s="16">
        <v>0</v>
      </c>
      <c r="J315" s="24">
        <v>3</v>
      </c>
    </row>
    <row r="316" spans="1:10" ht="15" customHeight="1" x14ac:dyDescent="0.3">
      <c r="A316" s="10" t="s">
        <v>212</v>
      </c>
      <c r="B316" s="10" t="s">
        <v>2338</v>
      </c>
      <c r="C316" s="10" t="s">
        <v>2339</v>
      </c>
      <c r="D316" s="24">
        <v>31</v>
      </c>
      <c r="E316" s="15">
        <v>-0.1985042089225024</v>
      </c>
      <c r="F316" s="24">
        <v>1468.580291369374</v>
      </c>
      <c r="G316" s="24">
        <v>24.145899258070401</v>
      </c>
      <c r="H316" s="24">
        <v>60.821105715436289</v>
      </c>
      <c r="I316" s="16">
        <v>0</v>
      </c>
      <c r="J316" s="24">
        <v>-0.6</v>
      </c>
    </row>
    <row r="317" spans="1:10" ht="15" customHeight="1" x14ac:dyDescent="0.3">
      <c r="A317" s="10" t="s">
        <v>212</v>
      </c>
      <c r="B317" s="10" t="s">
        <v>2340</v>
      </c>
      <c r="C317" s="10" t="s">
        <v>2341</v>
      </c>
      <c r="D317" s="24">
        <v>34</v>
      </c>
      <c r="E317" s="15">
        <v>-1.421820947679491</v>
      </c>
      <c r="F317" s="24">
        <v>1416.893362769126</v>
      </c>
      <c r="G317" s="24">
        <v>22.117886655478859</v>
      </c>
      <c r="H317" s="24">
        <v>64.060974036058951</v>
      </c>
      <c r="I317" s="16">
        <v>0</v>
      </c>
      <c r="J317" s="24">
        <v>-0.9</v>
      </c>
    </row>
    <row r="318" spans="1:10" ht="15" customHeight="1" x14ac:dyDescent="0.3">
      <c r="A318" s="10" t="s">
        <v>212</v>
      </c>
      <c r="B318" s="10" t="s">
        <v>298</v>
      </c>
      <c r="C318" s="10" t="s">
        <v>2342</v>
      </c>
      <c r="D318" s="24">
        <v>31</v>
      </c>
      <c r="E318" s="15">
        <v>6.8259512347007183</v>
      </c>
      <c r="F318" s="24">
        <v>1398.6847072438161</v>
      </c>
      <c r="G318" s="24">
        <v>26.177646553511341</v>
      </c>
      <c r="H318" s="24">
        <v>53.430498589117953</v>
      </c>
      <c r="I318" s="16">
        <v>0</v>
      </c>
      <c r="J318" s="24">
        <v>5.0999999999999996</v>
      </c>
    </row>
    <row r="319" spans="1:10" ht="15" customHeight="1" x14ac:dyDescent="0.3">
      <c r="A319" s="10" t="s">
        <v>212</v>
      </c>
      <c r="B319" s="10" t="s">
        <v>487</v>
      </c>
      <c r="C319" s="10" t="s">
        <v>2343</v>
      </c>
      <c r="D319" s="24">
        <v>28</v>
      </c>
      <c r="E319" s="15">
        <v>-0.73281379634658039</v>
      </c>
      <c r="F319" s="24">
        <v>1337.616131846552</v>
      </c>
      <c r="G319" s="24">
        <v>21.025011423997039</v>
      </c>
      <c r="H319" s="24">
        <v>63.620233296037838</v>
      </c>
      <c r="I319" s="16">
        <v>0</v>
      </c>
      <c r="J319" s="24">
        <v>0</v>
      </c>
    </row>
    <row r="320" spans="1:10" ht="15" customHeight="1" x14ac:dyDescent="0.3">
      <c r="A320" s="10" t="s">
        <v>212</v>
      </c>
      <c r="B320" s="10" t="s">
        <v>509</v>
      </c>
      <c r="C320" s="10" t="s">
        <v>2344</v>
      </c>
      <c r="D320" s="24">
        <v>36</v>
      </c>
      <c r="E320" s="15">
        <v>-1.5245785992413661</v>
      </c>
      <c r="F320" s="24">
        <v>1220.7216946522301</v>
      </c>
      <c r="G320" s="24">
        <v>20.44304230955774</v>
      </c>
      <c r="H320" s="24">
        <v>59.713308624397143</v>
      </c>
      <c r="I320" s="16">
        <v>0</v>
      </c>
      <c r="J320" s="24">
        <v>-1.3</v>
      </c>
    </row>
    <row r="321" spans="1:10" ht="15" customHeight="1" x14ac:dyDescent="0.3">
      <c r="A321" s="10" t="s">
        <v>212</v>
      </c>
      <c r="B321" s="10" t="s">
        <v>367</v>
      </c>
      <c r="C321" s="10" t="s">
        <v>2345</v>
      </c>
      <c r="D321" s="24">
        <v>31</v>
      </c>
      <c r="E321" s="15">
        <v>-0.69259435371602618</v>
      </c>
      <c r="F321" s="24">
        <v>1190.9970972424171</v>
      </c>
      <c r="G321" s="24">
        <v>20.002233442069549</v>
      </c>
      <c r="H321" s="24">
        <v>59.543205547109608</v>
      </c>
      <c r="I321" s="16">
        <v>0</v>
      </c>
      <c r="J321" s="24">
        <v>-0.9</v>
      </c>
    </row>
    <row r="322" spans="1:10" ht="15" customHeight="1" x14ac:dyDescent="0.3">
      <c r="A322" s="10" t="s">
        <v>212</v>
      </c>
      <c r="B322" s="10" t="s">
        <v>2346</v>
      </c>
      <c r="C322" s="10" t="s">
        <v>2347</v>
      </c>
      <c r="D322" s="24">
        <v>25</v>
      </c>
      <c r="E322" s="15">
        <v>-0.75023154167678774</v>
      </c>
      <c r="F322" s="24">
        <v>1129.854850296723</v>
      </c>
      <c r="G322" s="24">
        <v>18.088127224458759</v>
      </c>
      <c r="H322" s="24">
        <v>62.463893374706799</v>
      </c>
      <c r="I322" s="16">
        <v>0</v>
      </c>
      <c r="J322" s="24">
        <v>-0.5</v>
      </c>
    </row>
    <row r="323" spans="1:10" ht="15" customHeight="1" x14ac:dyDescent="0.3">
      <c r="A323" s="10" t="s">
        <v>212</v>
      </c>
      <c r="B323" s="10" t="s">
        <v>2348</v>
      </c>
      <c r="C323" s="10" t="s">
        <v>2349</v>
      </c>
      <c r="D323" s="24">
        <v>30</v>
      </c>
      <c r="E323" s="15">
        <v>-0.42823479791553742</v>
      </c>
      <c r="F323" s="24">
        <v>942.90332592437119</v>
      </c>
      <c r="G323" s="24">
        <v>14.944164602056061</v>
      </c>
      <c r="H323" s="24">
        <v>63.095084337778488</v>
      </c>
      <c r="I323" s="16">
        <v>0</v>
      </c>
      <c r="J323" s="24">
        <v>0.1</v>
      </c>
    </row>
    <row r="324" spans="1:10" ht="15" customHeight="1" x14ac:dyDescent="0.3">
      <c r="A324" s="10" t="s">
        <v>212</v>
      </c>
      <c r="B324" s="10" t="s">
        <v>410</v>
      </c>
      <c r="C324" s="10" t="s">
        <v>2350</v>
      </c>
      <c r="D324" s="24">
        <v>23</v>
      </c>
      <c r="E324" s="15">
        <v>-1.009506533176149</v>
      </c>
      <c r="F324" s="24">
        <v>911.79523487233098</v>
      </c>
      <c r="G324" s="24">
        <v>16.268590123426002</v>
      </c>
      <c r="H324" s="24">
        <v>56.046358532285403</v>
      </c>
      <c r="I324" s="16">
        <v>0</v>
      </c>
      <c r="J324" s="24">
        <v>-1.3</v>
      </c>
    </row>
    <row r="325" spans="1:10" ht="15" customHeight="1" x14ac:dyDescent="0.3">
      <c r="A325" s="10" t="s">
        <v>212</v>
      </c>
      <c r="B325" s="10" t="s">
        <v>2351</v>
      </c>
      <c r="C325" s="10" t="s">
        <v>2352</v>
      </c>
      <c r="D325" s="24">
        <v>28</v>
      </c>
      <c r="E325" s="15">
        <v>-2.5265708640333888</v>
      </c>
      <c r="F325" s="24">
        <v>909.40725294054619</v>
      </c>
      <c r="G325" s="24">
        <v>16.094669812849709</v>
      </c>
      <c r="H325" s="24">
        <v>56.503629059509556</v>
      </c>
      <c r="I325" s="16">
        <v>0</v>
      </c>
      <c r="J325" s="24">
        <v>-1.5</v>
      </c>
    </row>
    <row r="326" spans="1:10" ht="15" customHeight="1" x14ac:dyDescent="0.3">
      <c r="A326" s="10" t="s">
        <v>212</v>
      </c>
      <c r="B326" s="10" t="s">
        <v>2353</v>
      </c>
      <c r="C326" s="10" t="s">
        <v>2354</v>
      </c>
      <c r="D326" s="24">
        <v>23</v>
      </c>
      <c r="E326" s="15">
        <v>-2.041267089373036</v>
      </c>
      <c r="F326" s="24">
        <v>854.83205141347469</v>
      </c>
      <c r="G326" s="24">
        <v>18.950131516526849</v>
      </c>
      <c r="H326" s="24">
        <v>45.109557718264703</v>
      </c>
      <c r="I326" s="16">
        <v>0</v>
      </c>
      <c r="J326" s="24">
        <v>-1.5</v>
      </c>
    </row>
    <row r="327" spans="1:10" ht="15" customHeight="1" x14ac:dyDescent="0.3">
      <c r="A327" s="10" t="s">
        <v>212</v>
      </c>
      <c r="B327" s="10" t="s">
        <v>2355</v>
      </c>
      <c r="C327" s="10" t="s">
        <v>2356</v>
      </c>
      <c r="D327" s="24">
        <v>28</v>
      </c>
      <c r="E327" s="15">
        <v>-1.441792304937741</v>
      </c>
      <c r="F327" s="24">
        <v>830.25962724038141</v>
      </c>
      <c r="G327" s="24">
        <v>14.7630866127872</v>
      </c>
      <c r="H327" s="24">
        <v>56.238891569005858</v>
      </c>
      <c r="I327" s="16">
        <v>0</v>
      </c>
      <c r="J327" s="24" t="s">
        <v>33</v>
      </c>
    </row>
    <row r="328" spans="1:10" ht="15" customHeight="1" x14ac:dyDescent="0.3">
      <c r="A328" s="10" t="s">
        <v>212</v>
      </c>
      <c r="B328" s="10" t="s">
        <v>2357</v>
      </c>
      <c r="C328" s="10" t="s">
        <v>2358</v>
      </c>
      <c r="D328" s="24">
        <v>28</v>
      </c>
      <c r="E328" s="15">
        <v>0.23181706245965811</v>
      </c>
      <c r="F328" s="24">
        <v>780.20891991291217</v>
      </c>
      <c r="G328" s="24">
        <v>13.447013795732721</v>
      </c>
      <c r="H328" s="24">
        <v>58.02098010492886</v>
      </c>
      <c r="I328" s="16">
        <v>0</v>
      </c>
      <c r="J328" s="24">
        <v>-0.8</v>
      </c>
    </row>
    <row r="329" spans="1:10" ht="15" customHeight="1" x14ac:dyDescent="0.3">
      <c r="A329" s="10" t="s">
        <v>212</v>
      </c>
      <c r="B329" s="10" t="s">
        <v>2359</v>
      </c>
      <c r="C329" s="10" t="s">
        <v>2360</v>
      </c>
      <c r="D329" s="24">
        <v>22</v>
      </c>
      <c r="E329" s="15">
        <v>-3.4397714226308529</v>
      </c>
      <c r="F329" s="24">
        <v>474.9915053226415</v>
      </c>
      <c r="G329" s="24">
        <v>12.80126952950774</v>
      </c>
      <c r="H329" s="24">
        <v>37.105031202394088</v>
      </c>
      <c r="I329" s="16">
        <v>1</v>
      </c>
      <c r="J329" s="24" t="s">
        <v>33</v>
      </c>
    </row>
    <row r="330" spans="1:10" ht="15" customHeight="1" x14ac:dyDescent="0.3">
      <c r="A330" s="10" t="s">
        <v>212</v>
      </c>
      <c r="B330" s="10" t="s">
        <v>2361</v>
      </c>
      <c r="C330" s="10" t="s">
        <v>2362</v>
      </c>
      <c r="D330" s="24">
        <v>25</v>
      </c>
      <c r="E330" s="15">
        <v>-0.43267885631285768</v>
      </c>
      <c r="F330" s="24">
        <v>460.36745417945082</v>
      </c>
      <c r="G330" s="24">
        <v>8.332981939187027</v>
      </c>
      <c r="H330" s="24">
        <v>55.246424093937812</v>
      </c>
      <c r="I330" s="16">
        <v>0</v>
      </c>
      <c r="J330" s="24">
        <v>-0.7</v>
      </c>
    </row>
    <row r="331" spans="1:10" ht="15" customHeight="1" x14ac:dyDescent="0.3">
      <c r="A331" s="10" t="s">
        <v>212</v>
      </c>
      <c r="B331" s="10" t="s">
        <v>2363</v>
      </c>
      <c r="C331" s="10" t="s">
        <v>2364</v>
      </c>
      <c r="D331" s="24">
        <v>25</v>
      </c>
      <c r="E331" s="15">
        <v>-0.36045261522673949</v>
      </c>
      <c r="F331" s="24">
        <v>377.74969278131459</v>
      </c>
      <c r="G331" s="24">
        <v>7.6665726994844681</v>
      </c>
      <c r="H331" s="24">
        <v>49.272302968798051</v>
      </c>
      <c r="I331" s="16">
        <v>0</v>
      </c>
      <c r="J331" s="24">
        <v>0.3</v>
      </c>
    </row>
    <row r="332" spans="1:10" ht="15" customHeight="1" x14ac:dyDescent="0.3">
      <c r="A332" s="10" t="s">
        <v>212</v>
      </c>
      <c r="B332" s="10" t="s">
        <v>2365</v>
      </c>
      <c r="C332" s="10" t="s">
        <v>2366</v>
      </c>
      <c r="D332" s="24">
        <v>22</v>
      </c>
      <c r="E332" s="15">
        <v>-3.1867960702466678</v>
      </c>
      <c r="F332" s="24">
        <v>328.94973970658651</v>
      </c>
      <c r="G332" s="24">
        <v>10.84272272034492</v>
      </c>
      <c r="H332" s="24">
        <v>30.338296772023529</v>
      </c>
      <c r="I332" s="16">
        <v>1</v>
      </c>
      <c r="J332" s="24" t="s">
        <v>33</v>
      </c>
    </row>
    <row r="333" spans="1:10" ht="15" customHeight="1" x14ac:dyDescent="0.3">
      <c r="A333" s="10" t="s">
        <v>212</v>
      </c>
      <c r="B333" s="10" t="s">
        <v>2367</v>
      </c>
      <c r="C333" s="10" t="s">
        <v>2368</v>
      </c>
      <c r="D333" s="24">
        <v>24</v>
      </c>
      <c r="E333" s="15">
        <v>-3.1867960702466678</v>
      </c>
      <c r="F333" s="24">
        <v>328.94973970658651</v>
      </c>
      <c r="G333" s="24">
        <v>10.84272272034492</v>
      </c>
      <c r="H333" s="24">
        <v>30.338296772023529</v>
      </c>
      <c r="I333" s="16">
        <v>1</v>
      </c>
      <c r="J333" s="24" t="s">
        <v>33</v>
      </c>
    </row>
    <row r="334" spans="1:10" ht="15" customHeight="1" x14ac:dyDescent="0.3">
      <c r="A334" s="10" t="s">
        <v>212</v>
      </c>
      <c r="B334" s="10" t="s">
        <v>2369</v>
      </c>
      <c r="C334" s="10" t="s">
        <v>2370</v>
      </c>
      <c r="D334" s="24">
        <v>25</v>
      </c>
      <c r="E334" s="15">
        <v>-3.1867960702466678</v>
      </c>
      <c r="F334" s="24">
        <v>328.94973970658651</v>
      </c>
      <c r="G334" s="24">
        <v>10.84272272034492</v>
      </c>
      <c r="H334" s="24">
        <v>30.338296772023529</v>
      </c>
      <c r="I334" s="16">
        <v>1</v>
      </c>
      <c r="J334" s="24" t="s">
        <v>33</v>
      </c>
    </row>
    <row r="335" spans="1:10" ht="15" customHeight="1" x14ac:dyDescent="0.3">
      <c r="A335" s="10" t="s">
        <v>212</v>
      </c>
      <c r="B335" s="10" t="s">
        <v>2371</v>
      </c>
      <c r="C335" s="10" t="s">
        <v>2372</v>
      </c>
      <c r="D335" s="24">
        <v>23</v>
      </c>
      <c r="E335" s="15">
        <v>-3.1867960702466678</v>
      </c>
      <c r="F335" s="24">
        <v>328.94973970658651</v>
      </c>
      <c r="G335" s="24">
        <v>10.84272272034492</v>
      </c>
      <c r="H335" s="24">
        <v>30.338296772023529</v>
      </c>
      <c r="I335" s="16">
        <v>1</v>
      </c>
      <c r="J335" s="24" t="s">
        <v>33</v>
      </c>
    </row>
    <row r="336" spans="1:10" ht="15" customHeight="1" x14ac:dyDescent="0.3">
      <c r="A336" s="10" t="s">
        <v>212</v>
      </c>
      <c r="B336" s="10" t="s">
        <v>2373</v>
      </c>
      <c r="C336" s="10" t="s">
        <v>2374</v>
      </c>
      <c r="D336" s="24">
        <v>25</v>
      </c>
      <c r="E336" s="15">
        <v>-2.2419180217104162</v>
      </c>
      <c r="F336" s="24">
        <v>308.04036558380858</v>
      </c>
      <c r="G336" s="24">
        <v>7.1908981201106332</v>
      </c>
      <c r="H336" s="24">
        <v>42.83753718083122</v>
      </c>
      <c r="I336" s="16">
        <v>0</v>
      </c>
      <c r="J336" s="24">
        <v>-2.9</v>
      </c>
    </row>
    <row r="337" spans="1:10" ht="15" customHeight="1" x14ac:dyDescent="0.3">
      <c r="A337" s="10" t="s">
        <v>212</v>
      </c>
      <c r="B337" s="10" t="s">
        <v>2375</v>
      </c>
      <c r="C337" s="10" t="s">
        <v>2376</v>
      </c>
      <c r="D337" s="24">
        <v>25</v>
      </c>
      <c r="E337" s="15">
        <v>-2.2303300036345601</v>
      </c>
      <c r="F337" s="24">
        <v>306.3073874464269</v>
      </c>
      <c r="G337" s="24">
        <v>10.096393668641561</v>
      </c>
      <c r="H337" s="24">
        <v>30.338296772023529</v>
      </c>
      <c r="I337" s="16">
        <v>0</v>
      </c>
      <c r="J337" s="24" t="s">
        <v>33</v>
      </c>
    </row>
    <row r="338" spans="1:10" ht="15" customHeight="1" x14ac:dyDescent="0.3">
      <c r="A338" s="10" t="s">
        <v>212</v>
      </c>
      <c r="B338" s="10" t="s">
        <v>2377</v>
      </c>
      <c r="C338" s="10" t="s">
        <v>2378</v>
      </c>
      <c r="D338" s="24">
        <v>29</v>
      </c>
      <c r="E338" s="15">
        <v>-2.4222604624793398</v>
      </c>
      <c r="F338" s="24">
        <v>302.06714015811121</v>
      </c>
      <c r="G338" s="24">
        <v>9.9566281663070324</v>
      </c>
      <c r="H338" s="24">
        <v>30.338296772023529</v>
      </c>
      <c r="I338" s="16">
        <v>0</v>
      </c>
      <c r="J338" s="24" t="s">
        <v>33</v>
      </c>
    </row>
    <row r="339" spans="1:10" ht="15" customHeight="1" x14ac:dyDescent="0.3">
      <c r="A339" s="10" t="s">
        <v>213</v>
      </c>
      <c r="B339" s="10" t="s">
        <v>503</v>
      </c>
      <c r="C339" s="10" t="s">
        <v>2379</v>
      </c>
      <c r="D339" s="24">
        <v>26</v>
      </c>
      <c r="E339" s="15">
        <v>1.600632581337782</v>
      </c>
      <c r="F339" s="24">
        <v>1415.706189822401</v>
      </c>
      <c r="G339" s="24">
        <v>25.71574265174802</v>
      </c>
      <c r="H339" s="24">
        <v>55.052121534828359</v>
      </c>
      <c r="I339" s="16">
        <v>0</v>
      </c>
      <c r="J339" s="24">
        <v>0.7</v>
      </c>
    </row>
    <row r="340" spans="1:10" ht="15" customHeight="1" x14ac:dyDescent="0.3">
      <c r="A340" s="10" t="s">
        <v>213</v>
      </c>
      <c r="B340" s="10" t="s">
        <v>493</v>
      </c>
      <c r="C340" s="10" t="s">
        <v>2380</v>
      </c>
      <c r="D340" s="24">
        <v>30</v>
      </c>
      <c r="E340" s="15">
        <v>-0.41754310997750821</v>
      </c>
      <c r="F340" s="24">
        <v>1376.3747636125429</v>
      </c>
      <c r="G340" s="24">
        <v>21.824184569241581</v>
      </c>
      <c r="H340" s="24">
        <v>63.06649209484641</v>
      </c>
      <c r="I340" s="16">
        <v>0</v>
      </c>
      <c r="J340" s="24">
        <v>-0.5</v>
      </c>
    </row>
    <row r="341" spans="1:10" ht="15" customHeight="1" x14ac:dyDescent="0.3">
      <c r="A341" s="10" t="s">
        <v>213</v>
      </c>
      <c r="B341" s="10" t="s">
        <v>2381</v>
      </c>
      <c r="C341" s="10" t="s">
        <v>2382</v>
      </c>
      <c r="D341" s="24">
        <v>31</v>
      </c>
      <c r="E341" s="15">
        <v>-3.2125770969029182</v>
      </c>
      <c r="F341" s="24">
        <v>1363.254860717647</v>
      </c>
      <c r="G341" s="24">
        <v>22.15266864907791</v>
      </c>
      <c r="H341" s="24">
        <v>61.539080564652082</v>
      </c>
      <c r="I341" s="16">
        <v>0</v>
      </c>
      <c r="J341" s="24">
        <v>-3.3</v>
      </c>
    </row>
    <row r="342" spans="1:10" ht="15" customHeight="1" x14ac:dyDescent="0.3">
      <c r="A342" s="10" t="s">
        <v>213</v>
      </c>
      <c r="B342" s="10" t="s">
        <v>2383</v>
      </c>
      <c r="C342" s="10" t="s">
        <v>2384</v>
      </c>
      <c r="D342" s="24">
        <v>25</v>
      </c>
      <c r="E342" s="15">
        <v>-0.234459506079785</v>
      </c>
      <c r="F342" s="24">
        <v>1324.639655454883</v>
      </c>
      <c r="G342" s="24">
        <v>20.458616230076881</v>
      </c>
      <c r="H342" s="24">
        <v>64.747275209526947</v>
      </c>
      <c r="I342" s="16">
        <v>0</v>
      </c>
      <c r="J342" s="24">
        <v>-0.5</v>
      </c>
    </row>
    <row r="343" spans="1:10" ht="15" customHeight="1" x14ac:dyDescent="0.3">
      <c r="A343" s="10" t="s">
        <v>213</v>
      </c>
      <c r="B343" s="10" t="s">
        <v>511</v>
      </c>
      <c r="C343" s="10" t="s">
        <v>2385</v>
      </c>
      <c r="D343" s="24">
        <v>27</v>
      </c>
      <c r="E343" s="15">
        <v>-1.3450132604596681</v>
      </c>
      <c r="F343" s="24">
        <v>1264.884088808323</v>
      </c>
      <c r="G343" s="24">
        <v>19.227568684974681</v>
      </c>
      <c r="H343" s="24">
        <v>65.784921095965871</v>
      </c>
      <c r="I343" s="16">
        <v>0</v>
      </c>
      <c r="J343" s="24">
        <v>-0.2</v>
      </c>
    </row>
    <row r="344" spans="1:10" ht="15" customHeight="1" x14ac:dyDescent="0.3">
      <c r="A344" s="10" t="s">
        <v>213</v>
      </c>
      <c r="B344" s="10" t="s">
        <v>404</v>
      </c>
      <c r="C344" s="10" t="s">
        <v>2386</v>
      </c>
      <c r="D344" s="24">
        <v>24</v>
      </c>
      <c r="E344" s="15">
        <v>0.79107643455749033</v>
      </c>
      <c r="F344" s="24">
        <v>1264.4440147833941</v>
      </c>
      <c r="G344" s="24">
        <v>19.854546982677839</v>
      </c>
      <c r="H344" s="24">
        <v>63.685362143319708</v>
      </c>
      <c r="I344" s="16">
        <v>0</v>
      </c>
      <c r="J344" s="24">
        <v>0.8</v>
      </c>
    </row>
    <row r="345" spans="1:10" ht="15" customHeight="1" x14ac:dyDescent="0.3">
      <c r="A345" s="10" t="s">
        <v>213</v>
      </c>
      <c r="B345" s="10" t="s">
        <v>2387</v>
      </c>
      <c r="C345" s="10" t="s">
        <v>2388</v>
      </c>
      <c r="D345" s="24">
        <v>27</v>
      </c>
      <c r="E345" s="15">
        <v>-2.8980591969152272</v>
      </c>
      <c r="F345" s="24">
        <v>1174.9669374867631</v>
      </c>
      <c r="G345" s="24">
        <v>18.766314205526829</v>
      </c>
      <c r="H345" s="24">
        <v>62.610426566380603</v>
      </c>
      <c r="I345" s="16">
        <v>0</v>
      </c>
      <c r="J345" s="24">
        <v>-2.6</v>
      </c>
    </row>
    <row r="346" spans="1:10" ht="15" customHeight="1" x14ac:dyDescent="0.3">
      <c r="A346" s="10" t="s">
        <v>213</v>
      </c>
      <c r="B346" s="10" t="s">
        <v>2389</v>
      </c>
      <c r="C346" s="10" t="s">
        <v>2390</v>
      </c>
      <c r="D346" s="24">
        <v>22</v>
      </c>
      <c r="E346" s="15">
        <v>0.78648580540768565</v>
      </c>
      <c r="F346" s="24">
        <v>1121.807311609854</v>
      </c>
      <c r="G346" s="24">
        <v>17.177445273496289</v>
      </c>
      <c r="H346" s="24">
        <v>65.306993778680948</v>
      </c>
      <c r="I346" s="16">
        <v>0</v>
      </c>
      <c r="J346" s="24">
        <v>-0.5</v>
      </c>
    </row>
    <row r="347" spans="1:10" ht="15" customHeight="1" x14ac:dyDescent="0.3">
      <c r="A347" s="10" t="s">
        <v>213</v>
      </c>
      <c r="B347" s="10" t="s">
        <v>2391</v>
      </c>
      <c r="C347" s="10" t="s">
        <v>2392</v>
      </c>
      <c r="D347" s="24">
        <v>26</v>
      </c>
      <c r="E347" s="15">
        <v>0.79628055313433421</v>
      </c>
      <c r="F347" s="24">
        <v>1104.841585089104</v>
      </c>
      <c r="G347" s="24">
        <v>19.686309331235361</v>
      </c>
      <c r="H347" s="24">
        <v>56.122331844908217</v>
      </c>
      <c r="I347" s="16">
        <v>0</v>
      </c>
      <c r="J347" s="24">
        <v>0.5</v>
      </c>
    </row>
    <row r="348" spans="1:10" ht="15" customHeight="1" x14ac:dyDescent="0.3">
      <c r="A348" s="10" t="s">
        <v>213</v>
      </c>
      <c r="B348" s="10" t="s">
        <v>2393</v>
      </c>
      <c r="C348" s="10" t="s">
        <v>2394</v>
      </c>
      <c r="D348" s="24">
        <v>32</v>
      </c>
      <c r="E348" s="15">
        <v>-1.438284200084055</v>
      </c>
      <c r="F348" s="24">
        <v>1054.6436595768489</v>
      </c>
      <c r="G348" s="24">
        <v>17.945106997978531</v>
      </c>
      <c r="H348" s="24">
        <v>58.770541724585527</v>
      </c>
      <c r="I348" s="16">
        <v>0</v>
      </c>
      <c r="J348" s="24">
        <v>-2.4</v>
      </c>
    </row>
    <row r="349" spans="1:10" ht="15" customHeight="1" x14ac:dyDescent="0.3">
      <c r="A349" s="10" t="s">
        <v>213</v>
      </c>
      <c r="B349" s="10" t="s">
        <v>348</v>
      </c>
      <c r="C349" s="10" t="s">
        <v>2395</v>
      </c>
      <c r="D349" s="24">
        <v>21</v>
      </c>
      <c r="E349" s="15">
        <v>-1.803446361315866</v>
      </c>
      <c r="F349" s="24">
        <v>941.88023129342321</v>
      </c>
      <c r="G349" s="24">
        <v>17.183558992346949</v>
      </c>
      <c r="H349" s="24">
        <v>54.812872683296227</v>
      </c>
      <c r="I349" s="16">
        <v>1</v>
      </c>
      <c r="J349" s="24" t="s">
        <v>33</v>
      </c>
    </row>
    <row r="350" spans="1:10" ht="15" customHeight="1" x14ac:dyDescent="0.3">
      <c r="A350" s="10" t="s">
        <v>213</v>
      </c>
      <c r="B350" s="10" t="s">
        <v>346</v>
      </c>
      <c r="C350" s="10" t="s">
        <v>2396</v>
      </c>
      <c r="D350" s="24">
        <v>19</v>
      </c>
      <c r="E350" s="15">
        <v>-2.6035338773248271</v>
      </c>
      <c r="F350" s="24">
        <v>830.35825338169684</v>
      </c>
      <c r="G350" s="24">
        <v>16.198363328741799</v>
      </c>
      <c r="H350" s="24">
        <v>51.261861246706239</v>
      </c>
      <c r="I350" s="16">
        <v>1</v>
      </c>
      <c r="J350" s="24" t="s">
        <v>33</v>
      </c>
    </row>
    <row r="351" spans="1:10" ht="15" customHeight="1" x14ac:dyDescent="0.3">
      <c r="A351" s="10" t="s">
        <v>213</v>
      </c>
      <c r="B351" s="10" t="s">
        <v>2397</v>
      </c>
      <c r="C351" s="10" t="s">
        <v>2398</v>
      </c>
      <c r="D351" s="24">
        <v>27</v>
      </c>
      <c r="E351" s="15">
        <v>-2.3874446317460771</v>
      </c>
      <c r="F351" s="24">
        <v>803.7222109622677</v>
      </c>
      <c r="G351" s="24">
        <v>13.14271704727572</v>
      </c>
      <c r="H351" s="24">
        <v>61.153428782739191</v>
      </c>
      <c r="I351" s="16">
        <v>0</v>
      </c>
      <c r="J351" s="24">
        <v>-2.2000000000000002</v>
      </c>
    </row>
    <row r="352" spans="1:10" ht="15" customHeight="1" x14ac:dyDescent="0.3">
      <c r="A352" s="10" t="s">
        <v>213</v>
      </c>
      <c r="B352" s="10" t="s">
        <v>2399</v>
      </c>
      <c r="C352" s="10" t="s">
        <v>2400</v>
      </c>
      <c r="D352" s="24">
        <v>20</v>
      </c>
      <c r="E352" s="15">
        <v>0.38315613508019158</v>
      </c>
      <c r="F352" s="24">
        <v>780.84792926252953</v>
      </c>
      <c r="G352" s="24">
        <v>13.416011352348059</v>
      </c>
      <c r="H352" s="24">
        <v>58.202688470881938</v>
      </c>
      <c r="I352" s="16">
        <v>0</v>
      </c>
      <c r="J352" s="24">
        <v>0.2</v>
      </c>
    </row>
    <row r="353" spans="1:10" ht="15" customHeight="1" x14ac:dyDescent="0.3">
      <c r="A353" s="10" t="s">
        <v>213</v>
      </c>
      <c r="B353" s="10" t="s">
        <v>399</v>
      </c>
      <c r="C353" s="10" t="s">
        <v>2401</v>
      </c>
      <c r="D353" s="24">
        <v>23</v>
      </c>
      <c r="E353" s="15">
        <v>-2.834143062414447</v>
      </c>
      <c r="F353" s="24">
        <v>736.53783868888911</v>
      </c>
      <c r="G353" s="24">
        <v>12.76049218949364</v>
      </c>
      <c r="H353" s="24">
        <v>57.720174719852722</v>
      </c>
      <c r="I353" s="16">
        <v>0</v>
      </c>
      <c r="J353" s="24">
        <v>-3.4</v>
      </c>
    </row>
    <row r="354" spans="1:10" ht="15" customHeight="1" x14ac:dyDescent="0.3">
      <c r="A354" s="10" t="s">
        <v>213</v>
      </c>
      <c r="B354" s="10" t="s">
        <v>2402</v>
      </c>
      <c r="C354" s="10" t="s">
        <v>2403</v>
      </c>
      <c r="D354" s="24">
        <v>24</v>
      </c>
      <c r="E354" s="15">
        <v>-2.8312331607392531</v>
      </c>
      <c r="F354" s="24">
        <v>653.08650503981278</v>
      </c>
      <c r="G354" s="24">
        <v>12.41336517059651</v>
      </c>
      <c r="H354" s="24">
        <v>52.611559884403967</v>
      </c>
      <c r="I354" s="16">
        <v>0</v>
      </c>
      <c r="J354" s="24">
        <v>-2</v>
      </c>
    </row>
    <row r="355" spans="1:10" ht="15" customHeight="1" x14ac:dyDescent="0.3">
      <c r="A355" s="10" t="s">
        <v>213</v>
      </c>
      <c r="B355" s="10" t="s">
        <v>2404</v>
      </c>
      <c r="C355" s="10" t="s">
        <v>2405</v>
      </c>
      <c r="D355" s="24">
        <v>27</v>
      </c>
      <c r="E355" s="15">
        <v>-0.74620427178824245</v>
      </c>
      <c r="F355" s="24">
        <v>607.06660702194506</v>
      </c>
      <c r="G355" s="24">
        <v>14.0664012360277</v>
      </c>
      <c r="H355" s="24">
        <v>43.157208218054379</v>
      </c>
      <c r="I355" s="16">
        <v>0</v>
      </c>
      <c r="J355" s="24">
        <v>-0.2</v>
      </c>
    </row>
    <row r="356" spans="1:10" ht="15" customHeight="1" x14ac:dyDescent="0.3">
      <c r="A356" s="10" t="s">
        <v>213</v>
      </c>
      <c r="B356" s="10" t="s">
        <v>2406</v>
      </c>
      <c r="C356" s="10" t="s">
        <v>2407</v>
      </c>
      <c r="D356" s="24">
        <v>26</v>
      </c>
      <c r="E356" s="15">
        <v>-1.2324611321516481</v>
      </c>
      <c r="F356" s="24">
        <v>595.06161942956589</v>
      </c>
      <c r="G356" s="24">
        <v>11.313222957457381</v>
      </c>
      <c r="H356" s="24">
        <v>52.598770630372577</v>
      </c>
      <c r="I356" s="16">
        <v>0</v>
      </c>
      <c r="J356" s="24">
        <v>-0.5</v>
      </c>
    </row>
    <row r="357" spans="1:10" ht="15" customHeight="1" x14ac:dyDescent="0.3">
      <c r="A357" s="10" t="s">
        <v>213</v>
      </c>
      <c r="B357" s="10" t="s">
        <v>2408</v>
      </c>
      <c r="C357" s="10" t="s">
        <v>2409</v>
      </c>
      <c r="D357" s="24">
        <v>24</v>
      </c>
      <c r="E357" s="15">
        <v>-2.78171778435956</v>
      </c>
      <c r="F357" s="24">
        <v>319.92962032741588</v>
      </c>
      <c r="G357" s="24">
        <v>7.3294995354024612</v>
      </c>
      <c r="H357" s="24">
        <v>43.649586002715893</v>
      </c>
      <c r="I357" s="16">
        <v>0</v>
      </c>
      <c r="J357" s="24">
        <v>-2.8</v>
      </c>
    </row>
    <row r="358" spans="1:10" ht="15" customHeight="1" x14ac:dyDescent="0.3">
      <c r="A358" s="10" t="s">
        <v>213</v>
      </c>
      <c r="B358" s="10" t="s">
        <v>2410</v>
      </c>
      <c r="C358" s="10" t="s">
        <v>2411</v>
      </c>
      <c r="D358" s="24">
        <v>23</v>
      </c>
      <c r="E358" s="15">
        <v>-3.1867960702466678</v>
      </c>
      <c r="F358" s="24">
        <v>315.3153725435634</v>
      </c>
      <c r="G358" s="24">
        <v>10.39331162566554</v>
      </c>
      <c r="H358" s="24">
        <v>30.338296772023529</v>
      </c>
      <c r="I358" s="16">
        <v>1</v>
      </c>
      <c r="J358" s="24" t="s">
        <v>33</v>
      </c>
    </row>
    <row r="359" spans="1:10" ht="15" customHeight="1" x14ac:dyDescent="0.3">
      <c r="A359" s="10" t="s">
        <v>213</v>
      </c>
      <c r="B359" s="10" t="s">
        <v>2412</v>
      </c>
      <c r="C359" s="10" t="s">
        <v>2413</v>
      </c>
      <c r="D359" s="24">
        <v>21</v>
      </c>
      <c r="E359" s="15">
        <v>-3.1867960702466678</v>
      </c>
      <c r="F359" s="24">
        <v>315.3153725435634</v>
      </c>
      <c r="G359" s="24">
        <v>10.39331162566554</v>
      </c>
      <c r="H359" s="24">
        <v>30.338296772023529</v>
      </c>
      <c r="I359" s="16">
        <v>1</v>
      </c>
      <c r="J359" s="24" t="s">
        <v>33</v>
      </c>
    </row>
    <row r="360" spans="1:10" ht="15" customHeight="1" x14ac:dyDescent="0.3">
      <c r="A360" s="10" t="s">
        <v>213</v>
      </c>
      <c r="B360" s="10" t="s">
        <v>2414</v>
      </c>
      <c r="C360" s="10" t="s">
        <v>2415</v>
      </c>
      <c r="D360" s="24">
        <v>26</v>
      </c>
      <c r="E360" s="15">
        <v>-3.1867960702466678</v>
      </c>
      <c r="F360" s="24">
        <v>315.3153725435634</v>
      </c>
      <c r="G360" s="24">
        <v>10.39331162566554</v>
      </c>
      <c r="H360" s="24">
        <v>30.338296772023529</v>
      </c>
      <c r="I360" s="16">
        <v>1</v>
      </c>
      <c r="J360" s="24" t="s">
        <v>33</v>
      </c>
    </row>
    <row r="361" spans="1:10" ht="15" customHeight="1" x14ac:dyDescent="0.3">
      <c r="A361" s="10" t="s">
        <v>214</v>
      </c>
      <c r="B361" s="10" t="s">
        <v>300</v>
      </c>
      <c r="C361" s="10" t="s">
        <v>2416</v>
      </c>
      <c r="D361" s="24">
        <v>25</v>
      </c>
      <c r="E361" s="15">
        <v>4.5534227980436466</v>
      </c>
      <c r="F361" s="24">
        <v>2098.294478693957</v>
      </c>
      <c r="G361" s="24">
        <v>33.60429383389026</v>
      </c>
      <c r="H361" s="24">
        <v>62.441260901540097</v>
      </c>
      <c r="I361" s="16">
        <v>0</v>
      </c>
      <c r="J361" s="24">
        <v>4.2</v>
      </c>
    </row>
    <row r="362" spans="1:10" ht="15" customHeight="1" x14ac:dyDescent="0.3">
      <c r="A362" s="10" t="s">
        <v>214</v>
      </c>
      <c r="B362" s="10" t="s">
        <v>331</v>
      </c>
      <c r="C362" s="10" t="s">
        <v>2417</v>
      </c>
      <c r="D362" s="24">
        <v>26</v>
      </c>
      <c r="E362" s="15">
        <v>0.2256001362650018</v>
      </c>
      <c r="F362" s="24">
        <v>1954.2832672214529</v>
      </c>
      <c r="G362" s="24">
        <v>29.802923386011571</v>
      </c>
      <c r="H362" s="24">
        <v>65.573542632355441</v>
      </c>
      <c r="I362" s="16">
        <v>0</v>
      </c>
      <c r="J362" s="24">
        <v>0.5</v>
      </c>
    </row>
    <row r="363" spans="1:10" ht="15" customHeight="1" x14ac:dyDescent="0.3">
      <c r="A363" s="10" t="s">
        <v>214</v>
      </c>
      <c r="B363" s="10" t="s">
        <v>325</v>
      </c>
      <c r="C363" s="10" t="s">
        <v>2418</v>
      </c>
      <c r="D363" s="24">
        <v>34</v>
      </c>
      <c r="E363" s="15">
        <v>1.7817630903353829</v>
      </c>
      <c r="F363" s="24">
        <v>1925.176282046526</v>
      </c>
      <c r="G363" s="24">
        <v>30.75907474159272</v>
      </c>
      <c r="H363" s="24">
        <v>62.588887936973073</v>
      </c>
      <c r="I363" s="16">
        <v>0</v>
      </c>
      <c r="J363" s="24">
        <v>2.5</v>
      </c>
    </row>
    <row r="364" spans="1:10" ht="15" customHeight="1" x14ac:dyDescent="0.3">
      <c r="A364" s="10" t="s">
        <v>214</v>
      </c>
      <c r="B364" s="10" t="s">
        <v>315</v>
      </c>
      <c r="C364" s="10" t="s">
        <v>2419</v>
      </c>
      <c r="D364" s="24">
        <v>25</v>
      </c>
      <c r="E364" s="15">
        <v>3.7394944996552559</v>
      </c>
      <c r="F364" s="24">
        <v>1704.340797832406</v>
      </c>
      <c r="G364" s="24">
        <v>27.3921401380079</v>
      </c>
      <c r="H364" s="24">
        <v>62.220067115805662</v>
      </c>
      <c r="I364" s="16">
        <v>0</v>
      </c>
      <c r="J364" s="24">
        <v>3</v>
      </c>
    </row>
    <row r="365" spans="1:10" ht="15" customHeight="1" x14ac:dyDescent="0.3">
      <c r="A365" s="10" t="s">
        <v>214</v>
      </c>
      <c r="B365" s="10" t="s">
        <v>2420</v>
      </c>
      <c r="C365" s="10" t="s">
        <v>2421</v>
      </c>
      <c r="D365" s="24">
        <v>26</v>
      </c>
      <c r="E365" s="15">
        <v>-2.5960987735784199E-2</v>
      </c>
      <c r="F365" s="24">
        <v>1643.442820326426</v>
      </c>
      <c r="G365" s="24">
        <v>26.84990773017854</v>
      </c>
      <c r="H365" s="24">
        <v>61.208509051196579</v>
      </c>
      <c r="I365" s="16">
        <v>0</v>
      </c>
      <c r="J365" s="24">
        <v>-0.4</v>
      </c>
    </row>
    <row r="366" spans="1:10" ht="15" customHeight="1" x14ac:dyDescent="0.3">
      <c r="A366" s="10" t="s">
        <v>214</v>
      </c>
      <c r="B366" s="10" t="s">
        <v>2422</v>
      </c>
      <c r="C366" s="10" t="s">
        <v>2423</v>
      </c>
      <c r="D366" s="24">
        <v>21</v>
      </c>
      <c r="E366" s="15">
        <v>-3.7967512882065471</v>
      </c>
      <c r="F366" s="24">
        <v>1342.2557063551301</v>
      </c>
      <c r="G366" s="24">
        <v>21.83059065619727</v>
      </c>
      <c r="H366" s="24">
        <v>61.485084278930863</v>
      </c>
      <c r="I366" s="16">
        <v>0</v>
      </c>
      <c r="J366" s="24">
        <v>-3.3</v>
      </c>
    </row>
    <row r="367" spans="1:10" ht="15" customHeight="1" x14ac:dyDescent="0.3">
      <c r="A367" s="10" t="s">
        <v>214</v>
      </c>
      <c r="B367" s="10" t="s">
        <v>2424</v>
      </c>
      <c r="C367" s="10" t="s">
        <v>2425</v>
      </c>
      <c r="D367" s="24">
        <v>24</v>
      </c>
      <c r="E367" s="15">
        <v>-0.7599835636695258</v>
      </c>
      <c r="F367" s="24">
        <v>1229.565609606366</v>
      </c>
      <c r="G367" s="24">
        <v>23.07163078481712</v>
      </c>
      <c r="H367" s="24">
        <v>53.293398332965431</v>
      </c>
      <c r="I367" s="16">
        <v>0</v>
      </c>
      <c r="J367" s="24">
        <v>-1</v>
      </c>
    </row>
    <row r="368" spans="1:10" ht="15" customHeight="1" x14ac:dyDescent="0.3">
      <c r="A368" s="10" t="s">
        <v>214</v>
      </c>
      <c r="B368" s="10" t="s">
        <v>2426</v>
      </c>
      <c r="C368" s="10" t="s">
        <v>2427</v>
      </c>
      <c r="D368" s="24">
        <v>30</v>
      </c>
      <c r="E368" s="15">
        <v>-1.280987509303392</v>
      </c>
      <c r="F368" s="24">
        <v>977.03025493419955</v>
      </c>
      <c r="G368" s="24">
        <v>18.665131236904799</v>
      </c>
      <c r="H368" s="24">
        <v>52.345212178439454</v>
      </c>
      <c r="I368" s="16">
        <v>0</v>
      </c>
      <c r="J368" s="24" t="s">
        <v>33</v>
      </c>
    </row>
    <row r="369" spans="1:10" ht="15" customHeight="1" x14ac:dyDescent="0.3">
      <c r="A369" s="10" t="s">
        <v>214</v>
      </c>
      <c r="B369" s="10" t="s">
        <v>2428</v>
      </c>
      <c r="C369" s="10" t="s">
        <v>2429</v>
      </c>
      <c r="D369" s="24">
        <v>26</v>
      </c>
      <c r="E369" s="15">
        <v>0.42419741049462328</v>
      </c>
      <c r="F369" s="24">
        <v>884.99166928349939</v>
      </c>
      <c r="G369" s="24">
        <v>14.83436999397836</v>
      </c>
      <c r="H369" s="24">
        <v>59.65819038103669</v>
      </c>
      <c r="I369" s="16">
        <v>0</v>
      </c>
      <c r="J369" s="24">
        <v>-0.1</v>
      </c>
    </row>
    <row r="370" spans="1:10" ht="15" customHeight="1" x14ac:dyDescent="0.3">
      <c r="A370" s="10" t="s">
        <v>214</v>
      </c>
      <c r="B370" s="10" t="s">
        <v>2430</v>
      </c>
      <c r="C370" s="10" t="s">
        <v>2431</v>
      </c>
      <c r="D370" s="24">
        <v>25</v>
      </c>
      <c r="E370" s="15">
        <v>-0.78923301739162721</v>
      </c>
      <c r="F370" s="24">
        <v>774.1103314157873</v>
      </c>
      <c r="G370" s="24">
        <v>12.78225252418828</v>
      </c>
      <c r="H370" s="24">
        <v>60.561339243682824</v>
      </c>
      <c r="I370" s="16">
        <v>0</v>
      </c>
      <c r="J370" s="24">
        <v>-0.3</v>
      </c>
    </row>
    <row r="371" spans="1:10" ht="15" customHeight="1" x14ac:dyDescent="0.3">
      <c r="A371" s="10" t="s">
        <v>214</v>
      </c>
      <c r="B371" s="10" t="s">
        <v>2432</v>
      </c>
      <c r="C371" s="10" t="s">
        <v>2433</v>
      </c>
      <c r="D371" s="24">
        <v>26</v>
      </c>
      <c r="E371" s="15">
        <v>-2.1911524881012241</v>
      </c>
      <c r="F371" s="24">
        <v>629.65802208522723</v>
      </c>
      <c r="G371" s="24">
        <v>11.79877581280798</v>
      </c>
      <c r="H371" s="24">
        <v>53.366385807730282</v>
      </c>
      <c r="I371" s="16">
        <v>0</v>
      </c>
      <c r="J371" s="24">
        <v>-2</v>
      </c>
    </row>
    <row r="372" spans="1:10" ht="15" customHeight="1" x14ac:dyDescent="0.3">
      <c r="A372" s="10" t="s">
        <v>214</v>
      </c>
      <c r="B372" s="10" t="s">
        <v>2434</v>
      </c>
      <c r="C372" s="10" t="s">
        <v>2435</v>
      </c>
      <c r="D372" s="24">
        <v>20</v>
      </c>
      <c r="E372" s="15">
        <v>-3.0103390296288759</v>
      </c>
      <c r="F372" s="24">
        <v>598.56352604336087</v>
      </c>
      <c r="G372" s="24">
        <v>15.48534958324432</v>
      </c>
      <c r="H372" s="24">
        <v>38.653536545989724</v>
      </c>
      <c r="I372" s="16">
        <v>1</v>
      </c>
      <c r="J372" s="24" t="s">
        <v>33</v>
      </c>
    </row>
    <row r="373" spans="1:10" ht="15" customHeight="1" x14ac:dyDescent="0.3">
      <c r="A373" s="10" t="s">
        <v>214</v>
      </c>
      <c r="B373" s="10" t="s">
        <v>2436</v>
      </c>
      <c r="C373" s="10" t="s">
        <v>2437</v>
      </c>
      <c r="D373" s="24">
        <v>25</v>
      </c>
      <c r="E373" s="15">
        <v>-1.0701933523224161</v>
      </c>
      <c r="F373" s="24">
        <v>576.80804091990944</v>
      </c>
      <c r="G373" s="24">
        <v>12.44323839863018</v>
      </c>
      <c r="H373" s="24">
        <v>46.355138625601491</v>
      </c>
      <c r="I373" s="16">
        <v>0</v>
      </c>
      <c r="J373" s="24">
        <v>-0.5</v>
      </c>
    </row>
    <row r="374" spans="1:10" ht="15" customHeight="1" x14ac:dyDescent="0.3">
      <c r="A374" s="10" t="s">
        <v>214</v>
      </c>
      <c r="B374" s="10" t="s">
        <v>2438</v>
      </c>
      <c r="C374" s="10" t="s">
        <v>2439</v>
      </c>
      <c r="D374" s="24">
        <v>26</v>
      </c>
      <c r="E374" s="15">
        <v>-2.4468392092862419</v>
      </c>
      <c r="F374" s="24">
        <v>558.58229961591553</v>
      </c>
      <c r="G374" s="24">
        <v>11.83485248526652</v>
      </c>
      <c r="H374" s="24">
        <v>47.198078751831318</v>
      </c>
      <c r="I374" s="16">
        <v>0</v>
      </c>
      <c r="J374" s="24">
        <v>-2.4</v>
      </c>
    </row>
    <row r="375" spans="1:10" ht="15" customHeight="1" x14ac:dyDescent="0.3">
      <c r="A375" s="10" t="s">
        <v>214</v>
      </c>
      <c r="B375" s="10" t="s">
        <v>2440</v>
      </c>
      <c r="C375" s="10" t="s">
        <v>2441</v>
      </c>
      <c r="D375" s="24">
        <v>25</v>
      </c>
      <c r="E375" s="15">
        <v>-2.488917074752472</v>
      </c>
      <c r="F375" s="24">
        <v>531.73536466151415</v>
      </c>
      <c r="G375" s="24">
        <v>16.36167378382455</v>
      </c>
      <c r="H375" s="24">
        <v>32.498836713588403</v>
      </c>
      <c r="I375" s="16">
        <v>0</v>
      </c>
      <c r="J375" s="24" t="s">
        <v>33</v>
      </c>
    </row>
    <row r="376" spans="1:10" ht="15" customHeight="1" x14ac:dyDescent="0.3">
      <c r="A376" s="10" t="s">
        <v>214</v>
      </c>
      <c r="B376" s="10" t="s">
        <v>397</v>
      </c>
      <c r="C376" s="10" t="s">
        <v>2442</v>
      </c>
      <c r="D376" s="24">
        <v>19</v>
      </c>
      <c r="E376" s="15">
        <v>0.43625815233071619</v>
      </c>
      <c r="F376" s="24">
        <v>476.33904125778992</v>
      </c>
      <c r="G376" s="24">
        <v>8.8807805593680396</v>
      </c>
      <c r="H376" s="24">
        <v>53.637069182541133</v>
      </c>
      <c r="I376" s="16">
        <v>0</v>
      </c>
      <c r="J376" s="24">
        <v>0.3</v>
      </c>
    </row>
    <row r="377" spans="1:10" ht="15" customHeight="1" x14ac:dyDescent="0.3">
      <c r="A377" s="10" t="s">
        <v>214</v>
      </c>
      <c r="B377" s="10" t="s">
        <v>2443</v>
      </c>
      <c r="C377" s="10" t="s">
        <v>2444</v>
      </c>
      <c r="D377" s="24">
        <v>20</v>
      </c>
      <c r="E377" s="15">
        <v>-0.84887897651008437</v>
      </c>
      <c r="F377" s="24">
        <v>444.84006927871758</v>
      </c>
      <c r="G377" s="24">
        <v>10.67850941753971</v>
      </c>
      <c r="H377" s="24">
        <v>41.657505920073163</v>
      </c>
      <c r="I377" s="16">
        <v>0</v>
      </c>
      <c r="J377" s="24">
        <v>-1.3</v>
      </c>
    </row>
    <row r="378" spans="1:10" ht="15" customHeight="1" x14ac:dyDescent="0.3">
      <c r="A378" s="10" t="s">
        <v>214</v>
      </c>
      <c r="B378" s="10" t="s">
        <v>2445</v>
      </c>
      <c r="C378" s="10" t="s">
        <v>2446</v>
      </c>
      <c r="D378" s="24">
        <v>25</v>
      </c>
      <c r="E378" s="15">
        <v>-1.890726758454131</v>
      </c>
      <c r="F378" s="24">
        <v>412.87947128063541</v>
      </c>
      <c r="G378" s="24">
        <v>10.003832351943521</v>
      </c>
      <c r="H378" s="24">
        <v>41.272130195226858</v>
      </c>
      <c r="I378" s="16">
        <v>0</v>
      </c>
      <c r="J378" s="24">
        <v>-2.2000000000000002</v>
      </c>
    </row>
    <row r="379" spans="1:10" ht="15" customHeight="1" x14ac:dyDescent="0.3">
      <c r="A379" s="10" t="s">
        <v>214</v>
      </c>
      <c r="B379" s="10" t="s">
        <v>2447</v>
      </c>
      <c r="C379" s="10" t="s">
        <v>2448</v>
      </c>
      <c r="D379" s="24">
        <v>26</v>
      </c>
      <c r="E379" s="15">
        <v>-2.381994504048405</v>
      </c>
      <c r="F379" s="24">
        <v>411.3169342931028</v>
      </c>
      <c r="G379" s="24">
        <v>9.6485933078797235</v>
      </c>
      <c r="H379" s="24">
        <v>42.629730694234169</v>
      </c>
      <c r="I379" s="16">
        <v>0</v>
      </c>
      <c r="J379" s="24">
        <v>-2.5</v>
      </c>
    </row>
    <row r="380" spans="1:10" ht="15" customHeight="1" x14ac:dyDescent="0.3">
      <c r="A380" s="10" t="s">
        <v>214</v>
      </c>
      <c r="B380" s="10" t="s">
        <v>2449</v>
      </c>
      <c r="C380" s="10" t="s">
        <v>2450</v>
      </c>
      <c r="D380" s="24">
        <v>25</v>
      </c>
      <c r="E380" s="15">
        <v>-1.730441177514916</v>
      </c>
      <c r="F380" s="24">
        <v>401.52261883074999</v>
      </c>
      <c r="G380" s="24">
        <v>9.6050084708029129</v>
      </c>
      <c r="H380" s="24">
        <v>41.803463271405683</v>
      </c>
      <c r="I380" s="16">
        <v>0</v>
      </c>
      <c r="J380" s="24">
        <v>-2.2000000000000002</v>
      </c>
    </row>
    <row r="381" spans="1:10" ht="15" customHeight="1" x14ac:dyDescent="0.3">
      <c r="A381" s="10" t="s">
        <v>214</v>
      </c>
      <c r="B381" s="10" t="s">
        <v>2451</v>
      </c>
      <c r="C381" s="10" t="s">
        <v>2452</v>
      </c>
      <c r="D381" s="24">
        <v>29</v>
      </c>
      <c r="E381" s="15">
        <v>1.620965229496848</v>
      </c>
      <c r="F381" s="24">
        <v>104.2633940173266</v>
      </c>
      <c r="G381" s="24">
        <v>27.652967987599599</v>
      </c>
      <c r="H381" s="24">
        <v>3.770423271168629</v>
      </c>
      <c r="I381" s="16">
        <v>0</v>
      </c>
      <c r="J381" s="24">
        <v>1.7</v>
      </c>
    </row>
    <row r="382" spans="1:10" ht="15" customHeight="1" x14ac:dyDescent="0.3">
      <c r="A382" s="10" t="s">
        <v>215</v>
      </c>
      <c r="B382" s="10" t="s">
        <v>482</v>
      </c>
      <c r="C382" s="10" t="s">
        <v>2453</v>
      </c>
      <c r="D382" s="24">
        <v>26</v>
      </c>
      <c r="E382" s="15">
        <v>1.16532549900765</v>
      </c>
      <c r="F382" s="24">
        <v>1729.250222452979</v>
      </c>
      <c r="G382" s="24">
        <v>27.180345467462079</v>
      </c>
      <c r="H382" s="24">
        <v>63.621348173189531</v>
      </c>
      <c r="I382" s="16">
        <v>0</v>
      </c>
      <c r="J382" s="24">
        <v>0</v>
      </c>
    </row>
    <row r="383" spans="1:10" ht="15" customHeight="1" x14ac:dyDescent="0.3">
      <c r="A383" s="10" t="s">
        <v>215</v>
      </c>
      <c r="B383" s="10" t="s">
        <v>2454</v>
      </c>
      <c r="C383" s="10" t="s">
        <v>2455</v>
      </c>
      <c r="D383" s="24">
        <v>27</v>
      </c>
      <c r="E383" s="15">
        <v>-0.13420340037946499</v>
      </c>
      <c r="F383" s="24">
        <v>1565.4770522674139</v>
      </c>
      <c r="G383" s="24">
        <v>24.390692857391471</v>
      </c>
      <c r="H383" s="24">
        <v>64.183377709707187</v>
      </c>
      <c r="I383" s="16">
        <v>0</v>
      </c>
      <c r="J383" s="24">
        <v>-0.4</v>
      </c>
    </row>
    <row r="384" spans="1:10" ht="15" customHeight="1" x14ac:dyDescent="0.3">
      <c r="A384" s="10" t="s">
        <v>215</v>
      </c>
      <c r="B384" s="10" t="s">
        <v>366</v>
      </c>
      <c r="C384" s="10" t="s">
        <v>2456</v>
      </c>
      <c r="D384" s="24">
        <v>24</v>
      </c>
      <c r="E384" s="15">
        <v>-1.7481262609166031</v>
      </c>
      <c r="F384" s="24">
        <v>1384.8701078837889</v>
      </c>
      <c r="G384" s="24">
        <v>23.02319299686641</v>
      </c>
      <c r="H384" s="24">
        <v>60.151087995148103</v>
      </c>
      <c r="I384" s="16">
        <v>0</v>
      </c>
      <c r="J384" s="24">
        <v>-1.5</v>
      </c>
    </row>
    <row r="385" spans="1:10" ht="15" customHeight="1" x14ac:dyDescent="0.3">
      <c r="A385" s="10" t="s">
        <v>215</v>
      </c>
      <c r="B385" s="10" t="s">
        <v>319</v>
      </c>
      <c r="C385" s="10" t="s">
        <v>2457</v>
      </c>
      <c r="D385" s="24">
        <v>26</v>
      </c>
      <c r="E385" s="15">
        <v>2.3772216928118439</v>
      </c>
      <c r="F385" s="24">
        <v>1356.947649619</v>
      </c>
      <c r="G385" s="24">
        <v>23.413499118640051</v>
      </c>
      <c r="H385" s="24">
        <v>57.955781950537279</v>
      </c>
      <c r="I385" s="16">
        <v>0</v>
      </c>
      <c r="J385" s="24">
        <v>1</v>
      </c>
    </row>
    <row r="386" spans="1:10" ht="15" customHeight="1" x14ac:dyDescent="0.3">
      <c r="A386" s="10" t="s">
        <v>215</v>
      </c>
      <c r="B386" s="10" t="s">
        <v>372</v>
      </c>
      <c r="C386" s="10" t="s">
        <v>2458</v>
      </c>
      <c r="D386" s="24">
        <v>20</v>
      </c>
      <c r="E386" s="15">
        <v>-1.020624230045883</v>
      </c>
      <c r="F386" s="24">
        <v>1327.5851370799189</v>
      </c>
      <c r="G386" s="24">
        <v>19.466418438896039</v>
      </c>
      <c r="H386" s="24">
        <v>68.198736261995577</v>
      </c>
      <c r="I386" s="16">
        <v>0</v>
      </c>
      <c r="J386" s="24">
        <v>-0.9</v>
      </c>
    </row>
    <row r="387" spans="1:10" ht="15" customHeight="1" x14ac:dyDescent="0.3">
      <c r="A387" s="10" t="s">
        <v>215</v>
      </c>
      <c r="B387" s="10" t="s">
        <v>395</v>
      </c>
      <c r="C387" s="10" t="s">
        <v>2459</v>
      </c>
      <c r="D387" s="24">
        <v>21</v>
      </c>
      <c r="E387" s="15">
        <v>-0.1067251556632041</v>
      </c>
      <c r="F387" s="24">
        <v>1283.625739197505</v>
      </c>
      <c r="G387" s="24">
        <v>18.90542476833431</v>
      </c>
      <c r="H387" s="24">
        <v>67.897217593730943</v>
      </c>
      <c r="I387" s="16">
        <v>0</v>
      </c>
      <c r="J387" s="24">
        <v>-0.5</v>
      </c>
    </row>
    <row r="388" spans="1:10" ht="15" customHeight="1" x14ac:dyDescent="0.3">
      <c r="A388" s="10" t="s">
        <v>215</v>
      </c>
      <c r="B388" s="10" t="s">
        <v>477</v>
      </c>
      <c r="C388" s="10" t="s">
        <v>2460</v>
      </c>
      <c r="D388" s="24">
        <v>28</v>
      </c>
      <c r="E388" s="15">
        <v>-0.52772064211385039</v>
      </c>
      <c r="F388" s="24">
        <v>1266.549593395169</v>
      </c>
      <c r="G388" s="24">
        <v>23.002361764142929</v>
      </c>
      <c r="H388" s="24">
        <v>55.061719591312617</v>
      </c>
      <c r="I388" s="16">
        <v>0</v>
      </c>
      <c r="J388" s="24">
        <v>0.8</v>
      </c>
    </row>
    <row r="389" spans="1:10" ht="15" customHeight="1" x14ac:dyDescent="0.3">
      <c r="A389" s="10" t="s">
        <v>215</v>
      </c>
      <c r="B389" s="10" t="s">
        <v>2461</v>
      </c>
      <c r="C389" s="10" t="s">
        <v>2462</v>
      </c>
      <c r="D389" s="24">
        <v>27</v>
      </c>
      <c r="E389" s="15">
        <v>-2.06588608011227</v>
      </c>
      <c r="F389" s="24">
        <v>1209.0502145324631</v>
      </c>
      <c r="G389" s="24">
        <v>21.77885322424217</v>
      </c>
      <c r="H389" s="24">
        <v>55.51487041506217</v>
      </c>
      <c r="I389" s="16">
        <v>0</v>
      </c>
      <c r="J389" s="24">
        <v>-2.2999999999999998</v>
      </c>
    </row>
    <row r="390" spans="1:10" ht="15" customHeight="1" x14ac:dyDescent="0.3">
      <c r="A390" s="10" t="s">
        <v>215</v>
      </c>
      <c r="B390" s="10" t="s">
        <v>471</v>
      </c>
      <c r="C390" s="10" t="s">
        <v>2463</v>
      </c>
      <c r="D390" s="24">
        <v>30</v>
      </c>
      <c r="E390" s="15">
        <v>0.32168903791947218</v>
      </c>
      <c r="F390" s="24">
        <v>1134.1895650814599</v>
      </c>
      <c r="G390" s="24">
        <v>25.25347254206277</v>
      </c>
      <c r="H390" s="24">
        <v>44.912222000056722</v>
      </c>
      <c r="I390" s="16">
        <v>0</v>
      </c>
      <c r="J390" s="24">
        <v>0.5</v>
      </c>
    </row>
    <row r="391" spans="1:10" ht="15" customHeight="1" x14ac:dyDescent="0.3">
      <c r="A391" s="10" t="s">
        <v>215</v>
      </c>
      <c r="B391" s="10" t="s">
        <v>492</v>
      </c>
      <c r="C391" s="10" t="s">
        <v>2464</v>
      </c>
      <c r="D391" s="24">
        <v>22</v>
      </c>
      <c r="E391" s="15">
        <v>-0.97952732902107942</v>
      </c>
      <c r="F391" s="24">
        <v>1121.5110257021361</v>
      </c>
      <c r="G391" s="24">
        <v>17.694525853682489</v>
      </c>
      <c r="H391" s="24">
        <v>63.38180717449027</v>
      </c>
      <c r="I391" s="16">
        <v>0</v>
      </c>
      <c r="J391" s="24">
        <v>-0.8</v>
      </c>
    </row>
    <row r="392" spans="1:10" ht="15" customHeight="1" x14ac:dyDescent="0.3">
      <c r="A392" s="10" t="s">
        <v>215</v>
      </c>
      <c r="B392" s="10" t="s">
        <v>2465</v>
      </c>
      <c r="C392" s="10" t="s">
        <v>2466</v>
      </c>
      <c r="D392" s="24">
        <v>25</v>
      </c>
      <c r="E392" s="15">
        <v>-1.8219454516010229</v>
      </c>
      <c r="F392" s="24">
        <v>773.92040192339766</v>
      </c>
      <c r="G392" s="24">
        <v>13.538581993223911</v>
      </c>
      <c r="H392" s="24">
        <v>57.164066540406253</v>
      </c>
      <c r="I392" s="16">
        <v>0</v>
      </c>
      <c r="J392" s="24">
        <v>-2.1</v>
      </c>
    </row>
    <row r="393" spans="1:10" ht="15" customHeight="1" x14ac:dyDescent="0.3">
      <c r="A393" s="10" t="s">
        <v>215</v>
      </c>
      <c r="B393" s="10" t="s">
        <v>2467</v>
      </c>
      <c r="C393" s="10" t="s">
        <v>2468</v>
      </c>
      <c r="D393" s="24">
        <v>23</v>
      </c>
      <c r="E393" s="15">
        <v>-2.5483739900273772</v>
      </c>
      <c r="F393" s="24">
        <v>760.65617469296876</v>
      </c>
      <c r="G393" s="24">
        <v>17.124114724343009</v>
      </c>
      <c r="H393" s="24">
        <v>44.420175111981003</v>
      </c>
      <c r="I393" s="16">
        <v>0</v>
      </c>
      <c r="J393" s="24">
        <v>-2.5</v>
      </c>
    </row>
    <row r="394" spans="1:10" ht="15" customHeight="1" x14ac:dyDescent="0.3">
      <c r="A394" s="10" t="s">
        <v>215</v>
      </c>
      <c r="B394" s="10" t="s">
        <v>2469</v>
      </c>
      <c r="C394" s="10" t="s">
        <v>2470</v>
      </c>
      <c r="D394" s="24">
        <v>25</v>
      </c>
      <c r="E394" s="15">
        <v>-0.53171595698231022</v>
      </c>
      <c r="F394" s="24">
        <v>752.05220827024914</v>
      </c>
      <c r="G394" s="24">
        <v>12.69505864131253</v>
      </c>
      <c r="H394" s="24">
        <v>59.239758516979592</v>
      </c>
      <c r="I394" s="16">
        <v>0</v>
      </c>
      <c r="J394" s="24">
        <v>-1</v>
      </c>
    </row>
    <row r="395" spans="1:10" ht="15" customHeight="1" x14ac:dyDescent="0.3">
      <c r="A395" s="10" t="s">
        <v>215</v>
      </c>
      <c r="B395" s="10" t="s">
        <v>2471</v>
      </c>
      <c r="C395" s="10" t="s">
        <v>2472</v>
      </c>
      <c r="D395" s="24">
        <v>23</v>
      </c>
      <c r="E395" s="15">
        <v>-1.8658086658705311</v>
      </c>
      <c r="F395" s="24">
        <v>704.2351912509987</v>
      </c>
      <c r="G395" s="24">
        <v>13.618958015502569</v>
      </c>
      <c r="H395" s="24">
        <v>51.709917194058633</v>
      </c>
      <c r="I395" s="16">
        <v>0</v>
      </c>
      <c r="J395" s="24">
        <v>-1.5</v>
      </c>
    </row>
    <row r="396" spans="1:10" ht="15" customHeight="1" x14ac:dyDescent="0.3">
      <c r="A396" s="10" t="s">
        <v>215</v>
      </c>
      <c r="B396" s="10" t="s">
        <v>2473</v>
      </c>
      <c r="C396" s="10" t="s">
        <v>2474</v>
      </c>
      <c r="D396" s="24">
        <v>21</v>
      </c>
      <c r="E396" s="15">
        <v>-4.2547920854259793</v>
      </c>
      <c r="F396" s="24">
        <v>571.6185739973979</v>
      </c>
      <c r="G396" s="24">
        <v>10.440653910132511</v>
      </c>
      <c r="H396" s="24">
        <v>54.749307746198738</v>
      </c>
      <c r="I396" s="16">
        <v>0</v>
      </c>
      <c r="J396" s="24">
        <v>-3.5</v>
      </c>
    </row>
    <row r="397" spans="1:10" ht="15" customHeight="1" x14ac:dyDescent="0.3">
      <c r="A397" s="10" t="s">
        <v>215</v>
      </c>
      <c r="B397" s="10" t="s">
        <v>2475</v>
      </c>
      <c r="C397" s="10" t="s">
        <v>2476</v>
      </c>
      <c r="D397" s="24">
        <v>26</v>
      </c>
      <c r="E397" s="15">
        <v>-2.577088645435099</v>
      </c>
      <c r="F397" s="24">
        <v>473.38163553824421</v>
      </c>
      <c r="G397" s="24">
        <v>9.5035440235414104</v>
      </c>
      <c r="H397" s="24">
        <v>49.811063574348843</v>
      </c>
      <c r="I397" s="16">
        <v>0</v>
      </c>
      <c r="J397" s="24">
        <v>-2.4</v>
      </c>
    </row>
    <row r="398" spans="1:10" ht="15" customHeight="1" x14ac:dyDescent="0.3">
      <c r="A398" s="10" t="s">
        <v>215</v>
      </c>
      <c r="B398" s="10" t="s">
        <v>2477</v>
      </c>
      <c r="C398" s="10" t="s">
        <v>2478</v>
      </c>
      <c r="D398" s="24">
        <v>23</v>
      </c>
      <c r="E398" s="15">
        <v>-1.0451706291287091</v>
      </c>
      <c r="F398" s="24">
        <v>469.46784206930641</v>
      </c>
      <c r="G398" s="24">
        <v>9.4126121891703622</v>
      </c>
      <c r="H398" s="24">
        <v>49.876467088429557</v>
      </c>
      <c r="I398" s="16">
        <v>0</v>
      </c>
      <c r="J398" s="24" t="s">
        <v>33</v>
      </c>
    </row>
    <row r="399" spans="1:10" ht="15" customHeight="1" x14ac:dyDescent="0.3">
      <c r="A399" s="10" t="s">
        <v>215</v>
      </c>
      <c r="B399" s="10" t="s">
        <v>2479</v>
      </c>
      <c r="C399" s="10" t="s">
        <v>2480</v>
      </c>
      <c r="D399" s="24">
        <v>38</v>
      </c>
      <c r="E399" s="15">
        <v>-2.113546047193303</v>
      </c>
      <c r="F399" s="24">
        <v>449.24531891397351</v>
      </c>
      <c r="G399" s="24">
        <v>10.54313157890382</v>
      </c>
      <c r="H399" s="24">
        <v>42.610235445878978</v>
      </c>
      <c r="I399" s="16">
        <v>0</v>
      </c>
      <c r="J399" s="24">
        <v>-2</v>
      </c>
    </row>
    <row r="400" spans="1:10" ht="15" customHeight="1" x14ac:dyDescent="0.3">
      <c r="A400" s="10" t="s">
        <v>215</v>
      </c>
      <c r="B400" s="10" t="s">
        <v>2481</v>
      </c>
      <c r="C400" s="10" t="s">
        <v>2482</v>
      </c>
      <c r="D400" s="24">
        <v>23</v>
      </c>
      <c r="E400" s="15">
        <v>-2.6470781154810412</v>
      </c>
      <c r="F400" s="24">
        <v>372.17708670149011</v>
      </c>
      <c r="G400" s="24">
        <v>8.2900700135161838</v>
      </c>
      <c r="H400" s="24">
        <v>44.894323702295658</v>
      </c>
      <c r="I400" s="16">
        <v>0</v>
      </c>
      <c r="J400" s="24" t="s">
        <v>33</v>
      </c>
    </row>
    <row r="401" spans="1:10" ht="15" customHeight="1" x14ac:dyDescent="0.3">
      <c r="A401" s="10" t="s">
        <v>215</v>
      </c>
      <c r="B401" s="10" t="s">
        <v>2483</v>
      </c>
      <c r="C401" s="10" t="s">
        <v>2484</v>
      </c>
      <c r="D401" s="24">
        <v>24</v>
      </c>
      <c r="E401" s="15">
        <v>-4.1656000868087988</v>
      </c>
      <c r="F401" s="24">
        <v>333.51318165893218</v>
      </c>
      <c r="G401" s="24">
        <v>10.751254729189339</v>
      </c>
      <c r="H401" s="24">
        <v>31.020861291050391</v>
      </c>
      <c r="I401" s="16">
        <v>1</v>
      </c>
      <c r="J401" s="24" t="s">
        <v>33</v>
      </c>
    </row>
    <row r="402" spans="1:10" ht="15" customHeight="1" x14ac:dyDescent="0.3">
      <c r="A402" s="10" t="s">
        <v>215</v>
      </c>
      <c r="B402" s="10" t="s">
        <v>2485</v>
      </c>
      <c r="C402" s="10" t="s">
        <v>2486</v>
      </c>
      <c r="D402" s="24">
        <v>22</v>
      </c>
      <c r="E402" s="15">
        <v>-3.1867960702466678</v>
      </c>
      <c r="F402" s="24">
        <v>320.33803888560459</v>
      </c>
      <c r="G402" s="24">
        <v>10.55886694275482</v>
      </c>
      <c r="H402" s="24">
        <v>30.338296772023529</v>
      </c>
      <c r="I402" s="16">
        <v>1</v>
      </c>
      <c r="J402" s="24" t="s">
        <v>33</v>
      </c>
    </row>
    <row r="403" spans="1:10" ht="15" customHeight="1" x14ac:dyDescent="0.3">
      <c r="A403" s="10" t="s">
        <v>215</v>
      </c>
      <c r="B403" s="10" t="s">
        <v>2487</v>
      </c>
      <c r="C403" s="10" t="s">
        <v>2488</v>
      </c>
      <c r="D403" s="24">
        <v>23</v>
      </c>
      <c r="E403" s="15">
        <v>-3.1867960702466678</v>
      </c>
      <c r="F403" s="24">
        <v>320.33803888560459</v>
      </c>
      <c r="G403" s="24">
        <v>10.55886694275482</v>
      </c>
      <c r="H403" s="24">
        <v>30.338296772023529</v>
      </c>
      <c r="I403" s="16">
        <v>1</v>
      </c>
      <c r="J403" s="24" t="s">
        <v>33</v>
      </c>
    </row>
    <row r="404" spans="1:10" ht="15" customHeight="1" x14ac:dyDescent="0.3">
      <c r="A404" s="10" t="s">
        <v>216</v>
      </c>
      <c r="B404" s="10" t="s">
        <v>479</v>
      </c>
      <c r="C404" s="10" t="s">
        <v>2489</v>
      </c>
      <c r="D404" s="24">
        <v>30</v>
      </c>
      <c r="E404" s="15">
        <v>0.80830024710156212</v>
      </c>
      <c r="F404" s="24">
        <v>1840.113871746252</v>
      </c>
      <c r="G404" s="24">
        <v>27.56114817706835</v>
      </c>
      <c r="H404" s="24">
        <v>66.764775542888273</v>
      </c>
      <c r="I404" s="16">
        <v>0</v>
      </c>
      <c r="J404" s="24">
        <v>0.5</v>
      </c>
    </row>
    <row r="405" spans="1:10" ht="15" customHeight="1" x14ac:dyDescent="0.3">
      <c r="A405" s="10" t="s">
        <v>216</v>
      </c>
      <c r="B405" s="10" t="s">
        <v>302</v>
      </c>
      <c r="C405" s="10" t="s">
        <v>2490</v>
      </c>
      <c r="D405" s="24">
        <v>30</v>
      </c>
      <c r="E405" s="15">
        <v>3.5277283486602049</v>
      </c>
      <c r="F405" s="24">
        <v>1767.1805673349199</v>
      </c>
      <c r="G405" s="24">
        <v>27.976167555083801</v>
      </c>
      <c r="H405" s="24">
        <v>63.16735713908713</v>
      </c>
      <c r="I405" s="16">
        <v>0</v>
      </c>
      <c r="J405" s="24">
        <v>3.4</v>
      </c>
    </row>
    <row r="406" spans="1:10" ht="15" customHeight="1" x14ac:dyDescent="0.3">
      <c r="A406" s="10" t="s">
        <v>216</v>
      </c>
      <c r="B406" s="10" t="s">
        <v>330</v>
      </c>
      <c r="C406" s="10" t="s">
        <v>2491</v>
      </c>
      <c r="D406" s="24">
        <v>29</v>
      </c>
      <c r="E406" s="15">
        <v>2.525179894541592</v>
      </c>
      <c r="F406" s="24">
        <v>1706.4434793773139</v>
      </c>
      <c r="G406" s="24">
        <v>27.269230784551649</v>
      </c>
      <c r="H406" s="24">
        <v>62.577616980088607</v>
      </c>
      <c r="I406" s="16">
        <v>0</v>
      </c>
      <c r="J406" s="24">
        <v>3.6</v>
      </c>
    </row>
    <row r="407" spans="1:10" ht="15" customHeight="1" x14ac:dyDescent="0.3">
      <c r="A407" s="10" t="s">
        <v>216</v>
      </c>
      <c r="B407" s="10" t="s">
        <v>2492</v>
      </c>
      <c r="C407" s="10" t="s">
        <v>2493</v>
      </c>
      <c r="D407" s="24">
        <v>30</v>
      </c>
      <c r="E407" s="15">
        <v>3.4453069441600119</v>
      </c>
      <c r="F407" s="24">
        <v>1654.5282485237581</v>
      </c>
      <c r="G407" s="24">
        <v>25.822963635967731</v>
      </c>
      <c r="H407" s="24">
        <v>64.071973761339876</v>
      </c>
      <c r="I407" s="16">
        <v>0</v>
      </c>
      <c r="J407" s="24">
        <v>3.6</v>
      </c>
    </row>
    <row r="408" spans="1:10" ht="15" customHeight="1" x14ac:dyDescent="0.3">
      <c r="A408" s="10" t="s">
        <v>216</v>
      </c>
      <c r="B408" s="10" t="s">
        <v>478</v>
      </c>
      <c r="C408" s="10" t="s">
        <v>2494</v>
      </c>
      <c r="D408" s="24">
        <v>31</v>
      </c>
      <c r="E408" s="15">
        <v>1.296731429187868</v>
      </c>
      <c r="F408" s="24">
        <v>1643.175069159757</v>
      </c>
      <c r="G408" s="24">
        <v>26.543572381071542</v>
      </c>
      <c r="H408" s="24">
        <v>61.904819953003773</v>
      </c>
      <c r="I408" s="16">
        <v>0</v>
      </c>
      <c r="J408" s="24">
        <v>0.5</v>
      </c>
    </row>
    <row r="409" spans="1:10" ht="15" customHeight="1" x14ac:dyDescent="0.3">
      <c r="A409" s="10" t="s">
        <v>216</v>
      </c>
      <c r="B409" s="10" t="s">
        <v>2495</v>
      </c>
      <c r="C409" s="10" t="s">
        <v>2496</v>
      </c>
      <c r="D409" s="24">
        <v>30</v>
      </c>
      <c r="E409" s="15">
        <v>-2.860597099983317</v>
      </c>
      <c r="F409" s="24">
        <v>1240.409936400285</v>
      </c>
      <c r="G409" s="24">
        <v>19.708248325956301</v>
      </c>
      <c r="H409" s="24">
        <v>62.938619195630459</v>
      </c>
      <c r="I409" s="16">
        <v>0</v>
      </c>
      <c r="J409" s="24">
        <v>-2.8</v>
      </c>
    </row>
    <row r="410" spans="1:10" ht="15" customHeight="1" x14ac:dyDescent="0.3">
      <c r="A410" s="10" t="s">
        <v>216</v>
      </c>
      <c r="B410" s="10" t="s">
        <v>2497</v>
      </c>
      <c r="C410" s="10" t="s">
        <v>2498</v>
      </c>
      <c r="D410" s="24">
        <v>26</v>
      </c>
      <c r="E410" s="15">
        <v>0.99125281584369296</v>
      </c>
      <c r="F410" s="24">
        <v>1077.3727316943621</v>
      </c>
      <c r="G410" s="24">
        <v>19.290499612349869</v>
      </c>
      <c r="H410" s="24">
        <v>55.849913343075023</v>
      </c>
      <c r="I410" s="16">
        <v>0</v>
      </c>
      <c r="J410" s="24">
        <v>1.2</v>
      </c>
    </row>
    <row r="411" spans="1:10" ht="15" customHeight="1" x14ac:dyDescent="0.3">
      <c r="A411" s="10" t="s">
        <v>216</v>
      </c>
      <c r="B411" s="10" t="s">
        <v>2499</v>
      </c>
      <c r="C411" s="10" t="s">
        <v>2500</v>
      </c>
      <c r="D411" s="24">
        <v>28</v>
      </c>
      <c r="E411" s="15">
        <v>-0.2873037470346404</v>
      </c>
      <c r="F411" s="24">
        <v>1033.6052956237199</v>
      </c>
      <c r="G411" s="24">
        <v>16.755075284697369</v>
      </c>
      <c r="H411" s="24">
        <v>61.689086922081778</v>
      </c>
      <c r="I411" s="16">
        <v>0</v>
      </c>
      <c r="J411" s="24">
        <v>0.3</v>
      </c>
    </row>
    <row r="412" spans="1:10" ht="15" customHeight="1" x14ac:dyDescent="0.3">
      <c r="A412" s="10" t="s">
        <v>216</v>
      </c>
      <c r="B412" s="10" t="s">
        <v>2501</v>
      </c>
      <c r="C412" s="10" t="s">
        <v>2502</v>
      </c>
      <c r="D412" s="24">
        <v>34</v>
      </c>
      <c r="E412" s="15">
        <v>-2.5949549599886779</v>
      </c>
      <c r="F412" s="24">
        <v>1006.961591035351</v>
      </c>
      <c r="G412" s="24">
        <v>17.266981585630589</v>
      </c>
      <c r="H412" s="24">
        <v>58.317175242332702</v>
      </c>
      <c r="I412" s="16">
        <v>0</v>
      </c>
      <c r="J412" s="24">
        <v>-1.7</v>
      </c>
    </row>
    <row r="413" spans="1:10" ht="15" customHeight="1" x14ac:dyDescent="0.3">
      <c r="A413" s="10" t="s">
        <v>216</v>
      </c>
      <c r="B413" s="10" t="s">
        <v>2503</v>
      </c>
      <c r="C413" s="10" t="s">
        <v>2504</v>
      </c>
      <c r="D413" s="24">
        <v>26</v>
      </c>
      <c r="E413" s="15">
        <v>-2.1561640993948439</v>
      </c>
      <c r="F413" s="24">
        <v>1001.402952154208</v>
      </c>
      <c r="G413" s="24">
        <v>16.381880879184539</v>
      </c>
      <c r="H413" s="24">
        <v>61.1286920921657</v>
      </c>
      <c r="I413" s="16">
        <v>0</v>
      </c>
      <c r="J413" s="24">
        <v>-2</v>
      </c>
    </row>
    <row r="414" spans="1:10" ht="15" customHeight="1" x14ac:dyDescent="0.3">
      <c r="A414" s="10" t="s">
        <v>216</v>
      </c>
      <c r="B414" s="10" t="s">
        <v>2505</v>
      </c>
      <c r="C414" s="10" t="s">
        <v>2506</v>
      </c>
      <c r="D414" s="24">
        <v>29</v>
      </c>
      <c r="E414" s="15">
        <v>-0.36319663876930341</v>
      </c>
      <c r="F414" s="24">
        <v>873.99175164723817</v>
      </c>
      <c r="G414" s="24">
        <v>15.51942470658916</v>
      </c>
      <c r="H414" s="24">
        <v>56.315989037671137</v>
      </c>
      <c r="I414" s="16">
        <v>0</v>
      </c>
      <c r="J414" s="24">
        <v>0.5</v>
      </c>
    </row>
    <row r="415" spans="1:10" ht="15" customHeight="1" x14ac:dyDescent="0.3">
      <c r="A415" s="10" t="s">
        <v>216</v>
      </c>
      <c r="B415" s="10" t="s">
        <v>2507</v>
      </c>
      <c r="C415" s="10" t="s">
        <v>2508</v>
      </c>
      <c r="D415" s="24">
        <v>33</v>
      </c>
      <c r="E415" s="15">
        <v>-1.2607573860041119</v>
      </c>
      <c r="F415" s="24">
        <v>862.04981131242164</v>
      </c>
      <c r="G415" s="24">
        <v>15.16875931764592</v>
      </c>
      <c r="H415" s="24">
        <v>56.830607781454709</v>
      </c>
      <c r="I415" s="16">
        <v>0</v>
      </c>
      <c r="J415" s="24">
        <v>-1</v>
      </c>
    </row>
    <row r="416" spans="1:10" ht="15" customHeight="1" x14ac:dyDescent="0.3">
      <c r="A416" s="10" t="s">
        <v>216</v>
      </c>
      <c r="B416" s="10" t="s">
        <v>2509</v>
      </c>
      <c r="C416" s="10" t="s">
        <v>2510</v>
      </c>
      <c r="D416" s="24">
        <v>29</v>
      </c>
      <c r="E416" s="15">
        <v>-1.7870921925591099</v>
      </c>
      <c r="F416" s="24">
        <v>610.18030611626909</v>
      </c>
      <c r="G416" s="24">
        <v>11.078036605646121</v>
      </c>
      <c r="H416" s="24">
        <v>55.080185039764153</v>
      </c>
      <c r="I416" s="16">
        <v>0</v>
      </c>
      <c r="J416" s="24">
        <v>-1.5</v>
      </c>
    </row>
    <row r="417" spans="1:10" ht="15" customHeight="1" x14ac:dyDescent="0.3">
      <c r="A417" s="10" t="s">
        <v>216</v>
      </c>
      <c r="B417" s="10" t="s">
        <v>2511</v>
      </c>
      <c r="C417" s="10" t="s">
        <v>2512</v>
      </c>
      <c r="D417" s="24">
        <v>25</v>
      </c>
      <c r="E417" s="15">
        <v>-2.439220061040158</v>
      </c>
      <c r="F417" s="24">
        <v>535.71354785015785</v>
      </c>
      <c r="G417" s="24">
        <v>13.11926335171802</v>
      </c>
      <c r="H417" s="24">
        <v>40.83411800556653</v>
      </c>
      <c r="I417" s="16">
        <v>0</v>
      </c>
      <c r="J417" s="24" t="s">
        <v>33</v>
      </c>
    </row>
    <row r="418" spans="1:10" ht="15" customHeight="1" x14ac:dyDescent="0.3">
      <c r="A418" s="10" t="s">
        <v>216</v>
      </c>
      <c r="B418" s="10" t="s">
        <v>2513</v>
      </c>
      <c r="C418" s="10" t="s">
        <v>2514</v>
      </c>
      <c r="D418" s="24">
        <v>25</v>
      </c>
      <c r="E418" s="15">
        <v>-0.84379407677319995</v>
      </c>
      <c r="F418" s="24">
        <v>522.83619372584394</v>
      </c>
      <c r="G418" s="24">
        <v>8.8396903460602889</v>
      </c>
      <c r="H418" s="24">
        <v>59.146437630461101</v>
      </c>
      <c r="I418" s="16">
        <v>0</v>
      </c>
      <c r="J418" s="24">
        <v>-0.9</v>
      </c>
    </row>
    <row r="419" spans="1:10" ht="15" customHeight="1" x14ac:dyDescent="0.3">
      <c r="A419" s="10" t="s">
        <v>216</v>
      </c>
      <c r="B419" s="10" t="s">
        <v>2515</v>
      </c>
      <c r="C419" s="10" t="s">
        <v>2516</v>
      </c>
      <c r="D419" s="24">
        <v>21</v>
      </c>
      <c r="E419" s="15">
        <v>-1.7749371943302159</v>
      </c>
      <c r="F419" s="24">
        <v>513.16883282958372</v>
      </c>
      <c r="G419" s="24">
        <v>8.048328303399984</v>
      </c>
      <c r="H419" s="24">
        <v>63.760921956028753</v>
      </c>
      <c r="I419" s="16">
        <v>0</v>
      </c>
      <c r="J419" s="24">
        <v>-2.8</v>
      </c>
    </row>
    <row r="420" spans="1:10" ht="15" customHeight="1" x14ac:dyDescent="0.3">
      <c r="A420" s="10" t="s">
        <v>216</v>
      </c>
      <c r="B420" s="10" t="s">
        <v>2517</v>
      </c>
      <c r="C420" s="10" t="s">
        <v>2518</v>
      </c>
      <c r="D420" s="24">
        <v>28</v>
      </c>
      <c r="E420" s="15">
        <v>-2.0874920273960438</v>
      </c>
      <c r="F420" s="24">
        <v>455.35043498078272</v>
      </c>
      <c r="G420" s="24">
        <v>8.9757406427904627</v>
      </c>
      <c r="H420" s="24">
        <v>50.73123802285123</v>
      </c>
      <c r="I420" s="16">
        <v>0</v>
      </c>
      <c r="J420" s="24">
        <v>-1.5</v>
      </c>
    </row>
    <row r="421" spans="1:10" ht="15" customHeight="1" x14ac:dyDescent="0.3">
      <c r="A421" s="10" t="s">
        <v>216</v>
      </c>
      <c r="B421" s="10" t="s">
        <v>2519</v>
      </c>
      <c r="C421" s="10" t="s">
        <v>2520</v>
      </c>
      <c r="D421" s="24">
        <v>23</v>
      </c>
      <c r="E421" s="15">
        <v>-2.852386079902979</v>
      </c>
      <c r="F421" s="24">
        <v>394.46613489211637</v>
      </c>
      <c r="G421" s="24">
        <v>11.64745985204145</v>
      </c>
      <c r="H421" s="24">
        <v>33.867138406403548</v>
      </c>
      <c r="I421" s="16">
        <v>1</v>
      </c>
      <c r="J421" s="24" t="s">
        <v>33</v>
      </c>
    </row>
    <row r="422" spans="1:10" ht="15" customHeight="1" x14ac:dyDescent="0.3">
      <c r="A422" s="10" t="s">
        <v>216</v>
      </c>
      <c r="B422" s="10" t="s">
        <v>2521</v>
      </c>
      <c r="C422" s="10" t="s">
        <v>2522</v>
      </c>
      <c r="D422" s="24">
        <v>25</v>
      </c>
      <c r="E422" s="15">
        <v>-1.8152583835336471</v>
      </c>
      <c r="F422" s="24">
        <v>343.21111015217451</v>
      </c>
      <c r="G422" s="24">
        <v>7.5618184434420517</v>
      </c>
      <c r="H422" s="24">
        <v>45.387377747719214</v>
      </c>
      <c r="I422" s="16">
        <v>0</v>
      </c>
      <c r="J422" s="24">
        <v>-1.8</v>
      </c>
    </row>
    <row r="423" spans="1:10" ht="15" customHeight="1" x14ac:dyDescent="0.3">
      <c r="A423" s="10" t="s">
        <v>216</v>
      </c>
      <c r="B423" s="10" t="s">
        <v>2523</v>
      </c>
      <c r="C423" s="10" t="s">
        <v>2524</v>
      </c>
      <c r="D423" s="24">
        <v>23</v>
      </c>
      <c r="E423" s="15">
        <v>-3.1867960702466678</v>
      </c>
      <c r="F423" s="24">
        <v>322.94301966305068</v>
      </c>
      <c r="G423" s="24">
        <v>10.64473137993866</v>
      </c>
      <c r="H423" s="24">
        <v>30.338296772023529</v>
      </c>
      <c r="I423" s="16">
        <v>1</v>
      </c>
      <c r="J423" s="24" t="s">
        <v>33</v>
      </c>
    </row>
    <row r="424" spans="1:10" ht="15" customHeight="1" x14ac:dyDescent="0.3">
      <c r="A424" s="10" t="s">
        <v>216</v>
      </c>
      <c r="B424" s="10" t="s">
        <v>2525</v>
      </c>
      <c r="C424" s="10" t="s">
        <v>2526</v>
      </c>
      <c r="D424" s="24">
        <v>21</v>
      </c>
      <c r="E424" s="15">
        <v>-1.478815715457293</v>
      </c>
      <c r="F424" s="24">
        <v>274.89511378043471</v>
      </c>
      <c r="G424" s="24">
        <v>5.616208828998861</v>
      </c>
      <c r="H424" s="24">
        <v>48.946740078651459</v>
      </c>
      <c r="I424" s="16">
        <v>0</v>
      </c>
      <c r="J424" s="24">
        <v>-1.5</v>
      </c>
    </row>
    <row r="425" spans="1:10" ht="15" customHeight="1" x14ac:dyDescent="0.3">
      <c r="A425" s="10" t="s">
        <v>217</v>
      </c>
      <c r="B425" s="10" t="s">
        <v>2527</v>
      </c>
      <c r="C425" s="10" t="s">
        <v>2528</v>
      </c>
      <c r="D425" s="24">
        <v>28</v>
      </c>
      <c r="E425" s="15">
        <v>8.5043689574761316</v>
      </c>
      <c r="F425" s="24">
        <v>2008.051735587788</v>
      </c>
      <c r="G425" s="24">
        <v>31.72070449786353</v>
      </c>
      <c r="H425" s="24">
        <v>63.304134235828073</v>
      </c>
      <c r="I425" s="16">
        <v>0</v>
      </c>
      <c r="J425" s="24">
        <v>5.8</v>
      </c>
    </row>
    <row r="426" spans="1:10" ht="15" customHeight="1" x14ac:dyDescent="0.3">
      <c r="A426" s="10" t="s">
        <v>217</v>
      </c>
      <c r="B426" s="10" t="s">
        <v>323</v>
      </c>
      <c r="C426" s="10" t="s">
        <v>2529</v>
      </c>
      <c r="D426" s="24">
        <v>24</v>
      </c>
      <c r="E426" s="15">
        <v>4.2811425392314746</v>
      </c>
      <c r="F426" s="24">
        <v>1627.8324778460949</v>
      </c>
      <c r="G426" s="24">
        <v>27.045434371270229</v>
      </c>
      <c r="H426" s="24">
        <v>60.188808783759278</v>
      </c>
      <c r="I426" s="16">
        <v>0</v>
      </c>
      <c r="J426" s="24">
        <v>4.2</v>
      </c>
    </row>
    <row r="427" spans="1:10" ht="15" customHeight="1" x14ac:dyDescent="0.3">
      <c r="A427" s="10" t="s">
        <v>217</v>
      </c>
      <c r="B427" s="10" t="s">
        <v>336</v>
      </c>
      <c r="C427" s="10" t="s">
        <v>2530</v>
      </c>
      <c r="D427" s="24">
        <v>22</v>
      </c>
      <c r="E427" s="15">
        <v>1.9263201466113029</v>
      </c>
      <c r="F427" s="24">
        <v>1600.7136229350831</v>
      </c>
      <c r="G427" s="24">
        <v>24.371298175560138</v>
      </c>
      <c r="H427" s="24">
        <v>65.680277324754883</v>
      </c>
      <c r="I427" s="16">
        <v>0</v>
      </c>
      <c r="J427" s="24">
        <v>1.8</v>
      </c>
    </row>
    <row r="428" spans="1:10" ht="15" customHeight="1" x14ac:dyDescent="0.3">
      <c r="A428" s="10" t="s">
        <v>217</v>
      </c>
      <c r="B428" s="10" t="s">
        <v>443</v>
      </c>
      <c r="C428" s="10" t="s">
        <v>2531</v>
      </c>
      <c r="D428" s="24">
        <v>25</v>
      </c>
      <c r="E428" s="15">
        <v>2.512857774697844</v>
      </c>
      <c r="F428" s="24">
        <v>1567.1938313746609</v>
      </c>
      <c r="G428" s="24">
        <v>28.771856576046531</v>
      </c>
      <c r="H428" s="24">
        <v>54.469680370901003</v>
      </c>
      <c r="I428" s="16">
        <v>0</v>
      </c>
      <c r="J428" s="24">
        <v>1.8</v>
      </c>
    </row>
    <row r="429" spans="1:10" ht="15" customHeight="1" x14ac:dyDescent="0.3">
      <c r="A429" s="10" t="s">
        <v>217</v>
      </c>
      <c r="B429" s="10" t="s">
        <v>463</v>
      </c>
      <c r="C429" s="10" t="s">
        <v>2532</v>
      </c>
      <c r="D429" s="24">
        <v>28</v>
      </c>
      <c r="E429" s="15">
        <v>3.287698553597779</v>
      </c>
      <c r="F429" s="24">
        <v>1357.852096202585</v>
      </c>
      <c r="G429" s="24">
        <v>24.138623567505451</v>
      </c>
      <c r="H429" s="24">
        <v>56.252258642886197</v>
      </c>
      <c r="I429" s="16">
        <v>0</v>
      </c>
      <c r="J429" s="24">
        <v>3.1</v>
      </c>
    </row>
    <row r="430" spans="1:10" ht="15" customHeight="1" x14ac:dyDescent="0.3">
      <c r="A430" s="10" t="s">
        <v>217</v>
      </c>
      <c r="B430" s="10" t="s">
        <v>358</v>
      </c>
      <c r="C430" s="10" t="s">
        <v>2533</v>
      </c>
      <c r="D430" s="24">
        <v>24</v>
      </c>
      <c r="E430" s="15">
        <v>1.3703659218873609</v>
      </c>
      <c r="F430" s="24">
        <v>1227.9578569677551</v>
      </c>
      <c r="G430" s="24">
        <v>21.338848617314291</v>
      </c>
      <c r="H430" s="24">
        <v>57.545647330352821</v>
      </c>
      <c r="I430" s="16">
        <v>0</v>
      </c>
      <c r="J430" s="24">
        <v>1.2</v>
      </c>
    </row>
    <row r="431" spans="1:10" ht="15" customHeight="1" x14ac:dyDescent="0.3">
      <c r="A431" s="10" t="s">
        <v>217</v>
      </c>
      <c r="B431" s="10" t="s">
        <v>480</v>
      </c>
      <c r="C431" s="10" t="s">
        <v>2534</v>
      </c>
      <c r="D431" s="24">
        <v>32</v>
      </c>
      <c r="E431" s="15">
        <v>2.2538515023890122</v>
      </c>
      <c r="F431" s="24">
        <v>1127.215739484468</v>
      </c>
      <c r="G431" s="24">
        <v>19.83422527727107</v>
      </c>
      <c r="H431" s="24">
        <v>56.831851192907223</v>
      </c>
      <c r="I431" s="16">
        <v>0</v>
      </c>
      <c r="J431" s="24">
        <v>2.6</v>
      </c>
    </row>
    <row r="432" spans="1:10" ht="15" customHeight="1" x14ac:dyDescent="0.3">
      <c r="A432" s="10" t="s">
        <v>217</v>
      </c>
      <c r="B432" s="10" t="s">
        <v>2535</v>
      </c>
      <c r="C432" s="10" t="s">
        <v>2536</v>
      </c>
      <c r="D432" s="24">
        <v>21</v>
      </c>
      <c r="E432" s="15">
        <v>0.63459181306281698</v>
      </c>
      <c r="F432" s="24">
        <v>1045.905581878385</v>
      </c>
      <c r="G432" s="24">
        <v>19.98092162303212</v>
      </c>
      <c r="H432" s="24">
        <v>52.345212178439454</v>
      </c>
      <c r="I432" s="16">
        <v>1</v>
      </c>
      <c r="J432" s="24" t="s">
        <v>33</v>
      </c>
    </row>
    <row r="433" spans="1:10" ht="15" customHeight="1" x14ac:dyDescent="0.3">
      <c r="A433" s="10" t="s">
        <v>217</v>
      </c>
      <c r="B433" s="10" t="s">
        <v>363</v>
      </c>
      <c r="C433" s="10" t="s">
        <v>2537</v>
      </c>
      <c r="D433" s="24">
        <v>22</v>
      </c>
      <c r="E433" s="15">
        <v>-1.171437458023914</v>
      </c>
      <c r="F433" s="24">
        <v>1030.084128991271</v>
      </c>
      <c r="G433" s="24">
        <v>17.468784252385699</v>
      </c>
      <c r="H433" s="24">
        <v>58.967133265189489</v>
      </c>
      <c r="I433" s="16">
        <v>0</v>
      </c>
      <c r="J433" s="24">
        <v>-1.5</v>
      </c>
    </row>
    <row r="434" spans="1:10" ht="15" customHeight="1" x14ac:dyDescent="0.3">
      <c r="A434" s="10" t="s">
        <v>217</v>
      </c>
      <c r="B434" s="10" t="s">
        <v>2538</v>
      </c>
      <c r="C434" s="10" t="s">
        <v>2539</v>
      </c>
      <c r="D434" s="24">
        <v>24</v>
      </c>
      <c r="E434" s="15">
        <v>1.673145065771549</v>
      </c>
      <c r="F434" s="24">
        <v>1018.295852730456</v>
      </c>
      <c r="G434" s="24">
        <v>16.80823816253687</v>
      </c>
      <c r="H434" s="24">
        <v>60.583140415043047</v>
      </c>
      <c r="I434" s="16">
        <v>0</v>
      </c>
      <c r="J434" s="24">
        <v>0.5</v>
      </c>
    </row>
    <row r="435" spans="1:10" ht="15" customHeight="1" x14ac:dyDescent="0.3">
      <c r="A435" s="10" t="s">
        <v>217</v>
      </c>
      <c r="B435" s="10" t="s">
        <v>2540</v>
      </c>
      <c r="C435" s="10" t="s">
        <v>2541</v>
      </c>
      <c r="D435" s="24">
        <v>27</v>
      </c>
      <c r="E435" s="15">
        <v>-3.1867960702466678</v>
      </c>
      <c r="F435" s="24">
        <v>904.71961619147123</v>
      </c>
      <c r="G435" s="24">
        <v>18.672672754285159</v>
      </c>
      <c r="H435" s="24">
        <v>48.451532787873049</v>
      </c>
      <c r="I435" s="16">
        <v>1</v>
      </c>
      <c r="J435" s="24" t="s">
        <v>33</v>
      </c>
    </row>
    <row r="436" spans="1:10" ht="15" customHeight="1" x14ac:dyDescent="0.3">
      <c r="A436" s="10" t="s">
        <v>217</v>
      </c>
      <c r="B436" s="10" t="s">
        <v>2542</v>
      </c>
      <c r="C436" s="10" t="s">
        <v>2543</v>
      </c>
      <c r="D436" s="24">
        <v>23</v>
      </c>
      <c r="E436" s="15">
        <v>-2.4301387263140719</v>
      </c>
      <c r="F436" s="24">
        <v>904.71961619147123</v>
      </c>
      <c r="G436" s="24">
        <v>18.672672754285159</v>
      </c>
      <c r="H436" s="24">
        <v>48.451532787873049</v>
      </c>
      <c r="I436" s="16">
        <v>1</v>
      </c>
      <c r="J436" s="24" t="s">
        <v>33</v>
      </c>
    </row>
    <row r="437" spans="1:10" ht="15" customHeight="1" x14ac:dyDescent="0.3">
      <c r="A437" s="10" t="s">
        <v>217</v>
      </c>
      <c r="B437" s="10" t="s">
        <v>2544</v>
      </c>
      <c r="C437" s="10" t="s">
        <v>2545</v>
      </c>
      <c r="D437" s="24">
        <v>31</v>
      </c>
      <c r="E437" s="15">
        <v>9.0084026292550107E-2</v>
      </c>
      <c r="F437" s="24">
        <v>882.55764441679241</v>
      </c>
      <c r="G437" s="24">
        <v>15.049269950264341</v>
      </c>
      <c r="H437" s="24">
        <v>58.644548694622237</v>
      </c>
      <c r="I437" s="16">
        <v>0</v>
      </c>
      <c r="J437" s="24">
        <v>0.5</v>
      </c>
    </row>
    <row r="438" spans="1:10" ht="15" customHeight="1" x14ac:dyDescent="0.3">
      <c r="A438" s="10" t="s">
        <v>217</v>
      </c>
      <c r="B438" s="10" t="s">
        <v>2546</v>
      </c>
      <c r="C438" s="10" t="s">
        <v>2547</v>
      </c>
      <c r="D438" s="24">
        <v>21</v>
      </c>
      <c r="E438" s="15">
        <v>-2.1708591087931008</v>
      </c>
      <c r="F438" s="24">
        <v>579.9755046336337</v>
      </c>
      <c r="G438" s="24">
        <v>13.3560634815155</v>
      </c>
      <c r="H438" s="24">
        <v>43.424135070659631</v>
      </c>
      <c r="I438" s="16">
        <v>0</v>
      </c>
      <c r="J438" s="24">
        <v>-2</v>
      </c>
    </row>
    <row r="439" spans="1:10" ht="15" customHeight="1" x14ac:dyDescent="0.3">
      <c r="A439" s="10" t="s">
        <v>217</v>
      </c>
      <c r="B439" s="10" t="s">
        <v>2548</v>
      </c>
      <c r="C439" s="10" t="s">
        <v>2549</v>
      </c>
      <c r="D439" s="24">
        <v>24</v>
      </c>
      <c r="E439" s="15">
        <v>-2.2329891791142531</v>
      </c>
      <c r="F439" s="24">
        <v>505.76081679283789</v>
      </c>
      <c r="G439" s="24">
        <v>9.4278095163638849</v>
      </c>
      <c r="H439" s="24">
        <v>53.645633793829518</v>
      </c>
      <c r="I439" s="16">
        <v>0</v>
      </c>
      <c r="J439" s="24">
        <v>-2.6</v>
      </c>
    </row>
    <row r="440" spans="1:10" ht="15" customHeight="1" x14ac:dyDescent="0.3">
      <c r="A440" s="10" t="s">
        <v>217</v>
      </c>
      <c r="B440" s="10" t="s">
        <v>2550</v>
      </c>
      <c r="C440" s="10" t="s">
        <v>2551</v>
      </c>
      <c r="D440" s="24">
        <v>22</v>
      </c>
      <c r="E440" s="15">
        <v>-3.1867960702466678</v>
      </c>
      <c r="F440" s="24">
        <v>381.86064629587389</v>
      </c>
      <c r="G440" s="24">
        <v>12.58675294679057</v>
      </c>
      <c r="H440" s="24">
        <v>30.338296772023529</v>
      </c>
      <c r="I440" s="16">
        <v>1</v>
      </c>
      <c r="J440" s="24" t="s">
        <v>33</v>
      </c>
    </row>
    <row r="441" spans="1:10" ht="15" customHeight="1" x14ac:dyDescent="0.3">
      <c r="A441" s="10" t="s">
        <v>217</v>
      </c>
      <c r="B441" s="10" t="s">
        <v>2552</v>
      </c>
      <c r="C441" s="10" t="s">
        <v>2553</v>
      </c>
      <c r="D441" s="24">
        <v>22</v>
      </c>
      <c r="E441" s="15">
        <v>-3.1867960702466678</v>
      </c>
      <c r="F441" s="24">
        <v>381.86064629587389</v>
      </c>
      <c r="G441" s="24">
        <v>12.58675294679057</v>
      </c>
      <c r="H441" s="24">
        <v>30.338296772023529</v>
      </c>
      <c r="I441" s="16">
        <v>1</v>
      </c>
      <c r="J441" s="24" t="s">
        <v>33</v>
      </c>
    </row>
    <row r="442" spans="1:10" ht="15" customHeight="1" x14ac:dyDescent="0.3">
      <c r="A442" s="10" t="s">
        <v>217</v>
      </c>
      <c r="B442" s="10" t="s">
        <v>2554</v>
      </c>
      <c r="C442" s="10" t="s">
        <v>2555</v>
      </c>
      <c r="D442" s="24">
        <v>24</v>
      </c>
      <c r="E442" s="15">
        <v>-3.1867960702466678</v>
      </c>
      <c r="F442" s="24">
        <v>381.86064629587389</v>
      </c>
      <c r="G442" s="24">
        <v>12.58675294679057</v>
      </c>
      <c r="H442" s="24">
        <v>30.338296772023529</v>
      </c>
      <c r="I442" s="16">
        <v>1</v>
      </c>
      <c r="J442" s="24" t="s">
        <v>33</v>
      </c>
    </row>
    <row r="443" spans="1:10" ht="15" customHeight="1" x14ac:dyDescent="0.3">
      <c r="A443" s="10" t="s">
        <v>217</v>
      </c>
      <c r="B443" s="10" t="s">
        <v>2556</v>
      </c>
      <c r="C443" s="10" t="s">
        <v>2557</v>
      </c>
      <c r="D443" s="24">
        <v>23</v>
      </c>
      <c r="E443" s="15">
        <v>-3.1867960702466678</v>
      </c>
      <c r="F443" s="24">
        <v>381.86064629587389</v>
      </c>
      <c r="G443" s="24">
        <v>12.58675294679057</v>
      </c>
      <c r="H443" s="24">
        <v>30.338296772023529</v>
      </c>
      <c r="I443" s="16">
        <v>1</v>
      </c>
      <c r="J443" s="24" t="s">
        <v>33</v>
      </c>
    </row>
    <row r="444" spans="1:10" ht="15" customHeight="1" x14ac:dyDescent="0.3">
      <c r="A444" s="10" t="s">
        <v>217</v>
      </c>
      <c r="B444" s="10" t="s">
        <v>2558</v>
      </c>
      <c r="C444" s="10" t="s">
        <v>2559</v>
      </c>
      <c r="D444" s="24">
        <v>20</v>
      </c>
      <c r="E444" s="15">
        <v>-2.1425964511457449</v>
      </c>
      <c r="F444" s="24">
        <v>381.86064629587389</v>
      </c>
      <c r="G444" s="24">
        <v>12.58675294679057</v>
      </c>
      <c r="H444" s="24">
        <v>30.338296772023529</v>
      </c>
      <c r="I444" s="16">
        <v>1</v>
      </c>
      <c r="J444" s="24">
        <v>-1.1000000000000001</v>
      </c>
    </row>
    <row r="445" spans="1:10" ht="15" customHeight="1" x14ac:dyDescent="0.3">
      <c r="A445" s="10" t="s">
        <v>217</v>
      </c>
      <c r="B445" s="10" t="s">
        <v>2560</v>
      </c>
      <c r="C445" s="10" t="s">
        <v>2561</v>
      </c>
      <c r="D445" s="24">
        <v>23</v>
      </c>
      <c r="E445" s="15">
        <v>-3.1867960702466678</v>
      </c>
      <c r="F445" s="24">
        <v>381.86064629587389</v>
      </c>
      <c r="G445" s="24">
        <v>12.58675294679057</v>
      </c>
      <c r="H445" s="24">
        <v>30.338296772023529</v>
      </c>
      <c r="I445" s="16">
        <v>1</v>
      </c>
      <c r="J445" s="24" t="s">
        <v>33</v>
      </c>
    </row>
    <row r="446" spans="1:10" ht="15" customHeight="1" x14ac:dyDescent="0.3">
      <c r="A446" s="10" t="s">
        <v>217</v>
      </c>
      <c r="B446" s="10" t="s">
        <v>2562</v>
      </c>
      <c r="C446" s="10" t="s">
        <v>2563</v>
      </c>
      <c r="D446" s="24">
        <v>23</v>
      </c>
      <c r="E446" s="15">
        <v>-3.50918786511438</v>
      </c>
      <c r="F446" s="24">
        <v>0</v>
      </c>
      <c r="G446" s="24">
        <v>0</v>
      </c>
      <c r="H446" s="24">
        <v>0</v>
      </c>
      <c r="I446" s="16">
        <v>1</v>
      </c>
      <c r="J446" s="24" t="s">
        <v>33</v>
      </c>
    </row>
    <row r="447" spans="1:10" ht="15" customHeight="1" x14ac:dyDescent="0.3">
      <c r="A447" s="10" t="s">
        <v>218</v>
      </c>
      <c r="B447" s="10" t="s">
        <v>451</v>
      </c>
      <c r="C447" s="10" t="s">
        <v>2564</v>
      </c>
      <c r="D447" s="24">
        <v>28</v>
      </c>
      <c r="E447" s="15">
        <v>1.471247172205898</v>
      </c>
      <c r="F447" s="24">
        <v>1872.9689954454991</v>
      </c>
      <c r="G447" s="24">
        <v>28.305378641792601</v>
      </c>
      <c r="H447" s="24">
        <v>66.170073862925818</v>
      </c>
      <c r="I447" s="16">
        <v>0</v>
      </c>
      <c r="J447" s="24">
        <v>0.8</v>
      </c>
    </row>
    <row r="448" spans="1:10" ht="15" customHeight="1" x14ac:dyDescent="0.3">
      <c r="A448" s="10" t="s">
        <v>218</v>
      </c>
      <c r="B448" s="10" t="s">
        <v>318</v>
      </c>
      <c r="C448" s="10" t="s">
        <v>2565</v>
      </c>
      <c r="D448" s="24">
        <v>23</v>
      </c>
      <c r="E448" s="15">
        <v>1.4012090968859381</v>
      </c>
      <c r="F448" s="24">
        <v>1845.4713363318749</v>
      </c>
      <c r="G448" s="24">
        <v>29.607781335772419</v>
      </c>
      <c r="H448" s="24">
        <v>62.330618947869553</v>
      </c>
      <c r="I448" s="16">
        <v>0</v>
      </c>
      <c r="J448" s="24">
        <v>0.2</v>
      </c>
    </row>
    <row r="449" spans="1:10" ht="15" customHeight="1" x14ac:dyDescent="0.3">
      <c r="A449" s="10" t="s">
        <v>218</v>
      </c>
      <c r="B449" s="10" t="s">
        <v>2566</v>
      </c>
      <c r="C449" s="10" t="s">
        <v>2567</v>
      </c>
      <c r="D449" s="24">
        <v>27</v>
      </c>
      <c r="E449" s="15">
        <v>0.38562089332759591</v>
      </c>
      <c r="F449" s="24">
        <v>1557.3336263525371</v>
      </c>
      <c r="G449" s="24">
        <v>23.84221924117336</v>
      </c>
      <c r="H449" s="24">
        <v>65.318316663373466</v>
      </c>
      <c r="I449" s="16">
        <v>0</v>
      </c>
      <c r="J449" s="24">
        <v>1</v>
      </c>
    </row>
    <row r="450" spans="1:10" ht="15" customHeight="1" x14ac:dyDescent="0.3">
      <c r="A450" s="10" t="s">
        <v>218</v>
      </c>
      <c r="B450" s="10" t="s">
        <v>374</v>
      </c>
      <c r="C450" s="10" t="s">
        <v>2568</v>
      </c>
      <c r="D450" s="24">
        <v>35</v>
      </c>
      <c r="E450" s="15">
        <v>-0.2002809933304458</v>
      </c>
      <c r="F450" s="24">
        <v>1548.311178716785</v>
      </c>
      <c r="G450" s="24">
        <v>26.1855309383755</v>
      </c>
      <c r="H450" s="24">
        <v>59.12850048221474</v>
      </c>
      <c r="I450" s="16">
        <v>0</v>
      </c>
      <c r="J450" s="24">
        <v>-1.2</v>
      </c>
    </row>
    <row r="451" spans="1:10" ht="15" customHeight="1" x14ac:dyDescent="0.3">
      <c r="A451" s="10" t="s">
        <v>218</v>
      </c>
      <c r="B451" s="10" t="s">
        <v>454</v>
      </c>
      <c r="C451" s="10" t="s">
        <v>2569</v>
      </c>
      <c r="D451" s="24">
        <v>25</v>
      </c>
      <c r="E451" s="15">
        <v>2.2101112963451519</v>
      </c>
      <c r="F451" s="24">
        <v>1463.420949313462</v>
      </c>
      <c r="G451" s="24">
        <v>27.160159005938841</v>
      </c>
      <c r="H451" s="24">
        <v>53.881162808858022</v>
      </c>
      <c r="I451" s="16">
        <v>0</v>
      </c>
      <c r="J451" s="24">
        <v>1.7</v>
      </c>
    </row>
    <row r="452" spans="1:10" ht="15" customHeight="1" x14ac:dyDescent="0.3">
      <c r="A452" s="10" t="s">
        <v>218</v>
      </c>
      <c r="B452" s="10" t="s">
        <v>368</v>
      </c>
      <c r="C452" s="10" t="s">
        <v>2570</v>
      </c>
      <c r="D452" s="24">
        <v>22</v>
      </c>
      <c r="E452" s="15">
        <v>7.4930383709145704E-2</v>
      </c>
      <c r="F452" s="24">
        <v>1393.980263190005</v>
      </c>
      <c r="G452" s="24">
        <v>22.005927889957221</v>
      </c>
      <c r="H452" s="24">
        <v>63.345670773835941</v>
      </c>
      <c r="I452" s="16">
        <v>0</v>
      </c>
      <c r="J452" s="24">
        <v>0.3</v>
      </c>
    </row>
    <row r="453" spans="1:10" ht="15" customHeight="1" x14ac:dyDescent="0.3">
      <c r="A453" s="10" t="s">
        <v>218</v>
      </c>
      <c r="B453" s="10" t="s">
        <v>474</v>
      </c>
      <c r="C453" s="10" t="s">
        <v>2571</v>
      </c>
      <c r="D453" s="24">
        <v>25</v>
      </c>
      <c r="E453" s="15">
        <v>1.9011683718907879</v>
      </c>
      <c r="F453" s="24">
        <v>1351.1532256827979</v>
      </c>
      <c r="G453" s="24">
        <v>23.5681359405195</v>
      </c>
      <c r="H453" s="24">
        <v>57.329660228233379</v>
      </c>
      <c r="I453" s="16">
        <v>0</v>
      </c>
      <c r="J453" s="24">
        <v>1.7</v>
      </c>
    </row>
    <row r="454" spans="1:10" ht="15" customHeight="1" x14ac:dyDescent="0.3">
      <c r="A454" s="10" t="s">
        <v>218</v>
      </c>
      <c r="B454" s="10" t="s">
        <v>2572</v>
      </c>
      <c r="C454" s="10" t="s">
        <v>2573</v>
      </c>
      <c r="D454" s="24">
        <v>25</v>
      </c>
      <c r="E454" s="15">
        <v>-0.65386823193630272</v>
      </c>
      <c r="F454" s="24">
        <v>1335.301297048401</v>
      </c>
      <c r="G454" s="24">
        <v>20.232885304358089</v>
      </c>
      <c r="H454" s="24">
        <v>65.996583134921551</v>
      </c>
      <c r="I454" s="16">
        <v>0</v>
      </c>
      <c r="J454" s="24">
        <v>-0.6</v>
      </c>
    </row>
    <row r="455" spans="1:10" ht="15" customHeight="1" x14ac:dyDescent="0.3">
      <c r="A455" s="10" t="s">
        <v>218</v>
      </c>
      <c r="B455" s="10" t="s">
        <v>2574</v>
      </c>
      <c r="C455" s="10" t="s">
        <v>2575</v>
      </c>
      <c r="D455" s="24">
        <v>27</v>
      </c>
      <c r="E455" s="15">
        <v>1.6900425958276599</v>
      </c>
      <c r="F455" s="24">
        <v>919.38071579148357</v>
      </c>
      <c r="G455" s="24">
        <v>14.832124811441849</v>
      </c>
      <c r="H455" s="24">
        <v>61.985772603683287</v>
      </c>
      <c r="I455" s="16">
        <v>0</v>
      </c>
      <c r="J455" s="24">
        <v>1.1000000000000001</v>
      </c>
    </row>
    <row r="456" spans="1:10" ht="15" customHeight="1" x14ac:dyDescent="0.3">
      <c r="A456" s="10" t="s">
        <v>218</v>
      </c>
      <c r="B456" s="10" t="s">
        <v>2576</v>
      </c>
      <c r="C456" s="10" t="s">
        <v>2577</v>
      </c>
      <c r="D456" s="24">
        <v>31</v>
      </c>
      <c r="E456" s="15">
        <v>-1.605166819815979</v>
      </c>
      <c r="F456" s="24">
        <v>683.64315510935285</v>
      </c>
      <c r="G456" s="24">
        <v>12.47277095118085</v>
      </c>
      <c r="H456" s="24">
        <v>54.810848189642208</v>
      </c>
      <c r="I456" s="16">
        <v>0</v>
      </c>
      <c r="J456" s="24">
        <v>-1.1000000000000001</v>
      </c>
    </row>
    <row r="457" spans="1:10" ht="15" customHeight="1" x14ac:dyDescent="0.3">
      <c r="A457" s="10" t="s">
        <v>218</v>
      </c>
      <c r="B457" s="10" t="s">
        <v>2578</v>
      </c>
      <c r="C457" s="10" t="s">
        <v>2579</v>
      </c>
      <c r="D457" s="24">
        <v>21</v>
      </c>
      <c r="E457" s="15">
        <v>-0.68260694449476689</v>
      </c>
      <c r="F457" s="24">
        <v>682.60021962225881</v>
      </c>
      <c r="G457" s="24">
        <v>11.317440703957811</v>
      </c>
      <c r="H457" s="24">
        <v>60.314008924610263</v>
      </c>
      <c r="I457" s="16">
        <v>0</v>
      </c>
      <c r="J457" s="24">
        <v>-0.9</v>
      </c>
    </row>
    <row r="458" spans="1:10" ht="15" customHeight="1" x14ac:dyDescent="0.3">
      <c r="A458" s="10" t="s">
        <v>218</v>
      </c>
      <c r="B458" s="10" t="s">
        <v>2580</v>
      </c>
      <c r="C458" s="10" t="s">
        <v>2581</v>
      </c>
      <c r="D458" s="24">
        <v>29</v>
      </c>
      <c r="E458" s="15">
        <v>0.35790471499981241</v>
      </c>
      <c r="F458" s="24">
        <v>677.21764841170284</v>
      </c>
      <c r="G458" s="24">
        <v>11.57101019408219</v>
      </c>
      <c r="H458" s="24">
        <v>58.527098071182657</v>
      </c>
      <c r="I458" s="16">
        <v>0</v>
      </c>
      <c r="J458" s="24">
        <v>0.7</v>
      </c>
    </row>
    <row r="459" spans="1:10" ht="15" customHeight="1" x14ac:dyDescent="0.3">
      <c r="A459" s="10" t="s">
        <v>218</v>
      </c>
      <c r="B459" s="10" t="s">
        <v>2582</v>
      </c>
      <c r="C459" s="10" t="s">
        <v>2583</v>
      </c>
      <c r="D459" s="24">
        <v>27</v>
      </c>
      <c r="E459" s="15">
        <v>-2.3098952184378838</v>
      </c>
      <c r="F459" s="24">
        <v>636.50115723337569</v>
      </c>
      <c r="G459" s="24">
        <v>11.3178112063674</v>
      </c>
      <c r="H459" s="24">
        <v>56.238891569005858</v>
      </c>
      <c r="I459" s="16">
        <v>0</v>
      </c>
      <c r="J459" s="24" t="s">
        <v>33</v>
      </c>
    </row>
    <row r="460" spans="1:10" ht="15" customHeight="1" x14ac:dyDescent="0.3">
      <c r="A460" s="10" t="s">
        <v>218</v>
      </c>
      <c r="B460" s="10" t="s">
        <v>2584</v>
      </c>
      <c r="C460" s="10" t="s">
        <v>2585</v>
      </c>
      <c r="D460" s="24">
        <v>23</v>
      </c>
      <c r="E460" s="15">
        <v>-2.4051785475838239</v>
      </c>
      <c r="F460" s="24">
        <v>630.53965835085819</v>
      </c>
      <c r="G460" s="24">
        <v>11.282138780156281</v>
      </c>
      <c r="H460" s="24">
        <v>55.888309002180513</v>
      </c>
      <c r="I460" s="16">
        <v>0</v>
      </c>
      <c r="J460" s="24" t="s">
        <v>33</v>
      </c>
    </row>
    <row r="461" spans="1:10" ht="15" customHeight="1" x14ac:dyDescent="0.3">
      <c r="A461" s="10" t="s">
        <v>218</v>
      </c>
      <c r="B461" s="10" t="s">
        <v>400</v>
      </c>
      <c r="C461" s="10" t="s">
        <v>2586</v>
      </c>
      <c r="D461" s="24">
        <v>20</v>
      </c>
      <c r="E461" s="15">
        <v>-1.360601385297648</v>
      </c>
      <c r="F461" s="24">
        <v>581.69334243165042</v>
      </c>
      <c r="G461" s="24">
        <v>9.9354291289690693</v>
      </c>
      <c r="H461" s="24">
        <v>58.547379774023788</v>
      </c>
      <c r="I461" s="16">
        <v>0</v>
      </c>
      <c r="J461" s="24">
        <v>-1.8</v>
      </c>
    </row>
    <row r="462" spans="1:10" ht="15" customHeight="1" x14ac:dyDescent="0.3">
      <c r="A462" s="10" t="s">
        <v>218</v>
      </c>
      <c r="B462" s="10" t="s">
        <v>2587</v>
      </c>
      <c r="C462" s="10" t="s">
        <v>2588</v>
      </c>
      <c r="D462" s="24">
        <v>27</v>
      </c>
      <c r="E462" s="15">
        <v>-1.2992007442009099</v>
      </c>
      <c r="F462" s="24">
        <v>579.61829621423726</v>
      </c>
      <c r="G462" s="24">
        <v>10.962401989632911</v>
      </c>
      <c r="H462" s="24">
        <v>52.87329334961256</v>
      </c>
      <c r="I462" s="16">
        <v>0</v>
      </c>
      <c r="J462" s="24">
        <v>-0.8</v>
      </c>
    </row>
    <row r="463" spans="1:10" ht="15" customHeight="1" x14ac:dyDescent="0.3">
      <c r="A463" s="10" t="s">
        <v>218</v>
      </c>
      <c r="B463" s="10" t="s">
        <v>2589</v>
      </c>
      <c r="C463" s="10" t="s">
        <v>2590</v>
      </c>
      <c r="D463" s="24">
        <v>26</v>
      </c>
      <c r="E463" s="15">
        <v>-3.0931399553621808</v>
      </c>
      <c r="F463" s="24">
        <v>457.94151015270802</v>
      </c>
      <c r="G463" s="24">
        <v>10.64905607764269</v>
      </c>
      <c r="H463" s="24">
        <v>43.003014240308097</v>
      </c>
      <c r="I463" s="16">
        <v>0</v>
      </c>
      <c r="J463" s="24">
        <v>-3.3</v>
      </c>
    </row>
    <row r="464" spans="1:10" ht="15" customHeight="1" x14ac:dyDescent="0.3">
      <c r="A464" s="10" t="s">
        <v>218</v>
      </c>
      <c r="B464" s="10" t="s">
        <v>2591</v>
      </c>
      <c r="C464" s="10" t="s">
        <v>2592</v>
      </c>
      <c r="D464" s="24">
        <v>28</v>
      </c>
      <c r="E464" s="15">
        <v>-2.6641190190934432</v>
      </c>
      <c r="F464" s="24">
        <v>388.63619635231532</v>
      </c>
      <c r="G464" s="24">
        <v>9.5965896122533891</v>
      </c>
      <c r="H464" s="24">
        <v>40.497323742601843</v>
      </c>
      <c r="I464" s="16">
        <v>0</v>
      </c>
      <c r="J464" s="24">
        <v>-2.7</v>
      </c>
    </row>
    <row r="465" spans="1:10" ht="15" customHeight="1" x14ac:dyDescent="0.3">
      <c r="A465" s="10" t="s">
        <v>218</v>
      </c>
      <c r="B465" s="10" t="s">
        <v>2593</v>
      </c>
      <c r="C465" s="10" t="s">
        <v>2594</v>
      </c>
      <c r="D465" s="24">
        <v>23</v>
      </c>
      <c r="E465" s="15">
        <v>-1.7746078579642131</v>
      </c>
      <c r="F465" s="24">
        <v>371.86308413798412</v>
      </c>
      <c r="G465" s="24">
        <v>12.19656334172517</v>
      </c>
      <c r="H465" s="24">
        <v>30.48916926178855</v>
      </c>
      <c r="I465" s="16">
        <v>1</v>
      </c>
      <c r="J465" s="24" t="s">
        <v>33</v>
      </c>
    </row>
    <row r="466" spans="1:10" ht="15" customHeight="1" x14ac:dyDescent="0.3">
      <c r="A466" s="10" t="s">
        <v>218</v>
      </c>
      <c r="B466" s="10" t="s">
        <v>2595</v>
      </c>
      <c r="C466" s="10" t="s">
        <v>2596</v>
      </c>
      <c r="D466" s="24">
        <v>24</v>
      </c>
      <c r="E466" s="15">
        <v>-0.80720969507777451</v>
      </c>
      <c r="F466" s="24">
        <v>354.88342641238069</v>
      </c>
      <c r="G466" s="24">
        <v>7.3338951209405447</v>
      </c>
      <c r="H466" s="24">
        <v>48.389487517905529</v>
      </c>
      <c r="I466" s="16">
        <v>0</v>
      </c>
      <c r="J466" s="24">
        <v>-0.4</v>
      </c>
    </row>
    <row r="467" spans="1:10" ht="15" customHeight="1" x14ac:dyDescent="0.3">
      <c r="A467" s="10" t="s">
        <v>218</v>
      </c>
      <c r="B467" s="10" t="s">
        <v>2597</v>
      </c>
      <c r="C467" s="10" t="s">
        <v>2598</v>
      </c>
      <c r="D467" s="24">
        <v>24</v>
      </c>
      <c r="E467" s="15">
        <v>-3.1867960702466678</v>
      </c>
      <c r="F467" s="24">
        <v>347.54071769833149</v>
      </c>
      <c r="G467" s="24">
        <v>11.45551183409928</v>
      </c>
      <c r="H467" s="24">
        <v>30.338296772023529</v>
      </c>
      <c r="I467" s="16">
        <v>1</v>
      </c>
      <c r="J467" s="24" t="s">
        <v>33</v>
      </c>
    </row>
    <row r="468" spans="1:10" ht="15" customHeight="1" x14ac:dyDescent="0.3">
      <c r="A468" s="10" t="s">
        <v>219</v>
      </c>
      <c r="B468" s="10" t="s">
        <v>306</v>
      </c>
      <c r="C468" s="10" t="s">
        <v>2599</v>
      </c>
      <c r="D468" s="24">
        <v>25</v>
      </c>
      <c r="E468" s="15">
        <v>3.7343697124321591</v>
      </c>
      <c r="F468" s="24">
        <v>1925.515572352828</v>
      </c>
      <c r="G468" s="24">
        <v>30.96484172371029</v>
      </c>
      <c r="H468" s="24">
        <v>62.183930715151348</v>
      </c>
      <c r="I468" s="16">
        <v>0</v>
      </c>
      <c r="J468" s="24">
        <v>2.7</v>
      </c>
    </row>
    <row r="469" spans="1:10" ht="15" customHeight="1" x14ac:dyDescent="0.3">
      <c r="A469" s="10" t="s">
        <v>219</v>
      </c>
      <c r="B469" s="10" t="s">
        <v>396</v>
      </c>
      <c r="C469" s="10" t="s">
        <v>2600</v>
      </c>
      <c r="D469" s="24">
        <v>21</v>
      </c>
      <c r="E469" s="15">
        <v>5.4823352284132799E-2</v>
      </c>
      <c r="F469" s="24">
        <v>1765.2696933581151</v>
      </c>
      <c r="G469" s="24">
        <v>26.815959869931749</v>
      </c>
      <c r="H469" s="24">
        <v>65.829069774879855</v>
      </c>
      <c r="I469" s="16">
        <v>0</v>
      </c>
      <c r="J469" s="24">
        <v>-0.5</v>
      </c>
    </row>
    <row r="470" spans="1:10" ht="15" customHeight="1" x14ac:dyDescent="0.3">
      <c r="A470" s="10" t="s">
        <v>219</v>
      </c>
      <c r="B470" s="10" t="s">
        <v>307</v>
      </c>
      <c r="C470" s="10" t="s">
        <v>2601</v>
      </c>
      <c r="D470" s="24">
        <v>29</v>
      </c>
      <c r="E470" s="15">
        <v>2.130383696504706</v>
      </c>
      <c r="F470" s="24">
        <v>1759.6245021435441</v>
      </c>
      <c r="G470" s="24">
        <v>28.128532834024998</v>
      </c>
      <c r="H470" s="24">
        <v>62.556568894878758</v>
      </c>
      <c r="I470" s="16">
        <v>0</v>
      </c>
      <c r="J470" s="24">
        <v>2.2000000000000002</v>
      </c>
    </row>
    <row r="471" spans="1:10" ht="15" customHeight="1" x14ac:dyDescent="0.3">
      <c r="A471" s="10" t="s">
        <v>219</v>
      </c>
      <c r="B471" s="10" t="s">
        <v>317</v>
      </c>
      <c r="C471" s="10" t="s">
        <v>2602</v>
      </c>
      <c r="D471" s="24">
        <v>41</v>
      </c>
      <c r="E471" s="15">
        <v>2.6178184464744501</v>
      </c>
      <c r="F471" s="24">
        <v>1509.4587549510691</v>
      </c>
      <c r="G471" s="24">
        <v>28.08356899447551</v>
      </c>
      <c r="H471" s="24">
        <v>53.748822140376937</v>
      </c>
      <c r="I471" s="16">
        <v>0</v>
      </c>
      <c r="J471" s="24">
        <v>1.5</v>
      </c>
    </row>
    <row r="472" spans="1:10" ht="15" customHeight="1" x14ac:dyDescent="0.3">
      <c r="A472" s="10" t="s">
        <v>219</v>
      </c>
      <c r="B472" s="10" t="s">
        <v>357</v>
      </c>
      <c r="C472" s="10" t="s">
        <v>2603</v>
      </c>
      <c r="D472" s="24">
        <v>27</v>
      </c>
      <c r="E472" s="15">
        <v>-0.73782389576967999</v>
      </c>
      <c r="F472" s="24">
        <v>1430.5431592104071</v>
      </c>
      <c r="G472" s="24">
        <v>23.952792850823041</v>
      </c>
      <c r="H472" s="24">
        <v>59.723438854073002</v>
      </c>
      <c r="I472" s="16">
        <v>0</v>
      </c>
      <c r="J472" s="24">
        <v>-1.5</v>
      </c>
    </row>
    <row r="473" spans="1:10" ht="15" customHeight="1" x14ac:dyDescent="0.3">
      <c r="A473" s="10" t="s">
        <v>219</v>
      </c>
      <c r="B473" s="10" t="s">
        <v>2604</v>
      </c>
      <c r="C473" s="10" t="s">
        <v>2605</v>
      </c>
      <c r="D473" s="24">
        <v>33</v>
      </c>
      <c r="E473" s="15">
        <v>-1.743472864944084</v>
      </c>
      <c r="F473" s="24">
        <v>1371.4565232136549</v>
      </c>
      <c r="G473" s="24">
        <v>21.244191126227669</v>
      </c>
      <c r="H473" s="24">
        <v>64.556777665235813</v>
      </c>
      <c r="I473" s="16">
        <v>0</v>
      </c>
      <c r="J473" s="24">
        <v>-1.2</v>
      </c>
    </row>
    <row r="474" spans="1:10" ht="15" customHeight="1" x14ac:dyDescent="0.3">
      <c r="A474" s="10" t="s">
        <v>219</v>
      </c>
      <c r="B474" s="10" t="s">
        <v>309</v>
      </c>
      <c r="C474" s="10" t="s">
        <v>2606</v>
      </c>
      <c r="D474" s="24">
        <v>32</v>
      </c>
      <c r="E474" s="15">
        <v>4.1409471341885951</v>
      </c>
      <c r="F474" s="24">
        <v>1229.347367006498</v>
      </c>
      <c r="G474" s="24">
        <v>25.067770917719969</v>
      </c>
      <c r="H474" s="24">
        <v>49.04095266553972</v>
      </c>
      <c r="I474" s="16">
        <v>0</v>
      </c>
      <c r="J474" s="24">
        <v>3.6</v>
      </c>
    </row>
    <row r="475" spans="1:10" ht="15" customHeight="1" x14ac:dyDescent="0.3">
      <c r="A475" s="10" t="s">
        <v>219</v>
      </c>
      <c r="B475" s="10" t="s">
        <v>2607</v>
      </c>
      <c r="C475" s="10" t="s">
        <v>2608</v>
      </c>
      <c r="D475" s="24">
        <v>29</v>
      </c>
      <c r="E475" s="15">
        <v>0.44166467706922818</v>
      </c>
      <c r="F475" s="24">
        <v>1064.916584331552</v>
      </c>
      <c r="G475" s="24">
        <v>17.998537323342319</v>
      </c>
      <c r="H475" s="24">
        <v>59.166840349324431</v>
      </c>
      <c r="I475" s="16">
        <v>0</v>
      </c>
      <c r="J475" s="24">
        <v>0.8</v>
      </c>
    </row>
    <row r="476" spans="1:10" ht="15" customHeight="1" x14ac:dyDescent="0.3">
      <c r="A476" s="10" t="s">
        <v>219</v>
      </c>
      <c r="B476" s="10" t="s">
        <v>2609</v>
      </c>
      <c r="C476" s="10" t="s">
        <v>2610</v>
      </c>
      <c r="D476" s="24">
        <v>23</v>
      </c>
      <c r="E476" s="15">
        <v>-0.1997755551203563</v>
      </c>
      <c r="F476" s="24">
        <v>1004.7256268301051</v>
      </c>
      <c r="G476" s="24">
        <v>16.456689348399031</v>
      </c>
      <c r="H476" s="24">
        <v>61.052718779542893</v>
      </c>
      <c r="I476" s="16">
        <v>0</v>
      </c>
      <c r="J476" s="24">
        <v>0</v>
      </c>
    </row>
    <row r="477" spans="1:10" ht="15" customHeight="1" x14ac:dyDescent="0.3">
      <c r="A477" s="10" t="s">
        <v>219</v>
      </c>
      <c r="B477" s="10" t="s">
        <v>2611</v>
      </c>
      <c r="C477" s="10" t="s">
        <v>2612</v>
      </c>
      <c r="D477" s="24">
        <v>22</v>
      </c>
      <c r="E477" s="15">
        <v>-1.278369689244272</v>
      </c>
      <c r="F477" s="24">
        <v>916.20646102406977</v>
      </c>
      <c r="G477" s="24">
        <v>15.22626602798193</v>
      </c>
      <c r="H477" s="24">
        <v>60.17276063220752</v>
      </c>
      <c r="I477" s="16">
        <v>0</v>
      </c>
      <c r="J477" s="24">
        <v>-1.4</v>
      </c>
    </row>
    <row r="478" spans="1:10" ht="15" customHeight="1" x14ac:dyDescent="0.3">
      <c r="A478" s="10" t="s">
        <v>219</v>
      </c>
      <c r="B478" s="10" t="s">
        <v>2613</v>
      </c>
      <c r="C478" s="10" t="s">
        <v>2614</v>
      </c>
      <c r="D478" s="24">
        <v>25</v>
      </c>
      <c r="E478" s="15">
        <v>-2.7194950819305741</v>
      </c>
      <c r="F478" s="24">
        <v>908.83050410861676</v>
      </c>
      <c r="G478" s="24">
        <v>16.04993317001076</v>
      </c>
      <c r="H478" s="24">
        <v>56.625189306505213</v>
      </c>
      <c r="I478" s="16">
        <v>0</v>
      </c>
      <c r="J478" s="24">
        <v>-3.1</v>
      </c>
    </row>
    <row r="479" spans="1:10" ht="15" customHeight="1" x14ac:dyDescent="0.3">
      <c r="A479" s="10" t="s">
        <v>219</v>
      </c>
      <c r="B479" s="10" t="s">
        <v>2615</v>
      </c>
      <c r="C479" s="10" t="s">
        <v>2616</v>
      </c>
      <c r="D479" s="24">
        <v>23</v>
      </c>
      <c r="E479" s="15">
        <v>-1.06569608932833</v>
      </c>
      <c r="F479" s="24">
        <v>886.77200855606475</v>
      </c>
      <c r="G479" s="24">
        <v>14.03140266569609</v>
      </c>
      <c r="H479" s="24">
        <v>63.199099169467992</v>
      </c>
      <c r="I479" s="16">
        <v>0</v>
      </c>
      <c r="J479" s="24">
        <v>-0.4</v>
      </c>
    </row>
    <row r="480" spans="1:10" ht="15" customHeight="1" x14ac:dyDescent="0.3">
      <c r="A480" s="10" t="s">
        <v>219</v>
      </c>
      <c r="B480" s="10" t="s">
        <v>2617</v>
      </c>
      <c r="C480" s="10" t="s">
        <v>2618</v>
      </c>
      <c r="D480" s="24">
        <v>24</v>
      </c>
      <c r="E480" s="15">
        <v>-1.030759635298909</v>
      </c>
      <c r="F480" s="24">
        <v>758.00308661202678</v>
      </c>
      <c r="G480" s="24">
        <v>12.3162532590397</v>
      </c>
      <c r="H480" s="24">
        <v>61.54494152315997</v>
      </c>
      <c r="I480" s="16">
        <v>0</v>
      </c>
      <c r="J480" s="24">
        <v>-0.5</v>
      </c>
    </row>
    <row r="481" spans="1:10" ht="15" customHeight="1" x14ac:dyDescent="0.3">
      <c r="A481" s="10" t="s">
        <v>219</v>
      </c>
      <c r="B481" s="10" t="s">
        <v>2619</v>
      </c>
      <c r="C481" s="10" t="s">
        <v>2620</v>
      </c>
      <c r="D481" s="24">
        <v>22</v>
      </c>
      <c r="E481" s="15">
        <v>-3.2392591716780701</v>
      </c>
      <c r="F481" s="24">
        <v>745.44759838207005</v>
      </c>
      <c r="G481" s="24">
        <v>12.236635337721269</v>
      </c>
      <c r="H481" s="24">
        <v>60.919327724355377</v>
      </c>
      <c r="I481" s="16">
        <v>0</v>
      </c>
      <c r="J481" s="24">
        <v>-2.9</v>
      </c>
    </row>
    <row r="482" spans="1:10" ht="15" customHeight="1" x14ac:dyDescent="0.3">
      <c r="A482" s="10" t="s">
        <v>219</v>
      </c>
      <c r="B482" s="10" t="s">
        <v>2621</v>
      </c>
      <c r="C482" s="10" t="s">
        <v>2622</v>
      </c>
      <c r="D482" s="24">
        <v>20</v>
      </c>
      <c r="E482" s="15">
        <v>-2.446923610763565</v>
      </c>
      <c r="F482" s="24">
        <v>666.60001833184526</v>
      </c>
      <c r="G482" s="24">
        <v>15.10148024541987</v>
      </c>
      <c r="H482" s="24">
        <v>44.141369421982233</v>
      </c>
      <c r="I482" s="16">
        <v>1</v>
      </c>
      <c r="J482" s="24" t="s">
        <v>33</v>
      </c>
    </row>
    <row r="483" spans="1:10" ht="15" customHeight="1" x14ac:dyDescent="0.3">
      <c r="A483" s="10" t="s">
        <v>219</v>
      </c>
      <c r="B483" s="10" t="s">
        <v>2623</v>
      </c>
      <c r="C483" s="10" t="s">
        <v>2624</v>
      </c>
      <c r="D483" s="24">
        <v>24</v>
      </c>
      <c r="E483" s="15">
        <v>-1.945574374178894</v>
      </c>
      <c r="F483" s="24">
        <v>398.1052150405115</v>
      </c>
      <c r="G483" s="24">
        <v>8.5326113410879216</v>
      </c>
      <c r="H483" s="24">
        <v>46.656902456517187</v>
      </c>
      <c r="I483" s="16">
        <v>0</v>
      </c>
      <c r="J483" s="24">
        <v>-1.8</v>
      </c>
    </row>
    <row r="484" spans="1:10" ht="15" customHeight="1" x14ac:dyDescent="0.3">
      <c r="A484" s="10" t="s">
        <v>219</v>
      </c>
      <c r="B484" s="10" t="s">
        <v>2625</v>
      </c>
      <c r="C484" s="10" t="s">
        <v>2626</v>
      </c>
      <c r="D484" s="24">
        <v>30</v>
      </c>
      <c r="E484" s="15">
        <v>-3.1867960702466678</v>
      </c>
      <c r="F484" s="24">
        <v>334.79433113675628</v>
      </c>
      <c r="G484" s="24">
        <v>11.03537003585142</v>
      </c>
      <c r="H484" s="24">
        <v>30.338296772023529</v>
      </c>
      <c r="I484" s="16">
        <v>1</v>
      </c>
      <c r="J484" s="24" t="s">
        <v>33</v>
      </c>
    </row>
    <row r="485" spans="1:10" ht="15" customHeight="1" x14ac:dyDescent="0.3">
      <c r="A485" s="10" t="s">
        <v>219</v>
      </c>
      <c r="B485" s="10" t="s">
        <v>2627</v>
      </c>
      <c r="C485" s="10" t="s">
        <v>2628</v>
      </c>
      <c r="D485" s="24">
        <v>24</v>
      </c>
      <c r="E485" s="15">
        <v>-3.1867960702466678</v>
      </c>
      <c r="F485" s="24">
        <v>334.79433113675628</v>
      </c>
      <c r="G485" s="24">
        <v>11.03537003585142</v>
      </c>
      <c r="H485" s="24">
        <v>30.338296772023529</v>
      </c>
      <c r="I485" s="16">
        <v>1</v>
      </c>
      <c r="J485" s="24" t="s">
        <v>33</v>
      </c>
    </row>
    <row r="486" spans="1:10" ht="15" customHeight="1" x14ac:dyDescent="0.3">
      <c r="A486" s="10" t="s">
        <v>219</v>
      </c>
      <c r="B486" s="10" t="s">
        <v>2629</v>
      </c>
      <c r="C486" s="10" t="s">
        <v>2630</v>
      </c>
      <c r="D486" s="24">
        <v>25</v>
      </c>
      <c r="E486" s="15">
        <v>-3.1867960702466678</v>
      </c>
      <c r="F486" s="24">
        <v>334.79433113675628</v>
      </c>
      <c r="G486" s="24">
        <v>11.03537003585142</v>
      </c>
      <c r="H486" s="24">
        <v>30.338296772023529</v>
      </c>
      <c r="I486" s="16">
        <v>1</v>
      </c>
      <c r="J486" s="24" t="s">
        <v>33</v>
      </c>
    </row>
    <row r="487" spans="1:10" ht="15" customHeight="1" x14ac:dyDescent="0.3">
      <c r="A487" s="10" t="s">
        <v>219</v>
      </c>
      <c r="B487" s="10" t="s">
        <v>2631</v>
      </c>
      <c r="C487" s="10" t="s">
        <v>2632</v>
      </c>
      <c r="D487" s="24">
        <v>23</v>
      </c>
      <c r="E487" s="15">
        <v>-3.1867960702466678</v>
      </c>
      <c r="F487" s="24">
        <v>334.79433113675628</v>
      </c>
      <c r="G487" s="24">
        <v>11.03537003585142</v>
      </c>
      <c r="H487" s="24">
        <v>30.338296772023529</v>
      </c>
      <c r="I487" s="16">
        <v>1</v>
      </c>
      <c r="J487" s="24" t="s">
        <v>33</v>
      </c>
    </row>
    <row r="488" spans="1:10" ht="15" customHeight="1" x14ac:dyDescent="0.3">
      <c r="A488" s="10" t="s">
        <v>219</v>
      </c>
      <c r="B488" s="10" t="s">
        <v>2633</v>
      </c>
      <c r="C488" s="10" t="s">
        <v>2634</v>
      </c>
      <c r="D488" s="24">
        <v>24</v>
      </c>
      <c r="E488" s="15">
        <v>-1.88703755728031</v>
      </c>
      <c r="F488" s="24">
        <v>0</v>
      </c>
      <c r="G488" s="24">
        <v>0</v>
      </c>
      <c r="H488" s="24">
        <v>0</v>
      </c>
      <c r="I488" s="16">
        <v>0</v>
      </c>
      <c r="J488" s="24">
        <v>-1.9</v>
      </c>
    </row>
    <row r="489" spans="1:10" ht="15" customHeight="1" x14ac:dyDescent="0.3">
      <c r="A489" s="10" t="s">
        <v>220</v>
      </c>
      <c r="B489" s="10" t="s">
        <v>311</v>
      </c>
      <c r="C489" s="10" t="s">
        <v>2635</v>
      </c>
      <c r="D489" s="24">
        <v>29</v>
      </c>
      <c r="E489" s="15">
        <v>2.117156158830205</v>
      </c>
      <c r="F489" s="24">
        <v>1885.87180437048</v>
      </c>
      <c r="G489" s="24">
        <v>30.45814695969419</v>
      </c>
      <c r="H489" s="24">
        <v>61.916826616736977</v>
      </c>
      <c r="I489" s="16">
        <v>0</v>
      </c>
      <c r="J489" s="24">
        <v>2.4</v>
      </c>
    </row>
    <row r="490" spans="1:10" ht="15" customHeight="1" x14ac:dyDescent="0.3">
      <c r="A490" s="10" t="s">
        <v>220</v>
      </c>
      <c r="B490" s="10" t="s">
        <v>2636</v>
      </c>
      <c r="C490" s="10" t="s">
        <v>2637</v>
      </c>
      <c r="D490" s="24">
        <v>28</v>
      </c>
      <c r="E490" s="15">
        <v>0.91957254661345755</v>
      </c>
      <c r="F490" s="24">
        <v>1805.6173665554411</v>
      </c>
      <c r="G490" s="24">
        <v>28.017255844901609</v>
      </c>
      <c r="H490" s="24">
        <v>64.446617347216574</v>
      </c>
      <c r="I490" s="16">
        <v>0</v>
      </c>
      <c r="J490" s="24">
        <v>0.8</v>
      </c>
    </row>
    <row r="491" spans="1:10" ht="15" customHeight="1" x14ac:dyDescent="0.3">
      <c r="A491" s="10" t="s">
        <v>220</v>
      </c>
      <c r="B491" s="10" t="s">
        <v>2638</v>
      </c>
      <c r="C491" s="10" t="s">
        <v>2639</v>
      </c>
      <c r="D491" s="24">
        <v>30</v>
      </c>
      <c r="E491" s="15">
        <v>-1.25512965444711</v>
      </c>
      <c r="F491" s="24">
        <v>1600.99689749494</v>
      </c>
      <c r="G491" s="24">
        <v>26.873231250707761</v>
      </c>
      <c r="H491" s="24">
        <v>59.575898505051363</v>
      </c>
      <c r="I491" s="16">
        <v>0</v>
      </c>
      <c r="J491" s="24">
        <v>-0.3</v>
      </c>
    </row>
    <row r="492" spans="1:10" ht="15" customHeight="1" x14ac:dyDescent="0.3">
      <c r="A492" s="10" t="s">
        <v>220</v>
      </c>
      <c r="B492" s="10" t="s">
        <v>2640</v>
      </c>
      <c r="C492" s="10" t="s">
        <v>2641</v>
      </c>
      <c r="D492" s="24">
        <v>24</v>
      </c>
      <c r="E492" s="15">
        <v>0.33937761531923072</v>
      </c>
      <c r="F492" s="24">
        <v>1469.0226789671631</v>
      </c>
      <c r="G492" s="24">
        <v>26.443078328595369</v>
      </c>
      <c r="H492" s="24">
        <v>55.554147694618877</v>
      </c>
      <c r="I492" s="16">
        <v>0</v>
      </c>
      <c r="J492" s="24">
        <v>0.2</v>
      </c>
    </row>
    <row r="493" spans="1:10" ht="15" customHeight="1" x14ac:dyDescent="0.3">
      <c r="A493" s="10" t="s">
        <v>220</v>
      </c>
      <c r="B493" s="10" t="s">
        <v>2642</v>
      </c>
      <c r="C493" s="10" t="s">
        <v>2643</v>
      </c>
      <c r="D493" s="24">
        <v>27</v>
      </c>
      <c r="E493" s="15">
        <v>1.3155244682921059</v>
      </c>
      <c r="F493" s="24">
        <v>1308.499246223955</v>
      </c>
      <c r="G493" s="24">
        <v>20.91763849562302</v>
      </c>
      <c r="H493" s="24">
        <v>62.554826468473287</v>
      </c>
      <c r="I493" s="16">
        <v>0</v>
      </c>
      <c r="J493" s="24">
        <v>0.4</v>
      </c>
    </row>
    <row r="494" spans="1:10" ht="15" customHeight="1" x14ac:dyDescent="0.3">
      <c r="A494" s="10" t="s">
        <v>220</v>
      </c>
      <c r="B494" s="10" t="s">
        <v>376</v>
      </c>
      <c r="C494" s="10" t="s">
        <v>2644</v>
      </c>
      <c r="D494" s="24">
        <v>30</v>
      </c>
      <c r="E494" s="15">
        <v>-0.22321371737440221</v>
      </c>
      <c r="F494" s="24">
        <v>1249.678005467186</v>
      </c>
      <c r="G494" s="24">
        <v>19.47362823161426</v>
      </c>
      <c r="H494" s="24">
        <v>64.172838805580596</v>
      </c>
      <c r="I494" s="16">
        <v>0</v>
      </c>
      <c r="J494" s="24">
        <v>-0.5</v>
      </c>
    </row>
    <row r="495" spans="1:10" ht="15" customHeight="1" x14ac:dyDescent="0.3">
      <c r="A495" s="10" t="s">
        <v>220</v>
      </c>
      <c r="B495" s="10" t="s">
        <v>2645</v>
      </c>
      <c r="C495" s="10" t="s">
        <v>2646</v>
      </c>
      <c r="D495" s="24">
        <v>24</v>
      </c>
      <c r="E495" s="15">
        <v>0.4627701639788403</v>
      </c>
      <c r="F495" s="24">
        <v>1180.3366486772541</v>
      </c>
      <c r="G495" s="24">
        <v>17.83984854211386</v>
      </c>
      <c r="H495" s="24">
        <v>66.162929908899045</v>
      </c>
      <c r="I495" s="16">
        <v>0</v>
      </c>
      <c r="J495" s="24">
        <v>0.8</v>
      </c>
    </row>
    <row r="496" spans="1:10" ht="15" customHeight="1" x14ac:dyDescent="0.3">
      <c r="A496" s="10" t="s">
        <v>220</v>
      </c>
      <c r="B496" s="10" t="s">
        <v>481</v>
      </c>
      <c r="C496" s="10" t="s">
        <v>2647</v>
      </c>
      <c r="D496" s="24">
        <v>27</v>
      </c>
      <c r="E496" s="15">
        <v>0.84879015596594964</v>
      </c>
      <c r="F496" s="24">
        <v>1096.019600720821</v>
      </c>
      <c r="G496" s="24">
        <v>18.368682753865709</v>
      </c>
      <c r="H496" s="24">
        <v>59.667838756165693</v>
      </c>
      <c r="I496" s="16">
        <v>0</v>
      </c>
      <c r="J496" s="24">
        <v>0.7</v>
      </c>
    </row>
    <row r="497" spans="1:10" ht="15" customHeight="1" x14ac:dyDescent="0.3">
      <c r="A497" s="10" t="s">
        <v>220</v>
      </c>
      <c r="B497" s="10" t="s">
        <v>2648</v>
      </c>
      <c r="C497" s="10" t="s">
        <v>2649</v>
      </c>
      <c r="D497" s="24">
        <v>23</v>
      </c>
      <c r="E497" s="15">
        <v>-0.4844732285846477</v>
      </c>
      <c r="F497" s="24">
        <v>1081.719116804735</v>
      </c>
      <c r="G497" s="24">
        <v>16.786229536682519</v>
      </c>
      <c r="H497" s="24">
        <v>64.440862937140352</v>
      </c>
      <c r="I497" s="16">
        <v>0</v>
      </c>
      <c r="J497" s="24">
        <v>0.1</v>
      </c>
    </row>
    <row r="498" spans="1:10" ht="15" customHeight="1" x14ac:dyDescent="0.3">
      <c r="A498" s="10" t="s">
        <v>220</v>
      </c>
      <c r="B498" s="10" t="s">
        <v>2650</v>
      </c>
      <c r="C498" s="10" t="s">
        <v>2651</v>
      </c>
      <c r="D498" s="24">
        <v>29</v>
      </c>
      <c r="E498" s="15">
        <v>-0.64545512793015269</v>
      </c>
      <c r="F498" s="24">
        <v>915.82763628654277</v>
      </c>
      <c r="G498" s="24">
        <v>19.282452424445449</v>
      </c>
      <c r="H498" s="24">
        <v>47.49539198268662</v>
      </c>
      <c r="I498" s="16">
        <v>0</v>
      </c>
      <c r="J498" s="24">
        <v>0</v>
      </c>
    </row>
    <row r="499" spans="1:10" ht="15" customHeight="1" x14ac:dyDescent="0.3">
      <c r="A499" s="10" t="s">
        <v>220</v>
      </c>
      <c r="B499" s="10" t="s">
        <v>2652</v>
      </c>
      <c r="C499" s="10" t="s">
        <v>2653</v>
      </c>
      <c r="D499" s="24">
        <v>24</v>
      </c>
      <c r="E499" s="15">
        <v>-2.7997795800632659</v>
      </c>
      <c r="F499" s="24">
        <v>812.48765268616967</v>
      </c>
      <c r="G499" s="24">
        <v>18.61386847141268</v>
      </c>
      <c r="H499" s="24">
        <v>43.649586002715893</v>
      </c>
      <c r="I499" s="16">
        <v>0</v>
      </c>
      <c r="J499" s="24" t="s">
        <v>33</v>
      </c>
    </row>
    <row r="500" spans="1:10" ht="15" customHeight="1" x14ac:dyDescent="0.3">
      <c r="A500" s="10" t="s">
        <v>220</v>
      </c>
      <c r="B500" s="10" t="s">
        <v>2654</v>
      </c>
      <c r="C500" s="10" t="s">
        <v>2655</v>
      </c>
      <c r="D500" s="24">
        <v>30</v>
      </c>
      <c r="E500" s="15">
        <v>-2.2276935039839132</v>
      </c>
      <c r="F500" s="24">
        <v>785.58044839204331</v>
      </c>
      <c r="G500" s="24">
        <v>13.37612411825641</v>
      </c>
      <c r="H500" s="24">
        <v>58.73005075661964</v>
      </c>
      <c r="I500" s="16">
        <v>0</v>
      </c>
      <c r="J500" s="24">
        <v>-2.1</v>
      </c>
    </row>
    <row r="501" spans="1:10" ht="15" customHeight="1" x14ac:dyDescent="0.3">
      <c r="A501" s="10" t="s">
        <v>220</v>
      </c>
      <c r="B501" s="10" t="s">
        <v>2656</v>
      </c>
      <c r="C501" s="10" t="s">
        <v>2657</v>
      </c>
      <c r="D501" s="24">
        <v>22</v>
      </c>
      <c r="E501" s="15">
        <v>-1.759955337658264</v>
      </c>
      <c r="F501" s="24">
        <v>649.67312851269548</v>
      </c>
      <c r="G501" s="24">
        <v>11.02318758234955</v>
      </c>
      <c r="H501" s="24">
        <v>58.936956634300543</v>
      </c>
      <c r="I501" s="16">
        <v>0</v>
      </c>
      <c r="J501" s="24">
        <v>-1.5</v>
      </c>
    </row>
    <row r="502" spans="1:10" ht="15" customHeight="1" x14ac:dyDescent="0.3">
      <c r="A502" s="10" t="s">
        <v>220</v>
      </c>
      <c r="B502" s="10" t="s">
        <v>2658</v>
      </c>
      <c r="C502" s="10" t="s">
        <v>2659</v>
      </c>
      <c r="D502" s="24">
        <v>27</v>
      </c>
      <c r="E502" s="15">
        <v>-1.0022364286002881</v>
      </c>
      <c r="F502" s="24">
        <v>620.92941393566832</v>
      </c>
      <c r="G502" s="24">
        <v>12.08145586161638</v>
      </c>
      <c r="H502" s="24">
        <v>51.395247480761313</v>
      </c>
      <c r="I502" s="16">
        <v>0</v>
      </c>
      <c r="J502" s="24">
        <v>-0.8</v>
      </c>
    </row>
    <row r="503" spans="1:10" ht="15" customHeight="1" x14ac:dyDescent="0.3">
      <c r="A503" s="10" t="s">
        <v>220</v>
      </c>
      <c r="B503" s="10" t="s">
        <v>2660</v>
      </c>
      <c r="C503" s="10" t="s">
        <v>2661</v>
      </c>
      <c r="D503" s="24">
        <v>19</v>
      </c>
      <c r="E503" s="15">
        <v>-2.503200030213133</v>
      </c>
      <c r="F503" s="24">
        <v>581.84320745243815</v>
      </c>
      <c r="G503" s="24">
        <v>14.56664554373479</v>
      </c>
      <c r="H503" s="24">
        <v>39.943527540744803</v>
      </c>
      <c r="I503" s="16">
        <v>1</v>
      </c>
      <c r="J503" s="24" t="s">
        <v>33</v>
      </c>
    </row>
    <row r="504" spans="1:10" ht="15" customHeight="1" x14ac:dyDescent="0.3">
      <c r="A504" s="10" t="s">
        <v>220</v>
      </c>
      <c r="B504" s="10" t="s">
        <v>2662</v>
      </c>
      <c r="C504" s="10" t="s">
        <v>2663</v>
      </c>
      <c r="D504" s="24">
        <v>30</v>
      </c>
      <c r="E504" s="15">
        <v>-1.283336149280621</v>
      </c>
      <c r="F504" s="24">
        <v>535.71269078450825</v>
      </c>
      <c r="G504" s="24">
        <v>10.53791180996001</v>
      </c>
      <c r="H504" s="24">
        <v>50.836702797054564</v>
      </c>
      <c r="I504" s="16">
        <v>0</v>
      </c>
      <c r="J504" s="24" t="s">
        <v>33</v>
      </c>
    </row>
    <row r="505" spans="1:10" ht="15" customHeight="1" x14ac:dyDescent="0.3">
      <c r="A505" s="10" t="s">
        <v>220</v>
      </c>
      <c r="B505" s="10" t="s">
        <v>390</v>
      </c>
      <c r="C505" s="10" t="s">
        <v>2664</v>
      </c>
      <c r="D505" s="24">
        <v>20</v>
      </c>
      <c r="E505" s="15">
        <v>-1.1204355186000849</v>
      </c>
      <c r="F505" s="24">
        <v>488.95516859887852</v>
      </c>
      <c r="G505" s="24">
        <v>8.7642317429669792</v>
      </c>
      <c r="H505" s="24">
        <v>55.789849348888993</v>
      </c>
      <c r="I505" s="16">
        <v>0</v>
      </c>
      <c r="J505" s="24">
        <v>-0.9</v>
      </c>
    </row>
    <row r="506" spans="1:10" ht="15" customHeight="1" x14ac:dyDescent="0.3">
      <c r="A506" s="10" t="s">
        <v>220</v>
      </c>
      <c r="B506" s="10" t="s">
        <v>2665</v>
      </c>
      <c r="C506" s="10" t="s">
        <v>2666</v>
      </c>
      <c r="D506" s="24">
        <v>24</v>
      </c>
      <c r="E506" s="15">
        <v>0.82309296772615725</v>
      </c>
      <c r="F506" s="24">
        <v>482.0838230819125</v>
      </c>
      <c r="G506" s="24">
        <v>21.08147439673138</v>
      </c>
      <c r="H506" s="24">
        <v>22.867652139010652</v>
      </c>
      <c r="I506" s="16">
        <v>0</v>
      </c>
      <c r="J506" s="24">
        <v>-0.8</v>
      </c>
    </row>
    <row r="507" spans="1:10" ht="15" customHeight="1" x14ac:dyDescent="0.3">
      <c r="A507" s="10" t="s">
        <v>220</v>
      </c>
      <c r="B507" s="10" t="s">
        <v>2667</v>
      </c>
      <c r="C507" s="10" t="s">
        <v>2668</v>
      </c>
      <c r="D507" s="24">
        <v>24</v>
      </c>
      <c r="E507" s="15">
        <v>-2.3825983545872358</v>
      </c>
      <c r="F507" s="24">
        <v>431.9263343457751</v>
      </c>
      <c r="G507" s="24">
        <v>10.4743067050153</v>
      </c>
      <c r="H507" s="24">
        <v>41.236746880722933</v>
      </c>
      <c r="I507" s="16">
        <v>0</v>
      </c>
      <c r="J507" s="24">
        <v>-3.1</v>
      </c>
    </row>
    <row r="508" spans="1:10" ht="15" customHeight="1" x14ac:dyDescent="0.3">
      <c r="A508" s="10" t="s">
        <v>220</v>
      </c>
      <c r="B508" s="10" t="s">
        <v>2669</v>
      </c>
      <c r="C508" s="10" t="s">
        <v>2670</v>
      </c>
      <c r="D508" s="24">
        <v>23</v>
      </c>
      <c r="E508" s="15">
        <v>-1.694436190441164</v>
      </c>
      <c r="F508" s="24">
        <v>389.84633671682809</v>
      </c>
      <c r="G508" s="24">
        <v>8.8449701064573691</v>
      </c>
      <c r="H508" s="24">
        <v>44.075483808839152</v>
      </c>
      <c r="I508" s="16">
        <v>0</v>
      </c>
      <c r="J508" s="24">
        <v>-2.4</v>
      </c>
    </row>
    <row r="509" spans="1:10" ht="15" customHeight="1" x14ac:dyDescent="0.3">
      <c r="A509" s="10" t="s">
        <v>220</v>
      </c>
      <c r="B509" s="10" t="s">
        <v>2671</v>
      </c>
      <c r="C509" s="10" t="s">
        <v>2672</v>
      </c>
      <c r="D509" s="24">
        <v>24</v>
      </c>
      <c r="E509" s="15">
        <v>-2.0320400772382929</v>
      </c>
      <c r="F509" s="24">
        <v>307.37279392456281</v>
      </c>
      <c r="G509" s="24">
        <v>10.131511212851169</v>
      </c>
      <c r="H509" s="24">
        <v>30.338296772023529</v>
      </c>
      <c r="I509" s="16">
        <v>0</v>
      </c>
      <c r="J509" s="24" t="s">
        <v>33</v>
      </c>
    </row>
    <row r="510" spans="1:10" ht="15" customHeight="1" x14ac:dyDescent="0.3">
      <c r="A510" s="10" t="s">
        <v>221</v>
      </c>
      <c r="B510" s="10" t="s">
        <v>486</v>
      </c>
      <c r="C510" s="10" t="s">
        <v>2673</v>
      </c>
      <c r="D510" s="24">
        <v>26</v>
      </c>
      <c r="E510" s="15">
        <v>0.2940683888942679</v>
      </c>
      <c r="F510" s="24">
        <v>2113.1836018252579</v>
      </c>
      <c r="G510" s="24">
        <v>31.32378275121664</v>
      </c>
      <c r="H510" s="24">
        <v>67.462592835891797</v>
      </c>
      <c r="I510" s="16">
        <v>0</v>
      </c>
      <c r="J510" s="24">
        <v>1</v>
      </c>
    </row>
    <row r="511" spans="1:10" ht="15" customHeight="1" x14ac:dyDescent="0.3">
      <c r="A511" s="10" t="s">
        <v>221</v>
      </c>
      <c r="B511" s="10" t="s">
        <v>314</v>
      </c>
      <c r="C511" s="10" t="s">
        <v>2674</v>
      </c>
      <c r="D511" s="24">
        <v>25</v>
      </c>
      <c r="E511" s="15">
        <v>2.2825018384985558</v>
      </c>
      <c r="F511" s="24">
        <v>1963.2098674011299</v>
      </c>
      <c r="G511" s="24">
        <v>31.139884461683248</v>
      </c>
      <c r="H511" s="24">
        <v>63.044866779027537</v>
      </c>
      <c r="I511" s="16">
        <v>0</v>
      </c>
      <c r="J511" s="24">
        <v>1.3</v>
      </c>
    </row>
    <row r="512" spans="1:10" ht="15" customHeight="1" x14ac:dyDescent="0.3">
      <c r="A512" s="10" t="s">
        <v>221</v>
      </c>
      <c r="B512" s="10" t="s">
        <v>377</v>
      </c>
      <c r="C512" s="10" t="s">
        <v>2675</v>
      </c>
      <c r="D512" s="24">
        <v>36</v>
      </c>
      <c r="E512" s="15">
        <v>0.69134232908158322</v>
      </c>
      <c r="F512" s="24">
        <v>1637.427616009639</v>
      </c>
      <c r="G512" s="24">
        <v>29.902889806450261</v>
      </c>
      <c r="H512" s="24">
        <v>54.758173093238447</v>
      </c>
      <c r="I512" s="16">
        <v>0</v>
      </c>
      <c r="J512" s="24">
        <v>0.6</v>
      </c>
    </row>
    <row r="513" spans="1:10" ht="15" customHeight="1" x14ac:dyDescent="0.3">
      <c r="A513" s="10" t="s">
        <v>221</v>
      </c>
      <c r="B513" s="10" t="s">
        <v>335</v>
      </c>
      <c r="C513" s="10" t="s">
        <v>2676</v>
      </c>
      <c r="D513" s="24">
        <v>22</v>
      </c>
      <c r="E513" s="15">
        <v>2.0129313007041012</v>
      </c>
      <c r="F513" s="24">
        <v>1578.739827885863</v>
      </c>
      <c r="G513" s="24">
        <v>24.070942053433608</v>
      </c>
      <c r="H513" s="24">
        <v>65.586956438236413</v>
      </c>
      <c r="I513" s="16">
        <v>0</v>
      </c>
      <c r="J513" s="24">
        <v>1.1000000000000001</v>
      </c>
    </row>
    <row r="514" spans="1:10" ht="15" customHeight="1" x14ac:dyDescent="0.3">
      <c r="A514" s="10" t="s">
        <v>221</v>
      </c>
      <c r="B514" s="10" t="s">
        <v>470</v>
      </c>
      <c r="C514" s="10" t="s">
        <v>2677</v>
      </c>
      <c r="D514" s="24">
        <v>27</v>
      </c>
      <c r="E514" s="15">
        <v>0.78919016975765899</v>
      </c>
      <c r="F514" s="24">
        <v>1459.446776515726</v>
      </c>
      <c r="G514" s="24">
        <v>27.890961601668941</v>
      </c>
      <c r="H514" s="24">
        <v>52.326871957989283</v>
      </c>
      <c r="I514" s="16">
        <v>0</v>
      </c>
      <c r="J514" s="24">
        <v>1.1000000000000001</v>
      </c>
    </row>
    <row r="515" spans="1:10" ht="15" customHeight="1" x14ac:dyDescent="0.3">
      <c r="A515" s="10" t="s">
        <v>221</v>
      </c>
      <c r="B515" s="10" t="s">
        <v>364</v>
      </c>
      <c r="C515" s="10" t="s">
        <v>2678</v>
      </c>
      <c r="D515" s="24">
        <v>22</v>
      </c>
      <c r="E515" s="15">
        <v>-1.088909713838947</v>
      </c>
      <c r="F515" s="24">
        <v>1392.365143693542</v>
      </c>
      <c r="G515" s="24">
        <v>25.938621850859299</v>
      </c>
      <c r="H515" s="24">
        <v>53.679225970419687</v>
      </c>
      <c r="I515" s="16">
        <v>0</v>
      </c>
      <c r="J515" s="24">
        <v>-0.4</v>
      </c>
    </row>
    <row r="516" spans="1:10" ht="15" customHeight="1" x14ac:dyDescent="0.3">
      <c r="A516" s="10" t="s">
        <v>221</v>
      </c>
      <c r="B516" s="10" t="s">
        <v>2679</v>
      </c>
      <c r="C516" s="10" t="s">
        <v>2680</v>
      </c>
      <c r="D516" s="24">
        <v>26</v>
      </c>
      <c r="E516" s="15">
        <v>-0.6816873466544664</v>
      </c>
      <c r="F516" s="24">
        <v>1281.819838843631</v>
      </c>
      <c r="G516" s="24">
        <v>20.934658011456939</v>
      </c>
      <c r="H516" s="24">
        <v>61.229557136406427</v>
      </c>
      <c r="I516" s="16">
        <v>0</v>
      </c>
      <c r="J516" s="24">
        <v>-0.6</v>
      </c>
    </row>
    <row r="517" spans="1:10" ht="15" customHeight="1" x14ac:dyDescent="0.3">
      <c r="A517" s="10" t="s">
        <v>221</v>
      </c>
      <c r="B517" s="10" t="s">
        <v>2681</v>
      </c>
      <c r="C517" s="10" t="s">
        <v>2682</v>
      </c>
      <c r="D517" s="24">
        <v>23</v>
      </c>
      <c r="E517" s="15">
        <v>-0.82508435480936515</v>
      </c>
      <c r="F517" s="24">
        <v>1121.6960211477949</v>
      </c>
      <c r="G517" s="24">
        <v>20.01641243960632</v>
      </c>
      <c r="H517" s="24">
        <v>56.038814374563167</v>
      </c>
      <c r="I517" s="16">
        <v>0</v>
      </c>
      <c r="J517" s="24">
        <v>-0.6</v>
      </c>
    </row>
    <row r="518" spans="1:10" ht="15" customHeight="1" x14ac:dyDescent="0.3">
      <c r="A518" s="10" t="s">
        <v>221</v>
      </c>
      <c r="B518" s="10" t="s">
        <v>504</v>
      </c>
      <c r="C518" s="10" t="s">
        <v>2683</v>
      </c>
      <c r="D518" s="24">
        <v>36</v>
      </c>
      <c r="E518" s="15">
        <v>0.89237685709817149</v>
      </c>
      <c r="F518" s="24">
        <v>1037.520116266709</v>
      </c>
      <c r="G518" s="24">
        <v>34.198364003857272</v>
      </c>
      <c r="H518" s="24">
        <v>30.338296772023529</v>
      </c>
      <c r="I518" s="16">
        <v>0</v>
      </c>
      <c r="J518" s="24">
        <v>0</v>
      </c>
    </row>
    <row r="519" spans="1:10" ht="15" customHeight="1" x14ac:dyDescent="0.3">
      <c r="A519" s="10" t="s">
        <v>221</v>
      </c>
      <c r="B519" s="10" t="s">
        <v>2684</v>
      </c>
      <c r="C519" s="10" t="s">
        <v>2685</v>
      </c>
      <c r="D519" s="24">
        <v>22</v>
      </c>
      <c r="E519" s="15">
        <v>-1.2619109227210361</v>
      </c>
      <c r="F519" s="24">
        <v>1013.464298577793</v>
      </c>
      <c r="G519" s="24">
        <v>16.645611102805461</v>
      </c>
      <c r="H519" s="24">
        <v>60.884775711657937</v>
      </c>
      <c r="I519" s="16">
        <v>0</v>
      </c>
      <c r="J519" s="24">
        <v>-0.1</v>
      </c>
    </row>
    <row r="520" spans="1:10" ht="15" customHeight="1" x14ac:dyDescent="0.3">
      <c r="A520" s="10" t="s">
        <v>221</v>
      </c>
      <c r="B520" s="10" t="s">
        <v>2686</v>
      </c>
      <c r="C520" s="10" t="s">
        <v>2687</v>
      </c>
      <c r="D520" s="24">
        <v>28</v>
      </c>
      <c r="E520" s="15">
        <v>-0.74871440621294594</v>
      </c>
      <c r="F520" s="24">
        <v>987.5240459490044</v>
      </c>
      <c r="G520" s="24">
        <v>18.126638027064811</v>
      </c>
      <c r="H520" s="24">
        <v>54.479161799035019</v>
      </c>
      <c r="I520" s="16">
        <v>0</v>
      </c>
      <c r="J520" s="24">
        <v>-0.7</v>
      </c>
    </row>
    <row r="521" spans="1:10" ht="15" customHeight="1" x14ac:dyDescent="0.3">
      <c r="A521" s="10" t="s">
        <v>221</v>
      </c>
      <c r="B521" s="10" t="s">
        <v>2688</v>
      </c>
      <c r="C521" s="10" t="s">
        <v>2689</v>
      </c>
      <c r="D521" s="24">
        <v>28</v>
      </c>
      <c r="E521" s="15">
        <v>2.7485510936782291</v>
      </c>
      <c r="F521" s="24">
        <v>942.73446802482874</v>
      </c>
      <c r="G521" s="24">
        <v>16.89009110528637</v>
      </c>
      <c r="H521" s="24">
        <v>55.815830841182724</v>
      </c>
      <c r="I521" s="16">
        <v>0</v>
      </c>
      <c r="J521" s="24">
        <v>2.6</v>
      </c>
    </row>
    <row r="522" spans="1:10" ht="15" customHeight="1" x14ac:dyDescent="0.3">
      <c r="A522" s="10" t="s">
        <v>221</v>
      </c>
      <c r="B522" s="10" t="s">
        <v>2690</v>
      </c>
      <c r="C522" s="10" t="s">
        <v>2691</v>
      </c>
      <c r="D522" s="24">
        <v>27</v>
      </c>
      <c r="E522" s="15">
        <v>-0.51417656526290401</v>
      </c>
      <c r="F522" s="24">
        <v>578.7724021436793</v>
      </c>
      <c r="G522" s="24">
        <v>10.93892723613715</v>
      </c>
      <c r="H522" s="24">
        <v>52.909429750266881</v>
      </c>
      <c r="I522" s="16">
        <v>0</v>
      </c>
      <c r="J522" s="24">
        <v>-0.9</v>
      </c>
    </row>
    <row r="523" spans="1:10" ht="15" customHeight="1" x14ac:dyDescent="0.3">
      <c r="A523" s="10" t="s">
        <v>221</v>
      </c>
      <c r="B523" s="10" t="s">
        <v>2692</v>
      </c>
      <c r="C523" s="10" t="s">
        <v>2693</v>
      </c>
      <c r="D523" s="24">
        <v>21</v>
      </c>
      <c r="E523" s="15">
        <v>-3.2156656009906448</v>
      </c>
      <c r="F523" s="24">
        <v>465.47505431523092</v>
      </c>
      <c r="G523" s="24">
        <v>8.4942333871767737</v>
      </c>
      <c r="H523" s="24">
        <v>54.798948074340657</v>
      </c>
      <c r="I523" s="16">
        <v>0</v>
      </c>
      <c r="J523" s="24">
        <v>-2.8</v>
      </c>
    </row>
    <row r="524" spans="1:10" ht="15" customHeight="1" x14ac:dyDescent="0.3">
      <c r="A524" s="10" t="s">
        <v>221</v>
      </c>
      <c r="B524" s="10" t="s">
        <v>2694</v>
      </c>
      <c r="C524" s="10" t="s">
        <v>2695</v>
      </c>
      <c r="D524" s="24">
        <v>25</v>
      </c>
      <c r="E524" s="15">
        <v>-2.0040485809364119</v>
      </c>
      <c r="F524" s="24">
        <v>453.58312461812181</v>
      </c>
      <c r="G524" s="24">
        <v>10.85037193385795</v>
      </c>
      <c r="H524" s="24">
        <v>41.803463271405683</v>
      </c>
      <c r="I524" s="16">
        <v>0</v>
      </c>
      <c r="J524" s="24">
        <v>-2.2000000000000002</v>
      </c>
    </row>
    <row r="525" spans="1:10" ht="15" customHeight="1" x14ac:dyDescent="0.3">
      <c r="A525" s="10" t="s">
        <v>221</v>
      </c>
      <c r="B525" s="10" t="s">
        <v>2696</v>
      </c>
      <c r="C525" s="10" t="s">
        <v>2697</v>
      </c>
      <c r="D525" s="24">
        <v>24</v>
      </c>
      <c r="E525" s="15">
        <v>-1.700729212490236</v>
      </c>
      <c r="F525" s="24">
        <v>431.05414510356297</v>
      </c>
      <c r="G525" s="24">
        <v>10.36650399626699</v>
      </c>
      <c r="H525" s="24">
        <v>41.58143818386479</v>
      </c>
      <c r="I525" s="16">
        <v>0</v>
      </c>
      <c r="J525" s="24">
        <v>-2.2000000000000002</v>
      </c>
    </row>
    <row r="526" spans="1:10" ht="15" customHeight="1" x14ac:dyDescent="0.3">
      <c r="A526" s="10" t="s">
        <v>221</v>
      </c>
      <c r="B526" s="10" t="s">
        <v>2698</v>
      </c>
      <c r="C526" s="10" t="s">
        <v>2699</v>
      </c>
      <c r="D526" s="24">
        <v>22</v>
      </c>
      <c r="E526" s="15">
        <v>-1.837809724830948</v>
      </c>
      <c r="F526" s="24">
        <v>420.876299299462</v>
      </c>
      <c r="G526" s="24">
        <v>13.872772834352819</v>
      </c>
      <c r="H526" s="24">
        <v>30.338296772023529</v>
      </c>
      <c r="I526" s="16">
        <v>0</v>
      </c>
      <c r="J526" s="24" t="s">
        <v>33</v>
      </c>
    </row>
    <row r="527" spans="1:10" ht="15" customHeight="1" x14ac:dyDescent="0.3">
      <c r="A527" s="10" t="s">
        <v>221</v>
      </c>
      <c r="B527" s="10" t="s">
        <v>373</v>
      </c>
      <c r="C527" s="10" t="s">
        <v>2700</v>
      </c>
      <c r="D527" s="24">
        <v>23</v>
      </c>
      <c r="E527" s="15">
        <v>-1.7127130859953099E-2</v>
      </c>
      <c r="F527" s="24">
        <v>406.77001496921702</v>
      </c>
      <c r="G527" s="24">
        <v>29.704119310673811</v>
      </c>
      <c r="H527" s="24">
        <v>13.694060770320471</v>
      </c>
      <c r="I527" s="16">
        <v>0</v>
      </c>
      <c r="J527" s="24">
        <v>0.5</v>
      </c>
    </row>
    <row r="528" spans="1:10" ht="15" customHeight="1" x14ac:dyDescent="0.3">
      <c r="A528" s="10" t="s">
        <v>221</v>
      </c>
      <c r="B528" s="10" t="s">
        <v>2701</v>
      </c>
      <c r="C528" s="10" t="s">
        <v>2702</v>
      </c>
      <c r="D528" s="24">
        <v>24</v>
      </c>
      <c r="E528" s="15">
        <v>-1.630370919170391</v>
      </c>
      <c r="F528" s="24">
        <v>394.33733740980341</v>
      </c>
      <c r="G528" s="24">
        <v>7.6455323472165091</v>
      </c>
      <c r="H528" s="24">
        <v>51.577485974978423</v>
      </c>
      <c r="I528" s="16">
        <v>0</v>
      </c>
      <c r="J528" s="24">
        <v>-1.8</v>
      </c>
    </row>
    <row r="529" spans="1:10" ht="15" customHeight="1" x14ac:dyDescent="0.3">
      <c r="A529" s="10" t="s">
        <v>222</v>
      </c>
      <c r="B529" s="10" t="s">
        <v>2703</v>
      </c>
      <c r="C529" s="10" t="s">
        <v>2704</v>
      </c>
      <c r="D529" s="24">
        <v>31</v>
      </c>
      <c r="E529" s="15">
        <v>-1.7029427614046579</v>
      </c>
      <c r="F529" s="24">
        <v>1757.894235362334</v>
      </c>
      <c r="G529" s="24">
        <v>29.241394522407919</v>
      </c>
      <c r="H529" s="24">
        <v>60.116634793708123</v>
      </c>
      <c r="I529" s="16">
        <v>0</v>
      </c>
      <c r="J529" s="24">
        <v>-2.5</v>
      </c>
    </row>
    <row r="530" spans="1:10" ht="15" customHeight="1" x14ac:dyDescent="0.3">
      <c r="A530" s="10" t="s">
        <v>222</v>
      </c>
      <c r="B530" s="10" t="s">
        <v>2705</v>
      </c>
      <c r="C530" s="10" t="s">
        <v>2706</v>
      </c>
      <c r="D530" s="24">
        <v>26</v>
      </c>
      <c r="E530" s="15">
        <v>-0.81802189362745503</v>
      </c>
      <c r="F530" s="24">
        <v>1579.167076258077</v>
      </c>
      <c r="G530" s="24">
        <v>30.110862257595009</v>
      </c>
      <c r="H530" s="24">
        <v>52.44509648207621</v>
      </c>
      <c r="I530" s="16">
        <v>0</v>
      </c>
      <c r="J530" s="24">
        <v>-0.3</v>
      </c>
    </row>
    <row r="531" spans="1:10" ht="15" customHeight="1" x14ac:dyDescent="0.3">
      <c r="A531" s="10" t="s">
        <v>222</v>
      </c>
      <c r="B531" s="10" t="s">
        <v>459</v>
      </c>
      <c r="C531" s="10" t="s">
        <v>2707</v>
      </c>
      <c r="D531" s="24">
        <v>30</v>
      </c>
      <c r="E531" s="15">
        <v>1.5087121210414121</v>
      </c>
      <c r="F531" s="24">
        <v>1555.9232211688509</v>
      </c>
      <c r="G531" s="24">
        <v>29.595107612315012</v>
      </c>
      <c r="H531" s="24">
        <v>52.57366324025142</v>
      </c>
      <c r="I531" s="16">
        <v>0</v>
      </c>
      <c r="J531" s="24">
        <v>-0.6</v>
      </c>
    </row>
    <row r="532" spans="1:10" ht="15" customHeight="1" x14ac:dyDescent="0.3">
      <c r="A532" s="10" t="s">
        <v>222</v>
      </c>
      <c r="B532" s="10" t="s">
        <v>2708</v>
      </c>
      <c r="C532" s="10" t="s">
        <v>2709</v>
      </c>
      <c r="D532" s="24">
        <v>28</v>
      </c>
      <c r="E532" s="15">
        <v>-0.96427091411828902</v>
      </c>
      <c r="F532" s="24">
        <v>1399.693518654725</v>
      </c>
      <c r="G532" s="24">
        <v>23.032874005768139</v>
      </c>
      <c r="H532" s="24">
        <v>60.769381984384552</v>
      </c>
      <c r="I532" s="16">
        <v>0</v>
      </c>
      <c r="J532" s="24">
        <v>-1.2</v>
      </c>
    </row>
    <row r="533" spans="1:10" ht="15" customHeight="1" x14ac:dyDescent="0.3">
      <c r="A533" s="10" t="s">
        <v>222</v>
      </c>
      <c r="B533" s="10" t="s">
        <v>401</v>
      </c>
      <c r="C533" s="10" t="s">
        <v>2710</v>
      </c>
      <c r="D533" s="24">
        <v>24</v>
      </c>
      <c r="E533" s="15">
        <v>-2.747739108515229</v>
      </c>
      <c r="F533" s="24">
        <v>1398.1090820766401</v>
      </c>
      <c r="G533" s="24">
        <v>21.277015855346448</v>
      </c>
      <c r="H533" s="24">
        <v>65.709829403794245</v>
      </c>
      <c r="I533" s="16">
        <v>0</v>
      </c>
      <c r="J533" s="24">
        <v>-1.8</v>
      </c>
    </row>
    <row r="534" spans="1:10" ht="15" customHeight="1" x14ac:dyDescent="0.3">
      <c r="A534" s="10" t="s">
        <v>222</v>
      </c>
      <c r="B534" s="10" t="s">
        <v>2711</v>
      </c>
      <c r="C534" s="10" t="s">
        <v>2712</v>
      </c>
      <c r="D534" s="24">
        <v>28</v>
      </c>
      <c r="E534" s="15">
        <v>-1.5997813227156821</v>
      </c>
      <c r="F534" s="24">
        <v>1358.0761073254421</v>
      </c>
      <c r="G534" s="24">
        <v>24.078183596778981</v>
      </c>
      <c r="H534" s="24">
        <v>56.402764015268843</v>
      </c>
      <c r="I534" s="16">
        <v>0</v>
      </c>
      <c r="J534" s="24">
        <v>-1.3</v>
      </c>
    </row>
    <row r="535" spans="1:10" ht="15" customHeight="1" x14ac:dyDescent="0.3">
      <c r="A535" s="10" t="s">
        <v>222</v>
      </c>
      <c r="B535" s="10" t="s">
        <v>2713</v>
      </c>
      <c r="C535" s="10" t="s">
        <v>2714</v>
      </c>
      <c r="D535" s="24">
        <v>23</v>
      </c>
      <c r="E535" s="15">
        <v>-1.5919206424861549</v>
      </c>
      <c r="F535" s="24">
        <v>1354.1245579392289</v>
      </c>
      <c r="G535" s="24">
        <v>22.371718193570381</v>
      </c>
      <c r="H535" s="24">
        <v>60.528411194112202</v>
      </c>
      <c r="I535" s="16">
        <v>0</v>
      </c>
      <c r="J535" s="24">
        <v>-1.7</v>
      </c>
    </row>
    <row r="536" spans="1:10" ht="15" customHeight="1" x14ac:dyDescent="0.3">
      <c r="A536" s="10" t="s">
        <v>222</v>
      </c>
      <c r="B536" s="10" t="s">
        <v>2715</v>
      </c>
      <c r="C536" s="10" t="s">
        <v>2716</v>
      </c>
      <c r="D536" s="24">
        <v>27</v>
      </c>
      <c r="E536" s="15">
        <v>-1.077288552356557</v>
      </c>
      <c r="F536" s="24">
        <v>1283.275471342452</v>
      </c>
      <c r="G536" s="24">
        <v>20.35816289542921</v>
      </c>
      <c r="H536" s="24">
        <v>63.034934828553311</v>
      </c>
      <c r="I536" s="16">
        <v>0</v>
      </c>
      <c r="J536" s="24">
        <v>-0.8</v>
      </c>
    </row>
    <row r="537" spans="1:10" ht="15" customHeight="1" x14ac:dyDescent="0.3">
      <c r="A537" s="10" t="s">
        <v>222</v>
      </c>
      <c r="B537" s="10" t="s">
        <v>2717</v>
      </c>
      <c r="C537" s="10" t="s">
        <v>2718</v>
      </c>
      <c r="D537" s="24">
        <v>19</v>
      </c>
      <c r="E537" s="15">
        <v>-2.8120890177597619</v>
      </c>
      <c r="F537" s="24">
        <v>1265.1261979363001</v>
      </c>
      <c r="G537" s="24">
        <v>21.212589412822719</v>
      </c>
      <c r="H537" s="24">
        <v>59.640347216240741</v>
      </c>
      <c r="I537" s="16">
        <v>1</v>
      </c>
      <c r="J537" s="24" t="s">
        <v>33</v>
      </c>
    </row>
    <row r="538" spans="1:10" ht="15" customHeight="1" x14ac:dyDescent="0.3">
      <c r="A538" s="10" t="s">
        <v>222</v>
      </c>
      <c r="B538" s="10" t="s">
        <v>2719</v>
      </c>
      <c r="C538" s="10" t="s">
        <v>2720</v>
      </c>
      <c r="D538" s="24">
        <v>28</v>
      </c>
      <c r="E538" s="15">
        <v>-2.4587802054054162</v>
      </c>
      <c r="F538" s="24">
        <v>942.40731151258456</v>
      </c>
      <c r="G538" s="24">
        <v>19.74771914326848</v>
      </c>
      <c r="H538" s="24">
        <v>47.722337181093067</v>
      </c>
      <c r="I538" s="16">
        <v>0</v>
      </c>
      <c r="J538" s="24">
        <v>-1.6</v>
      </c>
    </row>
    <row r="539" spans="1:10" ht="15" customHeight="1" x14ac:dyDescent="0.3">
      <c r="A539" s="10" t="s">
        <v>222</v>
      </c>
      <c r="B539" s="10" t="s">
        <v>2721</v>
      </c>
      <c r="C539" s="10" t="s">
        <v>2722</v>
      </c>
      <c r="D539" s="24">
        <v>32</v>
      </c>
      <c r="E539" s="15">
        <v>-3.852093124390068</v>
      </c>
      <c r="F539" s="24">
        <v>901.90453282243118</v>
      </c>
      <c r="G539" s="24">
        <v>16.454246761222549</v>
      </c>
      <c r="H539" s="24">
        <v>54.812872683296227</v>
      </c>
      <c r="I539" s="16">
        <v>0</v>
      </c>
      <c r="J539" s="24" t="s">
        <v>33</v>
      </c>
    </row>
    <row r="540" spans="1:10" ht="15" customHeight="1" x14ac:dyDescent="0.3">
      <c r="A540" s="10" t="s">
        <v>222</v>
      </c>
      <c r="B540" s="10" t="s">
        <v>391</v>
      </c>
      <c r="C540" s="10" t="s">
        <v>2723</v>
      </c>
      <c r="D540" s="24">
        <v>24</v>
      </c>
      <c r="E540" s="15">
        <v>-0.83937711487329281</v>
      </c>
      <c r="F540" s="24">
        <v>870.70549527482387</v>
      </c>
      <c r="G540" s="24">
        <v>17.10968831584065</v>
      </c>
      <c r="H540" s="24">
        <v>50.889617578170551</v>
      </c>
      <c r="I540" s="16">
        <v>0</v>
      </c>
      <c r="J540" s="24">
        <v>-0.5</v>
      </c>
    </row>
    <row r="541" spans="1:10" ht="15" customHeight="1" x14ac:dyDescent="0.3">
      <c r="A541" s="10" t="s">
        <v>222</v>
      </c>
      <c r="B541" s="10" t="s">
        <v>2724</v>
      </c>
      <c r="C541" s="10" t="s">
        <v>2725</v>
      </c>
      <c r="D541" s="24">
        <v>27</v>
      </c>
      <c r="E541" s="15">
        <v>-3.0429040185119129</v>
      </c>
      <c r="F541" s="24">
        <v>798.27977283687096</v>
      </c>
      <c r="G541" s="24">
        <v>17.92438137858225</v>
      </c>
      <c r="H541" s="24">
        <v>44.535973430621773</v>
      </c>
      <c r="I541" s="16">
        <v>0</v>
      </c>
      <c r="J541" s="24">
        <v>-2.8</v>
      </c>
    </row>
    <row r="542" spans="1:10" ht="15" customHeight="1" x14ac:dyDescent="0.3">
      <c r="A542" s="10" t="s">
        <v>222</v>
      </c>
      <c r="B542" s="10" t="s">
        <v>2726</v>
      </c>
      <c r="C542" s="10" t="s">
        <v>2727</v>
      </c>
      <c r="D542" s="24">
        <v>24</v>
      </c>
      <c r="E542" s="15">
        <v>-0.84214229965024923</v>
      </c>
      <c r="F542" s="24">
        <v>672.32743284310902</v>
      </c>
      <c r="G542" s="24">
        <v>12.0506033467219</v>
      </c>
      <c r="H542" s="24">
        <v>55.792014183754617</v>
      </c>
      <c r="I542" s="16">
        <v>0</v>
      </c>
      <c r="J542" s="24">
        <v>-0.7</v>
      </c>
    </row>
    <row r="543" spans="1:10" ht="15" customHeight="1" x14ac:dyDescent="0.3">
      <c r="A543" s="10" t="s">
        <v>222</v>
      </c>
      <c r="B543" s="10" t="s">
        <v>2728</v>
      </c>
      <c r="C543" s="10" t="s">
        <v>2729</v>
      </c>
      <c r="D543" s="24">
        <v>23</v>
      </c>
      <c r="E543" s="15">
        <v>-1.856247510804141</v>
      </c>
      <c r="F543" s="24">
        <v>610.08193672626794</v>
      </c>
      <c r="G543" s="24">
        <v>15.10015088238217</v>
      </c>
      <c r="H543" s="24">
        <v>40.402373557609288</v>
      </c>
      <c r="I543" s="16">
        <v>1</v>
      </c>
      <c r="J543" s="24" t="s">
        <v>33</v>
      </c>
    </row>
    <row r="544" spans="1:10" ht="15" customHeight="1" x14ac:dyDescent="0.3">
      <c r="A544" s="10" t="s">
        <v>222</v>
      </c>
      <c r="B544" s="10" t="s">
        <v>2730</v>
      </c>
      <c r="C544" s="10" t="s">
        <v>2731</v>
      </c>
      <c r="D544" s="24">
        <v>30</v>
      </c>
      <c r="E544" s="15">
        <v>-0.96659793907825797</v>
      </c>
      <c r="F544" s="24">
        <v>573.55569374581262</v>
      </c>
      <c r="G544" s="24">
        <v>18.905335986913979</v>
      </c>
      <c r="H544" s="24">
        <v>30.338296772023529</v>
      </c>
      <c r="I544" s="16">
        <v>0</v>
      </c>
      <c r="J544" s="24" t="s">
        <v>33</v>
      </c>
    </row>
    <row r="545" spans="1:10" ht="15" customHeight="1" x14ac:dyDescent="0.3">
      <c r="A545" s="10" t="s">
        <v>222</v>
      </c>
      <c r="B545" s="10" t="s">
        <v>2732</v>
      </c>
      <c r="C545" s="10" t="s">
        <v>2733</v>
      </c>
      <c r="D545" s="24">
        <v>22</v>
      </c>
      <c r="E545" s="15">
        <v>-2.485353122146472</v>
      </c>
      <c r="F545" s="24">
        <v>455.18473584718151</v>
      </c>
      <c r="G545" s="24">
        <v>13.210725840127351</v>
      </c>
      <c r="H545" s="24">
        <v>34.455694664752308</v>
      </c>
      <c r="I545" s="16">
        <v>1</v>
      </c>
      <c r="J545" s="24" t="s">
        <v>33</v>
      </c>
    </row>
    <row r="546" spans="1:10" ht="15" customHeight="1" x14ac:dyDescent="0.3">
      <c r="A546" s="10" t="s">
        <v>222</v>
      </c>
      <c r="B546" s="10" t="s">
        <v>2734</v>
      </c>
      <c r="C546" s="10" t="s">
        <v>2735</v>
      </c>
      <c r="D546" s="24">
        <v>25</v>
      </c>
      <c r="E546" s="15">
        <v>-3.1867960702466678</v>
      </c>
      <c r="F546" s="24">
        <v>361.10200742004338</v>
      </c>
      <c r="G546" s="24">
        <v>11.90251417650558</v>
      </c>
      <c r="H546" s="24">
        <v>30.338296772023529</v>
      </c>
      <c r="I546" s="16">
        <v>1</v>
      </c>
      <c r="J546" s="24" t="s">
        <v>33</v>
      </c>
    </row>
    <row r="547" spans="1:10" ht="15" customHeight="1" x14ac:dyDescent="0.3">
      <c r="A547" s="10" t="s">
        <v>222</v>
      </c>
      <c r="B547" s="10" t="s">
        <v>2736</v>
      </c>
      <c r="C547" s="10" t="s">
        <v>2737</v>
      </c>
      <c r="D547" s="24">
        <v>25</v>
      </c>
      <c r="E547" s="15">
        <v>-1.6081595422674719</v>
      </c>
      <c r="F547" s="24">
        <v>336.53897529105973</v>
      </c>
      <c r="G547" s="24">
        <v>8.2620206053905552</v>
      </c>
      <c r="H547" s="24">
        <v>40.73325296132581</v>
      </c>
      <c r="I547" s="16">
        <v>0</v>
      </c>
      <c r="J547" s="24">
        <v>-1.6</v>
      </c>
    </row>
    <row r="548" spans="1:10" ht="15" customHeight="1" x14ac:dyDescent="0.3">
      <c r="A548" s="10" t="s">
        <v>222</v>
      </c>
      <c r="B548" s="10" t="s">
        <v>2738</v>
      </c>
      <c r="C548" s="10" t="s">
        <v>2739</v>
      </c>
      <c r="D548" s="24">
        <v>26</v>
      </c>
      <c r="E548" s="15">
        <v>-3.0933403721511148</v>
      </c>
      <c r="F548" s="24">
        <v>206.5226376157662</v>
      </c>
      <c r="G548" s="24">
        <v>6.8073247212154344</v>
      </c>
      <c r="H548" s="24">
        <v>30.338296772023529</v>
      </c>
      <c r="I548" s="16">
        <v>0</v>
      </c>
      <c r="J548" s="24" t="s">
        <v>33</v>
      </c>
    </row>
    <row r="549" spans="1:10" ht="15" customHeight="1" x14ac:dyDescent="0.3">
      <c r="A549" s="10" t="s">
        <v>223</v>
      </c>
      <c r="B549" s="10" t="s">
        <v>2740</v>
      </c>
      <c r="C549" s="10" t="s">
        <v>2741</v>
      </c>
      <c r="D549" s="24">
        <v>28</v>
      </c>
      <c r="E549" s="15">
        <v>2.0405627543021718</v>
      </c>
      <c r="F549" s="24">
        <v>1850.144103890339</v>
      </c>
      <c r="G549" s="24">
        <v>29.365910789372041</v>
      </c>
      <c r="H549" s="24">
        <v>63.003123491062773</v>
      </c>
      <c r="I549" s="16">
        <v>0</v>
      </c>
      <c r="J549" s="24">
        <v>2.1</v>
      </c>
    </row>
    <row r="550" spans="1:10" ht="15" customHeight="1" x14ac:dyDescent="0.3">
      <c r="A550" s="10" t="s">
        <v>223</v>
      </c>
      <c r="B550" s="10" t="s">
        <v>2742</v>
      </c>
      <c r="C550" s="10" t="s">
        <v>2743</v>
      </c>
      <c r="D550" s="24">
        <v>26</v>
      </c>
      <c r="E550" s="15">
        <v>0.76286484135178156</v>
      </c>
      <c r="F550" s="24">
        <v>1709.0535003189891</v>
      </c>
      <c r="G550" s="24">
        <v>27.395024326743371</v>
      </c>
      <c r="H550" s="24">
        <v>62.38554417528254</v>
      </c>
      <c r="I550" s="16">
        <v>0</v>
      </c>
      <c r="J550" s="24">
        <v>1.1000000000000001</v>
      </c>
    </row>
    <row r="551" spans="1:10" ht="15" customHeight="1" x14ac:dyDescent="0.3">
      <c r="A551" s="10" t="s">
        <v>223</v>
      </c>
      <c r="B551" s="10" t="s">
        <v>386</v>
      </c>
      <c r="C551" s="10" t="s">
        <v>2744</v>
      </c>
      <c r="D551" s="24">
        <v>21</v>
      </c>
      <c r="E551" s="15">
        <v>1.662414509422151</v>
      </c>
      <c r="F551" s="24">
        <v>1609.845123140841</v>
      </c>
      <c r="G551" s="24">
        <v>24.908866071766361</v>
      </c>
      <c r="H551" s="24">
        <v>64.629402177627185</v>
      </c>
      <c r="I551" s="16">
        <v>0</v>
      </c>
      <c r="J551" s="24">
        <v>2</v>
      </c>
    </row>
    <row r="552" spans="1:10" ht="15" customHeight="1" x14ac:dyDescent="0.3">
      <c r="A552" s="10" t="s">
        <v>223</v>
      </c>
      <c r="B552" s="10" t="s">
        <v>294</v>
      </c>
      <c r="C552" s="10" t="s">
        <v>2745</v>
      </c>
      <c r="D552" s="24">
        <v>22</v>
      </c>
      <c r="E552" s="15">
        <v>7.864923242152928</v>
      </c>
      <c r="F552" s="24">
        <v>1600.003216995869</v>
      </c>
      <c r="G552" s="24">
        <v>26.5079366799173</v>
      </c>
      <c r="H552" s="24">
        <v>60.359402405244488</v>
      </c>
      <c r="I552" s="16">
        <v>0</v>
      </c>
      <c r="J552" s="24">
        <v>6.4</v>
      </c>
    </row>
    <row r="553" spans="1:10" ht="15" customHeight="1" x14ac:dyDescent="0.3">
      <c r="A553" s="10" t="s">
        <v>223</v>
      </c>
      <c r="B553" s="10" t="s">
        <v>2746</v>
      </c>
      <c r="C553" s="10" t="s">
        <v>2747</v>
      </c>
      <c r="D553" s="24">
        <v>34</v>
      </c>
      <c r="E553" s="15">
        <v>0.84562945823169944</v>
      </c>
      <c r="F553" s="24">
        <v>1580.978945271203</v>
      </c>
      <c r="G553" s="24">
        <v>26.60935935894986</v>
      </c>
      <c r="H553" s="24">
        <v>59.414393407387792</v>
      </c>
      <c r="I553" s="16">
        <v>0</v>
      </c>
      <c r="J553" s="24">
        <v>1.3</v>
      </c>
    </row>
    <row r="554" spans="1:10" ht="15" customHeight="1" x14ac:dyDescent="0.3">
      <c r="A554" s="10" t="s">
        <v>223</v>
      </c>
      <c r="B554" s="10" t="s">
        <v>2748</v>
      </c>
      <c r="C554" s="10" t="s">
        <v>2749</v>
      </c>
      <c r="D554" s="24">
        <v>34</v>
      </c>
      <c r="E554" s="15">
        <v>-0.15591749412492051</v>
      </c>
      <c r="F554" s="24">
        <v>1523.730077964851</v>
      </c>
      <c r="G554" s="24">
        <v>23.89285300636929</v>
      </c>
      <c r="H554" s="24">
        <v>63.773467218781278</v>
      </c>
      <c r="I554" s="16">
        <v>0</v>
      </c>
      <c r="J554" s="24">
        <v>0.5</v>
      </c>
    </row>
    <row r="555" spans="1:10" ht="15" customHeight="1" x14ac:dyDescent="0.3">
      <c r="A555" s="10" t="s">
        <v>223</v>
      </c>
      <c r="B555" s="10" t="s">
        <v>2750</v>
      </c>
      <c r="C555" s="10" t="s">
        <v>2751</v>
      </c>
      <c r="D555" s="24">
        <v>25</v>
      </c>
      <c r="E555" s="15">
        <v>1.3500975059243661</v>
      </c>
      <c r="F555" s="24">
        <v>1518.068903339469</v>
      </c>
      <c r="G555" s="24">
        <v>22.324541937729691</v>
      </c>
      <c r="H555" s="24">
        <v>68.000002310186233</v>
      </c>
      <c r="I555" s="16">
        <v>0</v>
      </c>
      <c r="J555" s="24">
        <v>1.8</v>
      </c>
    </row>
    <row r="556" spans="1:10" ht="15" customHeight="1" x14ac:dyDescent="0.3">
      <c r="A556" s="10" t="s">
        <v>223</v>
      </c>
      <c r="B556" s="10" t="s">
        <v>360</v>
      </c>
      <c r="C556" s="10" t="s">
        <v>2752</v>
      </c>
      <c r="D556" s="24">
        <v>27</v>
      </c>
      <c r="E556" s="15">
        <v>-0.1180464530140118</v>
      </c>
      <c r="F556" s="24">
        <v>1464.877632503036</v>
      </c>
      <c r="G556" s="24">
        <v>21.810560334251939</v>
      </c>
      <c r="H556" s="24">
        <v>67.163686308533272</v>
      </c>
      <c r="I556" s="16">
        <v>0</v>
      </c>
      <c r="J556" s="24">
        <v>-0.2</v>
      </c>
    </row>
    <row r="557" spans="1:10" ht="15" customHeight="1" x14ac:dyDescent="0.3">
      <c r="A557" s="10" t="s">
        <v>223</v>
      </c>
      <c r="B557" s="10" t="s">
        <v>355</v>
      </c>
      <c r="C557" s="10" t="s">
        <v>2753</v>
      </c>
      <c r="D557" s="24">
        <v>20</v>
      </c>
      <c r="E557" s="15">
        <v>1.9384246096974611</v>
      </c>
      <c r="F557" s="24">
        <v>1212.4221273574749</v>
      </c>
      <c r="G557" s="24">
        <v>19.028012449821471</v>
      </c>
      <c r="H557" s="24">
        <v>63.71774932115153</v>
      </c>
      <c r="I557" s="16">
        <v>0</v>
      </c>
      <c r="J557" s="24">
        <v>1.6</v>
      </c>
    </row>
    <row r="558" spans="1:10" ht="15" customHeight="1" x14ac:dyDescent="0.3">
      <c r="A558" s="10" t="s">
        <v>223</v>
      </c>
      <c r="B558" s="10" t="s">
        <v>2754</v>
      </c>
      <c r="C558" s="10" t="s">
        <v>2755</v>
      </c>
      <c r="D558" s="24">
        <v>31</v>
      </c>
      <c r="E558" s="15">
        <v>1.545265517803277</v>
      </c>
      <c r="F558" s="24">
        <v>1074.5197450558469</v>
      </c>
      <c r="G558" s="24">
        <v>17.321387350023532</v>
      </c>
      <c r="H558" s="24">
        <v>62.034277240176571</v>
      </c>
      <c r="I558" s="16">
        <v>0</v>
      </c>
      <c r="J558" s="24">
        <v>0.4</v>
      </c>
    </row>
    <row r="559" spans="1:10" ht="15" customHeight="1" x14ac:dyDescent="0.3">
      <c r="A559" s="10" t="s">
        <v>223</v>
      </c>
      <c r="B559" s="10" t="s">
        <v>403</v>
      </c>
      <c r="C559" s="10" t="s">
        <v>2756</v>
      </c>
      <c r="D559" s="24">
        <v>20</v>
      </c>
      <c r="E559" s="15">
        <v>-1.53357045223083</v>
      </c>
      <c r="F559" s="24">
        <v>687.36749548745991</v>
      </c>
      <c r="G559" s="24">
        <v>10.67222642768642</v>
      </c>
      <c r="H559" s="24">
        <v>64.407131927435231</v>
      </c>
      <c r="I559" s="16">
        <v>0</v>
      </c>
      <c r="J559" s="24">
        <v>-1.8</v>
      </c>
    </row>
    <row r="560" spans="1:10" ht="15" customHeight="1" x14ac:dyDescent="0.3">
      <c r="A560" s="10" t="s">
        <v>223</v>
      </c>
      <c r="B560" s="10" t="s">
        <v>2757</v>
      </c>
      <c r="C560" s="10" t="s">
        <v>2758</v>
      </c>
      <c r="D560" s="24">
        <v>23</v>
      </c>
      <c r="E560" s="15">
        <v>-0.43234811292333708</v>
      </c>
      <c r="F560" s="24">
        <v>645.72880354838969</v>
      </c>
      <c r="G560" s="24">
        <v>15.418419838251269</v>
      </c>
      <c r="H560" s="24">
        <v>41.880348980147318</v>
      </c>
      <c r="I560" s="16">
        <v>1</v>
      </c>
      <c r="J560" s="24" t="s">
        <v>33</v>
      </c>
    </row>
    <row r="561" spans="1:10" ht="15" customHeight="1" x14ac:dyDescent="0.3">
      <c r="A561" s="10" t="s">
        <v>223</v>
      </c>
      <c r="B561" s="10" t="s">
        <v>2759</v>
      </c>
      <c r="C561" s="10" t="s">
        <v>2760</v>
      </c>
      <c r="D561" s="24">
        <v>19</v>
      </c>
      <c r="E561" s="15">
        <v>-4.6857341153830303</v>
      </c>
      <c r="F561" s="24">
        <v>568.85785287620445</v>
      </c>
      <c r="G561" s="24">
        <v>16.535709100809871</v>
      </c>
      <c r="H561" s="24">
        <v>34.401781587240393</v>
      </c>
      <c r="I561" s="16">
        <v>1</v>
      </c>
      <c r="J561" s="24" t="s">
        <v>33</v>
      </c>
    </row>
    <row r="562" spans="1:10" ht="15" customHeight="1" x14ac:dyDescent="0.3">
      <c r="A562" s="10" t="s">
        <v>223</v>
      </c>
      <c r="B562" s="10" t="s">
        <v>2761</v>
      </c>
      <c r="C562" s="10" t="s">
        <v>2762</v>
      </c>
      <c r="D562" s="24">
        <v>22</v>
      </c>
      <c r="E562" s="15">
        <v>-2.6493490154265031</v>
      </c>
      <c r="F562" s="24">
        <v>473.37468850273058</v>
      </c>
      <c r="G562" s="24">
        <v>13.376137691800039</v>
      </c>
      <c r="H562" s="24">
        <v>35.38948980713041</v>
      </c>
      <c r="I562" s="16">
        <v>1</v>
      </c>
      <c r="J562" s="24" t="s">
        <v>33</v>
      </c>
    </row>
    <row r="563" spans="1:10" ht="15" customHeight="1" x14ac:dyDescent="0.3">
      <c r="A563" s="10" t="s">
        <v>223</v>
      </c>
      <c r="B563" s="10" t="s">
        <v>2763</v>
      </c>
      <c r="C563" s="10" t="s">
        <v>2764</v>
      </c>
      <c r="D563" s="24">
        <v>22</v>
      </c>
      <c r="E563" s="15">
        <v>-0.42320297840841592</v>
      </c>
      <c r="F563" s="24">
        <v>458.06644898584528</v>
      </c>
      <c r="G563" s="24">
        <v>13.17803024729567</v>
      </c>
      <c r="H563" s="24">
        <v>34.759857155423312</v>
      </c>
      <c r="I563" s="16">
        <v>1</v>
      </c>
      <c r="J563" s="24" t="s">
        <v>33</v>
      </c>
    </row>
    <row r="564" spans="1:10" ht="15" customHeight="1" x14ac:dyDescent="0.3">
      <c r="A564" s="10" t="s">
        <v>223</v>
      </c>
      <c r="B564" s="10" t="s">
        <v>2765</v>
      </c>
      <c r="C564" s="10" t="s">
        <v>2766</v>
      </c>
      <c r="D564" s="24">
        <v>30</v>
      </c>
      <c r="E564" s="15">
        <v>-1.017441564722144</v>
      </c>
      <c r="F564" s="24">
        <v>395.90994742334919</v>
      </c>
      <c r="G564" s="24">
        <v>7.3516584196555188</v>
      </c>
      <c r="H564" s="24">
        <v>53.853147796534948</v>
      </c>
      <c r="I564" s="16">
        <v>0</v>
      </c>
      <c r="J564" s="24">
        <v>-1.6</v>
      </c>
    </row>
    <row r="565" spans="1:10" ht="15" customHeight="1" x14ac:dyDescent="0.3">
      <c r="A565" s="10" t="s">
        <v>223</v>
      </c>
      <c r="B565" s="10" t="s">
        <v>2767</v>
      </c>
      <c r="C565" s="10" t="s">
        <v>2768</v>
      </c>
      <c r="D565" s="24">
        <v>24</v>
      </c>
      <c r="E565" s="15">
        <v>-0.42614586189572362</v>
      </c>
      <c r="F565" s="24">
        <v>382.89650540418819</v>
      </c>
      <c r="G565" s="24">
        <v>8.7720535397601314</v>
      </c>
      <c r="H565" s="24">
        <v>43.649586002715893</v>
      </c>
      <c r="I565" s="16">
        <v>0</v>
      </c>
      <c r="J565" s="24" t="s">
        <v>33</v>
      </c>
    </row>
    <row r="566" spans="1:10" ht="15" customHeight="1" x14ac:dyDescent="0.3">
      <c r="A566" s="10" t="s">
        <v>223</v>
      </c>
      <c r="B566" s="10" t="s">
        <v>2769</v>
      </c>
      <c r="C566" s="10" t="s">
        <v>2770</v>
      </c>
      <c r="D566" s="24">
        <v>24</v>
      </c>
      <c r="E566" s="15">
        <v>-3.1867960702466678</v>
      </c>
      <c r="F566" s="24">
        <v>357.59239821805392</v>
      </c>
      <c r="G566" s="24">
        <v>11.786831703347559</v>
      </c>
      <c r="H566" s="24">
        <v>30.338296772023529</v>
      </c>
      <c r="I566" s="16">
        <v>1</v>
      </c>
      <c r="J566" s="24" t="s">
        <v>33</v>
      </c>
    </row>
    <row r="567" spans="1:10" ht="15" customHeight="1" x14ac:dyDescent="0.3">
      <c r="A567" s="10" t="s">
        <v>223</v>
      </c>
      <c r="B567" s="10" t="s">
        <v>2771</v>
      </c>
      <c r="C567" s="10" t="s">
        <v>2772</v>
      </c>
      <c r="D567" s="24">
        <v>30</v>
      </c>
      <c r="E567" s="15">
        <v>-3.1867960702466678</v>
      </c>
      <c r="F567" s="24">
        <v>357.59239821805392</v>
      </c>
      <c r="G567" s="24">
        <v>11.786831703347559</v>
      </c>
      <c r="H567" s="24">
        <v>30.338296772023529</v>
      </c>
      <c r="I567" s="16">
        <v>1</v>
      </c>
      <c r="J567" s="24" t="s">
        <v>33</v>
      </c>
    </row>
    <row r="568" spans="1:10" ht="15" customHeight="1" x14ac:dyDescent="0.3">
      <c r="A568" s="10" t="s">
        <v>223</v>
      </c>
      <c r="B568" s="10" t="s">
        <v>2773</v>
      </c>
      <c r="C568" s="10" t="s">
        <v>2774</v>
      </c>
      <c r="D568" s="24">
        <v>27</v>
      </c>
      <c r="E568" s="15">
        <v>-1.8730811913781771</v>
      </c>
      <c r="F568" s="24">
        <v>208.97008549780401</v>
      </c>
      <c r="G568" s="24">
        <v>6.8879966158978911</v>
      </c>
      <c r="H568" s="24">
        <v>30.338296772023529</v>
      </c>
      <c r="I568" s="16">
        <v>0</v>
      </c>
      <c r="J568" s="24" t="s">
        <v>33</v>
      </c>
    </row>
    <row r="569" spans="1:10" ht="15" customHeight="1" x14ac:dyDescent="0.3">
      <c r="A569" s="10" t="s">
        <v>224</v>
      </c>
      <c r="B569" s="10" t="s">
        <v>313</v>
      </c>
      <c r="C569" s="10" t="s">
        <v>2775</v>
      </c>
      <c r="D569" s="24">
        <v>25</v>
      </c>
      <c r="E569" s="15">
        <v>3.5328059823771061</v>
      </c>
      <c r="F569" s="24">
        <v>2063.863369117611</v>
      </c>
      <c r="G569" s="24">
        <v>31.312974027363879</v>
      </c>
      <c r="H569" s="24">
        <v>65.910806406125303</v>
      </c>
      <c r="I569" s="16">
        <v>0</v>
      </c>
      <c r="J569" s="24">
        <v>2.8</v>
      </c>
    </row>
    <row r="570" spans="1:10" ht="15" customHeight="1" x14ac:dyDescent="0.3">
      <c r="A570" s="10" t="s">
        <v>224</v>
      </c>
      <c r="B570" s="10" t="s">
        <v>2776</v>
      </c>
      <c r="C570" s="10" t="s">
        <v>2777</v>
      </c>
      <c r="D570" s="24">
        <v>26</v>
      </c>
      <c r="E570" s="15">
        <v>0.8897620031619855</v>
      </c>
      <c r="F570" s="24">
        <v>1715.140619812573</v>
      </c>
      <c r="G570" s="24">
        <v>28.917303189059581</v>
      </c>
      <c r="H570" s="24">
        <v>59.311914689937979</v>
      </c>
      <c r="I570" s="16">
        <v>0</v>
      </c>
      <c r="J570" s="24">
        <v>1.2</v>
      </c>
    </row>
    <row r="571" spans="1:10" ht="15" customHeight="1" x14ac:dyDescent="0.3">
      <c r="A571" s="10" t="s">
        <v>224</v>
      </c>
      <c r="B571" s="10" t="s">
        <v>2778</v>
      </c>
      <c r="C571" s="10" t="s">
        <v>2779</v>
      </c>
      <c r="D571" s="24">
        <v>27</v>
      </c>
      <c r="E571" s="15">
        <v>1.742215345776303</v>
      </c>
      <c r="F571" s="24">
        <v>1705.7835463045089</v>
      </c>
      <c r="G571" s="24">
        <v>28.410254187418492</v>
      </c>
      <c r="H571" s="24">
        <v>60.041122302239629</v>
      </c>
      <c r="I571" s="16">
        <v>0</v>
      </c>
      <c r="J571" s="24">
        <v>1.2</v>
      </c>
    </row>
    <row r="572" spans="1:10" ht="15" customHeight="1" x14ac:dyDescent="0.3">
      <c r="A572" s="10" t="s">
        <v>224</v>
      </c>
      <c r="B572" s="10" t="s">
        <v>308</v>
      </c>
      <c r="C572" s="10" t="s">
        <v>2780</v>
      </c>
      <c r="D572" s="24">
        <v>35</v>
      </c>
      <c r="E572" s="15">
        <v>6.0992350989418203</v>
      </c>
      <c r="F572" s="24">
        <v>1687.8532566875081</v>
      </c>
      <c r="G572" s="24">
        <v>30.129304639703559</v>
      </c>
      <c r="H572" s="24">
        <v>56.020318984172718</v>
      </c>
      <c r="I572" s="16">
        <v>0</v>
      </c>
      <c r="J572" s="24">
        <v>6.3</v>
      </c>
    </row>
    <row r="573" spans="1:10" ht="15" customHeight="1" x14ac:dyDescent="0.3">
      <c r="A573" s="10" t="s">
        <v>224</v>
      </c>
      <c r="B573" s="10" t="s">
        <v>2781</v>
      </c>
      <c r="C573" s="10" t="s">
        <v>2782</v>
      </c>
      <c r="D573" s="24">
        <v>31</v>
      </c>
      <c r="E573" s="15">
        <v>1.698117796611893</v>
      </c>
      <c r="F573" s="24">
        <v>1370.4280682727319</v>
      </c>
      <c r="G573" s="24">
        <v>24.911894357133139</v>
      </c>
      <c r="H573" s="24">
        <v>55.010993890166787</v>
      </c>
      <c r="I573" s="16">
        <v>0</v>
      </c>
      <c r="J573" s="24">
        <v>2.2000000000000002</v>
      </c>
    </row>
    <row r="574" spans="1:10" ht="15" customHeight="1" x14ac:dyDescent="0.3">
      <c r="A574" s="10" t="s">
        <v>224</v>
      </c>
      <c r="B574" s="10" t="s">
        <v>2783</v>
      </c>
      <c r="C574" s="10" t="s">
        <v>2784</v>
      </c>
      <c r="D574" s="24">
        <v>24</v>
      </c>
      <c r="E574" s="15">
        <v>-0.74739672013411318</v>
      </c>
      <c r="F574" s="24">
        <v>1362.65584755137</v>
      </c>
      <c r="G574" s="24">
        <v>20.196643170965022</v>
      </c>
      <c r="H574" s="24">
        <v>67.469422320157804</v>
      </c>
      <c r="I574" s="16">
        <v>0</v>
      </c>
      <c r="J574" s="24">
        <v>0.4</v>
      </c>
    </row>
    <row r="575" spans="1:10" ht="15" customHeight="1" x14ac:dyDescent="0.3">
      <c r="A575" s="10" t="s">
        <v>224</v>
      </c>
      <c r="B575" s="10" t="s">
        <v>2785</v>
      </c>
      <c r="C575" s="10" t="s">
        <v>2786</v>
      </c>
      <c r="D575" s="24">
        <v>22</v>
      </c>
      <c r="E575" s="15">
        <v>-4.38864922254322E-2</v>
      </c>
      <c r="F575" s="24">
        <v>1214.0559787911959</v>
      </c>
      <c r="G575" s="24">
        <v>19.292076333874629</v>
      </c>
      <c r="H575" s="24">
        <v>62.930291057342323</v>
      </c>
      <c r="I575" s="16">
        <v>0</v>
      </c>
      <c r="J575" s="24">
        <v>0</v>
      </c>
    </row>
    <row r="576" spans="1:10" ht="15" customHeight="1" x14ac:dyDescent="0.3">
      <c r="A576" s="10" t="s">
        <v>224</v>
      </c>
      <c r="B576" s="10" t="s">
        <v>2787</v>
      </c>
      <c r="C576" s="10" t="s">
        <v>2788</v>
      </c>
      <c r="D576" s="24">
        <v>21</v>
      </c>
      <c r="E576" s="15">
        <v>1.180002537358938</v>
      </c>
      <c r="F576" s="24">
        <v>1153.089533442869</v>
      </c>
      <c r="G576" s="24">
        <v>19.339149016829111</v>
      </c>
      <c r="H576" s="24">
        <v>59.62462631832657</v>
      </c>
      <c r="I576" s="16">
        <v>0</v>
      </c>
      <c r="J576" s="24">
        <v>0.8</v>
      </c>
    </row>
    <row r="577" spans="1:10" ht="15" customHeight="1" x14ac:dyDescent="0.3">
      <c r="A577" s="10" t="s">
        <v>224</v>
      </c>
      <c r="B577" s="10" t="s">
        <v>2789</v>
      </c>
      <c r="C577" s="10" t="s">
        <v>2790</v>
      </c>
      <c r="D577" s="24">
        <v>33</v>
      </c>
      <c r="E577" s="15">
        <v>-0.54216482330700588</v>
      </c>
      <c r="F577" s="24">
        <v>988.89405267422399</v>
      </c>
      <c r="G577" s="24">
        <v>18.393601396235749</v>
      </c>
      <c r="H577" s="24">
        <v>53.762938065875517</v>
      </c>
      <c r="I577" s="16">
        <v>0</v>
      </c>
      <c r="J577" s="24">
        <v>-1.1000000000000001</v>
      </c>
    </row>
    <row r="578" spans="1:10" ht="15" customHeight="1" x14ac:dyDescent="0.3">
      <c r="A578" s="10" t="s">
        <v>224</v>
      </c>
      <c r="B578" s="10" t="s">
        <v>2791</v>
      </c>
      <c r="C578" s="10" t="s">
        <v>2792</v>
      </c>
      <c r="D578" s="24">
        <v>20</v>
      </c>
      <c r="E578" s="15">
        <v>-0.40789187065085608</v>
      </c>
      <c r="F578" s="24">
        <v>820.52465452094668</v>
      </c>
      <c r="G578" s="24">
        <v>17.788921857386772</v>
      </c>
      <c r="H578" s="24">
        <v>46.125597779284611</v>
      </c>
      <c r="I578" s="16">
        <v>1</v>
      </c>
      <c r="J578" s="24" t="s">
        <v>33</v>
      </c>
    </row>
    <row r="579" spans="1:10" ht="15" customHeight="1" x14ac:dyDescent="0.3">
      <c r="A579" s="10" t="s">
        <v>224</v>
      </c>
      <c r="B579" s="10" t="s">
        <v>2793</v>
      </c>
      <c r="C579" s="10" t="s">
        <v>2794</v>
      </c>
      <c r="D579" s="24">
        <v>26</v>
      </c>
      <c r="E579" s="15">
        <v>-1.062775433691179</v>
      </c>
      <c r="F579" s="24">
        <v>784.92643339882238</v>
      </c>
      <c r="G579" s="24">
        <v>17.543564634060409</v>
      </c>
      <c r="H579" s="24">
        <v>44.741559071461808</v>
      </c>
      <c r="I579" s="16">
        <v>0</v>
      </c>
      <c r="J579" s="24">
        <v>-1</v>
      </c>
    </row>
    <row r="580" spans="1:10" ht="15" customHeight="1" x14ac:dyDescent="0.3">
      <c r="A580" s="10" t="s">
        <v>224</v>
      </c>
      <c r="B580" s="10" t="s">
        <v>2795</v>
      </c>
      <c r="C580" s="10" t="s">
        <v>2796</v>
      </c>
      <c r="D580" s="24">
        <v>26</v>
      </c>
      <c r="E580" s="15">
        <v>-0.47775808217373777</v>
      </c>
      <c r="F580" s="24">
        <v>736.91095726363756</v>
      </c>
      <c r="G580" s="24">
        <v>12.558188763413879</v>
      </c>
      <c r="H580" s="24">
        <v>58.679716569518447</v>
      </c>
      <c r="I580" s="16">
        <v>0</v>
      </c>
      <c r="J580" s="24">
        <v>-1.6</v>
      </c>
    </row>
    <row r="581" spans="1:10" ht="15" customHeight="1" x14ac:dyDescent="0.3">
      <c r="A581" s="10" t="s">
        <v>224</v>
      </c>
      <c r="B581" s="10" t="s">
        <v>2797</v>
      </c>
      <c r="C581" s="10" t="s">
        <v>2798</v>
      </c>
      <c r="D581" s="24">
        <v>25</v>
      </c>
      <c r="E581" s="15">
        <v>-1.9617564348650971</v>
      </c>
      <c r="F581" s="24">
        <v>701.81738979507054</v>
      </c>
      <c r="G581" s="24">
        <v>11.58595471410298</v>
      </c>
      <c r="H581" s="24">
        <v>60.574843171170443</v>
      </c>
      <c r="I581" s="16">
        <v>0</v>
      </c>
      <c r="J581" s="24">
        <v>-2.1</v>
      </c>
    </row>
    <row r="582" spans="1:10" ht="15" customHeight="1" x14ac:dyDescent="0.3">
      <c r="A582" s="10" t="s">
        <v>224</v>
      </c>
      <c r="B582" s="10" t="s">
        <v>2799</v>
      </c>
      <c r="C582" s="10" t="s">
        <v>2800</v>
      </c>
      <c r="D582" s="24">
        <v>24</v>
      </c>
      <c r="E582" s="15">
        <v>-2.5438750778197892</v>
      </c>
      <c r="F582" s="24">
        <v>632.30895643163183</v>
      </c>
      <c r="G582" s="24">
        <v>10.8688483047905</v>
      </c>
      <c r="H582" s="24">
        <v>58.176261062815477</v>
      </c>
      <c r="I582" s="16">
        <v>0</v>
      </c>
      <c r="J582" s="24">
        <v>-1.8</v>
      </c>
    </row>
    <row r="583" spans="1:10" ht="15" customHeight="1" x14ac:dyDescent="0.3">
      <c r="A583" s="10" t="s">
        <v>224</v>
      </c>
      <c r="B583" s="10" t="s">
        <v>2801</v>
      </c>
      <c r="C583" s="10" t="s">
        <v>2802</v>
      </c>
      <c r="D583" s="24">
        <v>23</v>
      </c>
      <c r="E583" s="15">
        <v>-2.8456938634899021</v>
      </c>
      <c r="F583" s="24">
        <v>443.05783379605691</v>
      </c>
      <c r="G583" s="24">
        <v>13.413932269876449</v>
      </c>
      <c r="H583" s="24">
        <v>33.02967577904267</v>
      </c>
      <c r="I583" s="16">
        <v>1</v>
      </c>
      <c r="J583" s="24" t="s">
        <v>33</v>
      </c>
    </row>
    <row r="584" spans="1:10" ht="15" customHeight="1" x14ac:dyDescent="0.3">
      <c r="A584" s="10" t="s">
        <v>224</v>
      </c>
      <c r="B584" s="10" t="s">
        <v>2803</v>
      </c>
      <c r="C584" s="10" t="s">
        <v>2804</v>
      </c>
      <c r="D584" s="24">
        <v>24</v>
      </c>
      <c r="E584" s="15">
        <v>-1.7295021715117991</v>
      </c>
      <c r="F584" s="24">
        <v>400.29847655738791</v>
      </c>
      <c r="G584" s="24">
        <v>8.3769193497271175</v>
      </c>
      <c r="H584" s="24">
        <v>47.785881640418069</v>
      </c>
      <c r="I584" s="16">
        <v>0</v>
      </c>
      <c r="J584" s="24">
        <v>-1.6</v>
      </c>
    </row>
    <row r="585" spans="1:10" ht="15" customHeight="1" x14ac:dyDescent="0.3">
      <c r="A585" s="10" t="s">
        <v>224</v>
      </c>
      <c r="B585" s="10" t="s">
        <v>2805</v>
      </c>
      <c r="C585" s="10" t="s">
        <v>2806</v>
      </c>
      <c r="D585" s="24">
        <v>23</v>
      </c>
      <c r="E585" s="15">
        <v>-3.1867960702466678</v>
      </c>
      <c r="F585" s="24">
        <v>379.67820511637149</v>
      </c>
      <c r="G585" s="24">
        <v>12.51481610749131</v>
      </c>
      <c r="H585" s="24">
        <v>30.338296772023529</v>
      </c>
      <c r="I585" s="16">
        <v>1</v>
      </c>
      <c r="J585" s="24" t="s">
        <v>33</v>
      </c>
    </row>
    <row r="586" spans="1:10" ht="15" customHeight="1" x14ac:dyDescent="0.3">
      <c r="A586" s="10" t="s">
        <v>224</v>
      </c>
      <c r="B586" s="10" t="s">
        <v>2807</v>
      </c>
      <c r="C586" s="10" t="s">
        <v>2808</v>
      </c>
      <c r="D586" s="24">
        <v>24</v>
      </c>
      <c r="E586" s="15">
        <v>-3.1867960702466678</v>
      </c>
      <c r="F586" s="24">
        <v>379.67820511637149</v>
      </c>
      <c r="G586" s="24">
        <v>12.51481610749131</v>
      </c>
      <c r="H586" s="24">
        <v>30.338296772023529</v>
      </c>
      <c r="I586" s="16">
        <v>1</v>
      </c>
      <c r="J586" s="24" t="s">
        <v>33</v>
      </c>
    </row>
    <row r="587" spans="1:10" ht="15" customHeight="1" x14ac:dyDescent="0.3">
      <c r="A587" s="10" t="s">
        <v>224</v>
      </c>
      <c r="B587" s="10" t="s">
        <v>2809</v>
      </c>
      <c r="C587" s="10" t="s">
        <v>2810</v>
      </c>
      <c r="D587" s="24">
        <v>24</v>
      </c>
      <c r="E587" s="15">
        <v>-3.1867960702466678</v>
      </c>
      <c r="F587" s="24">
        <v>379.67820511637149</v>
      </c>
      <c r="G587" s="24">
        <v>12.51481610749131</v>
      </c>
      <c r="H587" s="24">
        <v>30.338296772023529</v>
      </c>
      <c r="I587" s="16">
        <v>1</v>
      </c>
      <c r="J587" s="24" t="s">
        <v>33</v>
      </c>
    </row>
    <row r="588" spans="1:10" ht="15" customHeight="1" x14ac:dyDescent="0.3">
      <c r="A588" s="10" t="s">
        <v>224</v>
      </c>
      <c r="B588" s="10" t="s">
        <v>2811</v>
      </c>
      <c r="C588" s="10" t="s">
        <v>2812</v>
      </c>
      <c r="D588" s="24">
        <v>27</v>
      </c>
      <c r="E588" s="15">
        <v>-3.1867960702466678</v>
      </c>
      <c r="F588" s="24">
        <v>379.67820511637149</v>
      </c>
      <c r="G588" s="24">
        <v>12.51481610749131</v>
      </c>
      <c r="H588" s="24">
        <v>30.338296772023529</v>
      </c>
      <c r="I588" s="16">
        <v>1</v>
      </c>
      <c r="J588" s="24" t="s">
        <v>33</v>
      </c>
    </row>
    <row r="589" spans="1:10" ht="15" customHeight="1" x14ac:dyDescent="0.3">
      <c r="A589" s="10" t="s">
        <v>224</v>
      </c>
      <c r="B589" s="10" t="s">
        <v>2813</v>
      </c>
      <c r="C589" s="10" t="s">
        <v>2814</v>
      </c>
      <c r="D589" s="24">
        <v>25</v>
      </c>
      <c r="E589" s="15">
        <v>-3.1867960702466678</v>
      </c>
      <c r="F589" s="24">
        <v>379.67820511637149</v>
      </c>
      <c r="G589" s="24">
        <v>12.51481610749131</v>
      </c>
      <c r="H589" s="24">
        <v>30.338296772023529</v>
      </c>
      <c r="I589" s="16">
        <v>1</v>
      </c>
      <c r="J589" s="24" t="s">
        <v>33</v>
      </c>
    </row>
    <row r="590" spans="1:10" ht="15" customHeight="1" x14ac:dyDescent="0.3">
      <c r="A590" s="10" t="s">
        <v>225</v>
      </c>
      <c r="B590" s="10" t="s">
        <v>339</v>
      </c>
      <c r="C590" s="10" t="s">
        <v>2815</v>
      </c>
      <c r="D590" s="24">
        <v>19</v>
      </c>
      <c r="E590" s="15">
        <v>-1.879505168278786</v>
      </c>
      <c r="F590" s="24">
        <v>1866.3907228468661</v>
      </c>
      <c r="G590" s="24">
        <v>24.366664411070989</v>
      </c>
      <c r="H590" s="24">
        <v>76.596069587549792</v>
      </c>
      <c r="I590" s="16">
        <v>1</v>
      </c>
      <c r="J590" s="24" t="s">
        <v>33</v>
      </c>
    </row>
    <row r="591" spans="1:10" ht="15" customHeight="1" x14ac:dyDescent="0.3">
      <c r="A591" s="10" t="s">
        <v>225</v>
      </c>
      <c r="B591" s="10" t="s">
        <v>2816</v>
      </c>
      <c r="C591" s="10" t="s">
        <v>2817</v>
      </c>
      <c r="D591" s="24">
        <v>22</v>
      </c>
      <c r="E591" s="15">
        <v>-0.61481053502265071</v>
      </c>
      <c r="F591" s="24">
        <v>1699.9714815903819</v>
      </c>
      <c r="G591" s="24">
        <v>26.22083724154415</v>
      </c>
      <c r="H591" s="24">
        <v>64.832845188366306</v>
      </c>
      <c r="I591" s="16">
        <v>0</v>
      </c>
      <c r="J591" s="24">
        <v>-1.4</v>
      </c>
    </row>
    <row r="592" spans="1:10" ht="15" customHeight="1" x14ac:dyDescent="0.3">
      <c r="A592" s="10" t="s">
        <v>225</v>
      </c>
      <c r="B592" s="10" t="s">
        <v>508</v>
      </c>
      <c r="C592" s="10" t="s">
        <v>2818</v>
      </c>
      <c r="D592" s="24">
        <v>29</v>
      </c>
      <c r="E592" s="15">
        <v>1.8007733638371579</v>
      </c>
      <c r="F592" s="24">
        <v>1586.112414322552</v>
      </c>
      <c r="G592" s="24">
        <v>27.20681012034532</v>
      </c>
      <c r="H592" s="24">
        <v>58.298360127725992</v>
      </c>
      <c r="I592" s="16">
        <v>0</v>
      </c>
      <c r="J592" s="24">
        <v>1.6</v>
      </c>
    </row>
    <row r="593" spans="1:10" ht="15" customHeight="1" x14ac:dyDescent="0.3">
      <c r="A593" s="10" t="s">
        <v>225</v>
      </c>
      <c r="B593" s="10" t="s">
        <v>2819</v>
      </c>
      <c r="C593" s="10" t="s">
        <v>2820</v>
      </c>
      <c r="D593" s="24">
        <v>27</v>
      </c>
      <c r="E593" s="15">
        <v>1.26423754385416</v>
      </c>
      <c r="F593" s="24">
        <v>1445.793728535424</v>
      </c>
      <c r="G593" s="24">
        <v>24.78342251888359</v>
      </c>
      <c r="H593" s="24">
        <v>58.337129483783357</v>
      </c>
      <c r="I593" s="16">
        <v>0</v>
      </c>
      <c r="J593" s="24">
        <v>1.6</v>
      </c>
    </row>
    <row r="594" spans="1:10" ht="15" customHeight="1" x14ac:dyDescent="0.3">
      <c r="A594" s="10" t="s">
        <v>225</v>
      </c>
      <c r="B594" s="10" t="s">
        <v>362</v>
      </c>
      <c r="C594" s="10" t="s">
        <v>2821</v>
      </c>
      <c r="D594" s="24">
        <v>20</v>
      </c>
      <c r="E594" s="15">
        <v>-2.4206973331665238</v>
      </c>
      <c r="F594" s="24">
        <v>1372.6909786169849</v>
      </c>
      <c r="G594" s="24">
        <v>21.199263744727631</v>
      </c>
      <c r="H594" s="24">
        <v>64.751823230577074</v>
      </c>
      <c r="I594" s="16">
        <v>0</v>
      </c>
      <c r="J594" s="24">
        <v>-2.2000000000000002</v>
      </c>
    </row>
    <row r="595" spans="1:10" ht="15" customHeight="1" x14ac:dyDescent="0.3">
      <c r="A595" s="10" t="s">
        <v>225</v>
      </c>
      <c r="B595" s="10" t="s">
        <v>2822</v>
      </c>
      <c r="C595" s="10" t="s">
        <v>2823</v>
      </c>
      <c r="D595" s="24">
        <v>22</v>
      </c>
      <c r="E595" s="15">
        <v>-2.4201530518597951</v>
      </c>
      <c r="F595" s="24">
        <v>1305.8790189095851</v>
      </c>
      <c r="G595" s="24">
        <v>20.420544020063751</v>
      </c>
      <c r="H595" s="24">
        <v>63.949276651323402</v>
      </c>
      <c r="I595" s="16">
        <v>0</v>
      </c>
      <c r="J595" s="24">
        <v>-2.5</v>
      </c>
    </row>
    <row r="596" spans="1:10" ht="15" customHeight="1" x14ac:dyDescent="0.3">
      <c r="A596" s="10" t="s">
        <v>225</v>
      </c>
      <c r="B596" s="10" t="s">
        <v>2824</v>
      </c>
      <c r="C596" s="10" t="s">
        <v>2825</v>
      </c>
      <c r="D596" s="24">
        <v>22</v>
      </c>
      <c r="E596" s="15">
        <v>0.1470431089785498</v>
      </c>
      <c r="F596" s="24">
        <v>1214.481983201973</v>
      </c>
      <c r="G596" s="24">
        <v>18.386321148937839</v>
      </c>
      <c r="H596" s="24">
        <v>66.053560870828818</v>
      </c>
      <c r="I596" s="16">
        <v>0</v>
      </c>
      <c r="J596" s="24">
        <v>0.3</v>
      </c>
    </row>
    <row r="597" spans="1:10" ht="15" customHeight="1" x14ac:dyDescent="0.3">
      <c r="A597" s="10" t="s">
        <v>225</v>
      </c>
      <c r="B597" s="10" t="s">
        <v>2826</v>
      </c>
      <c r="C597" s="10" t="s">
        <v>2827</v>
      </c>
      <c r="D597" s="24">
        <v>22</v>
      </c>
      <c r="E597" s="15">
        <v>-1.130844570829896</v>
      </c>
      <c r="F597" s="24">
        <v>1178.1374822339901</v>
      </c>
      <c r="G597" s="24">
        <v>17.99851044591653</v>
      </c>
      <c r="H597" s="24">
        <v>65.457499151063601</v>
      </c>
      <c r="I597" s="16">
        <v>0</v>
      </c>
      <c r="J597" s="24">
        <v>-1</v>
      </c>
    </row>
    <row r="598" spans="1:10" ht="15" customHeight="1" x14ac:dyDescent="0.3">
      <c r="A598" s="10" t="s">
        <v>225</v>
      </c>
      <c r="B598" s="10" t="s">
        <v>465</v>
      </c>
      <c r="C598" s="10" t="s">
        <v>2828</v>
      </c>
      <c r="D598" s="24">
        <v>32</v>
      </c>
      <c r="E598" s="15">
        <v>-0.37417446164032359</v>
      </c>
      <c r="F598" s="24">
        <v>1085.293599582792</v>
      </c>
      <c r="G598" s="24">
        <v>20.645971105851959</v>
      </c>
      <c r="H598" s="24">
        <v>52.566846772113003</v>
      </c>
      <c r="I598" s="16">
        <v>0</v>
      </c>
      <c r="J598" s="24">
        <v>-0.8</v>
      </c>
    </row>
    <row r="599" spans="1:10" ht="15" customHeight="1" x14ac:dyDescent="0.3">
      <c r="A599" s="10" t="s">
        <v>225</v>
      </c>
      <c r="B599" s="10" t="s">
        <v>2829</v>
      </c>
      <c r="C599" s="10" t="s">
        <v>2830</v>
      </c>
      <c r="D599" s="24">
        <v>25</v>
      </c>
      <c r="E599" s="15">
        <v>-0.7276461710793658</v>
      </c>
      <c r="F599" s="24">
        <v>1079.000616378273</v>
      </c>
      <c r="G599" s="24">
        <v>17.7874973608515</v>
      </c>
      <c r="H599" s="24">
        <v>60.660619899966683</v>
      </c>
      <c r="I599" s="16">
        <v>0</v>
      </c>
      <c r="J599" s="24">
        <v>0.4</v>
      </c>
    </row>
    <row r="600" spans="1:10" ht="15" customHeight="1" x14ac:dyDescent="0.3">
      <c r="A600" s="10" t="s">
        <v>225</v>
      </c>
      <c r="B600" s="10" t="s">
        <v>2831</v>
      </c>
      <c r="C600" s="10" t="s">
        <v>2832</v>
      </c>
      <c r="D600" s="24">
        <v>29</v>
      </c>
      <c r="E600" s="15">
        <v>-1.2832926919879599</v>
      </c>
      <c r="F600" s="24">
        <v>1033.0175811699739</v>
      </c>
      <c r="G600" s="24">
        <v>17.297448780626389</v>
      </c>
      <c r="H600" s="24">
        <v>59.720805898669937</v>
      </c>
      <c r="I600" s="16">
        <v>0</v>
      </c>
      <c r="J600" s="24">
        <v>-0.6</v>
      </c>
    </row>
    <row r="601" spans="1:10" ht="15" customHeight="1" x14ac:dyDescent="0.3">
      <c r="A601" s="10" t="s">
        <v>225</v>
      </c>
      <c r="B601" s="10" t="s">
        <v>2833</v>
      </c>
      <c r="C601" s="10" t="s">
        <v>2834</v>
      </c>
      <c r="D601" s="24">
        <v>26</v>
      </c>
      <c r="E601" s="15">
        <v>0.40758227978090628</v>
      </c>
      <c r="F601" s="24">
        <v>890.96128583188874</v>
      </c>
      <c r="G601" s="24">
        <v>14.513699657196989</v>
      </c>
      <c r="H601" s="24">
        <v>61.387606666511317</v>
      </c>
      <c r="I601" s="16">
        <v>0</v>
      </c>
      <c r="J601" s="24">
        <v>0.3</v>
      </c>
    </row>
    <row r="602" spans="1:10" ht="15" customHeight="1" x14ac:dyDescent="0.3">
      <c r="A602" s="10" t="s">
        <v>225</v>
      </c>
      <c r="B602" s="10" t="s">
        <v>2835</v>
      </c>
      <c r="C602" s="10" t="s">
        <v>2836</v>
      </c>
      <c r="D602" s="24">
        <v>28</v>
      </c>
      <c r="E602" s="15">
        <v>-0.25869809757447948</v>
      </c>
      <c r="F602" s="24">
        <v>872.08041497943782</v>
      </c>
      <c r="G602" s="24">
        <v>13.96260550880495</v>
      </c>
      <c r="H602" s="24">
        <v>62.458286487396343</v>
      </c>
      <c r="I602" s="16">
        <v>0</v>
      </c>
      <c r="J602" s="24">
        <v>0.1</v>
      </c>
    </row>
    <row r="603" spans="1:10" ht="15" customHeight="1" x14ac:dyDescent="0.3">
      <c r="A603" s="10" t="s">
        <v>225</v>
      </c>
      <c r="B603" s="10" t="s">
        <v>2837</v>
      </c>
      <c r="C603" s="10" t="s">
        <v>2838</v>
      </c>
      <c r="D603" s="24">
        <v>26</v>
      </c>
      <c r="E603" s="15">
        <v>-1.118687877178439</v>
      </c>
      <c r="F603" s="24">
        <v>605.60302971322642</v>
      </c>
      <c r="G603" s="24">
        <v>13.64067016784827</v>
      </c>
      <c r="H603" s="24">
        <v>44.396867768319972</v>
      </c>
      <c r="I603" s="16">
        <v>0</v>
      </c>
      <c r="J603" s="24">
        <v>-1.1000000000000001</v>
      </c>
    </row>
    <row r="604" spans="1:10" ht="15" customHeight="1" x14ac:dyDescent="0.3">
      <c r="A604" s="10" t="s">
        <v>225</v>
      </c>
      <c r="B604" s="10" t="s">
        <v>2839</v>
      </c>
      <c r="C604" s="10" t="s">
        <v>2840</v>
      </c>
      <c r="D604" s="24">
        <v>28</v>
      </c>
      <c r="E604" s="15">
        <v>-1.6737712418126141</v>
      </c>
      <c r="F604" s="24">
        <v>464.33334063558073</v>
      </c>
      <c r="G604" s="24">
        <v>10.77081923304242</v>
      </c>
      <c r="H604" s="24">
        <v>43.110308565119361</v>
      </c>
      <c r="I604" s="16">
        <v>0</v>
      </c>
      <c r="J604" s="24" t="s">
        <v>33</v>
      </c>
    </row>
    <row r="605" spans="1:10" ht="15" customHeight="1" x14ac:dyDescent="0.3">
      <c r="A605" s="10" t="s">
        <v>225</v>
      </c>
      <c r="B605" s="10" t="s">
        <v>2841</v>
      </c>
      <c r="C605" s="10" t="s">
        <v>2842</v>
      </c>
      <c r="D605" s="24">
        <v>23</v>
      </c>
      <c r="E605" s="15">
        <v>-2.201566667808514</v>
      </c>
      <c r="F605" s="24">
        <v>343.04574119621708</v>
      </c>
      <c r="G605" s="24">
        <v>7.7190886415093374</v>
      </c>
      <c r="H605" s="24">
        <v>44.441223197190851</v>
      </c>
      <c r="I605" s="16">
        <v>0</v>
      </c>
      <c r="J605" s="24">
        <v>-2.5</v>
      </c>
    </row>
    <row r="606" spans="1:10" ht="15" customHeight="1" x14ac:dyDescent="0.3">
      <c r="A606" s="10" t="s">
        <v>225</v>
      </c>
      <c r="B606" s="10" t="s">
        <v>2843</v>
      </c>
      <c r="C606" s="10" t="s">
        <v>2844</v>
      </c>
      <c r="D606" s="24">
        <v>23</v>
      </c>
      <c r="E606" s="15">
        <v>-3.1867960702466678</v>
      </c>
      <c r="F606" s="24">
        <v>330.78521503079821</v>
      </c>
      <c r="G606" s="24">
        <v>10.903222996217499</v>
      </c>
      <c r="H606" s="24">
        <v>30.338296772023529</v>
      </c>
      <c r="I606" s="16">
        <v>1</v>
      </c>
      <c r="J606" s="24" t="s">
        <v>33</v>
      </c>
    </row>
    <row r="607" spans="1:10" ht="15" customHeight="1" x14ac:dyDescent="0.3">
      <c r="A607" s="10" t="s">
        <v>225</v>
      </c>
      <c r="B607" s="10" t="s">
        <v>2845</v>
      </c>
      <c r="C607" s="10" t="s">
        <v>2846</v>
      </c>
      <c r="D607" s="24">
        <v>23</v>
      </c>
      <c r="E607" s="15">
        <v>-3.1867960702466678</v>
      </c>
      <c r="F607" s="24">
        <v>330.78521503079821</v>
      </c>
      <c r="G607" s="24">
        <v>10.903222996217499</v>
      </c>
      <c r="H607" s="24">
        <v>30.338296772023529</v>
      </c>
      <c r="I607" s="16">
        <v>1</v>
      </c>
      <c r="J607" s="24" t="s">
        <v>33</v>
      </c>
    </row>
    <row r="608" spans="1:10" ht="15" customHeight="1" x14ac:dyDescent="0.3">
      <c r="A608" s="10" t="s">
        <v>225</v>
      </c>
      <c r="B608" s="10" t="s">
        <v>2847</v>
      </c>
      <c r="C608" s="10" t="s">
        <v>2848</v>
      </c>
      <c r="D608" s="24">
        <v>28</v>
      </c>
      <c r="E608" s="15">
        <v>-3.1867960702466678</v>
      </c>
      <c r="F608" s="24">
        <v>330.78521503079821</v>
      </c>
      <c r="G608" s="24">
        <v>10.903222996217499</v>
      </c>
      <c r="H608" s="24">
        <v>30.338296772023529</v>
      </c>
      <c r="I608" s="16">
        <v>1</v>
      </c>
      <c r="J608" s="24" t="s">
        <v>33</v>
      </c>
    </row>
    <row r="609" spans="1:10" ht="15" customHeight="1" x14ac:dyDescent="0.3">
      <c r="A609" s="10" t="s">
        <v>225</v>
      </c>
      <c r="B609" s="10" t="s">
        <v>2849</v>
      </c>
      <c r="C609" s="10" t="s">
        <v>2850</v>
      </c>
      <c r="D609" s="24">
        <v>28</v>
      </c>
      <c r="E609" s="15">
        <v>-3.1867960702466678</v>
      </c>
      <c r="F609" s="24">
        <v>330.78521503079821</v>
      </c>
      <c r="G609" s="24">
        <v>10.903222996217499</v>
      </c>
      <c r="H609" s="24">
        <v>30.338296772023529</v>
      </c>
      <c r="I609" s="16">
        <v>1</v>
      </c>
      <c r="J609" s="24" t="s">
        <v>33</v>
      </c>
    </row>
    <row r="610" spans="1:10" ht="15" customHeight="1" x14ac:dyDescent="0.3">
      <c r="A610" s="10" t="s">
        <v>225</v>
      </c>
      <c r="B610" s="10" t="s">
        <v>2851</v>
      </c>
      <c r="C610" s="10" t="s">
        <v>2852</v>
      </c>
      <c r="D610" s="24">
        <v>23</v>
      </c>
      <c r="E610" s="15">
        <v>-1.3062399279750441</v>
      </c>
      <c r="F610" s="24">
        <v>314.06572013166351</v>
      </c>
      <c r="G610" s="24">
        <v>7.4484252013301946</v>
      </c>
      <c r="H610" s="24">
        <v>42.16538552009294</v>
      </c>
      <c r="I610" s="16">
        <v>0</v>
      </c>
      <c r="J610" s="24">
        <v>-1.6</v>
      </c>
    </row>
    <row r="611" spans="1:10" ht="15" customHeight="1" x14ac:dyDescent="0.3">
      <c r="A611" s="10" t="s">
        <v>226</v>
      </c>
      <c r="B611" s="10" t="s">
        <v>341</v>
      </c>
      <c r="C611" s="10" t="s">
        <v>2853</v>
      </c>
      <c r="D611" s="24">
        <v>19</v>
      </c>
      <c r="E611" s="15">
        <v>-1.760298709370351</v>
      </c>
      <c r="F611" s="24">
        <v>1904.9009871466451</v>
      </c>
      <c r="G611" s="24">
        <v>23.948968910568841</v>
      </c>
      <c r="H611" s="24">
        <v>79.539999999999992</v>
      </c>
      <c r="I611" s="16">
        <v>1</v>
      </c>
      <c r="J611" s="24" t="s">
        <v>33</v>
      </c>
    </row>
    <row r="612" spans="1:10" ht="15" customHeight="1" x14ac:dyDescent="0.3">
      <c r="A612" s="10" t="s">
        <v>226</v>
      </c>
      <c r="B612" s="10" t="s">
        <v>2854</v>
      </c>
      <c r="C612" s="10" t="s">
        <v>2855</v>
      </c>
      <c r="D612" s="24">
        <v>21</v>
      </c>
      <c r="E612" s="15">
        <v>-3.3387484039245319</v>
      </c>
      <c r="F612" s="24">
        <v>1479.7930597306331</v>
      </c>
      <c r="G612" s="24">
        <v>21.684520313857242</v>
      </c>
      <c r="H612" s="24">
        <v>68.2419088968728</v>
      </c>
      <c r="I612" s="16">
        <v>0</v>
      </c>
      <c r="J612" s="24">
        <v>-3.3</v>
      </c>
    </row>
    <row r="613" spans="1:10" ht="15" customHeight="1" x14ac:dyDescent="0.3">
      <c r="A613" s="10" t="s">
        <v>226</v>
      </c>
      <c r="B613" s="10" t="s">
        <v>2856</v>
      </c>
      <c r="C613" s="10" t="s">
        <v>2857</v>
      </c>
      <c r="D613" s="24">
        <v>22</v>
      </c>
      <c r="E613" s="15">
        <v>-1.295402687956722</v>
      </c>
      <c r="F613" s="24">
        <v>1377.466599456649</v>
      </c>
      <c r="G613" s="24">
        <v>21.806891375914809</v>
      </c>
      <c r="H613" s="24">
        <v>63.166573158521217</v>
      </c>
      <c r="I613" s="16">
        <v>0</v>
      </c>
      <c r="J613" s="24">
        <v>-1.5</v>
      </c>
    </row>
    <row r="614" spans="1:10" ht="15" customHeight="1" x14ac:dyDescent="0.3">
      <c r="A614" s="10" t="s">
        <v>226</v>
      </c>
      <c r="B614" s="10" t="s">
        <v>2858</v>
      </c>
      <c r="C614" s="10" t="s">
        <v>2859</v>
      </c>
      <c r="D614" s="24">
        <v>28</v>
      </c>
      <c r="E614" s="15">
        <v>-0.15750140853511571</v>
      </c>
      <c r="F614" s="24">
        <v>1329.6150618030661</v>
      </c>
      <c r="G614" s="24">
        <v>21.814826348210971</v>
      </c>
      <c r="H614" s="24">
        <v>60.950063987656137</v>
      </c>
      <c r="I614" s="16">
        <v>0</v>
      </c>
      <c r="J614" s="24">
        <v>0.2</v>
      </c>
    </row>
    <row r="615" spans="1:10" ht="15" customHeight="1" x14ac:dyDescent="0.3">
      <c r="A615" s="10" t="s">
        <v>226</v>
      </c>
      <c r="B615" s="10" t="s">
        <v>398</v>
      </c>
      <c r="C615" s="10" t="s">
        <v>2860</v>
      </c>
      <c r="D615" s="24">
        <v>21</v>
      </c>
      <c r="E615" s="15">
        <v>-0.9354288271459178</v>
      </c>
      <c r="F615" s="24">
        <v>1314.284585527324</v>
      </c>
      <c r="G615" s="24">
        <v>20.921379357106002</v>
      </c>
      <c r="H615" s="24">
        <v>62.8201689331217</v>
      </c>
      <c r="I615" s="16">
        <v>0</v>
      </c>
      <c r="J615" s="24">
        <v>-2.2000000000000002</v>
      </c>
    </row>
    <row r="616" spans="1:10" ht="15" customHeight="1" x14ac:dyDescent="0.3">
      <c r="A616" s="10" t="s">
        <v>226</v>
      </c>
      <c r="B616" s="10" t="s">
        <v>2861</v>
      </c>
      <c r="C616" s="10" t="s">
        <v>2862</v>
      </c>
      <c r="D616" s="24">
        <v>22</v>
      </c>
      <c r="E616" s="15">
        <v>-1.84920305848348</v>
      </c>
      <c r="F616" s="24">
        <v>1295.2649241291861</v>
      </c>
      <c r="G616" s="24">
        <v>21.746640346802049</v>
      </c>
      <c r="H616" s="24">
        <v>59.561610596997838</v>
      </c>
      <c r="I616" s="16">
        <v>0</v>
      </c>
      <c r="J616" s="24">
        <v>-1.8</v>
      </c>
    </row>
    <row r="617" spans="1:10" ht="15" customHeight="1" x14ac:dyDescent="0.3">
      <c r="A617" s="10" t="s">
        <v>226</v>
      </c>
      <c r="B617" s="10" t="s">
        <v>445</v>
      </c>
      <c r="C617" s="10" t="s">
        <v>2863</v>
      </c>
      <c r="D617" s="24">
        <v>28</v>
      </c>
      <c r="E617" s="15">
        <v>1.1701942876202469</v>
      </c>
      <c r="F617" s="24">
        <v>1276.643167346966</v>
      </c>
      <c r="G617" s="24">
        <v>25.542312901946811</v>
      </c>
      <c r="H617" s="24">
        <v>49.981502154789638</v>
      </c>
      <c r="I617" s="16">
        <v>0</v>
      </c>
      <c r="J617" s="24">
        <v>1.1000000000000001</v>
      </c>
    </row>
    <row r="618" spans="1:10" ht="15" customHeight="1" x14ac:dyDescent="0.3">
      <c r="A618" s="10" t="s">
        <v>226</v>
      </c>
      <c r="B618" s="10" t="s">
        <v>321</v>
      </c>
      <c r="C618" s="10" t="s">
        <v>2864</v>
      </c>
      <c r="D618" s="24">
        <v>33</v>
      </c>
      <c r="E618" s="15">
        <v>2.4711013568669302</v>
      </c>
      <c r="F618" s="24">
        <v>1257.8779997897229</v>
      </c>
      <c r="G618" s="24">
        <v>25.125070958577041</v>
      </c>
      <c r="H618" s="24">
        <v>50.064654617833668</v>
      </c>
      <c r="I618" s="16">
        <v>0</v>
      </c>
      <c r="J618" s="24">
        <v>1.6</v>
      </c>
    </row>
    <row r="619" spans="1:10" ht="15" customHeight="1" x14ac:dyDescent="0.3">
      <c r="A619" s="10" t="s">
        <v>226</v>
      </c>
      <c r="B619" s="10" t="s">
        <v>2865</v>
      </c>
      <c r="C619" s="10" t="s">
        <v>2866</v>
      </c>
      <c r="D619" s="24">
        <v>20</v>
      </c>
      <c r="E619" s="15">
        <v>-2.3068906966365832</v>
      </c>
      <c r="F619" s="24">
        <v>1064.2034342904681</v>
      </c>
      <c r="G619" s="24">
        <v>16.261977765865659</v>
      </c>
      <c r="H619" s="24">
        <v>65.441205836860775</v>
      </c>
      <c r="I619" s="16">
        <v>0</v>
      </c>
      <c r="J619" s="24">
        <v>-2</v>
      </c>
    </row>
    <row r="620" spans="1:10" ht="15" customHeight="1" x14ac:dyDescent="0.3">
      <c r="A620" s="10" t="s">
        <v>226</v>
      </c>
      <c r="B620" s="10" t="s">
        <v>2867</v>
      </c>
      <c r="C620" s="10" t="s">
        <v>2868</v>
      </c>
      <c r="D620" s="24">
        <v>20</v>
      </c>
      <c r="E620" s="15">
        <v>-3.0569921602094801</v>
      </c>
      <c r="F620" s="24">
        <v>1047.1447303044581</v>
      </c>
      <c r="G620" s="24">
        <v>17.27518957415699</v>
      </c>
      <c r="H620" s="24">
        <v>60.615527592874876</v>
      </c>
      <c r="I620" s="16">
        <v>0</v>
      </c>
      <c r="J620" s="24">
        <v>-3.1</v>
      </c>
    </row>
    <row r="621" spans="1:10" ht="15" customHeight="1" x14ac:dyDescent="0.3">
      <c r="A621" s="10" t="s">
        <v>226</v>
      </c>
      <c r="B621" s="10" t="s">
        <v>2869</v>
      </c>
      <c r="C621" s="10" t="s">
        <v>2870</v>
      </c>
      <c r="D621" s="24">
        <v>35</v>
      </c>
      <c r="E621" s="15">
        <v>-2.5553424658657962</v>
      </c>
      <c r="F621" s="24">
        <v>1001.396591011703</v>
      </c>
      <c r="G621" s="24">
        <v>18.037468930820079</v>
      </c>
      <c r="H621" s="24">
        <v>55.517578150925978</v>
      </c>
      <c r="I621" s="16">
        <v>0</v>
      </c>
      <c r="J621" s="24">
        <v>-2.2000000000000002</v>
      </c>
    </row>
    <row r="622" spans="1:10" ht="15" customHeight="1" x14ac:dyDescent="0.3">
      <c r="A622" s="10" t="s">
        <v>226</v>
      </c>
      <c r="B622" s="10" t="s">
        <v>2871</v>
      </c>
      <c r="C622" s="10" t="s">
        <v>2872</v>
      </c>
      <c r="D622" s="24">
        <v>25</v>
      </c>
      <c r="E622" s="15">
        <v>-0.13446860450037099</v>
      </c>
      <c r="F622" s="24">
        <v>980.01002662254757</v>
      </c>
      <c r="G622" s="24">
        <v>15.588929232225571</v>
      </c>
      <c r="H622" s="24">
        <v>62.865769163712812</v>
      </c>
      <c r="I622" s="16">
        <v>0</v>
      </c>
      <c r="J622" s="24">
        <v>-0.2</v>
      </c>
    </row>
    <row r="623" spans="1:10" ht="15" customHeight="1" x14ac:dyDescent="0.3">
      <c r="A623" s="10" t="s">
        <v>226</v>
      </c>
      <c r="B623" s="10" t="s">
        <v>2873</v>
      </c>
      <c r="C623" s="10" t="s">
        <v>2874</v>
      </c>
      <c r="D623" s="24">
        <v>25</v>
      </c>
      <c r="E623" s="15">
        <v>-2.877676147922327</v>
      </c>
      <c r="F623" s="24">
        <v>675.28556434839811</v>
      </c>
      <c r="G623" s="24">
        <v>12.442816290973621</v>
      </c>
      <c r="H623" s="24">
        <v>54.271119058333277</v>
      </c>
      <c r="I623" s="16">
        <v>0</v>
      </c>
      <c r="J623" s="24">
        <v>-2.9</v>
      </c>
    </row>
    <row r="624" spans="1:10" ht="15" customHeight="1" x14ac:dyDescent="0.3">
      <c r="A624" s="10" t="s">
        <v>226</v>
      </c>
      <c r="B624" s="10" t="s">
        <v>2875</v>
      </c>
      <c r="C624" s="10" t="s">
        <v>2876</v>
      </c>
      <c r="D624" s="24">
        <v>33</v>
      </c>
      <c r="E624" s="15">
        <v>-2.4109917650300901</v>
      </c>
      <c r="F624" s="24">
        <v>579.64317081821184</v>
      </c>
      <c r="G624" s="24">
        <v>10.37928164498036</v>
      </c>
      <c r="H624" s="24">
        <v>55.846174200171099</v>
      </c>
      <c r="I624" s="16">
        <v>0</v>
      </c>
      <c r="J624" s="24">
        <v>-1.6</v>
      </c>
    </row>
    <row r="625" spans="1:10" ht="15" customHeight="1" x14ac:dyDescent="0.3">
      <c r="A625" s="10" t="s">
        <v>226</v>
      </c>
      <c r="B625" s="10" t="s">
        <v>2877</v>
      </c>
      <c r="C625" s="10" t="s">
        <v>2878</v>
      </c>
      <c r="D625" s="24">
        <v>23</v>
      </c>
      <c r="E625" s="15">
        <v>0.26528562655401922</v>
      </c>
      <c r="F625" s="24">
        <v>564.29013659473446</v>
      </c>
      <c r="G625" s="24">
        <v>10.98902148147501</v>
      </c>
      <c r="H625" s="24">
        <v>51.350353400072891</v>
      </c>
      <c r="I625" s="16">
        <v>0</v>
      </c>
      <c r="J625" s="24">
        <v>0.4</v>
      </c>
    </row>
    <row r="626" spans="1:10" ht="15" customHeight="1" x14ac:dyDescent="0.3">
      <c r="A626" s="10" t="s">
        <v>226</v>
      </c>
      <c r="B626" s="10" t="s">
        <v>2879</v>
      </c>
      <c r="C626" s="10" t="s">
        <v>2880</v>
      </c>
      <c r="D626" s="24">
        <v>27</v>
      </c>
      <c r="E626" s="15">
        <v>-1.3083724819648439</v>
      </c>
      <c r="F626" s="24">
        <v>435.4612819428869</v>
      </c>
      <c r="G626" s="24">
        <v>10.761588277000509</v>
      </c>
      <c r="H626" s="24">
        <v>40.464406436505982</v>
      </c>
      <c r="I626" s="16">
        <v>0</v>
      </c>
      <c r="J626" s="24" t="s">
        <v>33</v>
      </c>
    </row>
    <row r="627" spans="1:10" ht="15" customHeight="1" x14ac:dyDescent="0.3">
      <c r="A627" s="10" t="s">
        <v>226</v>
      </c>
      <c r="B627" s="10" t="s">
        <v>2881</v>
      </c>
      <c r="C627" s="10" t="s">
        <v>2882</v>
      </c>
      <c r="D627" s="24">
        <v>22</v>
      </c>
      <c r="E627" s="15">
        <v>-2.1953031870896158</v>
      </c>
      <c r="F627" s="24">
        <v>385.12750213692232</v>
      </c>
      <c r="G627" s="24">
        <v>11.274812595718499</v>
      </c>
      <c r="H627" s="24">
        <v>34.15821760826168</v>
      </c>
      <c r="I627" s="16">
        <v>1</v>
      </c>
      <c r="J627" s="24" t="s">
        <v>33</v>
      </c>
    </row>
    <row r="628" spans="1:10" ht="15" customHeight="1" x14ac:dyDescent="0.3">
      <c r="A628" s="10" t="s">
        <v>226</v>
      </c>
      <c r="B628" s="10" t="s">
        <v>2883</v>
      </c>
      <c r="C628" s="10" t="s">
        <v>2884</v>
      </c>
      <c r="D628" s="24">
        <v>30</v>
      </c>
      <c r="E628" s="15">
        <v>-1.9702480856840281</v>
      </c>
      <c r="F628" s="24">
        <v>343.08073719786063</v>
      </c>
      <c r="G628" s="24">
        <v>8.6576463368060903</v>
      </c>
      <c r="H628" s="24">
        <v>39.627483481200649</v>
      </c>
      <c r="I628" s="16">
        <v>0</v>
      </c>
      <c r="J628" s="24" t="s">
        <v>33</v>
      </c>
    </row>
    <row r="629" spans="1:10" ht="15" customHeight="1" x14ac:dyDescent="0.3">
      <c r="A629" s="10" t="s">
        <v>226</v>
      </c>
      <c r="B629" s="10" t="s">
        <v>2885</v>
      </c>
      <c r="C629" s="10" t="s">
        <v>2886</v>
      </c>
      <c r="D629" s="24">
        <v>25</v>
      </c>
      <c r="E629" s="15">
        <v>-3.1867960702466678</v>
      </c>
      <c r="F629" s="24">
        <v>310.40656832741661</v>
      </c>
      <c r="G629" s="24">
        <v>10.231509390918021</v>
      </c>
      <c r="H629" s="24">
        <v>30.338296772023529</v>
      </c>
      <c r="I629" s="16">
        <v>1</v>
      </c>
      <c r="J629" s="24" t="s">
        <v>33</v>
      </c>
    </row>
    <row r="630" spans="1:10" ht="15" customHeight="1" x14ac:dyDescent="0.3">
      <c r="A630" s="10" t="s">
        <v>226</v>
      </c>
      <c r="B630" s="10" t="s">
        <v>2887</v>
      </c>
      <c r="C630" s="10" t="s">
        <v>2888</v>
      </c>
      <c r="D630" s="24">
        <v>25</v>
      </c>
      <c r="E630" s="15">
        <v>-2.582242419685266</v>
      </c>
      <c r="F630" s="24">
        <v>308.19903993407121</v>
      </c>
      <c r="G630" s="24">
        <v>10.158745635921029</v>
      </c>
      <c r="H630" s="24">
        <v>30.338296772023529</v>
      </c>
      <c r="I630" s="16">
        <v>0</v>
      </c>
      <c r="J630" s="24" t="s">
        <v>33</v>
      </c>
    </row>
    <row r="631" spans="1:10" ht="15" customHeight="1" x14ac:dyDescent="0.3">
      <c r="A631" s="10" t="s">
        <v>226</v>
      </c>
      <c r="B631" s="10" t="s">
        <v>2889</v>
      </c>
      <c r="C631" s="10" t="s">
        <v>2890</v>
      </c>
      <c r="D631" s="24">
        <v>23</v>
      </c>
      <c r="E631" s="15">
        <v>-1.8485002465801501</v>
      </c>
      <c r="F631" s="24">
        <v>288.97937002587912</v>
      </c>
      <c r="G631" s="24">
        <v>6.768186866030323</v>
      </c>
      <c r="H631" s="24">
        <v>42.696718596271751</v>
      </c>
      <c r="I631" s="16">
        <v>0</v>
      </c>
      <c r="J631" s="24">
        <v>-2.1</v>
      </c>
    </row>
    <row r="632" spans="1:10" ht="15" customHeight="1" x14ac:dyDescent="0.3">
      <c r="A632" s="10" t="s">
        <v>226</v>
      </c>
      <c r="B632" s="10" t="s">
        <v>2891</v>
      </c>
      <c r="C632" s="10" t="s">
        <v>2892</v>
      </c>
      <c r="D632" s="24">
        <v>23</v>
      </c>
      <c r="E632" s="15">
        <v>-1.8154266922531259</v>
      </c>
      <c r="F632" s="24">
        <v>226.74923943453129</v>
      </c>
      <c r="G632" s="24">
        <v>5.3161333838184124</v>
      </c>
      <c r="H632" s="24">
        <v>42.6530380378952</v>
      </c>
      <c r="I632" s="16">
        <v>0</v>
      </c>
      <c r="J632" s="24" t="s">
        <v>33</v>
      </c>
    </row>
    <row r="633" spans="1:10" ht="15" customHeight="1" x14ac:dyDescent="0.3">
      <c r="A633" s="10" t="s">
        <v>226</v>
      </c>
      <c r="B633" s="10" t="s">
        <v>2893</v>
      </c>
      <c r="C633" s="10" t="s">
        <v>2894</v>
      </c>
      <c r="D633" s="24">
        <v>23</v>
      </c>
      <c r="E633" s="15">
        <v>-1.420866304482381</v>
      </c>
      <c r="F633" s="24">
        <v>185.1583973201013</v>
      </c>
      <c r="G633" s="24">
        <v>6.1031243352739946</v>
      </c>
      <c r="H633" s="24">
        <v>30.338296772023529</v>
      </c>
      <c r="I633" s="16">
        <v>0</v>
      </c>
      <c r="J633" s="24" t="s">
        <v>33</v>
      </c>
    </row>
    <row r="634" spans="1:10" ht="15" customHeight="1" x14ac:dyDescent="0.3">
      <c r="A634" s="10" t="s">
        <v>226</v>
      </c>
      <c r="B634" s="10" t="s">
        <v>2895</v>
      </c>
      <c r="C634" s="10" t="s">
        <v>2896</v>
      </c>
      <c r="D634" s="24">
        <v>25</v>
      </c>
      <c r="E634" s="15">
        <v>-1.390674239332683</v>
      </c>
      <c r="F634" s="24">
        <v>49.017824759621092</v>
      </c>
      <c r="G634" s="24">
        <v>14.885205292107401</v>
      </c>
      <c r="H634" s="24">
        <v>3.2930566826385559</v>
      </c>
      <c r="I634" s="16">
        <v>0</v>
      </c>
      <c r="J634" s="24">
        <v>-0.5</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H1207"/>
  <sheetViews>
    <sheetView showGridLines="0" workbookViewId="0"/>
  </sheetViews>
  <sheetFormatPr defaultRowHeight="14.4" x14ac:dyDescent="0.3"/>
  <cols>
    <col min="1" max="1" width="24" customWidth="1"/>
    <col min="2" max="6" width="14" customWidth="1"/>
    <col min="7" max="7" width="30" customWidth="1"/>
    <col min="8" max="8" width="14" customWidth="1"/>
  </cols>
  <sheetData>
    <row r="1" spans="1:8" ht="15" customHeight="1" x14ac:dyDescent="0.3">
      <c r="A1" s="1" t="s">
        <v>0</v>
      </c>
      <c r="B1" s="2"/>
      <c r="C1" s="2"/>
      <c r="D1" s="2"/>
      <c r="E1" s="2"/>
      <c r="F1" s="2"/>
      <c r="G1" s="2"/>
      <c r="H1" s="2"/>
    </row>
    <row r="2" spans="1:8" ht="15" customHeight="1" x14ac:dyDescent="0.3">
      <c r="A2" s="3" t="s">
        <v>2897</v>
      </c>
    </row>
    <row r="3" spans="1:8" ht="15" customHeight="1" x14ac:dyDescent="0.3">
      <c r="A3" s="4" t="s">
        <v>2</v>
      </c>
    </row>
    <row r="4" spans="1:8" ht="6" customHeight="1" x14ac:dyDescent="0.3"/>
    <row r="5" spans="1:8" ht="15" customHeight="1" x14ac:dyDescent="0.3"/>
    <row r="6" spans="1:8" ht="15" customHeight="1" x14ac:dyDescent="0.3"/>
    <row r="7" spans="1:8" ht="30" customHeight="1" x14ac:dyDescent="0.3">
      <c r="A7" s="11" t="s">
        <v>2898</v>
      </c>
      <c r="B7" s="11" t="s">
        <v>2899</v>
      </c>
      <c r="C7" s="11" t="s">
        <v>2900</v>
      </c>
      <c r="D7" s="11" t="s">
        <v>2901</v>
      </c>
      <c r="E7" s="11" t="s">
        <v>2902</v>
      </c>
      <c r="F7" s="11" t="s">
        <v>2903</v>
      </c>
      <c r="G7" s="11" t="s">
        <v>2904</v>
      </c>
    </row>
    <row r="8" spans="1:8" ht="15" customHeight="1" x14ac:dyDescent="0.3">
      <c r="A8" s="16">
        <v>1</v>
      </c>
      <c r="B8" s="10" t="s">
        <v>2905</v>
      </c>
      <c r="C8" s="10" t="s">
        <v>2906</v>
      </c>
      <c r="D8" s="10" t="s">
        <v>199</v>
      </c>
      <c r="E8" s="10" t="s">
        <v>205</v>
      </c>
      <c r="F8" s="16">
        <v>0</v>
      </c>
      <c r="G8" s="10" t="s">
        <v>2907</v>
      </c>
    </row>
    <row r="9" spans="1:8" ht="15" customHeight="1" x14ac:dyDescent="0.3">
      <c r="A9" s="16">
        <v>2</v>
      </c>
      <c r="B9" s="10" t="s">
        <v>2905</v>
      </c>
      <c r="C9" s="10" t="s">
        <v>2908</v>
      </c>
      <c r="D9" s="10" t="s">
        <v>219</v>
      </c>
      <c r="E9" s="10" t="s">
        <v>216</v>
      </c>
      <c r="F9" s="16">
        <v>0</v>
      </c>
      <c r="G9" s="10" t="s">
        <v>2909</v>
      </c>
    </row>
    <row r="10" spans="1:8" ht="15" customHeight="1" x14ac:dyDescent="0.3">
      <c r="A10" s="16">
        <v>3</v>
      </c>
      <c r="B10" s="10" t="s">
        <v>2905</v>
      </c>
      <c r="C10" s="10" t="s">
        <v>2910</v>
      </c>
      <c r="D10" s="10" t="s">
        <v>217</v>
      </c>
      <c r="E10" s="10" t="s">
        <v>223</v>
      </c>
      <c r="F10" s="16">
        <v>0</v>
      </c>
      <c r="G10" s="10" t="s">
        <v>2911</v>
      </c>
    </row>
    <row r="11" spans="1:8" ht="15" customHeight="1" x14ac:dyDescent="0.3">
      <c r="A11" s="16">
        <v>4</v>
      </c>
      <c r="B11" s="10" t="s">
        <v>2912</v>
      </c>
      <c r="C11" s="10" t="s">
        <v>2913</v>
      </c>
      <c r="D11" s="10" t="s">
        <v>206</v>
      </c>
      <c r="E11" s="10" t="s">
        <v>210</v>
      </c>
      <c r="F11" s="16">
        <v>0</v>
      </c>
      <c r="G11" s="10" t="s">
        <v>2914</v>
      </c>
    </row>
    <row r="12" spans="1:8" ht="15" customHeight="1" x14ac:dyDescent="0.3">
      <c r="A12" s="16">
        <v>5</v>
      </c>
      <c r="B12" s="10" t="s">
        <v>2912</v>
      </c>
      <c r="C12" s="10" t="s">
        <v>2913</v>
      </c>
      <c r="D12" s="10" t="s">
        <v>220</v>
      </c>
      <c r="E12" s="10" t="s">
        <v>221</v>
      </c>
      <c r="F12" s="16">
        <v>0</v>
      </c>
      <c r="G12" s="10" t="s">
        <v>2915</v>
      </c>
    </row>
    <row r="13" spans="1:8" ht="15" customHeight="1" x14ac:dyDescent="0.3">
      <c r="A13" s="16">
        <v>6</v>
      </c>
      <c r="B13" s="10" t="s">
        <v>2912</v>
      </c>
      <c r="C13" s="10" t="s">
        <v>2916</v>
      </c>
      <c r="D13" s="10" t="s">
        <v>222</v>
      </c>
      <c r="E13" s="10" t="s">
        <v>209</v>
      </c>
      <c r="F13" s="16">
        <v>0</v>
      </c>
      <c r="G13" s="10" t="s">
        <v>2917</v>
      </c>
    </row>
    <row r="14" spans="1:8" ht="15" customHeight="1" x14ac:dyDescent="0.3">
      <c r="A14" s="16">
        <v>7</v>
      </c>
      <c r="B14" s="10" t="s">
        <v>2912</v>
      </c>
      <c r="C14" s="10" t="s">
        <v>2908</v>
      </c>
      <c r="D14" s="10" t="s">
        <v>197</v>
      </c>
      <c r="E14" s="10" t="s">
        <v>218</v>
      </c>
      <c r="F14" s="16">
        <v>0</v>
      </c>
      <c r="G14" s="10" t="s">
        <v>2918</v>
      </c>
    </row>
    <row r="15" spans="1:8" ht="15" customHeight="1" x14ac:dyDescent="0.3">
      <c r="A15" s="16">
        <v>8</v>
      </c>
      <c r="B15" s="10" t="s">
        <v>2912</v>
      </c>
      <c r="C15" s="10" t="s">
        <v>2908</v>
      </c>
      <c r="D15" s="10" t="s">
        <v>213</v>
      </c>
      <c r="E15" s="10" t="s">
        <v>226</v>
      </c>
      <c r="F15" s="16">
        <v>0</v>
      </c>
      <c r="G15" s="10" t="s">
        <v>2919</v>
      </c>
    </row>
    <row r="16" spans="1:8" ht="15" customHeight="1" x14ac:dyDescent="0.3">
      <c r="A16" s="16">
        <v>9</v>
      </c>
      <c r="B16" s="10" t="s">
        <v>2912</v>
      </c>
      <c r="C16" s="10" t="s">
        <v>2920</v>
      </c>
      <c r="D16" s="10" t="s">
        <v>200</v>
      </c>
      <c r="E16" s="10" t="s">
        <v>198</v>
      </c>
      <c r="F16" s="16">
        <v>0</v>
      </c>
      <c r="G16" s="10" t="s">
        <v>2921</v>
      </c>
    </row>
    <row r="17" spans="1:7" ht="15" customHeight="1" x14ac:dyDescent="0.3">
      <c r="A17" s="16">
        <v>10</v>
      </c>
      <c r="B17" s="10" t="s">
        <v>2912</v>
      </c>
      <c r="C17" s="10" t="s">
        <v>2920</v>
      </c>
      <c r="D17" s="10" t="s">
        <v>214</v>
      </c>
      <c r="E17" s="10" t="s">
        <v>212</v>
      </c>
      <c r="F17" s="16">
        <v>0</v>
      </c>
      <c r="G17" s="10" t="s">
        <v>2922</v>
      </c>
    </row>
    <row r="18" spans="1:7" ht="15" customHeight="1" x14ac:dyDescent="0.3">
      <c r="A18" s="16">
        <v>11</v>
      </c>
      <c r="B18" s="10" t="s">
        <v>2912</v>
      </c>
      <c r="C18" s="10" t="s">
        <v>2920</v>
      </c>
      <c r="D18" s="10" t="s">
        <v>201</v>
      </c>
      <c r="E18" s="10" t="s">
        <v>224</v>
      </c>
      <c r="F18" s="16">
        <v>0</v>
      </c>
      <c r="G18" s="10" t="s">
        <v>2923</v>
      </c>
    </row>
    <row r="19" spans="1:7" ht="15" customHeight="1" x14ac:dyDescent="0.3">
      <c r="A19" s="16">
        <v>12</v>
      </c>
      <c r="B19" s="10" t="s">
        <v>2912</v>
      </c>
      <c r="C19" s="10" t="s">
        <v>2924</v>
      </c>
      <c r="D19" s="10" t="s">
        <v>225</v>
      </c>
      <c r="E19" s="10" t="s">
        <v>211</v>
      </c>
      <c r="F19" s="16">
        <v>0</v>
      </c>
      <c r="G19" s="10" t="s">
        <v>2925</v>
      </c>
    </row>
    <row r="20" spans="1:7" ht="15" customHeight="1" x14ac:dyDescent="0.3">
      <c r="A20" s="16">
        <v>13</v>
      </c>
      <c r="B20" s="10" t="s">
        <v>2912</v>
      </c>
      <c r="C20" s="10" t="s">
        <v>2924</v>
      </c>
      <c r="D20" s="10" t="s">
        <v>208</v>
      </c>
      <c r="E20" s="10" t="s">
        <v>215</v>
      </c>
      <c r="F20" s="16">
        <v>0</v>
      </c>
      <c r="G20" s="10" t="s">
        <v>2926</v>
      </c>
    </row>
    <row r="21" spans="1:7" ht="15" customHeight="1" x14ac:dyDescent="0.3">
      <c r="A21" s="16">
        <v>14</v>
      </c>
      <c r="B21" s="10" t="s">
        <v>2912</v>
      </c>
      <c r="C21" s="10" t="s">
        <v>2927</v>
      </c>
      <c r="D21" s="10" t="s">
        <v>203</v>
      </c>
      <c r="E21" s="10" t="s">
        <v>207</v>
      </c>
      <c r="F21" s="16">
        <v>0</v>
      </c>
      <c r="G21" s="10" t="s">
        <v>2928</v>
      </c>
    </row>
    <row r="22" spans="1:7" ht="15" customHeight="1" x14ac:dyDescent="0.3">
      <c r="A22" s="16">
        <v>15</v>
      </c>
      <c r="B22" s="10" t="s">
        <v>2929</v>
      </c>
      <c r="C22" s="10" t="s">
        <v>2908</v>
      </c>
      <c r="D22" s="10" t="s">
        <v>202</v>
      </c>
      <c r="E22" s="10" t="s">
        <v>219</v>
      </c>
      <c r="F22" s="16">
        <v>0</v>
      </c>
      <c r="G22" s="10" t="s">
        <v>2930</v>
      </c>
    </row>
    <row r="23" spans="1:7" ht="15" customHeight="1" x14ac:dyDescent="0.3">
      <c r="A23" s="16">
        <v>16</v>
      </c>
      <c r="B23" s="10" t="s">
        <v>2929</v>
      </c>
      <c r="C23" s="10" t="s">
        <v>2910</v>
      </c>
      <c r="D23" s="10" t="s">
        <v>204</v>
      </c>
      <c r="E23" s="10" t="s">
        <v>217</v>
      </c>
      <c r="F23" s="16">
        <v>0</v>
      </c>
      <c r="G23" s="10" t="s">
        <v>2931</v>
      </c>
    </row>
    <row r="24" spans="1:7" ht="15" customHeight="1" x14ac:dyDescent="0.3">
      <c r="A24" s="16">
        <v>17</v>
      </c>
      <c r="B24" s="10" t="s">
        <v>2932</v>
      </c>
      <c r="C24" s="10" t="s">
        <v>2913</v>
      </c>
      <c r="D24" s="10" t="s">
        <v>211</v>
      </c>
      <c r="E24" s="10" t="s">
        <v>206</v>
      </c>
      <c r="F24" s="16">
        <v>0</v>
      </c>
      <c r="G24" s="10" t="s">
        <v>2933</v>
      </c>
    </row>
    <row r="25" spans="1:7" ht="15" customHeight="1" x14ac:dyDescent="0.3">
      <c r="A25" s="16">
        <v>18</v>
      </c>
      <c r="B25" s="10" t="s">
        <v>2932</v>
      </c>
      <c r="C25" s="10" t="s">
        <v>2913</v>
      </c>
      <c r="D25" s="10" t="s">
        <v>209</v>
      </c>
      <c r="E25" s="10" t="s">
        <v>210</v>
      </c>
      <c r="F25" s="16">
        <v>0</v>
      </c>
      <c r="G25" s="10" t="s">
        <v>2914</v>
      </c>
    </row>
    <row r="26" spans="1:7" ht="15" customHeight="1" x14ac:dyDescent="0.3">
      <c r="A26" s="16">
        <v>19</v>
      </c>
      <c r="B26" s="10" t="s">
        <v>2932</v>
      </c>
      <c r="C26" s="10" t="s">
        <v>2913</v>
      </c>
      <c r="D26" s="10" t="s">
        <v>221</v>
      </c>
      <c r="E26" s="10" t="s">
        <v>222</v>
      </c>
      <c r="F26" s="16">
        <v>0</v>
      </c>
      <c r="G26" s="10" t="s">
        <v>2934</v>
      </c>
    </row>
    <row r="27" spans="1:7" ht="15" customHeight="1" x14ac:dyDescent="0.3">
      <c r="A27" s="16">
        <v>20</v>
      </c>
      <c r="B27" s="10" t="s">
        <v>2932</v>
      </c>
      <c r="C27" s="10" t="s">
        <v>2908</v>
      </c>
      <c r="D27" s="10" t="s">
        <v>216</v>
      </c>
      <c r="E27" s="10" t="s">
        <v>199</v>
      </c>
      <c r="F27" s="16">
        <v>0</v>
      </c>
      <c r="G27" s="10" t="s">
        <v>2935</v>
      </c>
    </row>
    <row r="28" spans="1:7" ht="15" customHeight="1" x14ac:dyDescent="0.3">
      <c r="A28" s="16">
        <v>21</v>
      </c>
      <c r="B28" s="10" t="s">
        <v>2932</v>
      </c>
      <c r="C28" s="10" t="s">
        <v>2908</v>
      </c>
      <c r="D28" s="10" t="s">
        <v>197</v>
      </c>
      <c r="E28" s="10" t="s">
        <v>200</v>
      </c>
      <c r="F28" s="16">
        <v>0</v>
      </c>
      <c r="G28" s="10" t="s">
        <v>2936</v>
      </c>
    </row>
    <row r="29" spans="1:7" ht="15" customHeight="1" x14ac:dyDescent="0.3">
      <c r="A29" s="16">
        <v>22</v>
      </c>
      <c r="B29" s="10" t="s">
        <v>2932</v>
      </c>
      <c r="C29" s="10" t="s">
        <v>2908</v>
      </c>
      <c r="D29" s="10" t="s">
        <v>203</v>
      </c>
      <c r="E29" s="10" t="s">
        <v>208</v>
      </c>
      <c r="F29" s="16">
        <v>0</v>
      </c>
      <c r="G29" s="10" t="s">
        <v>2937</v>
      </c>
    </row>
    <row r="30" spans="1:7" ht="15" customHeight="1" x14ac:dyDescent="0.3">
      <c r="A30" s="16">
        <v>23</v>
      </c>
      <c r="B30" s="10" t="s">
        <v>2932</v>
      </c>
      <c r="C30" s="10" t="s">
        <v>2908</v>
      </c>
      <c r="D30" s="10" t="s">
        <v>214</v>
      </c>
      <c r="E30" s="10" t="s">
        <v>218</v>
      </c>
      <c r="F30" s="16">
        <v>0</v>
      </c>
      <c r="G30" s="10" t="s">
        <v>2918</v>
      </c>
    </row>
    <row r="31" spans="1:7" ht="15" customHeight="1" x14ac:dyDescent="0.3">
      <c r="A31" s="16">
        <v>24</v>
      </c>
      <c r="B31" s="10" t="s">
        <v>2932</v>
      </c>
      <c r="C31" s="10" t="s">
        <v>2908</v>
      </c>
      <c r="D31" s="10" t="s">
        <v>224</v>
      </c>
      <c r="E31" s="10" t="s">
        <v>226</v>
      </c>
      <c r="F31" s="16">
        <v>0</v>
      </c>
      <c r="G31" s="10" t="s">
        <v>2919</v>
      </c>
    </row>
    <row r="32" spans="1:7" ht="15" customHeight="1" x14ac:dyDescent="0.3">
      <c r="A32" s="16">
        <v>25</v>
      </c>
      <c r="B32" s="10" t="s">
        <v>2932</v>
      </c>
      <c r="C32" s="10" t="s">
        <v>2924</v>
      </c>
      <c r="D32" s="10" t="s">
        <v>205</v>
      </c>
      <c r="E32" s="10" t="s">
        <v>212</v>
      </c>
      <c r="F32" s="16">
        <v>0</v>
      </c>
      <c r="G32" s="10" t="s">
        <v>2922</v>
      </c>
    </row>
    <row r="33" spans="1:7" ht="15" customHeight="1" x14ac:dyDescent="0.3">
      <c r="A33" s="16">
        <v>26</v>
      </c>
      <c r="B33" s="10" t="s">
        <v>2932</v>
      </c>
      <c r="C33" s="10" t="s">
        <v>2924</v>
      </c>
      <c r="D33" s="10" t="s">
        <v>201</v>
      </c>
      <c r="E33" s="10" t="s">
        <v>213</v>
      </c>
      <c r="F33" s="16">
        <v>0</v>
      </c>
      <c r="G33" s="10" t="s">
        <v>2938</v>
      </c>
    </row>
    <row r="34" spans="1:7" ht="15" customHeight="1" x14ac:dyDescent="0.3">
      <c r="A34" s="16">
        <v>27</v>
      </c>
      <c r="B34" s="10" t="s">
        <v>2932</v>
      </c>
      <c r="C34" s="10" t="s">
        <v>2910</v>
      </c>
      <c r="D34" s="10" t="s">
        <v>207</v>
      </c>
      <c r="E34" s="10" t="s">
        <v>223</v>
      </c>
      <c r="F34" s="16">
        <v>0</v>
      </c>
      <c r="G34" s="10" t="s">
        <v>2939</v>
      </c>
    </row>
    <row r="35" spans="1:7" ht="15" customHeight="1" x14ac:dyDescent="0.3">
      <c r="A35" s="16">
        <v>28</v>
      </c>
      <c r="B35" s="10" t="s">
        <v>2932</v>
      </c>
      <c r="C35" s="10" t="s">
        <v>2910</v>
      </c>
      <c r="D35" s="10" t="s">
        <v>215</v>
      </c>
      <c r="E35" s="10" t="s">
        <v>225</v>
      </c>
      <c r="F35" s="16">
        <v>0</v>
      </c>
      <c r="G35" s="10" t="s">
        <v>2940</v>
      </c>
    </row>
    <row r="36" spans="1:7" ht="15" customHeight="1" x14ac:dyDescent="0.3">
      <c r="A36" s="16">
        <v>29</v>
      </c>
      <c r="B36" s="10" t="s">
        <v>2941</v>
      </c>
      <c r="C36" s="10" t="s">
        <v>2913</v>
      </c>
      <c r="D36" s="10" t="s">
        <v>206</v>
      </c>
      <c r="E36" s="10" t="s">
        <v>220</v>
      </c>
      <c r="F36" s="16">
        <v>0</v>
      </c>
      <c r="G36" s="10" t="s">
        <v>2942</v>
      </c>
    </row>
    <row r="37" spans="1:7" ht="15" customHeight="1" x14ac:dyDescent="0.3">
      <c r="A37" s="16">
        <v>30</v>
      </c>
      <c r="B37" s="10" t="s">
        <v>2941</v>
      </c>
      <c r="C37" s="10" t="s">
        <v>2943</v>
      </c>
      <c r="D37" s="10" t="s">
        <v>212</v>
      </c>
      <c r="E37" s="10" t="s">
        <v>200</v>
      </c>
      <c r="F37" s="16">
        <v>0</v>
      </c>
      <c r="G37" s="10" t="s">
        <v>2936</v>
      </c>
    </row>
    <row r="38" spans="1:7" ht="15" customHeight="1" x14ac:dyDescent="0.3">
      <c r="A38" s="16">
        <v>31</v>
      </c>
      <c r="B38" s="10" t="s">
        <v>2941</v>
      </c>
      <c r="C38" s="10" t="s">
        <v>2920</v>
      </c>
      <c r="D38" s="10" t="s">
        <v>198</v>
      </c>
      <c r="E38" s="10" t="s">
        <v>202</v>
      </c>
      <c r="F38" s="16">
        <v>0</v>
      </c>
      <c r="G38" s="10" t="s">
        <v>2944</v>
      </c>
    </row>
    <row r="39" spans="1:7" ht="15" customHeight="1" x14ac:dyDescent="0.3">
      <c r="A39" s="16">
        <v>32</v>
      </c>
      <c r="B39" s="10" t="s">
        <v>2941</v>
      </c>
      <c r="C39" s="10" t="s">
        <v>2920</v>
      </c>
      <c r="D39" s="10" t="s">
        <v>213</v>
      </c>
      <c r="E39" s="10" t="s">
        <v>219</v>
      </c>
      <c r="F39" s="16">
        <v>0</v>
      </c>
      <c r="G39" s="10" t="s">
        <v>2930</v>
      </c>
    </row>
    <row r="40" spans="1:7" ht="15" customHeight="1" x14ac:dyDescent="0.3">
      <c r="A40" s="16">
        <v>33</v>
      </c>
      <c r="B40" s="10" t="s">
        <v>2941</v>
      </c>
      <c r="C40" s="10" t="s">
        <v>2924</v>
      </c>
      <c r="D40" s="10" t="s">
        <v>207</v>
      </c>
      <c r="E40" s="10" t="s">
        <v>197</v>
      </c>
      <c r="F40" s="16">
        <v>0</v>
      </c>
      <c r="G40" s="10" t="s">
        <v>2945</v>
      </c>
    </row>
    <row r="41" spans="1:7" ht="15" customHeight="1" x14ac:dyDescent="0.3">
      <c r="A41" s="16">
        <v>34</v>
      </c>
      <c r="B41" s="10" t="s">
        <v>2941</v>
      </c>
      <c r="C41" s="10" t="s">
        <v>2924</v>
      </c>
      <c r="D41" s="10" t="s">
        <v>226</v>
      </c>
      <c r="E41" s="10" t="s">
        <v>201</v>
      </c>
      <c r="F41" s="16">
        <v>0</v>
      </c>
      <c r="G41" s="10" t="s">
        <v>2946</v>
      </c>
    </row>
    <row r="42" spans="1:7" ht="15" customHeight="1" x14ac:dyDescent="0.3">
      <c r="A42" s="16">
        <v>35</v>
      </c>
      <c r="B42" s="10" t="s">
        <v>2941</v>
      </c>
      <c r="C42" s="10" t="s">
        <v>2924</v>
      </c>
      <c r="D42" s="10" t="s">
        <v>223</v>
      </c>
      <c r="E42" s="10" t="s">
        <v>203</v>
      </c>
      <c r="F42" s="16">
        <v>0</v>
      </c>
      <c r="G42" s="10" t="s">
        <v>2947</v>
      </c>
    </row>
    <row r="43" spans="1:7" ht="15" customHeight="1" x14ac:dyDescent="0.3">
      <c r="A43" s="16">
        <v>36</v>
      </c>
      <c r="B43" s="10" t="s">
        <v>2941</v>
      </c>
      <c r="C43" s="10" t="s">
        <v>2948</v>
      </c>
      <c r="D43" s="10" t="s">
        <v>215</v>
      </c>
      <c r="E43" s="10" t="s">
        <v>204</v>
      </c>
      <c r="F43" s="16">
        <v>0</v>
      </c>
      <c r="G43" s="10" t="s">
        <v>2949</v>
      </c>
    </row>
    <row r="44" spans="1:7" ht="15" customHeight="1" x14ac:dyDescent="0.3">
      <c r="A44" s="16">
        <v>37</v>
      </c>
      <c r="B44" s="10" t="s">
        <v>2950</v>
      </c>
      <c r="C44" s="10" t="s">
        <v>2951</v>
      </c>
      <c r="D44" s="10" t="s">
        <v>210</v>
      </c>
      <c r="E44" s="10" t="s">
        <v>225</v>
      </c>
      <c r="F44" s="16">
        <v>0</v>
      </c>
      <c r="G44" s="10" t="s">
        <v>2940</v>
      </c>
    </row>
    <row r="45" spans="1:7" ht="15" customHeight="1" x14ac:dyDescent="0.3">
      <c r="A45" s="16">
        <v>38</v>
      </c>
      <c r="B45" s="10" t="s">
        <v>2950</v>
      </c>
      <c r="C45" s="10" t="s">
        <v>2943</v>
      </c>
      <c r="D45" s="10" t="s">
        <v>208</v>
      </c>
      <c r="E45" s="10" t="s">
        <v>198</v>
      </c>
      <c r="F45" s="16">
        <v>0</v>
      </c>
      <c r="G45" s="10" t="s">
        <v>2921</v>
      </c>
    </row>
    <row r="46" spans="1:7" ht="15" customHeight="1" x14ac:dyDescent="0.3">
      <c r="A46" s="16">
        <v>39</v>
      </c>
      <c r="B46" s="10" t="s">
        <v>2950</v>
      </c>
      <c r="C46" s="10" t="s">
        <v>2908</v>
      </c>
      <c r="D46" s="10" t="s">
        <v>224</v>
      </c>
      <c r="E46" s="10" t="s">
        <v>214</v>
      </c>
      <c r="F46" s="16">
        <v>0</v>
      </c>
      <c r="G46" s="10" t="s">
        <v>2952</v>
      </c>
    </row>
    <row r="47" spans="1:7" ht="15" customHeight="1" x14ac:dyDescent="0.3">
      <c r="A47" s="16">
        <v>40</v>
      </c>
      <c r="B47" s="10" t="s">
        <v>2950</v>
      </c>
      <c r="C47" s="10" t="s">
        <v>2908</v>
      </c>
      <c r="D47" s="10" t="s">
        <v>218</v>
      </c>
      <c r="E47" s="10" t="s">
        <v>216</v>
      </c>
      <c r="F47" s="16">
        <v>0</v>
      </c>
      <c r="G47" s="10" t="s">
        <v>2909</v>
      </c>
    </row>
    <row r="48" spans="1:7" ht="15" customHeight="1" x14ac:dyDescent="0.3">
      <c r="A48" s="16">
        <v>41</v>
      </c>
      <c r="B48" s="10" t="s">
        <v>2950</v>
      </c>
      <c r="C48" s="10" t="s">
        <v>2908</v>
      </c>
      <c r="D48" s="10" t="s">
        <v>209</v>
      </c>
      <c r="E48" s="10" t="s">
        <v>217</v>
      </c>
      <c r="F48" s="16">
        <v>0</v>
      </c>
      <c r="G48" s="10" t="s">
        <v>2931</v>
      </c>
    </row>
    <row r="49" spans="1:7" ht="15" customHeight="1" x14ac:dyDescent="0.3">
      <c r="A49" s="16">
        <v>42</v>
      </c>
      <c r="B49" s="10" t="s">
        <v>2950</v>
      </c>
      <c r="C49" s="10" t="s">
        <v>2920</v>
      </c>
      <c r="D49" s="10" t="s">
        <v>205</v>
      </c>
      <c r="E49" s="10" t="s">
        <v>219</v>
      </c>
      <c r="F49" s="16">
        <v>0</v>
      </c>
      <c r="G49" s="10" t="s">
        <v>2930</v>
      </c>
    </row>
    <row r="50" spans="1:7" ht="15" customHeight="1" x14ac:dyDescent="0.3">
      <c r="A50" s="16">
        <v>43</v>
      </c>
      <c r="B50" s="10" t="s">
        <v>2950</v>
      </c>
      <c r="C50" s="10" t="s">
        <v>2948</v>
      </c>
      <c r="D50" s="10" t="s">
        <v>211</v>
      </c>
      <c r="E50" s="10" t="s">
        <v>222</v>
      </c>
      <c r="F50" s="16">
        <v>0</v>
      </c>
      <c r="G50" s="10" t="s">
        <v>2934</v>
      </c>
    </row>
    <row r="51" spans="1:7" ht="15" customHeight="1" x14ac:dyDescent="0.3">
      <c r="A51" s="16">
        <v>44</v>
      </c>
      <c r="B51" s="10" t="s">
        <v>2953</v>
      </c>
      <c r="C51" s="10" t="s">
        <v>2913</v>
      </c>
      <c r="D51" s="10" t="s">
        <v>206</v>
      </c>
      <c r="E51" s="10" t="s">
        <v>204</v>
      </c>
      <c r="F51" s="16">
        <v>0</v>
      </c>
      <c r="G51" s="10" t="s">
        <v>2949</v>
      </c>
    </row>
    <row r="52" spans="1:7" ht="15" customHeight="1" x14ac:dyDescent="0.3">
      <c r="A52" s="16">
        <v>45</v>
      </c>
      <c r="B52" s="10" t="s">
        <v>2953</v>
      </c>
      <c r="C52" s="10" t="s">
        <v>2908</v>
      </c>
      <c r="D52" s="10" t="s">
        <v>226</v>
      </c>
      <c r="E52" s="10" t="s">
        <v>200</v>
      </c>
      <c r="F52" s="16">
        <v>0</v>
      </c>
      <c r="G52" s="10" t="s">
        <v>2936</v>
      </c>
    </row>
    <row r="53" spans="1:7" ht="15" customHeight="1" x14ac:dyDescent="0.3">
      <c r="A53" s="16">
        <v>46</v>
      </c>
      <c r="B53" s="10" t="s">
        <v>2953</v>
      </c>
      <c r="C53" s="10" t="s">
        <v>2908</v>
      </c>
      <c r="D53" s="10" t="s">
        <v>214</v>
      </c>
      <c r="E53" s="10" t="s">
        <v>202</v>
      </c>
      <c r="F53" s="16">
        <v>0</v>
      </c>
      <c r="G53" s="10" t="s">
        <v>2944</v>
      </c>
    </row>
    <row r="54" spans="1:7" ht="15" customHeight="1" x14ac:dyDescent="0.3">
      <c r="A54" s="16">
        <v>47</v>
      </c>
      <c r="B54" s="10" t="s">
        <v>2953</v>
      </c>
      <c r="C54" s="10" t="s">
        <v>2920</v>
      </c>
      <c r="D54" s="10" t="s">
        <v>201</v>
      </c>
      <c r="E54" s="10" t="s">
        <v>199</v>
      </c>
      <c r="F54" s="16">
        <v>0</v>
      </c>
      <c r="G54" s="10" t="s">
        <v>2935</v>
      </c>
    </row>
    <row r="55" spans="1:7" ht="15" customHeight="1" x14ac:dyDescent="0.3">
      <c r="A55" s="16">
        <v>48</v>
      </c>
      <c r="B55" s="10" t="s">
        <v>2953</v>
      </c>
      <c r="C55" s="10" t="s">
        <v>2920</v>
      </c>
      <c r="D55" s="10" t="s">
        <v>203</v>
      </c>
      <c r="E55" s="10" t="s">
        <v>212</v>
      </c>
      <c r="F55" s="16">
        <v>0</v>
      </c>
      <c r="G55" s="10" t="s">
        <v>2922</v>
      </c>
    </row>
    <row r="56" spans="1:7" ht="15" customHeight="1" x14ac:dyDescent="0.3">
      <c r="A56" s="16">
        <v>49</v>
      </c>
      <c r="B56" s="10" t="s">
        <v>2953</v>
      </c>
      <c r="C56" s="10" t="s">
        <v>2924</v>
      </c>
      <c r="D56" s="10" t="s">
        <v>208</v>
      </c>
      <c r="E56" s="10" t="s">
        <v>213</v>
      </c>
      <c r="F56" s="16">
        <v>0</v>
      </c>
      <c r="G56" s="10" t="s">
        <v>2938</v>
      </c>
    </row>
    <row r="57" spans="1:7" ht="15" customHeight="1" x14ac:dyDescent="0.3">
      <c r="A57" s="16">
        <v>50</v>
      </c>
      <c r="B57" s="10" t="s">
        <v>2953</v>
      </c>
      <c r="C57" s="10" t="s">
        <v>2924</v>
      </c>
      <c r="D57" s="10" t="s">
        <v>220</v>
      </c>
      <c r="E57" s="10" t="s">
        <v>217</v>
      </c>
      <c r="F57" s="16">
        <v>0</v>
      </c>
      <c r="G57" s="10" t="s">
        <v>2931</v>
      </c>
    </row>
    <row r="58" spans="1:7" ht="15" customHeight="1" x14ac:dyDescent="0.3">
      <c r="A58" s="16">
        <v>51</v>
      </c>
      <c r="B58" s="10" t="s">
        <v>2953</v>
      </c>
      <c r="C58" s="10" t="s">
        <v>2927</v>
      </c>
      <c r="D58" s="10" t="s">
        <v>197</v>
      </c>
      <c r="E58" s="10" t="s">
        <v>207</v>
      </c>
      <c r="F58" s="16">
        <v>0</v>
      </c>
      <c r="G58" s="10" t="s">
        <v>2928</v>
      </c>
    </row>
    <row r="59" spans="1:7" ht="15" customHeight="1" x14ac:dyDescent="0.3">
      <c r="A59" s="16">
        <v>52</v>
      </c>
      <c r="B59" s="10" t="s">
        <v>2953</v>
      </c>
      <c r="C59" s="10" t="s">
        <v>2948</v>
      </c>
      <c r="D59" s="10" t="s">
        <v>211</v>
      </c>
      <c r="E59" s="10" t="s">
        <v>225</v>
      </c>
      <c r="F59" s="16">
        <v>0</v>
      </c>
      <c r="G59" s="10" t="s">
        <v>2940</v>
      </c>
    </row>
    <row r="60" spans="1:7" ht="15" customHeight="1" x14ac:dyDescent="0.3">
      <c r="A60" s="16">
        <v>53</v>
      </c>
      <c r="B60" s="10" t="s">
        <v>2954</v>
      </c>
      <c r="C60" s="10" t="s">
        <v>2955</v>
      </c>
      <c r="D60" s="10" t="s">
        <v>221</v>
      </c>
      <c r="E60" s="10" t="s">
        <v>210</v>
      </c>
      <c r="F60" s="16">
        <v>0</v>
      </c>
      <c r="G60" s="10" t="s">
        <v>2914</v>
      </c>
    </row>
    <row r="61" spans="1:7" ht="15" customHeight="1" x14ac:dyDescent="0.3">
      <c r="A61" s="16">
        <v>54</v>
      </c>
      <c r="B61" s="10" t="s">
        <v>2954</v>
      </c>
      <c r="C61" s="10" t="s">
        <v>2920</v>
      </c>
      <c r="D61" s="10" t="s">
        <v>198</v>
      </c>
      <c r="E61" s="10" t="s">
        <v>199</v>
      </c>
      <c r="F61" s="16">
        <v>0</v>
      </c>
      <c r="G61" s="10" t="s">
        <v>2935</v>
      </c>
    </row>
    <row r="62" spans="1:7" ht="15" customHeight="1" x14ac:dyDescent="0.3">
      <c r="A62" s="16">
        <v>55</v>
      </c>
      <c r="B62" s="10" t="s">
        <v>2954</v>
      </c>
      <c r="C62" s="10" t="s">
        <v>2924</v>
      </c>
      <c r="D62" s="10" t="s">
        <v>205</v>
      </c>
      <c r="E62" s="10" t="s">
        <v>216</v>
      </c>
      <c r="F62" s="16">
        <v>0</v>
      </c>
      <c r="G62" s="10" t="s">
        <v>2909</v>
      </c>
    </row>
    <row r="63" spans="1:7" ht="15" customHeight="1" x14ac:dyDescent="0.3">
      <c r="A63" s="16">
        <v>56</v>
      </c>
      <c r="B63" s="10" t="s">
        <v>2954</v>
      </c>
      <c r="C63" s="10" t="s">
        <v>2924</v>
      </c>
      <c r="D63" s="10" t="s">
        <v>222</v>
      </c>
      <c r="E63" s="10" t="s">
        <v>223</v>
      </c>
      <c r="F63" s="16">
        <v>0</v>
      </c>
      <c r="G63" s="10" t="s">
        <v>2911</v>
      </c>
    </row>
    <row r="64" spans="1:7" ht="15" customHeight="1" x14ac:dyDescent="0.3">
      <c r="A64" s="16">
        <v>57</v>
      </c>
      <c r="B64" s="10" t="s">
        <v>2956</v>
      </c>
      <c r="C64" s="10" t="s">
        <v>2916</v>
      </c>
      <c r="D64" s="10" t="s">
        <v>210</v>
      </c>
      <c r="E64" s="10" t="s">
        <v>209</v>
      </c>
      <c r="F64" s="16">
        <v>0</v>
      </c>
      <c r="G64" s="10" t="s">
        <v>2917</v>
      </c>
    </row>
    <row r="65" spans="1:7" ht="15" customHeight="1" x14ac:dyDescent="0.3">
      <c r="A65" s="16">
        <v>58</v>
      </c>
      <c r="B65" s="10" t="s">
        <v>2956</v>
      </c>
      <c r="C65" s="10" t="s">
        <v>2908</v>
      </c>
      <c r="D65" s="10" t="s">
        <v>212</v>
      </c>
      <c r="E65" s="10" t="s">
        <v>197</v>
      </c>
      <c r="F65" s="16">
        <v>0</v>
      </c>
      <c r="G65" s="10" t="s">
        <v>2945</v>
      </c>
    </row>
    <row r="66" spans="1:7" ht="15" customHeight="1" x14ac:dyDescent="0.3">
      <c r="A66" s="16">
        <v>59</v>
      </c>
      <c r="B66" s="10" t="s">
        <v>2956</v>
      </c>
      <c r="C66" s="10" t="s">
        <v>2908</v>
      </c>
      <c r="D66" s="10" t="s">
        <v>226</v>
      </c>
      <c r="E66" s="10" t="s">
        <v>202</v>
      </c>
      <c r="F66" s="16">
        <v>0</v>
      </c>
      <c r="G66" s="10" t="s">
        <v>2944</v>
      </c>
    </row>
    <row r="67" spans="1:7" ht="15" customHeight="1" x14ac:dyDescent="0.3">
      <c r="A67" s="16">
        <v>60</v>
      </c>
      <c r="B67" s="10" t="s">
        <v>2956</v>
      </c>
      <c r="C67" s="10" t="s">
        <v>2908</v>
      </c>
      <c r="D67" s="10" t="s">
        <v>200</v>
      </c>
      <c r="E67" s="10" t="s">
        <v>205</v>
      </c>
      <c r="F67" s="16">
        <v>0</v>
      </c>
      <c r="G67" s="10" t="s">
        <v>2907</v>
      </c>
    </row>
    <row r="68" spans="1:7" ht="15" customHeight="1" x14ac:dyDescent="0.3">
      <c r="A68" s="16">
        <v>61</v>
      </c>
      <c r="B68" s="10" t="s">
        <v>2956</v>
      </c>
      <c r="C68" s="10" t="s">
        <v>2908</v>
      </c>
      <c r="D68" s="10" t="s">
        <v>219</v>
      </c>
      <c r="E68" s="10" t="s">
        <v>208</v>
      </c>
      <c r="F68" s="16">
        <v>0</v>
      </c>
      <c r="G68" s="10" t="s">
        <v>2937</v>
      </c>
    </row>
    <row r="69" spans="1:7" ht="15" customHeight="1" x14ac:dyDescent="0.3">
      <c r="A69" s="16">
        <v>62</v>
      </c>
      <c r="B69" s="10" t="s">
        <v>2956</v>
      </c>
      <c r="C69" s="10" t="s">
        <v>2920</v>
      </c>
      <c r="D69" s="10" t="s">
        <v>218</v>
      </c>
      <c r="E69" s="10" t="s">
        <v>224</v>
      </c>
      <c r="F69" s="16">
        <v>0</v>
      </c>
      <c r="G69" s="10" t="s">
        <v>2923</v>
      </c>
    </row>
    <row r="70" spans="1:7" ht="15" customHeight="1" x14ac:dyDescent="0.3">
      <c r="A70" s="16">
        <v>63</v>
      </c>
      <c r="B70" s="10" t="s">
        <v>2956</v>
      </c>
      <c r="C70" s="10" t="s">
        <v>2924</v>
      </c>
      <c r="D70" s="10" t="s">
        <v>216</v>
      </c>
      <c r="E70" s="10" t="s">
        <v>201</v>
      </c>
      <c r="F70" s="16">
        <v>0</v>
      </c>
      <c r="G70" s="10" t="s">
        <v>2946</v>
      </c>
    </row>
    <row r="71" spans="1:7" ht="15" customHeight="1" x14ac:dyDescent="0.3">
      <c r="A71" s="16">
        <v>64</v>
      </c>
      <c r="B71" s="10" t="s">
        <v>2956</v>
      </c>
      <c r="C71" s="10" t="s">
        <v>2924</v>
      </c>
      <c r="D71" s="10" t="s">
        <v>207</v>
      </c>
      <c r="E71" s="10" t="s">
        <v>213</v>
      </c>
      <c r="F71" s="16">
        <v>0</v>
      </c>
      <c r="G71" s="10" t="s">
        <v>2938</v>
      </c>
    </row>
    <row r="72" spans="1:7" ht="15" customHeight="1" x14ac:dyDescent="0.3">
      <c r="A72" s="16">
        <v>65</v>
      </c>
      <c r="B72" s="10" t="s">
        <v>2956</v>
      </c>
      <c r="C72" s="10" t="s">
        <v>2924</v>
      </c>
      <c r="D72" s="10" t="s">
        <v>206</v>
      </c>
      <c r="E72" s="10" t="s">
        <v>214</v>
      </c>
      <c r="F72" s="16">
        <v>0</v>
      </c>
      <c r="G72" s="10" t="s">
        <v>2952</v>
      </c>
    </row>
    <row r="73" spans="1:7" ht="15" customHeight="1" x14ac:dyDescent="0.3">
      <c r="A73" s="16">
        <v>66</v>
      </c>
      <c r="B73" s="10" t="s">
        <v>2956</v>
      </c>
      <c r="C73" s="10" t="s">
        <v>2924</v>
      </c>
      <c r="D73" s="10" t="s">
        <v>204</v>
      </c>
      <c r="E73" s="10" t="s">
        <v>215</v>
      </c>
      <c r="F73" s="16">
        <v>0</v>
      </c>
      <c r="G73" s="10" t="s">
        <v>2926</v>
      </c>
    </row>
    <row r="74" spans="1:7" ht="15" customHeight="1" x14ac:dyDescent="0.3">
      <c r="A74" s="16">
        <v>67</v>
      </c>
      <c r="B74" s="10" t="s">
        <v>2956</v>
      </c>
      <c r="C74" s="10" t="s">
        <v>2948</v>
      </c>
      <c r="D74" s="10" t="s">
        <v>223</v>
      </c>
      <c r="E74" s="10" t="s">
        <v>225</v>
      </c>
      <c r="F74" s="16">
        <v>0</v>
      </c>
      <c r="G74" s="10" t="s">
        <v>2940</v>
      </c>
    </row>
    <row r="75" spans="1:7" ht="15" customHeight="1" x14ac:dyDescent="0.3">
      <c r="A75" s="16">
        <v>68</v>
      </c>
      <c r="B75" s="10" t="s">
        <v>2956</v>
      </c>
      <c r="C75" s="10" t="s">
        <v>2910</v>
      </c>
      <c r="D75" s="10" t="s">
        <v>217</v>
      </c>
      <c r="E75" s="10" t="s">
        <v>203</v>
      </c>
      <c r="F75" s="16">
        <v>0</v>
      </c>
      <c r="G75" s="10" t="s">
        <v>2947</v>
      </c>
    </row>
    <row r="76" spans="1:7" ht="15" customHeight="1" x14ac:dyDescent="0.3">
      <c r="A76" s="16">
        <v>69</v>
      </c>
      <c r="B76" s="10" t="s">
        <v>2957</v>
      </c>
      <c r="C76" s="10" t="s">
        <v>2913</v>
      </c>
      <c r="D76" s="10" t="s">
        <v>211</v>
      </c>
      <c r="E76" s="10" t="s">
        <v>221</v>
      </c>
      <c r="F76" s="16">
        <v>0</v>
      </c>
      <c r="G76" s="10" t="s">
        <v>2915</v>
      </c>
    </row>
    <row r="77" spans="1:7" ht="15" customHeight="1" x14ac:dyDescent="0.3">
      <c r="A77" s="16">
        <v>70</v>
      </c>
      <c r="B77" s="10" t="s">
        <v>2957</v>
      </c>
      <c r="C77" s="10" t="s">
        <v>2908</v>
      </c>
      <c r="D77" s="10" t="s">
        <v>202</v>
      </c>
      <c r="E77" s="10" t="s">
        <v>197</v>
      </c>
      <c r="F77" s="16">
        <v>0</v>
      </c>
      <c r="G77" s="10" t="s">
        <v>2945</v>
      </c>
    </row>
    <row r="78" spans="1:7" ht="15" customHeight="1" x14ac:dyDescent="0.3">
      <c r="A78" s="16">
        <v>71</v>
      </c>
      <c r="B78" s="10" t="s">
        <v>2957</v>
      </c>
      <c r="C78" s="10" t="s">
        <v>2924</v>
      </c>
      <c r="D78" s="10" t="s">
        <v>222</v>
      </c>
      <c r="E78" s="10" t="s">
        <v>215</v>
      </c>
      <c r="F78" s="16">
        <v>0</v>
      </c>
      <c r="G78" s="10" t="s">
        <v>2926</v>
      </c>
    </row>
    <row r="79" spans="1:7" ht="15" customHeight="1" x14ac:dyDescent="0.3">
      <c r="A79" s="16">
        <v>72</v>
      </c>
      <c r="B79" s="10" t="s">
        <v>2958</v>
      </c>
      <c r="C79" s="10" t="s">
        <v>2913</v>
      </c>
      <c r="D79" s="10" t="s">
        <v>210</v>
      </c>
      <c r="E79" s="10" t="s">
        <v>206</v>
      </c>
      <c r="F79" s="16">
        <v>1</v>
      </c>
      <c r="G79" s="10" t="s">
        <v>2933</v>
      </c>
    </row>
    <row r="80" spans="1:7" ht="15" customHeight="1" x14ac:dyDescent="0.3">
      <c r="A80" s="16">
        <v>73</v>
      </c>
      <c r="B80" s="10" t="s">
        <v>2958</v>
      </c>
      <c r="C80" s="10" t="s">
        <v>2913</v>
      </c>
      <c r="D80" s="10" t="s">
        <v>204</v>
      </c>
      <c r="E80" s="10" t="s">
        <v>220</v>
      </c>
      <c r="F80" s="16">
        <v>1</v>
      </c>
      <c r="G80" s="10" t="s">
        <v>2942</v>
      </c>
    </row>
    <row r="81" spans="1:7" ht="15" customHeight="1" x14ac:dyDescent="0.3">
      <c r="A81" s="16">
        <v>74</v>
      </c>
      <c r="B81" s="10" t="s">
        <v>2958</v>
      </c>
      <c r="C81" s="10" t="s">
        <v>2908</v>
      </c>
      <c r="D81" s="10" t="s">
        <v>200</v>
      </c>
      <c r="E81" s="10" t="s">
        <v>226</v>
      </c>
      <c r="F81" s="16">
        <v>1</v>
      </c>
      <c r="G81" s="10" t="s">
        <v>2919</v>
      </c>
    </row>
    <row r="82" spans="1:7" ht="15" customHeight="1" x14ac:dyDescent="0.3">
      <c r="A82" s="16">
        <v>75</v>
      </c>
      <c r="B82" s="10" t="s">
        <v>2958</v>
      </c>
      <c r="C82" s="10" t="s">
        <v>2920</v>
      </c>
      <c r="D82" s="10" t="s">
        <v>205</v>
      </c>
      <c r="E82" s="10" t="s">
        <v>198</v>
      </c>
      <c r="F82" s="16">
        <v>1</v>
      </c>
      <c r="G82" s="10" t="s">
        <v>2921</v>
      </c>
    </row>
    <row r="83" spans="1:7" ht="15" customHeight="1" x14ac:dyDescent="0.3">
      <c r="A83" s="16">
        <v>76</v>
      </c>
      <c r="B83" s="10" t="s">
        <v>2958</v>
      </c>
      <c r="C83" s="10" t="s">
        <v>2920</v>
      </c>
      <c r="D83" s="10" t="s">
        <v>201</v>
      </c>
      <c r="E83" s="10" t="s">
        <v>199</v>
      </c>
      <c r="F83" s="16">
        <v>1</v>
      </c>
      <c r="G83" s="10" t="s">
        <v>2935</v>
      </c>
    </row>
    <row r="84" spans="1:7" ht="15" customHeight="1" x14ac:dyDescent="0.3">
      <c r="A84" s="16">
        <v>77</v>
      </c>
      <c r="B84" s="10" t="s">
        <v>2958</v>
      </c>
      <c r="C84" s="10" t="s">
        <v>2920</v>
      </c>
      <c r="D84" s="10" t="s">
        <v>216</v>
      </c>
      <c r="E84" s="10" t="s">
        <v>219</v>
      </c>
      <c r="F84" s="16">
        <v>1</v>
      </c>
      <c r="G84" s="10" t="s">
        <v>2930</v>
      </c>
    </row>
    <row r="85" spans="1:7" ht="15" customHeight="1" x14ac:dyDescent="0.3">
      <c r="A85" s="16">
        <v>78</v>
      </c>
      <c r="B85" s="10" t="s">
        <v>2958</v>
      </c>
      <c r="C85" s="10" t="s">
        <v>2920</v>
      </c>
      <c r="D85" s="10" t="s">
        <v>218</v>
      </c>
      <c r="E85" s="10" t="s">
        <v>224</v>
      </c>
      <c r="F85" s="16">
        <v>1</v>
      </c>
      <c r="G85" s="10" t="s">
        <v>2923</v>
      </c>
    </row>
    <row r="86" spans="1:7" ht="15" customHeight="1" x14ac:dyDescent="0.3">
      <c r="A86" s="16">
        <v>79</v>
      </c>
      <c r="B86" s="10" t="s">
        <v>2958</v>
      </c>
      <c r="C86" s="10" t="s">
        <v>2924</v>
      </c>
      <c r="D86" s="10" t="s">
        <v>207</v>
      </c>
      <c r="E86" s="10" t="s">
        <v>203</v>
      </c>
      <c r="F86" s="16">
        <v>1</v>
      </c>
      <c r="G86" s="10" t="s">
        <v>2947</v>
      </c>
    </row>
    <row r="87" spans="1:7" ht="15" customHeight="1" x14ac:dyDescent="0.3">
      <c r="A87" s="16">
        <v>80</v>
      </c>
      <c r="B87" s="10" t="s">
        <v>2958</v>
      </c>
      <c r="C87" s="10" t="s">
        <v>2924</v>
      </c>
      <c r="D87" s="10" t="s">
        <v>208</v>
      </c>
      <c r="E87" s="10" t="s">
        <v>212</v>
      </c>
      <c r="F87" s="16">
        <v>1</v>
      </c>
      <c r="G87" s="10" t="s">
        <v>2922</v>
      </c>
    </row>
    <row r="88" spans="1:7" ht="15" customHeight="1" x14ac:dyDescent="0.3">
      <c r="A88" s="16">
        <v>81</v>
      </c>
      <c r="B88" s="10" t="s">
        <v>2958</v>
      </c>
      <c r="C88" s="10" t="s">
        <v>2924</v>
      </c>
      <c r="D88" s="10" t="s">
        <v>209</v>
      </c>
      <c r="E88" s="10" t="s">
        <v>214</v>
      </c>
      <c r="F88" s="16">
        <v>1</v>
      </c>
      <c r="G88" s="10" t="s">
        <v>2952</v>
      </c>
    </row>
    <row r="89" spans="1:7" ht="15" customHeight="1" x14ac:dyDescent="0.3">
      <c r="A89" s="16">
        <v>82</v>
      </c>
      <c r="B89" s="10" t="s">
        <v>2959</v>
      </c>
      <c r="C89" s="10" t="s">
        <v>2906</v>
      </c>
      <c r="D89" s="10" t="s">
        <v>221</v>
      </c>
      <c r="E89" s="10" t="s">
        <v>225</v>
      </c>
      <c r="F89" s="16">
        <v>0</v>
      </c>
      <c r="G89" s="10" t="s">
        <v>2940</v>
      </c>
    </row>
    <row r="90" spans="1:7" ht="15" customHeight="1" x14ac:dyDescent="0.3">
      <c r="A90" s="16">
        <v>83</v>
      </c>
      <c r="B90" s="10" t="s">
        <v>2959</v>
      </c>
      <c r="C90" s="10" t="s">
        <v>2943</v>
      </c>
      <c r="D90" s="10" t="s">
        <v>219</v>
      </c>
      <c r="E90" s="10" t="s">
        <v>200</v>
      </c>
      <c r="F90" s="16">
        <v>0</v>
      </c>
      <c r="G90" s="10" t="s">
        <v>2936</v>
      </c>
    </row>
    <row r="91" spans="1:7" ht="15" customHeight="1" x14ac:dyDescent="0.3">
      <c r="A91" s="16">
        <v>84</v>
      </c>
      <c r="B91" s="10" t="s">
        <v>2959</v>
      </c>
      <c r="C91" s="10" t="s">
        <v>2908</v>
      </c>
      <c r="D91" s="10" t="s">
        <v>197</v>
      </c>
      <c r="E91" s="10" t="s">
        <v>215</v>
      </c>
      <c r="F91" s="16">
        <v>0</v>
      </c>
      <c r="G91" s="10" t="s">
        <v>2926</v>
      </c>
    </row>
    <row r="92" spans="1:7" ht="15" customHeight="1" x14ac:dyDescent="0.3">
      <c r="A92" s="16">
        <v>85</v>
      </c>
      <c r="B92" s="10" t="s">
        <v>2959</v>
      </c>
      <c r="C92" s="10" t="s">
        <v>2924</v>
      </c>
      <c r="D92" s="10" t="s">
        <v>222</v>
      </c>
      <c r="E92" s="10" t="s">
        <v>211</v>
      </c>
      <c r="F92" s="16">
        <v>0</v>
      </c>
      <c r="G92" s="10" t="s">
        <v>2925</v>
      </c>
    </row>
    <row r="93" spans="1:7" ht="15" customHeight="1" x14ac:dyDescent="0.3">
      <c r="A93" s="16">
        <v>86</v>
      </c>
      <c r="B93" s="10" t="s">
        <v>2959</v>
      </c>
      <c r="C93" s="10" t="s">
        <v>2924</v>
      </c>
      <c r="D93" s="10" t="s">
        <v>202</v>
      </c>
      <c r="E93" s="10" t="s">
        <v>213</v>
      </c>
      <c r="F93" s="16">
        <v>0</v>
      </c>
      <c r="G93" s="10" t="s">
        <v>2938</v>
      </c>
    </row>
    <row r="94" spans="1:7" ht="15" customHeight="1" x14ac:dyDescent="0.3">
      <c r="A94" s="16">
        <v>87</v>
      </c>
      <c r="B94" s="10" t="s">
        <v>2959</v>
      </c>
      <c r="C94" s="10" t="s">
        <v>2924</v>
      </c>
      <c r="D94" s="10" t="s">
        <v>214</v>
      </c>
      <c r="E94" s="10" t="s">
        <v>223</v>
      </c>
      <c r="F94" s="16">
        <v>0</v>
      </c>
      <c r="G94" s="10" t="s">
        <v>2911</v>
      </c>
    </row>
    <row r="95" spans="1:7" ht="15" customHeight="1" x14ac:dyDescent="0.3">
      <c r="A95" s="16">
        <v>88</v>
      </c>
      <c r="B95" s="10" t="s">
        <v>2959</v>
      </c>
      <c r="C95" s="10" t="s">
        <v>2927</v>
      </c>
      <c r="D95" s="10" t="s">
        <v>217</v>
      </c>
      <c r="E95" s="10" t="s">
        <v>207</v>
      </c>
      <c r="F95" s="16">
        <v>0</v>
      </c>
      <c r="G95" s="10" t="s">
        <v>2928</v>
      </c>
    </row>
    <row r="96" spans="1:7" ht="15" customHeight="1" x14ac:dyDescent="0.3">
      <c r="A96" s="16">
        <v>89</v>
      </c>
      <c r="B96" s="10" t="s">
        <v>2960</v>
      </c>
      <c r="C96" s="10" t="s">
        <v>2961</v>
      </c>
      <c r="D96" s="10" t="s">
        <v>199</v>
      </c>
      <c r="E96" s="10" t="s">
        <v>218</v>
      </c>
      <c r="F96" s="16">
        <v>0</v>
      </c>
      <c r="G96" s="10" t="s">
        <v>2918</v>
      </c>
    </row>
    <row r="97" spans="1:7" ht="15" customHeight="1" x14ac:dyDescent="0.3">
      <c r="A97" s="16">
        <v>90</v>
      </c>
      <c r="B97" s="10" t="s">
        <v>2960</v>
      </c>
      <c r="C97" s="10" t="s">
        <v>2951</v>
      </c>
      <c r="D97" s="10" t="s">
        <v>198</v>
      </c>
      <c r="E97" s="10" t="s">
        <v>208</v>
      </c>
      <c r="F97" s="16">
        <v>0</v>
      </c>
      <c r="G97" s="10" t="s">
        <v>2937</v>
      </c>
    </row>
    <row r="98" spans="1:7" ht="15" customHeight="1" x14ac:dyDescent="0.3">
      <c r="A98" s="16">
        <v>91</v>
      </c>
      <c r="B98" s="10" t="s">
        <v>2960</v>
      </c>
      <c r="C98" s="10" t="s">
        <v>2927</v>
      </c>
      <c r="D98" s="10" t="s">
        <v>209</v>
      </c>
      <c r="E98" s="10" t="s">
        <v>206</v>
      </c>
      <c r="F98" s="16">
        <v>0</v>
      </c>
      <c r="G98" s="10" t="s">
        <v>2933</v>
      </c>
    </row>
    <row r="99" spans="1:7" ht="15" customHeight="1" x14ac:dyDescent="0.3">
      <c r="A99" s="16">
        <v>92</v>
      </c>
      <c r="B99" s="10" t="s">
        <v>2960</v>
      </c>
      <c r="C99" s="10" t="s">
        <v>2948</v>
      </c>
      <c r="D99" s="10" t="s">
        <v>224</v>
      </c>
      <c r="E99" s="10" t="s">
        <v>210</v>
      </c>
      <c r="F99" s="16">
        <v>0</v>
      </c>
      <c r="G99" s="10" t="s">
        <v>2914</v>
      </c>
    </row>
    <row r="100" spans="1:7" ht="15" customHeight="1" x14ac:dyDescent="0.3">
      <c r="A100" s="16">
        <v>93</v>
      </c>
      <c r="B100" s="10" t="s">
        <v>2962</v>
      </c>
      <c r="C100" s="10" t="s">
        <v>2913</v>
      </c>
      <c r="D100" s="10" t="s">
        <v>220</v>
      </c>
      <c r="E100" s="10" t="s">
        <v>206</v>
      </c>
      <c r="F100" s="16">
        <v>0</v>
      </c>
      <c r="G100" s="10" t="s">
        <v>2933</v>
      </c>
    </row>
    <row r="101" spans="1:7" ht="15" customHeight="1" x14ac:dyDescent="0.3">
      <c r="A101" s="16">
        <v>94</v>
      </c>
      <c r="B101" s="10" t="s">
        <v>2962</v>
      </c>
      <c r="C101" s="10" t="s">
        <v>2913</v>
      </c>
      <c r="D101" s="10" t="s">
        <v>224</v>
      </c>
      <c r="E101" s="10" t="s">
        <v>209</v>
      </c>
      <c r="F101" s="16">
        <v>0</v>
      </c>
      <c r="G101" s="10" t="s">
        <v>2917</v>
      </c>
    </row>
    <row r="102" spans="1:7" ht="15" customHeight="1" x14ac:dyDescent="0.3">
      <c r="A102" s="16">
        <v>95</v>
      </c>
      <c r="B102" s="10" t="s">
        <v>2962</v>
      </c>
      <c r="C102" s="10" t="s">
        <v>2913</v>
      </c>
      <c r="D102" s="10" t="s">
        <v>212</v>
      </c>
      <c r="E102" s="10" t="s">
        <v>210</v>
      </c>
      <c r="F102" s="16">
        <v>0</v>
      </c>
      <c r="G102" s="10" t="s">
        <v>2914</v>
      </c>
    </row>
    <row r="103" spans="1:7" ht="15" customHeight="1" x14ac:dyDescent="0.3">
      <c r="A103" s="16">
        <v>96</v>
      </c>
      <c r="B103" s="10" t="s">
        <v>2962</v>
      </c>
      <c r="C103" s="10" t="s">
        <v>2908</v>
      </c>
      <c r="D103" s="10" t="s">
        <v>217</v>
      </c>
      <c r="E103" s="10" t="s">
        <v>202</v>
      </c>
      <c r="F103" s="16">
        <v>0</v>
      </c>
      <c r="G103" s="10" t="s">
        <v>2944</v>
      </c>
    </row>
    <row r="104" spans="1:7" ht="15" customHeight="1" x14ac:dyDescent="0.3">
      <c r="A104" s="16">
        <v>97</v>
      </c>
      <c r="B104" s="10" t="s">
        <v>2962</v>
      </c>
      <c r="C104" s="10" t="s">
        <v>2920</v>
      </c>
      <c r="D104" s="10" t="s">
        <v>205</v>
      </c>
      <c r="E104" s="10" t="s">
        <v>200</v>
      </c>
      <c r="F104" s="16">
        <v>0</v>
      </c>
      <c r="G104" s="10" t="s">
        <v>2936</v>
      </c>
    </row>
    <row r="105" spans="1:7" ht="15" customHeight="1" x14ac:dyDescent="0.3">
      <c r="A105" s="16">
        <v>98</v>
      </c>
      <c r="B105" s="10" t="s">
        <v>2962</v>
      </c>
      <c r="C105" s="10" t="s">
        <v>2920</v>
      </c>
      <c r="D105" s="10" t="s">
        <v>197</v>
      </c>
      <c r="E105" s="10" t="s">
        <v>208</v>
      </c>
      <c r="F105" s="16">
        <v>0</v>
      </c>
      <c r="G105" s="10" t="s">
        <v>2937</v>
      </c>
    </row>
    <row r="106" spans="1:7" ht="15" customHeight="1" x14ac:dyDescent="0.3">
      <c r="A106" s="16">
        <v>99</v>
      </c>
      <c r="B106" s="10" t="s">
        <v>2962</v>
      </c>
      <c r="C106" s="10" t="s">
        <v>2920</v>
      </c>
      <c r="D106" s="10" t="s">
        <v>198</v>
      </c>
      <c r="E106" s="10" t="s">
        <v>216</v>
      </c>
      <c r="F106" s="16">
        <v>0</v>
      </c>
      <c r="G106" s="10" t="s">
        <v>2909</v>
      </c>
    </row>
    <row r="107" spans="1:7" ht="15" customHeight="1" x14ac:dyDescent="0.3">
      <c r="A107" s="16">
        <v>100</v>
      </c>
      <c r="B107" s="10" t="s">
        <v>2962</v>
      </c>
      <c r="C107" s="10" t="s">
        <v>2920</v>
      </c>
      <c r="D107" s="10" t="s">
        <v>226</v>
      </c>
      <c r="E107" s="10" t="s">
        <v>218</v>
      </c>
      <c r="F107" s="16">
        <v>0</v>
      </c>
      <c r="G107" s="10" t="s">
        <v>2918</v>
      </c>
    </row>
    <row r="108" spans="1:7" ht="15" customHeight="1" x14ac:dyDescent="0.3">
      <c r="A108" s="16">
        <v>101</v>
      </c>
      <c r="B108" s="10" t="s">
        <v>2962</v>
      </c>
      <c r="C108" s="10" t="s">
        <v>2920</v>
      </c>
      <c r="D108" s="10" t="s">
        <v>201</v>
      </c>
      <c r="E108" s="10" t="s">
        <v>219</v>
      </c>
      <c r="F108" s="16">
        <v>0</v>
      </c>
      <c r="G108" s="10" t="s">
        <v>2930</v>
      </c>
    </row>
    <row r="109" spans="1:7" ht="15" customHeight="1" x14ac:dyDescent="0.3">
      <c r="A109" s="16">
        <v>102</v>
      </c>
      <c r="B109" s="10" t="s">
        <v>2962</v>
      </c>
      <c r="C109" s="10" t="s">
        <v>2924</v>
      </c>
      <c r="D109" s="10" t="s">
        <v>222</v>
      </c>
      <c r="E109" s="10" t="s">
        <v>203</v>
      </c>
      <c r="F109" s="16">
        <v>0</v>
      </c>
      <c r="G109" s="10" t="s">
        <v>2947</v>
      </c>
    </row>
    <row r="110" spans="1:7" ht="15" customHeight="1" x14ac:dyDescent="0.3">
      <c r="A110" s="16">
        <v>103</v>
      </c>
      <c r="B110" s="10" t="s">
        <v>2962</v>
      </c>
      <c r="C110" s="10" t="s">
        <v>2924</v>
      </c>
      <c r="D110" s="10" t="s">
        <v>215</v>
      </c>
      <c r="E110" s="10" t="s">
        <v>211</v>
      </c>
      <c r="F110" s="16">
        <v>0</v>
      </c>
      <c r="G110" s="10" t="s">
        <v>2925</v>
      </c>
    </row>
    <row r="111" spans="1:7" ht="15" customHeight="1" x14ac:dyDescent="0.3">
      <c r="A111" s="16">
        <v>104</v>
      </c>
      <c r="B111" s="10" t="s">
        <v>2962</v>
      </c>
      <c r="C111" s="10" t="s">
        <v>2924</v>
      </c>
      <c r="D111" s="10" t="s">
        <v>213</v>
      </c>
      <c r="E111" s="10" t="s">
        <v>214</v>
      </c>
      <c r="F111" s="16">
        <v>0</v>
      </c>
      <c r="G111" s="10" t="s">
        <v>2952</v>
      </c>
    </row>
    <row r="112" spans="1:7" ht="15" customHeight="1" x14ac:dyDescent="0.3">
      <c r="A112" s="16">
        <v>105</v>
      </c>
      <c r="B112" s="10" t="s">
        <v>2962</v>
      </c>
      <c r="C112" s="10" t="s">
        <v>2927</v>
      </c>
      <c r="D112" s="10" t="s">
        <v>199</v>
      </c>
      <c r="E112" s="10" t="s">
        <v>207</v>
      </c>
      <c r="F112" s="16">
        <v>0</v>
      </c>
      <c r="G112" s="10" t="s">
        <v>2928</v>
      </c>
    </row>
    <row r="113" spans="1:7" ht="15" customHeight="1" x14ac:dyDescent="0.3">
      <c r="A113" s="16">
        <v>106</v>
      </c>
      <c r="B113" s="10" t="s">
        <v>2962</v>
      </c>
      <c r="C113" s="10" t="s">
        <v>2927</v>
      </c>
      <c r="D113" s="10" t="s">
        <v>225</v>
      </c>
      <c r="E113" s="10" t="s">
        <v>223</v>
      </c>
      <c r="F113" s="16">
        <v>0</v>
      </c>
      <c r="G113" s="10" t="s">
        <v>2911</v>
      </c>
    </row>
    <row r="114" spans="1:7" ht="15" customHeight="1" x14ac:dyDescent="0.3">
      <c r="A114" s="16">
        <v>107</v>
      </c>
      <c r="B114" s="10" t="s">
        <v>2962</v>
      </c>
      <c r="C114" s="10" t="s">
        <v>2948</v>
      </c>
      <c r="D114" s="10" t="s">
        <v>221</v>
      </c>
      <c r="E114" s="10" t="s">
        <v>204</v>
      </c>
      <c r="F114" s="16">
        <v>0</v>
      </c>
      <c r="G114" s="10" t="s">
        <v>2949</v>
      </c>
    </row>
    <row r="115" spans="1:7" ht="15" customHeight="1" x14ac:dyDescent="0.3">
      <c r="A115" s="16">
        <v>108</v>
      </c>
      <c r="B115" s="10" t="s">
        <v>2963</v>
      </c>
      <c r="C115" s="10" t="s">
        <v>2913</v>
      </c>
      <c r="D115" s="10" t="s">
        <v>210</v>
      </c>
      <c r="E115" s="10" t="s">
        <v>222</v>
      </c>
      <c r="F115" s="16">
        <v>0</v>
      </c>
      <c r="G115" s="10" t="s">
        <v>2934</v>
      </c>
    </row>
    <row r="116" spans="1:7" ht="15" customHeight="1" x14ac:dyDescent="0.3">
      <c r="A116" s="16">
        <v>109</v>
      </c>
      <c r="B116" s="10" t="s">
        <v>2963</v>
      </c>
      <c r="C116" s="10" t="s">
        <v>2916</v>
      </c>
      <c r="D116" s="10" t="s">
        <v>212</v>
      </c>
      <c r="E116" s="10" t="s">
        <v>209</v>
      </c>
      <c r="F116" s="16">
        <v>0</v>
      </c>
      <c r="G116" s="10" t="s">
        <v>2917</v>
      </c>
    </row>
    <row r="117" spans="1:7" ht="15" customHeight="1" x14ac:dyDescent="0.3">
      <c r="A117" s="16">
        <v>110</v>
      </c>
      <c r="B117" s="10" t="s">
        <v>2963</v>
      </c>
      <c r="C117" s="10" t="s">
        <v>2908</v>
      </c>
      <c r="D117" s="10" t="s">
        <v>219</v>
      </c>
      <c r="E117" s="10" t="s">
        <v>205</v>
      </c>
      <c r="F117" s="16">
        <v>0</v>
      </c>
      <c r="G117" s="10" t="s">
        <v>2907</v>
      </c>
    </row>
    <row r="118" spans="1:7" ht="15" customHeight="1" x14ac:dyDescent="0.3">
      <c r="A118" s="16">
        <v>111</v>
      </c>
      <c r="B118" s="10" t="s">
        <v>2963</v>
      </c>
      <c r="C118" s="10" t="s">
        <v>2908</v>
      </c>
      <c r="D118" s="10" t="s">
        <v>197</v>
      </c>
      <c r="E118" s="10" t="s">
        <v>226</v>
      </c>
      <c r="F118" s="16">
        <v>0</v>
      </c>
      <c r="G118" s="10" t="s">
        <v>2919</v>
      </c>
    </row>
    <row r="119" spans="1:7" ht="15" customHeight="1" x14ac:dyDescent="0.3">
      <c r="A119" s="16">
        <v>112</v>
      </c>
      <c r="B119" s="10" t="s">
        <v>2963</v>
      </c>
      <c r="C119" s="10" t="s">
        <v>2920</v>
      </c>
      <c r="D119" s="10" t="s">
        <v>200</v>
      </c>
      <c r="E119" s="10" t="s">
        <v>198</v>
      </c>
      <c r="F119" s="16">
        <v>0</v>
      </c>
      <c r="G119" s="10" t="s">
        <v>2921</v>
      </c>
    </row>
    <row r="120" spans="1:7" ht="15" customHeight="1" x14ac:dyDescent="0.3">
      <c r="A120" s="16">
        <v>113</v>
      </c>
      <c r="B120" s="10" t="s">
        <v>2963</v>
      </c>
      <c r="C120" s="10" t="s">
        <v>2920</v>
      </c>
      <c r="D120" s="10" t="s">
        <v>213</v>
      </c>
      <c r="E120" s="10" t="s">
        <v>199</v>
      </c>
      <c r="F120" s="16">
        <v>0</v>
      </c>
      <c r="G120" s="10" t="s">
        <v>2935</v>
      </c>
    </row>
    <row r="121" spans="1:7" ht="15" customHeight="1" x14ac:dyDescent="0.3">
      <c r="A121" s="16">
        <v>114</v>
      </c>
      <c r="B121" s="10" t="s">
        <v>2963</v>
      </c>
      <c r="C121" s="10" t="s">
        <v>2920</v>
      </c>
      <c r="D121" s="10" t="s">
        <v>201</v>
      </c>
      <c r="E121" s="10" t="s">
        <v>216</v>
      </c>
      <c r="F121" s="16">
        <v>0</v>
      </c>
      <c r="G121" s="10" t="s">
        <v>2909</v>
      </c>
    </row>
    <row r="122" spans="1:7" ht="15" customHeight="1" x14ac:dyDescent="0.3">
      <c r="A122" s="16">
        <v>115</v>
      </c>
      <c r="B122" s="10" t="s">
        <v>2963</v>
      </c>
      <c r="C122" s="10" t="s">
        <v>2924</v>
      </c>
      <c r="D122" s="10" t="s">
        <v>208</v>
      </c>
      <c r="E122" s="10" t="s">
        <v>211</v>
      </c>
      <c r="F122" s="16">
        <v>0</v>
      </c>
      <c r="G122" s="10" t="s">
        <v>2925</v>
      </c>
    </row>
    <row r="123" spans="1:7" ht="15" customHeight="1" x14ac:dyDescent="0.3">
      <c r="A123" s="16">
        <v>116</v>
      </c>
      <c r="B123" s="10" t="s">
        <v>2963</v>
      </c>
      <c r="C123" s="10" t="s">
        <v>2924</v>
      </c>
      <c r="D123" s="10" t="s">
        <v>225</v>
      </c>
      <c r="E123" s="10" t="s">
        <v>215</v>
      </c>
      <c r="F123" s="16">
        <v>0</v>
      </c>
      <c r="G123" s="10" t="s">
        <v>2926</v>
      </c>
    </row>
    <row r="124" spans="1:7" ht="15" customHeight="1" x14ac:dyDescent="0.3">
      <c r="A124" s="16">
        <v>117</v>
      </c>
      <c r="B124" s="10" t="s">
        <v>2963</v>
      </c>
      <c r="C124" s="10" t="s">
        <v>2924</v>
      </c>
      <c r="D124" s="10" t="s">
        <v>202</v>
      </c>
      <c r="E124" s="10" t="s">
        <v>217</v>
      </c>
      <c r="F124" s="16">
        <v>0</v>
      </c>
      <c r="G124" s="10" t="s">
        <v>2931</v>
      </c>
    </row>
    <row r="125" spans="1:7" ht="15" customHeight="1" x14ac:dyDescent="0.3">
      <c r="A125" s="16">
        <v>118</v>
      </c>
      <c r="B125" s="10" t="s">
        <v>2963</v>
      </c>
      <c r="C125" s="10" t="s">
        <v>2927</v>
      </c>
      <c r="D125" s="10" t="s">
        <v>214</v>
      </c>
      <c r="E125" s="10" t="s">
        <v>207</v>
      </c>
      <c r="F125" s="16">
        <v>0</v>
      </c>
      <c r="G125" s="10" t="s">
        <v>2928</v>
      </c>
    </row>
    <row r="126" spans="1:7" ht="15" customHeight="1" x14ac:dyDescent="0.3">
      <c r="A126" s="16">
        <v>119</v>
      </c>
      <c r="B126" s="10" t="s">
        <v>2963</v>
      </c>
      <c r="C126" s="10" t="s">
        <v>2948</v>
      </c>
      <c r="D126" s="10" t="s">
        <v>224</v>
      </c>
      <c r="E126" s="10" t="s">
        <v>204</v>
      </c>
      <c r="F126" s="16">
        <v>0</v>
      </c>
      <c r="G126" s="10" t="s">
        <v>2949</v>
      </c>
    </row>
    <row r="127" spans="1:7" ht="15" customHeight="1" x14ac:dyDescent="0.3">
      <c r="A127" s="16">
        <v>120</v>
      </c>
      <c r="B127" s="10" t="s">
        <v>2963</v>
      </c>
      <c r="C127" s="10" t="s">
        <v>2948</v>
      </c>
      <c r="D127" s="10" t="s">
        <v>221</v>
      </c>
      <c r="E127" s="10" t="s">
        <v>220</v>
      </c>
      <c r="F127" s="16">
        <v>0</v>
      </c>
      <c r="G127" s="10" t="s">
        <v>2942</v>
      </c>
    </row>
    <row r="128" spans="1:7" ht="15" customHeight="1" x14ac:dyDescent="0.3">
      <c r="A128" s="16">
        <v>121</v>
      </c>
      <c r="B128" s="10" t="s">
        <v>2963</v>
      </c>
      <c r="C128" s="10" t="s">
        <v>2910</v>
      </c>
      <c r="D128" s="10" t="s">
        <v>203</v>
      </c>
      <c r="E128" s="10" t="s">
        <v>223</v>
      </c>
      <c r="F128" s="16">
        <v>0</v>
      </c>
      <c r="G128" s="10" t="s">
        <v>2911</v>
      </c>
    </row>
    <row r="129" spans="1:7" ht="15" customHeight="1" x14ac:dyDescent="0.3">
      <c r="A129" s="16">
        <v>122</v>
      </c>
      <c r="B129" s="10" t="s">
        <v>2964</v>
      </c>
      <c r="C129" s="10" t="s">
        <v>2913</v>
      </c>
      <c r="D129" s="10" t="s">
        <v>212</v>
      </c>
      <c r="E129" s="10" t="s">
        <v>206</v>
      </c>
      <c r="F129" s="16">
        <v>0</v>
      </c>
      <c r="G129" s="10" t="s">
        <v>2933</v>
      </c>
    </row>
    <row r="130" spans="1:7" ht="15" customHeight="1" x14ac:dyDescent="0.3">
      <c r="A130" s="16">
        <v>123</v>
      </c>
      <c r="B130" s="10" t="s">
        <v>2964</v>
      </c>
      <c r="C130" s="10" t="s">
        <v>2948</v>
      </c>
      <c r="D130" s="10" t="s">
        <v>218</v>
      </c>
      <c r="E130" s="10" t="s">
        <v>220</v>
      </c>
      <c r="F130" s="16">
        <v>0</v>
      </c>
      <c r="G130" s="10" t="s">
        <v>2942</v>
      </c>
    </row>
    <row r="131" spans="1:7" ht="15" customHeight="1" x14ac:dyDescent="0.3">
      <c r="A131" s="16">
        <v>124</v>
      </c>
      <c r="B131" s="10" t="s">
        <v>2965</v>
      </c>
      <c r="C131" s="10" t="s">
        <v>2913</v>
      </c>
      <c r="D131" s="10" t="s">
        <v>221</v>
      </c>
      <c r="E131" s="10" t="s">
        <v>210</v>
      </c>
      <c r="F131" s="16">
        <v>1</v>
      </c>
      <c r="G131" s="10" t="s">
        <v>2914</v>
      </c>
    </row>
    <row r="132" spans="1:7" ht="15" customHeight="1" x14ac:dyDescent="0.3">
      <c r="A132" s="16">
        <v>125</v>
      </c>
      <c r="B132" s="10" t="s">
        <v>2965</v>
      </c>
      <c r="C132" s="10" t="s">
        <v>2913</v>
      </c>
      <c r="D132" s="10" t="s">
        <v>223</v>
      </c>
      <c r="E132" s="10" t="s">
        <v>222</v>
      </c>
      <c r="F132" s="16">
        <v>1</v>
      </c>
      <c r="G132" s="10" t="s">
        <v>2934</v>
      </c>
    </row>
    <row r="133" spans="1:7" ht="15" customHeight="1" x14ac:dyDescent="0.3">
      <c r="A133" s="16">
        <v>126</v>
      </c>
      <c r="B133" s="10" t="s">
        <v>2965</v>
      </c>
      <c r="C133" s="10" t="s">
        <v>2908</v>
      </c>
      <c r="D133" s="10" t="s">
        <v>226</v>
      </c>
      <c r="E133" s="10" t="s">
        <v>197</v>
      </c>
      <c r="F133" s="16">
        <v>1</v>
      </c>
      <c r="G133" s="10" t="s">
        <v>2945</v>
      </c>
    </row>
    <row r="134" spans="1:7" ht="15" customHeight="1" x14ac:dyDescent="0.3">
      <c r="A134" s="16">
        <v>127</v>
      </c>
      <c r="B134" s="10" t="s">
        <v>2965</v>
      </c>
      <c r="C134" s="10" t="s">
        <v>2908</v>
      </c>
      <c r="D134" s="10" t="s">
        <v>199</v>
      </c>
      <c r="E134" s="10" t="s">
        <v>200</v>
      </c>
      <c r="F134" s="16">
        <v>1</v>
      </c>
      <c r="G134" s="10" t="s">
        <v>2936</v>
      </c>
    </row>
    <row r="135" spans="1:7" ht="15" customHeight="1" x14ac:dyDescent="0.3">
      <c r="A135" s="16">
        <v>128</v>
      </c>
      <c r="B135" s="10" t="s">
        <v>2965</v>
      </c>
      <c r="C135" s="10" t="s">
        <v>2920</v>
      </c>
      <c r="D135" s="10" t="s">
        <v>219</v>
      </c>
      <c r="E135" s="10" t="s">
        <v>202</v>
      </c>
      <c r="F135" s="16">
        <v>1</v>
      </c>
      <c r="G135" s="10" t="s">
        <v>2944</v>
      </c>
    </row>
    <row r="136" spans="1:7" ht="15" customHeight="1" x14ac:dyDescent="0.3">
      <c r="A136" s="16">
        <v>129</v>
      </c>
      <c r="B136" s="10" t="s">
        <v>2965</v>
      </c>
      <c r="C136" s="10" t="s">
        <v>2924</v>
      </c>
      <c r="D136" s="10" t="s">
        <v>225</v>
      </c>
      <c r="E136" s="10" t="s">
        <v>203</v>
      </c>
      <c r="F136" s="16">
        <v>1</v>
      </c>
      <c r="G136" s="10" t="s">
        <v>2947</v>
      </c>
    </row>
    <row r="137" spans="1:7" ht="15" customHeight="1" x14ac:dyDescent="0.3">
      <c r="A137" s="16">
        <v>130</v>
      </c>
      <c r="B137" s="10" t="s">
        <v>2965</v>
      </c>
      <c r="C137" s="10" t="s">
        <v>2924</v>
      </c>
      <c r="D137" s="10" t="s">
        <v>217</v>
      </c>
      <c r="E137" s="10" t="s">
        <v>211</v>
      </c>
      <c r="F137" s="16">
        <v>1</v>
      </c>
      <c r="G137" s="10" t="s">
        <v>2925</v>
      </c>
    </row>
    <row r="138" spans="1:7" ht="15" customHeight="1" x14ac:dyDescent="0.3">
      <c r="A138" s="16">
        <v>131</v>
      </c>
      <c r="B138" s="10" t="s">
        <v>2965</v>
      </c>
      <c r="C138" s="10" t="s">
        <v>2924</v>
      </c>
      <c r="D138" s="10" t="s">
        <v>224</v>
      </c>
      <c r="E138" s="10" t="s">
        <v>213</v>
      </c>
      <c r="F138" s="16">
        <v>1</v>
      </c>
      <c r="G138" s="10" t="s">
        <v>2938</v>
      </c>
    </row>
    <row r="139" spans="1:7" ht="15" customHeight="1" x14ac:dyDescent="0.3">
      <c r="A139" s="16">
        <v>132</v>
      </c>
      <c r="B139" s="10" t="s">
        <v>2965</v>
      </c>
      <c r="C139" s="10" t="s">
        <v>2924</v>
      </c>
      <c r="D139" s="10" t="s">
        <v>214</v>
      </c>
      <c r="E139" s="10" t="s">
        <v>215</v>
      </c>
      <c r="F139" s="16">
        <v>1</v>
      </c>
      <c r="G139" s="10" t="s">
        <v>2926</v>
      </c>
    </row>
    <row r="140" spans="1:7" ht="15" customHeight="1" x14ac:dyDescent="0.3">
      <c r="A140" s="16">
        <v>133</v>
      </c>
      <c r="B140" s="10" t="s">
        <v>2966</v>
      </c>
      <c r="C140" s="10" t="s">
        <v>2913</v>
      </c>
      <c r="D140" s="10" t="s">
        <v>223</v>
      </c>
      <c r="E140" s="10" t="s">
        <v>221</v>
      </c>
      <c r="F140" s="16">
        <v>0</v>
      </c>
      <c r="G140" s="10" t="s">
        <v>2915</v>
      </c>
    </row>
    <row r="141" spans="1:7" ht="15" customHeight="1" x14ac:dyDescent="0.3">
      <c r="A141" s="16">
        <v>134</v>
      </c>
      <c r="B141" s="10" t="s">
        <v>2966</v>
      </c>
      <c r="C141" s="10" t="s">
        <v>2951</v>
      </c>
      <c r="D141" s="10" t="s">
        <v>204</v>
      </c>
      <c r="E141" s="10" t="s">
        <v>208</v>
      </c>
      <c r="F141" s="16">
        <v>0</v>
      </c>
      <c r="G141" s="10" t="s">
        <v>2967</v>
      </c>
    </row>
    <row r="142" spans="1:7" ht="15" customHeight="1" x14ac:dyDescent="0.3">
      <c r="A142" s="16">
        <v>135</v>
      </c>
      <c r="B142" s="10" t="s">
        <v>2966</v>
      </c>
      <c r="C142" s="10" t="s">
        <v>2920</v>
      </c>
      <c r="D142" s="10" t="s">
        <v>198</v>
      </c>
      <c r="E142" s="10" t="s">
        <v>197</v>
      </c>
      <c r="F142" s="16">
        <v>0</v>
      </c>
      <c r="G142" s="10" t="s">
        <v>2945</v>
      </c>
    </row>
    <row r="143" spans="1:7" ht="15" customHeight="1" x14ac:dyDescent="0.3">
      <c r="A143" s="16">
        <v>136</v>
      </c>
      <c r="B143" s="10" t="s">
        <v>2966</v>
      </c>
      <c r="C143" s="10" t="s">
        <v>2924</v>
      </c>
      <c r="D143" s="10" t="s">
        <v>216</v>
      </c>
      <c r="E143" s="10" t="s">
        <v>202</v>
      </c>
      <c r="F143" s="16">
        <v>0</v>
      </c>
      <c r="G143" s="10" t="s">
        <v>2944</v>
      </c>
    </row>
    <row r="144" spans="1:7" ht="15" customHeight="1" x14ac:dyDescent="0.3">
      <c r="A144" s="16">
        <v>137</v>
      </c>
      <c r="B144" s="10" t="s">
        <v>2966</v>
      </c>
      <c r="C144" s="10" t="s">
        <v>2924</v>
      </c>
      <c r="D144" s="10" t="s">
        <v>226</v>
      </c>
      <c r="E144" s="10" t="s">
        <v>217</v>
      </c>
      <c r="F144" s="16">
        <v>0</v>
      </c>
      <c r="G144" s="10" t="s">
        <v>2931</v>
      </c>
    </row>
    <row r="145" spans="1:7" ht="15" customHeight="1" x14ac:dyDescent="0.3">
      <c r="A145" s="16">
        <v>138</v>
      </c>
      <c r="B145" s="10" t="s">
        <v>2966</v>
      </c>
      <c r="C145" s="10" t="s">
        <v>2927</v>
      </c>
      <c r="D145" s="10" t="s">
        <v>218</v>
      </c>
      <c r="E145" s="10" t="s">
        <v>206</v>
      </c>
      <c r="F145" s="16">
        <v>0</v>
      </c>
      <c r="G145" s="10" t="s">
        <v>2933</v>
      </c>
    </row>
    <row r="146" spans="1:7" ht="15" customHeight="1" x14ac:dyDescent="0.3">
      <c r="A146" s="16">
        <v>139</v>
      </c>
      <c r="B146" s="10" t="s">
        <v>2966</v>
      </c>
      <c r="C146" s="10" t="s">
        <v>2948</v>
      </c>
      <c r="D146" s="10" t="s">
        <v>207</v>
      </c>
      <c r="E146" s="10" t="s">
        <v>220</v>
      </c>
      <c r="F146" s="16">
        <v>0</v>
      </c>
      <c r="G146" s="10" t="s">
        <v>2942</v>
      </c>
    </row>
    <row r="147" spans="1:7" ht="15" customHeight="1" x14ac:dyDescent="0.3">
      <c r="A147" s="16">
        <v>140</v>
      </c>
      <c r="B147" s="10" t="s">
        <v>2968</v>
      </c>
      <c r="C147" s="10" t="s">
        <v>2961</v>
      </c>
      <c r="D147" s="10" t="s">
        <v>219</v>
      </c>
      <c r="E147" s="10" t="s">
        <v>201</v>
      </c>
      <c r="F147" s="16">
        <v>0</v>
      </c>
      <c r="G147" s="10" t="s">
        <v>2946</v>
      </c>
    </row>
    <row r="148" spans="1:7" ht="15" customHeight="1" x14ac:dyDescent="0.3">
      <c r="A148" s="16">
        <v>141</v>
      </c>
      <c r="B148" s="10" t="s">
        <v>2968</v>
      </c>
      <c r="C148" s="10" t="s">
        <v>2943</v>
      </c>
      <c r="D148" s="10" t="s">
        <v>210</v>
      </c>
      <c r="E148" s="10" t="s">
        <v>205</v>
      </c>
      <c r="F148" s="16">
        <v>0</v>
      </c>
      <c r="G148" s="10" t="s">
        <v>2907</v>
      </c>
    </row>
    <row r="149" spans="1:7" ht="15" customHeight="1" x14ac:dyDescent="0.3">
      <c r="A149" s="16">
        <v>142</v>
      </c>
      <c r="B149" s="10" t="s">
        <v>2968</v>
      </c>
      <c r="C149" s="10" t="s">
        <v>2908</v>
      </c>
      <c r="D149" s="10" t="s">
        <v>225</v>
      </c>
      <c r="E149" s="10" t="s">
        <v>214</v>
      </c>
      <c r="F149" s="16">
        <v>0</v>
      </c>
      <c r="G149" s="10" t="s">
        <v>2952</v>
      </c>
    </row>
    <row r="150" spans="1:7" ht="15" customHeight="1" x14ac:dyDescent="0.3">
      <c r="A150" s="16">
        <v>143</v>
      </c>
      <c r="B150" s="10" t="s">
        <v>2968</v>
      </c>
      <c r="C150" s="10" t="s">
        <v>2920</v>
      </c>
      <c r="D150" s="10" t="s">
        <v>198</v>
      </c>
      <c r="E150" s="10" t="s">
        <v>203</v>
      </c>
      <c r="F150" s="16">
        <v>0</v>
      </c>
      <c r="G150" s="10" t="s">
        <v>2947</v>
      </c>
    </row>
    <row r="151" spans="1:7" ht="15" customHeight="1" x14ac:dyDescent="0.3">
      <c r="A151" s="16">
        <v>144</v>
      </c>
      <c r="B151" s="10" t="s">
        <v>2968</v>
      </c>
      <c r="C151" s="10" t="s">
        <v>2924</v>
      </c>
      <c r="D151" s="10" t="s">
        <v>199</v>
      </c>
      <c r="E151" s="10" t="s">
        <v>213</v>
      </c>
      <c r="F151" s="16">
        <v>0</v>
      </c>
      <c r="G151" s="10" t="s">
        <v>2938</v>
      </c>
    </row>
    <row r="152" spans="1:7" ht="15" customHeight="1" x14ac:dyDescent="0.3">
      <c r="A152" s="16">
        <v>145</v>
      </c>
      <c r="B152" s="10" t="s">
        <v>2968</v>
      </c>
      <c r="C152" s="10" t="s">
        <v>2948</v>
      </c>
      <c r="D152" s="10" t="s">
        <v>215</v>
      </c>
      <c r="E152" s="10" t="s">
        <v>209</v>
      </c>
      <c r="F152" s="16">
        <v>0</v>
      </c>
      <c r="G152" s="10" t="s">
        <v>2917</v>
      </c>
    </row>
    <row r="153" spans="1:7" ht="15" customHeight="1" x14ac:dyDescent="0.3">
      <c r="A153" s="16">
        <v>146</v>
      </c>
      <c r="B153" s="10" t="s">
        <v>2968</v>
      </c>
      <c r="C153" s="10" t="s">
        <v>2948</v>
      </c>
      <c r="D153" s="10" t="s">
        <v>212</v>
      </c>
      <c r="E153" s="10" t="s">
        <v>222</v>
      </c>
      <c r="F153" s="16">
        <v>0</v>
      </c>
      <c r="G153" s="10" t="s">
        <v>2934</v>
      </c>
    </row>
    <row r="154" spans="1:7" ht="15" customHeight="1" x14ac:dyDescent="0.3">
      <c r="A154" s="16">
        <v>147</v>
      </c>
      <c r="B154" s="10" t="s">
        <v>2969</v>
      </c>
      <c r="C154" s="10" t="s">
        <v>2913</v>
      </c>
      <c r="D154" s="10" t="s">
        <v>215</v>
      </c>
      <c r="E154" s="10" t="s">
        <v>206</v>
      </c>
      <c r="F154" s="16">
        <v>0</v>
      </c>
      <c r="G154" s="10" t="s">
        <v>2933</v>
      </c>
    </row>
    <row r="155" spans="1:7" ht="15" customHeight="1" x14ac:dyDescent="0.3">
      <c r="A155" s="16">
        <v>148</v>
      </c>
      <c r="B155" s="10" t="s">
        <v>2969</v>
      </c>
      <c r="C155" s="10" t="s">
        <v>2908</v>
      </c>
      <c r="D155" s="10" t="s">
        <v>210</v>
      </c>
      <c r="E155" s="10" t="s">
        <v>197</v>
      </c>
      <c r="F155" s="16">
        <v>0</v>
      </c>
      <c r="G155" s="10" t="s">
        <v>2945</v>
      </c>
    </row>
    <row r="156" spans="1:7" ht="15" customHeight="1" x14ac:dyDescent="0.3">
      <c r="A156" s="16">
        <v>149</v>
      </c>
      <c r="B156" s="10" t="s">
        <v>2969</v>
      </c>
      <c r="C156" s="10" t="s">
        <v>2908</v>
      </c>
      <c r="D156" s="10" t="s">
        <v>202</v>
      </c>
      <c r="E156" s="10" t="s">
        <v>200</v>
      </c>
      <c r="F156" s="16">
        <v>0</v>
      </c>
      <c r="G156" s="10" t="s">
        <v>2936</v>
      </c>
    </row>
    <row r="157" spans="1:7" ht="15" customHeight="1" x14ac:dyDescent="0.3">
      <c r="A157" s="16">
        <v>150</v>
      </c>
      <c r="B157" s="10" t="s">
        <v>2969</v>
      </c>
      <c r="C157" s="10" t="s">
        <v>2908</v>
      </c>
      <c r="D157" s="10" t="s">
        <v>226</v>
      </c>
      <c r="E157" s="10" t="s">
        <v>205</v>
      </c>
      <c r="F157" s="16">
        <v>0</v>
      </c>
      <c r="G157" s="10" t="s">
        <v>2907</v>
      </c>
    </row>
    <row r="158" spans="1:7" ht="15" customHeight="1" x14ac:dyDescent="0.3">
      <c r="A158" s="16">
        <v>151</v>
      </c>
      <c r="B158" s="10" t="s">
        <v>2969</v>
      </c>
      <c r="C158" s="10" t="s">
        <v>2920</v>
      </c>
      <c r="D158" s="10" t="s">
        <v>211</v>
      </c>
      <c r="E158" s="10" t="s">
        <v>224</v>
      </c>
      <c r="F158" s="16">
        <v>0</v>
      </c>
      <c r="G158" s="10" t="s">
        <v>2923</v>
      </c>
    </row>
    <row r="159" spans="1:7" ht="15" customHeight="1" x14ac:dyDescent="0.3">
      <c r="A159" s="16">
        <v>152</v>
      </c>
      <c r="B159" s="10" t="s">
        <v>2969</v>
      </c>
      <c r="C159" s="10" t="s">
        <v>2924</v>
      </c>
      <c r="D159" s="10" t="s">
        <v>208</v>
      </c>
      <c r="E159" s="10" t="s">
        <v>203</v>
      </c>
      <c r="F159" s="16">
        <v>0</v>
      </c>
      <c r="G159" s="10" t="s">
        <v>2947</v>
      </c>
    </row>
    <row r="160" spans="1:7" ht="15" customHeight="1" x14ac:dyDescent="0.3">
      <c r="A160" s="16">
        <v>153</v>
      </c>
      <c r="B160" s="10" t="s">
        <v>2969</v>
      </c>
      <c r="C160" s="10" t="s">
        <v>2927</v>
      </c>
      <c r="D160" s="10" t="s">
        <v>204</v>
      </c>
      <c r="E160" s="10" t="s">
        <v>207</v>
      </c>
      <c r="F160" s="16">
        <v>0</v>
      </c>
      <c r="G160" s="10" t="s">
        <v>2928</v>
      </c>
    </row>
    <row r="161" spans="1:7" ht="15" customHeight="1" x14ac:dyDescent="0.3">
      <c r="A161" s="16">
        <v>154</v>
      </c>
      <c r="B161" s="10" t="s">
        <v>2969</v>
      </c>
      <c r="C161" s="10" t="s">
        <v>2948</v>
      </c>
      <c r="D161" s="10" t="s">
        <v>223</v>
      </c>
      <c r="E161" s="10" t="s">
        <v>220</v>
      </c>
      <c r="F161" s="16">
        <v>0</v>
      </c>
      <c r="G161" s="10" t="s">
        <v>2942</v>
      </c>
    </row>
    <row r="162" spans="1:7" ht="15" customHeight="1" x14ac:dyDescent="0.3">
      <c r="A162" s="16">
        <v>155</v>
      </c>
      <c r="B162" s="10" t="s">
        <v>2970</v>
      </c>
      <c r="C162" s="10" t="s">
        <v>2913</v>
      </c>
      <c r="D162" s="10" t="s">
        <v>218</v>
      </c>
      <c r="E162" s="10" t="s">
        <v>222</v>
      </c>
      <c r="F162" s="16">
        <v>0</v>
      </c>
      <c r="G162" s="10" t="s">
        <v>2934</v>
      </c>
    </row>
    <row r="163" spans="1:7" ht="15" customHeight="1" x14ac:dyDescent="0.3">
      <c r="A163" s="16">
        <v>156</v>
      </c>
      <c r="B163" s="10" t="s">
        <v>2970</v>
      </c>
      <c r="C163" s="10" t="s">
        <v>2955</v>
      </c>
      <c r="D163" s="10" t="s">
        <v>217</v>
      </c>
      <c r="E163" s="10" t="s">
        <v>221</v>
      </c>
      <c r="F163" s="16">
        <v>0</v>
      </c>
      <c r="G163" s="10" t="s">
        <v>2915</v>
      </c>
    </row>
    <row r="164" spans="1:7" ht="15" customHeight="1" x14ac:dyDescent="0.3">
      <c r="A164" s="16">
        <v>157</v>
      </c>
      <c r="B164" s="10" t="s">
        <v>2970</v>
      </c>
      <c r="C164" s="10" t="s">
        <v>2920</v>
      </c>
      <c r="D164" s="10" t="s">
        <v>213</v>
      </c>
      <c r="E164" s="10" t="s">
        <v>216</v>
      </c>
      <c r="F164" s="16">
        <v>0</v>
      </c>
      <c r="G164" s="10" t="s">
        <v>2909</v>
      </c>
    </row>
    <row r="165" spans="1:7" ht="15" customHeight="1" x14ac:dyDescent="0.3">
      <c r="A165" s="16">
        <v>158</v>
      </c>
      <c r="B165" s="10" t="s">
        <v>2970</v>
      </c>
      <c r="C165" s="10" t="s">
        <v>2924</v>
      </c>
      <c r="D165" s="10" t="s">
        <v>199</v>
      </c>
      <c r="E165" s="10" t="s">
        <v>219</v>
      </c>
      <c r="F165" s="16">
        <v>0</v>
      </c>
      <c r="G165" s="10" t="s">
        <v>2930</v>
      </c>
    </row>
    <row r="166" spans="1:7" ht="15" customHeight="1" x14ac:dyDescent="0.3">
      <c r="A166" s="16">
        <v>159</v>
      </c>
      <c r="B166" s="10" t="s">
        <v>2970</v>
      </c>
      <c r="C166" s="10" t="s">
        <v>2948</v>
      </c>
      <c r="D166" s="10" t="s">
        <v>209</v>
      </c>
      <c r="E166" s="10" t="s">
        <v>220</v>
      </c>
      <c r="F166" s="16">
        <v>0</v>
      </c>
      <c r="G166" s="10" t="s">
        <v>2942</v>
      </c>
    </row>
    <row r="167" spans="1:7" ht="15" customHeight="1" x14ac:dyDescent="0.3">
      <c r="A167" s="16">
        <v>160</v>
      </c>
      <c r="B167" s="10" t="s">
        <v>2970</v>
      </c>
      <c r="C167" s="10" t="s">
        <v>2948</v>
      </c>
      <c r="D167" s="10" t="s">
        <v>212</v>
      </c>
      <c r="E167" s="10" t="s">
        <v>225</v>
      </c>
      <c r="F167" s="16">
        <v>0</v>
      </c>
      <c r="G167" s="10" t="s">
        <v>2940</v>
      </c>
    </row>
    <row r="168" spans="1:7" ht="15" customHeight="1" x14ac:dyDescent="0.3">
      <c r="A168" s="16">
        <v>161</v>
      </c>
      <c r="B168" s="10" t="s">
        <v>2971</v>
      </c>
      <c r="C168" s="10" t="s">
        <v>2913</v>
      </c>
      <c r="D168" s="10" t="s">
        <v>217</v>
      </c>
      <c r="E168" s="10" t="s">
        <v>221</v>
      </c>
      <c r="F168" s="16">
        <v>0</v>
      </c>
      <c r="G168" s="10" t="s">
        <v>2915</v>
      </c>
    </row>
    <row r="169" spans="1:7" ht="15" customHeight="1" x14ac:dyDescent="0.3">
      <c r="A169" s="16">
        <v>162</v>
      </c>
      <c r="B169" s="10" t="s">
        <v>2971</v>
      </c>
      <c r="C169" s="10" t="s">
        <v>2908</v>
      </c>
      <c r="D169" s="10" t="s">
        <v>226</v>
      </c>
      <c r="E169" s="10" t="s">
        <v>208</v>
      </c>
      <c r="F169" s="16">
        <v>0</v>
      </c>
      <c r="G169" s="10" t="s">
        <v>2937</v>
      </c>
    </row>
    <row r="170" spans="1:7" ht="15" customHeight="1" x14ac:dyDescent="0.3">
      <c r="A170" s="16">
        <v>163</v>
      </c>
      <c r="B170" s="10" t="s">
        <v>2971</v>
      </c>
      <c r="C170" s="10" t="s">
        <v>2908</v>
      </c>
      <c r="D170" s="10" t="s">
        <v>202</v>
      </c>
      <c r="E170" s="10" t="s">
        <v>216</v>
      </c>
      <c r="F170" s="16">
        <v>0</v>
      </c>
      <c r="G170" s="10" t="s">
        <v>2909</v>
      </c>
    </row>
    <row r="171" spans="1:7" ht="15" customHeight="1" x14ac:dyDescent="0.3">
      <c r="A171" s="16">
        <v>164</v>
      </c>
      <c r="B171" s="10" t="s">
        <v>2971</v>
      </c>
      <c r="C171" s="10" t="s">
        <v>2908</v>
      </c>
      <c r="D171" s="10" t="s">
        <v>199</v>
      </c>
      <c r="E171" s="10" t="s">
        <v>224</v>
      </c>
      <c r="F171" s="16">
        <v>0</v>
      </c>
      <c r="G171" s="10" t="s">
        <v>2923</v>
      </c>
    </row>
    <row r="172" spans="1:7" ht="15" customHeight="1" x14ac:dyDescent="0.3">
      <c r="A172" s="16">
        <v>165</v>
      </c>
      <c r="B172" s="10" t="s">
        <v>2971</v>
      </c>
      <c r="C172" s="10" t="s">
        <v>2924</v>
      </c>
      <c r="D172" s="10" t="s">
        <v>223</v>
      </c>
      <c r="E172" s="10" t="s">
        <v>201</v>
      </c>
      <c r="F172" s="16">
        <v>0</v>
      </c>
      <c r="G172" s="10" t="s">
        <v>2946</v>
      </c>
    </row>
    <row r="173" spans="1:7" ht="15" customHeight="1" x14ac:dyDescent="0.3">
      <c r="A173" s="16">
        <v>166</v>
      </c>
      <c r="B173" s="10" t="s">
        <v>2971</v>
      </c>
      <c r="C173" s="10" t="s">
        <v>2924</v>
      </c>
      <c r="D173" s="10" t="s">
        <v>204</v>
      </c>
      <c r="E173" s="10" t="s">
        <v>211</v>
      </c>
      <c r="F173" s="16">
        <v>0</v>
      </c>
      <c r="G173" s="10" t="s">
        <v>2925</v>
      </c>
    </row>
    <row r="174" spans="1:7" ht="15" customHeight="1" x14ac:dyDescent="0.3">
      <c r="A174" s="16">
        <v>167</v>
      </c>
      <c r="B174" s="10" t="s">
        <v>2971</v>
      </c>
      <c r="C174" s="10" t="s">
        <v>2924</v>
      </c>
      <c r="D174" s="10" t="s">
        <v>210</v>
      </c>
      <c r="E174" s="10" t="s">
        <v>213</v>
      </c>
      <c r="F174" s="16">
        <v>0</v>
      </c>
      <c r="G174" s="10" t="s">
        <v>2938</v>
      </c>
    </row>
    <row r="175" spans="1:7" ht="15" customHeight="1" x14ac:dyDescent="0.3">
      <c r="A175" s="16">
        <v>168</v>
      </c>
      <c r="B175" s="10" t="s">
        <v>2971</v>
      </c>
      <c r="C175" s="10" t="s">
        <v>2924</v>
      </c>
      <c r="D175" s="10" t="s">
        <v>198</v>
      </c>
      <c r="E175" s="10" t="s">
        <v>215</v>
      </c>
      <c r="F175" s="16">
        <v>0</v>
      </c>
      <c r="G175" s="10" t="s">
        <v>2926</v>
      </c>
    </row>
    <row r="176" spans="1:7" ht="15" customHeight="1" x14ac:dyDescent="0.3">
      <c r="A176" s="16">
        <v>169</v>
      </c>
      <c r="B176" s="10" t="s">
        <v>2971</v>
      </c>
      <c r="C176" s="10" t="s">
        <v>2948</v>
      </c>
      <c r="D176" s="10" t="s">
        <v>218</v>
      </c>
      <c r="E176" s="10" t="s">
        <v>225</v>
      </c>
      <c r="F176" s="16">
        <v>0</v>
      </c>
      <c r="G176" s="10" t="s">
        <v>2940</v>
      </c>
    </row>
    <row r="177" spans="1:7" ht="15" customHeight="1" x14ac:dyDescent="0.3">
      <c r="A177" s="16">
        <v>170</v>
      </c>
      <c r="B177" s="10" t="s">
        <v>2971</v>
      </c>
      <c r="C177" s="10" t="s">
        <v>2910</v>
      </c>
      <c r="D177" s="10" t="s">
        <v>206</v>
      </c>
      <c r="E177" s="10" t="s">
        <v>207</v>
      </c>
      <c r="F177" s="16">
        <v>0</v>
      </c>
      <c r="G177" s="10" t="s">
        <v>2928</v>
      </c>
    </row>
    <row r="178" spans="1:7" ht="15" customHeight="1" x14ac:dyDescent="0.3">
      <c r="A178" s="16">
        <v>171</v>
      </c>
      <c r="B178" s="10" t="s">
        <v>2972</v>
      </c>
      <c r="C178" s="10" t="s">
        <v>2908</v>
      </c>
      <c r="D178" s="10" t="s">
        <v>224</v>
      </c>
      <c r="E178" s="10" t="s">
        <v>219</v>
      </c>
      <c r="F178" s="16">
        <v>0</v>
      </c>
      <c r="G178" s="10" t="s">
        <v>2930</v>
      </c>
    </row>
    <row r="179" spans="1:7" ht="15" customHeight="1" x14ac:dyDescent="0.3">
      <c r="A179" s="16">
        <v>172</v>
      </c>
      <c r="B179" s="10" t="s">
        <v>2972</v>
      </c>
      <c r="C179" s="10" t="s">
        <v>2908</v>
      </c>
      <c r="D179" s="10" t="s">
        <v>205</v>
      </c>
      <c r="E179" s="10" t="s">
        <v>226</v>
      </c>
      <c r="F179" s="16">
        <v>0</v>
      </c>
      <c r="G179" s="10" t="s">
        <v>2919</v>
      </c>
    </row>
    <row r="180" spans="1:7" ht="15" customHeight="1" x14ac:dyDescent="0.3">
      <c r="A180" s="16">
        <v>173</v>
      </c>
      <c r="B180" s="10" t="s">
        <v>2972</v>
      </c>
      <c r="C180" s="10" t="s">
        <v>2924</v>
      </c>
      <c r="D180" s="10" t="s">
        <v>203</v>
      </c>
      <c r="E180" s="10" t="s">
        <v>214</v>
      </c>
      <c r="F180" s="16">
        <v>0</v>
      </c>
      <c r="G180" s="10" t="s">
        <v>2952</v>
      </c>
    </row>
    <row r="181" spans="1:7" ht="15" customHeight="1" x14ac:dyDescent="0.3">
      <c r="A181" s="16">
        <v>174</v>
      </c>
      <c r="B181" s="10" t="s">
        <v>2972</v>
      </c>
      <c r="C181" s="10" t="s">
        <v>2948</v>
      </c>
      <c r="D181" s="10" t="s">
        <v>200</v>
      </c>
      <c r="E181" s="10" t="s">
        <v>220</v>
      </c>
      <c r="F181" s="16">
        <v>0</v>
      </c>
      <c r="G181" s="10" t="s">
        <v>2942</v>
      </c>
    </row>
    <row r="182" spans="1:7" ht="15" customHeight="1" x14ac:dyDescent="0.3">
      <c r="A182" s="16">
        <v>175</v>
      </c>
      <c r="B182" s="10" t="s">
        <v>2973</v>
      </c>
      <c r="C182" s="10" t="s">
        <v>2913</v>
      </c>
      <c r="D182" s="10" t="s">
        <v>221</v>
      </c>
      <c r="E182" s="10" t="s">
        <v>222</v>
      </c>
      <c r="F182" s="16">
        <v>1</v>
      </c>
      <c r="G182" s="10" t="s">
        <v>2934</v>
      </c>
    </row>
    <row r="183" spans="1:7" ht="15" customHeight="1" x14ac:dyDescent="0.3">
      <c r="A183" s="16">
        <v>176</v>
      </c>
      <c r="B183" s="10" t="s">
        <v>2973</v>
      </c>
      <c r="C183" s="10" t="s">
        <v>2916</v>
      </c>
      <c r="D183" s="10" t="s">
        <v>217</v>
      </c>
      <c r="E183" s="10" t="s">
        <v>209</v>
      </c>
      <c r="F183" s="16">
        <v>1</v>
      </c>
      <c r="G183" s="10" t="s">
        <v>2917</v>
      </c>
    </row>
    <row r="184" spans="1:7" ht="15" customHeight="1" x14ac:dyDescent="0.3">
      <c r="A184" s="16">
        <v>177</v>
      </c>
      <c r="B184" s="10" t="s">
        <v>2973</v>
      </c>
      <c r="C184" s="10" t="s">
        <v>2908</v>
      </c>
      <c r="D184" s="10" t="s">
        <v>216</v>
      </c>
      <c r="E184" s="10" t="s">
        <v>208</v>
      </c>
      <c r="F184" s="16">
        <v>1</v>
      </c>
      <c r="G184" s="10" t="s">
        <v>2937</v>
      </c>
    </row>
    <row r="185" spans="1:7" ht="15" customHeight="1" x14ac:dyDescent="0.3">
      <c r="A185" s="16">
        <v>178</v>
      </c>
      <c r="B185" s="10" t="s">
        <v>2973</v>
      </c>
      <c r="C185" s="10" t="s">
        <v>2908</v>
      </c>
      <c r="D185" s="10" t="s">
        <v>213</v>
      </c>
      <c r="E185" s="10" t="s">
        <v>218</v>
      </c>
      <c r="F185" s="16">
        <v>1</v>
      </c>
      <c r="G185" s="10" t="s">
        <v>2918</v>
      </c>
    </row>
    <row r="186" spans="1:7" ht="15" customHeight="1" x14ac:dyDescent="0.3">
      <c r="A186" s="16">
        <v>179</v>
      </c>
      <c r="B186" s="10" t="s">
        <v>2973</v>
      </c>
      <c r="C186" s="10" t="s">
        <v>2924</v>
      </c>
      <c r="D186" s="10" t="s">
        <v>197</v>
      </c>
      <c r="E186" s="10" t="s">
        <v>201</v>
      </c>
      <c r="F186" s="16">
        <v>1</v>
      </c>
      <c r="G186" s="10" t="s">
        <v>2946</v>
      </c>
    </row>
    <row r="187" spans="1:7" ht="15" customHeight="1" x14ac:dyDescent="0.3">
      <c r="A187" s="16">
        <v>180</v>
      </c>
      <c r="B187" s="10" t="s">
        <v>2973</v>
      </c>
      <c r="C187" s="10" t="s">
        <v>2924</v>
      </c>
      <c r="D187" s="10" t="s">
        <v>202</v>
      </c>
      <c r="E187" s="10" t="s">
        <v>212</v>
      </c>
      <c r="F187" s="16">
        <v>1</v>
      </c>
      <c r="G187" s="10" t="s">
        <v>2922</v>
      </c>
    </row>
    <row r="188" spans="1:7" ht="15" customHeight="1" x14ac:dyDescent="0.3">
      <c r="A188" s="16">
        <v>181</v>
      </c>
      <c r="B188" s="10" t="s">
        <v>2973</v>
      </c>
      <c r="C188" s="10" t="s">
        <v>2924</v>
      </c>
      <c r="D188" s="10" t="s">
        <v>211</v>
      </c>
      <c r="E188" s="10" t="s">
        <v>215</v>
      </c>
      <c r="F188" s="16">
        <v>1</v>
      </c>
      <c r="G188" s="10" t="s">
        <v>2926</v>
      </c>
    </row>
    <row r="189" spans="1:7" ht="15" customHeight="1" x14ac:dyDescent="0.3">
      <c r="A189" s="16">
        <v>182</v>
      </c>
      <c r="B189" s="10" t="s">
        <v>2973</v>
      </c>
      <c r="C189" s="10" t="s">
        <v>2927</v>
      </c>
      <c r="D189" s="10" t="s">
        <v>225</v>
      </c>
      <c r="E189" s="10" t="s">
        <v>207</v>
      </c>
      <c r="F189" s="16">
        <v>1</v>
      </c>
      <c r="G189" s="10" t="s">
        <v>2928</v>
      </c>
    </row>
    <row r="190" spans="1:7" ht="15" customHeight="1" x14ac:dyDescent="0.3">
      <c r="A190" s="16">
        <v>183</v>
      </c>
      <c r="B190" s="10" t="s">
        <v>2973</v>
      </c>
      <c r="C190" s="10" t="s">
        <v>2910</v>
      </c>
      <c r="D190" s="10" t="s">
        <v>206</v>
      </c>
      <c r="E190" s="10" t="s">
        <v>223</v>
      </c>
      <c r="F190" s="16">
        <v>1</v>
      </c>
      <c r="G190" s="10" t="s">
        <v>2911</v>
      </c>
    </row>
    <row r="191" spans="1:7" ht="15" customHeight="1" x14ac:dyDescent="0.3">
      <c r="A191" s="16">
        <v>184</v>
      </c>
      <c r="B191" s="10" t="s">
        <v>2974</v>
      </c>
      <c r="C191" s="10" t="s">
        <v>2908</v>
      </c>
      <c r="D191" s="10" t="s">
        <v>204</v>
      </c>
      <c r="E191" s="10" t="s">
        <v>215</v>
      </c>
      <c r="F191" s="16">
        <v>0</v>
      </c>
      <c r="G191" s="10" t="s">
        <v>2926</v>
      </c>
    </row>
    <row r="192" spans="1:7" ht="15" customHeight="1" x14ac:dyDescent="0.3">
      <c r="A192" s="16">
        <v>185</v>
      </c>
      <c r="B192" s="10" t="s">
        <v>2974</v>
      </c>
      <c r="C192" s="10" t="s">
        <v>2920</v>
      </c>
      <c r="D192" s="10" t="s">
        <v>203</v>
      </c>
      <c r="E192" s="10" t="s">
        <v>202</v>
      </c>
      <c r="F192" s="16">
        <v>0</v>
      </c>
      <c r="G192" s="10" t="s">
        <v>2944</v>
      </c>
    </row>
    <row r="193" spans="1:7" ht="15" customHeight="1" x14ac:dyDescent="0.3">
      <c r="A193" s="16">
        <v>186</v>
      </c>
      <c r="B193" s="10" t="s">
        <v>2974</v>
      </c>
      <c r="C193" s="10" t="s">
        <v>2924</v>
      </c>
      <c r="D193" s="10" t="s">
        <v>198</v>
      </c>
      <c r="E193" s="10" t="s">
        <v>211</v>
      </c>
      <c r="F193" s="16">
        <v>0</v>
      </c>
      <c r="G193" s="10" t="s">
        <v>2925</v>
      </c>
    </row>
    <row r="194" spans="1:7" ht="15" customHeight="1" x14ac:dyDescent="0.3">
      <c r="A194" s="16">
        <v>187</v>
      </c>
      <c r="B194" s="10" t="s">
        <v>2974</v>
      </c>
      <c r="C194" s="10" t="s">
        <v>2924</v>
      </c>
      <c r="D194" s="10" t="s">
        <v>205</v>
      </c>
      <c r="E194" s="10" t="s">
        <v>212</v>
      </c>
      <c r="F194" s="16">
        <v>0</v>
      </c>
      <c r="G194" s="10" t="s">
        <v>2922</v>
      </c>
    </row>
    <row r="195" spans="1:7" ht="15" customHeight="1" x14ac:dyDescent="0.3">
      <c r="A195" s="16">
        <v>188</v>
      </c>
      <c r="B195" s="10" t="s">
        <v>2974</v>
      </c>
      <c r="C195" s="10" t="s">
        <v>2924</v>
      </c>
      <c r="D195" s="10" t="s">
        <v>201</v>
      </c>
      <c r="E195" s="10" t="s">
        <v>214</v>
      </c>
      <c r="F195" s="16">
        <v>0</v>
      </c>
      <c r="G195" s="10" t="s">
        <v>2952</v>
      </c>
    </row>
    <row r="196" spans="1:7" ht="15" customHeight="1" x14ac:dyDescent="0.3">
      <c r="A196" s="16">
        <v>189</v>
      </c>
      <c r="B196" s="10" t="s">
        <v>2975</v>
      </c>
      <c r="C196" s="10" t="s">
        <v>2976</v>
      </c>
      <c r="D196" s="10" t="s">
        <v>208</v>
      </c>
      <c r="E196" s="10" t="s">
        <v>219</v>
      </c>
      <c r="F196" s="16">
        <v>0</v>
      </c>
      <c r="G196" s="10" t="s">
        <v>2930</v>
      </c>
    </row>
    <row r="197" spans="1:7" ht="15" customHeight="1" x14ac:dyDescent="0.3">
      <c r="A197" s="16">
        <v>190</v>
      </c>
      <c r="B197" s="10" t="s">
        <v>2975</v>
      </c>
      <c r="C197" s="10" t="s">
        <v>2977</v>
      </c>
      <c r="D197" s="10" t="s">
        <v>210</v>
      </c>
      <c r="E197" s="10" t="s">
        <v>220</v>
      </c>
      <c r="F197" s="16">
        <v>0</v>
      </c>
      <c r="G197" s="10" t="s">
        <v>2942</v>
      </c>
    </row>
    <row r="198" spans="1:7" ht="15" customHeight="1" x14ac:dyDescent="0.3">
      <c r="A198" s="16">
        <v>191</v>
      </c>
      <c r="B198" s="10" t="s">
        <v>2975</v>
      </c>
      <c r="C198" s="10" t="s">
        <v>2978</v>
      </c>
      <c r="D198" s="10" t="s">
        <v>200</v>
      </c>
      <c r="E198" s="10" t="s">
        <v>209</v>
      </c>
      <c r="F198" s="16">
        <v>0</v>
      </c>
      <c r="G198" s="10" t="s">
        <v>2917</v>
      </c>
    </row>
    <row r="199" spans="1:7" ht="15" customHeight="1" x14ac:dyDescent="0.3">
      <c r="A199" s="16">
        <v>192</v>
      </c>
      <c r="B199" s="10" t="s">
        <v>2975</v>
      </c>
      <c r="C199" s="10" t="s">
        <v>2951</v>
      </c>
      <c r="D199" s="10" t="s">
        <v>223</v>
      </c>
      <c r="E199" s="10" t="s">
        <v>225</v>
      </c>
      <c r="F199" s="16">
        <v>0</v>
      </c>
      <c r="G199" s="10" t="s">
        <v>2940</v>
      </c>
    </row>
    <row r="200" spans="1:7" ht="15" customHeight="1" x14ac:dyDescent="0.3">
      <c r="A200" s="16">
        <v>193</v>
      </c>
      <c r="B200" s="10" t="s">
        <v>2975</v>
      </c>
      <c r="C200" s="10" t="s">
        <v>2943</v>
      </c>
      <c r="D200" s="10" t="s">
        <v>203</v>
      </c>
      <c r="E200" s="10" t="s">
        <v>199</v>
      </c>
      <c r="F200" s="16">
        <v>0</v>
      </c>
      <c r="G200" s="10" t="s">
        <v>2935</v>
      </c>
    </row>
    <row r="201" spans="1:7" ht="15" customHeight="1" x14ac:dyDescent="0.3">
      <c r="A201" s="16">
        <v>194</v>
      </c>
      <c r="B201" s="10" t="s">
        <v>2975</v>
      </c>
      <c r="C201" s="10" t="s">
        <v>2943</v>
      </c>
      <c r="D201" s="10" t="s">
        <v>216</v>
      </c>
      <c r="E201" s="10" t="s">
        <v>224</v>
      </c>
      <c r="F201" s="16">
        <v>0</v>
      </c>
      <c r="G201" s="10" t="s">
        <v>2923</v>
      </c>
    </row>
    <row r="202" spans="1:7" ht="15" customHeight="1" x14ac:dyDescent="0.3">
      <c r="A202" s="16">
        <v>195</v>
      </c>
      <c r="B202" s="10" t="s">
        <v>2975</v>
      </c>
      <c r="C202" s="10" t="s">
        <v>2908</v>
      </c>
      <c r="D202" s="10" t="s">
        <v>207</v>
      </c>
      <c r="E202" s="10" t="s">
        <v>226</v>
      </c>
      <c r="F202" s="16">
        <v>0</v>
      </c>
      <c r="G202" s="10" t="s">
        <v>2919</v>
      </c>
    </row>
    <row r="203" spans="1:7" ht="15" customHeight="1" x14ac:dyDescent="0.3">
      <c r="A203" s="16">
        <v>196</v>
      </c>
      <c r="B203" s="10" t="s">
        <v>2975</v>
      </c>
      <c r="C203" s="10" t="s">
        <v>2924</v>
      </c>
      <c r="D203" s="10" t="s">
        <v>197</v>
      </c>
      <c r="E203" s="10" t="s">
        <v>213</v>
      </c>
      <c r="F203" s="16">
        <v>0</v>
      </c>
      <c r="G203" s="10" t="s">
        <v>2938</v>
      </c>
    </row>
    <row r="204" spans="1:7" ht="15" customHeight="1" x14ac:dyDescent="0.3">
      <c r="A204" s="16">
        <v>197</v>
      </c>
      <c r="B204" s="10" t="s">
        <v>2975</v>
      </c>
      <c r="C204" s="10" t="s">
        <v>2948</v>
      </c>
      <c r="D204" s="10" t="s">
        <v>217</v>
      </c>
      <c r="E204" s="10" t="s">
        <v>222</v>
      </c>
      <c r="F204" s="16">
        <v>0</v>
      </c>
      <c r="G204" s="10" t="s">
        <v>2934</v>
      </c>
    </row>
    <row r="205" spans="1:7" ht="15" customHeight="1" x14ac:dyDescent="0.3">
      <c r="A205" s="16">
        <v>198</v>
      </c>
      <c r="B205" s="10" t="s">
        <v>2979</v>
      </c>
      <c r="C205" s="10" t="s">
        <v>2908</v>
      </c>
      <c r="D205" s="10" t="s">
        <v>218</v>
      </c>
      <c r="E205" s="10" t="s">
        <v>199</v>
      </c>
      <c r="F205" s="16">
        <v>0</v>
      </c>
      <c r="G205" s="10" t="s">
        <v>2935</v>
      </c>
    </row>
    <row r="206" spans="1:7" ht="15" customHeight="1" x14ac:dyDescent="0.3">
      <c r="A206" s="16">
        <v>199</v>
      </c>
      <c r="B206" s="10" t="s">
        <v>2979</v>
      </c>
      <c r="C206" s="10" t="s">
        <v>2908</v>
      </c>
      <c r="D206" s="10" t="s">
        <v>201</v>
      </c>
      <c r="E206" s="10" t="s">
        <v>202</v>
      </c>
      <c r="F206" s="16">
        <v>0</v>
      </c>
      <c r="G206" s="10" t="s">
        <v>2944</v>
      </c>
    </row>
    <row r="207" spans="1:7" ht="15" customHeight="1" x14ac:dyDescent="0.3">
      <c r="A207" s="16">
        <v>200</v>
      </c>
      <c r="B207" s="10" t="s">
        <v>2979</v>
      </c>
      <c r="C207" s="10" t="s">
        <v>2908</v>
      </c>
      <c r="D207" s="10" t="s">
        <v>211</v>
      </c>
      <c r="E207" s="10" t="s">
        <v>226</v>
      </c>
      <c r="F207" s="16">
        <v>0</v>
      </c>
      <c r="G207" s="10" t="s">
        <v>2919</v>
      </c>
    </row>
    <row r="208" spans="1:7" ht="15" customHeight="1" x14ac:dyDescent="0.3">
      <c r="A208" s="16">
        <v>201</v>
      </c>
      <c r="B208" s="10" t="s">
        <v>2979</v>
      </c>
      <c r="C208" s="10" t="s">
        <v>2920</v>
      </c>
      <c r="D208" s="10" t="s">
        <v>219</v>
      </c>
      <c r="E208" s="10" t="s">
        <v>198</v>
      </c>
      <c r="F208" s="16">
        <v>0</v>
      </c>
      <c r="G208" s="10" t="s">
        <v>2921</v>
      </c>
    </row>
    <row r="209" spans="1:7" ht="15" customHeight="1" x14ac:dyDescent="0.3">
      <c r="A209" s="16">
        <v>202</v>
      </c>
      <c r="B209" s="10" t="s">
        <v>2979</v>
      </c>
      <c r="C209" s="10" t="s">
        <v>2920</v>
      </c>
      <c r="D209" s="10" t="s">
        <v>207</v>
      </c>
      <c r="E209" s="10" t="s">
        <v>212</v>
      </c>
      <c r="F209" s="16">
        <v>0</v>
      </c>
      <c r="G209" s="10" t="s">
        <v>2922</v>
      </c>
    </row>
    <row r="210" spans="1:7" ht="15" customHeight="1" x14ac:dyDescent="0.3">
      <c r="A210" s="16">
        <v>203</v>
      </c>
      <c r="B210" s="10" t="s">
        <v>2979</v>
      </c>
      <c r="C210" s="10" t="s">
        <v>2924</v>
      </c>
      <c r="D210" s="10" t="s">
        <v>221</v>
      </c>
      <c r="E210" s="10" t="s">
        <v>214</v>
      </c>
      <c r="F210" s="16">
        <v>0</v>
      </c>
      <c r="G210" s="10" t="s">
        <v>2952</v>
      </c>
    </row>
    <row r="211" spans="1:7" ht="15" customHeight="1" x14ac:dyDescent="0.3">
      <c r="A211" s="16">
        <v>204</v>
      </c>
      <c r="B211" s="10" t="s">
        <v>2979</v>
      </c>
      <c r="C211" s="10" t="s">
        <v>2924</v>
      </c>
      <c r="D211" s="10" t="s">
        <v>206</v>
      </c>
      <c r="E211" s="10" t="s">
        <v>215</v>
      </c>
      <c r="F211" s="16">
        <v>0</v>
      </c>
      <c r="G211" s="10" t="s">
        <v>2926</v>
      </c>
    </row>
    <row r="212" spans="1:7" ht="15" customHeight="1" x14ac:dyDescent="0.3">
      <c r="A212" s="16">
        <v>205</v>
      </c>
      <c r="B212" s="10" t="s">
        <v>2979</v>
      </c>
      <c r="C212" s="10" t="s">
        <v>2948</v>
      </c>
      <c r="D212" s="10" t="s">
        <v>220</v>
      </c>
      <c r="E212" s="10" t="s">
        <v>204</v>
      </c>
      <c r="F212" s="16">
        <v>0</v>
      </c>
      <c r="G212" s="10" t="s">
        <v>2949</v>
      </c>
    </row>
    <row r="213" spans="1:7" ht="15" customHeight="1" x14ac:dyDescent="0.3">
      <c r="A213" s="16">
        <v>206</v>
      </c>
      <c r="B213" s="10" t="s">
        <v>2980</v>
      </c>
      <c r="C213" s="10" t="s">
        <v>2913</v>
      </c>
      <c r="D213" s="10" t="s">
        <v>200</v>
      </c>
      <c r="E213" s="10" t="s">
        <v>210</v>
      </c>
      <c r="F213" s="16">
        <v>0</v>
      </c>
      <c r="G213" s="10" t="s">
        <v>2914</v>
      </c>
    </row>
    <row r="214" spans="1:7" ht="15" customHeight="1" x14ac:dyDescent="0.3">
      <c r="A214" s="16">
        <v>207</v>
      </c>
      <c r="B214" s="10" t="s">
        <v>2980</v>
      </c>
      <c r="C214" s="10" t="s">
        <v>2955</v>
      </c>
      <c r="D214" s="10" t="s">
        <v>225</v>
      </c>
      <c r="E214" s="10" t="s">
        <v>209</v>
      </c>
      <c r="F214" s="16">
        <v>0</v>
      </c>
      <c r="G214" s="10" t="s">
        <v>2917</v>
      </c>
    </row>
    <row r="215" spans="1:7" ht="15" customHeight="1" x14ac:dyDescent="0.3">
      <c r="A215" s="16">
        <v>208</v>
      </c>
      <c r="B215" s="10" t="s">
        <v>2980</v>
      </c>
      <c r="C215" s="10" t="s">
        <v>2920</v>
      </c>
      <c r="D215" s="10" t="s">
        <v>216</v>
      </c>
      <c r="E215" s="10" t="s">
        <v>224</v>
      </c>
      <c r="F215" s="16">
        <v>0</v>
      </c>
      <c r="G215" s="10" t="s">
        <v>2923</v>
      </c>
    </row>
    <row r="216" spans="1:7" ht="15" customHeight="1" x14ac:dyDescent="0.3">
      <c r="A216" s="16">
        <v>209</v>
      </c>
      <c r="B216" s="10" t="s">
        <v>2980</v>
      </c>
      <c r="C216" s="10" t="s">
        <v>2924</v>
      </c>
      <c r="D216" s="10" t="s">
        <v>221</v>
      </c>
      <c r="E216" s="10" t="s">
        <v>214</v>
      </c>
      <c r="F216" s="16">
        <v>0</v>
      </c>
      <c r="G216" s="10" t="s">
        <v>2952</v>
      </c>
    </row>
    <row r="217" spans="1:7" ht="15" customHeight="1" x14ac:dyDescent="0.3">
      <c r="A217" s="16">
        <v>210</v>
      </c>
      <c r="B217" s="10" t="s">
        <v>2980</v>
      </c>
      <c r="C217" s="10" t="s">
        <v>2924</v>
      </c>
      <c r="D217" s="10" t="s">
        <v>205</v>
      </c>
      <c r="E217" s="10" t="s">
        <v>223</v>
      </c>
      <c r="F217" s="16">
        <v>0</v>
      </c>
      <c r="G217" s="10" t="s">
        <v>2911</v>
      </c>
    </row>
    <row r="218" spans="1:7" ht="15" customHeight="1" x14ac:dyDescent="0.3">
      <c r="A218" s="16">
        <v>211</v>
      </c>
      <c r="B218" s="10" t="s">
        <v>2981</v>
      </c>
      <c r="C218" s="10" t="s">
        <v>2913</v>
      </c>
      <c r="D218" s="10" t="s">
        <v>225</v>
      </c>
      <c r="E218" s="10" t="s">
        <v>210</v>
      </c>
      <c r="F218" s="16">
        <v>0</v>
      </c>
      <c r="G218" s="10" t="s">
        <v>2914</v>
      </c>
    </row>
    <row r="219" spans="1:7" ht="15" customHeight="1" x14ac:dyDescent="0.3">
      <c r="A219" s="16">
        <v>212</v>
      </c>
      <c r="B219" s="10" t="s">
        <v>2981</v>
      </c>
      <c r="C219" s="10" t="s">
        <v>2913</v>
      </c>
      <c r="D219" s="10" t="s">
        <v>220</v>
      </c>
      <c r="E219" s="10" t="s">
        <v>222</v>
      </c>
      <c r="F219" s="16">
        <v>0</v>
      </c>
      <c r="G219" s="10" t="s">
        <v>2934</v>
      </c>
    </row>
    <row r="220" spans="1:7" ht="15" customHeight="1" x14ac:dyDescent="0.3">
      <c r="A220" s="16">
        <v>213</v>
      </c>
      <c r="B220" s="10" t="s">
        <v>2981</v>
      </c>
      <c r="C220" s="10" t="s">
        <v>2908</v>
      </c>
      <c r="D220" s="10" t="s">
        <v>211</v>
      </c>
      <c r="E220" s="10" t="s">
        <v>202</v>
      </c>
      <c r="F220" s="16">
        <v>0</v>
      </c>
      <c r="G220" s="10" t="s">
        <v>2944</v>
      </c>
    </row>
    <row r="221" spans="1:7" ht="15" customHeight="1" x14ac:dyDescent="0.3">
      <c r="A221" s="16">
        <v>214</v>
      </c>
      <c r="B221" s="10" t="s">
        <v>2981</v>
      </c>
      <c r="C221" s="10" t="s">
        <v>2908</v>
      </c>
      <c r="D221" s="10" t="s">
        <v>207</v>
      </c>
      <c r="E221" s="10" t="s">
        <v>208</v>
      </c>
      <c r="F221" s="16">
        <v>0</v>
      </c>
      <c r="G221" s="10" t="s">
        <v>2937</v>
      </c>
    </row>
    <row r="222" spans="1:7" ht="15" customHeight="1" x14ac:dyDescent="0.3">
      <c r="A222" s="16">
        <v>215</v>
      </c>
      <c r="B222" s="10" t="s">
        <v>2981</v>
      </c>
      <c r="C222" s="10" t="s">
        <v>2908</v>
      </c>
      <c r="D222" s="10" t="s">
        <v>213</v>
      </c>
      <c r="E222" s="10" t="s">
        <v>212</v>
      </c>
      <c r="F222" s="16">
        <v>0</v>
      </c>
      <c r="G222" s="10" t="s">
        <v>2922</v>
      </c>
    </row>
    <row r="223" spans="1:7" ht="15" customHeight="1" x14ac:dyDescent="0.3">
      <c r="A223" s="16">
        <v>216</v>
      </c>
      <c r="B223" s="10" t="s">
        <v>2981</v>
      </c>
      <c r="C223" s="10" t="s">
        <v>2908</v>
      </c>
      <c r="D223" s="10" t="s">
        <v>219</v>
      </c>
      <c r="E223" s="10" t="s">
        <v>218</v>
      </c>
      <c r="F223" s="16">
        <v>0</v>
      </c>
      <c r="G223" s="10" t="s">
        <v>2918</v>
      </c>
    </row>
    <row r="224" spans="1:7" ht="15" customHeight="1" x14ac:dyDescent="0.3">
      <c r="A224" s="16">
        <v>217</v>
      </c>
      <c r="B224" s="10" t="s">
        <v>2981</v>
      </c>
      <c r="C224" s="10" t="s">
        <v>2920</v>
      </c>
      <c r="D224" s="10" t="s">
        <v>201</v>
      </c>
      <c r="E224" s="10" t="s">
        <v>198</v>
      </c>
      <c r="F224" s="16">
        <v>0</v>
      </c>
      <c r="G224" s="10" t="s">
        <v>2921</v>
      </c>
    </row>
    <row r="225" spans="1:7" ht="15" customHeight="1" x14ac:dyDescent="0.3">
      <c r="A225" s="16">
        <v>218</v>
      </c>
      <c r="B225" s="10" t="s">
        <v>2981</v>
      </c>
      <c r="C225" s="10" t="s">
        <v>2920</v>
      </c>
      <c r="D225" s="10" t="s">
        <v>226</v>
      </c>
      <c r="E225" s="10" t="s">
        <v>224</v>
      </c>
      <c r="F225" s="16">
        <v>0</v>
      </c>
      <c r="G225" s="10" t="s">
        <v>2923</v>
      </c>
    </row>
    <row r="226" spans="1:7" ht="15" customHeight="1" x14ac:dyDescent="0.3">
      <c r="A226" s="16">
        <v>219</v>
      </c>
      <c r="B226" s="10" t="s">
        <v>2981</v>
      </c>
      <c r="C226" s="10" t="s">
        <v>2924</v>
      </c>
      <c r="D226" s="10" t="s">
        <v>205</v>
      </c>
      <c r="E226" s="10" t="s">
        <v>215</v>
      </c>
      <c r="F226" s="16">
        <v>0</v>
      </c>
      <c r="G226" s="10" t="s">
        <v>2926</v>
      </c>
    </row>
    <row r="227" spans="1:7" ht="15" customHeight="1" x14ac:dyDescent="0.3">
      <c r="A227" s="16">
        <v>220</v>
      </c>
      <c r="B227" s="10" t="s">
        <v>2981</v>
      </c>
      <c r="C227" s="10" t="s">
        <v>2924</v>
      </c>
      <c r="D227" s="10" t="s">
        <v>197</v>
      </c>
      <c r="E227" s="10" t="s">
        <v>217</v>
      </c>
      <c r="F227" s="16">
        <v>0</v>
      </c>
      <c r="G227" s="10" t="s">
        <v>2931</v>
      </c>
    </row>
    <row r="228" spans="1:7" ht="15" customHeight="1" x14ac:dyDescent="0.3">
      <c r="A228" s="16">
        <v>221</v>
      </c>
      <c r="B228" s="10" t="s">
        <v>2981</v>
      </c>
      <c r="C228" s="10" t="s">
        <v>2948</v>
      </c>
      <c r="D228" s="10" t="s">
        <v>199</v>
      </c>
      <c r="E228" s="10" t="s">
        <v>204</v>
      </c>
      <c r="F228" s="16">
        <v>0</v>
      </c>
      <c r="G228" s="10" t="s">
        <v>2949</v>
      </c>
    </row>
    <row r="229" spans="1:7" ht="15" customHeight="1" x14ac:dyDescent="0.3">
      <c r="A229" s="16">
        <v>222</v>
      </c>
      <c r="B229" s="10" t="s">
        <v>2981</v>
      </c>
      <c r="C229" s="10" t="s">
        <v>2910</v>
      </c>
      <c r="D229" s="10" t="s">
        <v>206</v>
      </c>
      <c r="E229" s="10" t="s">
        <v>203</v>
      </c>
      <c r="F229" s="16">
        <v>0</v>
      </c>
      <c r="G229" s="10" t="s">
        <v>2947</v>
      </c>
    </row>
    <row r="230" spans="1:7" ht="15" customHeight="1" x14ac:dyDescent="0.3">
      <c r="A230" s="16">
        <v>223</v>
      </c>
      <c r="B230" s="10" t="s">
        <v>2982</v>
      </c>
      <c r="C230" s="10" t="s">
        <v>2924</v>
      </c>
      <c r="D230" s="10" t="s">
        <v>206</v>
      </c>
      <c r="E230" s="10" t="s">
        <v>211</v>
      </c>
      <c r="F230" s="16">
        <v>0</v>
      </c>
      <c r="G230" s="10" t="s">
        <v>2925</v>
      </c>
    </row>
    <row r="231" spans="1:7" ht="15" customHeight="1" x14ac:dyDescent="0.3">
      <c r="A231" s="16">
        <v>224</v>
      </c>
      <c r="B231" s="10" t="s">
        <v>2982</v>
      </c>
      <c r="C231" s="10" t="s">
        <v>2924</v>
      </c>
      <c r="D231" s="10" t="s">
        <v>221</v>
      </c>
      <c r="E231" s="10" t="s">
        <v>213</v>
      </c>
      <c r="F231" s="16">
        <v>0</v>
      </c>
      <c r="G231" s="10" t="s">
        <v>2938</v>
      </c>
    </row>
    <row r="232" spans="1:7" ht="15" customHeight="1" x14ac:dyDescent="0.3">
      <c r="A232" s="16">
        <v>225</v>
      </c>
      <c r="B232" s="10" t="s">
        <v>2982</v>
      </c>
      <c r="C232" s="10" t="s">
        <v>2924</v>
      </c>
      <c r="D232" s="10" t="s">
        <v>216</v>
      </c>
      <c r="E232" s="10" t="s">
        <v>214</v>
      </c>
      <c r="F232" s="16">
        <v>0</v>
      </c>
      <c r="G232" s="10" t="s">
        <v>2952</v>
      </c>
    </row>
    <row r="233" spans="1:7" ht="15" customHeight="1" x14ac:dyDescent="0.3">
      <c r="A233" s="16">
        <v>226</v>
      </c>
      <c r="B233" s="10" t="s">
        <v>2982</v>
      </c>
      <c r="C233" s="10" t="s">
        <v>2924</v>
      </c>
      <c r="D233" s="10" t="s">
        <v>209</v>
      </c>
      <c r="E233" s="10" t="s">
        <v>223</v>
      </c>
      <c r="F233" s="16">
        <v>0</v>
      </c>
      <c r="G233" s="10" t="s">
        <v>2911</v>
      </c>
    </row>
    <row r="234" spans="1:7" ht="15" customHeight="1" x14ac:dyDescent="0.3">
      <c r="A234" s="16">
        <v>227</v>
      </c>
      <c r="B234" s="10" t="s">
        <v>2983</v>
      </c>
      <c r="C234" s="10" t="s">
        <v>2913</v>
      </c>
      <c r="D234" s="10" t="s">
        <v>207</v>
      </c>
      <c r="E234" s="10" t="s">
        <v>204</v>
      </c>
      <c r="F234" s="16">
        <v>1</v>
      </c>
      <c r="G234" s="10" t="s">
        <v>2949</v>
      </c>
    </row>
    <row r="235" spans="1:7" ht="15" customHeight="1" x14ac:dyDescent="0.3">
      <c r="A235" s="16">
        <v>228</v>
      </c>
      <c r="B235" s="10" t="s">
        <v>2983</v>
      </c>
      <c r="C235" s="10" t="s">
        <v>2913</v>
      </c>
      <c r="D235" s="10" t="s">
        <v>222</v>
      </c>
      <c r="E235" s="10" t="s">
        <v>210</v>
      </c>
      <c r="F235" s="16">
        <v>1</v>
      </c>
      <c r="G235" s="10" t="s">
        <v>2914</v>
      </c>
    </row>
    <row r="236" spans="1:7" ht="15" customHeight="1" x14ac:dyDescent="0.3">
      <c r="A236" s="16">
        <v>229</v>
      </c>
      <c r="B236" s="10" t="s">
        <v>2983</v>
      </c>
      <c r="C236" s="10" t="s">
        <v>2908</v>
      </c>
      <c r="D236" s="10" t="s">
        <v>200</v>
      </c>
      <c r="E236" s="10" t="s">
        <v>197</v>
      </c>
      <c r="F236" s="16">
        <v>1</v>
      </c>
      <c r="G236" s="10" t="s">
        <v>2945</v>
      </c>
    </row>
    <row r="237" spans="1:7" ht="15" customHeight="1" x14ac:dyDescent="0.3">
      <c r="A237" s="16">
        <v>230</v>
      </c>
      <c r="B237" s="10" t="s">
        <v>2983</v>
      </c>
      <c r="C237" s="10" t="s">
        <v>2920</v>
      </c>
      <c r="D237" s="10" t="s">
        <v>218</v>
      </c>
      <c r="E237" s="10" t="s">
        <v>198</v>
      </c>
      <c r="F237" s="16">
        <v>1</v>
      </c>
      <c r="G237" s="10" t="s">
        <v>2921</v>
      </c>
    </row>
    <row r="238" spans="1:7" ht="15" customHeight="1" x14ac:dyDescent="0.3">
      <c r="A238" s="16">
        <v>231</v>
      </c>
      <c r="B238" s="10" t="s">
        <v>2983</v>
      </c>
      <c r="C238" s="10" t="s">
        <v>2920</v>
      </c>
      <c r="D238" s="10" t="s">
        <v>208</v>
      </c>
      <c r="E238" s="10" t="s">
        <v>202</v>
      </c>
      <c r="F238" s="16">
        <v>1</v>
      </c>
      <c r="G238" s="10" t="s">
        <v>2944</v>
      </c>
    </row>
    <row r="239" spans="1:7" ht="15" customHeight="1" x14ac:dyDescent="0.3">
      <c r="A239" s="16">
        <v>232</v>
      </c>
      <c r="B239" s="10" t="s">
        <v>2983</v>
      </c>
      <c r="C239" s="10" t="s">
        <v>2920</v>
      </c>
      <c r="D239" s="10" t="s">
        <v>224</v>
      </c>
      <c r="E239" s="10" t="s">
        <v>205</v>
      </c>
      <c r="F239" s="16">
        <v>1</v>
      </c>
      <c r="G239" s="10" t="s">
        <v>2907</v>
      </c>
    </row>
    <row r="240" spans="1:7" ht="15" customHeight="1" x14ac:dyDescent="0.3">
      <c r="A240" s="16">
        <v>233</v>
      </c>
      <c r="B240" s="10" t="s">
        <v>2983</v>
      </c>
      <c r="C240" s="10" t="s">
        <v>2924</v>
      </c>
      <c r="D240" s="10" t="s">
        <v>226</v>
      </c>
      <c r="E240" s="10" t="s">
        <v>201</v>
      </c>
      <c r="F240" s="16">
        <v>1</v>
      </c>
      <c r="G240" s="10" t="s">
        <v>2946</v>
      </c>
    </row>
    <row r="241" spans="1:7" ht="15" customHeight="1" x14ac:dyDescent="0.3">
      <c r="A241" s="16">
        <v>234</v>
      </c>
      <c r="B241" s="10" t="s">
        <v>2983</v>
      </c>
      <c r="C241" s="10" t="s">
        <v>2924</v>
      </c>
      <c r="D241" s="10" t="s">
        <v>215</v>
      </c>
      <c r="E241" s="10" t="s">
        <v>217</v>
      </c>
      <c r="F241" s="16">
        <v>1</v>
      </c>
      <c r="G241" s="10" t="s">
        <v>2931</v>
      </c>
    </row>
    <row r="242" spans="1:7" ht="15" customHeight="1" x14ac:dyDescent="0.3">
      <c r="A242" s="16">
        <v>235</v>
      </c>
      <c r="B242" s="10" t="s">
        <v>2983</v>
      </c>
      <c r="C242" s="10" t="s">
        <v>2910</v>
      </c>
      <c r="D242" s="10" t="s">
        <v>220</v>
      </c>
      <c r="E242" s="10" t="s">
        <v>225</v>
      </c>
      <c r="F242" s="16">
        <v>1</v>
      </c>
      <c r="G242" s="10" t="s">
        <v>2940</v>
      </c>
    </row>
    <row r="243" spans="1:7" ht="15" customHeight="1" x14ac:dyDescent="0.3">
      <c r="A243" s="16">
        <v>236</v>
      </c>
      <c r="B243" s="10" t="s">
        <v>2984</v>
      </c>
      <c r="C243" s="10" t="s">
        <v>2913</v>
      </c>
      <c r="D243" s="10" t="s">
        <v>199</v>
      </c>
      <c r="E243" s="10" t="s">
        <v>222</v>
      </c>
      <c r="F243" s="16">
        <v>0</v>
      </c>
      <c r="G243" s="10" t="s">
        <v>2934</v>
      </c>
    </row>
    <row r="244" spans="1:7" ht="15" customHeight="1" x14ac:dyDescent="0.3">
      <c r="A244" s="16">
        <v>237</v>
      </c>
      <c r="B244" s="10" t="s">
        <v>2984</v>
      </c>
      <c r="C244" s="10" t="s">
        <v>2976</v>
      </c>
      <c r="D244" s="10" t="s">
        <v>213</v>
      </c>
      <c r="E244" s="10" t="s">
        <v>219</v>
      </c>
      <c r="F244" s="16">
        <v>0</v>
      </c>
      <c r="G244" s="10" t="s">
        <v>2930</v>
      </c>
    </row>
    <row r="245" spans="1:7" ht="15" customHeight="1" x14ac:dyDescent="0.3">
      <c r="A245" s="16">
        <v>238</v>
      </c>
      <c r="B245" s="10" t="s">
        <v>2984</v>
      </c>
      <c r="C245" s="10" t="s">
        <v>2920</v>
      </c>
      <c r="D245" s="10" t="s">
        <v>221</v>
      </c>
      <c r="E245" s="10" t="s">
        <v>216</v>
      </c>
      <c r="F245" s="16">
        <v>0</v>
      </c>
      <c r="G245" s="10" t="s">
        <v>2909</v>
      </c>
    </row>
    <row r="246" spans="1:7" ht="15" customHeight="1" x14ac:dyDescent="0.3">
      <c r="A246" s="16">
        <v>239</v>
      </c>
      <c r="B246" s="10" t="s">
        <v>2984</v>
      </c>
      <c r="C246" s="10" t="s">
        <v>2924</v>
      </c>
      <c r="D246" s="10" t="s">
        <v>209</v>
      </c>
      <c r="E246" s="10" t="s">
        <v>203</v>
      </c>
      <c r="F246" s="16">
        <v>0</v>
      </c>
      <c r="G246" s="10" t="s">
        <v>2947</v>
      </c>
    </row>
    <row r="247" spans="1:7" ht="15" customHeight="1" x14ac:dyDescent="0.3">
      <c r="A247" s="16">
        <v>240</v>
      </c>
      <c r="B247" s="10" t="s">
        <v>2984</v>
      </c>
      <c r="C247" s="10" t="s">
        <v>2924</v>
      </c>
      <c r="D247" s="10" t="s">
        <v>211</v>
      </c>
      <c r="E247" s="10" t="s">
        <v>214</v>
      </c>
      <c r="F247" s="16">
        <v>0</v>
      </c>
      <c r="G247" s="10" t="s">
        <v>2952</v>
      </c>
    </row>
    <row r="248" spans="1:7" ht="15" customHeight="1" x14ac:dyDescent="0.3">
      <c r="A248" s="16">
        <v>241</v>
      </c>
      <c r="B248" s="10" t="s">
        <v>2984</v>
      </c>
      <c r="C248" s="10" t="s">
        <v>2924</v>
      </c>
      <c r="D248" s="10" t="s">
        <v>215</v>
      </c>
      <c r="E248" s="10" t="s">
        <v>223</v>
      </c>
      <c r="F248" s="16">
        <v>0</v>
      </c>
      <c r="G248" s="10" t="s">
        <v>2911</v>
      </c>
    </row>
    <row r="249" spans="1:7" ht="15" customHeight="1" x14ac:dyDescent="0.3">
      <c r="A249" s="16">
        <v>242</v>
      </c>
      <c r="B249" s="10" t="s">
        <v>2985</v>
      </c>
      <c r="C249" s="10" t="s">
        <v>2961</v>
      </c>
      <c r="D249" s="10" t="s">
        <v>205</v>
      </c>
      <c r="E249" s="10" t="s">
        <v>197</v>
      </c>
      <c r="F249" s="16">
        <v>0</v>
      </c>
      <c r="G249" s="10" t="s">
        <v>2945</v>
      </c>
    </row>
    <row r="250" spans="1:7" ht="15" customHeight="1" x14ac:dyDescent="0.3">
      <c r="A250" s="16">
        <v>243</v>
      </c>
      <c r="B250" s="10" t="s">
        <v>2985</v>
      </c>
      <c r="C250" s="10" t="s">
        <v>2943</v>
      </c>
      <c r="D250" s="10" t="s">
        <v>217</v>
      </c>
      <c r="E250" s="10" t="s">
        <v>212</v>
      </c>
      <c r="F250" s="16">
        <v>0</v>
      </c>
      <c r="G250" s="10" t="s">
        <v>2922</v>
      </c>
    </row>
    <row r="251" spans="1:7" ht="15" customHeight="1" x14ac:dyDescent="0.3">
      <c r="A251" s="16">
        <v>244</v>
      </c>
      <c r="B251" s="10" t="s">
        <v>2985</v>
      </c>
      <c r="C251" s="10" t="s">
        <v>2908</v>
      </c>
      <c r="D251" s="10" t="s">
        <v>204</v>
      </c>
      <c r="E251" s="10" t="s">
        <v>201</v>
      </c>
      <c r="F251" s="16">
        <v>0</v>
      </c>
      <c r="G251" s="10" t="s">
        <v>2946</v>
      </c>
    </row>
    <row r="252" spans="1:7" ht="15" customHeight="1" x14ac:dyDescent="0.3">
      <c r="A252" s="16">
        <v>245</v>
      </c>
      <c r="B252" s="10" t="s">
        <v>2985</v>
      </c>
      <c r="C252" s="10" t="s">
        <v>2908</v>
      </c>
      <c r="D252" s="10" t="s">
        <v>203</v>
      </c>
      <c r="E252" s="10" t="s">
        <v>225</v>
      </c>
      <c r="F252" s="16">
        <v>0</v>
      </c>
      <c r="G252" s="10" t="s">
        <v>2940</v>
      </c>
    </row>
    <row r="253" spans="1:7" ht="15" customHeight="1" x14ac:dyDescent="0.3">
      <c r="A253" s="16">
        <v>246</v>
      </c>
      <c r="B253" s="10" t="s">
        <v>2985</v>
      </c>
      <c r="C253" s="10" t="s">
        <v>2908</v>
      </c>
      <c r="D253" s="10" t="s">
        <v>218</v>
      </c>
      <c r="E253" s="10" t="s">
        <v>226</v>
      </c>
      <c r="F253" s="16">
        <v>0</v>
      </c>
      <c r="G253" s="10" t="s">
        <v>2919</v>
      </c>
    </row>
    <row r="254" spans="1:7" ht="15" customHeight="1" x14ac:dyDescent="0.3">
      <c r="A254" s="16">
        <v>247</v>
      </c>
      <c r="B254" s="10" t="s">
        <v>2985</v>
      </c>
      <c r="C254" s="10" t="s">
        <v>2924</v>
      </c>
      <c r="D254" s="10" t="s">
        <v>208</v>
      </c>
      <c r="E254" s="10" t="s">
        <v>216</v>
      </c>
      <c r="F254" s="16">
        <v>0</v>
      </c>
      <c r="G254" s="10" t="s">
        <v>2909</v>
      </c>
    </row>
    <row r="255" spans="1:7" ht="15" customHeight="1" x14ac:dyDescent="0.3">
      <c r="A255" s="16">
        <v>248</v>
      </c>
      <c r="B255" s="10" t="s">
        <v>2985</v>
      </c>
      <c r="C255" s="10" t="s">
        <v>2927</v>
      </c>
      <c r="D255" s="10" t="s">
        <v>199</v>
      </c>
      <c r="E255" s="10" t="s">
        <v>206</v>
      </c>
      <c r="F255" s="16">
        <v>0</v>
      </c>
      <c r="G255" s="10" t="s">
        <v>2933</v>
      </c>
    </row>
    <row r="256" spans="1:7" ht="15" customHeight="1" x14ac:dyDescent="0.3">
      <c r="A256" s="16">
        <v>249</v>
      </c>
      <c r="B256" s="10" t="s">
        <v>2986</v>
      </c>
      <c r="C256" s="10" t="s">
        <v>2913</v>
      </c>
      <c r="D256" s="10" t="s">
        <v>225</v>
      </c>
      <c r="E256" s="10" t="s">
        <v>210</v>
      </c>
      <c r="F256" s="16">
        <v>0</v>
      </c>
      <c r="G256" s="10" t="s">
        <v>2914</v>
      </c>
    </row>
    <row r="257" spans="1:7" ht="15" customHeight="1" x14ac:dyDescent="0.3">
      <c r="A257" s="16">
        <v>250</v>
      </c>
      <c r="B257" s="10" t="s">
        <v>2986</v>
      </c>
      <c r="C257" s="10" t="s">
        <v>2913</v>
      </c>
      <c r="D257" s="10" t="s">
        <v>223</v>
      </c>
      <c r="E257" s="10" t="s">
        <v>222</v>
      </c>
      <c r="F257" s="16">
        <v>0</v>
      </c>
      <c r="G257" s="10" t="s">
        <v>2934</v>
      </c>
    </row>
    <row r="258" spans="1:7" ht="15" customHeight="1" x14ac:dyDescent="0.3">
      <c r="A258" s="16">
        <v>251</v>
      </c>
      <c r="B258" s="10" t="s">
        <v>2986</v>
      </c>
      <c r="C258" s="10" t="s">
        <v>2908</v>
      </c>
      <c r="D258" s="10" t="s">
        <v>211</v>
      </c>
      <c r="E258" s="10" t="s">
        <v>200</v>
      </c>
      <c r="F258" s="16">
        <v>0</v>
      </c>
      <c r="G258" s="10" t="s">
        <v>2936</v>
      </c>
    </row>
    <row r="259" spans="1:7" ht="15" customHeight="1" x14ac:dyDescent="0.3">
      <c r="A259" s="16">
        <v>252</v>
      </c>
      <c r="B259" s="10" t="s">
        <v>2986</v>
      </c>
      <c r="C259" s="10" t="s">
        <v>2908</v>
      </c>
      <c r="D259" s="10" t="s">
        <v>221</v>
      </c>
      <c r="E259" s="10" t="s">
        <v>219</v>
      </c>
      <c r="F259" s="16">
        <v>0</v>
      </c>
      <c r="G259" s="10" t="s">
        <v>2930</v>
      </c>
    </row>
    <row r="260" spans="1:7" ht="15" customHeight="1" x14ac:dyDescent="0.3">
      <c r="A260" s="16">
        <v>253</v>
      </c>
      <c r="B260" s="10" t="s">
        <v>2986</v>
      </c>
      <c r="C260" s="10" t="s">
        <v>2920</v>
      </c>
      <c r="D260" s="10" t="s">
        <v>217</v>
      </c>
      <c r="E260" s="10" t="s">
        <v>208</v>
      </c>
      <c r="F260" s="16">
        <v>0</v>
      </c>
      <c r="G260" s="10" t="s">
        <v>2937</v>
      </c>
    </row>
    <row r="261" spans="1:7" ht="15" customHeight="1" x14ac:dyDescent="0.3">
      <c r="A261" s="16">
        <v>254</v>
      </c>
      <c r="B261" s="10" t="s">
        <v>2986</v>
      </c>
      <c r="C261" s="10" t="s">
        <v>2920</v>
      </c>
      <c r="D261" s="10" t="s">
        <v>198</v>
      </c>
      <c r="E261" s="10" t="s">
        <v>214</v>
      </c>
      <c r="F261" s="16">
        <v>0</v>
      </c>
      <c r="G261" s="10" t="s">
        <v>2952</v>
      </c>
    </row>
    <row r="262" spans="1:7" ht="15" customHeight="1" x14ac:dyDescent="0.3">
      <c r="A262" s="16">
        <v>255</v>
      </c>
      <c r="B262" s="10" t="s">
        <v>2986</v>
      </c>
      <c r="C262" s="10" t="s">
        <v>2920</v>
      </c>
      <c r="D262" s="10" t="s">
        <v>213</v>
      </c>
      <c r="E262" s="10" t="s">
        <v>224</v>
      </c>
      <c r="F262" s="16">
        <v>0</v>
      </c>
      <c r="G262" s="10" t="s">
        <v>2923</v>
      </c>
    </row>
    <row r="263" spans="1:7" ht="15" customHeight="1" x14ac:dyDescent="0.3">
      <c r="A263" s="16">
        <v>256</v>
      </c>
      <c r="B263" s="10" t="s">
        <v>2986</v>
      </c>
      <c r="C263" s="10" t="s">
        <v>2924</v>
      </c>
      <c r="D263" s="10" t="s">
        <v>202</v>
      </c>
      <c r="E263" s="10" t="s">
        <v>201</v>
      </c>
      <c r="F263" s="16">
        <v>0</v>
      </c>
      <c r="G263" s="10" t="s">
        <v>2946</v>
      </c>
    </row>
    <row r="264" spans="1:7" ht="15" customHeight="1" x14ac:dyDescent="0.3">
      <c r="A264" s="16">
        <v>257</v>
      </c>
      <c r="B264" s="10" t="s">
        <v>2986</v>
      </c>
      <c r="C264" s="10" t="s">
        <v>2924</v>
      </c>
      <c r="D264" s="10" t="s">
        <v>220</v>
      </c>
      <c r="E264" s="10" t="s">
        <v>215</v>
      </c>
      <c r="F264" s="16">
        <v>0</v>
      </c>
      <c r="G264" s="10" t="s">
        <v>2926</v>
      </c>
    </row>
    <row r="265" spans="1:7" ht="15" customHeight="1" x14ac:dyDescent="0.3">
      <c r="A265" s="16">
        <v>258</v>
      </c>
      <c r="B265" s="10" t="s">
        <v>2986</v>
      </c>
      <c r="C265" s="10" t="s">
        <v>2927</v>
      </c>
      <c r="D265" s="10" t="s">
        <v>209</v>
      </c>
      <c r="E265" s="10" t="s">
        <v>207</v>
      </c>
      <c r="F265" s="16">
        <v>0</v>
      </c>
      <c r="G265" s="10" t="s">
        <v>2928</v>
      </c>
    </row>
    <row r="266" spans="1:7" ht="15" customHeight="1" x14ac:dyDescent="0.3">
      <c r="A266" s="16">
        <v>259</v>
      </c>
      <c r="B266" s="10" t="s">
        <v>2987</v>
      </c>
      <c r="C266" s="10" t="s">
        <v>2913</v>
      </c>
      <c r="D266" s="10" t="s">
        <v>203</v>
      </c>
      <c r="E266" s="10" t="s">
        <v>204</v>
      </c>
      <c r="F266" s="16">
        <v>1</v>
      </c>
      <c r="G266" s="10" t="s">
        <v>2949</v>
      </c>
    </row>
    <row r="267" spans="1:7" ht="15" customHeight="1" x14ac:dyDescent="0.3">
      <c r="A267" s="16">
        <v>260</v>
      </c>
      <c r="B267" s="10" t="s">
        <v>2987</v>
      </c>
      <c r="C267" s="10" t="s">
        <v>2908</v>
      </c>
      <c r="D267" s="10" t="s">
        <v>205</v>
      </c>
      <c r="E267" s="10" t="s">
        <v>218</v>
      </c>
      <c r="F267" s="16">
        <v>1</v>
      </c>
      <c r="G267" s="10" t="s">
        <v>2918</v>
      </c>
    </row>
    <row r="268" spans="1:7" ht="15" customHeight="1" x14ac:dyDescent="0.3">
      <c r="A268" s="16">
        <v>261</v>
      </c>
      <c r="B268" s="10" t="s">
        <v>2987</v>
      </c>
      <c r="C268" s="10" t="s">
        <v>2924</v>
      </c>
      <c r="D268" s="10" t="s">
        <v>199</v>
      </c>
      <c r="E268" s="10" t="s">
        <v>226</v>
      </c>
      <c r="F268" s="16">
        <v>1</v>
      </c>
      <c r="G268" s="10" t="s">
        <v>2919</v>
      </c>
    </row>
    <row r="269" spans="1:7" ht="15" customHeight="1" x14ac:dyDescent="0.3">
      <c r="A269" s="16">
        <v>262</v>
      </c>
      <c r="B269" s="10" t="s">
        <v>2988</v>
      </c>
      <c r="C269" s="10" t="s">
        <v>2913</v>
      </c>
      <c r="D269" s="10" t="s">
        <v>222</v>
      </c>
      <c r="E269" s="10" t="s">
        <v>206</v>
      </c>
      <c r="F269" s="16">
        <v>1</v>
      </c>
      <c r="G269" s="10" t="s">
        <v>2933</v>
      </c>
    </row>
    <row r="270" spans="1:7" ht="15" customHeight="1" x14ac:dyDescent="0.3">
      <c r="A270" s="16">
        <v>263</v>
      </c>
      <c r="B270" s="10" t="s">
        <v>2988</v>
      </c>
      <c r="C270" s="10" t="s">
        <v>2913</v>
      </c>
      <c r="D270" s="10" t="s">
        <v>223</v>
      </c>
      <c r="E270" s="10" t="s">
        <v>221</v>
      </c>
      <c r="F270" s="16">
        <v>1</v>
      </c>
      <c r="G270" s="10" t="s">
        <v>2915</v>
      </c>
    </row>
    <row r="271" spans="1:7" ht="15" customHeight="1" x14ac:dyDescent="0.3">
      <c r="A271" s="16">
        <v>264</v>
      </c>
      <c r="B271" s="10" t="s">
        <v>2988</v>
      </c>
      <c r="C271" s="10" t="s">
        <v>2951</v>
      </c>
      <c r="D271" s="10" t="s">
        <v>212</v>
      </c>
      <c r="E271" s="10" t="s">
        <v>219</v>
      </c>
      <c r="F271" s="16">
        <v>1</v>
      </c>
      <c r="G271" s="10" t="s">
        <v>2930</v>
      </c>
    </row>
    <row r="272" spans="1:7" ht="15" customHeight="1" x14ac:dyDescent="0.3">
      <c r="A272" s="16">
        <v>265</v>
      </c>
      <c r="B272" s="10" t="s">
        <v>2988</v>
      </c>
      <c r="C272" s="10" t="s">
        <v>2908</v>
      </c>
      <c r="D272" s="10" t="s">
        <v>201</v>
      </c>
      <c r="E272" s="10" t="s">
        <v>200</v>
      </c>
      <c r="F272" s="16">
        <v>1</v>
      </c>
      <c r="G272" s="10" t="s">
        <v>2936</v>
      </c>
    </row>
    <row r="273" spans="1:7" ht="15" customHeight="1" x14ac:dyDescent="0.3">
      <c r="A273" s="16">
        <v>266</v>
      </c>
      <c r="B273" s="10" t="s">
        <v>2988</v>
      </c>
      <c r="C273" s="10" t="s">
        <v>2920</v>
      </c>
      <c r="D273" s="10" t="s">
        <v>202</v>
      </c>
      <c r="E273" s="10" t="s">
        <v>216</v>
      </c>
      <c r="F273" s="16">
        <v>1</v>
      </c>
      <c r="G273" s="10" t="s">
        <v>2909</v>
      </c>
    </row>
    <row r="274" spans="1:7" ht="15" customHeight="1" x14ac:dyDescent="0.3">
      <c r="A274" s="16">
        <v>267</v>
      </c>
      <c r="B274" s="10" t="s">
        <v>2988</v>
      </c>
      <c r="C274" s="10" t="s">
        <v>2920</v>
      </c>
      <c r="D274" s="10" t="s">
        <v>214</v>
      </c>
      <c r="E274" s="10" t="s">
        <v>217</v>
      </c>
      <c r="F274" s="16">
        <v>1</v>
      </c>
      <c r="G274" s="10" t="s">
        <v>2931</v>
      </c>
    </row>
    <row r="275" spans="1:7" ht="15" customHeight="1" x14ac:dyDescent="0.3">
      <c r="A275" s="16">
        <v>268</v>
      </c>
      <c r="B275" s="10" t="s">
        <v>2988</v>
      </c>
      <c r="C275" s="10" t="s">
        <v>2924</v>
      </c>
      <c r="D275" s="10" t="s">
        <v>209</v>
      </c>
      <c r="E275" s="10" t="s">
        <v>211</v>
      </c>
      <c r="F275" s="16">
        <v>1</v>
      </c>
      <c r="G275" s="10" t="s">
        <v>2925</v>
      </c>
    </row>
    <row r="276" spans="1:7" ht="15" customHeight="1" x14ac:dyDescent="0.3">
      <c r="A276" s="16">
        <v>269</v>
      </c>
      <c r="B276" s="10" t="s">
        <v>2988</v>
      </c>
      <c r="C276" s="10" t="s">
        <v>2924</v>
      </c>
      <c r="D276" s="10" t="s">
        <v>198</v>
      </c>
      <c r="E276" s="10" t="s">
        <v>213</v>
      </c>
      <c r="F276" s="16">
        <v>1</v>
      </c>
      <c r="G276" s="10" t="s">
        <v>2938</v>
      </c>
    </row>
    <row r="277" spans="1:7" ht="15" customHeight="1" x14ac:dyDescent="0.3">
      <c r="A277" s="16">
        <v>270</v>
      </c>
      <c r="B277" s="10" t="s">
        <v>2988</v>
      </c>
      <c r="C277" s="10" t="s">
        <v>2927</v>
      </c>
      <c r="D277" s="10" t="s">
        <v>220</v>
      </c>
      <c r="E277" s="10" t="s">
        <v>207</v>
      </c>
      <c r="F277" s="16">
        <v>1</v>
      </c>
      <c r="G277" s="10" t="s">
        <v>2928</v>
      </c>
    </row>
    <row r="278" spans="1:7" ht="15" customHeight="1" x14ac:dyDescent="0.3">
      <c r="A278" s="16">
        <v>271</v>
      </c>
      <c r="B278" s="10" t="s">
        <v>2989</v>
      </c>
      <c r="C278" s="10" t="s">
        <v>2908</v>
      </c>
      <c r="D278" s="10" t="s">
        <v>212</v>
      </c>
      <c r="E278" s="10" t="s">
        <v>216</v>
      </c>
      <c r="F278" s="16">
        <v>1</v>
      </c>
      <c r="G278" s="10" t="s">
        <v>2909</v>
      </c>
    </row>
    <row r="279" spans="1:7" ht="15" customHeight="1" x14ac:dyDescent="0.3">
      <c r="A279" s="16">
        <v>272</v>
      </c>
      <c r="B279" s="10" t="s">
        <v>2989</v>
      </c>
      <c r="C279" s="10" t="s">
        <v>2920</v>
      </c>
      <c r="D279" s="10" t="s">
        <v>213</v>
      </c>
      <c r="E279" s="10" t="s">
        <v>205</v>
      </c>
      <c r="F279" s="16">
        <v>1</v>
      </c>
      <c r="G279" s="10" t="s">
        <v>2907</v>
      </c>
    </row>
    <row r="280" spans="1:7" ht="15" customHeight="1" x14ac:dyDescent="0.3">
      <c r="A280" s="16">
        <v>273</v>
      </c>
      <c r="B280" s="10" t="s">
        <v>2989</v>
      </c>
      <c r="C280" s="10" t="s">
        <v>2920</v>
      </c>
      <c r="D280" s="10" t="s">
        <v>219</v>
      </c>
      <c r="E280" s="10" t="s">
        <v>208</v>
      </c>
      <c r="F280" s="16">
        <v>1</v>
      </c>
      <c r="G280" s="10" t="s">
        <v>2937</v>
      </c>
    </row>
    <row r="281" spans="1:7" ht="15" customHeight="1" x14ac:dyDescent="0.3">
      <c r="A281" s="16">
        <v>274</v>
      </c>
      <c r="B281" s="10" t="s">
        <v>2989</v>
      </c>
      <c r="C281" s="10" t="s">
        <v>2920</v>
      </c>
      <c r="D281" s="10" t="s">
        <v>198</v>
      </c>
      <c r="E281" s="10" t="s">
        <v>224</v>
      </c>
      <c r="F281" s="16">
        <v>1</v>
      </c>
      <c r="G281" s="10" t="s">
        <v>2923</v>
      </c>
    </row>
    <row r="282" spans="1:7" ht="15" customHeight="1" x14ac:dyDescent="0.3">
      <c r="A282" s="16">
        <v>275</v>
      </c>
      <c r="B282" s="10" t="s">
        <v>2989</v>
      </c>
      <c r="C282" s="10" t="s">
        <v>2924</v>
      </c>
      <c r="D282" s="10" t="s">
        <v>197</v>
      </c>
      <c r="E282" s="10" t="s">
        <v>199</v>
      </c>
      <c r="F282" s="16">
        <v>1</v>
      </c>
      <c r="G282" s="10" t="s">
        <v>2935</v>
      </c>
    </row>
    <row r="283" spans="1:7" ht="15" customHeight="1" x14ac:dyDescent="0.3">
      <c r="A283" s="16">
        <v>276</v>
      </c>
      <c r="B283" s="10" t="s">
        <v>2989</v>
      </c>
      <c r="C283" s="10" t="s">
        <v>2927</v>
      </c>
      <c r="D283" s="10" t="s">
        <v>211</v>
      </c>
      <c r="E283" s="10" t="s">
        <v>214</v>
      </c>
      <c r="F283" s="16">
        <v>1</v>
      </c>
      <c r="G283" s="10" t="s">
        <v>2952</v>
      </c>
    </row>
    <row r="284" spans="1:7" ht="15" customHeight="1" x14ac:dyDescent="0.3">
      <c r="A284" s="16">
        <v>277</v>
      </c>
      <c r="B284" s="10" t="s">
        <v>2989</v>
      </c>
      <c r="C284" s="10" t="s">
        <v>2948</v>
      </c>
      <c r="D284" s="10" t="s">
        <v>203</v>
      </c>
      <c r="E284" s="10" t="s">
        <v>220</v>
      </c>
      <c r="F284" s="16">
        <v>1</v>
      </c>
      <c r="G284" s="10" t="s">
        <v>2942</v>
      </c>
    </row>
    <row r="285" spans="1:7" ht="15" customHeight="1" x14ac:dyDescent="0.3">
      <c r="A285" s="16">
        <v>278</v>
      </c>
      <c r="B285" s="10" t="s">
        <v>2989</v>
      </c>
      <c r="C285" s="10" t="s">
        <v>2910</v>
      </c>
      <c r="D285" s="10" t="s">
        <v>215</v>
      </c>
      <c r="E285" s="10" t="s">
        <v>209</v>
      </c>
      <c r="F285" s="16">
        <v>1</v>
      </c>
      <c r="G285" s="10" t="s">
        <v>2917</v>
      </c>
    </row>
    <row r="286" spans="1:7" ht="15" customHeight="1" x14ac:dyDescent="0.3">
      <c r="A286" s="16">
        <v>279</v>
      </c>
      <c r="B286" s="10" t="s">
        <v>2989</v>
      </c>
      <c r="C286" s="10" t="s">
        <v>2910</v>
      </c>
      <c r="D286" s="10" t="s">
        <v>206</v>
      </c>
      <c r="E286" s="10" t="s">
        <v>221</v>
      </c>
      <c r="F286" s="16">
        <v>1</v>
      </c>
      <c r="G286" s="10" t="s">
        <v>2915</v>
      </c>
    </row>
    <row r="287" spans="1:7" ht="15" customHeight="1" x14ac:dyDescent="0.3">
      <c r="A287" s="16">
        <v>280</v>
      </c>
      <c r="B287" s="10" t="s">
        <v>2989</v>
      </c>
      <c r="C287" s="10" t="s">
        <v>2910</v>
      </c>
      <c r="D287" s="10" t="s">
        <v>210</v>
      </c>
      <c r="E287" s="10" t="s">
        <v>223</v>
      </c>
      <c r="F287" s="16">
        <v>1</v>
      </c>
      <c r="G287" s="10" t="s">
        <v>2911</v>
      </c>
    </row>
    <row r="288" spans="1:7" ht="15" customHeight="1" x14ac:dyDescent="0.3">
      <c r="A288" s="16">
        <v>281</v>
      </c>
      <c r="B288" s="10" t="s">
        <v>2989</v>
      </c>
      <c r="C288" s="10" t="s">
        <v>2910</v>
      </c>
      <c r="D288" s="10" t="s">
        <v>204</v>
      </c>
      <c r="E288" s="10" t="s">
        <v>225</v>
      </c>
      <c r="F288" s="16">
        <v>1</v>
      </c>
      <c r="G288" s="10" t="s">
        <v>2940</v>
      </c>
    </row>
    <row r="289" spans="1:7" ht="15" customHeight="1" x14ac:dyDescent="0.3">
      <c r="A289" s="16">
        <v>282</v>
      </c>
      <c r="B289" s="10" t="s">
        <v>2990</v>
      </c>
      <c r="C289" s="10" t="s">
        <v>2951</v>
      </c>
      <c r="D289" s="10" t="s">
        <v>218</v>
      </c>
      <c r="E289" s="10" t="s">
        <v>226</v>
      </c>
      <c r="F289" s="16">
        <v>0</v>
      </c>
      <c r="G289" s="10" t="s">
        <v>2919</v>
      </c>
    </row>
    <row r="290" spans="1:7" ht="15" customHeight="1" x14ac:dyDescent="0.3">
      <c r="A290" s="16">
        <v>283</v>
      </c>
      <c r="B290" s="10" t="s">
        <v>2990</v>
      </c>
      <c r="C290" s="10" t="s">
        <v>2943</v>
      </c>
      <c r="D290" s="10" t="s">
        <v>198</v>
      </c>
      <c r="E290" s="10" t="s">
        <v>200</v>
      </c>
      <c r="F290" s="16">
        <v>0</v>
      </c>
      <c r="G290" s="10" t="s">
        <v>2936</v>
      </c>
    </row>
    <row r="291" spans="1:7" ht="15" customHeight="1" x14ac:dyDescent="0.3">
      <c r="A291" s="16">
        <v>284</v>
      </c>
      <c r="B291" s="10" t="s">
        <v>2990</v>
      </c>
      <c r="C291" s="10" t="s">
        <v>2924</v>
      </c>
      <c r="D291" s="10" t="s">
        <v>208</v>
      </c>
      <c r="E291" s="10" t="s">
        <v>201</v>
      </c>
      <c r="F291" s="16">
        <v>0</v>
      </c>
      <c r="G291" s="10" t="s">
        <v>2946</v>
      </c>
    </row>
    <row r="292" spans="1:7" ht="15" customHeight="1" x14ac:dyDescent="0.3">
      <c r="A292" s="16">
        <v>285</v>
      </c>
      <c r="B292" s="10" t="s">
        <v>2990</v>
      </c>
      <c r="C292" s="10" t="s">
        <v>2924</v>
      </c>
      <c r="D292" s="10" t="s">
        <v>217</v>
      </c>
      <c r="E292" s="10" t="s">
        <v>213</v>
      </c>
      <c r="F292" s="16">
        <v>0</v>
      </c>
      <c r="G292" s="10" t="s">
        <v>2938</v>
      </c>
    </row>
    <row r="293" spans="1:7" ht="15" customHeight="1" x14ac:dyDescent="0.3">
      <c r="A293" s="16">
        <v>286</v>
      </c>
      <c r="B293" s="10" t="s">
        <v>2990</v>
      </c>
      <c r="C293" s="10" t="s">
        <v>2927</v>
      </c>
      <c r="D293" s="10" t="s">
        <v>219</v>
      </c>
      <c r="E293" s="10" t="s">
        <v>207</v>
      </c>
      <c r="F293" s="16">
        <v>0</v>
      </c>
      <c r="G293" s="10" t="s">
        <v>2928</v>
      </c>
    </row>
    <row r="294" spans="1:7" ht="15" customHeight="1" x14ac:dyDescent="0.3">
      <c r="A294" s="16">
        <v>287</v>
      </c>
      <c r="B294" s="10" t="s">
        <v>2991</v>
      </c>
      <c r="C294" s="10" t="s">
        <v>2977</v>
      </c>
      <c r="D294" s="10" t="s">
        <v>210</v>
      </c>
      <c r="E294" s="10" t="s">
        <v>211</v>
      </c>
      <c r="F294" s="16">
        <v>0</v>
      </c>
      <c r="G294" s="10" t="s">
        <v>2925</v>
      </c>
    </row>
    <row r="295" spans="1:7" ht="15" customHeight="1" x14ac:dyDescent="0.3">
      <c r="A295" s="16">
        <v>288</v>
      </c>
      <c r="B295" s="10" t="s">
        <v>2991</v>
      </c>
      <c r="C295" s="10" t="s">
        <v>2977</v>
      </c>
      <c r="D295" s="10" t="s">
        <v>199</v>
      </c>
      <c r="E295" s="10" t="s">
        <v>223</v>
      </c>
      <c r="F295" s="16">
        <v>0</v>
      </c>
      <c r="G295" s="10" t="s">
        <v>2911</v>
      </c>
    </row>
    <row r="296" spans="1:7" ht="15" customHeight="1" x14ac:dyDescent="0.3">
      <c r="A296" s="16">
        <v>289</v>
      </c>
      <c r="B296" s="10" t="s">
        <v>2991</v>
      </c>
      <c r="C296" s="10" t="s">
        <v>2951</v>
      </c>
      <c r="D296" s="10" t="s">
        <v>220</v>
      </c>
      <c r="E296" s="10" t="s">
        <v>225</v>
      </c>
      <c r="F296" s="16">
        <v>0</v>
      </c>
      <c r="G296" s="10" t="s">
        <v>2940</v>
      </c>
    </row>
    <row r="297" spans="1:7" ht="15" customHeight="1" x14ac:dyDescent="0.3">
      <c r="A297" s="16">
        <v>290</v>
      </c>
      <c r="B297" s="10" t="s">
        <v>2991</v>
      </c>
      <c r="C297" s="10" t="s">
        <v>2943</v>
      </c>
      <c r="D297" s="10" t="s">
        <v>212</v>
      </c>
      <c r="E297" s="10" t="s">
        <v>202</v>
      </c>
      <c r="F297" s="16">
        <v>0</v>
      </c>
      <c r="G297" s="10" t="s">
        <v>2944</v>
      </c>
    </row>
    <row r="298" spans="1:7" ht="15" customHeight="1" x14ac:dyDescent="0.3">
      <c r="A298" s="16">
        <v>291</v>
      </c>
      <c r="B298" s="10" t="s">
        <v>2991</v>
      </c>
      <c r="C298" s="10" t="s">
        <v>2943</v>
      </c>
      <c r="D298" s="10" t="s">
        <v>218</v>
      </c>
      <c r="E298" s="10" t="s">
        <v>205</v>
      </c>
      <c r="F298" s="16">
        <v>0</v>
      </c>
      <c r="G298" s="10" t="s">
        <v>2907</v>
      </c>
    </row>
    <row r="299" spans="1:7" ht="15" customHeight="1" x14ac:dyDescent="0.3">
      <c r="A299" s="16">
        <v>292</v>
      </c>
      <c r="B299" s="10" t="s">
        <v>2991</v>
      </c>
      <c r="C299" s="10" t="s">
        <v>2943</v>
      </c>
      <c r="D299" s="10" t="s">
        <v>197</v>
      </c>
      <c r="E299" s="10" t="s">
        <v>216</v>
      </c>
      <c r="F299" s="16">
        <v>0</v>
      </c>
      <c r="G299" s="10" t="s">
        <v>2909</v>
      </c>
    </row>
    <row r="300" spans="1:7" ht="15" customHeight="1" x14ac:dyDescent="0.3">
      <c r="A300" s="16">
        <v>293</v>
      </c>
      <c r="B300" s="10" t="s">
        <v>2991</v>
      </c>
      <c r="C300" s="10" t="s">
        <v>2943</v>
      </c>
      <c r="D300" s="10" t="s">
        <v>215</v>
      </c>
      <c r="E300" s="10" t="s">
        <v>221</v>
      </c>
      <c r="F300" s="16">
        <v>0</v>
      </c>
      <c r="G300" s="10" t="s">
        <v>2915</v>
      </c>
    </row>
    <row r="301" spans="1:7" ht="15" customHeight="1" x14ac:dyDescent="0.3">
      <c r="A301" s="16">
        <v>294</v>
      </c>
      <c r="B301" s="10" t="s">
        <v>2991</v>
      </c>
      <c r="C301" s="10" t="s">
        <v>2943</v>
      </c>
      <c r="D301" s="10" t="s">
        <v>204</v>
      </c>
      <c r="E301" s="10" t="s">
        <v>224</v>
      </c>
      <c r="F301" s="16">
        <v>0</v>
      </c>
      <c r="G301" s="10" t="s">
        <v>2923</v>
      </c>
    </row>
    <row r="302" spans="1:7" ht="15" customHeight="1" x14ac:dyDescent="0.3">
      <c r="A302" s="16">
        <v>295</v>
      </c>
      <c r="B302" s="10" t="s">
        <v>2991</v>
      </c>
      <c r="C302" s="10" t="s">
        <v>2927</v>
      </c>
      <c r="D302" s="10" t="s">
        <v>209</v>
      </c>
      <c r="E302" s="10" t="s">
        <v>206</v>
      </c>
      <c r="F302" s="16">
        <v>0</v>
      </c>
      <c r="G302" s="10" t="s">
        <v>2933</v>
      </c>
    </row>
    <row r="303" spans="1:7" ht="15" customHeight="1" x14ac:dyDescent="0.3">
      <c r="A303" s="16">
        <v>296</v>
      </c>
      <c r="B303" s="10" t="s">
        <v>2991</v>
      </c>
      <c r="C303" s="10" t="s">
        <v>2948</v>
      </c>
      <c r="D303" s="10" t="s">
        <v>214</v>
      </c>
      <c r="E303" s="10" t="s">
        <v>222</v>
      </c>
      <c r="F303" s="16">
        <v>0</v>
      </c>
      <c r="G303" s="10" t="s">
        <v>2934</v>
      </c>
    </row>
    <row r="304" spans="1:7" ht="15" customHeight="1" x14ac:dyDescent="0.3">
      <c r="A304" s="16">
        <v>297</v>
      </c>
      <c r="B304" s="10" t="s">
        <v>2992</v>
      </c>
      <c r="C304" s="10" t="s">
        <v>2913</v>
      </c>
      <c r="D304" s="10" t="s">
        <v>215</v>
      </c>
      <c r="E304" s="10" t="s">
        <v>222</v>
      </c>
      <c r="F304" s="16">
        <v>0</v>
      </c>
      <c r="G304" s="10" t="s">
        <v>2934</v>
      </c>
    </row>
    <row r="305" spans="1:7" ht="15" customHeight="1" x14ac:dyDescent="0.3">
      <c r="A305" s="16">
        <v>298</v>
      </c>
      <c r="B305" s="10" t="s">
        <v>2992</v>
      </c>
      <c r="C305" s="10" t="s">
        <v>2908</v>
      </c>
      <c r="D305" s="10" t="s">
        <v>226</v>
      </c>
      <c r="E305" s="10" t="s">
        <v>200</v>
      </c>
      <c r="F305" s="16">
        <v>0</v>
      </c>
      <c r="G305" s="10" t="s">
        <v>2936</v>
      </c>
    </row>
    <row r="306" spans="1:7" ht="15" customHeight="1" x14ac:dyDescent="0.3">
      <c r="A306" s="16">
        <v>299</v>
      </c>
      <c r="B306" s="10" t="s">
        <v>2992</v>
      </c>
      <c r="C306" s="10" t="s">
        <v>2908</v>
      </c>
      <c r="D306" s="10" t="s">
        <v>204</v>
      </c>
      <c r="E306" s="10" t="s">
        <v>205</v>
      </c>
      <c r="F306" s="16">
        <v>0</v>
      </c>
      <c r="G306" s="10" t="s">
        <v>2907</v>
      </c>
    </row>
    <row r="307" spans="1:7" ht="15" customHeight="1" x14ac:dyDescent="0.3">
      <c r="A307" s="16">
        <v>300</v>
      </c>
      <c r="B307" s="10" t="s">
        <v>2992</v>
      </c>
      <c r="C307" s="10" t="s">
        <v>2920</v>
      </c>
      <c r="D307" s="10" t="s">
        <v>217</v>
      </c>
      <c r="E307" s="10" t="s">
        <v>198</v>
      </c>
      <c r="F307" s="16">
        <v>0</v>
      </c>
      <c r="G307" s="10" t="s">
        <v>2921</v>
      </c>
    </row>
    <row r="308" spans="1:7" ht="15" customHeight="1" x14ac:dyDescent="0.3">
      <c r="A308" s="16">
        <v>301</v>
      </c>
      <c r="B308" s="10" t="s">
        <v>2992</v>
      </c>
      <c r="C308" s="10" t="s">
        <v>2920</v>
      </c>
      <c r="D308" s="10" t="s">
        <v>210</v>
      </c>
      <c r="E308" s="10" t="s">
        <v>207</v>
      </c>
      <c r="F308" s="16">
        <v>0</v>
      </c>
      <c r="G308" s="10" t="s">
        <v>2928</v>
      </c>
    </row>
    <row r="309" spans="1:7" ht="15" customHeight="1" x14ac:dyDescent="0.3">
      <c r="A309" s="16">
        <v>302</v>
      </c>
      <c r="B309" s="10" t="s">
        <v>2992</v>
      </c>
      <c r="C309" s="10" t="s">
        <v>2924</v>
      </c>
      <c r="D309" s="10" t="s">
        <v>199</v>
      </c>
      <c r="E309" s="10" t="s">
        <v>203</v>
      </c>
      <c r="F309" s="16">
        <v>0</v>
      </c>
      <c r="G309" s="10" t="s">
        <v>2947</v>
      </c>
    </row>
    <row r="310" spans="1:7" ht="15" customHeight="1" x14ac:dyDescent="0.3">
      <c r="A310" s="16">
        <v>303</v>
      </c>
      <c r="B310" s="10" t="s">
        <v>2992</v>
      </c>
      <c r="C310" s="10" t="s">
        <v>2924</v>
      </c>
      <c r="D310" s="10" t="s">
        <v>223</v>
      </c>
      <c r="E310" s="10" t="s">
        <v>213</v>
      </c>
      <c r="F310" s="16">
        <v>0</v>
      </c>
      <c r="G310" s="10" t="s">
        <v>2938</v>
      </c>
    </row>
    <row r="311" spans="1:7" ht="15" customHeight="1" x14ac:dyDescent="0.3">
      <c r="A311" s="16">
        <v>304</v>
      </c>
      <c r="B311" s="10" t="s">
        <v>2993</v>
      </c>
      <c r="C311" s="10" t="s">
        <v>2913</v>
      </c>
      <c r="D311" s="10" t="s">
        <v>214</v>
      </c>
      <c r="E311" s="10" t="s">
        <v>221</v>
      </c>
      <c r="F311" s="16">
        <v>0</v>
      </c>
      <c r="G311" s="10" t="s">
        <v>2915</v>
      </c>
    </row>
    <row r="312" spans="1:7" ht="15" customHeight="1" x14ac:dyDescent="0.3">
      <c r="A312" s="16">
        <v>305</v>
      </c>
      <c r="B312" s="10" t="s">
        <v>2993</v>
      </c>
      <c r="C312" s="10" t="s">
        <v>2955</v>
      </c>
      <c r="D312" s="10" t="s">
        <v>225</v>
      </c>
      <c r="E312" s="10" t="s">
        <v>206</v>
      </c>
      <c r="F312" s="16">
        <v>0</v>
      </c>
      <c r="G312" s="10" t="s">
        <v>2933</v>
      </c>
    </row>
    <row r="313" spans="1:7" ht="15" customHeight="1" x14ac:dyDescent="0.3">
      <c r="A313" s="16">
        <v>306</v>
      </c>
      <c r="B313" s="10" t="s">
        <v>2993</v>
      </c>
      <c r="C313" s="10" t="s">
        <v>2908</v>
      </c>
      <c r="D313" s="10" t="s">
        <v>208</v>
      </c>
      <c r="E313" s="10" t="s">
        <v>202</v>
      </c>
      <c r="F313" s="16">
        <v>0</v>
      </c>
      <c r="G313" s="10" t="s">
        <v>2944</v>
      </c>
    </row>
    <row r="314" spans="1:7" ht="15" customHeight="1" x14ac:dyDescent="0.3">
      <c r="A314" s="16">
        <v>307</v>
      </c>
      <c r="B314" s="10" t="s">
        <v>2993</v>
      </c>
      <c r="C314" s="10" t="s">
        <v>2908</v>
      </c>
      <c r="D314" s="10" t="s">
        <v>211</v>
      </c>
      <c r="E314" s="10" t="s">
        <v>219</v>
      </c>
      <c r="F314" s="16">
        <v>0</v>
      </c>
      <c r="G314" s="10" t="s">
        <v>2930</v>
      </c>
    </row>
    <row r="315" spans="1:7" ht="15" customHeight="1" x14ac:dyDescent="0.3">
      <c r="A315" s="16">
        <v>308</v>
      </c>
      <c r="B315" s="10" t="s">
        <v>2993</v>
      </c>
      <c r="C315" s="10" t="s">
        <v>2920</v>
      </c>
      <c r="D315" s="10" t="s">
        <v>197</v>
      </c>
      <c r="E315" s="10" t="s">
        <v>212</v>
      </c>
      <c r="F315" s="16">
        <v>0</v>
      </c>
      <c r="G315" s="10" t="s">
        <v>2922</v>
      </c>
    </row>
    <row r="316" spans="1:7" ht="15" customHeight="1" x14ac:dyDescent="0.3">
      <c r="A316" s="16">
        <v>309</v>
      </c>
      <c r="B316" s="10" t="s">
        <v>2993</v>
      </c>
      <c r="C316" s="10" t="s">
        <v>2924</v>
      </c>
      <c r="D316" s="10" t="s">
        <v>216</v>
      </c>
      <c r="E316" s="10" t="s">
        <v>201</v>
      </c>
      <c r="F316" s="16">
        <v>0</v>
      </c>
      <c r="G316" s="10" t="s">
        <v>2946</v>
      </c>
    </row>
    <row r="317" spans="1:7" ht="15" customHeight="1" x14ac:dyDescent="0.3">
      <c r="A317" s="16">
        <v>310</v>
      </c>
      <c r="B317" s="10" t="s">
        <v>2993</v>
      </c>
      <c r="C317" s="10" t="s">
        <v>2927</v>
      </c>
      <c r="D317" s="10" t="s">
        <v>224</v>
      </c>
      <c r="E317" s="10" t="s">
        <v>207</v>
      </c>
      <c r="F317" s="16">
        <v>0</v>
      </c>
      <c r="G317" s="10" t="s">
        <v>2928</v>
      </c>
    </row>
    <row r="318" spans="1:7" ht="15" customHeight="1" x14ac:dyDescent="0.3">
      <c r="A318" s="16">
        <v>311</v>
      </c>
      <c r="B318" s="10" t="s">
        <v>2993</v>
      </c>
      <c r="C318" s="10" t="s">
        <v>2948</v>
      </c>
      <c r="D318" s="10" t="s">
        <v>209</v>
      </c>
      <c r="E318" s="10" t="s">
        <v>220</v>
      </c>
      <c r="F318" s="16">
        <v>0</v>
      </c>
      <c r="G318" s="10" t="s">
        <v>2942</v>
      </c>
    </row>
    <row r="319" spans="1:7" ht="15" customHeight="1" x14ac:dyDescent="0.3">
      <c r="A319" s="16">
        <v>312</v>
      </c>
      <c r="B319" s="10" t="s">
        <v>2994</v>
      </c>
      <c r="C319" s="10" t="s">
        <v>2916</v>
      </c>
      <c r="D319" s="10" t="s">
        <v>214</v>
      </c>
      <c r="E319" s="10" t="s">
        <v>209</v>
      </c>
      <c r="F319" s="16">
        <v>0</v>
      </c>
      <c r="G319" s="10" t="s">
        <v>2917</v>
      </c>
    </row>
    <row r="320" spans="1:7" ht="15" customHeight="1" x14ac:dyDescent="0.3">
      <c r="A320" s="16">
        <v>313</v>
      </c>
      <c r="B320" s="10" t="s">
        <v>2994</v>
      </c>
      <c r="C320" s="10" t="s">
        <v>2908</v>
      </c>
      <c r="D320" s="10" t="s">
        <v>211</v>
      </c>
      <c r="E320" s="10" t="s">
        <v>205</v>
      </c>
      <c r="F320" s="16">
        <v>0</v>
      </c>
      <c r="G320" s="10" t="s">
        <v>2907</v>
      </c>
    </row>
    <row r="321" spans="1:7" ht="15" customHeight="1" x14ac:dyDescent="0.3">
      <c r="A321" s="16">
        <v>314</v>
      </c>
      <c r="B321" s="10" t="s">
        <v>2994</v>
      </c>
      <c r="C321" s="10" t="s">
        <v>2908</v>
      </c>
      <c r="D321" s="10" t="s">
        <v>204</v>
      </c>
      <c r="E321" s="10" t="s">
        <v>219</v>
      </c>
      <c r="F321" s="16">
        <v>0</v>
      </c>
      <c r="G321" s="10" t="s">
        <v>2930</v>
      </c>
    </row>
    <row r="322" spans="1:7" ht="15" customHeight="1" x14ac:dyDescent="0.3">
      <c r="A322" s="16">
        <v>315</v>
      </c>
      <c r="B322" s="10" t="s">
        <v>2994</v>
      </c>
      <c r="C322" s="10" t="s">
        <v>2920</v>
      </c>
      <c r="D322" s="10" t="s">
        <v>200</v>
      </c>
      <c r="E322" s="10" t="s">
        <v>199</v>
      </c>
      <c r="F322" s="16">
        <v>0</v>
      </c>
      <c r="G322" s="10" t="s">
        <v>2935</v>
      </c>
    </row>
    <row r="323" spans="1:7" ht="15" customHeight="1" x14ac:dyDescent="0.3">
      <c r="A323" s="16">
        <v>316</v>
      </c>
      <c r="B323" s="10" t="s">
        <v>2994</v>
      </c>
      <c r="C323" s="10" t="s">
        <v>2924</v>
      </c>
      <c r="D323" s="10" t="s">
        <v>218</v>
      </c>
      <c r="E323" s="10" t="s">
        <v>203</v>
      </c>
      <c r="F323" s="16">
        <v>0</v>
      </c>
      <c r="G323" s="10" t="s">
        <v>2947</v>
      </c>
    </row>
    <row r="324" spans="1:7" ht="15" customHeight="1" x14ac:dyDescent="0.3">
      <c r="A324" s="16">
        <v>317</v>
      </c>
      <c r="B324" s="10" t="s">
        <v>2994</v>
      </c>
      <c r="C324" s="10" t="s">
        <v>2924</v>
      </c>
      <c r="D324" s="10" t="s">
        <v>216</v>
      </c>
      <c r="E324" s="10" t="s">
        <v>213</v>
      </c>
      <c r="F324" s="16">
        <v>0</v>
      </c>
      <c r="G324" s="10" t="s">
        <v>2938</v>
      </c>
    </row>
    <row r="325" spans="1:7" ht="15" customHeight="1" x14ac:dyDescent="0.3">
      <c r="A325" s="16">
        <v>318</v>
      </c>
      <c r="B325" s="10" t="s">
        <v>2994</v>
      </c>
      <c r="C325" s="10" t="s">
        <v>2924</v>
      </c>
      <c r="D325" s="10" t="s">
        <v>210</v>
      </c>
      <c r="E325" s="10" t="s">
        <v>215</v>
      </c>
      <c r="F325" s="16">
        <v>0</v>
      </c>
      <c r="G325" s="10" t="s">
        <v>2926</v>
      </c>
    </row>
    <row r="326" spans="1:7" ht="15" customHeight="1" x14ac:dyDescent="0.3">
      <c r="A326" s="16">
        <v>319</v>
      </c>
      <c r="B326" s="10" t="s">
        <v>2994</v>
      </c>
      <c r="C326" s="10" t="s">
        <v>2924</v>
      </c>
      <c r="D326" s="10" t="s">
        <v>198</v>
      </c>
      <c r="E326" s="10" t="s">
        <v>217</v>
      </c>
      <c r="F326" s="16">
        <v>0</v>
      </c>
      <c r="G326" s="10" t="s">
        <v>2931</v>
      </c>
    </row>
    <row r="327" spans="1:7" ht="15" customHeight="1" x14ac:dyDescent="0.3">
      <c r="A327" s="16">
        <v>320</v>
      </c>
      <c r="B327" s="10" t="s">
        <v>2994</v>
      </c>
      <c r="C327" s="10" t="s">
        <v>2948</v>
      </c>
      <c r="D327" s="10" t="s">
        <v>222</v>
      </c>
      <c r="E327" s="10" t="s">
        <v>220</v>
      </c>
      <c r="F327" s="16">
        <v>0</v>
      </c>
      <c r="G327" s="10" t="s">
        <v>2942</v>
      </c>
    </row>
    <row r="328" spans="1:7" ht="15" customHeight="1" x14ac:dyDescent="0.3">
      <c r="A328" s="16">
        <v>321</v>
      </c>
      <c r="B328" s="10" t="s">
        <v>2995</v>
      </c>
      <c r="C328" s="10" t="s">
        <v>2913</v>
      </c>
      <c r="D328" s="10" t="s">
        <v>225</v>
      </c>
      <c r="E328" s="10" t="s">
        <v>221</v>
      </c>
      <c r="F328" s="16">
        <v>0</v>
      </c>
      <c r="G328" s="10" t="s">
        <v>2915</v>
      </c>
    </row>
    <row r="329" spans="1:7" ht="15" customHeight="1" x14ac:dyDescent="0.3">
      <c r="A329" s="16">
        <v>322</v>
      </c>
      <c r="B329" s="10" t="s">
        <v>2995</v>
      </c>
      <c r="C329" s="10" t="s">
        <v>2908</v>
      </c>
      <c r="D329" s="10" t="s">
        <v>208</v>
      </c>
      <c r="E329" s="10" t="s">
        <v>197</v>
      </c>
      <c r="F329" s="16">
        <v>0</v>
      </c>
      <c r="G329" s="10" t="s">
        <v>2945</v>
      </c>
    </row>
    <row r="330" spans="1:7" ht="15" customHeight="1" x14ac:dyDescent="0.3">
      <c r="A330" s="16">
        <v>323</v>
      </c>
      <c r="B330" s="10" t="s">
        <v>2995</v>
      </c>
      <c r="C330" s="10" t="s">
        <v>2920</v>
      </c>
      <c r="D330" s="10" t="s">
        <v>226</v>
      </c>
      <c r="E330" s="10" t="s">
        <v>212</v>
      </c>
      <c r="F330" s="16">
        <v>0</v>
      </c>
      <c r="G330" s="10" t="s">
        <v>2922</v>
      </c>
    </row>
    <row r="331" spans="1:7" ht="15" customHeight="1" x14ac:dyDescent="0.3">
      <c r="A331" s="16">
        <v>324</v>
      </c>
      <c r="B331" s="10" t="s">
        <v>2995</v>
      </c>
      <c r="C331" s="10" t="s">
        <v>2924</v>
      </c>
      <c r="D331" s="10" t="s">
        <v>202</v>
      </c>
      <c r="E331" s="10" t="s">
        <v>201</v>
      </c>
      <c r="F331" s="16">
        <v>0</v>
      </c>
      <c r="G331" s="10" t="s">
        <v>2946</v>
      </c>
    </row>
    <row r="332" spans="1:7" ht="15" customHeight="1" x14ac:dyDescent="0.3">
      <c r="A332" s="16">
        <v>325</v>
      </c>
      <c r="B332" s="10" t="s">
        <v>2995</v>
      </c>
      <c r="C332" s="10" t="s">
        <v>2924</v>
      </c>
      <c r="D332" s="10" t="s">
        <v>224</v>
      </c>
      <c r="E332" s="10" t="s">
        <v>223</v>
      </c>
      <c r="F332" s="16">
        <v>0</v>
      </c>
      <c r="G332" s="10" t="s">
        <v>2911</v>
      </c>
    </row>
    <row r="333" spans="1:7" ht="15" customHeight="1" x14ac:dyDescent="0.3">
      <c r="A333" s="16">
        <v>326</v>
      </c>
      <c r="B333" s="10" t="s">
        <v>2996</v>
      </c>
      <c r="C333" s="10" t="s">
        <v>2913</v>
      </c>
      <c r="D333" s="10" t="s">
        <v>197</v>
      </c>
      <c r="E333" s="10" t="s">
        <v>221</v>
      </c>
      <c r="F333" s="16">
        <v>0</v>
      </c>
      <c r="G333" s="10" t="s">
        <v>2915</v>
      </c>
    </row>
    <row r="334" spans="1:7" ht="15" customHeight="1" x14ac:dyDescent="0.3">
      <c r="A334" s="16">
        <v>327</v>
      </c>
      <c r="B334" s="10" t="s">
        <v>2996</v>
      </c>
      <c r="C334" s="10" t="s">
        <v>2951</v>
      </c>
      <c r="D334" s="10" t="s">
        <v>213</v>
      </c>
      <c r="E334" s="10" t="s">
        <v>211</v>
      </c>
      <c r="F334" s="16">
        <v>0</v>
      </c>
      <c r="G334" s="10" t="s">
        <v>2925</v>
      </c>
    </row>
    <row r="335" spans="1:7" ht="15" customHeight="1" x14ac:dyDescent="0.3">
      <c r="A335" s="16">
        <v>328</v>
      </c>
      <c r="B335" s="10" t="s">
        <v>2996</v>
      </c>
      <c r="C335" s="10" t="s">
        <v>2908</v>
      </c>
      <c r="D335" s="10" t="s">
        <v>200</v>
      </c>
      <c r="E335" s="10" t="s">
        <v>226</v>
      </c>
      <c r="F335" s="16">
        <v>0</v>
      </c>
      <c r="G335" s="10" t="s">
        <v>2919</v>
      </c>
    </row>
    <row r="336" spans="1:7" ht="15" customHeight="1" x14ac:dyDescent="0.3">
      <c r="A336" s="16">
        <v>329</v>
      </c>
      <c r="B336" s="10" t="s">
        <v>2996</v>
      </c>
      <c r="C336" s="10" t="s">
        <v>2920</v>
      </c>
      <c r="D336" s="10" t="s">
        <v>218</v>
      </c>
      <c r="E336" s="10" t="s">
        <v>219</v>
      </c>
      <c r="F336" s="16">
        <v>0</v>
      </c>
      <c r="G336" s="10" t="s">
        <v>2930</v>
      </c>
    </row>
    <row r="337" spans="1:7" ht="15" customHeight="1" x14ac:dyDescent="0.3">
      <c r="A337" s="16">
        <v>330</v>
      </c>
      <c r="B337" s="10" t="s">
        <v>2996</v>
      </c>
      <c r="C337" s="10" t="s">
        <v>2924</v>
      </c>
      <c r="D337" s="10" t="s">
        <v>206</v>
      </c>
      <c r="E337" s="10" t="s">
        <v>202</v>
      </c>
      <c r="F337" s="16">
        <v>0</v>
      </c>
      <c r="G337" s="10" t="s">
        <v>2944</v>
      </c>
    </row>
    <row r="338" spans="1:7" ht="15" customHeight="1" x14ac:dyDescent="0.3">
      <c r="A338" s="16">
        <v>331</v>
      </c>
      <c r="B338" s="10" t="s">
        <v>2996</v>
      </c>
      <c r="C338" s="10" t="s">
        <v>2927</v>
      </c>
      <c r="D338" s="10" t="s">
        <v>216</v>
      </c>
      <c r="E338" s="10" t="s">
        <v>212</v>
      </c>
      <c r="F338" s="16">
        <v>0</v>
      </c>
      <c r="G338" s="10" t="s">
        <v>2922</v>
      </c>
    </row>
    <row r="339" spans="1:7" ht="15" customHeight="1" x14ac:dyDescent="0.3">
      <c r="A339" s="16">
        <v>332</v>
      </c>
      <c r="B339" s="10" t="s">
        <v>2996</v>
      </c>
      <c r="C339" s="10" t="s">
        <v>2948</v>
      </c>
      <c r="D339" s="10" t="s">
        <v>214</v>
      </c>
      <c r="E339" s="10" t="s">
        <v>220</v>
      </c>
      <c r="F339" s="16">
        <v>0</v>
      </c>
      <c r="G339" s="10" t="s">
        <v>2942</v>
      </c>
    </row>
    <row r="340" spans="1:7" ht="15" customHeight="1" x14ac:dyDescent="0.3">
      <c r="A340" s="16">
        <v>333</v>
      </c>
      <c r="B340" s="10" t="s">
        <v>2996</v>
      </c>
      <c r="C340" s="10" t="s">
        <v>2910</v>
      </c>
      <c r="D340" s="10" t="s">
        <v>204</v>
      </c>
      <c r="E340" s="10" t="s">
        <v>225</v>
      </c>
      <c r="F340" s="16">
        <v>0</v>
      </c>
      <c r="G340" s="10" t="s">
        <v>2940</v>
      </c>
    </row>
    <row r="341" spans="1:7" ht="15" customHeight="1" x14ac:dyDescent="0.3">
      <c r="A341" s="16">
        <v>334</v>
      </c>
      <c r="B341" s="10" t="s">
        <v>2997</v>
      </c>
      <c r="C341" s="10" t="s">
        <v>2906</v>
      </c>
      <c r="D341" s="10" t="s">
        <v>199</v>
      </c>
      <c r="E341" s="10" t="s">
        <v>198</v>
      </c>
      <c r="F341" s="16">
        <v>0</v>
      </c>
      <c r="G341" s="10" t="s">
        <v>2921</v>
      </c>
    </row>
    <row r="342" spans="1:7" ht="15" customHeight="1" x14ac:dyDescent="0.3">
      <c r="A342" s="16">
        <v>335</v>
      </c>
      <c r="B342" s="10" t="s">
        <v>2997</v>
      </c>
      <c r="C342" s="10" t="s">
        <v>2961</v>
      </c>
      <c r="D342" s="10" t="s">
        <v>224</v>
      </c>
      <c r="E342" s="10" t="s">
        <v>217</v>
      </c>
      <c r="F342" s="16">
        <v>0</v>
      </c>
      <c r="G342" s="10" t="s">
        <v>2931</v>
      </c>
    </row>
    <row r="343" spans="1:7" ht="15" customHeight="1" x14ac:dyDescent="0.3">
      <c r="A343" s="16">
        <v>336</v>
      </c>
      <c r="B343" s="10" t="s">
        <v>2997</v>
      </c>
      <c r="C343" s="10" t="s">
        <v>2951</v>
      </c>
      <c r="D343" s="10" t="s">
        <v>205</v>
      </c>
      <c r="E343" s="10" t="s">
        <v>208</v>
      </c>
      <c r="F343" s="16">
        <v>0</v>
      </c>
      <c r="G343" s="10" t="s">
        <v>2937</v>
      </c>
    </row>
    <row r="344" spans="1:7" ht="15" customHeight="1" x14ac:dyDescent="0.3">
      <c r="A344" s="16">
        <v>337</v>
      </c>
      <c r="B344" s="10" t="s">
        <v>2997</v>
      </c>
      <c r="C344" s="10" t="s">
        <v>2943</v>
      </c>
      <c r="D344" s="10" t="s">
        <v>207</v>
      </c>
      <c r="E344" s="10" t="s">
        <v>201</v>
      </c>
      <c r="F344" s="16">
        <v>0</v>
      </c>
      <c r="G344" s="10" t="s">
        <v>2946</v>
      </c>
    </row>
    <row r="345" spans="1:7" ht="15" customHeight="1" x14ac:dyDescent="0.3">
      <c r="A345" s="16">
        <v>338</v>
      </c>
      <c r="B345" s="10" t="s">
        <v>2997</v>
      </c>
      <c r="C345" s="10" t="s">
        <v>2908</v>
      </c>
      <c r="D345" s="10" t="s">
        <v>209</v>
      </c>
      <c r="E345" s="10" t="s">
        <v>223</v>
      </c>
      <c r="F345" s="16">
        <v>0</v>
      </c>
      <c r="G345" s="10" t="s">
        <v>2911</v>
      </c>
    </row>
    <row r="346" spans="1:7" ht="15" customHeight="1" x14ac:dyDescent="0.3">
      <c r="A346" s="16">
        <v>339</v>
      </c>
      <c r="B346" s="10" t="s">
        <v>2997</v>
      </c>
      <c r="C346" s="10" t="s">
        <v>2948</v>
      </c>
      <c r="D346" s="10" t="s">
        <v>215</v>
      </c>
      <c r="E346" s="10" t="s">
        <v>222</v>
      </c>
      <c r="F346" s="16">
        <v>0</v>
      </c>
      <c r="G346" s="10" t="s">
        <v>2934</v>
      </c>
    </row>
    <row r="347" spans="1:7" ht="15" customHeight="1" x14ac:dyDescent="0.3">
      <c r="A347" s="16">
        <v>340</v>
      </c>
      <c r="B347" s="10" t="s">
        <v>2998</v>
      </c>
      <c r="C347" s="10" t="s">
        <v>2913</v>
      </c>
      <c r="D347" s="10" t="s">
        <v>215</v>
      </c>
      <c r="E347" s="10" t="s">
        <v>210</v>
      </c>
      <c r="F347" s="16">
        <v>0</v>
      </c>
      <c r="G347" s="10" t="s">
        <v>2914</v>
      </c>
    </row>
    <row r="348" spans="1:7" ht="15" customHeight="1" x14ac:dyDescent="0.3">
      <c r="A348" s="16">
        <v>341</v>
      </c>
      <c r="B348" s="10" t="s">
        <v>2998</v>
      </c>
      <c r="C348" s="10" t="s">
        <v>2908</v>
      </c>
      <c r="D348" s="10" t="s">
        <v>224</v>
      </c>
      <c r="E348" s="10" t="s">
        <v>200</v>
      </c>
      <c r="F348" s="16">
        <v>0</v>
      </c>
      <c r="G348" s="10" t="s">
        <v>2936</v>
      </c>
    </row>
    <row r="349" spans="1:7" ht="15" customHeight="1" x14ac:dyDescent="0.3">
      <c r="A349" s="16">
        <v>342</v>
      </c>
      <c r="B349" s="10" t="s">
        <v>2998</v>
      </c>
      <c r="C349" s="10" t="s">
        <v>2908</v>
      </c>
      <c r="D349" s="10" t="s">
        <v>198</v>
      </c>
      <c r="E349" s="10" t="s">
        <v>205</v>
      </c>
      <c r="F349" s="16">
        <v>0</v>
      </c>
      <c r="G349" s="10" t="s">
        <v>2907</v>
      </c>
    </row>
    <row r="350" spans="1:7" ht="15" customHeight="1" x14ac:dyDescent="0.3">
      <c r="A350" s="16">
        <v>343</v>
      </c>
      <c r="B350" s="10" t="s">
        <v>2998</v>
      </c>
      <c r="C350" s="10" t="s">
        <v>2908</v>
      </c>
      <c r="D350" s="10" t="s">
        <v>219</v>
      </c>
      <c r="E350" s="10" t="s">
        <v>218</v>
      </c>
      <c r="F350" s="16">
        <v>0</v>
      </c>
      <c r="G350" s="10" t="s">
        <v>2918</v>
      </c>
    </row>
    <row r="351" spans="1:7" ht="15" customHeight="1" x14ac:dyDescent="0.3">
      <c r="A351" s="16">
        <v>344</v>
      </c>
      <c r="B351" s="10" t="s">
        <v>2998</v>
      </c>
      <c r="C351" s="10" t="s">
        <v>2920</v>
      </c>
      <c r="D351" s="10" t="s">
        <v>226</v>
      </c>
      <c r="E351" s="10" t="s">
        <v>199</v>
      </c>
      <c r="F351" s="16">
        <v>0</v>
      </c>
      <c r="G351" s="10" t="s">
        <v>2935</v>
      </c>
    </row>
    <row r="352" spans="1:7" ht="15" customHeight="1" x14ac:dyDescent="0.3">
      <c r="A352" s="16">
        <v>345</v>
      </c>
      <c r="B352" s="10" t="s">
        <v>2998</v>
      </c>
      <c r="C352" s="10" t="s">
        <v>2924</v>
      </c>
      <c r="D352" s="10" t="s">
        <v>212</v>
      </c>
      <c r="E352" s="10" t="s">
        <v>201</v>
      </c>
      <c r="F352" s="16">
        <v>0</v>
      </c>
      <c r="G352" s="10" t="s">
        <v>2946</v>
      </c>
    </row>
    <row r="353" spans="1:7" ht="15" customHeight="1" x14ac:dyDescent="0.3">
      <c r="A353" s="16">
        <v>346</v>
      </c>
      <c r="B353" s="10" t="s">
        <v>2998</v>
      </c>
      <c r="C353" s="10" t="s">
        <v>2924</v>
      </c>
      <c r="D353" s="10" t="s">
        <v>213</v>
      </c>
      <c r="E353" s="10" t="s">
        <v>203</v>
      </c>
      <c r="F353" s="16">
        <v>0</v>
      </c>
      <c r="G353" s="10" t="s">
        <v>2947</v>
      </c>
    </row>
    <row r="354" spans="1:7" ht="15" customHeight="1" x14ac:dyDescent="0.3">
      <c r="A354" s="16">
        <v>347</v>
      </c>
      <c r="B354" s="10" t="s">
        <v>2998</v>
      </c>
      <c r="C354" s="10" t="s">
        <v>2924</v>
      </c>
      <c r="D354" s="10" t="s">
        <v>206</v>
      </c>
      <c r="E354" s="10" t="s">
        <v>211</v>
      </c>
      <c r="F354" s="16">
        <v>0</v>
      </c>
      <c r="G354" s="10" t="s">
        <v>2925</v>
      </c>
    </row>
    <row r="355" spans="1:7" ht="15" customHeight="1" x14ac:dyDescent="0.3">
      <c r="A355" s="16">
        <v>348</v>
      </c>
      <c r="B355" s="10" t="s">
        <v>2998</v>
      </c>
      <c r="C355" s="10" t="s">
        <v>2927</v>
      </c>
      <c r="D355" s="10" t="s">
        <v>216</v>
      </c>
      <c r="E355" s="10" t="s">
        <v>207</v>
      </c>
      <c r="F355" s="16">
        <v>0</v>
      </c>
      <c r="G355" s="10" t="s">
        <v>2928</v>
      </c>
    </row>
    <row r="356" spans="1:7" ht="15" customHeight="1" x14ac:dyDescent="0.3">
      <c r="A356" s="16">
        <v>349</v>
      </c>
      <c r="B356" s="10" t="s">
        <v>2998</v>
      </c>
      <c r="C356" s="10" t="s">
        <v>2948</v>
      </c>
      <c r="D356" s="10" t="s">
        <v>197</v>
      </c>
      <c r="E356" s="10" t="s">
        <v>220</v>
      </c>
      <c r="F356" s="16">
        <v>0</v>
      </c>
      <c r="G356" s="10" t="s">
        <v>2942</v>
      </c>
    </row>
    <row r="357" spans="1:7" ht="15" customHeight="1" x14ac:dyDescent="0.3">
      <c r="A357" s="16">
        <v>350</v>
      </c>
      <c r="B357" s="10" t="s">
        <v>2998</v>
      </c>
      <c r="C357" s="10" t="s">
        <v>2948</v>
      </c>
      <c r="D357" s="10" t="s">
        <v>214</v>
      </c>
      <c r="E357" s="10" t="s">
        <v>225</v>
      </c>
      <c r="F357" s="16">
        <v>0</v>
      </c>
      <c r="G357" s="10" t="s">
        <v>2940</v>
      </c>
    </row>
    <row r="358" spans="1:7" ht="15" customHeight="1" x14ac:dyDescent="0.3">
      <c r="A358" s="16">
        <v>351</v>
      </c>
      <c r="B358" s="10" t="s">
        <v>2999</v>
      </c>
      <c r="C358" s="10" t="s">
        <v>2955</v>
      </c>
      <c r="D358" s="10" t="s">
        <v>204</v>
      </c>
      <c r="E358" s="10" t="s">
        <v>221</v>
      </c>
      <c r="F358" s="16">
        <v>0</v>
      </c>
      <c r="G358" s="10" t="s">
        <v>2915</v>
      </c>
    </row>
    <row r="359" spans="1:7" ht="15" customHeight="1" x14ac:dyDescent="0.3">
      <c r="A359" s="16">
        <v>352</v>
      </c>
      <c r="B359" s="10" t="s">
        <v>2999</v>
      </c>
      <c r="C359" s="10" t="s">
        <v>2924</v>
      </c>
      <c r="D359" s="10" t="s">
        <v>223</v>
      </c>
      <c r="E359" s="10" t="s">
        <v>202</v>
      </c>
      <c r="F359" s="16">
        <v>0</v>
      </c>
      <c r="G359" s="10" t="s">
        <v>2944</v>
      </c>
    </row>
    <row r="360" spans="1:7" ht="15" customHeight="1" x14ac:dyDescent="0.3">
      <c r="A360" s="16">
        <v>353</v>
      </c>
      <c r="B360" s="10" t="s">
        <v>3000</v>
      </c>
      <c r="C360" s="10" t="s">
        <v>2908</v>
      </c>
      <c r="D360" s="10" t="s">
        <v>226</v>
      </c>
      <c r="E360" s="10" t="s">
        <v>199</v>
      </c>
      <c r="F360" s="16">
        <v>0</v>
      </c>
      <c r="G360" s="10" t="s">
        <v>2935</v>
      </c>
    </row>
    <row r="361" spans="1:7" ht="15" customHeight="1" x14ac:dyDescent="0.3">
      <c r="A361" s="16">
        <v>354</v>
      </c>
      <c r="B361" s="10" t="s">
        <v>3000</v>
      </c>
      <c r="C361" s="10" t="s">
        <v>2908</v>
      </c>
      <c r="D361" s="10" t="s">
        <v>209</v>
      </c>
      <c r="E361" s="10" t="s">
        <v>200</v>
      </c>
      <c r="F361" s="16">
        <v>0</v>
      </c>
      <c r="G361" s="10" t="s">
        <v>2936</v>
      </c>
    </row>
    <row r="362" spans="1:7" ht="15" customHeight="1" x14ac:dyDescent="0.3">
      <c r="A362" s="16">
        <v>355</v>
      </c>
      <c r="B362" s="10" t="s">
        <v>3000</v>
      </c>
      <c r="C362" s="10" t="s">
        <v>2908</v>
      </c>
      <c r="D362" s="10" t="s">
        <v>220</v>
      </c>
      <c r="E362" s="10" t="s">
        <v>205</v>
      </c>
      <c r="F362" s="16">
        <v>0</v>
      </c>
      <c r="G362" s="10" t="s">
        <v>2907</v>
      </c>
    </row>
    <row r="363" spans="1:7" ht="15" customHeight="1" x14ac:dyDescent="0.3">
      <c r="A363" s="16">
        <v>356</v>
      </c>
      <c r="B363" s="10" t="s">
        <v>3000</v>
      </c>
      <c r="C363" s="10" t="s">
        <v>2908</v>
      </c>
      <c r="D363" s="10" t="s">
        <v>206</v>
      </c>
      <c r="E363" s="10" t="s">
        <v>208</v>
      </c>
      <c r="F363" s="16">
        <v>0</v>
      </c>
      <c r="G363" s="10" t="s">
        <v>2937</v>
      </c>
    </row>
    <row r="364" spans="1:7" ht="15" customHeight="1" x14ac:dyDescent="0.3">
      <c r="A364" s="16">
        <v>357</v>
      </c>
      <c r="B364" s="10" t="s">
        <v>3000</v>
      </c>
      <c r="C364" s="10" t="s">
        <v>2908</v>
      </c>
      <c r="D364" s="10" t="s">
        <v>202</v>
      </c>
      <c r="E364" s="10" t="s">
        <v>218</v>
      </c>
      <c r="F364" s="16">
        <v>0</v>
      </c>
      <c r="G364" s="10" t="s">
        <v>2918</v>
      </c>
    </row>
    <row r="365" spans="1:7" ht="15" customHeight="1" x14ac:dyDescent="0.3">
      <c r="A365" s="16">
        <v>358</v>
      </c>
      <c r="B365" s="10" t="s">
        <v>3000</v>
      </c>
      <c r="C365" s="10" t="s">
        <v>2920</v>
      </c>
      <c r="D365" s="10" t="s">
        <v>203</v>
      </c>
      <c r="E365" s="10" t="s">
        <v>198</v>
      </c>
      <c r="F365" s="16">
        <v>0</v>
      </c>
      <c r="G365" s="10" t="s">
        <v>2921</v>
      </c>
    </row>
    <row r="366" spans="1:7" ht="15" customHeight="1" x14ac:dyDescent="0.3">
      <c r="A366" s="16">
        <v>359</v>
      </c>
      <c r="B366" s="10" t="s">
        <v>3000</v>
      </c>
      <c r="C366" s="10" t="s">
        <v>2920</v>
      </c>
      <c r="D366" s="10" t="s">
        <v>223</v>
      </c>
      <c r="E366" s="10" t="s">
        <v>224</v>
      </c>
      <c r="F366" s="16">
        <v>0</v>
      </c>
      <c r="G366" s="10" t="s">
        <v>2923</v>
      </c>
    </row>
    <row r="367" spans="1:7" ht="15" customHeight="1" x14ac:dyDescent="0.3">
      <c r="A367" s="16">
        <v>360</v>
      </c>
      <c r="B367" s="10" t="s">
        <v>3000</v>
      </c>
      <c r="C367" s="10" t="s">
        <v>2924</v>
      </c>
      <c r="D367" s="10" t="s">
        <v>225</v>
      </c>
      <c r="E367" s="10" t="s">
        <v>201</v>
      </c>
      <c r="F367" s="16">
        <v>0</v>
      </c>
      <c r="G367" s="10" t="s">
        <v>2946</v>
      </c>
    </row>
    <row r="368" spans="1:7" ht="15" customHeight="1" x14ac:dyDescent="0.3">
      <c r="A368" s="16">
        <v>361</v>
      </c>
      <c r="B368" s="10" t="s">
        <v>3000</v>
      </c>
      <c r="C368" s="10" t="s">
        <v>2924</v>
      </c>
      <c r="D368" s="10" t="s">
        <v>212</v>
      </c>
      <c r="E368" s="10" t="s">
        <v>211</v>
      </c>
      <c r="F368" s="16">
        <v>0</v>
      </c>
      <c r="G368" s="10" t="s">
        <v>2925</v>
      </c>
    </row>
    <row r="369" spans="1:7" ht="15" customHeight="1" x14ac:dyDescent="0.3">
      <c r="A369" s="16">
        <v>362</v>
      </c>
      <c r="B369" s="10" t="s">
        <v>3000</v>
      </c>
      <c r="C369" s="10" t="s">
        <v>2924</v>
      </c>
      <c r="D369" s="10" t="s">
        <v>216</v>
      </c>
      <c r="E369" s="10" t="s">
        <v>215</v>
      </c>
      <c r="F369" s="16">
        <v>0</v>
      </c>
      <c r="G369" s="10" t="s">
        <v>2926</v>
      </c>
    </row>
    <row r="370" spans="1:7" ht="15" customHeight="1" x14ac:dyDescent="0.3">
      <c r="A370" s="16">
        <v>363</v>
      </c>
      <c r="B370" s="10" t="s">
        <v>3000</v>
      </c>
      <c r="C370" s="10" t="s">
        <v>2924</v>
      </c>
      <c r="D370" s="10" t="s">
        <v>222</v>
      </c>
      <c r="E370" s="10" t="s">
        <v>217</v>
      </c>
      <c r="F370" s="16">
        <v>0</v>
      </c>
      <c r="G370" s="10" t="s">
        <v>2931</v>
      </c>
    </row>
    <row r="371" spans="1:7" ht="15" customHeight="1" x14ac:dyDescent="0.3">
      <c r="A371" s="16">
        <v>364</v>
      </c>
      <c r="B371" s="10" t="s">
        <v>3000</v>
      </c>
      <c r="C371" s="10" t="s">
        <v>2927</v>
      </c>
      <c r="D371" s="10" t="s">
        <v>213</v>
      </c>
      <c r="E371" s="10" t="s">
        <v>207</v>
      </c>
      <c r="F371" s="16">
        <v>0</v>
      </c>
      <c r="G371" s="10" t="s">
        <v>2928</v>
      </c>
    </row>
    <row r="372" spans="1:7" ht="15" customHeight="1" x14ac:dyDescent="0.3">
      <c r="A372" s="16">
        <v>365</v>
      </c>
      <c r="B372" s="10" t="s">
        <v>3000</v>
      </c>
      <c r="C372" s="10" t="s">
        <v>2910</v>
      </c>
      <c r="D372" s="10" t="s">
        <v>210</v>
      </c>
      <c r="E372" s="10" t="s">
        <v>214</v>
      </c>
      <c r="F372" s="16">
        <v>0</v>
      </c>
      <c r="G372" s="10" t="s">
        <v>2952</v>
      </c>
    </row>
    <row r="373" spans="1:7" ht="15" customHeight="1" x14ac:dyDescent="0.3">
      <c r="A373" s="16">
        <v>366</v>
      </c>
      <c r="B373" s="10" t="s">
        <v>3001</v>
      </c>
      <c r="C373" s="10" t="s">
        <v>2908</v>
      </c>
      <c r="D373" s="10" t="s">
        <v>221</v>
      </c>
      <c r="E373" s="10" t="s">
        <v>208</v>
      </c>
      <c r="F373" s="16">
        <v>0</v>
      </c>
      <c r="G373" s="10" t="s">
        <v>2937</v>
      </c>
    </row>
    <row r="374" spans="1:7" ht="15" customHeight="1" x14ac:dyDescent="0.3">
      <c r="A374" s="16">
        <v>367</v>
      </c>
      <c r="B374" s="10" t="s">
        <v>3001</v>
      </c>
      <c r="C374" s="10" t="s">
        <v>2908</v>
      </c>
      <c r="D374" s="10" t="s">
        <v>203</v>
      </c>
      <c r="E374" s="10" t="s">
        <v>219</v>
      </c>
      <c r="F374" s="16">
        <v>0</v>
      </c>
      <c r="G374" s="10" t="s">
        <v>2930</v>
      </c>
    </row>
    <row r="375" spans="1:7" ht="15" customHeight="1" x14ac:dyDescent="0.3">
      <c r="A375" s="16">
        <v>368</v>
      </c>
      <c r="B375" s="10" t="s">
        <v>3001</v>
      </c>
      <c r="C375" s="10" t="s">
        <v>2948</v>
      </c>
      <c r="D375" s="10" t="s">
        <v>197</v>
      </c>
      <c r="E375" s="10" t="s">
        <v>204</v>
      </c>
      <c r="F375" s="16">
        <v>0</v>
      </c>
      <c r="G375" s="10" t="s">
        <v>2949</v>
      </c>
    </row>
    <row r="376" spans="1:7" ht="15" customHeight="1" x14ac:dyDescent="0.3">
      <c r="A376" s="16">
        <v>369</v>
      </c>
      <c r="B376" s="10" t="s">
        <v>3002</v>
      </c>
      <c r="C376" s="10" t="s">
        <v>2908</v>
      </c>
      <c r="D376" s="10" t="s">
        <v>217</v>
      </c>
      <c r="E376" s="10" t="s">
        <v>200</v>
      </c>
      <c r="F376" s="16">
        <v>0</v>
      </c>
      <c r="G376" s="10" t="s">
        <v>2936</v>
      </c>
    </row>
    <row r="377" spans="1:7" ht="15" customHeight="1" x14ac:dyDescent="0.3">
      <c r="A377" s="16">
        <v>370</v>
      </c>
      <c r="B377" s="10" t="s">
        <v>3002</v>
      </c>
      <c r="C377" s="10" t="s">
        <v>2908</v>
      </c>
      <c r="D377" s="10" t="s">
        <v>209</v>
      </c>
      <c r="E377" s="10" t="s">
        <v>212</v>
      </c>
      <c r="F377" s="16">
        <v>0</v>
      </c>
      <c r="G377" s="10" t="s">
        <v>2922</v>
      </c>
    </row>
    <row r="378" spans="1:7" ht="15" customHeight="1" x14ac:dyDescent="0.3">
      <c r="A378" s="16">
        <v>371</v>
      </c>
      <c r="B378" s="10" t="s">
        <v>3002</v>
      </c>
      <c r="C378" s="10" t="s">
        <v>2908</v>
      </c>
      <c r="D378" s="10" t="s">
        <v>216</v>
      </c>
      <c r="E378" s="10" t="s">
        <v>226</v>
      </c>
      <c r="F378" s="16">
        <v>0</v>
      </c>
      <c r="G378" s="10" t="s">
        <v>2919</v>
      </c>
    </row>
    <row r="379" spans="1:7" ht="15" customHeight="1" x14ac:dyDescent="0.3">
      <c r="A379" s="16">
        <v>372</v>
      </c>
      <c r="B379" s="10" t="s">
        <v>3002</v>
      </c>
      <c r="C379" s="10" t="s">
        <v>2920</v>
      </c>
      <c r="D379" s="10" t="s">
        <v>218</v>
      </c>
      <c r="E379" s="10" t="s">
        <v>198</v>
      </c>
      <c r="F379" s="16">
        <v>0</v>
      </c>
      <c r="G379" s="10" t="s">
        <v>2921</v>
      </c>
    </row>
    <row r="380" spans="1:7" ht="15" customHeight="1" x14ac:dyDescent="0.3">
      <c r="A380" s="16">
        <v>373</v>
      </c>
      <c r="B380" s="10" t="s">
        <v>3002</v>
      </c>
      <c r="C380" s="10" t="s">
        <v>2920</v>
      </c>
      <c r="D380" s="10" t="s">
        <v>225</v>
      </c>
      <c r="E380" s="10" t="s">
        <v>199</v>
      </c>
      <c r="F380" s="16">
        <v>0</v>
      </c>
      <c r="G380" s="10" t="s">
        <v>2935</v>
      </c>
    </row>
    <row r="381" spans="1:7" ht="15" customHeight="1" x14ac:dyDescent="0.3">
      <c r="A381" s="16">
        <v>374</v>
      </c>
      <c r="B381" s="10" t="s">
        <v>3002</v>
      </c>
      <c r="C381" s="10" t="s">
        <v>2920</v>
      </c>
      <c r="D381" s="10" t="s">
        <v>202</v>
      </c>
      <c r="E381" s="10" t="s">
        <v>205</v>
      </c>
      <c r="F381" s="16">
        <v>0</v>
      </c>
      <c r="G381" s="10" t="s">
        <v>2907</v>
      </c>
    </row>
    <row r="382" spans="1:7" ht="15" customHeight="1" x14ac:dyDescent="0.3">
      <c r="A382" s="16">
        <v>375</v>
      </c>
      <c r="B382" s="10" t="s">
        <v>3002</v>
      </c>
      <c r="C382" s="10" t="s">
        <v>2920</v>
      </c>
      <c r="D382" s="10" t="s">
        <v>206</v>
      </c>
      <c r="E382" s="10" t="s">
        <v>224</v>
      </c>
      <c r="F382" s="16">
        <v>0</v>
      </c>
      <c r="G382" s="10" t="s">
        <v>2923</v>
      </c>
    </row>
    <row r="383" spans="1:7" ht="15" customHeight="1" x14ac:dyDescent="0.3">
      <c r="A383" s="16">
        <v>376</v>
      </c>
      <c r="B383" s="10" t="s">
        <v>3002</v>
      </c>
      <c r="C383" s="10" t="s">
        <v>2924</v>
      </c>
      <c r="D383" s="10" t="s">
        <v>207</v>
      </c>
      <c r="E383" s="10" t="s">
        <v>211</v>
      </c>
      <c r="F383" s="16">
        <v>0</v>
      </c>
      <c r="G383" s="10" t="s">
        <v>2925</v>
      </c>
    </row>
    <row r="384" spans="1:7" ht="15" customHeight="1" x14ac:dyDescent="0.3">
      <c r="A384" s="16">
        <v>377</v>
      </c>
      <c r="B384" s="10" t="s">
        <v>3002</v>
      </c>
      <c r="C384" s="10" t="s">
        <v>2924</v>
      </c>
      <c r="D384" s="10" t="s">
        <v>220</v>
      </c>
      <c r="E384" s="10" t="s">
        <v>213</v>
      </c>
      <c r="F384" s="16">
        <v>0</v>
      </c>
      <c r="G384" s="10" t="s">
        <v>2938</v>
      </c>
    </row>
    <row r="385" spans="1:7" ht="15" customHeight="1" x14ac:dyDescent="0.3">
      <c r="A385" s="16">
        <v>378</v>
      </c>
      <c r="B385" s="10" t="s">
        <v>3002</v>
      </c>
      <c r="C385" s="10" t="s">
        <v>2924</v>
      </c>
      <c r="D385" s="10" t="s">
        <v>210</v>
      </c>
      <c r="E385" s="10" t="s">
        <v>214</v>
      </c>
      <c r="F385" s="16">
        <v>0</v>
      </c>
      <c r="G385" s="10" t="s">
        <v>2952</v>
      </c>
    </row>
    <row r="386" spans="1:7" ht="15" customHeight="1" x14ac:dyDescent="0.3">
      <c r="A386" s="16">
        <v>379</v>
      </c>
      <c r="B386" s="10" t="s">
        <v>3002</v>
      </c>
      <c r="C386" s="10" t="s">
        <v>2924</v>
      </c>
      <c r="D386" s="10" t="s">
        <v>222</v>
      </c>
      <c r="E386" s="10" t="s">
        <v>215</v>
      </c>
      <c r="F386" s="16">
        <v>0</v>
      </c>
      <c r="G386" s="10" t="s">
        <v>2926</v>
      </c>
    </row>
    <row r="387" spans="1:7" ht="15" customHeight="1" x14ac:dyDescent="0.3">
      <c r="A387" s="16">
        <v>380</v>
      </c>
      <c r="B387" s="10" t="s">
        <v>3002</v>
      </c>
      <c r="C387" s="10" t="s">
        <v>2924</v>
      </c>
      <c r="D387" s="10" t="s">
        <v>201</v>
      </c>
      <c r="E387" s="10" t="s">
        <v>223</v>
      </c>
      <c r="F387" s="16">
        <v>0</v>
      </c>
      <c r="G387" s="10" t="s">
        <v>2911</v>
      </c>
    </row>
    <row r="388" spans="1:7" ht="15" customHeight="1" x14ac:dyDescent="0.3">
      <c r="A388" s="16">
        <v>381</v>
      </c>
      <c r="B388" s="10" t="s">
        <v>3003</v>
      </c>
      <c r="C388" s="10" t="s">
        <v>2943</v>
      </c>
      <c r="D388" s="10" t="s">
        <v>221</v>
      </c>
      <c r="E388" s="10" t="s">
        <v>200</v>
      </c>
      <c r="F388" s="16">
        <v>0</v>
      </c>
      <c r="G388" s="10" t="s">
        <v>2936</v>
      </c>
    </row>
    <row r="389" spans="1:7" ht="15" customHeight="1" x14ac:dyDescent="0.3">
      <c r="A389" s="16">
        <v>382</v>
      </c>
      <c r="B389" s="10" t="s">
        <v>3003</v>
      </c>
      <c r="C389" s="10" t="s">
        <v>2908</v>
      </c>
      <c r="D389" s="10" t="s">
        <v>218</v>
      </c>
      <c r="E389" s="10" t="s">
        <v>197</v>
      </c>
      <c r="F389" s="16">
        <v>0</v>
      </c>
      <c r="G389" s="10" t="s">
        <v>2945</v>
      </c>
    </row>
    <row r="390" spans="1:7" ht="15" customHeight="1" x14ac:dyDescent="0.3">
      <c r="A390" s="16">
        <v>383</v>
      </c>
      <c r="B390" s="10" t="s">
        <v>3003</v>
      </c>
      <c r="C390" s="10" t="s">
        <v>2924</v>
      </c>
      <c r="D390" s="10" t="s">
        <v>201</v>
      </c>
      <c r="E390" s="10" t="s">
        <v>203</v>
      </c>
      <c r="F390" s="16">
        <v>0</v>
      </c>
      <c r="G390" s="10" t="s">
        <v>2947</v>
      </c>
    </row>
    <row r="391" spans="1:7" ht="15" customHeight="1" x14ac:dyDescent="0.3">
      <c r="A391" s="16">
        <v>384</v>
      </c>
      <c r="B391" s="10" t="s">
        <v>3003</v>
      </c>
      <c r="C391" s="10" t="s">
        <v>2948</v>
      </c>
      <c r="D391" s="10" t="s">
        <v>210</v>
      </c>
      <c r="E391" s="10" t="s">
        <v>204</v>
      </c>
      <c r="F391" s="16">
        <v>0</v>
      </c>
      <c r="G391" s="10" t="s">
        <v>2949</v>
      </c>
    </row>
    <row r="392" spans="1:7" ht="15" customHeight="1" x14ac:dyDescent="0.3">
      <c r="A392" s="16">
        <v>385</v>
      </c>
      <c r="B392" s="10" t="s">
        <v>3004</v>
      </c>
      <c r="C392" s="10" t="s">
        <v>2913</v>
      </c>
      <c r="D392" s="10" t="s">
        <v>208</v>
      </c>
      <c r="E392" s="10" t="s">
        <v>209</v>
      </c>
      <c r="F392" s="16">
        <v>0</v>
      </c>
      <c r="G392" s="10" t="s">
        <v>2917</v>
      </c>
    </row>
    <row r="393" spans="1:7" ht="15" customHeight="1" x14ac:dyDescent="0.3">
      <c r="A393" s="16">
        <v>386</v>
      </c>
      <c r="B393" s="10" t="s">
        <v>3004</v>
      </c>
      <c r="C393" s="10" t="s">
        <v>2906</v>
      </c>
      <c r="D393" s="10" t="s">
        <v>226</v>
      </c>
      <c r="E393" s="10" t="s">
        <v>198</v>
      </c>
      <c r="F393" s="16">
        <v>0</v>
      </c>
      <c r="G393" s="10" t="s">
        <v>2921</v>
      </c>
    </row>
    <row r="394" spans="1:7" ht="15" customHeight="1" x14ac:dyDescent="0.3">
      <c r="A394" s="16">
        <v>387</v>
      </c>
      <c r="B394" s="10" t="s">
        <v>3004</v>
      </c>
      <c r="C394" s="10" t="s">
        <v>2961</v>
      </c>
      <c r="D394" s="10" t="s">
        <v>207</v>
      </c>
      <c r="E394" s="10" t="s">
        <v>224</v>
      </c>
      <c r="F394" s="16">
        <v>0</v>
      </c>
      <c r="G394" s="10" t="s">
        <v>2923</v>
      </c>
    </row>
    <row r="395" spans="1:7" ht="15" customHeight="1" x14ac:dyDescent="0.3">
      <c r="A395" s="16">
        <v>388</v>
      </c>
      <c r="B395" s="10" t="s">
        <v>3004</v>
      </c>
      <c r="C395" s="10" t="s">
        <v>2977</v>
      </c>
      <c r="D395" s="10" t="s">
        <v>220</v>
      </c>
      <c r="E395" s="10" t="s">
        <v>211</v>
      </c>
      <c r="F395" s="16">
        <v>0</v>
      </c>
      <c r="G395" s="10" t="s">
        <v>2925</v>
      </c>
    </row>
    <row r="396" spans="1:7" ht="15" customHeight="1" x14ac:dyDescent="0.3">
      <c r="A396" s="16">
        <v>389</v>
      </c>
      <c r="B396" s="10" t="s">
        <v>3004</v>
      </c>
      <c r="C396" s="10" t="s">
        <v>2943</v>
      </c>
      <c r="D396" s="10" t="s">
        <v>225</v>
      </c>
      <c r="E396" s="10" t="s">
        <v>202</v>
      </c>
      <c r="F396" s="16">
        <v>0</v>
      </c>
      <c r="G396" s="10" t="s">
        <v>2944</v>
      </c>
    </row>
    <row r="397" spans="1:7" ht="15" customHeight="1" x14ac:dyDescent="0.3">
      <c r="A397" s="16">
        <v>390</v>
      </c>
      <c r="B397" s="10" t="s">
        <v>3004</v>
      </c>
      <c r="C397" s="10" t="s">
        <v>2943</v>
      </c>
      <c r="D397" s="10" t="s">
        <v>222</v>
      </c>
      <c r="E397" s="10" t="s">
        <v>212</v>
      </c>
      <c r="F397" s="16">
        <v>0</v>
      </c>
      <c r="G397" s="10" t="s">
        <v>2922</v>
      </c>
    </row>
    <row r="398" spans="1:7" ht="15" customHeight="1" x14ac:dyDescent="0.3">
      <c r="A398" s="16">
        <v>391</v>
      </c>
      <c r="B398" s="10" t="s">
        <v>3004</v>
      </c>
      <c r="C398" s="10" t="s">
        <v>2908</v>
      </c>
      <c r="D398" s="10" t="s">
        <v>217</v>
      </c>
      <c r="E398" s="10" t="s">
        <v>197</v>
      </c>
      <c r="F398" s="16">
        <v>0</v>
      </c>
      <c r="G398" s="10" t="s">
        <v>2945</v>
      </c>
    </row>
    <row r="399" spans="1:7" ht="15" customHeight="1" x14ac:dyDescent="0.3">
      <c r="A399" s="16">
        <v>392</v>
      </c>
      <c r="B399" s="10" t="s">
        <v>3004</v>
      </c>
      <c r="C399" s="10" t="s">
        <v>2908</v>
      </c>
      <c r="D399" s="10" t="s">
        <v>223</v>
      </c>
      <c r="E399" s="10" t="s">
        <v>215</v>
      </c>
      <c r="F399" s="16">
        <v>0</v>
      </c>
      <c r="G399" s="10" t="s">
        <v>2926</v>
      </c>
    </row>
    <row r="400" spans="1:7" ht="15" customHeight="1" x14ac:dyDescent="0.3">
      <c r="A400" s="16">
        <v>393</v>
      </c>
      <c r="B400" s="10" t="s">
        <v>3004</v>
      </c>
      <c r="C400" s="10" t="s">
        <v>2924</v>
      </c>
      <c r="D400" s="10" t="s">
        <v>205</v>
      </c>
      <c r="E400" s="10" t="s">
        <v>199</v>
      </c>
      <c r="F400" s="16">
        <v>0</v>
      </c>
      <c r="G400" s="10" t="s">
        <v>2935</v>
      </c>
    </row>
    <row r="401" spans="1:7" ht="15" customHeight="1" x14ac:dyDescent="0.3">
      <c r="A401" s="16">
        <v>394</v>
      </c>
      <c r="B401" s="10" t="s">
        <v>3004</v>
      </c>
      <c r="C401" s="10" t="s">
        <v>2924</v>
      </c>
      <c r="D401" s="10" t="s">
        <v>206</v>
      </c>
      <c r="E401" s="10" t="s">
        <v>213</v>
      </c>
      <c r="F401" s="16">
        <v>0</v>
      </c>
      <c r="G401" s="10" t="s">
        <v>2938</v>
      </c>
    </row>
    <row r="402" spans="1:7" ht="15" customHeight="1" x14ac:dyDescent="0.3">
      <c r="A402" s="16">
        <v>395</v>
      </c>
      <c r="B402" s="10" t="s">
        <v>3005</v>
      </c>
      <c r="C402" s="10" t="s">
        <v>2913</v>
      </c>
      <c r="D402" s="10" t="s">
        <v>208</v>
      </c>
      <c r="E402" s="10" t="s">
        <v>210</v>
      </c>
      <c r="F402" s="16">
        <v>0</v>
      </c>
      <c r="G402" s="10" t="s">
        <v>2914</v>
      </c>
    </row>
    <row r="403" spans="1:7" ht="15" customHeight="1" x14ac:dyDescent="0.3">
      <c r="A403" s="16">
        <v>396</v>
      </c>
      <c r="B403" s="10" t="s">
        <v>3005</v>
      </c>
      <c r="C403" s="10" t="s">
        <v>2916</v>
      </c>
      <c r="D403" s="10" t="s">
        <v>204</v>
      </c>
      <c r="E403" s="10" t="s">
        <v>209</v>
      </c>
      <c r="F403" s="16">
        <v>0</v>
      </c>
      <c r="G403" s="10" t="s">
        <v>2917</v>
      </c>
    </row>
    <row r="404" spans="1:7" ht="15" customHeight="1" x14ac:dyDescent="0.3">
      <c r="A404" s="16">
        <v>397</v>
      </c>
      <c r="B404" s="10" t="s">
        <v>3005</v>
      </c>
      <c r="C404" s="10" t="s">
        <v>2908</v>
      </c>
      <c r="D404" s="10" t="s">
        <v>219</v>
      </c>
      <c r="E404" s="10" t="s">
        <v>200</v>
      </c>
      <c r="F404" s="16">
        <v>0</v>
      </c>
      <c r="G404" s="10" t="s">
        <v>2936</v>
      </c>
    </row>
    <row r="405" spans="1:7" ht="15" customHeight="1" x14ac:dyDescent="0.3">
      <c r="A405" s="16">
        <v>398</v>
      </c>
      <c r="B405" s="10" t="s">
        <v>3005</v>
      </c>
      <c r="C405" s="10" t="s">
        <v>2908</v>
      </c>
      <c r="D405" s="10" t="s">
        <v>216</v>
      </c>
      <c r="E405" s="10" t="s">
        <v>202</v>
      </c>
      <c r="F405" s="16">
        <v>0</v>
      </c>
      <c r="G405" s="10" t="s">
        <v>2944</v>
      </c>
    </row>
    <row r="406" spans="1:7" ht="15" customHeight="1" x14ac:dyDescent="0.3">
      <c r="A406" s="16">
        <v>399</v>
      </c>
      <c r="B406" s="10" t="s">
        <v>3005</v>
      </c>
      <c r="C406" s="10" t="s">
        <v>2908</v>
      </c>
      <c r="D406" s="10" t="s">
        <v>222</v>
      </c>
      <c r="E406" s="10" t="s">
        <v>218</v>
      </c>
      <c r="F406" s="16">
        <v>0</v>
      </c>
      <c r="G406" s="10" t="s">
        <v>2918</v>
      </c>
    </row>
    <row r="407" spans="1:7" ht="15" customHeight="1" x14ac:dyDescent="0.3">
      <c r="A407" s="16">
        <v>400</v>
      </c>
      <c r="B407" s="10" t="s">
        <v>3005</v>
      </c>
      <c r="C407" s="10" t="s">
        <v>2920</v>
      </c>
      <c r="D407" s="10" t="s">
        <v>221</v>
      </c>
      <c r="E407" s="10" t="s">
        <v>198</v>
      </c>
      <c r="F407" s="16">
        <v>0</v>
      </c>
      <c r="G407" s="10" t="s">
        <v>2921</v>
      </c>
    </row>
    <row r="408" spans="1:7" ht="15" customHeight="1" x14ac:dyDescent="0.3">
      <c r="A408" s="16">
        <v>401</v>
      </c>
      <c r="B408" s="10" t="s">
        <v>3005</v>
      </c>
      <c r="C408" s="10" t="s">
        <v>2920</v>
      </c>
      <c r="D408" s="10" t="s">
        <v>201</v>
      </c>
      <c r="E408" s="10" t="s">
        <v>212</v>
      </c>
      <c r="F408" s="16">
        <v>0</v>
      </c>
      <c r="G408" s="10" t="s">
        <v>2922</v>
      </c>
    </row>
    <row r="409" spans="1:7" ht="15" customHeight="1" x14ac:dyDescent="0.3">
      <c r="A409" s="16">
        <v>402</v>
      </c>
      <c r="B409" s="10" t="s">
        <v>3005</v>
      </c>
      <c r="C409" s="10" t="s">
        <v>2924</v>
      </c>
      <c r="D409" s="10" t="s">
        <v>220</v>
      </c>
      <c r="E409" s="10" t="s">
        <v>214</v>
      </c>
      <c r="F409" s="16">
        <v>0</v>
      </c>
      <c r="G409" s="10" t="s">
        <v>2952</v>
      </c>
    </row>
    <row r="410" spans="1:7" ht="15" customHeight="1" x14ac:dyDescent="0.3">
      <c r="A410" s="16">
        <v>403</v>
      </c>
      <c r="B410" s="10" t="s">
        <v>3005</v>
      </c>
      <c r="C410" s="10" t="s">
        <v>2924</v>
      </c>
      <c r="D410" s="10" t="s">
        <v>211</v>
      </c>
      <c r="E410" s="10" t="s">
        <v>215</v>
      </c>
      <c r="F410" s="16">
        <v>0</v>
      </c>
      <c r="G410" s="10" t="s">
        <v>2926</v>
      </c>
    </row>
    <row r="411" spans="1:7" ht="15" customHeight="1" x14ac:dyDescent="0.3">
      <c r="A411" s="16">
        <v>404</v>
      </c>
      <c r="B411" s="10" t="s">
        <v>3005</v>
      </c>
      <c r="C411" s="10" t="s">
        <v>2924</v>
      </c>
      <c r="D411" s="10" t="s">
        <v>213</v>
      </c>
      <c r="E411" s="10" t="s">
        <v>223</v>
      </c>
      <c r="F411" s="16">
        <v>0</v>
      </c>
      <c r="G411" s="10" t="s">
        <v>2911</v>
      </c>
    </row>
    <row r="412" spans="1:7" ht="15" customHeight="1" x14ac:dyDescent="0.3">
      <c r="A412" s="16">
        <v>405</v>
      </c>
      <c r="B412" s="10" t="s">
        <v>3006</v>
      </c>
      <c r="C412" s="10" t="s">
        <v>2916</v>
      </c>
      <c r="D412" s="10" t="s">
        <v>203</v>
      </c>
      <c r="E412" s="10" t="s">
        <v>206</v>
      </c>
      <c r="F412" s="16">
        <v>0</v>
      </c>
      <c r="G412" s="10" t="s">
        <v>2933</v>
      </c>
    </row>
    <row r="413" spans="1:7" ht="15" customHeight="1" x14ac:dyDescent="0.3">
      <c r="A413" s="16">
        <v>406</v>
      </c>
      <c r="B413" s="10" t="s">
        <v>3006</v>
      </c>
      <c r="C413" s="10" t="s">
        <v>2908</v>
      </c>
      <c r="D413" s="10" t="s">
        <v>224</v>
      </c>
      <c r="E413" s="10" t="s">
        <v>226</v>
      </c>
      <c r="F413" s="16">
        <v>0</v>
      </c>
      <c r="G413" s="10" t="s">
        <v>2919</v>
      </c>
    </row>
    <row r="414" spans="1:7" ht="15" customHeight="1" x14ac:dyDescent="0.3">
      <c r="A414" s="16">
        <v>407</v>
      </c>
      <c r="B414" s="10" t="s">
        <v>3006</v>
      </c>
      <c r="C414" s="10" t="s">
        <v>2924</v>
      </c>
      <c r="D414" s="10" t="s">
        <v>205</v>
      </c>
      <c r="E414" s="10" t="s">
        <v>217</v>
      </c>
      <c r="F414" s="16">
        <v>0</v>
      </c>
      <c r="G414" s="10" t="s">
        <v>2931</v>
      </c>
    </row>
    <row r="415" spans="1:7" ht="15" customHeight="1" x14ac:dyDescent="0.3">
      <c r="A415" s="16">
        <v>408</v>
      </c>
      <c r="B415" s="10" t="s">
        <v>3007</v>
      </c>
      <c r="C415" s="10" t="s">
        <v>2913</v>
      </c>
      <c r="D415" s="10" t="s">
        <v>204</v>
      </c>
      <c r="E415" s="10" t="s">
        <v>210</v>
      </c>
      <c r="F415" s="16">
        <v>0</v>
      </c>
      <c r="G415" s="10" t="s">
        <v>2914</v>
      </c>
    </row>
    <row r="416" spans="1:7" ht="15" customHeight="1" x14ac:dyDescent="0.3">
      <c r="A416" s="16">
        <v>409</v>
      </c>
      <c r="B416" s="10" t="s">
        <v>3007</v>
      </c>
      <c r="C416" s="10" t="s">
        <v>2913</v>
      </c>
      <c r="D416" s="10" t="s">
        <v>203</v>
      </c>
      <c r="E416" s="10" t="s">
        <v>222</v>
      </c>
      <c r="F416" s="16">
        <v>0</v>
      </c>
      <c r="G416" s="10" t="s">
        <v>2934</v>
      </c>
    </row>
    <row r="417" spans="1:7" ht="15" customHeight="1" x14ac:dyDescent="0.3">
      <c r="A417" s="16">
        <v>410</v>
      </c>
      <c r="B417" s="10" t="s">
        <v>3007</v>
      </c>
      <c r="C417" s="10" t="s">
        <v>2916</v>
      </c>
      <c r="D417" s="10" t="s">
        <v>206</v>
      </c>
      <c r="E417" s="10" t="s">
        <v>209</v>
      </c>
      <c r="F417" s="16">
        <v>0</v>
      </c>
      <c r="G417" s="10" t="s">
        <v>2917</v>
      </c>
    </row>
    <row r="418" spans="1:7" ht="15" customHeight="1" x14ac:dyDescent="0.3">
      <c r="A418" s="16">
        <v>411</v>
      </c>
      <c r="B418" s="10" t="s">
        <v>3007</v>
      </c>
      <c r="C418" s="10" t="s">
        <v>2908</v>
      </c>
      <c r="D418" s="10" t="s">
        <v>205</v>
      </c>
      <c r="E418" s="10" t="s">
        <v>197</v>
      </c>
      <c r="F418" s="16">
        <v>0</v>
      </c>
      <c r="G418" s="10" t="s">
        <v>2945</v>
      </c>
    </row>
    <row r="419" spans="1:7" ht="15" customHeight="1" x14ac:dyDescent="0.3">
      <c r="A419" s="16">
        <v>412</v>
      </c>
      <c r="B419" s="10" t="s">
        <v>3007</v>
      </c>
      <c r="C419" s="10" t="s">
        <v>2908</v>
      </c>
      <c r="D419" s="10" t="s">
        <v>200</v>
      </c>
      <c r="E419" s="10" t="s">
        <v>218</v>
      </c>
      <c r="F419" s="16">
        <v>0</v>
      </c>
      <c r="G419" s="10" t="s">
        <v>2918</v>
      </c>
    </row>
    <row r="420" spans="1:7" ht="15" customHeight="1" x14ac:dyDescent="0.3">
      <c r="A420" s="16">
        <v>413</v>
      </c>
      <c r="B420" s="10" t="s">
        <v>3007</v>
      </c>
      <c r="C420" s="10" t="s">
        <v>2908</v>
      </c>
      <c r="D420" s="10" t="s">
        <v>202</v>
      </c>
      <c r="E420" s="10" t="s">
        <v>226</v>
      </c>
      <c r="F420" s="16">
        <v>0</v>
      </c>
      <c r="G420" s="10" t="s">
        <v>2919</v>
      </c>
    </row>
    <row r="421" spans="1:7" ht="15" customHeight="1" x14ac:dyDescent="0.3">
      <c r="A421" s="16">
        <v>414</v>
      </c>
      <c r="B421" s="10" t="s">
        <v>3007</v>
      </c>
      <c r="C421" s="10" t="s">
        <v>2920</v>
      </c>
      <c r="D421" s="10" t="s">
        <v>223</v>
      </c>
      <c r="E421" s="10" t="s">
        <v>198</v>
      </c>
      <c r="F421" s="16">
        <v>0</v>
      </c>
      <c r="G421" s="10" t="s">
        <v>2921</v>
      </c>
    </row>
    <row r="422" spans="1:7" ht="15" customHeight="1" x14ac:dyDescent="0.3">
      <c r="A422" s="16">
        <v>415</v>
      </c>
      <c r="B422" s="10" t="s">
        <v>3007</v>
      </c>
      <c r="C422" s="10" t="s">
        <v>2920</v>
      </c>
      <c r="D422" s="10" t="s">
        <v>221</v>
      </c>
      <c r="E422" s="10" t="s">
        <v>199</v>
      </c>
      <c r="F422" s="16">
        <v>0</v>
      </c>
      <c r="G422" s="10" t="s">
        <v>2935</v>
      </c>
    </row>
    <row r="423" spans="1:7" ht="15" customHeight="1" x14ac:dyDescent="0.3">
      <c r="A423" s="16">
        <v>416</v>
      </c>
      <c r="B423" s="10" t="s">
        <v>3007</v>
      </c>
      <c r="C423" s="10" t="s">
        <v>2920</v>
      </c>
      <c r="D423" s="10" t="s">
        <v>201</v>
      </c>
      <c r="E423" s="10" t="s">
        <v>212</v>
      </c>
      <c r="F423" s="16">
        <v>0</v>
      </c>
      <c r="G423" s="10" t="s">
        <v>2922</v>
      </c>
    </row>
    <row r="424" spans="1:7" ht="15" customHeight="1" x14ac:dyDescent="0.3">
      <c r="A424" s="16">
        <v>417</v>
      </c>
      <c r="B424" s="10" t="s">
        <v>3007</v>
      </c>
      <c r="C424" s="10" t="s">
        <v>2920</v>
      </c>
      <c r="D424" s="10" t="s">
        <v>225</v>
      </c>
      <c r="E424" s="10" t="s">
        <v>216</v>
      </c>
      <c r="F424" s="16">
        <v>0</v>
      </c>
      <c r="G424" s="10" t="s">
        <v>2909</v>
      </c>
    </row>
    <row r="425" spans="1:7" ht="15" customHeight="1" x14ac:dyDescent="0.3">
      <c r="A425" s="16">
        <v>418</v>
      </c>
      <c r="B425" s="10" t="s">
        <v>3007</v>
      </c>
      <c r="C425" s="10" t="s">
        <v>2920</v>
      </c>
      <c r="D425" s="10" t="s">
        <v>207</v>
      </c>
      <c r="E425" s="10" t="s">
        <v>219</v>
      </c>
      <c r="F425" s="16">
        <v>0</v>
      </c>
      <c r="G425" s="10" t="s">
        <v>2930</v>
      </c>
    </row>
    <row r="426" spans="1:7" ht="15" customHeight="1" x14ac:dyDescent="0.3">
      <c r="A426" s="16">
        <v>419</v>
      </c>
      <c r="B426" s="10" t="s">
        <v>3007</v>
      </c>
      <c r="C426" s="10" t="s">
        <v>2924</v>
      </c>
      <c r="D426" s="10" t="s">
        <v>224</v>
      </c>
      <c r="E426" s="10" t="s">
        <v>211</v>
      </c>
      <c r="F426" s="16">
        <v>0</v>
      </c>
      <c r="G426" s="10" t="s">
        <v>2925</v>
      </c>
    </row>
    <row r="427" spans="1:7" ht="15" customHeight="1" x14ac:dyDescent="0.3">
      <c r="A427" s="16">
        <v>420</v>
      </c>
      <c r="B427" s="10" t="s">
        <v>3007</v>
      </c>
      <c r="C427" s="10" t="s">
        <v>2924</v>
      </c>
      <c r="D427" s="10" t="s">
        <v>214</v>
      </c>
      <c r="E427" s="10" t="s">
        <v>213</v>
      </c>
      <c r="F427" s="16">
        <v>0</v>
      </c>
      <c r="G427" s="10" t="s">
        <v>2938</v>
      </c>
    </row>
    <row r="428" spans="1:7" ht="15" customHeight="1" x14ac:dyDescent="0.3">
      <c r="A428" s="16">
        <v>421</v>
      </c>
      <c r="B428" s="10" t="s">
        <v>3007</v>
      </c>
      <c r="C428" s="10" t="s">
        <v>2924</v>
      </c>
      <c r="D428" s="10" t="s">
        <v>217</v>
      </c>
      <c r="E428" s="10" t="s">
        <v>215</v>
      </c>
      <c r="F428" s="16">
        <v>0</v>
      </c>
      <c r="G428" s="10" t="s">
        <v>2926</v>
      </c>
    </row>
    <row r="429" spans="1:7" ht="15" customHeight="1" x14ac:dyDescent="0.3">
      <c r="A429" s="16">
        <v>422</v>
      </c>
      <c r="B429" s="10" t="s">
        <v>3007</v>
      </c>
      <c r="C429" s="10" t="s">
        <v>2948</v>
      </c>
      <c r="D429" s="10" t="s">
        <v>208</v>
      </c>
      <c r="E429" s="10" t="s">
        <v>220</v>
      </c>
      <c r="F429" s="16">
        <v>0</v>
      </c>
      <c r="G429" s="10" t="s">
        <v>2942</v>
      </c>
    </row>
    <row r="430" spans="1:7" ht="15" customHeight="1" x14ac:dyDescent="0.3">
      <c r="A430" s="16">
        <v>423</v>
      </c>
      <c r="B430" s="10" t="s">
        <v>3008</v>
      </c>
      <c r="C430" s="10" t="s">
        <v>2916</v>
      </c>
      <c r="D430" s="10" t="s">
        <v>204</v>
      </c>
      <c r="E430" s="10" t="s">
        <v>206</v>
      </c>
      <c r="F430" s="16">
        <v>0</v>
      </c>
      <c r="G430" s="10" t="s">
        <v>2933</v>
      </c>
    </row>
    <row r="431" spans="1:7" ht="15" customHeight="1" x14ac:dyDescent="0.3">
      <c r="A431" s="16">
        <v>424</v>
      </c>
      <c r="B431" s="10" t="s">
        <v>3008</v>
      </c>
      <c r="C431" s="10" t="s">
        <v>3009</v>
      </c>
      <c r="D431" s="10" t="s">
        <v>223</v>
      </c>
      <c r="E431" s="10" t="s">
        <v>216</v>
      </c>
      <c r="F431" s="16">
        <v>0</v>
      </c>
      <c r="G431" s="10" t="s">
        <v>2909</v>
      </c>
    </row>
    <row r="432" spans="1:7" ht="15" customHeight="1" x14ac:dyDescent="0.3">
      <c r="A432" s="16">
        <v>425</v>
      </c>
      <c r="B432" s="10" t="s">
        <v>3008</v>
      </c>
      <c r="C432" s="10" t="s">
        <v>3010</v>
      </c>
      <c r="D432" s="10" t="s">
        <v>212</v>
      </c>
      <c r="E432" s="10" t="s">
        <v>199</v>
      </c>
      <c r="F432" s="16">
        <v>0</v>
      </c>
      <c r="G432" s="10" t="s">
        <v>2935</v>
      </c>
    </row>
    <row r="433" spans="1:7" ht="15" customHeight="1" x14ac:dyDescent="0.3">
      <c r="A433" s="16">
        <v>426</v>
      </c>
      <c r="B433" s="10" t="s">
        <v>3008</v>
      </c>
      <c r="C433" s="10" t="s">
        <v>2951</v>
      </c>
      <c r="D433" s="10" t="s">
        <v>219</v>
      </c>
      <c r="E433" s="10" t="s">
        <v>210</v>
      </c>
      <c r="F433" s="16">
        <v>0</v>
      </c>
      <c r="G433" s="10" t="s">
        <v>2914</v>
      </c>
    </row>
    <row r="434" spans="1:7" ht="15" customHeight="1" x14ac:dyDescent="0.3">
      <c r="A434" s="16">
        <v>427</v>
      </c>
      <c r="B434" s="10" t="s">
        <v>3008</v>
      </c>
      <c r="C434" s="10" t="s">
        <v>2924</v>
      </c>
      <c r="D434" s="10" t="s">
        <v>217</v>
      </c>
      <c r="E434" s="10" t="s">
        <v>214</v>
      </c>
      <c r="F434" s="16">
        <v>0</v>
      </c>
      <c r="G434" s="10" t="s">
        <v>2952</v>
      </c>
    </row>
    <row r="435" spans="1:7" ht="15" customHeight="1" x14ac:dyDescent="0.3">
      <c r="A435" s="16">
        <v>428</v>
      </c>
      <c r="B435" s="10" t="s">
        <v>3011</v>
      </c>
      <c r="C435" s="10" t="s">
        <v>2916</v>
      </c>
      <c r="D435" s="10" t="s">
        <v>211</v>
      </c>
      <c r="E435" s="10" t="s">
        <v>209</v>
      </c>
      <c r="F435" s="16">
        <v>0</v>
      </c>
      <c r="G435" s="10" t="s">
        <v>2917</v>
      </c>
    </row>
    <row r="436" spans="1:7" ht="15" customHeight="1" x14ac:dyDescent="0.3">
      <c r="A436" s="16">
        <v>429</v>
      </c>
      <c r="B436" s="10" t="s">
        <v>3011</v>
      </c>
      <c r="C436" s="10" t="s">
        <v>2976</v>
      </c>
      <c r="D436" s="10" t="s">
        <v>221</v>
      </c>
      <c r="E436" s="10" t="s">
        <v>226</v>
      </c>
      <c r="F436" s="16">
        <v>0</v>
      </c>
      <c r="G436" s="10" t="s">
        <v>2919</v>
      </c>
    </row>
    <row r="437" spans="1:7" ht="15" customHeight="1" x14ac:dyDescent="0.3">
      <c r="A437" s="16">
        <v>430</v>
      </c>
      <c r="B437" s="10" t="s">
        <v>3011</v>
      </c>
      <c r="C437" s="10" t="s">
        <v>2961</v>
      </c>
      <c r="D437" s="10" t="s">
        <v>200</v>
      </c>
      <c r="E437" s="10" t="s">
        <v>197</v>
      </c>
      <c r="F437" s="16">
        <v>0</v>
      </c>
      <c r="G437" s="10" t="s">
        <v>2945</v>
      </c>
    </row>
    <row r="438" spans="1:7" ht="15" customHeight="1" x14ac:dyDescent="0.3">
      <c r="A438" s="16">
        <v>431</v>
      </c>
      <c r="B438" s="10" t="s">
        <v>3011</v>
      </c>
      <c r="C438" s="10" t="s">
        <v>2951</v>
      </c>
      <c r="D438" s="10" t="s">
        <v>208</v>
      </c>
      <c r="E438" s="10" t="s">
        <v>225</v>
      </c>
      <c r="F438" s="16">
        <v>0</v>
      </c>
      <c r="G438" s="10" t="s">
        <v>2940</v>
      </c>
    </row>
    <row r="439" spans="1:7" ht="15" customHeight="1" x14ac:dyDescent="0.3">
      <c r="A439" s="16">
        <v>432</v>
      </c>
      <c r="B439" s="10" t="s">
        <v>3011</v>
      </c>
      <c r="C439" s="10" t="s">
        <v>2943</v>
      </c>
      <c r="D439" s="10" t="s">
        <v>215</v>
      </c>
      <c r="E439" s="10" t="s">
        <v>198</v>
      </c>
      <c r="F439" s="16">
        <v>0</v>
      </c>
      <c r="G439" s="10" t="s">
        <v>2921</v>
      </c>
    </row>
    <row r="440" spans="1:7" ht="15" customHeight="1" x14ac:dyDescent="0.3">
      <c r="A440" s="16">
        <v>433</v>
      </c>
      <c r="B440" s="10" t="s">
        <v>3011</v>
      </c>
      <c r="C440" s="10" t="s">
        <v>2908</v>
      </c>
      <c r="D440" s="10" t="s">
        <v>224</v>
      </c>
      <c r="E440" s="10" t="s">
        <v>218</v>
      </c>
      <c r="F440" s="16">
        <v>0</v>
      </c>
      <c r="G440" s="10" t="s">
        <v>2918</v>
      </c>
    </row>
    <row r="441" spans="1:7" ht="15" customHeight="1" x14ac:dyDescent="0.3">
      <c r="A441" s="16">
        <v>434</v>
      </c>
      <c r="B441" s="10" t="s">
        <v>3011</v>
      </c>
      <c r="C441" s="10" t="s">
        <v>2924</v>
      </c>
      <c r="D441" s="10" t="s">
        <v>205</v>
      </c>
      <c r="E441" s="10" t="s">
        <v>201</v>
      </c>
      <c r="F441" s="16">
        <v>0</v>
      </c>
      <c r="G441" s="10" t="s">
        <v>2946</v>
      </c>
    </row>
    <row r="442" spans="1:7" ht="15" customHeight="1" x14ac:dyDescent="0.3">
      <c r="A442" s="16">
        <v>435</v>
      </c>
      <c r="B442" s="10" t="s">
        <v>3011</v>
      </c>
      <c r="C442" s="10" t="s">
        <v>2924</v>
      </c>
      <c r="D442" s="10" t="s">
        <v>220</v>
      </c>
      <c r="E442" s="10" t="s">
        <v>203</v>
      </c>
      <c r="F442" s="16">
        <v>0</v>
      </c>
      <c r="G442" s="10" t="s">
        <v>2947</v>
      </c>
    </row>
    <row r="443" spans="1:7" ht="15" customHeight="1" x14ac:dyDescent="0.3">
      <c r="A443" s="16">
        <v>436</v>
      </c>
      <c r="B443" s="10" t="s">
        <v>3012</v>
      </c>
      <c r="C443" s="10" t="s">
        <v>2961</v>
      </c>
      <c r="D443" s="10" t="s">
        <v>217</v>
      </c>
      <c r="E443" s="10" t="s">
        <v>207</v>
      </c>
      <c r="F443" s="16">
        <v>0</v>
      </c>
      <c r="G443" s="10" t="s">
        <v>2928</v>
      </c>
    </row>
    <row r="444" spans="1:7" ht="15" customHeight="1" x14ac:dyDescent="0.3">
      <c r="A444" s="16">
        <v>437</v>
      </c>
      <c r="B444" s="10" t="s">
        <v>3012</v>
      </c>
      <c r="C444" s="10" t="s">
        <v>2943</v>
      </c>
      <c r="D444" s="10" t="s">
        <v>226</v>
      </c>
      <c r="E444" s="10" t="s">
        <v>202</v>
      </c>
      <c r="F444" s="16">
        <v>0</v>
      </c>
      <c r="G444" s="10" t="s">
        <v>2944</v>
      </c>
    </row>
    <row r="445" spans="1:7" ht="15" customHeight="1" x14ac:dyDescent="0.3">
      <c r="A445" s="16">
        <v>438</v>
      </c>
      <c r="B445" s="10" t="s">
        <v>3012</v>
      </c>
      <c r="C445" s="10" t="s">
        <v>2943</v>
      </c>
      <c r="D445" s="10" t="s">
        <v>200</v>
      </c>
      <c r="E445" s="10" t="s">
        <v>212</v>
      </c>
      <c r="F445" s="16">
        <v>0</v>
      </c>
      <c r="G445" s="10" t="s">
        <v>2922</v>
      </c>
    </row>
    <row r="446" spans="1:7" ht="15" customHeight="1" x14ac:dyDescent="0.3">
      <c r="A446" s="16">
        <v>439</v>
      </c>
      <c r="B446" s="10" t="s">
        <v>3012</v>
      </c>
      <c r="C446" s="10" t="s">
        <v>2943</v>
      </c>
      <c r="D446" s="10" t="s">
        <v>198</v>
      </c>
      <c r="E446" s="10" t="s">
        <v>216</v>
      </c>
      <c r="F446" s="16">
        <v>0</v>
      </c>
      <c r="G446" s="10" t="s">
        <v>2909</v>
      </c>
    </row>
    <row r="447" spans="1:7" ht="15" customHeight="1" x14ac:dyDescent="0.3">
      <c r="A447" s="16">
        <v>440</v>
      </c>
      <c r="B447" s="10" t="s">
        <v>3012</v>
      </c>
      <c r="C447" s="10" t="s">
        <v>2943</v>
      </c>
      <c r="D447" s="10" t="s">
        <v>213</v>
      </c>
      <c r="E447" s="10" t="s">
        <v>218</v>
      </c>
      <c r="F447" s="16">
        <v>0</v>
      </c>
      <c r="G447" s="10" t="s">
        <v>2918</v>
      </c>
    </row>
    <row r="448" spans="1:7" ht="15" customHeight="1" x14ac:dyDescent="0.3">
      <c r="A448" s="16">
        <v>441</v>
      </c>
      <c r="B448" s="10" t="s">
        <v>3012</v>
      </c>
      <c r="C448" s="10" t="s">
        <v>2943</v>
      </c>
      <c r="D448" s="10" t="s">
        <v>225</v>
      </c>
      <c r="E448" s="10" t="s">
        <v>222</v>
      </c>
      <c r="F448" s="16">
        <v>0</v>
      </c>
      <c r="G448" s="10" t="s">
        <v>2934</v>
      </c>
    </row>
    <row r="449" spans="1:7" ht="15" customHeight="1" x14ac:dyDescent="0.3">
      <c r="A449" s="16">
        <v>442</v>
      </c>
      <c r="B449" s="10" t="s">
        <v>3012</v>
      </c>
      <c r="C449" s="10" t="s">
        <v>2908</v>
      </c>
      <c r="D449" s="10" t="s">
        <v>221</v>
      </c>
      <c r="E449" s="10" t="s">
        <v>205</v>
      </c>
      <c r="F449" s="16">
        <v>0</v>
      </c>
      <c r="G449" s="10" t="s">
        <v>2907</v>
      </c>
    </row>
    <row r="450" spans="1:7" ht="15" customHeight="1" x14ac:dyDescent="0.3">
      <c r="A450" s="16">
        <v>443</v>
      </c>
      <c r="B450" s="10" t="s">
        <v>3012</v>
      </c>
      <c r="C450" s="10" t="s">
        <v>2908</v>
      </c>
      <c r="D450" s="10" t="s">
        <v>197</v>
      </c>
      <c r="E450" s="10" t="s">
        <v>223</v>
      </c>
      <c r="F450" s="16">
        <v>0</v>
      </c>
      <c r="G450" s="10" t="s">
        <v>2911</v>
      </c>
    </row>
    <row r="451" spans="1:7" ht="15" customHeight="1" x14ac:dyDescent="0.3">
      <c r="A451" s="16">
        <v>444</v>
      </c>
      <c r="B451" s="10" t="s">
        <v>3012</v>
      </c>
      <c r="C451" s="10" t="s">
        <v>2924</v>
      </c>
      <c r="D451" s="10" t="s">
        <v>208</v>
      </c>
      <c r="E451" s="10" t="s">
        <v>204</v>
      </c>
      <c r="F451" s="16">
        <v>0</v>
      </c>
      <c r="G451" s="10" t="s">
        <v>2949</v>
      </c>
    </row>
    <row r="452" spans="1:7" ht="15" customHeight="1" x14ac:dyDescent="0.3">
      <c r="A452" s="16">
        <v>445</v>
      </c>
      <c r="B452" s="10" t="s">
        <v>3012</v>
      </c>
      <c r="C452" s="10" t="s">
        <v>2927</v>
      </c>
      <c r="D452" s="10" t="s">
        <v>214</v>
      </c>
      <c r="E452" s="10" t="s">
        <v>206</v>
      </c>
      <c r="F452" s="16">
        <v>0</v>
      </c>
      <c r="G452" s="10" t="s">
        <v>2933</v>
      </c>
    </row>
    <row r="453" spans="1:7" ht="15" customHeight="1" x14ac:dyDescent="0.3">
      <c r="A453" s="16">
        <v>446</v>
      </c>
      <c r="B453" s="10" t="s">
        <v>3012</v>
      </c>
      <c r="C453" s="10" t="s">
        <v>2948</v>
      </c>
      <c r="D453" s="10" t="s">
        <v>219</v>
      </c>
      <c r="E453" s="10" t="s">
        <v>209</v>
      </c>
      <c r="F453" s="16">
        <v>0</v>
      </c>
      <c r="G453" s="10" t="s">
        <v>2917</v>
      </c>
    </row>
    <row r="454" spans="1:7" ht="15" customHeight="1" x14ac:dyDescent="0.3">
      <c r="A454" s="16">
        <v>447</v>
      </c>
      <c r="B454" s="10" t="s">
        <v>3012</v>
      </c>
      <c r="C454" s="10" t="s">
        <v>2948</v>
      </c>
      <c r="D454" s="10" t="s">
        <v>211</v>
      </c>
      <c r="E454" s="10" t="s">
        <v>210</v>
      </c>
      <c r="F454" s="16">
        <v>0</v>
      </c>
      <c r="G454" s="10" t="s">
        <v>2914</v>
      </c>
    </row>
    <row r="455" spans="1:7" ht="15" customHeight="1" x14ac:dyDescent="0.3">
      <c r="A455" s="16">
        <v>448</v>
      </c>
      <c r="B455" s="10" t="s">
        <v>3013</v>
      </c>
      <c r="C455" s="10" t="s">
        <v>2916</v>
      </c>
      <c r="D455" s="10" t="s">
        <v>214</v>
      </c>
      <c r="E455" s="10" t="s">
        <v>204</v>
      </c>
      <c r="F455" s="16">
        <v>0</v>
      </c>
      <c r="G455" s="10" t="s">
        <v>2949</v>
      </c>
    </row>
    <row r="456" spans="1:7" ht="15" customHeight="1" x14ac:dyDescent="0.3">
      <c r="A456" s="16">
        <v>449</v>
      </c>
      <c r="B456" s="10" t="s">
        <v>3013</v>
      </c>
      <c r="C456" s="10" t="s">
        <v>2920</v>
      </c>
      <c r="D456" s="10" t="s">
        <v>215</v>
      </c>
      <c r="E456" s="10" t="s">
        <v>224</v>
      </c>
      <c r="F456" s="16">
        <v>0</v>
      </c>
      <c r="G456" s="10" t="s">
        <v>2923</v>
      </c>
    </row>
    <row r="457" spans="1:7" ht="15" customHeight="1" x14ac:dyDescent="0.3">
      <c r="A457" s="16">
        <v>450</v>
      </c>
      <c r="B457" s="10" t="s">
        <v>3013</v>
      </c>
      <c r="C457" s="10" t="s">
        <v>2924</v>
      </c>
      <c r="D457" s="10" t="s">
        <v>202</v>
      </c>
      <c r="E457" s="10" t="s">
        <v>199</v>
      </c>
      <c r="F457" s="16">
        <v>0</v>
      </c>
      <c r="G457" s="10" t="s">
        <v>2935</v>
      </c>
    </row>
    <row r="458" spans="1:7" ht="15" customHeight="1" x14ac:dyDescent="0.3">
      <c r="A458" s="16">
        <v>451</v>
      </c>
      <c r="B458" s="10" t="s">
        <v>3013</v>
      </c>
      <c r="C458" s="10" t="s">
        <v>2948</v>
      </c>
      <c r="D458" s="10" t="s">
        <v>206</v>
      </c>
      <c r="E458" s="10" t="s">
        <v>220</v>
      </c>
      <c r="F458" s="16">
        <v>0</v>
      </c>
      <c r="G458" s="10" t="s">
        <v>2942</v>
      </c>
    </row>
    <row r="459" spans="1:7" ht="15" customHeight="1" x14ac:dyDescent="0.3">
      <c r="A459" s="16">
        <v>452</v>
      </c>
      <c r="B459" s="10" t="s">
        <v>3014</v>
      </c>
      <c r="C459" s="10" t="s">
        <v>2913</v>
      </c>
      <c r="D459" s="10" t="s">
        <v>198</v>
      </c>
      <c r="E459" s="10" t="s">
        <v>221</v>
      </c>
      <c r="F459" s="16">
        <v>0</v>
      </c>
      <c r="G459" s="10" t="s">
        <v>2915</v>
      </c>
    </row>
    <row r="460" spans="1:7" ht="15" customHeight="1" x14ac:dyDescent="0.3">
      <c r="A460" s="16">
        <v>453</v>
      </c>
      <c r="B460" s="10" t="s">
        <v>3014</v>
      </c>
      <c r="C460" s="10" t="s">
        <v>2913</v>
      </c>
      <c r="D460" s="10" t="s">
        <v>219</v>
      </c>
      <c r="E460" s="10" t="s">
        <v>222</v>
      </c>
      <c r="F460" s="16">
        <v>0</v>
      </c>
      <c r="G460" s="10" t="s">
        <v>2934</v>
      </c>
    </row>
    <row r="461" spans="1:7" ht="15" customHeight="1" x14ac:dyDescent="0.3">
      <c r="A461" s="16">
        <v>454</v>
      </c>
      <c r="B461" s="10" t="s">
        <v>3014</v>
      </c>
      <c r="C461" s="10" t="s">
        <v>2916</v>
      </c>
      <c r="D461" s="10" t="s">
        <v>207</v>
      </c>
      <c r="E461" s="10" t="s">
        <v>210</v>
      </c>
      <c r="F461" s="16">
        <v>0</v>
      </c>
      <c r="G461" s="10" t="s">
        <v>2914</v>
      </c>
    </row>
    <row r="462" spans="1:7" ht="15" customHeight="1" x14ac:dyDescent="0.3">
      <c r="A462" s="16">
        <v>455</v>
      </c>
      <c r="B462" s="10" t="s">
        <v>3014</v>
      </c>
      <c r="C462" s="10" t="s">
        <v>2908</v>
      </c>
      <c r="D462" s="10" t="s">
        <v>201</v>
      </c>
      <c r="E462" s="10" t="s">
        <v>197</v>
      </c>
      <c r="F462" s="16">
        <v>0</v>
      </c>
      <c r="G462" s="10" t="s">
        <v>2945</v>
      </c>
    </row>
    <row r="463" spans="1:7" ht="15" customHeight="1" x14ac:dyDescent="0.3">
      <c r="A463" s="16">
        <v>456</v>
      </c>
      <c r="B463" s="10" t="s">
        <v>3014</v>
      </c>
      <c r="C463" s="10" t="s">
        <v>2908</v>
      </c>
      <c r="D463" s="10" t="s">
        <v>218</v>
      </c>
      <c r="E463" s="10" t="s">
        <v>200</v>
      </c>
      <c r="F463" s="16">
        <v>0</v>
      </c>
      <c r="G463" s="10" t="s">
        <v>2936</v>
      </c>
    </row>
    <row r="464" spans="1:7" ht="15" customHeight="1" x14ac:dyDescent="0.3">
      <c r="A464" s="16">
        <v>457</v>
      </c>
      <c r="B464" s="10" t="s">
        <v>3014</v>
      </c>
      <c r="C464" s="10" t="s">
        <v>2908</v>
      </c>
      <c r="D464" s="10" t="s">
        <v>209</v>
      </c>
      <c r="E464" s="10" t="s">
        <v>208</v>
      </c>
      <c r="F464" s="16">
        <v>0</v>
      </c>
      <c r="G464" s="10" t="s">
        <v>2937</v>
      </c>
    </row>
    <row r="465" spans="1:7" ht="15" customHeight="1" x14ac:dyDescent="0.3">
      <c r="A465" s="16">
        <v>458</v>
      </c>
      <c r="B465" s="10" t="s">
        <v>3014</v>
      </c>
      <c r="C465" s="10" t="s">
        <v>2924</v>
      </c>
      <c r="D465" s="10" t="s">
        <v>212</v>
      </c>
      <c r="E465" s="10" t="s">
        <v>203</v>
      </c>
      <c r="F465" s="16">
        <v>0</v>
      </c>
      <c r="G465" s="10" t="s">
        <v>2947</v>
      </c>
    </row>
    <row r="466" spans="1:7" ht="15" customHeight="1" x14ac:dyDescent="0.3">
      <c r="A466" s="16">
        <v>459</v>
      </c>
      <c r="B466" s="10" t="s">
        <v>3014</v>
      </c>
      <c r="C466" s="10" t="s">
        <v>2924</v>
      </c>
      <c r="D466" s="10" t="s">
        <v>223</v>
      </c>
      <c r="E466" s="10" t="s">
        <v>211</v>
      </c>
      <c r="F466" s="16">
        <v>0</v>
      </c>
      <c r="G466" s="10" t="s">
        <v>2925</v>
      </c>
    </row>
    <row r="467" spans="1:7" ht="15" customHeight="1" x14ac:dyDescent="0.3">
      <c r="A467" s="16">
        <v>460</v>
      </c>
      <c r="B467" s="10" t="s">
        <v>3014</v>
      </c>
      <c r="C467" s="10" t="s">
        <v>2924</v>
      </c>
      <c r="D467" s="10" t="s">
        <v>213</v>
      </c>
      <c r="E467" s="10" t="s">
        <v>217</v>
      </c>
      <c r="F467" s="16">
        <v>0</v>
      </c>
      <c r="G467" s="10" t="s">
        <v>2931</v>
      </c>
    </row>
    <row r="468" spans="1:7" ht="15" customHeight="1" x14ac:dyDescent="0.3">
      <c r="A468" s="16">
        <v>461</v>
      </c>
      <c r="B468" s="10" t="s">
        <v>3015</v>
      </c>
      <c r="C468" s="10" t="s">
        <v>2913</v>
      </c>
      <c r="D468" s="10" t="s">
        <v>207</v>
      </c>
      <c r="E468" s="10" t="s">
        <v>206</v>
      </c>
      <c r="F468" s="16">
        <v>0</v>
      </c>
      <c r="G468" s="10" t="s">
        <v>2933</v>
      </c>
    </row>
    <row r="469" spans="1:7" ht="15" customHeight="1" x14ac:dyDescent="0.3">
      <c r="A469" s="16">
        <v>462</v>
      </c>
      <c r="B469" s="10" t="s">
        <v>3015</v>
      </c>
      <c r="C469" s="10" t="s">
        <v>2908</v>
      </c>
      <c r="D469" s="10" t="s">
        <v>215</v>
      </c>
      <c r="E469" s="10" t="s">
        <v>205</v>
      </c>
      <c r="F469" s="16">
        <v>0</v>
      </c>
      <c r="G469" s="10" t="s">
        <v>2907</v>
      </c>
    </row>
    <row r="470" spans="1:7" ht="15" customHeight="1" x14ac:dyDescent="0.3">
      <c r="A470" s="16">
        <v>463</v>
      </c>
      <c r="B470" s="10" t="s">
        <v>3015</v>
      </c>
      <c r="C470" s="10" t="s">
        <v>2920</v>
      </c>
      <c r="D470" s="10" t="s">
        <v>226</v>
      </c>
      <c r="E470" s="10" t="s">
        <v>224</v>
      </c>
      <c r="F470" s="16">
        <v>0</v>
      </c>
      <c r="G470" s="10" t="s">
        <v>2923</v>
      </c>
    </row>
    <row r="471" spans="1:7" ht="15" customHeight="1" x14ac:dyDescent="0.3">
      <c r="A471" s="16">
        <v>464</v>
      </c>
      <c r="B471" s="10" t="s">
        <v>3015</v>
      </c>
      <c r="C471" s="10" t="s">
        <v>2924</v>
      </c>
      <c r="D471" s="10" t="s">
        <v>199</v>
      </c>
      <c r="E471" s="10" t="s">
        <v>201</v>
      </c>
      <c r="F471" s="16">
        <v>0</v>
      </c>
      <c r="G471" s="10" t="s">
        <v>2946</v>
      </c>
    </row>
    <row r="472" spans="1:7" ht="15" customHeight="1" x14ac:dyDescent="0.3">
      <c r="A472" s="16">
        <v>465</v>
      </c>
      <c r="B472" s="10" t="s">
        <v>3015</v>
      </c>
      <c r="C472" s="10" t="s">
        <v>2948</v>
      </c>
      <c r="D472" s="10" t="s">
        <v>219</v>
      </c>
      <c r="E472" s="10" t="s">
        <v>220</v>
      </c>
      <c r="F472" s="16">
        <v>0</v>
      </c>
      <c r="G472" s="10" t="s">
        <v>2942</v>
      </c>
    </row>
    <row r="473" spans="1:7" ht="15" customHeight="1" x14ac:dyDescent="0.3">
      <c r="A473" s="16">
        <v>466</v>
      </c>
      <c r="B473" s="10" t="s">
        <v>3015</v>
      </c>
      <c r="C473" s="10" t="s">
        <v>2948</v>
      </c>
      <c r="D473" s="10" t="s">
        <v>216</v>
      </c>
      <c r="E473" s="10" t="s">
        <v>225</v>
      </c>
      <c r="F473" s="16">
        <v>0</v>
      </c>
      <c r="G473" s="10" t="s">
        <v>2940</v>
      </c>
    </row>
    <row r="474" spans="1:7" ht="15" customHeight="1" x14ac:dyDescent="0.3">
      <c r="A474" s="16">
        <v>467</v>
      </c>
      <c r="B474" s="10" t="s">
        <v>3016</v>
      </c>
      <c r="C474" s="10" t="s">
        <v>2976</v>
      </c>
      <c r="D474" s="10" t="s">
        <v>223</v>
      </c>
      <c r="E474" s="10" t="s">
        <v>200</v>
      </c>
      <c r="F474" s="16">
        <v>0</v>
      </c>
      <c r="G474" s="10" t="s">
        <v>2936</v>
      </c>
    </row>
    <row r="475" spans="1:7" ht="15" customHeight="1" x14ac:dyDescent="0.3">
      <c r="A475" s="16">
        <v>468</v>
      </c>
      <c r="B475" s="10" t="s">
        <v>3016</v>
      </c>
      <c r="C475" s="10" t="s">
        <v>2906</v>
      </c>
      <c r="D475" s="10" t="s">
        <v>213</v>
      </c>
      <c r="E475" s="10" t="s">
        <v>197</v>
      </c>
      <c r="F475" s="16">
        <v>0</v>
      </c>
      <c r="G475" s="10" t="s">
        <v>2945</v>
      </c>
    </row>
    <row r="476" spans="1:7" ht="15" customHeight="1" x14ac:dyDescent="0.3">
      <c r="A476" s="16">
        <v>469</v>
      </c>
      <c r="B476" s="10" t="s">
        <v>3016</v>
      </c>
      <c r="C476" s="10" t="s">
        <v>2906</v>
      </c>
      <c r="D476" s="10" t="s">
        <v>209</v>
      </c>
      <c r="E476" s="10" t="s">
        <v>202</v>
      </c>
      <c r="F476" s="16">
        <v>0</v>
      </c>
      <c r="G476" s="10" t="s">
        <v>2944</v>
      </c>
    </row>
    <row r="477" spans="1:7" ht="15" customHeight="1" x14ac:dyDescent="0.3">
      <c r="A477" s="16">
        <v>470</v>
      </c>
      <c r="B477" s="10" t="s">
        <v>3016</v>
      </c>
      <c r="C477" s="10" t="s">
        <v>2906</v>
      </c>
      <c r="D477" s="10" t="s">
        <v>218</v>
      </c>
      <c r="E477" s="10" t="s">
        <v>208</v>
      </c>
      <c r="F477" s="16">
        <v>0</v>
      </c>
      <c r="G477" s="10" t="s">
        <v>2937</v>
      </c>
    </row>
    <row r="478" spans="1:7" ht="15" customHeight="1" x14ac:dyDescent="0.3">
      <c r="A478" s="16">
        <v>471</v>
      </c>
      <c r="B478" s="10" t="s">
        <v>3016</v>
      </c>
      <c r="C478" s="10" t="s">
        <v>2977</v>
      </c>
      <c r="D478" s="10" t="s">
        <v>204</v>
      </c>
      <c r="E478" s="10" t="s">
        <v>214</v>
      </c>
      <c r="F478" s="16">
        <v>0</v>
      </c>
      <c r="G478" s="10" t="s">
        <v>2952</v>
      </c>
    </row>
    <row r="479" spans="1:7" ht="15" customHeight="1" x14ac:dyDescent="0.3">
      <c r="A479" s="16">
        <v>472</v>
      </c>
      <c r="B479" s="10" t="s">
        <v>3016</v>
      </c>
      <c r="C479" s="10" t="s">
        <v>2943</v>
      </c>
      <c r="D479" s="10" t="s">
        <v>198</v>
      </c>
      <c r="E479" s="10" t="s">
        <v>222</v>
      </c>
      <c r="F479" s="16">
        <v>0</v>
      </c>
      <c r="G479" s="10" t="s">
        <v>2934</v>
      </c>
    </row>
    <row r="480" spans="1:7" ht="15" customHeight="1" x14ac:dyDescent="0.3">
      <c r="A480" s="16">
        <v>473</v>
      </c>
      <c r="B480" s="10" t="s">
        <v>3016</v>
      </c>
      <c r="C480" s="10" t="s">
        <v>2924</v>
      </c>
      <c r="D480" s="10" t="s">
        <v>210</v>
      </c>
      <c r="E480" s="10" t="s">
        <v>215</v>
      </c>
      <c r="F480" s="16">
        <v>0</v>
      </c>
      <c r="G480" s="10" t="s">
        <v>2926</v>
      </c>
    </row>
    <row r="481" spans="1:7" ht="15" customHeight="1" x14ac:dyDescent="0.3">
      <c r="A481" s="16">
        <v>474</v>
      </c>
      <c r="B481" s="10" t="s">
        <v>3016</v>
      </c>
      <c r="C481" s="10" t="s">
        <v>2924</v>
      </c>
      <c r="D481" s="10" t="s">
        <v>212</v>
      </c>
      <c r="E481" s="10" t="s">
        <v>217</v>
      </c>
      <c r="F481" s="16">
        <v>0</v>
      </c>
      <c r="G481" s="10" t="s">
        <v>2931</v>
      </c>
    </row>
    <row r="482" spans="1:7" ht="15" customHeight="1" x14ac:dyDescent="0.3">
      <c r="A482" s="16">
        <v>475</v>
      </c>
      <c r="B482" s="10" t="s">
        <v>3016</v>
      </c>
      <c r="C482" s="10" t="s">
        <v>2948</v>
      </c>
      <c r="D482" s="10" t="s">
        <v>216</v>
      </c>
      <c r="E482" s="10" t="s">
        <v>220</v>
      </c>
      <c r="F482" s="16">
        <v>0</v>
      </c>
      <c r="G482" s="10" t="s">
        <v>2942</v>
      </c>
    </row>
    <row r="483" spans="1:7" ht="15" customHeight="1" x14ac:dyDescent="0.3">
      <c r="A483" s="16">
        <v>476</v>
      </c>
      <c r="B483" s="10" t="s">
        <v>3017</v>
      </c>
      <c r="C483" s="10" t="s">
        <v>2951</v>
      </c>
      <c r="D483" s="10" t="s">
        <v>223</v>
      </c>
      <c r="E483" s="10" t="s">
        <v>226</v>
      </c>
      <c r="F483" s="16">
        <v>0</v>
      </c>
      <c r="G483" s="10" t="s">
        <v>2919</v>
      </c>
    </row>
    <row r="484" spans="1:7" ht="15" customHeight="1" x14ac:dyDescent="0.3">
      <c r="A484" s="16">
        <v>477</v>
      </c>
      <c r="B484" s="10" t="s">
        <v>3017</v>
      </c>
      <c r="C484" s="10" t="s">
        <v>2920</v>
      </c>
      <c r="D484" s="10" t="s">
        <v>218</v>
      </c>
      <c r="E484" s="10" t="s">
        <v>205</v>
      </c>
      <c r="F484" s="16">
        <v>0</v>
      </c>
      <c r="G484" s="10" t="s">
        <v>2907</v>
      </c>
    </row>
    <row r="485" spans="1:7" ht="15" customHeight="1" x14ac:dyDescent="0.3">
      <c r="A485" s="16">
        <v>478</v>
      </c>
      <c r="B485" s="10" t="s">
        <v>3017</v>
      </c>
      <c r="C485" s="10" t="s">
        <v>2920</v>
      </c>
      <c r="D485" s="10" t="s">
        <v>209</v>
      </c>
      <c r="E485" s="10" t="s">
        <v>224</v>
      </c>
      <c r="F485" s="16">
        <v>0</v>
      </c>
      <c r="G485" s="10" t="s">
        <v>2923</v>
      </c>
    </row>
    <row r="486" spans="1:7" ht="15" customHeight="1" x14ac:dyDescent="0.3">
      <c r="A486" s="16">
        <v>479</v>
      </c>
      <c r="B486" s="10" t="s">
        <v>3017</v>
      </c>
      <c r="C486" s="10" t="s">
        <v>2924</v>
      </c>
      <c r="D486" s="10" t="s">
        <v>219</v>
      </c>
      <c r="E486" s="10" t="s">
        <v>213</v>
      </c>
      <c r="F486" s="16">
        <v>0</v>
      </c>
      <c r="G486" s="10" t="s">
        <v>2938</v>
      </c>
    </row>
    <row r="487" spans="1:7" ht="15" customHeight="1" x14ac:dyDescent="0.3">
      <c r="A487" s="16">
        <v>480</v>
      </c>
      <c r="B487" s="10" t="s">
        <v>3017</v>
      </c>
      <c r="C487" s="10" t="s">
        <v>2927</v>
      </c>
      <c r="D487" s="10" t="s">
        <v>203</v>
      </c>
      <c r="E487" s="10" t="s">
        <v>207</v>
      </c>
      <c r="F487" s="16">
        <v>0</v>
      </c>
      <c r="G487" s="10" t="s">
        <v>2928</v>
      </c>
    </row>
    <row r="488" spans="1:7" ht="15" customHeight="1" x14ac:dyDescent="0.3">
      <c r="A488" s="16">
        <v>481</v>
      </c>
      <c r="B488" s="10" t="s">
        <v>3017</v>
      </c>
      <c r="C488" s="10" t="s">
        <v>2910</v>
      </c>
      <c r="D488" s="10" t="s">
        <v>199</v>
      </c>
      <c r="E488" s="10" t="s">
        <v>225</v>
      </c>
      <c r="F488" s="16">
        <v>0</v>
      </c>
      <c r="G488" s="10" t="s">
        <v>2940</v>
      </c>
    </row>
    <row r="489" spans="1:7" ht="15" customHeight="1" x14ac:dyDescent="0.3">
      <c r="A489" s="16">
        <v>482</v>
      </c>
      <c r="B489" s="10" t="s">
        <v>3018</v>
      </c>
      <c r="C489" s="10" t="s">
        <v>2913</v>
      </c>
      <c r="D489" s="10" t="s">
        <v>199</v>
      </c>
      <c r="E489" s="10" t="s">
        <v>221</v>
      </c>
      <c r="F489" s="16">
        <v>0</v>
      </c>
      <c r="G489" s="10" t="s">
        <v>2915</v>
      </c>
    </row>
    <row r="490" spans="1:7" ht="15" customHeight="1" x14ac:dyDescent="0.3">
      <c r="A490" s="16">
        <v>483</v>
      </c>
      <c r="B490" s="10" t="s">
        <v>3018</v>
      </c>
      <c r="C490" s="10" t="s">
        <v>2976</v>
      </c>
      <c r="D490" s="10" t="s">
        <v>202</v>
      </c>
      <c r="E490" s="10" t="s">
        <v>200</v>
      </c>
      <c r="F490" s="16">
        <v>0</v>
      </c>
      <c r="G490" s="10" t="s">
        <v>2936</v>
      </c>
    </row>
    <row r="491" spans="1:7" ht="15" customHeight="1" x14ac:dyDescent="0.3">
      <c r="A491" s="16">
        <v>484</v>
      </c>
      <c r="B491" s="10" t="s">
        <v>3018</v>
      </c>
      <c r="C491" s="10" t="s">
        <v>2951</v>
      </c>
      <c r="D491" s="10" t="s">
        <v>216</v>
      </c>
      <c r="E491" s="10" t="s">
        <v>204</v>
      </c>
      <c r="F491" s="16">
        <v>0</v>
      </c>
      <c r="G491" s="10" t="s">
        <v>2949</v>
      </c>
    </row>
    <row r="492" spans="1:7" ht="15" customHeight="1" x14ac:dyDescent="0.3">
      <c r="A492" s="16">
        <v>485</v>
      </c>
      <c r="B492" s="10" t="s">
        <v>3018</v>
      </c>
      <c r="C492" s="10" t="s">
        <v>2908</v>
      </c>
      <c r="D492" s="10" t="s">
        <v>214</v>
      </c>
      <c r="E492" s="10" t="s">
        <v>208</v>
      </c>
      <c r="F492" s="16">
        <v>0</v>
      </c>
      <c r="G492" s="10" t="s">
        <v>2937</v>
      </c>
    </row>
    <row r="493" spans="1:7" ht="15" customHeight="1" x14ac:dyDescent="0.3">
      <c r="A493" s="16">
        <v>486</v>
      </c>
      <c r="B493" s="10" t="s">
        <v>3018</v>
      </c>
      <c r="C493" s="10" t="s">
        <v>2908</v>
      </c>
      <c r="D493" s="10" t="s">
        <v>212</v>
      </c>
      <c r="E493" s="10" t="s">
        <v>215</v>
      </c>
      <c r="F493" s="16">
        <v>0</v>
      </c>
      <c r="G493" s="10" t="s">
        <v>2926</v>
      </c>
    </row>
    <row r="494" spans="1:7" ht="15" customHeight="1" x14ac:dyDescent="0.3">
      <c r="A494" s="16">
        <v>487</v>
      </c>
      <c r="B494" s="10" t="s">
        <v>3018</v>
      </c>
      <c r="C494" s="10" t="s">
        <v>2920</v>
      </c>
      <c r="D494" s="10" t="s">
        <v>203</v>
      </c>
      <c r="E494" s="10" t="s">
        <v>197</v>
      </c>
      <c r="F494" s="16">
        <v>0</v>
      </c>
      <c r="G494" s="10" t="s">
        <v>2945</v>
      </c>
    </row>
    <row r="495" spans="1:7" ht="15" customHeight="1" x14ac:dyDescent="0.3">
      <c r="A495" s="16">
        <v>488</v>
      </c>
      <c r="B495" s="10" t="s">
        <v>3018</v>
      </c>
      <c r="C495" s="10" t="s">
        <v>2924</v>
      </c>
      <c r="D495" s="10" t="s">
        <v>210</v>
      </c>
      <c r="E495" s="10" t="s">
        <v>201</v>
      </c>
      <c r="F495" s="16">
        <v>0</v>
      </c>
      <c r="G495" s="10" t="s">
        <v>2946</v>
      </c>
    </row>
    <row r="496" spans="1:7" ht="15" customHeight="1" x14ac:dyDescent="0.3">
      <c r="A496" s="16">
        <v>489</v>
      </c>
      <c r="B496" s="10" t="s">
        <v>3018</v>
      </c>
      <c r="C496" s="10" t="s">
        <v>2924</v>
      </c>
      <c r="D496" s="10" t="s">
        <v>225</v>
      </c>
      <c r="E496" s="10" t="s">
        <v>217</v>
      </c>
      <c r="F496" s="16">
        <v>0</v>
      </c>
      <c r="G496" s="10" t="s">
        <v>2931</v>
      </c>
    </row>
    <row r="497" spans="1:7" ht="15" customHeight="1" x14ac:dyDescent="0.3">
      <c r="A497" s="16">
        <v>490</v>
      </c>
      <c r="B497" s="10" t="s">
        <v>3018</v>
      </c>
      <c r="C497" s="10" t="s">
        <v>2927</v>
      </c>
      <c r="D497" s="10" t="s">
        <v>198</v>
      </c>
      <c r="E497" s="10" t="s">
        <v>206</v>
      </c>
      <c r="F497" s="16">
        <v>0</v>
      </c>
      <c r="G497" s="10" t="s">
        <v>2933</v>
      </c>
    </row>
    <row r="498" spans="1:7" ht="15" customHeight="1" x14ac:dyDescent="0.3">
      <c r="A498" s="16">
        <v>491</v>
      </c>
      <c r="B498" s="10" t="s">
        <v>3018</v>
      </c>
      <c r="C498" s="10" t="s">
        <v>2948</v>
      </c>
      <c r="D498" s="10" t="s">
        <v>222</v>
      </c>
      <c r="E498" s="10" t="s">
        <v>220</v>
      </c>
      <c r="F498" s="16">
        <v>0</v>
      </c>
      <c r="G498" s="10" t="s">
        <v>2942</v>
      </c>
    </row>
    <row r="499" spans="1:7" ht="15" customHeight="1" x14ac:dyDescent="0.3">
      <c r="A499" s="16">
        <v>492</v>
      </c>
      <c r="B499" s="10" t="s">
        <v>3019</v>
      </c>
      <c r="C499" s="10" t="s">
        <v>2951</v>
      </c>
      <c r="D499" s="10" t="s">
        <v>205</v>
      </c>
      <c r="E499" s="10" t="s">
        <v>204</v>
      </c>
      <c r="F499" s="16">
        <v>0</v>
      </c>
      <c r="G499" s="10" t="s">
        <v>2949</v>
      </c>
    </row>
    <row r="500" spans="1:7" ht="15" customHeight="1" x14ac:dyDescent="0.3">
      <c r="A500" s="16">
        <v>493</v>
      </c>
      <c r="B500" s="10" t="s">
        <v>3019</v>
      </c>
      <c r="C500" s="10" t="s">
        <v>3020</v>
      </c>
      <c r="D500" s="10" t="s">
        <v>200</v>
      </c>
      <c r="E500" s="10" t="s">
        <v>213</v>
      </c>
      <c r="F500" s="16">
        <v>0</v>
      </c>
      <c r="G500" s="10" t="s">
        <v>2938</v>
      </c>
    </row>
    <row r="501" spans="1:7" ht="15" customHeight="1" x14ac:dyDescent="0.3">
      <c r="A501" s="16">
        <v>494</v>
      </c>
      <c r="B501" s="10" t="s">
        <v>3019</v>
      </c>
      <c r="C501" s="10" t="s">
        <v>2943</v>
      </c>
      <c r="D501" s="10" t="s">
        <v>211</v>
      </c>
      <c r="E501" s="10" t="s">
        <v>218</v>
      </c>
      <c r="F501" s="16">
        <v>0</v>
      </c>
      <c r="G501" s="10" t="s">
        <v>2918</v>
      </c>
    </row>
    <row r="502" spans="1:7" ht="15" customHeight="1" x14ac:dyDescent="0.3">
      <c r="A502" s="16">
        <v>495</v>
      </c>
      <c r="B502" s="10" t="s">
        <v>3019</v>
      </c>
      <c r="C502" s="10" t="s">
        <v>2908</v>
      </c>
      <c r="D502" s="10" t="s">
        <v>202</v>
      </c>
      <c r="E502" s="10" t="s">
        <v>207</v>
      </c>
      <c r="F502" s="16">
        <v>0</v>
      </c>
      <c r="G502" s="10" t="s">
        <v>2928</v>
      </c>
    </row>
    <row r="503" spans="1:7" ht="15" customHeight="1" x14ac:dyDescent="0.3">
      <c r="A503" s="16">
        <v>496</v>
      </c>
      <c r="B503" s="10" t="s">
        <v>3019</v>
      </c>
      <c r="C503" s="10" t="s">
        <v>2908</v>
      </c>
      <c r="D503" s="10" t="s">
        <v>223</v>
      </c>
      <c r="E503" s="10" t="s">
        <v>214</v>
      </c>
      <c r="F503" s="16">
        <v>0</v>
      </c>
      <c r="G503" s="10" t="s">
        <v>2952</v>
      </c>
    </row>
    <row r="504" spans="1:7" ht="15" customHeight="1" x14ac:dyDescent="0.3">
      <c r="A504" s="16">
        <v>497</v>
      </c>
      <c r="B504" s="10" t="s">
        <v>3019</v>
      </c>
      <c r="C504" s="10" t="s">
        <v>2908</v>
      </c>
      <c r="D504" s="10" t="s">
        <v>210</v>
      </c>
      <c r="E504" s="10" t="s">
        <v>224</v>
      </c>
      <c r="F504" s="16">
        <v>0</v>
      </c>
      <c r="G504" s="10" t="s">
        <v>2923</v>
      </c>
    </row>
    <row r="505" spans="1:7" ht="15" customHeight="1" x14ac:dyDescent="0.3">
      <c r="A505" s="16">
        <v>498</v>
      </c>
      <c r="B505" s="10" t="s">
        <v>3019</v>
      </c>
      <c r="C505" s="10" t="s">
        <v>2908</v>
      </c>
      <c r="D505" s="10" t="s">
        <v>209</v>
      </c>
      <c r="E505" s="10" t="s">
        <v>226</v>
      </c>
      <c r="F505" s="16">
        <v>0</v>
      </c>
      <c r="G505" s="10" t="s">
        <v>2919</v>
      </c>
    </row>
    <row r="506" spans="1:7" ht="15" customHeight="1" x14ac:dyDescent="0.3">
      <c r="A506" s="16">
        <v>499</v>
      </c>
      <c r="B506" s="10" t="s">
        <v>3019</v>
      </c>
      <c r="C506" s="10" t="s">
        <v>2924</v>
      </c>
      <c r="D506" s="10" t="s">
        <v>222</v>
      </c>
      <c r="E506" s="10" t="s">
        <v>217</v>
      </c>
      <c r="F506" s="16">
        <v>0</v>
      </c>
      <c r="G506" s="10" t="s">
        <v>2931</v>
      </c>
    </row>
    <row r="507" spans="1:7" ht="15" customHeight="1" x14ac:dyDescent="0.3">
      <c r="A507" s="16">
        <v>500</v>
      </c>
      <c r="B507" s="10" t="s">
        <v>3021</v>
      </c>
      <c r="C507" s="10" t="s">
        <v>2913</v>
      </c>
      <c r="D507" s="10" t="s">
        <v>216</v>
      </c>
      <c r="E507" s="10" t="s">
        <v>221</v>
      </c>
      <c r="F507" s="16">
        <v>0</v>
      </c>
      <c r="G507" s="10" t="s">
        <v>2915</v>
      </c>
    </row>
    <row r="508" spans="1:7" ht="15" customHeight="1" x14ac:dyDescent="0.3">
      <c r="A508" s="16">
        <v>501</v>
      </c>
      <c r="B508" s="10" t="s">
        <v>3021</v>
      </c>
      <c r="C508" s="10" t="s">
        <v>2908</v>
      </c>
      <c r="D508" s="10" t="s">
        <v>201</v>
      </c>
      <c r="E508" s="10" t="s">
        <v>208</v>
      </c>
      <c r="F508" s="16">
        <v>0</v>
      </c>
      <c r="G508" s="10" t="s">
        <v>2937</v>
      </c>
    </row>
    <row r="509" spans="1:7" ht="15" customHeight="1" x14ac:dyDescent="0.3">
      <c r="A509" s="16">
        <v>502</v>
      </c>
      <c r="B509" s="10" t="s">
        <v>3021</v>
      </c>
      <c r="C509" s="10" t="s">
        <v>2908</v>
      </c>
      <c r="D509" s="10" t="s">
        <v>197</v>
      </c>
      <c r="E509" s="10" t="s">
        <v>219</v>
      </c>
      <c r="F509" s="16">
        <v>0</v>
      </c>
      <c r="G509" s="10" t="s">
        <v>2930</v>
      </c>
    </row>
    <row r="510" spans="1:7" ht="15" customHeight="1" x14ac:dyDescent="0.3">
      <c r="A510" s="16">
        <v>503</v>
      </c>
      <c r="B510" s="10" t="s">
        <v>3021</v>
      </c>
      <c r="C510" s="10" t="s">
        <v>2924</v>
      </c>
      <c r="D510" s="10" t="s">
        <v>203</v>
      </c>
      <c r="E510" s="10" t="s">
        <v>215</v>
      </c>
      <c r="F510" s="16">
        <v>0</v>
      </c>
      <c r="G510" s="10" t="s">
        <v>2926</v>
      </c>
    </row>
    <row r="511" spans="1:7" ht="15" customHeight="1" x14ac:dyDescent="0.3">
      <c r="A511" s="16">
        <v>504</v>
      </c>
      <c r="B511" s="10" t="s">
        <v>3021</v>
      </c>
      <c r="C511" s="10" t="s">
        <v>2948</v>
      </c>
      <c r="D511" s="10" t="s">
        <v>199</v>
      </c>
      <c r="E511" s="10" t="s">
        <v>220</v>
      </c>
      <c r="F511" s="16">
        <v>0</v>
      </c>
      <c r="G511" s="10" t="s">
        <v>2942</v>
      </c>
    </row>
    <row r="512" spans="1:7" ht="15" customHeight="1" x14ac:dyDescent="0.3">
      <c r="A512" s="16">
        <v>505</v>
      </c>
      <c r="B512" s="10" t="s">
        <v>3021</v>
      </c>
      <c r="C512" s="10" t="s">
        <v>2948</v>
      </c>
      <c r="D512" s="10" t="s">
        <v>198</v>
      </c>
      <c r="E512" s="10" t="s">
        <v>225</v>
      </c>
      <c r="F512" s="16">
        <v>0</v>
      </c>
      <c r="G512" s="10" t="s">
        <v>2940</v>
      </c>
    </row>
    <row r="513" spans="1:7" ht="15" customHeight="1" x14ac:dyDescent="0.3">
      <c r="A513" s="16">
        <v>506</v>
      </c>
      <c r="B513" s="10" t="s">
        <v>3022</v>
      </c>
      <c r="C513" s="10" t="s">
        <v>2913</v>
      </c>
      <c r="D513" s="10" t="s">
        <v>220</v>
      </c>
      <c r="E513" s="10" t="s">
        <v>204</v>
      </c>
      <c r="F513" s="16">
        <v>0</v>
      </c>
      <c r="G513" s="10" t="s">
        <v>2949</v>
      </c>
    </row>
    <row r="514" spans="1:7" ht="15" customHeight="1" x14ac:dyDescent="0.3">
      <c r="A514" s="16">
        <v>507</v>
      </c>
      <c r="B514" s="10" t="s">
        <v>3022</v>
      </c>
      <c r="C514" s="10" t="s">
        <v>2913</v>
      </c>
      <c r="D514" s="10" t="s">
        <v>205</v>
      </c>
      <c r="E514" s="10" t="s">
        <v>222</v>
      </c>
      <c r="F514" s="16">
        <v>0</v>
      </c>
      <c r="G514" s="10" t="s">
        <v>2934</v>
      </c>
    </row>
    <row r="515" spans="1:7" ht="15" customHeight="1" x14ac:dyDescent="0.3">
      <c r="A515" s="16">
        <v>508</v>
      </c>
      <c r="B515" s="10" t="s">
        <v>3022</v>
      </c>
      <c r="C515" s="10" t="s">
        <v>2908</v>
      </c>
      <c r="D515" s="10" t="s">
        <v>197</v>
      </c>
      <c r="E515" s="10" t="s">
        <v>200</v>
      </c>
      <c r="F515" s="16">
        <v>0</v>
      </c>
      <c r="G515" s="10" t="s">
        <v>2936</v>
      </c>
    </row>
    <row r="516" spans="1:7" ht="15" customHeight="1" x14ac:dyDescent="0.3">
      <c r="A516" s="16">
        <v>509</v>
      </c>
      <c r="B516" s="10" t="s">
        <v>3022</v>
      </c>
      <c r="C516" s="10" t="s">
        <v>2908</v>
      </c>
      <c r="D516" s="10" t="s">
        <v>224</v>
      </c>
      <c r="E516" s="10" t="s">
        <v>202</v>
      </c>
      <c r="F516" s="16">
        <v>0</v>
      </c>
      <c r="G516" s="10" t="s">
        <v>2944</v>
      </c>
    </row>
    <row r="517" spans="1:7" ht="15" customHeight="1" x14ac:dyDescent="0.3">
      <c r="A517" s="16">
        <v>510</v>
      </c>
      <c r="B517" s="10" t="s">
        <v>3022</v>
      </c>
      <c r="C517" s="10" t="s">
        <v>2908</v>
      </c>
      <c r="D517" s="10" t="s">
        <v>209</v>
      </c>
      <c r="E517" s="10" t="s">
        <v>218</v>
      </c>
      <c r="F517" s="16">
        <v>0</v>
      </c>
      <c r="G517" s="10" t="s">
        <v>2918</v>
      </c>
    </row>
    <row r="518" spans="1:7" ht="15" customHeight="1" x14ac:dyDescent="0.3">
      <c r="A518" s="16">
        <v>511</v>
      </c>
      <c r="B518" s="10" t="s">
        <v>3022</v>
      </c>
      <c r="C518" s="10" t="s">
        <v>2908</v>
      </c>
      <c r="D518" s="10" t="s">
        <v>210</v>
      </c>
      <c r="E518" s="10" t="s">
        <v>226</v>
      </c>
      <c r="F518" s="16">
        <v>0</v>
      </c>
      <c r="G518" s="10" t="s">
        <v>2919</v>
      </c>
    </row>
    <row r="519" spans="1:7" ht="15" customHeight="1" x14ac:dyDescent="0.3">
      <c r="A519" s="16">
        <v>512</v>
      </c>
      <c r="B519" s="10" t="s">
        <v>3022</v>
      </c>
      <c r="C519" s="10" t="s">
        <v>2920</v>
      </c>
      <c r="D519" s="10" t="s">
        <v>211</v>
      </c>
      <c r="E519" s="10" t="s">
        <v>212</v>
      </c>
      <c r="F519" s="16">
        <v>0</v>
      </c>
      <c r="G519" s="10" t="s">
        <v>2922</v>
      </c>
    </row>
    <row r="520" spans="1:7" ht="15" customHeight="1" x14ac:dyDescent="0.3">
      <c r="A520" s="16">
        <v>513</v>
      </c>
      <c r="B520" s="10" t="s">
        <v>3022</v>
      </c>
      <c r="C520" s="10" t="s">
        <v>2924</v>
      </c>
      <c r="D520" s="10" t="s">
        <v>213</v>
      </c>
      <c r="E520" s="10" t="s">
        <v>201</v>
      </c>
      <c r="F520" s="16">
        <v>0</v>
      </c>
      <c r="G520" s="10" t="s">
        <v>2946</v>
      </c>
    </row>
    <row r="521" spans="1:7" ht="15" customHeight="1" x14ac:dyDescent="0.3">
      <c r="A521" s="16">
        <v>514</v>
      </c>
      <c r="B521" s="10" t="s">
        <v>3022</v>
      </c>
      <c r="C521" s="10" t="s">
        <v>2924</v>
      </c>
      <c r="D521" s="10" t="s">
        <v>214</v>
      </c>
      <c r="E521" s="10" t="s">
        <v>207</v>
      </c>
      <c r="F521" s="16">
        <v>0</v>
      </c>
      <c r="G521" s="10" t="s">
        <v>2928</v>
      </c>
    </row>
    <row r="522" spans="1:7" ht="15" customHeight="1" x14ac:dyDescent="0.3">
      <c r="A522" s="16">
        <v>515</v>
      </c>
      <c r="B522" s="10" t="s">
        <v>3023</v>
      </c>
      <c r="C522" s="10" t="s">
        <v>2913</v>
      </c>
      <c r="D522" s="10" t="s">
        <v>216</v>
      </c>
      <c r="E522" s="10" t="s">
        <v>206</v>
      </c>
      <c r="F522" s="16">
        <v>0</v>
      </c>
      <c r="G522" s="10" t="s">
        <v>2933</v>
      </c>
    </row>
    <row r="523" spans="1:7" ht="15" customHeight="1" x14ac:dyDescent="0.3">
      <c r="A523" s="16">
        <v>516</v>
      </c>
      <c r="B523" s="10" t="s">
        <v>3023</v>
      </c>
      <c r="C523" s="10" t="s">
        <v>2920</v>
      </c>
      <c r="D523" s="10" t="s">
        <v>225</v>
      </c>
      <c r="E523" s="10" t="s">
        <v>198</v>
      </c>
      <c r="F523" s="16">
        <v>0</v>
      </c>
      <c r="G523" s="10" t="s">
        <v>2921</v>
      </c>
    </row>
    <row r="524" spans="1:7" ht="15" customHeight="1" x14ac:dyDescent="0.3">
      <c r="A524" s="16">
        <v>517</v>
      </c>
      <c r="B524" s="10" t="s">
        <v>3023</v>
      </c>
      <c r="C524" s="10" t="s">
        <v>2920</v>
      </c>
      <c r="D524" s="10" t="s">
        <v>217</v>
      </c>
      <c r="E524" s="10" t="s">
        <v>219</v>
      </c>
      <c r="F524" s="16">
        <v>0</v>
      </c>
      <c r="G524" s="10" t="s">
        <v>2930</v>
      </c>
    </row>
    <row r="525" spans="1:7" ht="15" customHeight="1" x14ac:dyDescent="0.3">
      <c r="A525" s="16">
        <v>518</v>
      </c>
      <c r="B525" s="10" t="s">
        <v>3023</v>
      </c>
      <c r="C525" s="10" t="s">
        <v>2924</v>
      </c>
      <c r="D525" s="10" t="s">
        <v>221</v>
      </c>
      <c r="E525" s="10" t="s">
        <v>215</v>
      </c>
      <c r="F525" s="16">
        <v>0</v>
      </c>
      <c r="G525" s="10" t="s">
        <v>2926</v>
      </c>
    </row>
    <row r="526" spans="1:7" ht="15" customHeight="1" x14ac:dyDescent="0.3">
      <c r="A526" s="16">
        <v>519</v>
      </c>
      <c r="B526" s="10" t="s">
        <v>3023</v>
      </c>
      <c r="C526" s="10" t="s">
        <v>2924</v>
      </c>
      <c r="D526" s="10" t="s">
        <v>208</v>
      </c>
      <c r="E526" s="10" t="s">
        <v>223</v>
      </c>
      <c r="F526" s="16">
        <v>0</v>
      </c>
      <c r="G526" s="10" t="s">
        <v>2911</v>
      </c>
    </row>
    <row r="527" spans="1:7" ht="15" customHeight="1" x14ac:dyDescent="0.3">
      <c r="A527" s="16">
        <v>520</v>
      </c>
      <c r="B527" s="10" t="s">
        <v>3024</v>
      </c>
      <c r="C527" s="10" t="s">
        <v>2913</v>
      </c>
      <c r="D527" s="10" t="s">
        <v>205</v>
      </c>
      <c r="E527" s="10" t="s">
        <v>206</v>
      </c>
      <c r="F527" s="16">
        <v>0</v>
      </c>
      <c r="G527" s="10" t="s">
        <v>2933</v>
      </c>
    </row>
    <row r="528" spans="1:7" ht="15" customHeight="1" x14ac:dyDescent="0.3">
      <c r="A528" s="16">
        <v>521</v>
      </c>
      <c r="B528" s="10" t="s">
        <v>3024</v>
      </c>
      <c r="C528" s="10" t="s">
        <v>2913</v>
      </c>
      <c r="D528" s="10" t="s">
        <v>199</v>
      </c>
      <c r="E528" s="10" t="s">
        <v>210</v>
      </c>
      <c r="F528" s="16">
        <v>0</v>
      </c>
      <c r="G528" s="10" t="s">
        <v>2914</v>
      </c>
    </row>
    <row r="529" spans="1:7" ht="15" customHeight="1" x14ac:dyDescent="0.3">
      <c r="A529" s="16">
        <v>522</v>
      </c>
      <c r="B529" s="10" t="s">
        <v>3024</v>
      </c>
      <c r="C529" s="10" t="s">
        <v>2913</v>
      </c>
      <c r="D529" s="10" t="s">
        <v>201</v>
      </c>
      <c r="E529" s="10" t="s">
        <v>222</v>
      </c>
      <c r="F529" s="16">
        <v>0</v>
      </c>
      <c r="G529" s="10" t="s">
        <v>2934</v>
      </c>
    </row>
    <row r="530" spans="1:7" ht="15" customHeight="1" x14ac:dyDescent="0.3">
      <c r="A530" s="16">
        <v>523</v>
      </c>
      <c r="B530" s="10" t="s">
        <v>3024</v>
      </c>
      <c r="C530" s="10" t="s">
        <v>2908</v>
      </c>
      <c r="D530" s="10" t="s">
        <v>208</v>
      </c>
      <c r="E530" s="10" t="s">
        <v>197</v>
      </c>
      <c r="F530" s="16">
        <v>0</v>
      </c>
      <c r="G530" s="10" t="s">
        <v>2945</v>
      </c>
    </row>
    <row r="531" spans="1:7" ht="15" customHeight="1" x14ac:dyDescent="0.3">
      <c r="A531" s="16">
        <v>524</v>
      </c>
      <c r="B531" s="10" t="s">
        <v>3024</v>
      </c>
      <c r="C531" s="10" t="s">
        <v>2908</v>
      </c>
      <c r="D531" s="10" t="s">
        <v>204</v>
      </c>
      <c r="E531" s="10" t="s">
        <v>200</v>
      </c>
      <c r="F531" s="16">
        <v>0</v>
      </c>
      <c r="G531" s="10" t="s">
        <v>2936</v>
      </c>
    </row>
    <row r="532" spans="1:7" ht="15" customHeight="1" x14ac:dyDescent="0.3">
      <c r="A532" s="16">
        <v>525</v>
      </c>
      <c r="B532" s="10" t="s">
        <v>3024</v>
      </c>
      <c r="C532" s="10" t="s">
        <v>2908</v>
      </c>
      <c r="D532" s="10" t="s">
        <v>202</v>
      </c>
      <c r="E532" s="10" t="s">
        <v>218</v>
      </c>
      <c r="F532" s="16">
        <v>0</v>
      </c>
      <c r="G532" s="10" t="s">
        <v>2918</v>
      </c>
    </row>
    <row r="533" spans="1:7" ht="15" customHeight="1" x14ac:dyDescent="0.3">
      <c r="A533" s="16">
        <v>526</v>
      </c>
      <c r="B533" s="10" t="s">
        <v>3024</v>
      </c>
      <c r="C533" s="10" t="s">
        <v>2908</v>
      </c>
      <c r="D533" s="10" t="s">
        <v>217</v>
      </c>
      <c r="E533" s="10" t="s">
        <v>226</v>
      </c>
      <c r="F533" s="16">
        <v>0</v>
      </c>
      <c r="G533" s="10" t="s">
        <v>2919</v>
      </c>
    </row>
    <row r="534" spans="1:7" ht="15" customHeight="1" x14ac:dyDescent="0.3">
      <c r="A534" s="16">
        <v>527</v>
      </c>
      <c r="B534" s="10" t="s">
        <v>3024</v>
      </c>
      <c r="C534" s="10" t="s">
        <v>2920</v>
      </c>
      <c r="D534" s="10" t="s">
        <v>212</v>
      </c>
      <c r="E534" s="10" t="s">
        <v>198</v>
      </c>
      <c r="F534" s="16">
        <v>0</v>
      </c>
      <c r="G534" s="10" t="s">
        <v>2921</v>
      </c>
    </row>
    <row r="535" spans="1:7" ht="15" customHeight="1" x14ac:dyDescent="0.3">
      <c r="A535" s="16">
        <v>528</v>
      </c>
      <c r="B535" s="10" t="s">
        <v>3024</v>
      </c>
      <c r="C535" s="10" t="s">
        <v>2920</v>
      </c>
      <c r="D535" s="10" t="s">
        <v>214</v>
      </c>
      <c r="E535" s="10" t="s">
        <v>224</v>
      </c>
      <c r="F535" s="16">
        <v>0</v>
      </c>
      <c r="G535" s="10" t="s">
        <v>2923</v>
      </c>
    </row>
    <row r="536" spans="1:7" ht="15" customHeight="1" x14ac:dyDescent="0.3">
      <c r="A536" s="16">
        <v>529</v>
      </c>
      <c r="B536" s="10" t="s">
        <v>3024</v>
      </c>
      <c r="C536" s="10" t="s">
        <v>2924</v>
      </c>
      <c r="D536" s="10" t="s">
        <v>221</v>
      </c>
      <c r="E536" s="10" t="s">
        <v>203</v>
      </c>
      <c r="F536" s="16">
        <v>0</v>
      </c>
      <c r="G536" s="10" t="s">
        <v>2947</v>
      </c>
    </row>
    <row r="537" spans="1:7" ht="15" customHeight="1" x14ac:dyDescent="0.3">
      <c r="A537" s="16">
        <v>530</v>
      </c>
      <c r="B537" s="10" t="s">
        <v>3024</v>
      </c>
      <c r="C537" s="10" t="s">
        <v>2924</v>
      </c>
      <c r="D537" s="10" t="s">
        <v>209</v>
      </c>
      <c r="E537" s="10" t="s">
        <v>213</v>
      </c>
      <c r="F537" s="16">
        <v>0</v>
      </c>
      <c r="G537" s="10" t="s">
        <v>2938</v>
      </c>
    </row>
    <row r="538" spans="1:7" ht="15" customHeight="1" x14ac:dyDescent="0.3">
      <c r="A538" s="16">
        <v>531</v>
      </c>
      <c r="B538" s="10" t="s">
        <v>3024</v>
      </c>
      <c r="C538" s="10" t="s">
        <v>2927</v>
      </c>
      <c r="D538" s="10" t="s">
        <v>211</v>
      </c>
      <c r="E538" s="10" t="s">
        <v>207</v>
      </c>
      <c r="F538" s="16">
        <v>0</v>
      </c>
      <c r="G538" s="10" t="s">
        <v>2928</v>
      </c>
    </row>
    <row r="539" spans="1:7" ht="15" customHeight="1" x14ac:dyDescent="0.3">
      <c r="A539" s="16">
        <v>532</v>
      </c>
      <c r="B539" s="10" t="s">
        <v>3025</v>
      </c>
      <c r="C539" s="10" t="s">
        <v>2913</v>
      </c>
      <c r="D539" s="10" t="s">
        <v>205</v>
      </c>
      <c r="E539" s="10" t="s">
        <v>210</v>
      </c>
      <c r="F539" s="16">
        <v>0</v>
      </c>
      <c r="G539" s="10" t="s">
        <v>2914</v>
      </c>
    </row>
    <row r="540" spans="1:7" ht="15" customHeight="1" x14ac:dyDescent="0.3">
      <c r="A540" s="16">
        <v>533</v>
      </c>
      <c r="B540" s="10" t="s">
        <v>3025</v>
      </c>
      <c r="C540" s="10" t="s">
        <v>2913</v>
      </c>
      <c r="D540" s="10" t="s">
        <v>216</v>
      </c>
      <c r="E540" s="10" t="s">
        <v>222</v>
      </c>
      <c r="F540" s="16">
        <v>0</v>
      </c>
      <c r="G540" s="10" t="s">
        <v>2934</v>
      </c>
    </row>
    <row r="541" spans="1:7" ht="15" customHeight="1" x14ac:dyDescent="0.3">
      <c r="A541" s="16">
        <v>534</v>
      </c>
      <c r="B541" s="10" t="s">
        <v>3025</v>
      </c>
      <c r="C541" s="10" t="s">
        <v>2908</v>
      </c>
      <c r="D541" s="10" t="s">
        <v>212</v>
      </c>
      <c r="E541" s="10" t="s">
        <v>219</v>
      </c>
      <c r="F541" s="16">
        <v>0</v>
      </c>
      <c r="G541" s="10" t="s">
        <v>2930</v>
      </c>
    </row>
    <row r="542" spans="1:7" ht="15" customHeight="1" x14ac:dyDescent="0.3">
      <c r="A542" s="16">
        <v>535</v>
      </c>
      <c r="B542" s="10" t="s">
        <v>3025</v>
      </c>
      <c r="C542" s="10" t="s">
        <v>2908</v>
      </c>
      <c r="D542" s="10" t="s">
        <v>214</v>
      </c>
      <c r="E542" s="10" t="s">
        <v>226</v>
      </c>
      <c r="F542" s="16">
        <v>0</v>
      </c>
      <c r="G542" s="10" t="s">
        <v>2919</v>
      </c>
    </row>
    <row r="543" spans="1:7" ht="15" customHeight="1" x14ac:dyDescent="0.3">
      <c r="A543" s="16">
        <v>536</v>
      </c>
      <c r="B543" s="10" t="s">
        <v>3025</v>
      </c>
      <c r="C543" s="10" t="s">
        <v>2920</v>
      </c>
      <c r="D543" s="10" t="s">
        <v>225</v>
      </c>
      <c r="E543" s="10" t="s">
        <v>224</v>
      </c>
      <c r="F543" s="16">
        <v>0</v>
      </c>
      <c r="G543" s="10" t="s">
        <v>2923</v>
      </c>
    </row>
    <row r="544" spans="1:7" ht="15" customHeight="1" x14ac:dyDescent="0.3">
      <c r="A544" s="16">
        <v>537</v>
      </c>
      <c r="B544" s="10" t="s">
        <v>3025</v>
      </c>
      <c r="C544" s="10" t="s">
        <v>2924</v>
      </c>
      <c r="D544" s="10" t="s">
        <v>218</v>
      </c>
      <c r="E544" s="10" t="s">
        <v>215</v>
      </c>
      <c r="F544" s="16">
        <v>0</v>
      </c>
      <c r="G544" s="10" t="s">
        <v>2926</v>
      </c>
    </row>
    <row r="545" spans="1:7" ht="15" customHeight="1" x14ac:dyDescent="0.3">
      <c r="A545" s="16">
        <v>538</v>
      </c>
      <c r="B545" s="10" t="s">
        <v>3025</v>
      </c>
      <c r="C545" s="10" t="s">
        <v>2924</v>
      </c>
      <c r="D545" s="10" t="s">
        <v>211</v>
      </c>
      <c r="E545" s="10" t="s">
        <v>223</v>
      </c>
      <c r="F545" s="16">
        <v>0</v>
      </c>
      <c r="G545" s="10" t="s">
        <v>2911</v>
      </c>
    </row>
    <row r="546" spans="1:7" ht="15" customHeight="1" x14ac:dyDescent="0.3">
      <c r="A546" s="16">
        <v>539</v>
      </c>
      <c r="B546" s="10" t="s">
        <v>3025</v>
      </c>
      <c r="C546" s="10" t="s">
        <v>2910</v>
      </c>
      <c r="D546" s="10" t="s">
        <v>220</v>
      </c>
      <c r="E546" s="10" t="s">
        <v>203</v>
      </c>
      <c r="F546" s="16">
        <v>0</v>
      </c>
      <c r="G546" s="10" t="s">
        <v>2947</v>
      </c>
    </row>
    <row r="547" spans="1:7" ht="15" customHeight="1" x14ac:dyDescent="0.3">
      <c r="A547" s="16">
        <v>540</v>
      </c>
      <c r="B547" s="10" t="s">
        <v>3026</v>
      </c>
      <c r="C547" s="10" t="s">
        <v>2913</v>
      </c>
      <c r="D547" s="10" t="s">
        <v>200</v>
      </c>
      <c r="E547" s="10" t="s">
        <v>221</v>
      </c>
      <c r="F547" s="16">
        <v>0</v>
      </c>
      <c r="G547" s="10" t="s">
        <v>2915</v>
      </c>
    </row>
    <row r="548" spans="1:7" ht="15" customHeight="1" x14ac:dyDescent="0.3">
      <c r="A548" s="16">
        <v>541</v>
      </c>
      <c r="B548" s="10" t="s">
        <v>3026</v>
      </c>
      <c r="C548" s="10" t="s">
        <v>2916</v>
      </c>
      <c r="D548" s="10" t="s">
        <v>199</v>
      </c>
      <c r="E548" s="10" t="s">
        <v>209</v>
      </c>
      <c r="F548" s="16">
        <v>0</v>
      </c>
      <c r="G548" s="10" t="s">
        <v>2917</v>
      </c>
    </row>
    <row r="549" spans="1:7" ht="15" customHeight="1" x14ac:dyDescent="0.3">
      <c r="A549" s="16">
        <v>542</v>
      </c>
      <c r="B549" s="10" t="s">
        <v>3026</v>
      </c>
      <c r="C549" s="10" t="s">
        <v>2951</v>
      </c>
      <c r="D549" s="10" t="s">
        <v>204</v>
      </c>
      <c r="E549" s="10" t="s">
        <v>202</v>
      </c>
      <c r="F549" s="16">
        <v>0</v>
      </c>
      <c r="G549" s="10" t="s">
        <v>2944</v>
      </c>
    </row>
    <row r="550" spans="1:7" ht="15" customHeight="1" x14ac:dyDescent="0.3">
      <c r="A550" s="16">
        <v>543</v>
      </c>
      <c r="B550" s="10" t="s">
        <v>3026</v>
      </c>
      <c r="C550" s="10" t="s">
        <v>2943</v>
      </c>
      <c r="D550" s="10" t="s">
        <v>207</v>
      </c>
      <c r="E550" s="10" t="s">
        <v>198</v>
      </c>
      <c r="F550" s="16">
        <v>0</v>
      </c>
      <c r="G550" s="10" t="s">
        <v>2921</v>
      </c>
    </row>
    <row r="551" spans="1:7" ht="15" customHeight="1" x14ac:dyDescent="0.3">
      <c r="A551" s="16">
        <v>544</v>
      </c>
      <c r="B551" s="10" t="s">
        <v>3026</v>
      </c>
      <c r="C551" s="10" t="s">
        <v>2908</v>
      </c>
      <c r="D551" s="10" t="s">
        <v>213</v>
      </c>
      <c r="E551" s="10" t="s">
        <v>208</v>
      </c>
      <c r="F551" s="16">
        <v>0</v>
      </c>
      <c r="G551" s="10" t="s">
        <v>2937</v>
      </c>
    </row>
    <row r="552" spans="1:7" ht="15" customHeight="1" x14ac:dyDescent="0.3">
      <c r="A552" s="16">
        <v>545</v>
      </c>
      <c r="B552" s="10" t="s">
        <v>3026</v>
      </c>
      <c r="C552" s="10" t="s">
        <v>2927</v>
      </c>
      <c r="D552" s="10" t="s">
        <v>201</v>
      </c>
      <c r="E552" s="10" t="s">
        <v>206</v>
      </c>
      <c r="F552" s="16">
        <v>0</v>
      </c>
      <c r="G552" s="10" t="s">
        <v>2933</v>
      </c>
    </row>
    <row r="553" spans="1:7" ht="15" customHeight="1" x14ac:dyDescent="0.3">
      <c r="A553" s="16">
        <v>546</v>
      </c>
      <c r="B553" s="10" t="s">
        <v>3027</v>
      </c>
      <c r="C553" s="10" t="s">
        <v>2906</v>
      </c>
      <c r="D553" s="10" t="s">
        <v>223</v>
      </c>
      <c r="E553" s="10" t="s">
        <v>197</v>
      </c>
      <c r="F553" s="16">
        <v>0</v>
      </c>
      <c r="G553" s="10" t="s">
        <v>2945</v>
      </c>
    </row>
    <row r="554" spans="1:7" ht="15" customHeight="1" x14ac:dyDescent="0.3">
      <c r="A554" s="16">
        <v>547</v>
      </c>
      <c r="B554" s="10" t="s">
        <v>3027</v>
      </c>
      <c r="C554" s="10" t="s">
        <v>2943</v>
      </c>
      <c r="D554" s="10" t="s">
        <v>225</v>
      </c>
      <c r="E554" s="10" t="s">
        <v>205</v>
      </c>
      <c r="F554" s="16">
        <v>0</v>
      </c>
      <c r="G554" s="10" t="s">
        <v>2907</v>
      </c>
    </row>
    <row r="555" spans="1:7" ht="15" customHeight="1" x14ac:dyDescent="0.3">
      <c r="A555" s="16">
        <v>548</v>
      </c>
      <c r="B555" s="10" t="s">
        <v>3027</v>
      </c>
      <c r="C555" s="10" t="s">
        <v>2943</v>
      </c>
      <c r="D555" s="10" t="s">
        <v>203</v>
      </c>
      <c r="E555" s="10" t="s">
        <v>211</v>
      </c>
      <c r="F555" s="16">
        <v>0</v>
      </c>
      <c r="G555" s="10" t="s">
        <v>2925</v>
      </c>
    </row>
    <row r="556" spans="1:7" ht="15" customHeight="1" x14ac:dyDescent="0.3">
      <c r="A556" s="16">
        <v>549</v>
      </c>
      <c r="B556" s="10" t="s">
        <v>3027</v>
      </c>
      <c r="C556" s="10" t="s">
        <v>2943</v>
      </c>
      <c r="D556" s="10" t="s">
        <v>215</v>
      </c>
      <c r="E556" s="10" t="s">
        <v>212</v>
      </c>
      <c r="F556" s="16">
        <v>0</v>
      </c>
      <c r="G556" s="10" t="s">
        <v>2922</v>
      </c>
    </row>
    <row r="557" spans="1:7" ht="15" customHeight="1" x14ac:dyDescent="0.3">
      <c r="A557" s="16">
        <v>550</v>
      </c>
      <c r="B557" s="10" t="s">
        <v>3027</v>
      </c>
      <c r="C557" s="10" t="s">
        <v>2943</v>
      </c>
      <c r="D557" s="10" t="s">
        <v>217</v>
      </c>
      <c r="E557" s="10" t="s">
        <v>218</v>
      </c>
      <c r="F557" s="16">
        <v>0</v>
      </c>
      <c r="G557" s="10" t="s">
        <v>2918</v>
      </c>
    </row>
    <row r="558" spans="1:7" ht="15" customHeight="1" x14ac:dyDescent="0.3">
      <c r="A558" s="16">
        <v>551</v>
      </c>
      <c r="B558" s="10" t="s">
        <v>3027</v>
      </c>
      <c r="C558" s="10" t="s">
        <v>2943</v>
      </c>
      <c r="D558" s="10" t="s">
        <v>219</v>
      </c>
      <c r="E558" s="10" t="s">
        <v>224</v>
      </c>
      <c r="F558" s="16">
        <v>0</v>
      </c>
      <c r="G558" s="10" t="s">
        <v>2923</v>
      </c>
    </row>
    <row r="559" spans="1:7" ht="15" customHeight="1" x14ac:dyDescent="0.3">
      <c r="A559" s="16">
        <v>552</v>
      </c>
      <c r="B559" s="10" t="s">
        <v>3027</v>
      </c>
      <c r="C559" s="10" t="s">
        <v>2908</v>
      </c>
      <c r="D559" s="10" t="s">
        <v>201</v>
      </c>
      <c r="E559" s="10" t="s">
        <v>220</v>
      </c>
      <c r="F559" s="16">
        <v>0</v>
      </c>
      <c r="G559" s="10" t="s">
        <v>2942</v>
      </c>
    </row>
    <row r="560" spans="1:7" ht="15" customHeight="1" x14ac:dyDescent="0.3">
      <c r="A560" s="16">
        <v>553</v>
      </c>
      <c r="B560" s="10" t="s">
        <v>3027</v>
      </c>
      <c r="C560" s="10" t="s">
        <v>2948</v>
      </c>
      <c r="D560" s="10" t="s">
        <v>200</v>
      </c>
      <c r="E560" s="10" t="s">
        <v>222</v>
      </c>
      <c r="F560" s="16">
        <v>0</v>
      </c>
      <c r="G560" s="10" t="s">
        <v>2934</v>
      </c>
    </row>
    <row r="561" spans="1:7" ht="15" customHeight="1" x14ac:dyDescent="0.3">
      <c r="A561" s="16">
        <v>554</v>
      </c>
      <c r="B561" s="10" t="s">
        <v>3028</v>
      </c>
      <c r="C561" s="10" t="s">
        <v>2913</v>
      </c>
      <c r="D561" s="10" t="s">
        <v>210</v>
      </c>
      <c r="E561" s="10" t="s">
        <v>209</v>
      </c>
      <c r="F561" s="16">
        <v>0</v>
      </c>
      <c r="G561" s="10" t="s">
        <v>2917</v>
      </c>
    </row>
    <row r="562" spans="1:7" ht="15" customHeight="1" x14ac:dyDescent="0.3">
      <c r="A562" s="16">
        <v>555</v>
      </c>
      <c r="B562" s="10" t="s">
        <v>3028</v>
      </c>
      <c r="C562" s="10" t="s">
        <v>2908</v>
      </c>
      <c r="D562" s="10" t="s">
        <v>198</v>
      </c>
      <c r="E562" s="10" t="s">
        <v>208</v>
      </c>
      <c r="F562" s="16">
        <v>0</v>
      </c>
      <c r="G562" s="10" t="s">
        <v>2937</v>
      </c>
    </row>
    <row r="563" spans="1:7" ht="15" customHeight="1" x14ac:dyDescent="0.3">
      <c r="A563" s="16">
        <v>556</v>
      </c>
      <c r="B563" s="10" t="s">
        <v>3028</v>
      </c>
      <c r="C563" s="10" t="s">
        <v>2908</v>
      </c>
      <c r="D563" s="10" t="s">
        <v>197</v>
      </c>
      <c r="E563" s="10" t="s">
        <v>226</v>
      </c>
      <c r="F563" s="16">
        <v>0</v>
      </c>
      <c r="G563" s="10" t="s">
        <v>2919</v>
      </c>
    </row>
    <row r="564" spans="1:7" ht="15" customHeight="1" x14ac:dyDescent="0.3">
      <c r="A564" s="16">
        <v>557</v>
      </c>
      <c r="B564" s="10" t="s">
        <v>3028</v>
      </c>
      <c r="C564" s="10" t="s">
        <v>2920</v>
      </c>
      <c r="D564" s="10" t="s">
        <v>207</v>
      </c>
      <c r="E564" s="10" t="s">
        <v>199</v>
      </c>
      <c r="F564" s="16">
        <v>0</v>
      </c>
      <c r="G564" s="10" t="s">
        <v>2935</v>
      </c>
    </row>
    <row r="565" spans="1:7" ht="15" customHeight="1" x14ac:dyDescent="0.3">
      <c r="A565" s="16">
        <v>558</v>
      </c>
      <c r="B565" s="10" t="s">
        <v>3028</v>
      </c>
      <c r="C565" s="10" t="s">
        <v>2920</v>
      </c>
      <c r="D565" s="10" t="s">
        <v>204</v>
      </c>
      <c r="E565" s="10" t="s">
        <v>216</v>
      </c>
      <c r="F565" s="16">
        <v>0</v>
      </c>
      <c r="G565" s="10" t="s">
        <v>2909</v>
      </c>
    </row>
    <row r="566" spans="1:7" ht="15" customHeight="1" x14ac:dyDescent="0.3">
      <c r="A566" s="16">
        <v>559</v>
      </c>
      <c r="B566" s="10" t="s">
        <v>3028</v>
      </c>
      <c r="C566" s="10" t="s">
        <v>2924</v>
      </c>
      <c r="D566" s="10" t="s">
        <v>202</v>
      </c>
      <c r="E566" s="10" t="s">
        <v>214</v>
      </c>
      <c r="F566" s="16">
        <v>0</v>
      </c>
      <c r="G566" s="10" t="s">
        <v>2952</v>
      </c>
    </row>
    <row r="567" spans="1:7" ht="15" customHeight="1" x14ac:dyDescent="0.3">
      <c r="A567" s="16">
        <v>560</v>
      </c>
      <c r="B567" s="10" t="s">
        <v>3029</v>
      </c>
      <c r="C567" s="10" t="s">
        <v>2913</v>
      </c>
      <c r="D567" s="10" t="s">
        <v>218</v>
      </c>
      <c r="E567" s="10" t="s">
        <v>221</v>
      </c>
      <c r="F567" s="16">
        <v>0</v>
      </c>
      <c r="G567" s="10" t="s">
        <v>2915</v>
      </c>
    </row>
    <row r="568" spans="1:7" ht="15" customHeight="1" x14ac:dyDescent="0.3">
      <c r="A568" s="16">
        <v>561</v>
      </c>
      <c r="B568" s="10" t="s">
        <v>3029</v>
      </c>
      <c r="C568" s="10" t="s">
        <v>2955</v>
      </c>
      <c r="D568" s="10" t="s">
        <v>222</v>
      </c>
      <c r="E568" s="10" t="s">
        <v>206</v>
      </c>
      <c r="F568" s="16">
        <v>0</v>
      </c>
      <c r="G568" s="10" t="s">
        <v>2933</v>
      </c>
    </row>
    <row r="569" spans="1:7" ht="15" customHeight="1" x14ac:dyDescent="0.3">
      <c r="A569" s="16">
        <v>562</v>
      </c>
      <c r="B569" s="10" t="s">
        <v>3029</v>
      </c>
      <c r="C569" s="10" t="s">
        <v>2920</v>
      </c>
      <c r="D569" s="10" t="s">
        <v>198</v>
      </c>
      <c r="E569" s="10" t="s">
        <v>212</v>
      </c>
      <c r="F569" s="16">
        <v>0</v>
      </c>
      <c r="G569" s="10" t="s">
        <v>2922</v>
      </c>
    </row>
    <row r="570" spans="1:7" ht="15" customHeight="1" x14ac:dyDescent="0.3">
      <c r="A570" s="16">
        <v>563</v>
      </c>
      <c r="B570" s="10" t="s">
        <v>3029</v>
      </c>
      <c r="C570" s="10" t="s">
        <v>2920</v>
      </c>
      <c r="D570" s="10" t="s">
        <v>205</v>
      </c>
      <c r="E570" s="10" t="s">
        <v>224</v>
      </c>
      <c r="F570" s="16">
        <v>0</v>
      </c>
      <c r="G570" s="10" t="s">
        <v>2923</v>
      </c>
    </row>
    <row r="571" spans="1:7" ht="15" customHeight="1" x14ac:dyDescent="0.3">
      <c r="A571" s="16">
        <v>564</v>
      </c>
      <c r="B571" s="10" t="s">
        <v>3029</v>
      </c>
      <c r="C571" s="10" t="s">
        <v>2924</v>
      </c>
      <c r="D571" s="10" t="s">
        <v>203</v>
      </c>
      <c r="E571" s="10" t="s">
        <v>211</v>
      </c>
      <c r="F571" s="16">
        <v>0</v>
      </c>
      <c r="G571" s="10" t="s">
        <v>2925</v>
      </c>
    </row>
    <row r="572" spans="1:7" ht="15" customHeight="1" x14ac:dyDescent="0.3">
      <c r="A572" s="16">
        <v>565</v>
      </c>
      <c r="B572" s="10" t="s">
        <v>3029</v>
      </c>
      <c r="C572" s="10" t="s">
        <v>2924</v>
      </c>
      <c r="D572" s="10" t="s">
        <v>204</v>
      </c>
      <c r="E572" s="10" t="s">
        <v>213</v>
      </c>
      <c r="F572" s="16">
        <v>0</v>
      </c>
      <c r="G572" s="10" t="s">
        <v>2938</v>
      </c>
    </row>
    <row r="573" spans="1:7" ht="15" customHeight="1" x14ac:dyDescent="0.3">
      <c r="A573" s="16">
        <v>566</v>
      </c>
      <c r="B573" s="10" t="s">
        <v>3029</v>
      </c>
      <c r="C573" s="10" t="s">
        <v>2924</v>
      </c>
      <c r="D573" s="10" t="s">
        <v>226</v>
      </c>
      <c r="E573" s="10" t="s">
        <v>219</v>
      </c>
      <c r="F573" s="16">
        <v>0</v>
      </c>
      <c r="G573" s="10" t="s">
        <v>2930</v>
      </c>
    </row>
    <row r="574" spans="1:7" ht="15" customHeight="1" x14ac:dyDescent="0.3">
      <c r="A574" s="16">
        <v>567</v>
      </c>
      <c r="B574" s="10" t="s">
        <v>3029</v>
      </c>
      <c r="C574" s="10" t="s">
        <v>2948</v>
      </c>
      <c r="D574" s="10" t="s">
        <v>201</v>
      </c>
      <c r="E574" s="10" t="s">
        <v>225</v>
      </c>
      <c r="F574" s="16">
        <v>0</v>
      </c>
      <c r="G574" s="10" t="s">
        <v>2940</v>
      </c>
    </row>
    <row r="575" spans="1:7" ht="15" customHeight="1" x14ac:dyDescent="0.3">
      <c r="A575" s="16">
        <v>568</v>
      </c>
      <c r="B575" s="10" t="s">
        <v>3030</v>
      </c>
      <c r="C575" s="10" t="s">
        <v>2913</v>
      </c>
      <c r="D575" s="10" t="s">
        <v>200</v>
      </c>
      <c r="E575" s="10" t="s">
        <v>206</v>
      </c>
      <c r="F575" s="16">
        <v>0</v>
      </c>
      <c r="G575" s="10" t="s">
        <v>2933</v>
      </c>
    </row>
    <row r="576" spans="1:7" ht="15" customHeight="1" x14ac:dyDescent="0.3">
      <c r="A576" s="16">
        <v>569</v>
      </c>
      <c r="B576" s="10" t="s">
        <v>3030</v>
      </c>
      <c r="C576" s="10" t="s">
        <v>2913</v>
      </c>
      <c r="D576" s="10" t="s">
        <v>210</v>
      </c>
      <c r="E576" s="10" t="s">
        <v>221</v>
      </c>
      <c r="F576" s="16">
        <v>0</v>
      </c>
      <c r="G576" s="10" t="s">
        <v>2915</v>
      </c>
    </row>
    <row r="577" spans="1:7" ht="15" customHeight="1" x14ac:dyDescent="0.3">
      <c r="A577" s="16">
        <v>570</v>
      </c>
      <c r="B577" s="10" t="s">
        <v>3030</v>
      </c>
      <c r="C577" s="10" t="s">
        <v>2908</v>
      </c>
      <c r="D577" s="10" t="s">
        <v>202</v>
      </c>
      <c r="E577" s="10" t="s">
        <v>197</v>
      </c>
      <c r="F577" s="16">
        <v>0</v>
      </c>
      <c r="G577" s="10" t="s">
        <v>2945</v>
      </c>
    </row>
    <row r="578" spans="1:7" ht="15" customHeight="1" x14ac:dyDescent="0.3">
      <c r="A578" s="16">
        <v>571</v>
      </c>
      <c r="B578" s="10" t="s">
        <v>3030</v>
      </c>
      <c r="C578" s="10" t="s">
        <v>2908</v>
      </c>
      <c r="D578" s="10" t="s">
        <v>216</v>
      </c>
      <c r="E578" s="10" t="s">
        <v>199</v>
      </c>
      <c r="F578" s="16">
        <v>0</v>
      </c>
      <c r="G578" s="10" t="s">
        <v>2935</v>
      </c>
    </row>
    <row r="579" spans="1:7" ht="15" customHeight="1" x14ac:dyDescent="0.3">
      <c r="A579" s="16">
        <v>572</v>
      </c>
      <c r="B579" s="10" t="s">
        <v>3030</v>
      </c>
      <c r="C579" s="10" t="s">
        <v>2908</v>
      </c>
      <c r="D579" s="10" t="s">
        <v>213</v>
      </c>
      <c r="E579" s="10" t="s">
        <v>208</v>
      </c>
      <c r="F579" s="16">
        <v>0</v>
      </c>
      <c r="G579" s="10" t="s">
        <v>2937</v>
      </c>
    </row>
    <row r="580" spans="1:7" ht="15" customHeight="1" x14ac:dyDescent="0.3">
      <c r="A580" s="16">
        <v>573</v>
      </c>
      <c r="B580" s="10" t="s">
        <v>3030</v>
      </c>
      <c r="C580" s="10" t="s">
        <v>2920</v>
      </c>
      <c r="D580" s="10" t="s">
        <v>220</v>
      </c>
      <c r="E580" s="10" t="s">
        <v>224</v>
      </c>
      <c r="F580" s="16">
        <v>0</v>
      </c>
      <c r="G580" s="10" t="s">
        <v>2923</v>
      </c>
    </row>
    <row r="581" spans="1:7" ht="15" customHeight="1" x14ac:dyDescent="0.3">
      <c r="A581" s="16">
        <v>574</v>
      </c>
      <c r="B581" s="10" t="s">
        <v>3030</v>
      </c>
      <c r="C581" s="10" t="s">
        <v>2910</v>
      </c>
      <c r="D581" s="10" t="s">
        <v>207</v>
      </c>
      <c r="E581" s="10" t="s">
        <v>217</v>
      </c>
      <c r="F581" s="16">
        <v>0</v>
      </c>
      <c r="G581" s="10" t="s">
        <v>2931</v>
      </c>
    </row>
    <row r="582" spans="1:7" ht="15" customHeight="1" x14ac:dyDescent="0.3">
      <c r="A582" s="16">
        <v>575</v>
      </c>
      <c r="B582" s="10" t="s">
        <v>3031</v>
      </c>
      <c r="C582" s="10" t="s">
        <v>2913</v>
      </c>
      <c r="D582" s="10" t="s">
        <v>218</v>
      </c>
      <c r="E582" s="10" t="s">
        <v>210</v>
      </c>
      <c r="F582" s="16">
        <v>0</v>
      </c>
      <c r="G582" s="10" t="s">
        <v>2914</v>
      </c>
    </row>
    <row r="583" spans="1:7" ht="15" customHeight="1" x14ac:dyDescent="0.3">
      <c r="A583" s="16">
        <v>576</v>
      </c>
      <c r="B583" s="10" t="s">
        <v>3031</v>
      </c>
      <c r="C583" s="10" t="s">
        <v>2913</v>
      </c>
      <c r="D583" s="10" t="s">
        <v>209</v>
      </c>
      <c r="E583" s="10" t="s">
        <v>222</v>
      </c>
      <c r="F583" s="16">
        <v>0</v>
      </c>
      <c r="G583" s="10" t="s">
        <v>2934</v>
      </c>
    </row>
    <row r="584" spans="1:7" ht="15" customHeight="1" x14ac:dyDescent="0.3">
      <c r="A584" s="16">
        <v>577</v>
      </c>
      <c r="B584" s="10" t="s">
        <v>3031</v>
      </c>
      <c r="C584" s="10" t="s">
        <v>3032</v>
      </c>
      <c r="D584" s="10" t="s">
        <v>215</v>
      </c>
      <c r="E584" s="10" t="s">
        <v>223</v>
      </c>
      <c r="F584" s="16">
        <v>0</v>
      </c>
      <c r="G584" s="10" t="s">
        <v>3033</v>
      </c>
    </row>
    <row r="585" spans="1:7" ht="15" customHeight="1" x14ac:dyDescent="0.3">
      <c r="A585" s="16">
        <v>578</v>
      </c>
      <c r="B585" s="10" t="s">
        <v>3031</v>
      </c>
      <c r="C585" s="10" t="s">
        <v>2908</v>
      </c>
      <c r="D585" s="10" t="s">
        <v>203</v>
      </c>
      <c r="E585" s="10" t="s">
        <v>205</v>
      </c>
      <c r="F585" s="16">
        <v>0</v>
      </c>
      <c r="G585" s="10" t="s">
        <v>2907</v>
      </c>
    </row>
    <row r="586" spans="1:7" ht="15" customHeight="1" x14ac:dyDescent="0.3">
      <c r="A586" s="16">
        <v>579</v>
      </c>
      <c r="B586" s="10" t="s">
        <v>3031</v>
      </c>
      <c r="C586" s="10" t="s">
        <v>2908</v>
      </c>
      <c r="D586" s="10" t="s">
        <v>198</v>
      </c>
      <c r="E586" s="10" t="s">
        <v>219</v>
      </c>
      <c r="F586" s="16">
        <v>0</v>
      </c>
      <c r="G586" s="10" t="s">
        <v>2930</v>
      </c>
    </row>
    <row r="587" spans="1:7" ht="15" customHeight="1" x14ac:dyDescent="0.3">
      <c r="A587" s="16">
        <v>580</v>
      </c>
      <c r="B587" s="10" t="s">
        <v>3031</v>
      </c>
      <c r="C587" s="10" t="s">
        <v>2920</v>
      </c>
      <c r="D587" s="10" t="s">
        <v>212</v>
      </c>
      <c r="E587" s="10" t="s">
        <v>216</v>
      </c>
      <c r="F587" s="16">
        <v>0</v>
      </c>
      <c r="G587" s="10" t="s">
        <v>2909</v>
      </c>
    </row>
    <row r="588" spans="1:7" ht="15" customHeight="1" x14ac:dyDescent="0.3">
      <c r="A588" s="16">
        <v>581</v>
      </c>
      <c r="B588" s="10" t="s">
        <v>3031</v>
      </c>
      <c r="C588" s="10" t="s">
        <v>2924</v>
      </c>
      <c r="D588" s="10" t="s">
        <v>214</v>
      </c>
      <c r="E588" s="10" t="s">
        <v>201</v>
      </c>
      <c r="F588" s="16">
        <v>0</v>
      </c>
      <c r="G588" s="10" t="s">
        <v>2946</v>
      </c>
    </row>
    <row r="589" spans="1:7" ht="15" customHeight="1" x14ac:dyDescent="0.3">
      <c r="A589" s="16">
        <v>582</v>
      </c>
      <c r="B589" s="10" t="s">
        <v>3031</v>
      </c>
      <c r="C589" s="10" t="s">
        <v>2948</v>
      </c>
      <c r="D589" s="10" t="s">
        <v>211</v>
      </c>
      <c r="E589" s="10" t="s">
        <v>204</v>
      </c>
      <c r="F589" s="16">
        <v>0</v>
      </c>
      <c r="G589" s="10" t="s">
        <v>2949</v>
      </c>
    </row>
    <row r="590" spans="1:7" ht="15" customHeight="1" x14ac:dyDescent="0.3">
      <c r="A590" s="16">
        <v>583</v>
      </c>
      <c r="B590" s="10" t="s">
        <v>3031</v>
      </c>
      <c r="C590" s="10" t="s">
        <v>2948</v>
      </c>
      <c r="D590" s="10" t="s">
        <v>200</v>
      </c>
      <c r="E590" s="10" t="s">
        <v>225</v>
      </c>
      <c r="F590" s="16">
        <v>0</v>
      </c>
      <c r="G590" s="10" t="s">
        <v>2940</v>
      </c>
    </row>
    <row r="591" spans="1:7" ht="15" customHeight="1" x14ac:dyDescent="0.3">
      <c r="A591" s="16">
        <v>584</v>
      </c>
      <c r="B591" s="10" t="s">
        <v>3034</v>
      </c>
      <c r="C591" s="10" t="s">
        <v>2913</v>
      </c>
      <c r="D591" s="10" t="s">
        <v>222</v>
      </c>
      <c r="E591" s="10" t="s">
        <v>221</v>
      </c>
      <c r="F591" s="16">
        <v>0</v>
      </c>
      <c r="G591" s="10" t="s">
        <v>2915</v>
      </c>
    </row>
    <row r="592" spans="1:7" ht="15" customHeight="1" x14ac:dyDescent="0.3">
      <c r="A592" s="16">
        <v>585</v>
      </c>
      <c r="B592" s="10" t="s">
        <v>3034</v>
      </c>
      <c r="C592" s="10" t="s">
        <v>2916</v>
      </c>
      <c r="D592" s="10" t="s">
        <v>218</v>
      </c>
      <c r="E592" s="10" t="s">
        <v>209</v>
      </c>
      <c r="F592" s="16">
        <v>0</v>
      </c>
      <c r="G592" s="10" t="s">
        <v>2917</v>
      </c>
    </row>
    <row r="593" spans="1:7" ht="15" customHeight="1" x14ac:dyDescent="0.3">
      <c r="A593" s="16">
        <v>586</v>
      </c>
      <c r="B593" s="10" t="s">
        <v>3034</v>
      </c>
      <c r="C593" s="10" t="s">
        <v>2908</v>
      </c>
      <c r="D593" s="10" t="s">
        <v>206</v>
      </c>
      <c r="E593" s="10" t="s">
        <v>197</v>
      </c>
      <c r="F593" s="16">
        <v>0</v>
      </c>
      <c r="G593" s="10" t="s">
        <v>2945</v>
      </c>
    </row>
    <row r="594" spans="1:7" ht="15" customHeight="1" x14ac:dyDescent="0.3">
      <c r="A594" s="16">
        <v>587</v>
      </c>
      <c r="B594" s="10" t="s">
        <v>3034</v>
      </c>
      <c r="C594" s="10" t="s">
        <v>2908</v>
      </c>
      <c r="D594" s="10" t="s">
        <v>220</v>
      </c>
      <c r="E594" s="10" t="s">
        <v>208</v>
      </c>
      <c r="F594" s="16">
        <v>0</v>
      </c>
      <c r="G594" s="10" t="s">
        <v>2937</v>
      </c>
    </row>
    <row r="595" spans="1:7" ht="15" customHeight="1" x14ac:dyDescent="0.3">
      <c r="A595" s="16">
        <v>588</v>
      </c>
      <c r="B595" s="10" t="s">
        <v>3034</v>
      </c>
      <c r="C595" s="10" t="s">
        <v>2920</v>
      </c>
      <c r="D595" s="10" t="s">
        <v>212</v>
      </c>
      <c r="E595" s="10" t="s">
        <v>224</v>
      </c>
      <c r="F595" s="16">
        <v>0</v>
      </c>
      <c r="G595" s="10" t="s">
        <v>2923</v>
      </c>
    </row>
    <row r="596" spans="1:7" ht="15" customHeight="1" x14ac:dyDescent="0.3">
      <c r="A596" s="16">
        <v>589</v>
      </c>
      <c r="B596" s="10" t="s">
        <v>3034</v>
      </c>
      <c r="C596" s="10" t="s">
        <v>2924</v>
      </c>
      <c r="D596" s="10" t="s">
        <v>202</v>
      </c>
      <c r="E596" s="10" t="s">
        <v>213</v>
      </c>
      <c r="F596" s="16">
        <v>0</v>
      </c>
      <c r="G596" s="10" t="s">
        <v>2938</v>
      </c>
    </row>
    <row r="597" spans="1:7" ht="15" customHeight="1" x14ac:dyDescent="0.3">
      <c r="A597" s="16">
        <v>590</v>
      </c>
      <c r="B597" s="10" t="s">
        <v>3034</v>
      </c>
      <c r="C597" s="10" t="s">
        <v>2924</v>
      </c>
      <c r="D597" s="10" t="s">
        <v>225</v>
      </c>
      <c r="E597" s="10" t="s">
        <v>217</v>
      </c>
      <c r="F597" s="16">
        <v>0</v>
      </c>
      <c r="G597" s="10" t="s">
        <v>2931</v>
      </c>
    </row>
    <row r="598" spans="1:7" ht="15" customHeight="1" x14ac:dyDescent="0.3">
      <c r="A598" s="16">
        <v>591</v>
      </c>
      <c r="B598" s="10" t="s">
        <v>3034</v>
      </c>
      <c r="C598" s="10" t="s">
        <v>2927</v>
      </c>
      <c r="D598" s="10" t="s">
        <v>226</v>
      </c>
      <c r="E598" s="10" t="s">
        <v>207</v>
      </c>
      <c r="F598" s="16">
        <v>0</v>
      </c>
      <c r="G598" s="10" t="s">
        <v>2928</v>
      </c>
    </row>
    <row r="599" spans="1:7" ht="15" customHeight="1" x14ac:dyDescent="0.3">
      <c r="A599" s="16">
        <v>592</v>
      </c>
      <c r="B599" s="10" t="s">
        <v>3035</v>
      </c>
      <c r="C599" s="10" t="s">
        <v>3036</v>
      </c>
      <c r="D599" s="10" t="s">
        <v>214</v>
      </c>
      <c r="E599" s="10" t="s">
        <v>219</v>
      </c>
      <c r="F599" s="16">
        <v>0</v>
      </c>
      <c r="G599" s="10" t="s">
        <v>2930</v>
      </c>
    </row>
    <row r="600" spans="1:7" ht="15" customHeight="1" x14ac:dyDescent="0.3">
      <c r="A600" s="16">
        <v>593</v>
      </c>
      <c r="B600" s="10" t="s">
        <v>3035</v>
      </c>
      <c r="C600" s="10" t="s">
        <v>2908</v>
      </c>
      <c r="D600" s="10" t="s">
        <v>198</v>
      </c>
      <c r="E600" s="10" t="s">
        <v>199</v>
      </c>
      <c r="F600" s="16">
        <v>0</v>
      </c>
      <c r="G600" s="10" t="s">
        <v>2935</v>
      </c>
    </row>
    <row r="601" spans="1:7" ht="15" customHeight="1" x14ac:dyDescent="0.3">
      <c r="A601" s="16">
        <v>594</v>
      </c>
      <c r="B601" s="10" t="s">
        <v>3035</v>
      </c>
      <c r="C601" s="10" t="s">
        <v>2920</v>
      </c>
      <c r="D601" s="10" t="s">
        <v>203</v>
      </c>
      <c r="E601" s="10" t="s">
        <v>216</v>
      </c>
      <c r="F601" s="16">
        <v>0</v>
      </c>
      <c r="G601" s="10" t="s">
        <v>2909</v>
      </c>
    </row>
    <row r="602" spans="1:7" ht="15" customHeight="1" x14ac:dyDescent="0.3">
      <c r="A602" s="16">
        <v>595</v>
      </c>
      <c r="B602" s="10" t="s">
        <v>3035</v>
      </c>
      <c r="C602" s="10" t="s">
        <v>2924</v>
      </c>
      <c r="D602" s="10" t="s">
        <v>202</v>
      </c>
      <c r="E602" s="10" t="s">
        <v>211</v>
      </c>
      <c r="F602" s="16">
        <v>0</v>
      </c>
      <c r="G602" s="10" t="s">
        <v>2925</v>
      </c>
    </row>
    <row r="603" spans="1:7" ht="15" customHeight="1" x14ac:dyDescent="0.3">
      <c r="A603" s="16">
        <v>596</v>
      </c>
      <c r="B603" s="10" t="s">
        <v>3035</v>
      </c>
      <c r="C603" s="10" t="s">
        <v>2927</v>
      </c>
      <c r="D603" s="10" t="s">
        <v>205</v>
      </c>
      <c r="E603" s="10" t="s">
        <v>207</v>
      </c>
      <c r="F603" s="16">
        <v>0</v>
      </c>
      <c r="G603" s="10" t="s">
        <v>2928</v>
      </c>
    </row>
    <row r="604" spans="1:7" ht="15" customHeight="1" x14ac:dyDescent="0.3">
      <c r="A604" s="16">
        <v>597</v>
      </c>
      <c r="B604" s="10" t="s">
        <v>3035</v>
      </c>
      <c r="C604" s="10" t="s">
        <v>2948</v>
      </c>
      <c r="D604" s="10" t="s">
        <v>200</v>
      </c>
      <c r="E604" s="10" t="s">
        <v>204</v>
      </c>
      <c r="F604" s="16">
        <v>0</v>
      </c>
      <c r="G604" s="10" t="s">
        <v>2949</v>
      </c>
    </row>
    <row r="605" spans="1:7" ht="15" customHeight="1" x14ac:dyDescent="0.3">
      <c r="A605" s="16">
        <v>598</v>
      </c>
      <c r="B605" s="10" t="s">
        <v>3037</v>
      </c>
      <c r="C605" s="10" t="s">
        <v>3038</v>
      </c>
      <c r="D605" s="10" t="s">
        <v>223</v>
      </c>
      <c r="E605" s="10" t="s">
        <v>215</v>
      </c>
      <c r="F605" s="16">
        <v>0</v>
      </c>
      <c r="G605" s="10"/>
    </row>
    <row r="606" spans="1:7" ht="15" customHeight="1" x14ac:dyDescent="0.3">
      <c r="A606" s="16">
        <v>599</v>
      </c>
      <c r="B606" s="10" t="s">
        <v>3037</v>
      </c>
      <c r="C606" s="10" t="s">
        <v>2976</v>
      </c>
      <c r="D606" s="10" t="s">
        <v>208</v>
      </c>
      <c r="E606" s="10" t="s">
        <v>226</v>
      </c>
      <c r="F606" s="16">
        <v>0</v>
      </c>
      <c r="G606" s="10" t="s">
        <v>2919</v>
      </c>
    </row>
    <row r="607" spans="1:7" ht="15" customHeight="1" x14ac:dyDescent="0.3">
      <c r="A607" s="16">
        <v>600</v>
      </c>
      <c r="B607" s="10" t="s">
        <v>3037</v>
      </c>
      <c r="C607" s="10" t="s">
        <v>2961</v>
      </c>
      <c r="D607" s="10" t="s">
        <v>224</v>
      </c>
      <c r="E607" s="10" t="s">
        <v>201</v>
      </c>
      <c r="F607" s="16">
        <v>0</v>
      </c>
      <c r="G607" s="10" t="s">
        <v>2946</v>
      </c>
    </row>
    <row r="608" spans="1:7" ht="15" customHeight="1" x14ac:dyDescent="0.3">
      <c r="A608" s="16">
        <v>601</v>
      </c>
      <c r="B608" s="10" t="s">
        <v>3037</v>
      </c>
      <c r="C608" s="10" t="s">
        <v>2961</v>
      </c>
      <c r="D608" s="10" t="s">
        <v>221</v>
      </c>
      <c r="E608" s="10" t="s">
        <v>217</v>
      </c>
      <c r="F608" s="16">
        <v>0</v>
      </c>
      <c r="G608" s="10" t="s">
        <v>2931</v>
      </c>
    </row>
    <row r="609" spans="1:7" ht="15" customHeight="1" x14ac:dyDescent="0.3">
      <c r="A609" s="16">
        <v>602</v>
      </c>
      <c r="B609" s="10" t="s">
        <v>3037</v>
      </c>
      <c r="C609" s="10" t="s">
        <v>2951</v>
      </c>
      <c r="D609" s="10" t="s">
        <v>222</v>
      </c>
      <c r="E609" s="10" t="s">
        <v>225</v>
      </c>
      <c r="F609" s="16">
        <v>0</v>
      </c>
      <c r="G609" s="10" t="s">
        <v>2940</v>
      </c>
    </row>
    <row r="610" spans="1:7" ht="15" customHeight="1" x14ac:dyDescent="0.3">
      <c r="A610" s="16">
        <v>603</v>
      </c>
      <c r="B610" s="10" t="s">
        <v>3037</v>
      </c>
      <c r="C610" s="10" t="s">
        <v>2943</v>
      </c>
      <c r="D610" s="10" t="s">
        <v>206</v>
      </c>
      <c r="E610" s="10" t="s">
        <v>212</v>
      </c>
      <c r="F610" s="16">
        <v>0</v>
      </c>
      <c r="G610" s="10" t="s">
        <v>2922</v>
      </c>
    </row>
    <row r="611" spans="1:7" ht="15" customHeight="1" x14ac:dyDescent="0.3">
      <c r="A611" s="16">
        <v>604</v>
      </c>
      <c r="B611" s="10" t="s">
        <v>3037</v>
      </c>
      <c r="C611" s="10" t="s">
        <v>2924</v>
      </c>
      <c r="D611" s="10" t="s">
        <v>218</v>
      </c>
      <c r="E611" s="10" t="s">
        <v>204</v>
      </c>
      <c r="F611" s="16">
        <v>0</v>
      </c>
      <c r="G611" s="10" t="s">
        <v>2949</v>
      </c>
    </row>
    <row r="612" spans="1:7" ht="15" customHeight="1" x14ac:dyDescent="0.3">
      <c r="A612" s="16">
        <v>605</v>
      </c>
      <c r="B612" s="10" t="s">
        <v>3037</v>
      </c>
      <c r="C612" s="10" t="s">
        <v>2948</v>
      </c>
      <c r="D612" s="10" t="s">
        <v>213</v>
      </c>
      <c r="E612" s="10" t="s">
        <v>210</v>
      </c>
      <c r="F612" s="16">
        <v>0</v>
      </c>
      <c r="G612" s="10" t="s">
        <v>2914</v>
      </c>
    </row>
    <row r="613" spans="1:7" ht="15" customHeight="1" x14ac:dyDescent="0.3">
      <c r="A613" s="16">
        <v>606</v>
      </c>
      <c r="B613" s="10" t="s">
        <v>3039</v>
      </c>
      <c r="C613" s="10" t="s">
        <v>2916</v>
      </c>
      <c r="D613" s="10" t="s">
        <v>220</v>
      </c>
      <c r="E613" s="10" t="s">
        <v>209</v>
      </c>
      <c r="F613" s="16">
        <v>0</v>
      </c>
      <c r="G613" s="10" t="s">
        <v>2917</v>
      </c>
    </row>
    <row r="614" spans="1:7" ht="15" customHeight="1" x14ac:dyDescent="0.3">
      <c r="A614" s="16">
        <v>607</v>
      </c>
      <c r="B614" s="10" t="s">
        <v>3039</v>
      </c>
      <c r="C614" s="10" t="s">
        <v>3009</v>
      </c>
      <c r="D614" s="10" t="s">
        <v>205</v>
      </c>
      <c r="E614" s="10" t="s">
        <v>202</v>
      </c>
      <c r="F614" s="16">
        <v>0</v>
      </c>
      <c r="G614" s="10" t="s">
        <v>2944</v>
      </c>
    </row>
    <row r="615" spans="1:7" ht="15" customHeight="1" x14ac:dyDescent="0.3">
      <c r="A615" s="16">
        <v>608</v>
      </c>
      <c r="B615" s="10" t="s">
        <v>3039</v>
      </c>
      <c r="C615" s="10" t="s">
        <v>3010</v>
      </c>
      <c r="D615" s="10" t="s">
        <v>219</v>
      </c>
      <c r="E615" s="10" t="s">
        <v>197</v>
      </c>
      <c r="F615" s="16">
        <v>0</v>
      </c>
      <c r="G615" s="10" t="s">
        <v>2945</v>
      </c>
    </row>
    <row r="616" spans="1:7" ht="15" customHeight="1" x14ac:dyDescent="0.3">
      <c r="A616" s="16">
        <v>609</v>
      </c>
      <c r="B616" s="10" t="s">
        <v>3039</v>
      </c>
      <c r="C616" s="10" t="s">
        <v>2906</v>
      </c>
      <c r="D616" s="10" t="s">
        <v>199</v>
      </c>
      <c r="E616" s="10" t="s">
        <v>226</v>
      </c>
      <c r="F616" s="16">
        <v>0</v>
      </c>
      <c r="G616" s="10" t="s">
        <v>2919</v>
      </c>
    </row>
    <row r="617" spans="1:7" ht="15" customHeight="1" x14ac:dyDescent="0.3">
      <c r="A617" s="16">
        <v>610</v>
      </c>
      <c r="B617" s="10" t="s">
        <v>3039</v>
      </c>
      <c r="C617" s="10" t="s">
        <v>2951</v>
      </c>
      <c r="D617" s="10" t="s">
        <v>214</v>
      </c>
      <c r="E617" s="10" t="s">
        <v>216</v>
      </c>
      <c r="F617" s="16">
        <v>0</v>
      </c>
      <c r="G617" s="10" t="s">
        <v>2909</v>
      </c>
    </row>
    <row r="618" spans="1:7" ht="15" customHeight="1" x14ac:dyDescent="0.3">
      <c r="A618" s="16">
        <v>611</v>
      </c>
      <c r="B618" s="10" t="s">
        <v>3039</v>
      </c>
      <c r="C618" s="10" t="s">
        <v>2920</v>
      </c>
      <c r="D618" s="10" t="s">
        <v>207</v>
      </c>
      <c r="E618" s="10" t="s">
        <v>211</v>
      </c>
      <c r="F618" s="16">
        <v>0</v>
      </c>
      <c r="G618" s="10" t="s">
        <v>2925</v>
      </c>
    </row>
    <row r="619" spans="1:7" ht="15" customHeight="1" x14ac:dyDescent="0.3">
      <c r="A619" s="16">
        <v>612</v>
      </c>
      <c r="B619" s="10" t="s">
        <v>3039</v>
      </c>
      <c r="C619" s="10" t="s">
        <v>2924</v>
      </c>
      <c r="D619" s="10" t="s">
        <v>217</v>
      </c>
      <c r="E619" s="10" t="s">
        <v>203</v>
      </c>
      <c r="F619" s="16">
        <v>0</v>
      </c>
      <c r="G619" s="10" t="s">
        <v>2947</v>
      </c>
    </row>
    <row r="620" spans="1:7" ht="15" customHeight="1" x14ac:dyDescent="0.3">
      <c r="A620" s="16">
        <v>613</v>
      </c>
      <c r="B620" s="10" t="s">
        <v>3040</v>
      </c>
      <c r="C620" s="10" t="s">
        <v>2913</v>
      </c>
      <c r="D620" s="10" t="s">
        <v>225</v>
      </c>
      <c r="E620" s="10" t="s">
        <v>204</v>
      </c>
      <c r="F620" s="16">
        <v>0</v>
      </c>
      <c r="G620" s="10" t="s">
        <v>2949</v>
      </c>
    </row>
    <row r="621" spans="1:7" ht="15" customHeight="1" x14ac:dyDescent="0.3">
      <c r="A621" s="16">
        <v>614</v>
      </c>
      <c r="B621" s="10" t="s">
        <v>3040</v>
      </c>
      <c r="C621" s="10" t="s">
        <v>2913</v>
      </c>
      <c r="D621" s="10" t="s">
        <v>210</v>
      </c>
      <c r="E621" s="10" t="s">
        <v>222</v>
      </c>
      <c r="F621" s="16">
        <v>0</v>
      </c>
      <c r="G621" s="10" t="s">
        <v>2934</v>
      </c>
    </row>
    <row r="622" spans="1:7" ht="15" customHeight="1" x14ac:dyDescent="0.3">
      <c r="A622" s="16">
        <v>615</v>
      </c>
      <c r="B622" s="10" t="s">
        <v>3040</v>
      </c>
      <c r="C622" s="10" t="s">
        <v>2908</v>
      </c>
      <c r="D622" s="10" t="s">
        <v>206</v>
      </c>
      <c r="E622" s="10" t="s">
        <v>218</v>
      </c>
      <c r="F622" s="16">
        <v>0</v>
      </c>
      <c r="G622" s="10" t="s">
        <v>2918</v>
      </c>
    </row>
    <row r="623" spans="1:7" ht="15" customHeight="1" x14ac:dyDescent="0.3">
      <c r="A623" s="16">
        <v>616</v>
      </c>
      <c r="B623" s="10" t="s">
        <v>3040</v>
      </c>
      <c r="C623" s="10" t="s">
        <v>2908</v>
      </c>
      <c r="D623" s="10" t="s">
        <v>208</v>
      </c>
      <c r="E623" s="10" t="s">
        <v>219</v>
      </c>
      <c r="F623" s="16">
        <v>0</v>
      </c>
      <c r="G623" s="10" t="s">
        <v>2930</v>
      </c>
    </row>
    <row r="624" spans="1:7" ht="15" customHeight="1" x14ac:dyDescent="0.3">
      <c r="A624" s="16">
        <v>617</v>
      </c>
      <c r="B624" s="10" t="s">
        <v>3040</v>
      </c>
      <c r="C624" s="10" t="s">
        <v>2908</v>
      </c>
      <c r="D624" s="10" t="s">
        <v>201</v>
      </c>
      <c r="E624" s="10" t="s">
        <v>224</v>
      </c>
      <c r="F624" s="16">
        <v>0</v>
      </c>
      <c r="G624" s="10" t="s">
        <v>2923</v>
      </c>
    </row>
    <row r="625" spans="1:7" ht="15" customHeight="1" x14ac:dyDescent="0.3">
      <c r="A625" s="16">
        <v>618</v>
      </c>
      <c r="B625" s="10" t="s">
        <v>3040</v>
      </c>
      <c r="C625" s="10" t="s">
        <v>2920</v>
      </c>
      <c r="D625" s="10" t="s">
        <v>221</v>
      </c>
      <c r="E625" s="10" t="s">
        <v>212</v>
      </c>
      <c r="F625" s="16">
        <v>0</v>
      </c>
      <c r="G625" s="10" t="s">
        <v>2922</v>
      </c>
    </row>
    <row r="626" spans="1:7" ht="15" customHeight="1" x14ac:dyDescent="0.3">
      <c r="A626" s="16">
        <v>619</v>
      </c>
      <c r="B626" s="10" t="s">
        <v>3040</v>
      </c>
      <c r="C626" s="10" t="s">
        <v>2924</v>
      </c>
      <c r="D626" s="10" t="s">
        <v>200</v>
      </c>
      <c r="E626" s="10" t="s">
        <v>203</v>
      </c>
      <c r="F626" s="16">
        <v>0</v>
      </c>
      <c r="G626" s="10" t="s">
        <v>2947</v>
      </c>
    </row>
    <row r="627" spans="1:7" ht="15" customHeight="1" x14ac:dyDescent="0.3">
      <c r="A627" s="16">
        <v>620</v>
      </c>
      <c r="B627" s="10" t="s">
        <v>3041</v>
      </c>
      <c r="C627" s="10" t="s">
        <v>2913</v>
      </c>
      <c r="D627" s="10" t="s">
        <v>213</v>
      </c>
      <c r="E627" s="10" t="s">
        <v>222</v>
      </c>
      <c r="F627" s="16">
        <v>0</v>
      </c>
      <c r="G627" s="10" t="s">
        <v>2934</v>
      </c>
    </row>
    <row r="628" spans="1:7" ht="15" customHeight="1" x14ac:dyDescent="0.3">
      <c r="A628" s="16">
        <v>621</v>
      </c>
      <c r="B628" s="10" t="s">
        <v>3041</v>
      </c>
      <c r="C628" s="10" t="s">
        <v>2908</v>
      </c>
      <c r="D628" s="10" t="s">
        <v>221</v>
      </c>
      <c r="E628" s="10" t="s">
        <v>197</v>
      </c>
      <c r="F628" s="16">
        <v>0</v>
      </c>
      <c r="G628" s="10" t="s">
        <v>2945</v>
      </c>
    </row>
    <row r="629" spans="1:7" ht="15" customHeight="1" x14ac:dyDescent="0.3">
      <c r="A629" s="16">
        <v>622</v>
      </c>
      <c r="B629" s="10" t="s">
        <v>3041</v>
      </c>
      <c r="C629" s="10" t="s">
        <v>2908</v>
      </c>
      <c r="D629" s="10" t="s">
        <v>201</v>
      </c>
      <c r="E629" s="10" t="s">
        <v>198</v>
      </c>
      <c r="F629" s="16">
        <v>0</v>
      </c>
      <c r="G629" s="10" t="s">
        <v>2921</v>
      </c>
    </row>
    <row r="630" spans="1:7" ht="15" customHeight="1" x14ac:dyDescent="0.3">
      <c r="A630" s="16">
        <v>623</v>
      </c>
      <c r="B630" s="10" t="s">
        <v>3041</v>
      </c>
      <c r="C630" s="10" t="s">
        <v>2920</v>
      </c>
      <c r="D630" s="10" t="s">
        <v>208</v>
      </c>
      <c r="E630" s="10" t="s">
        <v>199</v>
      </c>
      <c r="F630" s="16">
        <v>0</v>
      </c>
      <c r="G630" s="10" t="s">
        <v>2935</v>
      </c>
    </row>
    <row r="631" spans="1:7" ht="15" customHeight="1" x14ac:dyDescent="0.3">
      <c r="A631" s="16">
        <v>624</v>
      </c>
      <c r="B631" s="10" t="s">
        <v>3041</v>
      </c>
      <c r="C631" s="10" t="s">
        <v>2920</v>
      </c>
      <c r="D631" s="10" t="s">
        <v>224</v>
      </c>
      <c r="E631" s="10" t="s">
        <v>216</v>
      </c>
      <c r="F631" s="16">
        <v>0</v>
      </c>
      <c r="G631" s="10" t="s">
        <v>2909</v>
      </c>
    </row>
    <row r="632" spans="1:7" ht="15" customHeight="1" x14ac:dyDescent="0.3">
      <c r="A632" s="16">
        <v>625</v>
      </c>
      <c r="B632" s="10" t="s">
        <v>3041</v>
      </c>
      <c r="C632" s="10" t="s">
        <v>2924</v>
      </c>
      <c r="D632" s="10" t="s">
        <v>207</v>
      </c>
      <c r="E632" s="10" t="s">
        <v>214</v>
      </c>
      <c r="F632" s="16">
        <v>0</v>
      </c>
      <c r="G632" s="10" t="s">
        <v>2952</v>
      </c>
    </row>
    <row r="633" spans="1:7" ht="15" customHeight="1" x14ac:dyDescent="0.3">
      <c r="A633" s="16">
        <v>626</v>
      </c>
      <c r="B633" s="10" t="s">
        <v>3041</v>
      </c>
      <c r="C633" s="10" t="s">
        <v>2924</v>
      </c>
      <c r="D633" s="10" t="s">
        <v>217</v>
      </c>
      <c r="E633" s="10" t="s">
        <v>215</v>
      </c>
      <c r="F633" s="16">
        <v>0</v>
      </c>
      <c r="G633" s="10" t="s">
        <v>2926</v>
      </c>
    </row>
    <row r="634" spans="1:7" ht="15" customHeight="1" x14ac:dyDescent="0.3">
      <c r="A634" s="16">
        <v>627</v>
      </c>
      <c r="B634" s="10" t="s">
        <v>3041</v>
      </c>
      <c r="C634" s="10" t="s">
        <v>2948</v>
      </c>
      <c r="D634" s="10" t="s">
        <v>211</v>
      </c>
      <c r="E634" s="10" t="s">
        <v>220</v>
      </c>
      <c r="F634" s="16">
        <v>0</v>
      </c>
      <c r="G634" s="10" t="s">
        <v>2942</v>
      </c>
    </row>
    <row r="635" spans="1:7" ht="15" customHeight="1" x14ac:dyDescent="0.3">
      <c r="A635" s="16">
        <v>628</v>
      </c>
      <c r="B635" s="10" t="s">
        <v>3041</v>
      </c>
      <c r="C635" s="10" t="s">
        <v>2948</v>
      </c>
      <c r="D635" s="10" t="s">
        <v>209</v>
      </c>
      <c r="E635" s="10" t="s">
        <v>225</v>
      </c>
      <c r="F635" s="16">
        <v>0</v>
      </c>
      <c r="G635" s="10" t="s">
        <v>2940</v>
      </c>
    </row>
    <row r="636" spans="1:7" ht="15" customHeight="1" x14ac:dyDescent="0.3">
      <c r="A636" s="16">
        <v>629</v>
      </c>
      <c r="B636" s="10" t="s">
        <v>3041</v>
      </c>
      <c r="C636" s="10" t="s">
        <v>2910</v>
      </c>
      <c r="D636" s="10" t="s">
        <v>212</v>
      </c>
      <c r="E636" s="10" t="s">
        <v>223</v>
      </c>
      <c r="F636" s="16">
        <v>0</v>
      </c>
      <c r="G636" s="10" t="s">
        <v>2911</v>
      </c>
    </row>
    <row r="637" spans="1:7" ht="15" customHeight="1" x14ac:dyDescent="0.3">
      <c r="A637" s="16">
        <v>630</v>
      </c>
      <c r="B637" s="10" t="s">
        <v>3042</v>
      </c>
      <c r="C637" s="10" t="s">
        <v>2913</v>
      </c>
      <c r="D637" s="10" t="s">
        <v>210</v>
      </c>
      <c r="E637" s="10" t="s">
        <v>206</v>
      </c>
      <c r="F637" s="16">
        <v>0</v>
      </c>
      <c r="G637" s="10" t="s">
        <v>2933</v>
      </c>
    </row>
    <row r="638" spans="1:7" ht="15" customHeight="1" x14ac:dyDescent="0.3">
      <c r="A638" s="16">
        <v>631</v>
      </c>
      <c r="B638" s="10" t="s">
        <v>3042</v>
      </c>
      <c r="C638" s="10" t="s">
        <v>2920</v>
      </c>
      <c r="D638" s="10" t="s">
        <v>202</v>
      </c>
      <c r="E638" s="10" t="s">
        <v>198</v>
      </c>
      <c r="F638" s="16">
        <v>0</v>
      </c>
      <c r="G638" s="10" t="s">
        <v>2921</v>
      </c>
    </row>
    <row r="639" spans="1:7" ht="15" customHeight="1" x14ac:dyDescent="0.3">
      <c r="A639" s="16">
        <v>632</v>
      </c>
      <c r="B639" s="10" t="s">
        <v>3042</v>
      </c>
      <c r="C639" s="10" t="s">
        <v>2920</v>
      </c>
      <c r="D639" s="10" t="s">
        <v>219</v>
      </c>
      <c r="E639" s="10" t="s">
        <v>199</v>
      </c>
      <c r="F639" s="16">
        <v>0</v>
      </c>
      <c r="G639" s="10" t="s">
        <v>2935</v>
      </c>
    </row>
    <row r="640" spans="1:7" ht="15" customHeight="1" x14ac:dyDescent="0.3">
      <c r="A640" s="16">
        <v>633</v>
      </c>
      <c r="B640" s="10" t="s">
        <v>3042</v>
      </c>
      <c r="C640" s="10" t="s">
        <v>2948</v>
      </c>
      <c r="D640" s="10" t="s">
        <v>226</v>
      </c>
      <c r="E640" s="10" t="s">
        <v>204</v>
      </c>
      <c r="F640" s="16">
        <v>0</v>
      </c>
      <c r="G640" s="10" t="s">
        <v>2949</v>
      </c>
    </row>
    <row r="641" spans="1:7" ht="15" customHeight="1" x14ac:dyDescent="0.3">
      <c r="A641" s="16">
        <v>634</v>
      </c>
      <c r="B641" s="10" t="s">
        <v>3043</v>
      </c>
      <c r="C641" s="10" t="s">
        <v>2913</v>
      </c>
      <c r="D641" s="10" t="s">
        <v>213</v>
      </c>
      <c r="E641" s="10" t="s">
        <v>206</v>
      </c>
      <c r="F641" s="16">
        <v>0</v>
      </c>
      <c r="G641" s="10" t="s">
        <v>2933</v>
      </c>
    </row>
    <row r="642" spans="1:7" ht="15" customHeight="1" x14ac:dyDescent="0.3">
      <c r="A642" s="16">
        <v>635</v>
      </c>
      <c r="B642" s="10" t="s">
        <v>3043</v>
      </c>
      <c r="C642" s="10" t="s">
        <v>2913</v>
      </c>
      <c r="D642" s="10" t="s">
        <v>222</v>
      </c>
      <c r="E642" s="10" t="s">
        <v>210</v>
      </c>
      <c r="F642" s="16">
        <v>0</v>
      </c>
      <c r="G642" s="10" t="s">
        <v>2914</v>
      </c>
    </row>
    <row r="643" spans="1:7" ht="15" customHeight="1" x14ac:dyDescent="0.3">
      <c r="A643" s="16">
        <v>636</v>
      </c>
      <c r="B643" s="10" t="s">
        <v>3043</v>
      </c>
      <c r="C643" s="10" t="s">
        <v>2916</v>
      </c>
      <c r="D643" s="10" t="s">
        <v>226</v>
      </c>
      <c r="E643" s="10" t="s">
        <v>209</v>
      </c>
      <c r="F643" s="16">
        <v>0</v>
      </c>
      <c r="G643" s="10" t="s">
        <v>2917</v>
      </c>
    </row>
    <row r="644" spans="1:7" ht="15" customHeight="1" x14ac:dyDescent="0.3">
      <c r="A644" s="16">
        <v>637</v>
      </c>
      <c r="B644" s="10" t="s">
        <v>3043</v>
      </c>
      <c r="C644" s="10" t="s">
        <v>2908</v>
      </c>
      <c r="D644" s="10" t="s">
        <v>216</v>
      </c>
      <c r="E644" s="10" t="s">
        <v>197</v>
      </c>
      <c r="F644" s="16">
        <v>0</v>
      </c>
      <c r="G644" s="10" t="s">
        <v>2945</v>
      </c>
    </row>
    <row r="645" spans="1:7" ht="15" customHeight="1" x14ac:dyDescent="0.3">
      <c r="A645" s="16">
        <v>638</v>
      </c>
      <c r="B645" s="10" t="s">
        <v>3043</v>
      </c>
      <c r="C645" s="10" t="s">
        <v>2908</v>
      </c>
      <c r="D645" s="10" t="s">
        <v>207</v>
      </c>
      <c r="E645" s="10" t="s">
        <v>200</v>
      </c>
      <c r="F645" s="16">
        <v>0</v>
      </c>
      <c r="G645" s="10" t="s">
        <v>2936</v>
      </c>
    </row>
    <row r="646" spans="1:7" ht="15" customHeight="1" x14ac:dyDescent="0.3">
      <c r="A646" s="16">
        <v>639</v>
      </c>
      <c r="B646" s="10" t="s">
        <v>3043</v>
      </c>
      <c r="C646" s="10" t="s">
        <v>2908</v>
      </c>
      <c r="D646" s="10" t="s">
        <v>221</v>
      </c>
      <c r="E646" s="10" t="s">
        <v>218</v>
      </c>
      <c r="F646" s="16">
        <v>0</v>
      </c>
      <c r="G646" s="10" t="s">
        <v>2918</v>
      </c>
    </row>
    <row r="647" spans="1:7" ht="15" customHeight="1" x14ac:dyDescent="0.3">
      <c r="A647" s="16">
        <v>640</v>
      </c>
      <c r="B647" s="10" t="s">
        <v>3043</v>
      </c>
      <c r="C647" s="10" t="s">
        <v>2920</v>
      </c>
      <c r="D647" s="10" t="s">
        <v>208</v>
      </c>
      <c r="E647" s="10" t="s">
        <v>205</v>
      </c>
      <c r="F647" s="16">
        <v>0</v>
      </c>
      <c r="G647" s="10" t="s">
        <v>2907</v>
      </c>
    </row>
    <row r="648" spans="1:7" ht="15" customHeight="1" x14ac:dyDescent="0.3">
      <c r="A648" s="16">
        <v>641</v>
      </c>
      <c r="B648" s="10" t="s">
        <v>3043</v>
      </c>
      <c r="C648" s="10" t="s">
        <v>2924</v>
      </c>
      <c r="D648" s="10" t="s">
        <v>203</v>
      </c>
      <c r="E648" s="10" t="s">
        <v>215</v>
      </c>
      <c r="F648" s="16">
        <v>0</v>
      </c>
      <c r="G648" s="10" t="s">
        <v>2926</v>
      </c>
    </row>
    <row r="649" spans="1:7" ht="15" customHeight="1" x14ac:dyDescent="0.3">
      <c r="A649" s="16">
        <v>642</v>
      </c>
      <c r="B649" s="10" t="s">
        <v>3043</v>
      </c>
      <c r="C649" s="10" t="s">
        <v>2924</v>
      </c>
      <c r="D649" s="10" t="s">
        <v>211</v>
      </c>
      <c r="E649" s="10" t="s">
        <v>217</v>
      </c>
      <c r="F649" s="16">
        <v>0</v>
      </c>
      <c r="G649" s="10" t="s">
        <v>2931</v>
      </c>
    </row>
    <row r="650" spans="1:7" ht="15" customHeight="1" x14ac:dyDescent="0.3">
      <c r="A650" s="16">
        <v>643</v>
      </c>
      <c r="B650" s="10" t="s">
        <v>3043</v>
      </c>
      <c r="C650" s="10" t="s">
        <v>2948</v>
      </c>
      <c r="D650" s="10" t="s">
        <v>225</v>
      </c>
      <c r="E650" s="10" t="s">
        <v>220</v>
      </c>
      <c r="F650" s="16">
        <v>0</v>
      </c>
      <c r="G650" s="10" t="s">
        <v>2942</v>
      </c>
    </row>
    <row r="651" spans="1:7" ht="15" customHeight="1" x14ac:dyDescent="0.3">
      <c r="A651" s="16">
        <v>644</v>
      </c>
      <c r="B651" s="10" t="s">
        <v>3043</v>
      </c>
      <c r="C651" s="10" t="s">
        <v>2910</v>
      </c>
      <c r="D651" s="10" t="s">
        <v>214</v>
      </c>
      <c r="E651" s="10" t="s">
        <v>223</v>
      </c>
      <c r="F651" s="16">
        <v>0</v>
      </c>
      <c r="G651" s="10" t="s">
        <v>2911</v>
      </c>
    </row>
    <row r="652" spans="1:7" ht="15" customHeight="1" x14ac:dyDescent="0.3">
      <c r="A652" s="16">
        <v>645</v>
      </c>
      <c r="B652" s="10" t="s">
        <v>3044</v>
      </c>
      <c r="C652" s="10" t="s">
        <v>2951</v>
      </c>
      <c r="D652" s="10" t="s">
        <v>219</v>
      </c>
      <c r="E652" s="10" t="s">
        <v>201</v>
      </c>
      <c r="F652" s="16">
        <v>0</v>
      </c>
      <c r="G652" s="10" t="s">
        <v>2946</v>
      </c>
    </row>
    <row r="653" spans="1:7" ht="15" customHeight="1" x14ac:dyDescent="0.3">
      <c r="A653" s="16">
        <v>646</v>
      </c>
      <c r="B653" s="10" t="s">
        <v>3044</v>
      </c>
      <c r="C653" s="10" t="s">
        <v>2943</v>
      </c>
      <c r="D653" s="10" t="s">
        <v>224</v>
      </c>
      <c r="E653" s="10" t="s">
        <v>198</v>
      </c>
      <c r="F653" s="16">
        <v>0</v>
      </c>
      <c r="G653" s="10" t="s">
        <v>2921</v>
      </c>
    </row>
    <row r="654" spans="1:7" ht="15" customHeight="1" x14ac:dyDescent="0.3">
      <c r="A654" s="16">
        <v>647</v>
      </c>
      <c r="B654" s="10" t="s">
        <v>3044</v>
      </c>
      <c r="C654" s="10" t="s">
        <v>2908</v>
      </c>
      <c r="D654" s="10" t="s">
        <v>200</v>
      </c>
      <c r="E654" s="10" t="s">
        <v>199</v>
      </c>
      <c r="F654" s="16">
        <v>0</v>
      </c>
      <c r="G654" s="10" t="s">
        <v>2935</v>
      </c>
    </row>
    <row r="655" spans="1:7" ht="15" customHeight="1" x14ac:dyDescent="0.3">
      <c r="A655" s="16">
        <v>648</v>
      </c>
      <c r="B655" s="10" t="s">
        <v>3044</v>
      </c>
      <c r="C655" s="10" t="s">
        <v>2924</v>
      </c>
      <c r="D655" s="10" t="s">
        <v>202</v>
      </c>
      <c r="E655" s="10" t="s">
        <v>203</v>
      </c>
      <c r="F655" s="16">
        <v>0</v>
      </c>
      <c r="G655" s="10" t="s">
        <v>2947</v>
      </c>
    </row>
    <row r="656" spans="1:7" ht="15" customHeight="1" x14ac:dyDescent="0.3">
      <c r="A656" s="16">
        <v>649</v>
      </c>
      <c r="B656" s="10" t="s">
        <v>3044</v>
      </c>
      <c r="C656" s="10" t="s">
        <v>2924</v>
      </c>
      <c r="D656" s="10" t="s">
        <v>197</v>
      </c>
      <c r="E656" s="10" t="s">
        <v>212</v>
      </c>
      <c r="F656" s="16">
        <v>0</v>
      </c>
      <c r="G656" s="10" t="s">
        <v>2922</v>
      </c>
    </row>
    <row r="657" spans="1:7" ht="15" customHeight="1" x14ac:dyDescent="0.3">
      <c r="A657" s="16">
        <v>650</v>
      </c>
      <c r="B657" s="10" t="s">
        <v>3044</v>
      </c>
      <c r="C657" s="10" t="s">
        <v>2948</v>
      </c>
      <c r="D657" s="10" t="s">
        <v>213</v>
      </c>
      <c r="E657" s="10" t="s">
        <v>204</v>
      </c>
      <c r="F657" s="16">
        <v>0</v>
      </c>
      <c r="G657" s="10" t="s">
        <v>2949</v>
      </c>
    </row>
    <row r="658" spans="1:7" ht="15" customHeight="1" x14ac:dyDescent="0.3">
      <c r="A658" s="16">
        <v>651</v>
      </c>
      <c r="B658" s="10" t="s">
        <v>3045</v>
      </c>
      <c r="C658" s="10" t="s">
        <v>2961</v>
      </c>
      <c r="D658" s="10" t="s">
        <v>221</v>
      </c>
      <c r="E658" s="10" t="s">
        <v>223</v>
      </c>
      <c r="F658" s="16">
        <v>0</v>
      </c>
      <c r="G658" s="10" t="s">
        <v>2911</v>
      </c>
    </row>
    <row r="659" spans="1:7" ht="15" customHeight="1" x14ac:dyDescent="0.3">
      <c r="A659" s="16">
        <v>652</v>
      </c>
      <c r="B659" s="10" t="s">
        <v>3045</v>
      </c>
      <c r="C659" s="10" t="s">
        <v>2977</v>
      </c>
      <c r="D659" s="10" t="s">
        <v>226</v>
      </c>
      <c r="E659" s="10" t="s">
        <v>210</v>
      </c>
      <c r="F659" s="16">
        <v>0</v>
      </c>
      <c r="G659" s="10" t="s">
        <v>2914</v>
      </c>
    </row>
    <row r="660" spans="1:7" ht="15" customHeight="1" x14ac:dyDescent="0.3">
      <c r="A660" s="16">
        <v>653</v>
      </c>
      <c r="B660" s="10" t="s">
        <v>3045</v>
      </c>
      <c r="C660" s="10" t="s">
        <v>2977</v>
      </c>
      <c r="D660" s="10" t="s">
        <v>225</v>
      </c>
      <c r="E660" s="10" t="s">
        <v>220</v>
      </c>
      <c r="F660" s="16">
        <v>0</v>
      </c>
      <c r="G660" s="10" t="s">
        <v>2942</v>
      </c>
    </row>
    <row r="661" spans="1:7" ht="15" customHeight="1" x14ac:dyDescent="0.3">
      <c r="A661" s="16">
        <v>654</v>
      </c>
      <c r="B661" s="10" t="s">
        <v>3045</v>
      </c>
      <c r="C661" s="10" t="s">
        <v>2943</v>
      </c>
      <c r="D661" s="10" t="s">
        <v>214</v>
      </c>
      <c r="E661" s="10" t="s">
        <v>205</v>
      </c>
      <c r="F661" s="16">
        <v>0</v>
      </c>
      <c r="G661" s="10" t="s">
        <v>2907</v>
      </c>
    </row>
    <row r="662" spans="1:7" ht="15" customHeight="1" x14ac:dyDescent="0.3">
      <c r="A662" s="16">
        <v>655</v>
      </c>
      <c r="B662" s="10" t="s">
        <v>3045</v>
      </c>
      <c r="C662" s="10" t="s">
        <v>2943</v>
      </c>
      <c r="D662" s="10" t="s">
        <v>207</v>
      </c>
      <c r="E662" s="10" t="s">
        <v>218</v>
      </c>
      <c r="F662" s="16">
        <v>0</v>
      </c>
      <c r="G662" s="10" t="s">
        <v>2918</v>
      </c>
    </row>
    <row r="663" spans="1:7" ht="15" customHeight="1" x14ac:dyDescent="0.3">
      <c r="A663" s="16">
        <v>656</v>
      </c>
      <c r="B663" s="10" t="s">
        <v>3045</v>
      </c>
      <c r="C663" s="10" t="s">
        <v>2908</v>
      </c>
      <c r="D663" s="10" t="s">
        <v>209</v>
      </c>
      <c r="E663" s="10" t="s">
        <v>216</v>
      </c>
      <c r="F663" s="16">
        <v>0</v>
      </c>
      <c r="G663" s="10" t="s">
        <v>2909</v>
      </c>
    </row>
    <row r="664" spans="1:7" ht="15" customHeight="1" x14ac:dyDescent="0.3">
      <c r="A664" s="16">
        <v>657</v>
      </c>
      <c r="B664" s="10" t="s">
        <v>3045</v>
      </c>
      <c r="C664" s="10" t="s">
        <v>2927</v>
      </c>
      <c r="D664" s="10" t="s">
        <v>217</v>
      </c>
      <c r="E664" s="10" t="s">
        <v>206</v>
      </c>
      <c r="F664" s="16">
        <v>0</v>
      </c>
      <c r="G664" s="10" t="s">
        <v>2933</v>
      </c>
    </row>
    <row r="665" spans="1:7" ht="15" customHeight="1" x14ac:dyDescent="0.3">
      <c r="A665" s="16">
        <v>658</v>
      </c>
      <c r="B665" s="10" t="s">
        <v>3046</v>
      </c>
      <c r="C665" s="10" t="s">
        <v>2908</v>
      </c>
      <c r="D665" s="10" t="s">
        <v>224</v>
      </c>
      <c r="E665" s="10" t="s">
        <v>199</v>
      </c>
      <c r="F665" s="16">
        <v>0</v>
      </c>
      <c r="G665" s="10" t="s">
        <v>2935</v>
      </c>
    </row>
    <row r="666" spans="1:7" ht="15" customHeight="1" x14ac:dyDescent="0.3">
      <c r="A666" s="16">
        <v>659</v>
      </c>
      <c r="B666" s="10" t="s">
        <v>3046</v>
      </c>
      <c r="C666" s="10" t="s">
        <v>2908</v>
      </c>
      <c r="D666" s="10" t="s">
        <v>218</v>
      </c>
      <c r="E666" s="10" t="s">
        <v>200</v>
      </c>
      <c r="F666" s="16">
        <v>0</v>
      </c>
      <c r="G666" s="10" t="s">
        <v>2936</v>
      </c>
    </row>
    <row r="667" spans="1:7" ht="15" customHeight="1" x14ac:dyDescent="0.3">
      <c r="A667" s="16">
        <v>660</v>
      </c>
      <c r="B667" s="10" t="s">
        <v>3046</v>
      </c>
      <c r="C667" s="10" t="s">
        <v>2908</v>
      </c>
      <c r="D667" s="10" t="s">
        <v>209</v>
      </c>
      <c r="E667" s="10" t="s">
        <v>219</v>
      </c>
      <c r="F667" s="16">
        <v>0</v>
      </c>
      <c r="G667" s="10" t="s">
        <v>2930</v>
      </c>
    </row>
    <row r="668" spans="1:7" ht="15" customHeight="1" x14ac:dyDescent="0.3">
      <c r="A668" s="16">
        <v>661</v>
      </c>
      <c r="B668" s="10" t="s">
        <v>3046</v>
      </c>
      <c r="C668" s="10" t="s">
        <v>2920</v>
      </c>
      <c r="D668" s="10" t="s">
        <v>212</v>
      </c>
      <c r="E668" s="10" t="s">
        <v>198</v>
      </c>
      <c r="F668" s="16">
        <v>0</v>
      </c>
      <c r="G668" s="10" t="s">
        <v>2921</v>
      </c>
    </row>
    <row r="669" spans="1:7" ht="15" customHeight="1" x14ac:dyDescent="0.3">
      <c r="A669" s="16">
        <v>662</v>
      </c>
      <c r="B669" s="10" t="s">
        <v>3046</v>
      </c>
      <c r="C669" s="10" t="s">
        <v>2924</v>
      </c>
      <c r="D669" s="10" t="s">
        <v>203</v>
      </c>
      <c r="E669" s="10" t="s">
        <v>201</v>
      </c>
      <c r="F669" s="16">
        <v>0</v>
      </c>
      <c r="G669" s="10" t="s">
        <v>2946</v>
      </c>
    </row>
    <row r="670" spans="1:7" ht="15" customHeight="1" x14ac:dyDescent="0.3">
      <c r="A670" s="16">
        <v>663</v>
      </c>
      <c r="B670" s="10" t="s">
        <v>3046</v>
      </c>
      <c r="C670" s="10" t="s">
        <v>2924</v>
      </c>
      <c r="D670" s="10" t="s">
        <v>214</v>
      </c>
      <c r="E670" s="10" t="s">
        <v>211</v>
      </c>
      <c r="F670" s="16">
        <v>0</v>
      </c>
      <c r="G670" s="10" t="s">
        <v>2925</v>
      </c>
    </row>
    <row r="671" spans="1:7" ht="15" customHeight="1" x14ac:dyDescent="0.3">
      <c r="A671" s="16">
        <v>664</v>
      </c>
      <c r="B671" s="10" t="s">
        <v>3046</v>
      </c>
      <c r="C671" s="10" t="s">
        <v>2924</v>
      </c>
      <c r="D671" s="10" t="s">
        <v>202</v>
      </c>
      <c r="E671" s="10" t="s">
        <v>215</v>
      </c>
      <c r="F671" s="16">
        <v>0</v>
      </c>
      <c r="G671" s="10" t="s">
        <v>2926</v>
      </c>
    </row>
    <row r="672" spans="1:7" ht="15" customHeight="1" x14ac:dyDescent="0.3">
      <c r="A672" s="16">
        <v>665</v>
      </c>
      <c r="B672" s="10" t="s">
        <v>3046</v>
      </c>
      <c r="C672" s="10" t="s">
        <v>2910</v>
      </c>
      <c r="D672" s="10" t="s">
        <v>222</v>
      </c>
      <c r="E672" s="10" t="s">
        <v>204</v>
      </c>
      <c r="F672" s="16">
        <v>0</v>
      </c>
      <c r="G672" s="10" t="s">
        <v>2949</v>
      </c>
    </row>
    <row r="673" spans="1:7" ht="15" customHeight="1" x14ac:dyDescent="0.3">
      <c r="A673" s="16">
        <v>666</v>
      </c>
      <c r="B673" s="10" t="s">
        <v>3047</v>
      </c>
      <c r="C673" s="10" t="s">
        <v>2913</v>
      </c>
      <c r="D673" s="10" t="s">
        <v>226</v>
      </c>
      <c r="E673" s="10" t="s">
        <v>221</v>
      </c>
      <c r="F673" s="16">
        <v>0</v>
      </c>
      <c r="G673" s="10" t="s">
        <v>2915</v>
      </c>
    </row>
    <row r="674" spans="1:7" ht="15" customHeight="1" x14ac:dyDescent="0.3">
      <c r="A674" s="16">
        <v>667</v>
      </c>
      <c r="B674" s="10" t="s">
        <v>3047</v>
      </c>
      <c r="C674" s="10" t="s">
        <v>2955</v>
      </c>
      <c r="D674" s="10" t="s">
        <v>217</v>
      </c>
      <c r="E674" s="10" t="s">
        <v>210</v>
      </c>
      <c r="F674" s="16">
        <v>0</v>
      </c>
      <c r="G674" s="10" t="s">
        <v>2914</v>
      </c>
    </row>
    <row r="675" spans="1:7" ht="15" customHeight="1" x14ac:dyDescent="0.3">
      <c r="A675" s="16">
        <v>668</v>
      </c>
      <c r="B675" s="10" t="s">
        <v>3047</v>
      </c>
      <c r="C675" s="10" t="s">
        <v>2908</v>
      </c>
      <c r="D675" s="10" t="s">
        <v>197</v>
      </c>
      <c r="E675" s="10" t="s">
        <v>205</v>
      </c>
      <c r="F675" s="16">
        <v>0</v>
      </c>
      <c r="G675" s="10" t="s">
        <v>2907</v>
      </c>
    </row>
    <row r="676" spans="1:7" ht="15" customHeight="1" x14ac:dyDescent="0.3">
      <c r="A676" s="16">
        <v>669</v>
      </c>
      <c r="B676" s="10" t="s">
        <v>3047</v>
      </c>
      <c r="C676" s="10" t="s">
        <v>2908</v>
      </c>
      <c r="D676" s="10" t="s">
        <v>201</v>
      </c>
      <c r="E676" s="10" t="s">
        <v>208</v>
      </c>
      <c r="F676" s="16">
        <v>0</v>
      </c>
      <c r="G676" s="10" t="s">
        <v>2937</v>
      </c>
    </row>
    <row r="677" spans="1:7" ht="15" customHeight="1" x14ac:dyDescent="0.3">
      <c r="A677" s="16">
        <v>670</v>
      </c>
      <c r="B677" s="10" t="s">
        <v>3047</v>
      </c>
      <c r="C677" s="10" t="s">
        <v>2920</v>
      </c>
      <c r="D677" s="10" t="s">
        <v>220</v>
      </c>
      <c r="E677" s="10" t="s">
        <v>216</v>
      </c>
      <c r="F677" s="16">
        <v>0</v>
      </c>
      <c r="G677" s="10" t="s">
        <v>2909</v>
      </c>
    </row>
    <row r="678" spans="1:7" ht="15" customHeight="1" x14ac:dyDescent="0.3">
      <c r="A678" s="16">
        <v>671</v>
      </c>
      <c r="B678" s="10" t="s">
        <v>3047</v>
      </c>
      <c r="C678" s="10" t="s">
        <v>2924</v>
      </c>
      <c r="D678" s="10" t="s">
        <v>207</v>
      </c>
      <c r="E678" s="10" t="s">
        <v>223</v>
      </c>
      <c r="F678" s="16">
        <v>0</v>
      </c>
      <c r="G678" s="10" t="s">
        <v>2911</v>
      </c>
    </row>
    <row r="679" spans="1:7" ht="15" customHeight="1" x14ac:dyDescent="0.3">
      <c r="A679" s="16">
        <v>672</v>
      </c>
      <c r="B679" s="10" t="s">
        <v>3047</v>
      </c>
      <c r="C679" s="10" t="s">
        <v>2948</v>
      </c>
      <c r="D679" s="10" t="s">
        <v>213</v>
      </c>
      <c r="E679" s="10" t="s">
        <v>225</v>
      </c>
      <c r="F679" s="16">
        <v>0</v>
      </c>
      <c r="G679" s="10" t="s">
        <v>2940</v>
      </c>
    </row>
    <row r="680" spans="1:7" ht="15" customHeight="1" x14ac:dyDescent="0.3">
      <c r="A680" s="16">
        <v>673</v>
      </c>
      <c r="B680" s="10" t="s">
        <v>3048</v>
      </c>
      <c r="C680" s="10" t="s">
        <v>2913</v>
      </c>
      <c r="D680" s="10" t="s">
        <v>206</v>
      </c>
      <c r="E680" s="10" t="s">
        <v>221</v>
      </c>
      <c r="F680" s="16">
        <v>0</v>
      </c>
      <c r="G680" s="10" t="s">
        <v>2915</v>
      </c>
    </row>
    <row r="681" spans="1:7" ht="15" customHeight="1" x14ac:dyDescent="0.3">
      <c r="A681" s="16">
        <v>674</v>
      </c>
      <c r="B681" s="10" t="s">
        <v>3048</v>
      </c>
      <c r="C681" s="10" t="s">
        <v>2908</v>
      </c>
      <c r="D681" s="10" t="s">
        <v>205</v>
      </c>
      <c r="E681" s="10" t="s">
        <v>202</v>
      </c>
      <c r="F681" s="16">
        <v>0</v>
      </c>
      <c r="G681" s="10" t="s">
        <v>2944</v>
      </c>
    </row>
    <row r="682" spans="1:7" ht="15" customHeight="1" x14ac:dyDescent="0.3">
      <c r="A682" s="16">
        <v>675</v>
      </c>
      <c r="B682" s="10" t="s">
        <v>3048</v>
      </c>
      <c r="C682" s="10" t="s">
        <v>2908</v>
      </c>
      <c r="D682" s="10" t="s">
        <v>222</v>
      </c>
      <c r="E682" s="10" t="s">
        <v>219</v>
      </c>
      <c r="F682" s="16">
        <v>0</v>
      </c>
      <c r="G682" s="10" t="s">
        <v>2930</v>
      </c>
    </row>
    <row r="683" spans="1:7" ht="15" customHeight="1" x14ac:dyDescent="0.3">
      <c r="A683" s="16">
        <v>676</v>
      </c>
      <c r="B683" s="10" t="s">
        <v>3048</v>
      </c>
      <c r="C683" s="10" t="s">
        <v>2920</v>
      </c>
      <c r="D683" s="10" t="s">
        <v>220</v>
      </c>
      <c r="E683" s="10" t="s">
        <v>198</v>
      </c>
      <c r="F683" s="16">
        <v>0</v>
      </c>
      <c r="G683" s="10" t="s">
        <v>2921</v>
      </c>
    </row>
    <row r="684" spans="1:7" ht="15" customHeight="1" x14ac:dyDescent="0.3">
      <c r="A684" s="16">
        <v>677</v>
      </c>
      <c r="B684" s="10" t="s">
        <v>3048</v>
      </c>
      <c r="C684" s="10" t="s">
        <v>2920</v>
      </c>
      <c r="D684" s="10" t="s">
        <v>209</v>
      </c>
      <c r="E684" s="10" t="s">
        <v>199</v>
      </c>
      <c r="F684" s="16">
        <v>0</v>
      </c>
      <c r="G684" s="10" t="s">
        <v>2935</v>
      </c>
    </row>
    <row r="685" spans="1:7" ht="15" customHeight="1" x14ac:dyDescent="0.3">
      <c r="A685" s="16">
        <v>678</v>
      </c>
      <c r="B685" s="10" t="s">
        <v>3048</v>
      </c>
      <c r="C685" s="10" t="s">
        <v>2920</v>
      </c>
      <c r="D685" s="10" t="s">
        <v>203</v>
      </c>
      <c r="E685" s="10" t="s">
        <v>224</v>
      </c>
      <c r="F685" s="16">
        <v>0</v>
      </c>
      <c r="G685" s="10" t="s">
        <v>2923</v>
      </c>
    </row>
    <row r="686" spans="1:7" ht="15" customHeight="1" x14ac:dyDescent="0.3">
      <c r="A686" s="16">
        <v>679</v>
      </c>
      <c r="B686" s="10" t="s">
        <v>3048</v>
      </c>
      <c r="C686" s="10" t="s">
        <v>2924</v>
      </c>
      <c r="D686" s="10" t="s">
        <v>200</v>
      </c>
      <c r="E686" s="10" t="s">
        <v>223</v>
      </c>
      <c r="F686" s="16">
        <v>0</v>
      </c>
      <c r="G686" s="10" t="s">
        <v>2911</v>
      </c>
    </row>
    <row r="687" spans="1:7" ht="15" customHeight="1" x14ac:dyDescent="0.3">
      <c r="A687" s="16">
        <v>680</v>
      </c>
      <c r="B687" s="10" t="s">
        <v>3048</v>
      </c>
      <c r="C687" s="10" t="s">
        <v>2927</v>
      </c>
      <c r="D687" s="10" t="s">
        <v>215</v>
      </c>
      <c r="E687" s="10" t="s">
        <v>207</v>
      </c>
      <c r="F687" s="16">
        <v>0</v>
      </c>
      <c r="G687" s="10" t="s">
        <v>2928</v>
      </c>
    </row>
    <row r="688" spans="1:7" ht="15" customHeight="1" x14ac:dyDescent="0.3">
      <c r="A688" s="16">
        <v>681</v>
      </c>
      <c r="B688" s="10" t="s">
        <v>3048</v>
      </c>
      <c r="C688" s="10" t="s">
        <v>2910</v>
      </c>
      <c r="D688" s="10" t="s">
        <v>204</v>
      </c>
      <c r="E688" s="10" t="s">
        <v>214</v>
      </c>
      <c r="F688" s="16">
        <v>0</v>
      </c>
      <c r="G688" s="10" t="s">
        <v>2952</v>
      </c>
    </row>
    <row r="689" spans="1:7" ht="15" customHeight="1" x14ac:dyDescent="0.3">
      <c r="A689" s="16">
        <v>682</v>
      </c>
      <c r="B689" s="10" t="s">
        <v>3049</v>
      </c>
      <c r="C689" s="10" t="s">
        <v>2908</v>
      </c>
      <c r="D689" s="10" t="s">
        <v>210</v>
      </c>
      <c r="E689" s="10" t="s">
        <v>208</v>
      </c>
      <c r="F689" s="16">
        <v>0</v>
      </c>
      <c r="G689" s="10" t="s">
        <v>2937</v>
      </c>
    </row>
    <row r="690" spans="1:7" ht="15" customHeight="1" x14ac:dyDescent="0.3">
      <c r="A690" s="16">
        <v>683</v>
      </c>
      <c r="B690" s="10" t="s">
        <v>3049</v>
      </c>
      <c r="C690" s="10" t="s">
        <v>2908</v>
      </c>
      <c r="D690" s="10" t="s">
        <v>197</v>
      </c>
      <c r="E690" s="10" t="s">
        <v>216</v>
      </c>
      <c r="F690" s="16">
        <v>0</v>
      </c>
      <c r="G690" s="10" t="s">
        <v>2909</v>
      </c>
    </row>
    <row r="691" spans="1:7" ht="15" customHeight="1" x14ac:dyDescent="0.3">
      <c r="A691" s="16">
        <v>684</v>
      </c>
      <c r="B691" s="10" t="s">
        <v>3049</v>
      </c>
      <c r="C691" s="10" t="s">
        <v>2908</v>
      </c>
      <c r="D691" s="10" t="s">
        <v>201</v>
      </c>
      <c r="E691" s="10" t="s">
        <v>218</v>
      </c>
      <c r="F691" s="16">
        <v>0</v>
      </c>
      <c r="G691" s="10" t="s">
        <v>2918</v>
      </c>
    </row>
    <row r="692" spans="1:7" ht="15" customHeight="1" x14ac:dyDescent="0.3">
      <c r="A692" s="16">
        <v>685</v>
      </c>
      <c r="B692" s="10" t="s">
        <v>3049</v>
      </c>
      <c r="C692" s="10" t="s">
        <v>2908</v>
      </c>
      <c r="D692" s="10" t="s">
        <v>222</v>
      </c>
      <c r="E692" s="10" t="s">
        <v>226</v>
      </c>
      <c r="F692" s="16">
        <v>0</v>
      </c>
      <c r="G692" s="10" t="s">
        <v>2919</v>
      </c>
    </row>
    <row r="693" spans="1:7" ht="15" customHeight="1" x14ac:dyDescent="0.3">
      <c r="A693" s="16">
        <v>686</v>
      </c>
      <c r="B693" s="10" t="s">
        <v>3049</v>
      </c>
      <c r="C693" s="10" t="s">
        <v>2924</v>
      </c>
      <c r="D693" s="10" t="s">
        <v>219</v>
      </c>
      <c r="E693" s="10" t="s">
        <v>215</v>
      </c>
      <c r="F693" s="16">
        <v>0</v>
      </c>
      <c r="G693" s="10" t="s">
        <v>2926</v>
      </c>
    </row>
    <row r="694" spans="1:7" ht="15" customHeight="1" x14ac:dyDescent="0.3">
      <c r="A694" s="16">
        <v>687</v>
      </c>
      <c r="B694" s="10" t="s">
        <v>3049</v>
      </c>
      <c r="C694" s="10" t="s">
        <v>2924</v>
      </c>
      <c r="D694" s="10" t="s">
        <v>211</v>
      </c>
      <c r="E694" s="10" t="s">
        <v>217</v>
      </c>
      <c r="F694" s="16">
        <v>0</v>
      </c>
      <c r="G694" s="10" t="s">
        <v>2931</v>
      </c>
    </row>
    <row r="695" spans="1:7" ht="15" customHeight="1" x14ac:dyDescent="0.3">
      <c r="A695" s="16">
        <v>688</v>
      </c>
      <c r="B695" s="10" t="s">
        <v>3049</v>
      </c>
      <c r="C695" s="10" t="s">
        <v>2948</v>
      </c>
      <c r="D695" s="10" t="s">
        <v>206</v>
      </c>
      <c r="E695" s="10" t="s">
        <v>225</v>
      </c>
      <c r="F695" s="16">
        <v>0</v>
      </c>
      <c r="G695" s="10" t="s">
        <v>2940</v>
      </c>
    </row>
    <row r="696" spans="1:7" ht="15" customHeight="1" x14ac:dyDescent="0.3">
      <c r="A696" s="16">
        <v>689</v>
      </c>
      <c r="B696" s="10" t="s">
        <v>3049</v>
      </c>
      <c r="C696" s="10" t="s">
        <v>2910</v>
      </c>
      <c r="D696" s="10" t="s">
        <v>212</v>
      </c>
      <c r="E696" s="10" t="s">
        <v>213</v>
      </c>
      <c r="F696" s="16">
        <v>0</v>
      </c>
      <c r="G696" s="10" t="s">
        <v>2938</v>
      </c>
    </row>
    <row r="697" spans="1:7" ht="15" customHeight="1" x14ac:dyDescent="0.3">
      <c r="A697" s="16">
        <v>690</v>
      </c>
      <c r="B697" s="10" t="s">
        <v>3050</v>
      </c>
      <c r="C697" s="10" t="s">
        <v>2908</v>
      </c>
      <c r="D697" s="10" t="s">
        <v>202</v>
      </c>
      <c r="E697" s="10" t="s">
        <v>224</v>
      </c>
      <c r="F697" s="16">
        <v>0</v>
      </c>
      <c r="G697" s="10" t="s">
        <v>2923</v>
      </c>
    </row>
    <row r="698" spans="1:7" ht="15" customHeight="1" x14ac:dyDescent="0.3">
      <c r="A698" s="16">
        <v>691</v>
      </c>
      <c r="B698" s="10" t="s">
        <v>3050</v>
      </c>
      <c r="C698" s="10" t="s">
        <v>2920</v>
      </c>
      <c r="D698" s="10" t="s">
        <v>209</v>
      </c>
      <c r="E698" s="10" t="s">
        <v>198</v>
      </c>
      <c r="F698" s="16">
        <v>0</v>
      </c>
      <c r="G698" s="10" t="s">
        <v>2921</v>
      </c>
    </row>
    <row r="699" spans="1:7" ht="15" customHeight="1" x14ac:dyDescent="0.3">
      <c r="A699" s="16">
        <v>692</v>
      </c>
      <c r="B699" s="10" t="s">
        <v>3050</v>
      </c>
      <c r="C699" s="10" t="s">
        <v>2920</v>
      </c>
      <c r="D699" s="10" t="s">
        <v>220</v>
      </c>
      <c r="E699" s="10" t="s">
        <v>199</v>
      </c>
      <c r="F699" s="16">
        <v>0</v>
      </c>
      <c r="G699" s="10" t="s">
        <v>2935</v>
      </c>
    </row>
    <row r="700" spans="1:7" ht="15" customHeight="1" x14ac:dyDescent="0.3">
      <c r="A700" s="16">
        <v>693</v>
      </c>
      <c r="B700" s="10" t="s">
        <v>3050</v>
      </c>
      <c r="C700" s="10" t="s">
        <v>2924</v>
      </c>
      <c r="D700" s="10" t="s">
        <v>205</v>
      </c>
      <c r="E700" s="10" t="s">
        <v>203</v>
      </c>
      <c r="F700" s="16">
        <v>0</v>
      </c>
      <c r="G700" s="10" t="s">
        <v>2947</v>
      </c>
    </row>
    <row r="701" spans="1:7" ht="15" customHeight="1" x14ac:dyDescent="0.3">
      <c r="A701" s="16">
        <v>694</v>
      </c>
      <c r="B701" s="10" t="s">
        <v>3050</v>
      </c>
      <c r="C701" s="10" t="s">
        <v>2927</v>
      </c>
      <c r="D701" s="10" t="s">
        <v>218</v>
      </c>
      <c r="E701" s="10" t="s">
        <v>207</v>
      </c>
      <c r="F701" s="16">
        <v>0</v>
      </c>
      <c r="G701" s="10" t="s">
        <v>2928</v>
      </c>
    </row>
    <row r="702" spans="1:7" ht="15" customHeight="1" x14ac:dyDescent="0.3">
      <c r="A702" s="16">
        <v>695</v>
      </c>
      <c r="B702" s="10" t="s">
        <v>3050</v>
      </c>
      <c r="C702" s="10" t="s">
        <v>2910</v>
      </c>
      <c r="D702" s="10" t="s">
        <v>200</v>
      </c>
      <c r="E702" s="10" t="s">
        <v>214</v>
      </c>
      <c r="F702" s="16">
        <v>0</v>
      </c>
      <c r="G702" s="10" t="s">
        <v>2952</v>
      </c>
    </row>
    <row r="703" spans="1:7" ht="15" customHeight="1" x14ac:dyDescent="0.3">
      <c r="A703" s="16">
        <v>696</v>
      </c>
      <c r="B703" s="10" t="s">
        <v>3051</v>
      </c>
      <c r="C703" s="10" t="s">
        <v>3036</v>
      </c>
      <c r="D703" s="10" t="s">
        <v>219</v>
      </c>
      <c r="E703" s="10" t="s">
        <v>212</v>
      </c>
      <c r="F703" s="16">
        <v>0</v>
      </c>
      <c r="G703" s="10" t="s">
        <v>2922</v>
      </c>
    </row>
    <row r="704" spans="1:7" ht="15" customHeight="1" x14ac:dyDescent="0.3">
      <c r="A704" s="16">
        <v>697</v>
      </c>
      <c r="B704" s="10" t="s">
        <v>3051</v>
      </c>
      <c r="C704" s="10" t="s">
        <v>2906</v>
      </c>
      <c r="D704" s="10" t="s">
        <v>204</v>
      </c>
      <c r="E704" s="10" t="s">
        <v>217</v>
      </c>
      <c r="F704" s="16">
        <v>0</v>
      </c>
      <c r="G704" s="10" t="s">
        <v>2931</v>
      </c>
    </row>
    <row r="705" spans="1:7" ht="15" customHeight="1" x14ac:dyDescent="0.3">
      <c r="A705" s="16">
        <v>698</v>
      </c>
      <c r="B705" s="10" t="s">
        <v>3051</v>
      </c>
      <c r="C705" s="10" t="s">
        <v>3020</v>
      </c>
      <c r="D705" s="10" t="s">
        <v>223</v>
      </c>
      <c r="E705" s="10" t="s">
        <v>206</v>
      </c>
      <c r="F705" s="16">
        <v>0</v>
      </c>
      <c r="G705" s="10" t="s">
        <v>2933</v>
      </c>
    </row>
    <row r="706" spans="1:7" ht="15" customHeight="1" x14ac:dyDescent="0.3">
      <c r="A706" s="16">
        <v>699</v>
      </c>
      <c r="B706" s="10" t="s">
        <v>3051</v>
      </c>
      <c r="C706" s="10" t="s">
        <v>2908</v>
      </c>
      <c r="D706" s="10" t="s">
        <v>226</v>
      </c>
      <c r="E706" s="10" t="s">
        <v>208</v>
      </c>
      <c r="F706" s="16">
        <v>0</v>
      </c>
      <c r="G706" s="10" t="s">
        <v>2937</v>
      </c>
    </row>
    <row r="707" spans="1:7" ht="15" customHeight="1" x14ac:dyDescent="0.3">
      <c r="A707" s="16">
        <v>700</v>
      </c>
      <c r="B707" s="10" t="s">
        <v>3051</v>
      </c>
      <c r="C707" s="10" t="s">
        <v>2920</v>
      </c>
      <c r="D707" s="10" t="s">
        <v>215</v>
      </c>
      <c r="E707" s="10" t="s">
        <v>202</v>
      </c>
      <c r="F707" s="16">
        <v>0</v>
      </c>
      <c r="G707" s="10" t="s">
        <v>2944</v>
      </c>
    </row>
    <row r="708" spans="1:7" ht="15" customHeight="1" x14ac:dyDescent="0.3">
      <c r="A708" s="16">
        <v>701</v>
      </c>
      <c r="B708" s="10" t="s">
        <v>3051</v>
      </c>
      <c r="C708" s="10" t="s">
        <v>2924</v>
      </c>
      <c r="D708" s="10" t="s">
        <v>197</v>
      </c>
      <c r="E708" s="10" t="s">
        <v>213</v>
      </c>
      <c r="F708" s="16">
        <v>0</v>
      </c>
      <c r="G708" s="10" t="s">
        <v>2938</v>
      </c>
    </row>
    <row r="709" spans="1:7" ht="15" customHeight="1" x14ac:dyDescent="0.3">
      <c r="A709" s="16">
        <v>702</v>
      </c>
      <c r="B709" s="10" t="s">
        <v>3051</v>
      </c>
      <c r="C709" s="10" t="s">
        <v>2927</v>
      </c>
      <c r="D709" s="10" t="s">
        <v>210</v>
      </c>
      <c r="E709" s="10" t="s">
        <v>216</v>
      </c>
      <c r="F709" s="16">
        <v>0</v>
      </c>
      <c r="G709" s="10" t="s">
        <v>2909</v>
      </c>
    </row>
    <row r="710" spans="1:7" ht="15" customHeight="1" x14ac:dyDescent="0.3">
      <c r="A710" s="16">
        <v>703</v>
      </c>
      <c r="B710" s="10" t="s">
        <v>3051</v>
      </c>
      <c r="C710" s="10" t="s">
        <v>2910</v>
      </c>
      <c r="D710" s="10" t="s">
        <v>211</v>
      </c>
      <c r="E710" s="10" t="s">
        <v>225</v>
      </c>
      <c r="F710" s="16">
        <v>0</v>
      </c>
      <c r="G710" s="10" t="s">
        <v>2940</v>
      </c>
    </row>
    <row r="711" spans="1:7" ht="15" customHeight="1" x14ac:dyDescent="0.3">
      <c r="A711" s="16">
        <v>704</v>
      </c>
      <c r="B711" s="10" t="s">
        <v>3052</v>
      </c>
      <c r="C711" s="10" t="s">
        <v>2906</v>
      </c>
      <c r="D711" s="10" t="s">
        <v>222</v>
      </c>
      <c r="E711" s="10" t="s">
        <v>205</v>
      </c>
      <c r="F711" s="16">
        <v>0</v>
      </c>
      <c r="G711" s="10" t="s">
        <v>2907</v>
      </c>
    </row>
    <row r="712" spans="1:7" ht="15" customHeight="1" x14ac:dyDescent="0.3">
      <c r="A712" s="16">
        <v>705</v>
      </c>
      <c r="B712" s="10" t="s">
        <v>3052</v>
      </c>
      <c r="C712" s="10" t="s">
        <v>2943</v>
      </c>
      <c r="D712" s="10" t="s">
        <v>220</v>
      </c>
      <c r="E712" s="10" t="s">
        <v>214</v>
      </c>
      <c r="F712" s="16">
        <v>0</v>
      </c>
      <c r="G712" s="10" t="s">
        <v>2952</v>
      </c>
    </row>
    <row r="713" spans="1:7" ht="15" customHeight="1" x14ac:dyDescent="0.3">
      <c r="A713" s="16">
        <v>706</v>
      </c>
      <c r="B713" s="10" t="s">
        <v>3052</v>
      </c>
      <c r="C713" s="10" t="s">
        <v>2943</v>
      </c>
      <c r="D713" s="10" t="s">
        <v>201</v>
      </c>
      <c r="E713" s="10" t="s">
        <v>217</v>
      </c>
      <c r="F713" s="16">
        <v>0</v>
      </c>
      <c r="G713" s="10" t="s">
        <v>2931</v>
      </c>
    </row>
    <row r="714" spans="1:7" ht="15" customHeight="1" x14ac:dyDescent="0.3">
      <c r="A714" s="16">
        <v>707</v>
      </c>
      <c r="B714" s="10" t="s">
        <v>3052</v>
      </c>
      <c r="C714" s="10" t="s">
        <v>2943</v>
      </c>
      <c r="D714" s="10" t="s">
        <v>198</v>
      </c>
      <c r="E714" s="10" t="s">
        <v>218</v>
      </c>
      <c r="F714" s="16">
        <v>0</v>
      </c>
      <c r="G714" s="10" t="s">
        <v>2918</v>
      </c>
    </row>
    <row r="715" spans="1:7" ht="15" customHeight="1" x14ac:dyDescent="0.3">
      <c r="A715" s="16">
        <v>708</v>
      </c>
      <c r="B715" s="10" t="s">
        <v>3052</v>
      </c>
      <c r="C715" s="10" t="s">
        <v>2943</v>
      </c>
      <c r="D715" s="10" t="s">
        <v>199</v>
      </c>
      <c r="E715" s="10" t="s">
        <v>224</v>
      </c>
      <c r="F715" s="16">
        <v>0</v>
      </c>
      <c r="G715" s="10" t="s">
        <v>2923</v>
      </c>
    </row>
    <row r="716" spans="1:7" ht="15" customHeight="1" x14ac:dyDescent="0.3">
      <c r="A716" s="16">
        <v>709</v>
      </c>
      <c r="B716" s="10" t="s">
        <v>3052</v>
      </c>
      <c r="C716" s="10" t="s">
        <v>2908</v>
      </c>
      <c r="D716" s="10" t="s">
        <v>210</v>
      </c>
      <c r="E716" s="10" t="s">
        <v>200</v>
      </c>
      <c r="F716" s="16">
        <v>0</v>
      </c>
      <c r="G716" s="10" t="s">
        <v>2936</v>
      </c>
    </row>
    <row r="717" spans="1:7" ht="15" customHeight="1" x14ac:dyDescent="0.3">
      <c r="A717" s="16">
        <v>710</v>
      </c>
      <c r="B717" s="10" t="s">
        <v>3052</v>
      </c>
      <c r="C717" s="10" t="s">
        <v>2924</v>
      </c>
      <c r="D717" s="10" t="s">
        <v>221</v>
      </c>
      <c r="E717" s="10" t="s">
        <v>204</v>
      </c>
      <c r="F717" s="16">
        <v>0</v>
      </c>
      <c r="G717" s="10" t="s">
        <v>2949</v>
      </c>
    </row>
    <row r="718" spans="1:7" ht="15" customHeight="1" x14ac:dyDescent="0.3">
      <c r="A718" s="16">
        <v>711</v>
      </c>
      <c r="B718" s="10" t="s">
        <v>3052</v>
      </c>
      <c r="C718" s="10" t="s">
        <v>2927</v>
      </c>
      <c r="D718" s="10" t="s">
        <v>207</v>
      </c>
      <c r="E718" s="10" t="s">
        <v>203</v>
      </c>
      <c r="F718" s="16">
        <v>0</v>
      </c>
      <c r="G718" s="10" t="s">
        <v>2947</v>
      </c>
    </row>
    <row r="719" spans="1:7" ht="15" customHeight="1" x14ac:dyDescent="0.3">
      <c r="A719" s="16">
        <v>712</v>
      </c>
      <c r="B719" s="10" t="s">
        <v>3053</v>
      </c>
      <c r="C719" s="10" t="s">
        <v>2913</v>
      </c>
      <c r="D719" s="10" t="s">
        <v>223</v>
      </c>
      <c r="E719" s="10" t="s">
        <v>206</v>
      </c>
      <c r="F719" s="16">
        <v>0</v>
      </c>
      <c r="G719" s="10" t="s">
        <v>2933</v>
      </c>
    </row>
    <row r="720" spans="1:7" ht="15" customHeight="1" x14ac:dyDescent="0.3">
      <c r="A720" s="16">
        <v>713</v>
      </c>
      <c r="B720" s="10" t="s">
        <v>3053</v>
      </c>
      <c r="C720" s="10" t="s">
        <v>2908</v>
      </c>
      <c r="D720" s="10" t="s">
        <v>226</v>
      </c>
      <c r="E720" s="10" t="s">
        <v>197</v>
      </c>
      <c r="F720" s="16">
        <v>0</v>
      </c>
      <c r="G720" s="10" t="s">
        <v>2945</v>
      </c>
    </row>
    <row r="721" spans="1:7" ht="15" customHeight="1" x14ac:dyDescent="0.3">
      <c r="A721" s="16">
        <v>714</v>
      </c>
      <c r="B721" s="10" t="s">
        <v>3053</v>
      </c>
      <c r="C721" s="10" t="s">
        <v>2908</v>
      </c>
      <c r="D721" s="10" t="s">
        <v>215</v>
      </c>
      <c r="E721" s="10" t="s">
        <v>219</v>
      </c>
      <c r="F721" s="16">
        <v>0</v>
      </c>
      <c r="G721" s="10" t="s">
        <v>2930</v>
      </c>
    </row>
    <row r="722" spans="1:7" ht="15" customHeight="1" x14ac:dyDescent="0.3">
      <c r="A722" s="16">
        <v>715</v>
      </c>
      <c r="B722" s="10" t="s">
        <v>3053</v>
      </c>
      <c r="C722" s="10" t="s">
        <v>2920</v>
      </c>
      <c r="D722" s="10" t="s">
        <v>216</v>
      </c>
      <c r="E722" s="10" t="s">
        <v>198</v>
      </c>
      <c r="F722" s="16">
        <v>0</v>
      </c>
      <c r="G722" s="10" t="s">
        <v>2921</v>
      </c>
    </row>
    <row r="723" spans="1:7" ht="15" customHeight="1" x14ac:dyDescent="0.3">
      <c r="A723" s="16">
        <v>716</v>
      </c>
      <c r="B723" s="10" t="s">
        <v>3053</v>
      </c>
      <c r="C723" s="10" t="s">
        <v>2920</v>
      </c>
      <c r="D723" s="10" t="s">
        <v>212</v>
      </c>
      <c r="E723" s="10" t="s">
        <v>208</v>
      </c>
      <c r="F723" s="16">
        <v>0</v>
      </c>
      <c r="G723" s="10" t="s">
        <v>2937</v>
      </c>
    </row>
    <row r="724" spans="1:7" ht="15" customHeight="1" x14ac:dyDescent="0.3">
      <c r="A724" s="16">
        <v>717</v>
      </c>
      <c r="B724" s="10" t="s">
        <v>3053</v>
      </c>
      <c r="C724" s="10" t="s">
        <v>2924</v>
      </c>
      <c r="D724" s="10" t="s">
        <v>211</v>
      </c>
      <c r="E724" s="10" t="s">
        <v>213</v>
      </c>
      <c r="F724" s="16">
        <v>0</v>
      </c>
      <c r="G724" s="10" t="s">
        <v>2938</v>
      </c>
    </row>
    <row r="725" spans="1:7" ht="15" customHeight="1" x14ac:dyDescent="0.3">
      <c r="A725" s="16">
        <v>718</v>
      </c>
      <c r="B725" s="10" t="s">
        <v>3053</v>
      </c>
      <c r="C725" s="10" t="s">
        <v>2948</v>
      </c>
      <c r="D725" s="10" t="s">
        <v>202</v>
      </c>
      <c r="E725" s="10" t="s">
        <v>225</v>
      </c>
      <c r="F725" s="16">
        <v>0</v>
      </c>
      <c r="G725" s="10" t="s">
        <v>2940</v>
      </c>
    </row>
    <row r="726" spans="1:7" ht="15" customHeight="1" x14ac:dyDescent="0.3">
      <c r="A726" s="16">
        <v>719</v>
      </c>
      <c r="B726" s="10" t="s">
        <v>3054</v>
      </c>
      <c r="C726" s="10" t="s">
        <v>2916</v>
      </c>
      <c r="D726" s="10" t="s">
        <v>223</v>
      </c>
      <c r="E726" s="10" t="s">
        <v>209</v>
      </c>
      <c r="F726" s="16">
        <v>0</v>
      </c>
      <c r="G726" s="10" t="s">
        <v>2917</v>
      </c>
    </row>
    <row r="727" spans="1:7" ht="15" customHeight="1" x14ac:dyDescent="0.3">
      <c r="A727" s="16">
        <v>720</v>
      </c>
      <c r="B727" s="10" t="s">
        <v>3054</v>
      </c>
      <c r="C727" s="10" t="s">
        <v>2955</v>
      </c>
      <c r="D727" s="10" t="s">
        <v>214</v>
      </c>
      <c r="E727" s="10" t="s">
        <v>221</v>
      </c>
      <c r="F727" s="16">
        <v>0</v>
      </c>
      <c r="G727" s="10" t="s">
        <v>2915</v>
      </c>
    </row>
    <row r="728" spans="1:7" ht="15" customHeight="1" x14ac:dyDescent="0.3">
      <c r="A728" s="16">
        <v>721</v>
      </c>
      <c r="B728" s="10" t="s">
        <v>3054</v>
      </c>
      <c r="C728" s="10" t="s">
        <v>2908</v>
      </c>
      <c r="D728" s="10" t="s">
        <v>201</v>
      </c>
      <c r="E728" s="10" t="s">
        <v>205</v>
      </c>
      <c r="F728" s="16">
        <v>0</v>
      </c>
      <c r="G728" s="10" t="s">
        <v>2907</v>
      </c>
    </row>
    <row r="729" spans="1:7" ht="15" customHeight="1" x14ac:dyDescent="0.3">
      <c r="A729" s="16">
        <v>722</v>
      </c>
      <c r="B729" s="10" t="s">
        <v>3054</v>
      </c>
      <c r="C729" s="10" t="s">
        <v>2908</v>
      </c>
      <c r="D729" s="10" t="s">
        <v>215</v>
      </c>
      <c r="E729" s="10" t="s">
        <v>218</v>
      </c>
      <c r="F729" s="16">
        <v>0</v>
      </c>
      <c r="G729" s="10" t="s">
        <v>2918</v>
      </c>
    </row>
    <row r="730" spans="1:7" ht="15" customHeight="1" x14ac:dyDescent="0.3">
      <c r="A730" s="16">
        <v>723</v>
      </c>
      <c r="B730" s="10" t="s">
        <v>3054</v>
      </c>
      <c r="C730" s="10" t="s">
        <v>2920</v>
      </c>
      <c r="D730" s="10" t="s">
        <v>200</v>
      </c>
      <c r="E730" s="10" t="s">
        <v>212</v>
      </c>
      <c r="F730" s="16">
        <v>0</v>
      </c>
      <c r="G730" s="10" t="s">
        <v>2922</v>
      </c>
    </row>
    <row r="731" spans="1:7" ht="15" customHeight="1" x14ac:dyDescent="0.3">
      <c r="A731" s="16">
        <v>724</v>
      </c>
      <c r="B731" s="10" t="s">
        <v>3054</v>
      </c>
      <c r="C731" s="10" t="s">
        <v>2924</v>
      </c>
      <c r="D731" s="10" t="s">
        <v>210</v>
      </c>
      <c r="E731" s="10" t="s">
        <v>199</v>
      </c>
      <c r="F731" s="16">
        <v>0</v>
      </c>
      <c r="G731" s="10" t="s">
        <v>2935</v>
      </c>
    </row>
    <row r="732" spans="1:7" ht="15" customHeight="1" x14ac:dyDescent="0.3">
      <c r="A732" s="16">
        <v>725</v>
      </c>
      <c r="B732" s="10" t="s">
        <v>3054</v>
      </c>
      <c r="C732" s="10" t="s">
        <v>2924</v>
      </c>
      <c r="D732" s="10" t="s">
        <v>224</v>
      </c>
      <c r="E732" s="10" t="s">
        <v>203</v>
      </c>
      <c r="F732" s="16">
        <v>0</v>
      </c>
      <c r="G732" s="10" t="s">
        <v>2947</v>
      </c>
    </row>
    <row r="733" spans="1:7" ht="15" customHeight="1" x14ac:dyDescent="0.3">
      <c r="A733" s="16">
        <v>726</v>
      </c>
      <c r="B733" s="10" t="s">
        <v>3054</v>
      </c>
      <c r="C733" s="10" t="s">
        <v>2948</v>
      </c>
      <c r="D733" s="10" t="s">
        <v>217</v>
      </c>
      <c r="E733" s="10" t="s">
        <v>204</v>
      </c>
      <c r="F733" s="16">
        <v>0</v>
      </c>
      <c r="G733" s="10" t="s">
        <v>2949</v>
      </c>
    </row>
    <row r="734" spans="1:7" ht="15" customHeight="1" x14ac:dyDescent="0.3">
      <c r="A734" s="16">
        <v>727</v>
      </c>
      <c r="B734" s="10" t="s">
        <v>3055</v>
      </c>
      <c r="C734" s="10" t="s">
        <v>2916</v>
      </c>
      <c r="D734" s="10" t="s">
        <v>206</v>
      </c>
      <c r="E734" s="10" t="s">
        <v>209</v>
      </c>
      <c r="F734" s="16">
        <v>0</v>
      </c>
      <c r="G734" s="10" t="s">
        <v>2917</v>
      </c>
    </row>
    <row r="735" spans="1:7" ht="15" customHeight="1" x14ac:dyDescent="0.3">
      <c r="A735" s="16">
        <v>728</v>
      </c>
      <c r="B735" s="10" t="s">
        <v>3055</v>
      </c>
      <c r="C735" s="10" t="s">
        <v>2908</v>
      </c>
      <c r="D735" s="10" t="s">
        <v>216</v>
      </c>
      <c r="E735" s="10" t="s">
        <v>205</v>
      </c>
      <c r="F735" s="16">
        <v>0</v>
      </c>
      <c r="G735" s="10" t="s">
        <v>2907</v>
      </c>
    </row>
    <row r="736" spans="1:7" ht="15" customHeight="1" x14ac:dyDescent="0.3">
      <c r="A736" s="16">
        <v>729</v>
      </c>
      <c r="B736" s="10" t="s">
        <v>3055</v>
      </c>
      <c r="C736" s="10" t="s">
        <v>2908</v>
      </c>
      <c r="D736" s="10" t="s">
        <v>197</v>
      </c>
      <c r="E736" s="10" t="s">
        <v>208</v>
      </c>
      <c r="F736" s="16">
        <v>0</v>
      </c>
      <c r="G736" s="10" t="s">
        <v>2937</v>
      </c>
    </row>
    <row r="737" spans="1:7" ht="15" customHeight="1" x14ac:dyDescent="0.3">
      <c r="A737" s="16">
        <v>730</v>
      </c>
      <c r="B737" s="10" t="s">
        <v>3055</v>
      </c>
      <c r="C737" s="10" t="s">
        <v>2924</v>
      </c>
      <c r="D737" s="10" t="s">
        <v>219</v>
      </c>
      <c r="E737" s="10" t="s">
        <v>211</v>
      </c>
      <c r="F737" s="16">
        <v>0</v>
      </c>
      <c r="G737" s="10" t="s">
        <v>2925</v>
      </c>
    </row>
    <row r="738" spans="1:7" ht="15" customHeight="1" x14ac:dyDescent="0.3">
      <c r="A738" s="16">
        <v>731</v>
      </c>
      <c r="B738" s="10" t="s">
        <v>3055</v>
      </c>
      <c r="C738" s="10" t="s">
        <v>2948</v>
      </c>
      <c r="D738" s="10" t="s">
        <v>202</v>
      </c>
      <c r="E738" s="10" t="s">
        <v>220</v>
      </c>
      <c r="F738" s="16">
        <v>0</v>
      </c>
      <c r="G738" s="10" t="s">
        <v>2942</v>
      </c>
    </row>
    <row r="739" spans="1:7" ht="15" customHeight="1" x14ac:dyDescent="0.3">
      <c r="A739" s="16">
        <v>732</v>
      </c>
      <c r="B739" s="10" t="s">
        <v>3055</v>
      </c>
      <c r="C739" s="10" t="s">
        <v>2910</v>
      </c>
      <c r="D739" s="10" t="s">
        <v>225</v>
      </c>
      <c r="E739" s="10" t="s">
        <v>207</v>
      </c>
      <c r="F739" s="16">
        <v>0</v>
      </c>
      <c r="G739" s="10" t="s">
        <v>2928</v>
      </c>
    </row>
    <row r="740" spans="1:7" ht="15" customHeight="1" x14ac:dyDescent="0.3">
      <c r="A740" s="16">
        <v>733</v>
      </c>
      <c r="B740" s="10" t="s">
        <v>3056</v>
      </c>
      <c r="C740" s="10" t="s">
        <v>2913</v>
      </c>
      <c r="D740" s="10" t="s">
        <v>203</v>
      </c>
      <c r="E740" s="10" t="s">
        <v>204</v>
      </c>
      <c r="F740" s="16">
        <v>0</v>
      </c>
      <c r="G740" s="10" t="s">
        <v>2949</v>
      </c>
    </row>
    <row r="741" spans="1:7" ht="15" customHeight="1" x14ac:dyDescent="0.3">
      <c r="A741" s="16">
        <v>734</v>
      </c>
      <c r="B741" s="10" t="s">
        <v>3056</v>
      </c>
      <c r="C741" s="10" t="s">
        <v>2913</v>
      </c>
      <c r="D741" s="10" t="s">
        <v>202</v>
      </c>
      <c r="E741" s="10" t="s">
        <v>221</v>
      </c>
      <c r="F741" s="16">
        <v>0</v>
      </c>
      <c r="G741" s="10" t="s">
        <v>2915</v>
      </c>
    </row>
    <row r="742" spans="1:7" ht="15" customHeight="1" x14ac:dyDescent="0.3">
      <c r="A742" s="16">
        <v>735</v>
      </c>
      <c r="B742" s="10" t="s">
        <v>3056</v>
      </c>
      <c r="C742" s="10" t="s">
        <v>2913</v>
      </c>
      <c r="D742" s="10" t="s">
        <v>214</v>
      </c>
      <c r="E742" s="10" t="s">
        <v>222</v>
      </c>
      <c r="F742" s="16">
        <v>0</v>
      </c>
      <c r="G742" s="10" t="s">
        <v>2934</v>
      </c>
    </row>
    <row r="743" spans="1:7" ht="15" customHeight="1" x14ac:dyDescent="0.3">
      <c r="A743" s="16">
        <v>736</v>
      </c>
      <c r="B743" s="10" t="s">
        <v>3056</v>
      </c>
      <c r="C743" s="10" t="s">
        <v>2908</v>
      </c>
      <c r="D743" s="10" t="s">
        <v>215</v>
      </c>
      <c r="E743" s="10" t="s">
        <v>226</v>
      </c>
      <c r="F743" s="16">
        <v>0</v>
      </c>
      <c r="G743" s="10" t="s">
        <v>2919</v>
      </c>
    </row>
    <row r="744" spans="1:7" ht="15" customHeight="1" x14ac:dyDescent="0.3">
      <c r="A744" s="16">
        <v>737</v>
      </c>
      <c r="B744" s="10" t="s">
        <v>3056</v>
      </c>
      <c r="C744" s="10" t="s">
        <v>2920</v>
      </c>
      <c r="D744" s="10" t="s">
        <v>210</v>
      </c>
      <c r="E744" s="10" t="s">
        <v>198</v>
      </c>
      <c r="F744" s="16">
        <v>0</v>
      </c>
      <c r="G744" s="10" t="s">
        <v>2921</v>
      </c>
    </row>
    <row r="745" spans="1:7" ht="15" customHeight="1" x14ac:dyDescent="0.3">
      <c r="A745" s="16">
        <v>738</v>
      </c>
      <c r="B745" s="10" t="s">
        <v>3056</v>
      </c>
      <c r="C745" s="10" t="s">
        <v>2920</v>
      </c>
      <c r="D745" s="10" t="s">
        <v>199</v>
      </c>
      <c r="E745" s="10" t="s">
        <v>200</v>
      </c>
      <c r="F745" s="16">
        <v>0</v>
      </c>
      <c r="G745" s="10" t="s">
        <v>2936</v>
      </c>
    </row>
    <row r="746" spans="1:7" ht="15" customHeight="1" x14ac:dyDescent="0.3">
      <c r="A746" s="16">
        <v>739</v>
      </c>
      <c r="B746" s="10" t="s">
        <v>3056</v>
      </c>
      <c r="C746" s="10" t="s">
        <v>2920</v>
      </c>
      <c r="D746" s="10" t="s">
        <v>213</v>
      </c>
      <c r="E746" s="10" t="s">
        <v>212</v>
      </c>
      <c r="F746" s="16">
        <v>0</v>
      </c>
      <c r="G746" s="10" t="s">
        <v>2922</v>
      </c>
    </row>
    <row r="747" spans="1:7" ht="15" customHeight="1" x14ac:dyDescent="0.3">
      <c r="A747" s="16">
        <v>740</v>
      </c>
      <c r="B747" s="10" t="s">
        <v>3056</v>
      </c>
      <c r="C747" s="10" t="s">
        <v>2920</v>
      </c>
      <c r="D747" s="10" t="s">
        <v>224</v>
      </c>
      <c r="E747" s="10" t="s">
        <v>216</v>
      </c>
      <c r="F747" s="16">
        <v>0</v>
      </c>
      <c r="G747" s="10" t="s">
        <v>2909</v>
      </c>
    </row>
    <row r="748" spans="1:7" ht="15" customHeight="1" x14ac:dyDescent="0.3">
      <c r="A748" s="16">
        <v>741</v>
      </c>
      <c r="B748" s="10" t="s">
        <v>3056</v>
      </c>
      <c r="C748" s="10" t="s">
        <v>2924</v>
      </c>
      <c r="D748" s="10" t="s">
        <v>217</v>
      </c>
      <c r="E748" s="10" t="s">
        <v>201</v>
      </c>
      <c r="F748" s="16">
        <v>0</v>
      </c>
      <c r="G748" s="10" t="s">
        <v>2946</v>
      </c>
    </row>
    <row r="749" spans="1:7" ht="15" customHeight="1" x14ac:dyDescent="0.3">
      <c r="A749" s="16">
        <v>742</v>
      </c>
      <c r="B749" s="10" t="s">
        <v>3056</v>
      </c>
      <c r="C749" s="10" t="s">
        <v>2924</v>
      </c>
      <c r="D749" s="10" t="s">
        <v>218</v>
      </c>
      <c r="E749" s="10" t="s">
        <v>223</v>
      </c>
      <c r="F749" s="16">
        <v>0</v>
      </c>
      <c r="G749" s="10" t="s">
        <v>2911</v>
      </c>
    </row>
    <row r="750" spans="1:7" ht="15" customHeight="1" x14ac:dyDescent="0.3">
      <c r="A750" s="16">
        <v>743</v>
      </c>
      <c r="B750" s="10" t="s">
        <v>3057</v>
      </c>
      <c r="C750" s="10" t="s">
        <v>2908</v>
      </c>
      <c r="D750" s="10" t="s">
        <v>199</v>
      </c>
      <c r="E750" s="10" t="s">
        <v>197</v>
      </c>
      <c r="F750" s="16">
        <v>0</v>
      </c>
      <c r="G750" s="10" t="s">
        <v>2945</v>
      </c>
    </row>
    <row r="751" spans="1:7" ht="15" customHeight="1" x14ac:dyDescent="0.3">
      <c r="A751" s="16">
        <v>744</v>
      </c>
      <c r="B751" s="10" t="s">
        <v>3057</v>
      </c>
      <c r="C751" s="10" t="s">
        <v>2908</v>
      </c>
      <c r="D751" s="10" t="s">
        <v>206</v>
      </c>
      <c r="E751" s="10" t="s">
        <v>200</v>
      </c>
      <c r="F751" s="16">
        <v>0</v>
      </c>
      <c r="G751" s="10" t="s">
        <v>2936</v>
      </c>
    </row>
    <row r="752" spans="1:7" ht="15" customHeight="1" x14ac:dyDescent="0.3">
      <c r="A752" s="16">
        <v>745</v>
      </c>
      <c r="B752" s="10" t="s">
        <v>3057</v>
      </c>
      <c r="C752" s="10" t="s">
        <v>2908</v>
      </c>
      <c r="D752" s="10" t="s">
        <v>205</v>
      </c>
      <c r="E752" s="10" t="s">
        <v>219</v>
      </c>
      <c r="F752" s="16">
        <v>0</v>
      </c>
      <c r="G752" s="10" t="s">
        <v>2930</v>
      </c>
    </row>
    <row r="753" spans="1:7" ht="15" customHeight="1" x14ac:dyDescent="0.3">
      <c r="A753" s="16">
        <v>746</v>
      </c>
      <c r="B753" s="10" t="s">
        <v>3057</v>
      </c>
      <c r="C753" s="10" t="s">
        <v>2948</v>
      </c>
      <c r="D753" s="10" t="s">
        <v>209</v>
      </c>
      <c r="E753" s="10" t="s">
        <v>204</v>
      </c>
      <c r="F753" s="16">
        <v>0</v>
      </c>
      <c r="G753" s="10" t="s">
        <v>2949</v>
      </c>
    </row>
    <row r="754" spans="1:7" ht="15" customHeight="1" x14ac:dyDescent="0.3">
      <c r="A754" s="16">
        <v>747</v>
      </c>
      <c r="B754" s="10" t="s">
        <v>3057</v>
      </c>
      <c r="C754" s="10" t="s">
        <v>2948</v>
      </c>
      <c r="D754" s="10" t="s">
        <v>207</v>
      </c>
      <c r="E754" s="10" t="s">
        <v>220</v>
      </c>
      <c r="F754" s="16">
        <v>0</v>
      </c>
      <c r="G754" s="10" t="s">
        <v>2942</v>
      </c>
    </row>
    <row r="755" spans="1:7" ht="15" customHeight="1" x14ac:dyDescent="0.3">
      <c r="A755" s="16">
        <v>748</v>
      </c>
      <c r="B755" s="10" t="s">
        <v>3057</v>
      </c>
      <c r="C755" s="10" t="s">
        <v>2910</v>
      </c>
      <c r="D755" s="10" t="s">
        <v>208</v>
      </c>
      <c r="E755" s="10" t="s">
        <v>217</v>
      </c>
      <c r="F755" s="16">
        <v>0</v>
      </c>
      <c r="G755" s="10" t="s">
        <v>2931</v>
      </c>
    </row>
    <row r="756" spans="1:7" ht="15" customHeight="1" x14ac:dyDescent="0.3">
      <c r="A756" s="16">
        <v>749</v>
      </c>
      <c r="B756" s="10" t="s">
        <v>3058</v>
      </c>
      <c r="C756" s="10" t="s">
        <v>2913</v>
      </c>
      <c r="D756" s="10" t="s">
        <v>220</v>
      </c>
      <c r="E756" s="10" t="s">
        <v>222</v>
      </c>
      <c r="F756" s="16">
        <v>0</v>
      </c>
      <c r="G756" s="10" t="s">
        <v>2934</v>
      </c>
    </row>
    <row r="757" spans="1:7" ht="15" customHeight="1" x14ac:dyDescent="0.3">
      <c r="A757" s="16">
        <v>750</v>
      </c>
      <c r="B757" s="10" t="s">
        <v>3058</v>
      </c>
      <c r="C757" s="10" t="s">
        <v>2906</v>
      </c>
      <c r="D757" s="10" t="s">
        <v>225</v>
      </c>
      <c r="E757" s="10" t="s">
        <v>203</v>
      </c>
      <c r="F757" s="16">
        <v>0</v>
      </c>
      <c r="G757" s="10" t="s">
        <v>2947</v>
      </c>
    </row>
    <row r="758" spans="1:7" ht="15" customHeight="1" x14ac:dyDescent="0.3">
      <c r="A758" s="16">
        <v>751</v>
      </c>
      <c r="B758" s="10" t="s">
        <v>3058</v>
      </c>
      <c r="C758" s="10" t="s">
        <v>2906</v>
      </c>
      <c r="D758" s="10" t="s">
        <v>212</v>
      </c>
      <c r="E758" s="10" t="s">
        <v>214</v>
      </c>
      <c r="F758" s="16">
        <v>0</v>
      </c>
      <c r="G758" s="10" t="s">
        <v>2952</v>
      </c>
    </row>
    <row r="759" spans="1:7" ht="15" customHeight="1" x14ac:dyDescent="0.3">
      <c r="A759" s="16">
        <v>752</v>
      </c>
      <c r="B759" s="10" t="s">
        <v>3058</v>
      </c>
      <c r="C759" s="10" t="s">
        <v>3020</v>
      </c>
      <c r="D759" s="10" t="s">
        <v>221</v>
      </c>
      <c r="E759" s="10" t="s">
        <v>211</v>
      </c>
      <c r="F759" s="16">
        <v>0</v>
      </c>
      <c r="G759" s="10" t="s">
        <v>2925</v>
      </c>
    </row>
    <row r="760" spans="1:7" ht="15" customHeight="1" x14ac:dyDescent="0.3">
      <c r="A760" s="16">
        <v>753</v>
      </c>
      <c r="B760" s="10" t="s">
        <v>3058</v>
      </c>
      <c r="C760" s="10" t="s">
        <v>2943</v>
      </c>
      <c r="D760" s="10" t="s">
        <v>226</v>
      </c>
      <c r="E760" s="10" t="s">
        <v>198</v>
      </c>
      <c r="F760" s="16">
        <v>0</v>
      </c>
      <c r="G760" s="10" t="s">
        <v>2921</v>
      </c>
    </row>
    <row r="761" spans="1:7" ht="15" customHeight="1" x14ac:dyDescent="0.3">
      <c r="A761" s="16">
        <v>754</v>
      </c>
      <c r="B761" s="10" t="s">
        <v>3058</v>
      </c>
      <c r="C761" s="10" t="s">
        <v>2920</v>
      </c>
      <c r="D761" s="10" t="s">
        <v>218</v>
      </c>
      <c r="E761" s="10" t="s">
        <v>202</v>
      </c>
      <c r="F761" s="16">
        <v>0</v>
      </c>
      <c r="G761" s="10" t="s">
        <v>2944</v>
      </c>
    </row>
    <row r="762" spans="1:7" ht="15" customHeight="1" x14ac:dyDescent="0.3">
      <c r="A762" s="16">
        <v>755</v>
      </c>
      <c r="B762" s="10" t="s">
        <v>3058</v>
      </c>
      <c r="C762" s="10" t="s">
        <v>2920</v>
      </c>
      <c r="D762" s="10" t="s">
        <v>213</v>
      </c>
      <c r="E762" s="10" t="s">
        <v>224</v>
      </c>
      <c r="F762" s="16">
        <v>0</v>
      </c>
      <c r="G762" s="10" t="s">
        <v>2923</v>
      </c>
    </row>
    <row r="763" spans="1:7" ht="15" customHeight="1" x14ac:dyDescent="0.3">
      <c r="A763" s="16">
        <v>756</v>
      </c>
      <c r="B763" s="10" t="s">
        <v>3058</v>
      </c>
      <c r="C763" s="10" t="s">
        <v>2924</v>
      </c>
      <c r="D763" s="10" t="s">
        <v>215</v>
      </c>
      <c r="E763" s="10" t="s">
        <v>201</v>
      </c>
      <c r="F763" s="16">
        <v>0</v>
      </c>
      <c r="G763" s="10" t="s">
        <v>2946</v>
      </c>
    </row>
    <row r="764" spans="1:7" ht="15" customHeight="1" x14ac:dyDescent="0.3">
      <c r="A764" s="16">
        <v>757</v>
      </c>
      <c r="B764" s="10" t="s">
        <v>3058</v>
      </c>
      <c r="C764" s="10" t="s">
        <v>2927</v>
      </c>
      <c r="D764" s="10" t="s">
        <v>210</v>
      </c>
      <c r="E764" s="10" t="s">
        <v>223</v>
      </c>
      <c r="F764" s="16">
        <v>0</v>
      </c>
      <c r="G764" s="10" t="s">
        <v>2911</v>
      </c>
    </row>
    <row r="765" spans="1:7" ht="15" customHeight="1" x14ac:dyDescent="0.3">
      <c r="A765" s="16">
        <v>758</v>
      </c>
      <c r="B765" s="10" t="s">
        <v>3059</v>
      </c>
      <c r="C765" s="10" t="s">
        <v>2916</v>
      </c>
      <c r="D765" s="10" t="s">
        <v>207</v>
      </c>
      <c r="E765" s="10" t="s">
        <v>222</v>
      </c>
      <c r="F765" s="16">
        <v>0</v>
      </c>
      <c r="G765" s="10" t="s">
        <v>2934</v>
      </c>
    </row>
    <row r="766" spans="1:7" ht="15" customHeight="1" x14ac:dyDescent="0.3">
      <c r="A766" s="16">
        <v>759</v>
      </c>
      <c r="B766" s="10" t="s">
        <v>3059</v>
      </c>
      <c r="C766" s="10" t="s">
        <v>2906</v>
      </c>
      <c r="D766" s="10" t="s">
        <v>204</v>
      </c>
      <c r="E766" s="10" t="s">
        <v>197</v>
      </c>
      <c r="F766" s="16">
        <v>0</v>
      </c>
      <c r="G766" s="10" t="s">
        <v>2945</v>
      </c>
    </row>
    <row r="767" spans="1:7" ht="15" customHeight="1" x14ac:dyDescent="0.3">
      <c r="A767" s="16">
        <v>760</v>
      </c>
      <c r="B767" s="10" t="s">
        <v>3059</v>
      </c>
      <c r="C767" s="10" t="s">
        <v>2906</v>
      </c>
      <c r="D767" s="10" t="s">
        <v>206</v>
      </c>
      <c r="E767" s="10" t="s">
        <v>205</v>
      </c>
      <c r="F767" s="16">
        <v>0</v>
      </c>
      <c r="G767" s="10" t="s">
        <v>2907</v>
      </c>
    </row>
    <row r="768" spans="1:7" ht="15" customHeight="1" x14ac:dyDescent="0.3">
      <c r="A768" s="16">
        <v>761</v>
      </c>
      <c r="B768" s="10" t="s">
        <v>3059</v>
      </c>
      <c r="C768" s="10" t="s">
        <v>2961</v>
      </c>
      <c r="D768" s="10" t="s">
        <v>225</v>
      </c>
      <c r="E768" s="10" t="s">
        <v>214</v>
      </c>
      <c r="F768" s="16">
        <v>0</v>
      </c>
      <c r="G768" s="10" t="s">
        <v>2952</v>
      </c>
    </row>
    <row r="769" spans="1:7" ht="15" customHeight="1" x14ac:dyDescent="0.3">
      <c r="A769" s="16">
        <v>762</v>
      </c>
      <c r="B769" s="10" t="s">
        <v>3059</v>
      </c>
      <c r="C769" s="10" t="s">
        <v>2978</v>
      </c>
      <c r="D769" s="10" t="s">
        <v>209</v>
      </c>
      <c r="E769" s="10" t="s">
        <v>203</v>
      </c>
      <c r="F769" s="16">
        <v>0</v>
      </c>
      <c r="G769" s="10" t="s">
        <v>2947</v>
      </c>
    </row>
    <row r="770" spans="1:7" ht="15" customHeight="1" x14ac:dyDescent="0.3">
      <c r="A770" s="16">
        <v>763</v>
      </c>
      <c r="B770" s="10" t="s">
        <v>3059</v>
      </c>
      <c r="C770" s="10" t="s">
        <v>2943</v>
      </c>
      <c r="D770" s="10" t="s">
        <v>200</v>
      </c>
      <c r="E770" s="10" t="s">
        <v>224</v>
      </c>
      <c r="F770" s="16">
        <v>0</v>
      </c>
      <c r="G770" s="10" t="s">
        <v>2923</v>
      </c>
    </row>
    <row r="771" spans="1:7" ht="15" customHeight="1" x14ac:dyDescent="0.3">
      <c r="A771" s="16">
        <v>764</v>
      </c>
      <c r="B771" s="10" t="s">
        <v>3059</v>
      </c>
      <c r="C771" s="10" t="s">
        <v>2908</v>
      </c>
      <c r="D771" s="10" t="s">
        <v>199</v>
      </c>
      <c r="E771" s="10" t="s">
        <v>219</v>
      </c>
      <c r="F771" s="16">
        <v>0</v>
      </c>
      <c r="G771" s="10" t="s">
        <v>2930</v>
      </c>
    </row>
    <row r="772" spans="1:7" ht="15" customHeight="1" x14ac:dyDescent="0.3">
      <c r="A772" s="16">
        <v>765</v>
      </c>
      <c r="B772" s="10" t="s">
        <v>3059</v>
      </c>
      <c r="C772" s="10" t="s">
        <v>2910</v>
      </c>
      <c r="D772" s="10" t="s">
        <v>216</v>
      </c>
      <c r="E772" s="10" t="s">
        <v>217</v>
      </c>
      <c r="F772" s="16">
        <v>0</v>
      </c>
      <c r="G772" s="10" t="s">
        <v>2931</v>
      </c>
    </row>
    <row r="773" spans="1:7" ht="15" customHeight="1" x14ac:dyDescent="0.3">
      <c r="A773" s="16">
        <v>766</v>
      </c>
      <c r="B773" s="10" t="s">
        <v>3060</v>
      </c>
      <c r="C773" s="10" t="s">
        <v>2908</v>
      </c>
      <c r="D773" s="10" t="s">
        <v>212</v>
      </c>
      <c r="E773" s="10" t="s">
        <v>197</v>
      </c>
      <c r="F773" s="16">
        <v>0</v>
      </c>
      <c r="G773" s="10" t="s">
        <v>2945</v>
      </c>
    </row>
    <row r="774" spans="1:7" ht="15" customHeight="1" x14ac:dyDescent="0.3">
      <c r="A774" s="16">
        <v>767</v>
      </c>
      <c r="B774" s="10" t="s">
        <v>3060</v>
      </c>
      <c r="C774" s="10" t="s">
        <v>2908</v>
      </c>
      <c r="D774" s="10" t="s">
        <v>215</v>
      </c>
      <c r="E774" s="10" t="s">
        <v>208</v>
      </c>
      <c r="F774" s="16">
        <v>0</v>
      </c>
      <c r="G774" s="10" t="s">
        <v>2937</v>
      </c>
    </row>
    <row r="775" spans="1:7" ht="15" customHeight="1" x14ac:dyDescent="0.3">
      <c r="A775" s="16">
        <v>768</v>
      </c>
      <c r="B775" s="10" t="s">
        <v>3060</v>
      </c>
      <c r="C775" s="10" t="s">
        <v>2908</v>
      </c>
      <c r="D775" s="10" t="s">
        <v>198</v>
      </c>
      <c r="E775" s="10" t="s">
        <v>219</v>
      </c>
      <c r="F775" s="16">
        <v>0</v>
      </c>
      <c r="G775" s="10" t="s">
        <v>2930</v>
      </c>
    </row>
    <row r="776" spans="1:7" ht="15" customHeight="1" x14ac:dyDescent="0.3">
      <c r="A776" s="16">
        <v>769</v>
      </c>
      <c r="B776" s="10" t="s">
        <v>3060</v>
      </c>
      <c r="C776" s="10" t="s">
        <v>2908</v>
      </c>
      <c r="D776" s="10" t="s">
        <v>201</v>
      </c>
      <c r="E776" s="10" t="s">
        <v>226</v>
      </c>
      <c r="F776" s="16">
        <v>0</v>
      </c>
      <c r="G776" s="10" t="s">
        <v>2919</v>
      </c>
    </row>
    <row r="777" spans="1:7" ht="15" customHeight="1" x14ac:dyDescent="0.3">
      <c r="A777" s="16">
        <v>770</v>
      </c>
      <c r="B777" s="10" t="s">
        <v>3060</v>
      </c>
      <c r="C777" s="10" t="s">
        <v>2924</v>
      </c>
      <c r="D777" s="10" t="s">
        <v>221</v>
      </c>
      <c r="E777" s="10" t="s">
        <v>211</v>
      </c>
      <c r="F777" s="16">
        <v>0</v>
      </c>
      <c r="G777" s="10" t="s">
        <v>2925</v>
      </c>
    </row>
    <row r="778" spans="1:7" ht="15" customHeight="1" x14ac:dyDescent="0.3">
      <c r="A778" s="16">
        <v>771</v>
      </c>
      <c r="B778" s="10" t="s">
        <v>3060</v>
      </c>
      <c r="C778" s="10" t="s">
        <v>2924</v>
      </c>
      <c r="D778" s="10" t="s">
        <v>218</v>
      </c>
      <c r="E778" s="10" t="s">
        <v>213</v>
      </c>
      <c r="F778" s="16">
        <v>0</v>
      </c>
      <c r="G778" s="10" t="s">
        <v>2938</v>
      </c>
    </row>
    <row r="779" spans="1:7" ht="15" customHeight="1" x14ac:dyDescent="0.3">
      <c r="A779" s="16">
        <v>772</v>
      </c>
      <c r="B779" s="10" t="s">
        <v>3060</v>
      </c>
      <c r="C779" s="10" t="s">
        <v>2910</v>
      </c>
      <c r="D779" s="10" t="s">
        <v>210</v>
      </c>
      <c r="E779" s="10" t="s">
        <v>220</v>
      </c>
      <c r="F779" s="16">
        <v>0</v>
      </c>
      <c r="G779" s="10" t="s">
        <v>2942</v>
      </c>
    </row>
    <row r="780" spans="1:7" ht="15" customHeight="1" x14ac:dyDescent="0.3">
      <c r="A780" s="16">
        <v>773</v>
      </c>
      <c r="B780" s="10" t="s">
        <v>3061</v>
      </c>
      <c r="C780" s="10" t="s">
        <v>2913</v>
      </c>
      <c r="D780" s="10" t="s">
        <v>207</v>
      </c>
      <c r="E780" s="10" t="s">
        <v>225</v>
      </c>
      <c r="F780" s="16">
        <v>0</v>
      </c>
      <c r="G780" s="10" t="s">
        <v>2940</v>
      </c>
    </row>
    <row r="781" spans="1:7" ht="15" customHeight="1" x14ac:dyDescent="0.3">
      <c r="A781" s="16">
        <v>774</v>
      </c>
      <c r="B781" s="10" t="s">
        <v>3061</v>
      </c>
      <c r="C781" s="10" t="s">
        <v>2916</v>
      </c>
      <c r="D781" s="10" t="s">
        <v>205</v>
      </c>
      <c r="E781" s="10" t="s">
        <v>209</v>
      </c>
      <c r="F781" s="16">
        <v>0</v>
      </c>
      <c r="G781" s="10" t="s">
        <v>2917</v>
      </c>
    </row>
    <row r="782" spans="1:7" ht="15" customHeight="1" x14ac:dyDescent="0.3">
      <c r="A782" s="16">
        <v>775</v>
      </c>
      <c r="B782" s="10" t="s">
        <v>3061</v>
      </c>
      <c r="C782" s="10" t="s">
        <v>2908</v>
      </c>
      <c r="D782" s="10" t="s">
        <v>224</v>
      </c>
      <c r="E782" s="10" t="s">
        <v>202</v>
      </c>
      <c r="F782" s="16">
        <v>0</v>
      </c>
      <c r="G782" s="10" t="s">
        <v>2944</v>
      </c>
    </row>
    <row r="783" spans="1:7" ht="15" customHeight="1" x14ac:dyDescent="0.3">
      <c r="A783" s="16">
        <v>776</v>
      </c>
      <c r="B783" s="10" t="s">
        <v>3061</v>
      </c>
      <c r="C783" s="10" t="s">
        <v>2920</v>
      </c>
      <c r="D783" s="10" t="s">
        <v>214</v>
      </c>
      <c r="E783" s="10" t="s">
        <v>198</v>
      </c>
      <c r="F783" s="16">
        <v>0</v>
      </c>
      <c r="G783" s="10" t="s">
        <v>2921</v>
      </c>
    </row>
    <row r="784" spans="1:7" ht="15" customHeight="1" x14ac:dyDescent="0.3">
      <c r="A784" s="16">
        <v>777</v>
      </c>
      <c r="B784" s="10" t="s">
        <v>3061</v>
      </c>
      <c r="C784" s="10" t="s">
        <v>2920</v>
      </c>
      <c r="D784" s="10" t="s">
        <v>204</v>
      </c>
      <c r="E784" s="10" t="s">
        <v>199</v>
      </c>
      <c r="F784" s="16">
        <v>0</v>
      </c>
      <c r="G784" s="10" t="s">
        <v>2935</v>
      </c>
    </row>
    <row r="785" spans="1:7" ht="15" customHeight="1" x14ac:dyDescent="0.3">
      <c r="A785" s="16">
        <v>778</v>
      </c>
      <c r="B785" s="10" t="s">
        <v>3061</v>
      </c>
      <c r="C785" s="10" t="s">
        <v>2920</v>
      </c>
      <c r="D785" s="10" t="s">
        <v>200</v>
      </c>
      <c r="E785" s="10" t="s">
        <v>216</v>
      </c>
      <c r="F785" s="16">
        <v>0</v>
      </c>
      <c r="G785" s="10" t="s">
        <v>2909</v>
      </c>
    </row>
    <row r="786" spans="1:7" ht="15" customHeight="1" x14ac:dyDescent="0.3">
      <c r="A786" s="16">
        <v>779</v>
      </c>
      <c r="B786" s="10" t="s">
        <v>3061</v>
      </c>
      <c r="C786" s="10" t="s">
        <v>2924</v>
      </c>
      <c r="D786" s="10" t="s">
        <v>206</v>
      </c>
      <c r="E786" s="10" t="s">
        <v>201</v>
      </c>
      <c r="F786" s="16">
        <v>0</v>
      </c>
      <c r="G786" s="10" t="s">
        <v>2946</v>
      </c>
    </row>
    <row r="787" spans="1:7" ht="15" customHeight="1" x14ac:dyDescent="0.3">
      <c r="A787" s="16">
        <v>780</v>
      </c>
      <c r="B787" s="10" t="s">
        <v>3061</v>
      </c>
      <c r="C787" s="10" t="s">
        <v>2924</v>
      </c>
      <c r="D787" s="10" t="s">
        <v>223</v>
      </c>
      <c r="E787" s="10" t="s">
        <v>203</v>
      </c>
      <c r="F787" s="16">
        <v>0</v>
      </c>
      <c r="G787" s="10" t="s">
        <v>2947</v>
      </c>
    </row>
    <row r="788" spans="1:7" ht="15" customHeight="1" x14ac:dyDescent="0.3">
      <c r="A788" s="16">
        <v>781</v>
      </c>
      <c r="B788" s="10" t="s">
        <v>3061</v>
      </c>
      <c r="C788" s="10" t="s">
        <v>2924</v>
      </c>
      <c r="D788" s="10" t="s">
        <v>222</v>
      </c>
      <c r="E788" s="10" t="s">
        <v>213</v>
      </c>
      <c r="F788" s="16">
        <v>0</v>
      </c>
      <c r="G788" s="10" t="s">
        <v>2938</v>
      </c>
    </row>
    <row r="789" spans="1:7" ht="15" customHeight="1" x14ac:dyDescent="0.3">
      <c r="A789" s="16">
        <v>782</v>
      </c>
      <c r="B789" s="10" t="s">
        <v>3061</v>
      </c>
      <c r="C789" s="10" t="s">
        <v>2924</v>
      </c>
      <c r="D789" s="10" t="s">
        <v>221</v>
      </c>
      <c r="E789" s="10" t="s">
        <v>217</v>
      </c>
      <c r="F789" s="16">
        <v>0</v>
      </c>
      <c r="G789" s="10" t="s">
        <v>2931</v>
      </c>
    </row>
    <row r="790" spans="1:7" ht="15" customHeight="1" x14ac:dyDescent="0.3">
      <c r="A790" s="16">
        <v>783</v>
      </c>
      <c r="B790" s="10" t="s">
        <v>3062</v>
      </c>
      <c r="C790" s="10" t="s">
        <v>2913</v>
      </c>
      <c r="D790" s="10" t="s">
        <v>209</v>
      </c>
      <c r="E790" s="10" t="s">
        <v>210</v>
      </c>
      <c r="F790" s="16">
        <v>0</v>
      </c>
      <c r="G790" s="10" t="s">
        <v>2914</v>
      </c>
    </row>
    <row r="791" spans="1:7" ht="15" customHeight="1" x14ac:dyDescent="0.3">
      <c r="A791" s="16">
        <v>784</v>
      </c>
      <c r="B791" s="10" t="s">
        <v>3062</v>
      </c>
      <c r="C791" s="10" t="s">
        <v>2908</v>
      </c>
      <c r="D791" s="10" t="s">
        <v>215</v>
      </c>
      <c r="E791" s="10" t="s">
        <v>197</v>
      </c>
      <c r="F791" s="16">
        <v>0</v>
      </c>
      <c r="G791" s="10" t="s">
        <v>2945</v>
      </c>
    </row>
    <row r="792" spans="1:7" ht="15" customHeight="1" x14ac:dyDescent="0.3">
      <c r="A792" s="16">
        <v>785</v>
      </c>
      <c r="B792" s="10" t="s">
        <v>3062</v>
      </c>
      <c r="C792" s="10" t="s">
        <v>2908</v>
      </c>
      <c r="D792" s="10" t="s">
        <v>202</v>
      </c>
      <c r="E792" s="10" t="s">
        <v>208</v>
      </c>
      <c r="F792" s="16">
        <v>0</v>
      </c>
      <c r="G792" s="10" t="s">
        <v>2937</v>
      </c>
    </row>
    <row r="793" spans="1:7" ht="15" customHeight="1" x14ac:dyDescent="0.3">
      <c r="A793" s="16">
        <v>786</v>
      </c>
      <c r="B793" s="10" t="s">
        <v>3062</v>
      </c>
      <c r="C793" s="10" t="s">
        <v>2908</v>
      </c>
      <c r="D793" s="10" t="s">
        <v>212</v>
      </c>
      <c r="E793" s="10" t="s">
        <v>226</v>
      </c>
      <c r="F793" s="16">
        <v>0</v>
      </c>
      <c r="G793" s="10" t="s">
        <v>2919</v>
      </c>
    </row>
    <row r="794" spans="1:7" ht="15" customHeight="1" x14ac:dyDescent="0.3">
      <c r="A794" s="16">
        <v>787</v>
      </c>
      <c r="B794" s="10" t="s">
        <v>3062</v>
      </c>
      <c r="C794" s="10" t="s">
        <v>2920</v>
      </c>
      <c r="D794" s="10" t="s">
        <v>206</v>
      </c>
      <c r="E794" s="10" t="s">
        <v>199</v>
      </c>
      <c r="F794" s="16">
        <v>0</v>
      </c>
      <c r="G794" s="10" t="s">
        <v>2935</v>
      </c>
    </row>
    <row r="795" spans="1:7" ht="15" customHeight="1" x14ac:dyDescent="0.3">
      <c r="A795" s="16">
        <v>788</v>
      </c>
      <c r="B795" s="10" t="s">
        <v>3062</v>
      </c>
      <c r="C795" s="10" t="s">
        <v>2924</v>
      </c>
      <c r="D795" s="10" t="s">
        <v>218</v>
      </c>
      <c r="E795" s="10" t="s">
        <v>211</v>
      </c>
      <c r="F795" s="16">
        <v>0</v>
      </c>
      <c r="G795" s="10" t="s">
        <v>2925</v>
      </c>
    </row>
    <row r="796" spans="1:7" ht="15" customHeight="1" x14ac:dyDescent="0.3">
      <c r="A796" s="16">
        <v>789</v>
      </c>
      <c r="B796" s="10" t="s">
        <v>3062</v>
      </c>
      <c r="C796" s="10" t="s">
        <v>2948</v>
      </c>
      <c r="D796" s="10" t="s">
        <v>205</v>
      </c>
      <c r="E796" s="10" t="s">
        <v>220</v>
      </c>
      <c r="F796" s="16">
        <v>0</v>
      </c>
      <c r="G796" s="10" t="s">
        <v>2942</v>
      </c>
    </row>
    <row r="797" spans="1:7" ht="15" customHeight="1" x14ac:dyDescent="0.3">
      <c r="A797" s="16">
        <v>790</v>
      </c>
      <c r="B797" s="10" t="s">
        <v>3063</v>
      </c>
      <c r="C797" s="10" t="s">
        <v>2908</v>
      </c>
      <c r="D797" s="10" t="s">
        <v>213</v>
      </c>
      <c r="E797" s="10" t="s">
        <v>200</v>
      </c>
      <c r="F797" s="16">
        <v>0</v>
      </c>
      <c r="G797" s="10" t="s">
        <v>2936</v>
      </c>
    </row>
    <row r="798" spans="1:7" ht="15" customHeight="1" x14ac:dyDescent="0.3">
      <c r="A798" s="16">
        <v>791</v>
      </c>
      <c r="B798" s="10" t="s">
        <v>3063</v>
      </c>
      <c r="C798" s="10" t="s">
        <v>2908</v>
      </c>
      <c r="D798" s="10" t="s">
        <v>225</v>
      </c>
      <c r="E798" s="10" t="s">
        <v>208</v>
      </c>
      <c r="F798" s="16">
        <v>0</v>
      </c>
      <c r="G798" s="10" t="s">
        <v>2937</v>
      </c>
    </row>
    <row r="799" spans="1:7" ht="15" customHeight="1" x14ac:dyDescent="0.3">
      <c r="A799" s="16">
        <v>792</v>
      </c>
      <c r="B799" s="10" t="s">
        <v>3063</v>
      </c>
      <c r="C799" s="10" t="s">
        <v>2908</v>
      </c>
      <c r="D799" s="10" t="s">
        <v>216</v>
      </c>
      <c r="E799" s="10" t="s">
        <v>219</v>
      </c>
      <c r="F799" s="16">
        <v>0</v>
      </c>
      <c r="G799" s="10" t="s">
        <v>2930</v>
      </c>
    </row>
    <row r="800" spans="1:7" ht="15" customHeight="1" x14ac:dyDescent="0.3">
      <c r="A800" s="16">
        <v>793</v>
      </c>
      <c r="B800" s="10" t="s">
        <v>3063</v>
      </c>
      <c r="C800" s="10" t="s">
        <v>2924</v>
      </c>
      <c r="D800" s="10" t="s">
        <v>221</v>
      </c>
      <c r="E800" s="10" t="s">
        <v>203</v>
      </c>
      <c r="F800" s="16">
        <v>0</v>
      </c>
      <c r="G800" s="10" t="s">
        <v>2947</v>
      </c>
    </row>
    <row r="801" spans="1:7" ht="15" customHeight="1" x14ac:dyDescent="0.3">
      <c r="A801" s="16">
        <v>794</v>
      </c>
      <c r="B801" s="10" t="s">
        <v>3063</v>
      </c>
      <c r="C801" s="10" t="s">
        <v>2927</v>
      </c>
      <c r="D801" s="10" t="s">
        <v>222</v>
      </c>
      <c r="E801" s="10" t="s">
        <v>207</v>
      </c>
      <c r="F801" s="16">
        <v>0</v>
      </c>
      <c r="G801" s="10" t="s">
        <v>2928</v>
      </c>
    </row>
    <row r="802" spans="1:7" ht="15" customHeight="1" x14ac:dyDescent="0.3">
      <c r="A802" s="16">
        <v>795</v>
      </c>
      <c r="B802" s="10" t="s">
        <v>3063</v>
      </c>
      <c r="C802" s="10" t="s">
        <v>2948</v>
      </c>
      <c r="D802" s="10" t="s">
        <v>201</v>
      </c>
      <c r="E802" s="10" t="s">
        <v>204</v>
      </c>
      <c r="F802" s="16">
        <v>0</v>
      </c>
      <c r="G802" s="10" t="s">
        <v>2949</v>
      </c>
    </row>
    <row r="803" spans="1:7" ht="15" customHeight="1" x14ac:dyDescent="0.3">
      <c r="A803" s="16">
        <v>796</v>
      </c>
      <c r="B803" s="10" t="s">
        <v>3063</v>
      </c>
      <c r="C803" s="10" t="s">
        <v>2910</v>
      </c>
      <c r="D803" s="10" t="s">
        <v>223</v>
      </c>
      <c r="E803" s="10" t="s">
        <v>217</v>
      </c>
      <c r="F803" s="16">
        <v>0</v>
      </c>
      <c r="G803" s="10" t="s">
        <v>2931</v>
      </c>
    </row>
    <row r="804" spans="1:7" ht="15" customHeight="1" x14ac:dyDescent="0.3">
      <c r="A804" s="16">
        <v>797</v>
      </c>
      <c r="B804" s="10" t="s">
        <v>3064</v>
      </c>
      <c r="C804" s="10" t="s">
        <v>2916</v>
      </c>
      <c r="D804" s="10" t="s">
        <v>204</v>
      </c>
      <c r="E804" s="10" t="s">
        <v>210</v>
      </c>
      <c r="F804" s="16">
        <v>0</v>
      </c>
      <c r="G804" s="10" t="s">
        <v>2914</v>
      </c>
    </row>
    <row r="805" spans="1:7" ht="15" customHeight="1" x14ac:dyDescent="0.3">
      <c r="A805" s="16">
        <v>798</v>
      </c>
      <c r="B805" s="10" t="s">
        <v>3064</v>
      </c>
      <c r="C805" s="10" t="s">
        <v>2908</v>
      </c>
      <c r="D805" s="10" t="s">
        <v>220</v>
      </c>
      <c r="E805" s="10" t="s">
        <v>197</v>
      </c>
      <c r="F805" s="16">
        <v>0</v>
      </c>
      <c r="G805" s="10" t="s">
        <v>2945</v>
      </c>
    </row>
    <row r="806" spans="1:7" ht="15" customHeight="1" x14ac:dyDescent="0.3">
      <c r="A806" s="16">
        <v>799</v>
      </c>
      <c r="B806" s="10" t="s">
        <v>3064</v>
      </c>
      <c r="C806" s="10" t="s">
        <v>2908</v>
      </c>
      <c r="D806" s="10" t="s">
        <v>212</v>
      </c>
      <c r="E806" s="10" t="s">
        <v>218</v>
      </c>
      <c r="F806" s="16">
        <v>0</v>
      </c>
      <c r="G806" s="10" t="s">
        <v>2918</v>
      </c>
    </row>
    <row r="807" spans="1:7" ht="15" customHeight="1" x14ac:dyDescent="0.3">
      <c r="A807" s="16">
        <v>800</v>
      </c>
      <c r="B807" s="10" t="s">
        <v>3064</v>
      </c>
      <c r="C807" s="10" t="s">
        <v>2908</v>
      </c>
      <c r="D807" s="10" t="s">
        <v>198</v>
      </c>
      <c r="E807" s="10" t="s">
        <v>226</v>
      </c>
      <c r="F807" s="16">
        <v>0</v>
      </c>
      <c r="G807" s="10" t="s">
        <v>2919</v>
      </c>
    </row>
    <row r="808" spans="1:7" ht="15" customHeight="1" x14ac:dyDescent="0.3">
      <c r="A808" s="16">
        <v>801</v>
      </c>
      <c r="B808" s="10" t="s">
        <v>3064</v>
      </c>
      <c r="C808" s="10" t="s">
        <v>2920</v>
      </c>
      <c r="D808" s="10" t="s">
        <v>202</v>
      </c>
      <c r="E808" s="10" t="s">
        <v>224</v>
      </c>
      <c r="F808" s="16">
        <v>0</v>
      </c>
      <c r="G808" s="10" t="s">
        <v>2923</v>
      </c>
    </row>
    <row r="809" spans="1:7" ht="15" customHeight="1" x14ac:dyDescent="0.3">
      <c r="A809" s="16">
        <v>802</v>
      </c>
      <c r="B809" s="10" t="s">
        <v>3064</v>
      </c>
      <c r="C809" s="10" t="s">
        <v>2924</v>
      </c>
      <c r="D809" s="10" t="s">
        <v>214</v>
      </c>
      <c r="E809" s="10" t="s">
        <v>199</v>
      </c>
      <c r="F809" s="16">
        <v>0</v>
      </c>
      <c r="G809" s="10" t="s">
        <v>2935</v>
      </c>
    </row>
    <row r="810" spans="1:7" ht="15" customHeight="1" x14ac:dyDescent="0.3">
      <c r="A810" s="16">
        <v>803</v>
      </c>
      <c r="B810" s="10" t="s">
        <v>3064</v>
      </c>
      <c r="C810" s="10" t="s">
        <v>2924</v>
      </c>
      <c r="D810" s="10" t="s">
        <v>209</v>
      </c>
      <c r="E810" s="10" t="s">
        <v>211</v>
      </c>
      <c r="F810" s="16">
        <v>0</v>
      </c>
      <c r="G810" s="10" t="s">
        <v>2925</v>
      </c>
    </row>
    <row r="811" spans="1:7" ht="15" customHeight="1" x14ac:dyDescent="0.3">
      <c r="A811" s="16">
        <v>804</v>
      </c>
      <c r="B811" s="10" t="s">
        <v>3064</v>
      </c>
      <c r="C811" s="10" t="s">
        <v>2924</v>
      </c>
      <c r="D811" s="10" t="s">
        <v>207</v>
      </c>
      <c r="E811" s="10" t="s">
        <v>215</v>
      </c>
      <c r="F811" s="16">
        <v>0</v>
      </c>
      <c r="G811" s="10" t="s">
        <v>2926</v>
      </c>
    </row>
    <row r="812" spans="1:7" ht="15" customHeight="1" x14ac:dyDescent="0.3">
      <c r="A812" s="16">
        <v>805</v>
      </c>
      <c r="B812" s="10" t="s">
        <v>3065</v>
      </c>
      <c r="C812" s="10" t="s">
        <v>3032</v>
      </c>
      <c r="D812" s="10" t="s">
        <v>222</v>
      </c>
      <c r="E812" s="10" t="s">
        <v>208</v>
      </c>
      <c r="F812" s="16">
        <v>0</v>
      </c>
      <c r="G812" s="10" t="s">
        <v>2937</v>
      </c>
    </row>
    <row r="813" spans="1:7" ht="15" customHeight="1" x14ac:dyDescent="0.3">
      <c r="A813" s="16">
        <v>806</v>
      </c>
      <c r="B813" s="10" t="s">
        <v>3065</v>
      </c>
      <c r="C813" s="10" t="s">
        <v>2906</v>
      </c>
      <c r="D813" s="10" t="s">
        <v>203</v>
      </c>
      <c r="E813" s="10" t="s">
        <v>200</v>
      </c>
      <c r="F813" s="16">
        <v>0</v>
      </c>
      <c r="G813" s="10" t="s">
        <v>2936</v>
      </c>
    </row>
    <row r="814" spans="1:7" ht="15" customHeight="1" x14ac:dyDescent="0.3">
      <c r="A814" s="16">
        <v>807</v>
      </c>
      <c r="B814" s="10" t="s">
        <v>3065</v>
      </c>
      <c r="C814" s="10" t="s">
        <v>2961</v>
      </c>
      <c r="D814" s="10" t="s">
        <v>205</v>
      </c>
      <c r="E814" s="10" t="s">
        <v>221</v>
      </c>
      <c r="F814" s="16">
        <v>0</v>
      </c>
      <c r="G814" s="10" t="s">
        <v>2915</v>
      </c>
    </row>
    <row r="815" spans="1:7" ht="15" customHeight="1" x14ac:dyDescent="0.3">
      <c r="A815" s="16">
        <v>808</v>
      </c>
      <c r="B815" s="10" t="s">
        <v>3065</v>
      </c>
      <c r="C815" s="10" t="s">
        <v>3020</v>
      </c>
      <c r="D815" s="10" t="s">
        <v>219</v>
      </c>
      <c r="E815" s="10" t="s">
        <v>217</v>
      </c>
      <c r="F815" s="16">
        <v>0</v>
      </c>
      <c r="G815" s="10" t="s">
        <v>2931</v>
      </c>
    </row>
    <row r="816" spans="1:7" ht="15" customHeight="1" x14ac:dyDescent="0.3">
      <c r="A816" s="16">
        <v>809</v>
      </c>
      <c r="B816" s="10" t="s">
        <v>3065</v>
      </c>
      <c r="C816" s="10" t="s">
        <v>2908</v>
      </c>
      <c r="D816" s="10" t="s">
        <v>223</v>
      </c>
      <c r="E816" s="10" t="s">
        <v>218</v>
      </c>
      <c r="F816" s="16">
        <v>0</v>
      </c>
      <c r="G816" s="10" t="s">
        <v>2918</v>
      </c>
    </row>
    <row r="817" spans="1:7" ht="15" customHeight="1" x14ac:dyDescent="0.3">
      <c r="A817" s="16">
        <v>810</v>
      </c>
      <c r="B817" s="10" t="s">
        <v>3065</v>
      </c>
      <c r="C817" s="10" t="s">
        <v>2908</v>
      </c>
      <c r="D817" s="10" t="s">
        <v>213</v>
      </c>
      <c r="E817" s="10" t="s">
        <v>226</v>
      </c>
      <c r="F817" s="16">
        <v>0</v>
      </c>
      <c r="G817" s="10" t="s">
        <v>2919</v>
      </c>
    </row>
    <row r="818" spans="1:7" ht="15" customHeight="1" x14ac:dyDescent="0.3">
      <c r="A818" s="16">
        <v>811</v>
      </c>
      <c r="B818" s="10" t="s">
        <v>3065</v>
      </c>
      <c r="C818" s="10" t="s">
        <v>2927</v>
      </c>
      <c r="D818" s="10" t="s">
        <v>206</v>
      </c>
      <c r="E818" s="10" t="s">
        <v>216</v>
      </c>
      <c r="F818" s="16">
        <v>0</v>
      </c>
      <c r="G818" s="10" t="s">
        <v>2909</v>
      </c>
    </row>
    <row r="819" spans="1:7" ht="15" customHeight="1" x14ac:dyDescent="0.3">
      <c r="A819" s="16">
        <v>812</v>
      </c>
      <c r="B819" s="10" t="s">
        <v>3066</v>
      </c>
      <c r="C819" s="10" t="s">
        <v>2976</v>
      </c>
      <c r="D819" s="10" t="s">
        <v>222</v>
      </c>
      <c r="E819" s="10" t="s">
        <v>197</v>
      </c>
      <c r="F819" s="16">
        <v>0</v>
      </c>
      <c r="G819" s="10" t="s">
        <v>2945</v>
      </c>
    </row>
    <row r="820" spans="1:7" ht="15" customHeight="1" x14ac:dyDescent="0.3">
      <c r="A820" s="16">
        <v>813</v>
      </c>
      <c r="B820" s="10" t="s">
        <v>3066</v>
      </c>
      <c r="C820" s="10" t="s">
        <v>2976</v>
      </c>
      <c r="D820" s="10" t="s">
        <v>224</v>
      </c>
      <c r="E820" s="10" t="s">
        <v>199</v>
      </c>
      <c r="F820" s="16">
        <v>0</v>
      </c>
      <c r="G820" s="10" t="s">
        <v>2935</v>
      </c>
    </row>
    <row r="821" spans="1:7" ht="15" customHeight="1" x14ac:dyDescent="0.3">
      <c r="A821" s="16">
        <v>814</v>
      </c>
      <c r="B821" s="10" t="s">
        <v>3066</v>
      </c>
      <c r="C821" s="10" t="s">
        <v>2976</v>
      </c>
      <c r="D821" s="10" t="s">
        <v>220</v>
      </c>
      <c r="E821" s="10" t="s">
        <v>202</v>
      </c>
      <c r="F821" s="16">
        <v>0</v>
      </c>
      <c r="G821" s="10" t="s">
        <v>2944</v>
      </c>
    </row>
    <row r="822" spans="1:7" ht="15" customHeight="1" x14ac:dyDescent="0.3">
      <c r="A822" s="16">
        <v>815</v>
      </c>
      <c r="B822" s="10" t="s">
        <v>3066</v>
      </c>
      <c r="C822" s="10" t="s">
        <v>2976</v>
      </c>
      <c r="D822" s="10" t="s">
        <v>198</v>
      </c>
      <c r="E822" s="10" t="s">
        <v>212</v>
      </c>
      <c r="F822" s="16">
        <v>0</v>
      </c>
      <c r="G822" s="10" t="s">
        <v>2922</v>
      </c>
    </row>
    <row r="823" spans="1:7" ht="15" customHeight="1" x14ac:dyDescent="0.3">
      <c r="A823" s="16">
        <v>816</v>
      </c>
      <c r="B823" s="10" t="s">
        <v>3066</v>
      </c>
      <c r="C823" s="10" t="s">
        <v>3032</v>
      </c>
      <c r="D823" s="10" t="s">
        <v>204</v>
      </c>
      <c r="E823" s="10" t="s">
        <v>207</v>
      </c>
      <c r="F823" s="16">
        <v>0</v>
      </c>
      <c r="G823" s="10" t="s">
        <v>2928</v>
      </c>
    </row>
    <row r="824" spans="1:7" ht="15" customHeight="1" x14ac:dyDescent="0.3">
      <c r="A824" s="16">
        <v>817</v>
      </c>
      <c r="B824" s="10" t="s">
        <v>3066</v>
      </c>
      <c r="C824" s="10" t="s">
        <v>3032</v>
      </c>
      <c r="D824" s="10" t="s">
        <v>209</v>
      </c>
      <c r="E824" s="10" t="s">
        <v>215</v>
      </c>
      <c r="F824" s="16">
        <v>0</v>
      </c>
      <c r="G824" s="10" t="s">
        <v>2926</v>
      </c>
    </row>
    <row r="825" spans="1:7" ht="15" customHeight="1" x14ac:dyDescent="0.3">
      <c r="A825" s="16">
        <v>818</v>
      </c>
      <c r="B825" s="10" t="s">
        <v>3066</v>
      </c>
      <c r="C825" s="10" t="s">
        <v>2961</v>
      </c>
      <c r="D825" s="10" t="s">
        <v>201</v>
      </c>
      <c r="E825" s="10" t="s">
        <v>221</v>
      </c>
      <c r="F825" s="16">
        <v>0</v>
      </c>
      <c r="G825" s="10" t="s">
        <v>2915</v>
      </c>
    </row>
    <row r="826" spans="1:7" ht="15" customHeight="1" x14ac:dyDescent="0.3">
      <c r="A826" s="16">
        <v>819</v>
      </c>
      <c r="B826" s="10" t="s">
        <v>3067</v>
      </c>
      <c r="C826" s="10" t="s">
        <v>3009</v>
      </c>
      <c r="D826" s="10" t="s">
        <v>214</v>
      </c>
      <c r="E826" s="10" t="s">
        <v>200</v>
      </c>
      <c r="F826" s="16">
        <v>0</v>
      </c>
      <c r="G826" s="10" t="s">
        <v>2936</v>
      </c>
    </row>
    <row r="827" spans="1:7" ht="15" customHeight="1" x14ac:dyDescent="0.3">
      <c r="A827" s="16">
        <v>820</v>
      </c>
      <c r="B827" s="10" t="s">
        <v>3067</v>
      </c>
      <c r="C827" s="10" t="s">
        <v>3010</v>
      </c>
      <c r="D827" s="10" t="s">
        <v>219</v>
      </c>
      <c r="E827" s="10" t="s">
        <v>203</v>
      </c>
      <c r="F827" s="16">
        <v>0</v>
      </c>
      <c r="G827" s="10" t="s">
        <v>2947</v>
      </c>
    </row>
    <row r="828" spans="1:7" ht="15" customHeight="1" x14ac:dyDescent="0.3">
      <c r="A828" s="16">
        <v>821</v>
      </c>
      <c r="B828" s="10" t="s">
        <v>3067</v>
      </c>
      <c r="C828" s="10" t="s">
        <v>2951</v>
      </c>
      <c r="D828" s="10" t="s">
        <v>223</v>
      </c>
      <c r="E828" s="10" t="s">
        <v>212</v>
      </c>
      <c r="F828" s="16">
        <v>0</v>
      </c>
      <c r="G828" s="10" t="s">
        <v>2922</v>
      </c>
    </row>
    <row r="829" spans="1:7" ht="15" customHeight="1" x14ac:dyDescent="0.3">
      <c r="A829" s="16">
        <v>822</v>
      </c>
      <c r="B829" s="10" t="s">
        <v>3067</v>
      </c>
      <c r="C829" s="10" t="s">
        <v>2908</v>
      </c>
      <c r="D829" s="10" t="s">
        <v>220</v>
      </c>
      <c r="E829" s="10" t="s">
        <v>226</v>
      </c>
      <c r="F829" s="16">
        <v>0</v>
      </c>
      <c r="G829" s="10" t="s">
        <v>2919</v>
      </c>
    </row>
    <row r="830" spans="1:7" ht="15" customHeight="1" x14ac:dyDescent="0.3">
      <c r="A830" s="16">
        <v>823</v>
      </c>
      <c r="B830" s="10" t="s">
        <v>3067</v>
      </c>
      <c r="C830" s="10" t="s">
        <v>2920</v>
      </c>
      <c r="D830" s="10" t="s">
        <v>208</v>
      </c>
      <c r="E830" s="10" t="s">
        <v>206</v>
      </c>
      <c r="F830" s="16">
        <v>0</v>
      </c>
      <c r="G830" s="10" t="s">
        <v>2933</v>
      </c>
    </row>
    <row r="831" spans="1:7" ht="15" customHeight="1" x14ac:dyDescent="0.3">
      <c r="A831" s="16">
        <v>824</v>
      </c>
      <c r="B831" s="10" t="s">
        <v>3067</v>
      </c>
      <c r="C831" s="10" t="s">
        <v>2924</v>
      </c>
      <c r="D831" s="10" t="s">
        <v>216</v>
      </c>
      <c r="E831" s="10" t="s">
        <v>211</v>
      </c>
      <c r="F831" s="16">
        <v>0</v>
      </c>
      <c r="G831" s="10" t="s">
        <v>2925</v>
      </c>
    </row>
    <row r="832" spans="1:7" ht="15" customHeight="1" x14ac:dyDescent="0.3">
      <c r="A832" s="16">
        <v>825</v>
      </c>
      <c r="B832" s="10" t="s">
        <v>3067</v>
      </c>
      <c r="C832" s="10" t="s">
        <v>2924</v>
      </c>
      <c r="D832" s="10" t="s">
        <v>218</v>
      </c>
      <c r="E832" s="10" t="s">
        <v>217</v>
      </c>
      <c r="F832" s="16">
        <v>0</v>
      </c>
      <c r="G832" s="10" t="s">
        <v>2931</v>
      </c>
    </row>
    <row r="833" spans="1:7" ht="15" customHeight="1" x14ac:dyDescent="0.3">
      <c r="A833" s="16">
        <v>826</v>
      </c>
      <c r="B833" s="10" t="s">
        <v>3067</v>
      </c>
      <c r="C833" s="10" t="s">
        <v>2948</v>
      </c>
      <c r="D833" s="10" t="s">
        <v>205</v>
      </c>
      <c r="E833" s="10" t="s">
        <v>225</v>
      </c>
      <c r="F833" s="16">
        <v>0</v>
      </c>
      <c r="G833" s="10" t="s">
        <v>2940</v>
      </c>
    </row>
    <row r="834" spans="1:7" ht="15" customHeight="1" x14ac:dyDescent="0.3">
      <c r="A834" s="16">
        <v>827</v>
      </c>
      <c r="B834" s="10" t="s">
        <v>3068</v>
      </c>
      <c r="C834" s="10" t="s">
        <v>2913</v>
      </c>
      <c r="D834" s="10" t="s">
        <v>201</v>
      </c>
      <c r="E834" s="10" t="s">
        <v>210</v>
      </c>
      <c r="F834" s="16">
        <v>0</v>
      </c>
      <c r="G834" s="10" t="s">
        <v>2914</v>
      </c>
    </row>
    <row r="835" spans="1:7" ht="15" customHeight="1" x14ac:dyDescent="0.3">
      <c r="A835" s="16">
        <v>828</v>
      </c>
      <c r="B835" s="10" t="s">
        <v>3068</v>
      </c>
      <c r="C835" s="10" t="s">
        <v>2913</v>
      </c>
      <c r="D835" s="10" t="s">
        <v>215</v>
      </c>
      <c r="E835" s="10" t="s">
        <v>221</v>
      </c>
      <c r="F835" s="16">
        <v>0</v>
      </c>
      <c r="G835" s="10" t="s">
        <v>2915</v>
      </c>
    </row>
    <row r="836" spans="1:7" ht="15" customHeight="1" x14ac:dyDescent="0.3">
      <c r="A836" s="16">
        <v>829</v>
      </c>
      <c r="B836" s="10" t="s">
        <v>3068</v>
      </c>
      <c r="C836" s="10" t="s">
        <v>2955</v>
      </c>
      <c r="D836" s="10" t="s">
        <v>207</v>
      </c>
      <c r="E836" s="10" t="s">
        <v>209</v>
      </c>
      <c r="F836" s="16">
        <v>0</v>
      </c>
      <c r="G836" s="10" t="s">
        <v>2917</v>
      </c>
    </row>
    <row r="837" spans="1:7" ht="15" customHeight="1" x14ac:dyDescent="0.3">
      <c r="A837" s="16">
        <v>830</v>
      </c>
      <c r="B837" s="10" t="s">
        <v>3068</v>
      </c>
      <c r="C837" s="10" t="s">
        <v>2908</v>
      </c>
      <c r="D837" s="10" t="s">
        <v>213</v>
      </c>
      <c r="E837" s="10" t="s">
        <v>202</v>
      </c>
      <c r="F837" s="16">
        <v>0</v>
      </c>
      <c r="G837" s="10" t="s">
        <v>2944</v>
      </c>
    </row>
    <row r="838" spans="1:7" ht="15" customHeight="1" x14ac:dyDescent="0.3">
      <c r="A838" s="16">
        <v>831</v>
      </c>
      <c r="B838" s="10" t="s">
        <v>3068</v>
      </c>
      <c r="C838" s="10" t="s">
        <v>2924</v>
      </c>
      <c r="D838" s="10" t="s">
        <v>224</v>
      </c>
      <c r="E838" s="10" t="s">
        <v>197</v>
      </c>
      <c r="F838" s="16">
        <v>0</v>
      </c>
      <c r="G838" s="10" t="s">
        <v>2945</v>
      </c>
    </row>
    <row r="839" spans="1:7" ht="15" customHeight="1" x14ac:dyDescent="0.3">
      <c r="A839" s="16">
        <v>832</v>
      </c>
      <c r="B839" s="10" t="s">
        <v>3069</v>
      </c>
      <c r="C839" s="10" t="s">
        <v>2913</v>
      </c>
      <c r="D839" s="10" t="s">
        <v>215</v>
      </c>
      <c r="E839" s="10" t="s">
        <v>206</v>
      </c>
      <c r="F839" s="16">
        <v>0</v>
      </c>
      <c r="G839" s="10" t="s">
        <v>2933</v>
      </c>
    </row>
    <row r="840" spans="1:7" ht="15" customHeight="1" x14ac:dyDescent="0.3">
      <c r="A840" s="16">
        <v>833</v>
      </c>
      <c r="B840" s="10" t="s">
        <v>3069</v>
      </c>
      <c r="C840" s="10" t="s">
        <v>2913</v>
      </c>
      <c r="D840" s="10" t="s">
        <v>208</v>
      </c>
      <c r="E840" s="10" t="s">
        <v>222</v>
      </c>
      <c r="F840" s="16">
        <v>0</v>
      </c>
      <c r="G840" s="10" t="s">
        <v>2934</v>
      </c>
    </row>
    <row r="841" spans="1:7" ht="15" customHeight="1" x14ac:dyDescent="0.3">
      <c r="A841" s="16">
        <v>834</v>
      </c>
      <c r="B841" s="10" t="s">
        <v>3069</v>
      </c>
      <c r="C841" s="10" t="s">
        <v>2916</v>
      </c>
      <c r="D841" s="10" t="s">
        <v>201</v>
      </c>
      <c r="E841" s="10" t="s">
        <v>209</v>
      </c>
      <c r="F841" s="16">
        <v>0</v>
      </c>
      <c r="G841" s="10" t="s">
        <v>2917</v>
      </c>
    </row>
    <row r="842" spans="1:7" ht="15" customHeight="1" x14ac:dyDescent="0.3">
      <c r="A842" s="16">
        <v>835</v>
      </c>
      <c r="B842" s="10" t="s">
        <v>3069</v>
      </c>
      <c r="C842" s="10" t="s">
        <v>2908</v>
      </c>
      <c r="D842" s="10" t="s">
        <v>224</v>
      </c>
      <c r="E842" s="10" t="s">
        <v>200</v>
      </c>
      <c r="F842" s="16">
        <v>0</v>
      </c>
      <c r="G842" s="10" t="s">
        <v>2936</v>
      </c>
    </row>
    <row r="843" spans="1:7" ht="15" customHeight="1" x14ac:dyDescent="0.3">
      <c r="A843" s="16">
        <v>836</v>
      </c>
      <c r="B843" s="10" t="s">
        <v>3069</v>
      </c>
      <c r="C843" s="10" t="s">
        <v>2908</v>
      </c>
      <c r="D843" s="10" t="s">
        <v>213</v>
      </c>
      <c r="E843" s="10" t="s">
        <v>202</v>
      </c>
      <c r="F843" s="16">
        <v>0</v>
      </c>
      <c r="G843" s="10" t="s">
        <v>2944</v>
      </c>
    </row>
    <row r="844" spans="1:7" ht="15" customHeight="1" x14ac:dyDescent="0.3">
      <c r="A844" s="16">
        <v>837</v>
      </c>
      <c r="B844" s="10" t="s">
        <v>3069</v>
      </c>
      <c r="C844" s="10" t="s">
        <v>2908</v>
      </c>
      <c r="D844" s="10" t="s">
        <v>216</v>
      </c>
      <c r="E844" s="10" t="s">
        <v>205</v>
      </c>
      <c r="F844" s="16">
        <v>0</v>
      </c>
      <c r="G844" s="10" t="s">
        <v>2907</v>
      </c>
    </row>
    <row r="845" spans="1:7" ht="15" customHeight="1" x14ac:dyDescent="0.3">
      <c r="A845" s="16">
        <v>838</v>
      </c>
      <c r="B845" s="10" t="s">
        <v>3069</v>
      </c>
      <c r="C845" s="10" t="s">
        <v>2908</v>
      </c>
      <c r="D845" s="10" t="s">
        <v>203</v>
      </c>
      <c r="E845" s="10" t="s">
        <v>218</v>
      </c>
      <c r="F845" s="16">
        <v>0</v>
      </c>
      <c r="G845" s="10" t="s">
        <v>2918</v>
      </c>
    </row>
    <row r="846" spans="1:7" ht="15" customHeight="1" x14ac:dyDescent="0.3">
      <c r="A846" s="16">
        <v>839</v>
      </c>
      <c r="B846" s="10" t="s">
        <v>3069</v>
      </c>
      <c r="C846" s="10" t="s">
        <v>2908</v>
      </c>
      <c r="D846" s="10" t="s">
        <v>220</v>
      </c>
      <c r="E846" s="10" t="s">
        <v>219</v>
      </c>
      <c r="F846" s="16">
        <v>0</v>
      </c>
      <c r="G846" s="10" t="s">
        <v>2930</v>
      </c>
    </row>
    <row r="847" spans="1:7" ht="15" customHeight="1" x14ac:dyDescent="0.3">
      <c r="A847" s="16">
        <v>840</v>
      </c>
      <c r="B847" s="10" t="s">
        <v>3069</v>
      </c>
      <c r="C847" s="10" t="s">
        <v>2908</v>
      </c>
      <c r="D847" s="10" t="s">
        <v>212</v>
      </c>
      <c r="E847" s="10" t="s">
        <v>226</v>
      </c>
      <c r="F847" s="16">
        <v>0</v>
      </c>
      <c r="G847" s="10" t="s">
        <v>2919</v>
      </c>
    </row>
    <row r="848" spans="1:7" ht="15" customHeight="1" x14ac:dyDescent="0.3">
      <c r="A848" s="16">
        <v>841</v>
      </c>
      <c r="B848" s="10" t="s">
        <v>3069</v>
      </c>
      <c r="C848" s="10" t="s">
        <v>2920</v>
      </c>
      <c r="D848" s="10" t="s">
        <v>197</v>
      </c>
      <c r="E848" s="10" t="s">
        <v>198</v>
      </c>
      <c r="F848" s="16">
        <v>0</v>
      </c>
      <c r="G848" s="10" t="s">
        <v>2921</v>
      </c>
    </row>
    <row r="849" spans="1:7" ht="15" customHeight="1" x14ac:dyDescent="0.3">
      <c r="A849" s="16">
        <v>842</v>
      </c>
      <c r="B849" s="10" t="s">
        <v>3069</v>
      </c>
      <c r="C849" s="10" t="s">
        <v>2924</v>
      </c>
      <c r="D849" s="10" t="s">
        <v>223</v>
      </c>
      <c r="E849" s="10" t="s">
        <v>211</v>
      </c>
      <c r="F849" s="16">
        <v>0</v>
      </c>
      <c r="G849" s="10" t="s">
        <v>2925</v>
      </c>
    </row>
    <row r="850" spans="1:7" ht="15" customHeight="1" x14ac:dyDescent="0.3">
      <c r="A850" s="16">
        <v>843</v>
      </c>
      <c r="B850" s="10" t="s">
        <v>3069</v>
      </c>
      <c r="C850" s="10" t="s">
        <v>2948</v>
      </c>
      <c r="D850" s="10" t="s">
        <v>225</v>
      </c>
      <c r="E850" s="10" t="s">
        <v>204</v>
      </c>
      <c r="F850" s="16">
        <v>0</v>
      </c>
      <c r="G850" s="10" t="s">
        <v>2949</v>
      </c>
    </row>
    <row r="851" spans="1:7" ht="15" customHeight="1" x14ac:dyDescent="0.3">
      <c r="A851" s="16">
        <v>844</v>
      </c>
      <c r="B851" s="10" t="s">
        <v>3069</v>
      </c>
      <c r="C851" s="10" t="s">
        <v>2910</v>
      </c>
      <c r="D851" s="10" t="s">
        <v>199</v>
      </c>
      <c r="E851" s="10" t="s">
        <v>217</v>
      </c>
      <c r="F851" s="16">
        <v>0</v>
      </c>
      <c r="G851" s="10" t="s">
        <v>2931</v>
      </c>
    </row>
    <row r="852" spans="1:7" ht="15" customHeight="1" x14ac:dyDescent="0.3">
      <c r="A852" s="16">
        <v>845</v>
      </c>
      <c r="B852" s="10" t="s">
        <v>3070</v>
      </c>
      <c r="C852" s="10" t="s">
        <v>2913</v>
      </c>
      <c r="D852" s="10" t="s">
        <v>207</v>
      </c>
      <c r="E852" s="10" t="s">
        <v>210</v>
      </c>
      <c r="F852" s="16">
        <v>0</v>
      </c>
      <c r="G852" s="10" t="s">
        <v>2914</v>
      </c>
    </row>
    <row r="853" spans="1:7" ht="15" customHeight="1" x14ac:dyDescent="0.3">
      <c r="A853" s="16">
        <v>846</v>
      </c>
      <c r="B853" s="10" t="s">
        <v>3070</v>
      </c>
      <c r="C853" s="10" t="s">
        <v>2913</v>
      </c>
      <c r="D853" s="10" t="s">
        <v>208</v>
      </c>
      <c r="E853" s="10" t="s">
        <v>221</v>
      </c>
      <c r="F853" s="16">
        <v>0</v>
      </c>
      <c r="G853" s="10" t="s">
        <v>2915</v>
      </c>
    </row>
    <row r="854" spans="1:7" ht="15" customHeight="1" x14ac:dyDescent="0.3">
      <c r="A854" s="16">
        <v>847</v>
      </c>
      <c r="B854" s="10" t="s">
        <v>3070</v>
      </c>
      <c r="C854" s="10" t="s">
        <v>2920</v>
      </c>
      <c r="D854" s="10" t="s">
        <v>223</v>
      </c>
      <c r="E854" s="10" t="s">
        <v>214</v>
      </c>
      <c r="F854" s="16">
        <v>0</v>
      </c>
      <c r="G854" s="10" t="s">
        <v>2952</v>
      </c>
    </row>
    <row r="855" spans="1:7" ht="15" customHeight="1" x14ac:dyDescent="0.3">
      <c r="A855" s="16">
        <v>848</v>
      </c>
      <c r="B855" s="10" t="s">
        <v>3070</v>
      </c>
      <c r="C855" s="10" t="s">
        <v>2924</v>
      </c>
      <c r="D855" s="10" t="s">
        <v>199</v>
      </c>
      <c r="E855" s="10" t="s">
        <v>211</v>
      </c>
      <c r="F855" s="16">
        <v>0</v>
      </c>
      <c r="G855" s="10" t="s">
        <v>2925</v>
      </c>
    </row>
    <row r="856" spans="1:7" ht="15" customHeight="1" x14ac:dyDescent="0.3">
      <c r="A856" s="16">
        <v>849</v>
      </c>
      <c r="B856" s="10" t="s">
        <v>3071</v>
      </c>
      <c r="C856" s="10" t="s">
        <v>2913</v>
      </c>
      <c r="D856" s="10" t="s">
        <v>203</v>
      </c>
      <c r="E856" s="10" t="s">
        <v>206</v>
      </c>
      <c r="F856" s="16">
        <v>0</v>
      </c>
      <c r="G856" s="10" t="s">
        <v>2933</v>
      </c>
    </row>
    <row r="857" spans="1:7" ht="15" customHeight="1" x14ac:dyDescent="0.3">
      <c r="A857" s="16">
        <v>850</v>
      </c>
      <c r="B857" s="10" t="s">
        <v>3071</v>
      </c>
      <c r="C857" s="10" t="s">
        <v>2916</v>
      </c>
      <c r="D857" s="10" t="s">
        <v>225</v>
      </c>
      <c r="E857" s="10" t="s">
        <v>209</v>
      </c>
      <c r="F857" s="16">
        <v>0</v>
      </c>
      <c r="G857" s="10" t="s">
        <v>2917</v>
      </c>
    </row>
    <row r="858" spans="1:7" ht="15" customHeight="1" x14ac:dyDescent="0.3">
      <c r="A858" s="16">
        <v>851</v>
      </c>
      <c r="B858" s="10" t="s">
        <v>3071</v>
      </c>
      <c r="C858" s="10" t="s">
        <v>2908</v>
      </c>
      <c r="D858" s="10" t="s">
        <v>222</v>
      </c>
      <c r="E858" s="10" t="s">
        <v>202</v>
      </c>
      <c r="F858" s="16">
        <v>0</v>
      </c>
      <c r="G858" s="10" t="s">
        <v>2944</v>
      </c>
    </row>
    <row r="859" spans="1:7" ht="15" customHeight="1" x14ac:dyDescent="0.3">
      <c r="A859" s="16">
        <v>852</v>
      </c>
      <c r="B859" s="10" t="s">
        <v>3071</v>
      </c>
      <c r="C859" s="10" t="s">
        <v>2908</v>
      </c>
      <c r="D859" s="10" t="s">
        <v>212</v>
      </c>
      <c r="E859" s="10" t="s">
        <v>205</v>
      </c>
      <c r="F859" s="16">
        <v>0</v>
      </c>
      <c r="G859" s="10" t="s">
        <v>2907</v>
      </c>
    </row>
    <row r="860" spans="1:7" ht="15" customHeight="1" x14ac:dyDescent="0.3">
      <c r="A860" s="16">
        <v>853</v>
      </c>
      <c r="B860" s="10" t="s">
        <v>3071</v>
      </c>
      <c r="C860" s="10" t="s">
        <v>2908</v>
      </c>
      <c r="D860" s="10" t="s">
        <v>200</v>
      </c>
      <c r="E860" s="10" t="s">
        <v>218</v>
      </c>
      <c r="F860" s="16">
        <v>0</v>
      </c>
      <c r="G860" s="10" t="s">
        <v>2918</v>
      </c>
    </row>
    <row r="861" spans="1:7" ht="15" customHeight="1" x14ac:dyDescent="0.3">
      <c r="A861" s="16">
        <v>854</v>
      </c>
      <c r="B861" s="10" t="s">
        <v>3071</v>
      </c>
      <c r="C861" s="10" t="s">
        <v>2920</v>
      </c>
      <c r="D861" s="10" t="s">
        <v>219</v>
      </c>
      <c r="E861" s="10" t="s">
        <v>198</v>
      </c>
      <c r="F861" s="16">
        <v>0</v>
      </c>
      <c r="G861" s="10" t="s">
        <v>2921</v>
      </c>
    </row>
    <row r="862" spans="1:7" ht="15" customHeight="1" x14ac:dyDescent="0.3">
      <c r="A862" s="16">
        <v>855</v>
      </c>
      <c r="B862" s="10" t="s">
        <v>3071</v>
      </c>
      <c r="C862" s="10" t="s">
        <v>2920</v>
      </c>
      <c r="D862" s="10" t="s">
        <v>217</v>
      </c>
      <c r="E862" s="10" t="s">
        <v>216</v>
      </c>
      <c r="F862" s="16">
        <v>0</v>
      </c>
      <c r="G862" s="10" t="s">
        <v>2909</v>
      </c>
    </row>
    <row r="863" spans="1:7" ht="15" customHeight="1" x14ac:dyDescent="0.3">
      <c r="A863" s="16">
        <v>856</v>
      </c>
      <c r="B863" s="10" t="s">
        <v>3071</v>
      </c>
      <c r="C863" s="10" t="s">
        <v>2924</v>
      </c>
      <c r="D863" s="10" t="s">
        <v>197</v>
      </c>
      <c r="E863" s="10" t="s">
        <v>201</v>
      </c>
      <c r="F863" s="16">
        <v>0</v>
      </c>
      <c r="G863" s="10" t="s">
        <v>2946</v>
      </c>
    </row>
    <row r="864" spans="1:7" ht="15" customHeight="1" x14ac:dyDescent="0.3">
      <c r="A864" s="16">
        <v>857</v>
      </c>
      <c r="B864" s="10" t="s">
        <v>3071</v>
      </c>
      <c r="C864" s="10" t="s">
        <v>2924</v>
      </c>
      <c r="D864" s="10" t="s">
        <v>226</v>
      </c>
      <c r="E864" s="10" t="s">
        <v>213</v>
      </c>
      <c r="F864" s="16">
        <v>0</v>
      </c>
      <c r="G864" s="10" t="s">
        <v>2938</v>
      </c>
    </row>
    <row r="865" spans="1:7" ht="15" customHeight="1" x14ac:dyDescent="0.3">
      <c r="A865" s="16">
        <v>858</v>
      </c>
      <c r="B865" s="10" t="s">
        <v>3071</v>
      </c>
      <c r="C865" s="10" t="s">
        <v>2924</v>
      </c>
      <c r="D865" s="10" t="s">
        <v>220</v>
      </c>
      <c r="E865" s="10" t="s">
        <v>215</v>
      </c>
      <c r="F865" s="16">
        <v>0</v>
      </c>
      <c r="G865" s="10" t="s">
        <v>2926</v>
      </c>
    </row>
    <row r="866" spans="1:7" ht="15" customHeight="1" x14ac:dyDescent="0.3">
      <c r="A866" s="16">
        <v>859</v>
      </c>
      <c r="B866" s="10" t="s">
        <v>3072</v>
      </c>
      <c r="C866" s="10" t="s">
        <v>2913</v>
      </c>
      <c r="D866" s="10" t="s">
        <v>210</v>
      </c>
      <c r="E866" s="10" t="s">
        <v>204</v>
      </c>
      <c r="F866" s="16">
        <v>0</v>
      </c>
      <c r="G866" s="10" t="s">
        <v>2949</v>
      </c>
    </row>
    <row r="867" spans="1:7" ht="15" customHeight="1" x14ac:dyDescent="0.3">
      <c r="A867" s="16">
        <v>860</v>
      </c>
      <c r="B867" s="10" t="s">
        <v>3072</v>
      </c>
      <c r="C867" s="10" t="s">
        <v>2913</v>
      </c>
      <c r="D867" s="10" t="s">
        <v>203</v>
      </c>
      <c r="E867" s="10" t="s">
        <v>221</v>
      </c>
      <c r="F867" s="16">
        <v>0</v>
      </c>
      <c r="G867" s="10" t="s">
        <v>2915</v>
      </c>
    </row>
    <row r="868" spans="1:7" ht="15" customHeight="1" x14ac:dyDescent="0.3">
      <c r="A868" s="16">
        <v>861</v>
      </c>
      <c r="B868" s="10" t="s">
        <v>3072</v>
      </c>
      <c r="C868" s="10" t="s">
        <v>2920</v>
      </c>
      <c r="D868" s="10" t="s">
        <v>202</v>
      </c>
      <c r="E868" s="10" t="s">
        <v>199</v>
      </c>
      <c r="F868" s="16">
        <v>0</v>
      </c>
      <c r="G868" s="10" t="s">
        <v>2935</v>
      </c>
    </row>
    <row r="869" spans="1:7" ht="15" customHeight="1" x14ac:dyDescent="0.3">
      <c r="A869" s="16">
        <v>862</v>
      </c>
      <c r="B869" s="10" t="s">
        <v>3072</v>
      </c>
      <c r="C869" s="10" t="s">
        <v>2920</v>
      </c>
      <c r="D869" s="10" t="s">
        <v>197</v>
      </c>
      <c r="E869" s="10" t="s">
        <v>224</v>
      </c>
      <c r="F869" s="16">
        <v>0</v>
      </c>
      <c r="G869" s="10" t="s">
        <v>2923</v>
      </c>
    </row>
    <row r="870" spans="1:7" ht="15" customHeight="1" x14ac:dyDescent="0.3">
      <c r="A870" s="16">
        <v>863</v>
      </c>
      <c r="B870" s="10" t="s">
        <v>3072</v>
      </c>
      <c r="C870" s="10" t="s">
        <v>2924</v>
      </c>
      <c r="D870" s="10" t="s">
        <v>208</v>
      </c>
      <c r="E870" s="10" t="s">
        <v>214</v>
      </c>
      <c r="F870" s="16">
        <v>0</v>
      </c>
      <c r="G870" s="10" t="s">
        <v>2952</v>
      </c>
    </row>
    <row r="871" spans="1:7" ht="15" customHeight="1" x14ac:dyDescent="0.3">
      <c r="A871" s="16">
        <v>864</v>
      </c>
      <c r="B871" s="10" t="s">
        <v>3072</v>
      </c>
      <c r="C871" s="10" t="s">
        <v>2924</v>
      </c>
      <c r="D871" s="10" t="s">
        <v>211</v>
      </c>
      <c r="E871" s="10" t="s">
        <v>223</v>
      </c>
      <c r="F871" s="16">
        <v>0</v>
      </c>
      <c r="G871" s="10" t="s">
        <v>2939</v>
      </c>
    </row>
    <row r="872" spans="1:7" ht="15" customHeight="1" x14ac:dyDescent="0.3">
      <c r="A872" s="16">
        <v>865</v>
      </c>
      <c r="B872" s="10" t="s">
        <v>3072</v>
      </c>
      <c r="C872" s="10" t="s">
        <v>2927</v>
      </c>
      <c r="D872" s="10" t="s">
        <v>200</v>
      </c>
      <c r="E872" s="10" t="s">
        <v>207</v>
      </c>
      <c r="F872" s="16">
        <v>0</v>
      </c>
      <c r="G872" s="10" t="s">
        <v>2928</v>
      </c>
    </row>
    <row r="873" spans="1:7" ht="15" customHeight="1" x14ac:dyDescent="0.3">
      <c r="A873" s="16">
        <v>866</v>
      </c>
      <c r="B873" s="10" t="s">
        <v>3073</v>
      </c>
      <c r="C873" s="10" t="s">
        <v>2906</v>
      </c>
      <c r="D873" s="10" t="s">
        <v>226</v>
      </c>
      <c r="E873" s="10" t="s">
        <v>225</v>
      </c>
      <c r="F873" s="16">
        <v>0</v>
      </c>
      <c r="G873" s="10" t="s">
        <v>2940</v>
      </c>
    </row>
    <row r="874" spans="1:7" ht="15" customHeight="1" x14ac:dyDescent="0.3">
      <c r="A874" s="16">
        <v>867</v>
      </c>
      <c r="B874" s="10" t="s">
        <v>3073</v>
      </c>
      <c r="C874" s="10" t="s">
        <v>3020</v>
      </c>
      <c r="D874" s="10" t="s">
        <v>217</v>
      </c>
      <c r="E874" s="10" t="s">
        <v>205</v>
      </c>
      <c r="F874" s="16">
        <v>0</v>
      </c>
      <c r="G874" s="10" t="s">
        <v>2907</v>
      </c>
    </row>
    <row r="875" spans="1:7" ht="15" customHeight="1" x14ac:dyDescent="0.3">
      <c r="A875" s="16">
        <v>868</v>
      </c>
      <c r="B875" s="10" t="s">
        <v>3073</v>
      </c>
      <c r="C875" s="10" t="s">
        <v>2924</v>
      </c>
      <c r="D875" s="10" t="s">
        <v>198</v>
      </c>
      <c r="E875" s="10" t="s">
        <v>201</v>
      </c>
      <c r="F875" s="16">
        <v>0</v>
      </c>
      <c r="G875" s="10" t="s">
        <v>2946</v>
      </c>
    </row>
    <row r="876" spans="1:7" ht="15" customHeight="1" x14ac:dyDescent="0.3">
      <c r="A876" s="16">
        <v>869</v>
      </c>
      <c r="B876" s="10" t="s">
        <v>3073</v>
      </c>
      <c r="C876" s="10" t="s">
        <v>2924</v>
      </c>
      <c r="D876" s="10" t="s">
        <v>222</v>
      </c>
      <c r="E876" s="10" t="s">
        <v>211</v>
      </c>
      <c r="F876" s="16">
        <v>0</v>
      </c>
      <c r="G876" s="10" t="s">
        <v>2925</v>
      </c>
    </row>
    <row r="877" spans="1:7" ht="15" customHeight="1" x14ac:dyDescent="0.3">
      <c r="A877" s="16">
        <v>870</v>
      </c>
      <c r="B877" s="10" t="s">
        <v>3073</v>
      </c>
      <c r="C877" s="10" t="s">
        <v>2927</v>
      </c>
      <c r="D877" s="10" t="s">
        <v>219</v>
      </c>
      <c r="E877" s="10" t="s">
        <v>216</v>
      </c>
      <c r="F877" s="16">
        <v>0</v>
      </c>
      <c r="G877" s="10" t="s">
        <v>2909</v>
      </c>
    </row>
    <row r="878" spans="1:7" ht="15" customHeight="1" x14ac:dyDescent="0.3">
      <c r="A878" s="16">
        <v>871</v>
      </c>
      <c r="B878" s="10" t="s">
        <v>3073</v>
      </c>
      <c r="C878" s="10" t="s">
        <v>2948</v>
      </c>
      <c r="D878" s="10" t="s">
        <v>215</v>
      </c>
      <c r="E878" s="10" t="s">
        <v>220</v>
      </c>
      <c r="F878" s="16">
        <v>0</v>
      </c>
      <c r="G878" s="10" t="s">
        <v>2942</v>
      </c>
    </row>
    <row r="879" spans="1:7" ht="15" customHeight="1" x14ac:dyDescent="0.3">
      <c r="A879" s="16">
        <v>872</v>
      </c>
      <c r="B879" s="10" t="s">
        <v>3074</v>
      </c>
      <c r="C879" s="10" t="s">
        <v>2916</v>
      </c>
      <c r="D879" s="10" t="s">
        <v>221</v>
      </c>
      <c r="E879" s="10" t="s">
        <v>209</v>
      </c>
      <c r="F879" s="16">
        <v>0</v>
      </c>
      <c r="G879" s="10" t="s">
        <v>2917</v>
      </c>
    </row>
    <row r="880" spans="1:7" ht="15" customHeight="1" x14ac:dyDescent="0.3">
      <c r="A880" s="16">
        <v>873</v>
      </c>
      <c r="B880" s="10" t="s">
        <v>3074</v>
      </c>
      <c r="C880" s="10" t="s">
        <v>2976</v>
      </c>
      <c r="D880" s="10" t="s">
        <v>204</v>
      </c>
      <c r="E880" s="10" t="s">
        <v>223</v>
      </c>
      <c r="F880" s="16">
        <v>0</v>
      </c>
      <c r="G880" s="10" t="s">
        <v>2939</v>
      </c>
    </row>
    <row r="881" spans="1:7" ht="15" customHeight="1" x14ac:dyDescent="0.3">
      <c r="A881" s="16">
        <v>874</v>
      </c>
      <c r="B881" s="10" t="s">
        <v>3074</v>
      </c>
      <c r="C881" s="10" t="s">
        <v>2961</v>
      </c>
      <c r="D881" s="10" t="s">
        <v>210</v>
      </c>
      <c r="E881" s="10" t="s">
        <v>203</v>
      </c>
      <c r="F881" s="16">
        <v>0</v>
      </c>
      <c r="G881" s="10" t="s">
        <v>2947</v>
      </c>
    </row>
    <row r="882" spans="1:7" ht="15" customHeight="1" x14ac:dyDescent="0.3">
      <c r="A882" s="16">
        <v>875</v>
      </c>
      <c r="B882" s="10" t="s">
        <v>3074</v>
      </c>
      <c r="C882" s="10" t="s">
        <v>2977</v>
      </c>
      <c r="D882" s="10" t="s">
        <v>224</v>
      </c>
      <c r="E882" s="10" t="s">
        <v>208</v>
      </c>
      <c r="F882" s="16">
        <v>0</v>
      </c>
      <c r="G882" s="10" t="s">
        <v>2937</v>
      </c>
    </row>
    <row r="883" spans="1:7" ht="15" customHeight="1" x14ac:dyDescent="0.3">
      <c r="A883" s="16">
        <v>876</v>
      </c>
      <c r="B883" s="10" t="s">
        <v>3074</v>
      </c>
      <c r="C883" s="10" t="s">
        <v>2978</v>
      </c>
      <c r="D883" s="10" t="s">
        <v>197</v>
      </c>
      <c r="E883" s="10" t="s">
        <v>218</v>
      </c>
      <c r="F883" s="16">
        <v>0</v>
      </c>
      <c r="G883" s="10" t="s">
        <v>2918</v>
      </c>
    </row>
    <row r="884" spans="1:7" ht="15" customHeight="1" x14ac:dyDescent="0.3">
      <c r="A884" s="16">
        <v>877</v>
      </c>
      <c r="B884" s="10" t="s">
        <v>3074</v>
      </c>
      <c r="C884" s="10" t="s">
        <v>2908</v>
      </c>
      <c r="D884" s="10" t="s">
        <v>222</v>
      </c>
      <c r="E884" s="10" t="s">
        <v>200</v>
      </c>
      <c r="F884" s="16">
        <v>0</v>
      </c>
      <c r="G884" s="10" t="s">
        <v>2936</v>
      </c>
    </row>
    <row r="885" spans="1:7" ht="15" customHeight="1" x14ac:dyDescent="0.3">
      <c r="A885" s="16">
        <v>878</v>
      </c>
      <c r="B885" s="10" t="s">
        <v>3074</v>
      </c>
      <c r="C885" s="10" t="s">
        <v>2908</v>
      </c>
      <c r="D885" s="10" t="s">
        <v>199</v>
      </c>
      <c r="E885" s="10" t="s">
        <v>214</v>
      </c>
      <c r="F885" s="16">
        <v>0</v>
      </c>
      <c r="G885" s="10" t="s">
        <v>2952</v>
      </c>
    </row>
    <row r="886" spans="1:7" ht="15" customHeight="1" x14ac:dyDescent="0.3">
      <c r="A886" s="16">
        <v>879</v>
      </c>
      <c r="B886" s="10" t="s">
        <v>3074</v>
      </c>
      <c r="C886" s="10" t="s">
        <v>2920</v>
      </c>
      <c r="D886" s="10" t="s">
        <v>213</v>
      </c>
      <c r="E886" s="10" t="s">
        <v>216</v>
      </c>
      <c r="F886" s="16">
        <v>0</v>
      </c>
      <c r="G886" s="10" t="s">
        <v>2909</v>
      </c>
    </row>
    <row r="887" spans="1:7" ht="15" customHeight="1" x14ac:dyDescent="0.3">
      <c r="A887" s="16">
        <v>880</v>
      </c>
      <c r="B887" s="10" t="s">
        <v>3074</v>
      </c>
      <c r="C887" s="10" t="s">
        <v>2910</v>
      </c>
      <c r="D887" s="10" t="s">
        <v>212</v>
      </c>
      <c r="E887" s="10" t="s">
        <v>207</v>
      </c>
      <c r="F887" s="16">
        <v>0</v>
      </c>
      <c r="G887" s="10" t="s">
        <v>2928</v>
      </c>
    </row>
    <row r="888" spans="1:7" ht="15" customHeight="1" x14ac:dyDescent="0.3">
      <c r="A888" s="16">
        <v>881</v>
      </c>
      <c r="B888" s="10" t="s">
        <v>3075</v>
      </c>
      <c r="C888" s="10" t="s">
        <v>2908</v>
      </c>
      <c r="D888" s="10" t="s">
        <v>219</v>
      </c>
      <c r="E888" s="10" t="s">
        <v>202</v>
      </c>
      <c r="F888" s="16">
        <v>0</v>
      </c>
      <c r="G888" s="10" t="s">
        <v>2944</v>
      </c>
    </row>
    <row r="889" spans="1:7" ht="15" customHeight="1" x14ac:dyDescent="0.3">
      <c r="A889" s="16">
        <v>882</v>
      </c>
      <c r="B889" s="10" t="s">
        <v>3075</v>
      </c>
      <c r="C889" s="10" t="s">
        <v>2908</v>
      </c>
      <c r="D889" s="10" t="s">
        <v>201</v>
      </c>
      <c r="E889" s="10" t="s">
        <v>205</v>
      </c>
      <c r="F889" s="16">
        <v>0</v>
      </c>
      <c r="G889" s="10" t="s">
        <v>2907</v>
      </c>
    </row>
    <row r="890" spans="1:7" ht="15" customHeight="1" x14ac:dyDescent="0.3">
      <c r="A890" s="16">
        <v>883</v>
      </c>
      <c r="B890" s="10" t="s">
        <v>3075</v>
      </c>
      <c r="C890" s="10" t="s">
        <v>2924</v>
      </c>
      <c r="D890" s="10" t="s">
        <v>225</v>
      </c>
      <c r="E890" s="10" t="s">
        <v>215</v>
      </c>
      <c r="F890" s="16">
        <v>0</v>
      </c>
      <c r="G890" s="10" t="s">
        <v>2926</v>
      </c>
    </row>
    <row r="891" spans="1:7" ht="15" customHeight="1" x14ac:dyDescent="0.3">
      <c r="A891" s="16">
        <v>884</v>
      </c>
      <c r="B891" s="10" t="s">
        <v>3075</v>
      </c>
      <c r="C891" s="10" t="s">
        <v>2927</v>
      </c>
      <c r="D891" s="10" t="s">
        <v>206</v>
      </c>
      <c r="E891" s="10" t="s">
        <v>207</v>
      </c>
      <c r="F891" s="16">
        <v>0</v>
      </c>
      <c r="G891" s="10" t="s">
        <v>2928</v>
      </c>
    </row>
    <row r="892" spans="1:7" ht="15" customHeight="1" x14ac:dyDescent="0.3">
      <c r="A892" s="16">
        <v>885</v>
      </c>
      <c r="B892" s="10" t="s">
        <v>3075</v>
      </c>
      <c r="C892" s="10" t="s">
        <v>2948</v>
      </c>
      <c r="D892" s="10" t="s">
        <v>198</v>
      </c>
      <c r="E892" s="10" t="s">
        <v>204</v>
      </c>
      <c r="F892" s="16">
        <v>0</v>
      </c>
      <c r="G892" s="10" t="s">
        <v>2949</v>
      </c>
    </row>
    <row r="893" spans="1:7" ht="15" customHeight="1" x14ac:dyDescent="0.3">
      <c r="A893" s="16">
        <v>886</v>
      </c>
      <c r="B893" s="10" t="s">
        <v>3075</v>
      </c>
      <c r="C893" s="10" t="s">
        <v>2910</v>
      </c>
      <c r="D893" s="10" t="s">
        <v>226</v>
      </c>
      <c r="E893" s="10" t="s">
        <v>220</v>
      </c>
      <c r="F893" s="16">
        <v>0</v>
      </c>
      <c r="G893" s="10" t="s">
        <v>2942</v>
      </c>
    </row>
    <row r="894" spans="1:7" ht="15" customHeight="1" x14ac:dyDescent="0.3">
      <c r="A894" s="16">
        <v>887</v>
      </c>
      <c r="B894" s="10" t="s">
        <v>3076</v>
      </c>
      <c r="C894" s="10" t="s">
        <v>2913</v>
      </c>
      <c r="D894" s="10" t="s">
        <v>226</v>
      </c>
      <c r="E894" s="10" t="s">
        <v>222</v>
      </c>
      <c r="F894" s="16">
        <v>0</v>
      </c>
      <c r="G894" s="10" t="s">
        <v>2934</v>
      </c>
    </row>
    <row r="895" spans="1:7" ht="15" customHeight="1" x14ac:dyDescent="0.3">
      <c r="A895" s="16">
        <v>888</v>
      </c>
      <c r="B895" s="10" t="s">
        <v>3076</v>
      </c>
      <c r="C895" s="10" t="s">
        <v>2955</v>
      </c>
      <c r="D895" s="10" t="s">
        <v>209</v>
      </c>
      <c r="E895" s="10" t="s">
        <v>221</v>
      </c>
      <c r="F895" s="16">
        <v>0</v>
      </c>
      <c r="G895" s="10" t="s">
        <v>2915</v>
      </c>
    </row>
    <row r="896" spans="1:7" ht="15" customHeight="1" x14ac:dyDescent="0.3">
      <c r="A896" s="16">
        <v>889</v>
      </c>
      <c r="B896" s="10" t="s">
        <v>3076</v>
      </c>
      <c r="C896" s="10" t="s">
        <v>2908</v>
      </c>
      <c r="D896" s="10" t="s">
        <v>199</v>
      </c>
      <c r="E896" s="10" t="s">
        <v>208</v>
      </c>
      <c r="F896" s="16">
        <v>0</v>
      </c>
      <c r="G896" s="10" t="s">
        <v>2937</v>
      </c>
    </row>
    <row r="897" spans="1:7" ht="15" customHeight="1" x14ac:dyDescent="0.3">
      <c r="A897" s="16">
        <v>890</v>
      </c>
      <c r="B897" s="10" t="s">
        <v>3076</v>
      </c>
      <c r="C897" s="10" t="s">
        <v>2908</v>
      </c>
      <c r="D897" s="10" t="s">
        <v>210</v>
      </c>
      <c r="E897" s="10" t="s">
        <v>218</v>
      </c>
      <c r="F897" s="16">
        <v>0</v>
      </c>
      <c r="G897" s="10" t="s">
        <v>2918</v>
      </c>
    </row>
    <row r="898" spans="1:7" ht="15" customHeight="1" x14ac:dyDescent="0.3">
      <c r="A898" s="16">
        <v>891</v>
      </c>
      <c r="B898" s="10" t="s">
        <v>3076</v>
      </c>
      <c r="C898" s="10" t="s">
        <v>2920</v>
      </c>
      <c r="D898" s="10" t="s">
        <v>224</v>
      </c>
      <c r="E898" s="10" t="s">
        <v>212</v>
      </c>
      <c r="F898" s="16">
        <v>0</v>
      </c>
      <c r="G898" s="10" t="s">
        <v>2922</v>
      </c>
    </row>
    <row r="899" spans="1:7" ht="15" customHeight="1" x14ac:dyDescent="0.3">
      <c r="A899" s="16">
        <v>892</v>
      </c>
      <c r="B899" s="10" t="s">
        <v>3076</v>
      </c>
      <c r="C899" s="10" t="s">
        <v>2920</v>
      </c>
      <c r="D899" s="10" t="s">
        <v>211</v>
      </c>
      <c r="E899" s="10" t="s">
        <v>216</v>
      </c>
      <c r="F899" s="16">
        <v>0</v>
      </c>
      <c r="G899" s="10" t="s">
        <v>2909</v>
      </c>
    </row>
    <row r="900" spans="1:7" ht="15" customHeight="1" x14ac:dyDescent="0.3">
      <c r="A900" s="16">
        <v>893</v>
      </c>
      <c r="B900" s="10" t="s">
        <v>3076</v>
      </c>
      <c r="C900" s="10" t="s">
        <v>2924</v>
      </c>
      <c r="D900" s="10" t="s">
        <v>206</v>
      </c>
      <c r="E900" s="10" t="s">
        <v>203</v>
      </c>
      <c r="F900" s="16">
        <v>0</v>
      </c>
      <c r="G900" s="10" t="s">
        <v>2947</v>
      </c>
    </row>
    <row r="901" spans="1:7" ht="15" customHeight="1" x14ac:dyDescent="0.3">
      <c r="A901" s="16">
        <v>894</v>
      </c>
      <c r="B901" s="10" t="s">
        <v>3076</v>
      </c>
      <c r="C901" s="10" t="s">
        <v>2924</v>
      </c>
      <c r="D901" s="10" t="s">
        <v>205</v>
      </c>
      <c r="E901" s="10" t="s">
        <v>213</v>
      </c>
      <c r="F901" s="16">
        <v>0</v>
      </c>
      <c r="G901" s="10" t="s">
        <v>2938</v>
      </c>
    </row>
    <row r="902" spans="1:7" ht="15" customHeight="1" x14ac:dyDescent="0.3">
      <c r="A902" s="16">
        <v>895</v>
      </c>
      <c r="B902" s="10" t="s">
        <v>3076</v>
      </c>
      <c r="C902" s="10" t="s">
        <v>2924</v>
      </c>
      <c r="D902" s="10" t="s">
        <v>214</v>
      </c>
      <c r="E902" s="10" t="s">
        <v>217</v>
      </c>
      <c r="F902" s="16">
        <v>0</v>
      </c>
      <c r="G902" s="10" t="s">
        <v>2931</v>
      </c>
    </row>
    <row r="903" spans="1:7" ht="15" customHeight="1" x14ac:dyDescent="0.3">
      <c r="A903" s="16">
        <v>896</v>
      </c>
      <c r="B903" s="10" t="s">
        <v>3077</v>
      </c>
      <c r="C903" s="10" t="s">
        <v>2913</v>
      </c>
      <c r="D903" s="10" t="s">
        <v>223</v>
      </c>
      <c r="E903" s="10" t="s">
        <v>204</v>
      </c>
      <c r="F903" s="16">
        <v>0</v>
      </c>
      <c r="G903" s="10" t="s">
        <v>2949</v>
      </c>
    </row>
    <row r="904" spans="1:7" ht="15" customHeight="1" x14ac:dyDescent="0.3">
      <c r="A904" s="16">
        <v>897</v>
      </c>
      <c r="B904" s="10" t="s">
        <v>3077</v>
      </c>
      <c r="C904" s="10" t="s">
        <v>2908</v>
      </c>
      <c r="D904" s="10" t="s">
        <v>201</v>
      </c>
      <c r="E904" s="10" t="s">
        <v>197</v>
      </c>
      <c r="F904" s="16">
        <v>0</v>
      </c>
      <c r="G904" s="10" t="s">
        <v>2945</v>
      </c>
    </row>
    <row r="905" spans="1:7" ht="15" customHeight="1" x14ac:dyDescent="0.3">
      <c r="A905" s="16">
        <v>898</v>
      </c>
      <c r="B905" s="10" t="s">
        <v>3077</v>
      </c>
      <c r="C905" s="10" t="s">
        <v>2908</v>
      </c>
      <c r="D905" s="10" t="s">
        <v>200</v>
      </c>
      <c r="E905" s="10" t="s">
        <v>219</v>
      </c>
      <c r="F905" s="16">
        <v>0</v>
      </c>
      <c r="G905" s="10" t="s">
        <v>2930</v>
      </c>
    </row>
    <row r="906" spans="1:7" ht="15" customHeight="1" x14ac:dyDescent="0.3">
      <c r="A906" s="16">
        <v>899</v>
      </c>
      <c r="B906" s="10" t="s">
        <v>3077</v>
      </c>
      <c r="C906" s="10" t="s">
        <v>2920</v>
      </c>
      <c r="D906" s="10" t="s">
        <v>224</v>
      </c>
      <c r="E906" s="10" t="s">
        <v>212</v>
      </c>
      <c r="F906" s="16">
        <v>0</v>
      </c>
      <c r="G906" s="10" t="s">
        <v>2922</v>
      </c>
    </row>
    <row r="907" spans="1:7" ht="15" customHeight="1" x14ac:dyDescent="0.3">
      <c r="A907" s="16">
        <v>900</v>
      </c>
      <c r="B907" s="10" t="s">
        <v>3077</v>
      </c>
      <c r="C907" s="10" t="s">
        <v>2924</v>
      </c>
      <c r="D907" s="10" t="s">
        <v>225</v>
      </c>
      <c r="E907" s="10" t="s">
        <v>213</v>
      </c>
      <c r="F907" s="16">
        <v>0</v>
      </c>
      <c r="G907" s="10" t="s">
        <v>2938</v>
      </c>
    </row>
    <row r="908" spans="1:7" ht="15" customHeight="1" x14ac:dyDescent="0.3">
      <c r="A908" s="16">
        <v>901</v>
      </c>
      <c r="B908" s="10" t="s">
        <v>3077</v>
      </c>
      <c r="C908" s="10" t="s">
        <v>2927</v>
      </c>
      <c r="D908" s="10" t="s">
        <v>215</v>
      </c>
      <c r="E908" s="10" t="s">
        <v>207</v>
      </c>
      <c r="F908" s="16">
        <v>0</v>
      </c>
      <c r="G908" s="10" t="s">
        <v>2928</v>
      </c>
    </row>
    <row r="909" spans="1:7" ht="15" customHeight="1" x14ac:dyDescent="0.3">
      <c r="A909" s="16">
        <v>902</v>
      </c>
      <c r="B909" s="10" t="s">
        <v>3077</v>
      </c>
      <c r="C909" s="10" t="s">
        <v>2948</v>
      </c>
      <c r="D909" s="10" t="s">
        <v>198</v>
      </c>
      <c r="E909" s="10" t="s">
        <v>220</v>
      </c>
      <c r="F909" s="16">
        <v>0</v>
      </c>
      <c r="G909" s="10" t="s">
        <v>2942</v>
      </c>
    </row>
    <row r="910" spans="1:7" ht="15" customHeight="1" x14ac:dyDescent="0.3">
      <c r="A910" s="16">
        <v>903</v>
      </c>
      <c r="B910" s="10" t="s">
        <v>3078</v>
      </c>
      <c r="C910" s="10" t="s">
        <v>2913</v>
      </c>
      <c r="D910" s="10" t="s">
        <v>226</v>
      </c>
      <c r="E910" s="10" t="s">
        <v>206</v>
      </c>
      <c r="F910" s="16">
        <v>0</v>
      </c>
      <c r="G910" s="10" t="s">
        <v>2933</v>
      </c>
    </row>
    <row r="911" spans="1:7" ht="15" customHeight="1" x14ac:dyDescent="0.3">
      <c r="A911" s="16">
        <v>904</v>
      </c>
      <c r="B911" s="10" t="s">
        <v>3078</v>
      </c>
      <c r="C911" s="10" t="s">
        <v>2913</v>
      </c>
      <c r="D911" s="10" t="s">
        <v>217</v>
      </c>
      <c r="E911" s="10" t="s">
        <v>222</v>
      </c>
      <c r="F911" s="16">
        <v>0</v>
      </c>
      <c r="G911" s="10" t="s">
        <v>2934</v>
      </c>
    </row>
    <row r="912" spans="1:7" ht="15" customHeight="1" x14ac:dyDescent="0.3">
      <c r="A912" s="16">
        <v>905</v>
      </c>
      <c r="B912" s="10" t="s">
        <v>3078</v>
      </c>
      <c r="C912" s="10" t="s">
        <v>2916</v>
      </c>
      <c r="D912" s="10" t="s">
        <v>198</v>
      </c>
      <c r="E912" s="10" t="s">
        <v>209</v>
      </c>
      <c r="F912" s="16">
        <v>0</v>
      </c>
      <c r="G912" s="10" t="s">
        <v>2917</v>
      </c>
    </row>
    <row r="913" spans="1:7" ht="15" customHeight="1" x14ac:dyDescent="0.3">
      <c r="A913" s="16">
        <v>906</v>
      </c>
      <c r="B913" s="10" t="s">
        <v>3078</v>
      </c>
      <c r="C913" s="10" t="s">
        <v>2908</v>
      </c>
      <c r="D913" s="10" t="s">
        <v>221</v>
      </c>
      <c r="E913" s="10" t="s">
        <v>202</v>
      </c>
      <c r="F913" s="16">
        <v>0</v>
      </c>
      <c r="G913" s="10" t="s">
        <v>2944</v>
      </c>
    </row>
    <row r="914" spans="1:7" ht="15" customHeight="1" x14ac:dyDescent="0.3">
      <c r="A914" s="16">
        <v>907</v>
      </c>
      <c r="B914" s="10" t="s">
        <v>3078</v>
      </c>
      <c r="C914" s="10" t="s">
        <v>2908</v>
      </c>
      <c r="D914" s="10" t="s">
        <v>208</v>
      </c>
      <c r="E914" s="10" t="s">
        <v>218</v>
      </c>
      <c r="F914" s="16">
        <v>0</v>
      </c>
      <c r="G914" s="10" t="s">
        <v>2918</v>
      </c>
    </row>
    <row r="915" spans="1:7" ht="15" customHeight="1" x14ac:dyDescent="0.3">
      <c r="A915" s="16">
        <v>908</v>
      </c>
      <c r="B915" s="10" t="s">
        <v>3078</v>
      </c>
      <c r="C915" s="10" t="s">
        <v>2908</v>
      </c>
      <c r="D915" s="10" t="s">
        <v>210</v>
      </c>
      <c r="E915" s="10" t="s">
        <v>219</v>
      </c>
      <c r="F915" s="16">
        <v>0</v>
      </c>
      <c r="G915" s="10" t="s">
        <v>2930</v>
      </c>
    </row>
    <row r="916" spans="1:7" ht="15" customHeight="1" x14ac:dyDescent="0.3">
      <c r="A916" s="16">
        <v>909</v>
      </c>
      <c r="B916" s="10" t="s">
        <v>3078</v>
      </c>
      <c r="C916" s="10" t="s">
        <v>2920</v>
      </c>
      <c r="D916" s="10" t="s">
        <v>211</v>
      </c>
      <c r="E916" s="10" t="s">
        <v>197</v>
      </c>
      <c r="F916" s="16">
        <v>0</v>
      </c>
      <c r="G916" s="10" t="s">
        <v>2945</v>
      </c>
    </row>
    <row r="917" spans="1:7" ht="15" customHeight="1" x14ac:dyDescent="0.3">
      <c r="A917" s="16">
        <v>910</v>
      </c>
      <c r="B917" s="10" t="s">
        <v>3078</v>
      </c>
      <c r="C917" s="10" t="s">
        <v>2910</v>
      </c>
      <c r="D917" s="10" t="s">
        <v>216</v>
      </c>
      <c r="E917" s="10" t="s">
        <v>203</v>
      </c>
      <c r="F917" s="16">
        <v>0</v>
      </c>
      <c r="G917" s="10" t="s">
        <v>2947</v>
      </c>
    </row>
    <row r="918" spans="1:7" ht="15" customHeight="1" x14ac:dyDescent="0.3">
      <c r="A918" s="16">
        <v>911</v>
      </c>
      <c r="B918" s="10" t="s">
        <v>3079</v>
      </c>
      <c r="C918" s="10" t="s">
        <v>2908</v>
      </c>
      <c r="D918" s="10" t="s">
        <v>199</v>
      </c>
      <c r="E918" s="10" t="s">
        <v>205</v>
      </c>
      <c r="F918" s="16">
        <v>0</v>
      </c>
      <c r="G918" s="10" t="s">
        <v>2907</v>
      </c>
    </row>
    <row r="919" spans="1:7" ht="15" customHeight="1" x14ac:dyDescent="0.3">
      <c r="A919" s="16">
        <v>912</v>
      </c>
      <c r="B919" s="10" t="s">
        <v>3079</v>
      </c>
      <c r="C919" s="10" t="s">
        <v>2908</v>
      </c>
      <c r="D919" s="10" t="s">
        <v>225</v>
      </c>
      <c r="E919" s="10" t="s">
        <v>218</v>
      </c>
      <c r="F919" s="16">
        <v>0</v>
      </c>
      <c r="G919" s="10" t="s">
        <v>2918</v>
      </c>
    </row>
    <row r="920" spans="1:7" ht="15" customHeight="1" x14ac:dyDescent="0.3">
      <c r="A920" s="16">
        <v>913</v>
      </c>
      <c r="B920" s="10" t="s">
        <v>3079</v>
      </c>
      <c r="C920" s="10" t="s">
        <v>2920</v>
      </c>
      <c r="D920" s="10" t="s">
        <v>221</v>
      </c>
      <c r="E920" s="10" t="s">
        <v>224</v>
      </c>
      <c r="F920" s="16">
        <v>0</v>
      </c>
      <c r="G920" s="10" t="s">
        <v>2923</v>
      </c>
    </row>
    <row r="921" spans="1:7" ht="15" customHeight="1" x14ac:dyDescent="0.3">
      <c r="A921" s="16">
        <v>914</v>
      </c>
      <c r="B921" s="10" t="s">
        <v>3079</v>
      </c>
      <c r="C921" s="10" t="s">
        <v>2924</v>
      </c>
      <c r="D921" s="10" t="s">
        <v>213</v>
      </c>
      <c r="E921" s="10" t="s">
        <v>215</v>
      </c>
      <c r="F921" s="16">
        <v>0</v>
      </c>
      <c r="G921" s="10" t="s">
        <v>2926</v>
      </c>
    </row>
    <row r="922" spans="1:7" ht="15" customHeight="1" x14ac:dyDescent="0.3">
      <c r="A922" s="16">
        <v>915</v>
      </c>
      <c r="B922" s="10" t="s">
        <v>3079</v>
      </c>
      <c r="C922" s="10" t="s">
        <v>2948</v>
      </c>
      <c r="D922" s="10" t="s">
        <v>214</v>
      </c>
      <c r="E922" s="10" t="s">
        <v>220</v>
      </c>
      <c r="F922" s="16">
        <v>0</v>
      </c>
      <c r="G922" s="10" t="s">
        <v>2942</v>
      </c>
    </row>
    <row r="923" spans="1:7" ht="15" customHeight="1" x14ac:dyDescent="0.3">
      <c r="A923" s="16">
        <v>916</v>
      </c>
      <c r="B923" s="10" t="s">
        <v>3079</v>
      </c>
      <c r="C923" s="10" t="s">
        <v>2910</v>
      </c>
      <c r="D923" s="10" t="s">
        <v>223</v>
      </c>
      <c r="E923" s="10" t="s">
        <v>207</v>
      </c>
      <c r="F923" s="16">
        <v>0</v>
      </c>
      <c r="G923" s="10" t="s">
        <v>2928</v>
      </c>
    </row>
    <row r="924" spans="1:7" ht="15" customHeight="1" x14ac:dyDescent="0.3">
      <c r="A924" s="16">
        <v>917</v>
      </c>
      <c r="B924" s="10" t="s">
        <v>3080</v>
      </c>
      <c r="C924" s="10" t="s">
        <v>2913</v>
      </c>
      <c r="D924" s="10" t="s">
        <v>209</v>
      </c>
      <c r="E924" s="10" t="s">
        <v>222</v>
      </c>
      <c r="F924" s="16">
        <v>0</v>
      </c>
      <c r="G924" s="10" t="s">
        <v>2934</v>
      </c>
    </row>
    <row r="925" spans="1:7" ht="15" customHeight="1" x14ac:dyDescent="0.3">
      <c r="A925" s="16">
        <v>918</v>
      </c>
      <c r="B925" s="10" t="s">
        <v>3080</v>
      </c>
      <c r="C925" s="10" t="s">
        <v>2906</v>
      </c>
      <c r="D925" s="10" t="s">
        <v>208</v>
      </c>
      <c r="E925" s="10" t="s">
        <v>212</v>
      </c>
      <c r="F925" s="16">
        <v>0</v>
      </c>
      <c r="G925" s="10" t="s">
        <v>2922</v>
      </c>
    </row>
    <row r="926" spans="1:7" ht="15" customHeight="1" x14ac:dyDescent="0.3">
      <c r="A926" s="16">
        <v>919</v>
      </c>
      <c r="B926" s="10" t="s">
        <v>3080</v>
      </c>
      <c r="C926" s="10" t="s">
        <v>2951</v>
      </c>
      <c r="D926" s="10" t="s">
        <v>200</v>
      </c>
      <c r="E926" s="10" t="s">
        <v>201</v>
      </c>
      <c r="F926" s="16">
        <v>0</v>
      </c>
      <c r="G926" s="10" t="s">
        <v>2946</v>
      </c>
    </row>
    <row r="927" spans="1:7" ht="15" customHeight="1" x14ac:dyDescent="0.3">
      <c r="A927" s="16">
        <v>920</v>
      </c>
      <c r="B927" s="10" t="s">
        <v>3080</v>
      </c>
      <c r="C927" s="10" t="s">
        <v>3020</v>
      </c>
      <c r="D927" s="10" t="s">
        <v>197</v>
      </c>
      <c r="E927" s="10" t="s">
        <v>202</v>
      </c>
      <c r="F927" s="16">
        <v>0</v>
      </c>
      <c r="G927" s="10" t="s">
        <v>2944</v>
      </c>
    </row>
    <row r="928" spans="1:7" ht="15" customHeight="1" x14ac:dyDescent="0.3">
      <c r="A928" s="16">
        <v>921</v>
      </c>
      <c r="B928" s="10" t="s">
        <v>3080</v>
      </c>
      <c r="C928" s="10" t="s">
        <v>2908</v>
      </c>
      <c r="D928" s="10" t="s">
        <v>225</v>
      </c>
      <c r="E928" s="10" t="s">
        <v>226</v>
      </c>
      <c r="F928" s="16">
        <v>0</v>
      </c>
      <c r="G928" s="10" t="s">
        <v>2919</v>
      </c>
    </row>
    <row r="929" spans="1:7" ht="15" customHeight="1" x14ac:dyDescent="0.3">
      <c r="A929" s="16">
        <v>922</v>
      </c>
      <c r="B929" s="10" t="s">
        <v>3080</v>
      </c>
      <c r="C929" s="10" t="s">
        <v>2924</v>
      </c>
      <c r="D929" s="10" t="s">
        <v>215</v>
      </c>
      <c r="E929" s="10" t="s">
        <v>211</v>
      </c>
      <c r="F929" s="16">
        <v>0</v>
      </c>
      <c r="G929" s="10" t="s">
        <v>2925</v>
      </c>
    </row>
    <row r="930" spans="1:7" ht="15" customHeight="1" x14ac:dyDescent="0.3">
      <c r="A930" s="16">
        <v>923</v>
      </c>
      <c r="B930" s="10" t="s">
        <v>3080</v>
      </c>
      <c r="C930" s="10" t="s">
        <v>2927</v>
      </c>
      <c r="D930" s="10" t="s">
        <v>217</v>
      </c>
      <c r="E930" s="10" t="s">
        <v>210</v>
      </c>
      <c r="F930" s="16">
        <v>0</v>
      </c>
      <c r="G930" s="10" t="s">
        <v>2914</v>
      </c>
    </row>
    <row r="931" spans="1:7" ht="15" customHeight="1" x14ac:dyDescent="0.3">
      <c r="A931" s="16">
        <v>924</v>
      </c>
      <c r="B931" s="10" t="s">
        <v>3081</v>
      </c>
      <c r="C931" s="10" t="s">
        <v>2913</v>
      </c>
      <c r="D931" s="10" t="s">
        <v>207</v>
      </c>
      <c r="E931" s="10" t="s">
        <v>206</v>
      </c>
      <c r="F931" s="16">
        <v>0</v>
      </c>
      <c r="G931" s="10" t="s">
        <v>2933</v>
      </c>
    </row>
    <row r="932" spans="1:7" ht="15" customHeight="1" x14ac:dyDescent="0.3">
      <c r="A932" s="16">
        <v>925</v>
      </c>
      <c r="B932" s="10" t="s">
        <v>3081</v>
      </c>
      <c r="C932" s="10" t="s">
        <v>2916</v>
      </c>
      <c r="D932" s="10" t="s">
        <v>198</v>
      </c>
      <c r="E932" s="10" t="s">
        <v>210</v>
      </c>
      <c r="F932" s="16">
        <v>0</v>
      </c>
      <c r="G932" s="10" t="s">
        <v>2914</v>
      </c>
    </row>
    <row r="933" spans="1:7" ht="15" customHeight="1" x14ac:dyDescent="0.3">
      <c r="A933" s="16">
        <v>926</v>
      </c>
      <c r="B933" s="10" t="s">
        <v>3081</v>
      </c>
      <c r="C933" s="10" t="s">
        <v>2976</v>
      </c>
      <c r="D933" s="10" t="s">
        <v>219</v>
      </c>
      <c r="E933" s="10" t="s">
        <v>199</v>
      </c>
      <c r="F933" s="16">
        <v>0</v>
      </c>
      <c r="G933" s="10" t="s">
        <v>2935</v>
      </c>
    </row>
    <row r="934" spans="1:7" ht="15" customHeight="1" x14ac:dyDescent="0.3">
      <c r="A934" s="16">
        <v>927</v>
      </c>
      <c r="B934" s="10" t="s">
        <v>3081</v>
      </c>
      <c r="C934" s="10" t="s">
        <v>2961</v>
      </c>
      <c r="D934" s="10" t="s">
        <v>214</v>
      </c>
      <c r="E934" s="10" t="s">
        <v>204</v>
      </c>
      <c r="F934" s="16">
        <v>0</v>
      </c>
      <c r="G934" s="10" t="s">
        <v>2949</v>
      </c>
    </row>
    <row r="935" spans="1:7" ht="15" customHeight="1" x14ac:dyDescent="0.3">
      <c r="A935" s="16">
        <v>928</v>
      </c>
      <c r="B935" s="10" t="s">
        <v>3081</v>
      </c>
      <c r="C935" s="10" t="s">
        <v>2951</v>
      </c>
      <c r="D935" s="10" t="s">
        <v>221</v>
      </c>
      <c r="E935" s="10" t="s">
        <v>201</v>
      </c>
      <c r="F935" s="16">
        <v>0</v>
      </c>
      <c r="G935" s="10" t="s">
        <v>2946</v>
      </c>
    </row>
    <row r="936" spans="1:7" ht="15" customHeight="1" x14ac:dyDescent="0.3">
      <c r="A936" s="16">
        <v>929</v>
      </c>
      <c r="B936" s="10" t="s">
        <v>3081</v>
      </c>
      <c r="C936" s="10" t="s">
        <v>2920</v>
      </c>
      <c r="D936" s="10" t="s">
        <v>216</v>
      </c>
      <c r="E936" s="10" t="s">
        <v>223</v>
      </c>
      <c r="F936" s="16">
        <v>0</v>
      </c>
      <c r="G936" s="10" t="s">
        <v>2911</v>
      </c>
    </row>
    <row r="937" spans="1:7" ht="15" customHeight="1" x14ac:dyDescent="0.3">
      <c r="A937" s="16">
        <v>930</v>
      </c>
      <c r="B937" s="10" t="s">
        <v>3082</v>
      </c>
      <c r="C937" s="10" t="s">
        <v>2913</v>
      </c>
      <c r="D937" s="10" t="s">
        <v>204</v>
      </c>
      <c r="E937" s="10" t="s">
        <v>222</v>
      </c>
      <c r="F937" s="16">
        <v>0</v>
      </c>
      <c r="G937" s="10" t="s">
        <v>2934</v>
      </c>
    </row>
    <row r="938" spans="1:7" ht="15" customHeight="1" x14ac:dyDescent="0.3">
      <c r="A938" s="16">
        <v>931</v>
      </c>
      <c r="B938" s="10" t="s">
        <v>3082</v>
      </c>
      <c r="C938" s="10" t="s">
        <v>2916</v>
      </c>
      <c r="D938" s="10" t="s">
        <v>207</v>
      </c>
      <c r="E938" s="10" t="s">
        <v>209</v>
      </c>
      <c r="F938" s="16">
        <v>0</v>
      </c>
      <c r="G938" s="10" t="s">
        <v>2917</v>
      </c>
    </row>
    <row r="939" spans="1:7" ht="15" customHeight="1" x14ac:dyDescent="0.3">
      <c r="A939" s="16">
        <v>932</v>
      </c>
      <c r="B939" s="10" t="s">
        <v>3082</v>
      </c>
      <c r="C939" s="10" t="s">
        <v>2908</v>
      </c>
      <c r="D939" s="10" t="s">
        <v>200</v>
      </c>
      <c r="E939" s="10" t="s">
        <v>208</v>
      </c>
      <c r="F939" s="16">
        <v>0</v>
      </c>
      <c r="G939" s="10" t="s">
        <v>2937</v>
      </c>
    </row>
    <row r="940" spans="1:7" ht="15" customHeight="1" x14ac:dyDescent="0.3">
      <c r="A940" s="16">
        <v>933</v>
      </c>
      <c r="B940" s="10" t="s">
        <v>3082</v>
      </c>
      <c r="C940" s="10" t="s">
        <v>2908</v>
      </c>
      <c r="D940" s="10" t="s">
        <v>225</v>
      </c>
      <c r="E940" s="10" t="s">
        <v>219</v>
      </c>
      <c r="F940" s="16">
        <v>0</v>
      </c>
      <c r="G940" s="10" t="s">
        <v>2930</v>
      </c>
    </row>
    <row r="941" spans="1:7" ht="15" customHeight="1" x14ac:dyDescent="0.3">
      <c r="A941" s="16">
        <v>934</v>
      </c>
      <c r="B941" s="10" t="s">
        <v>3082</v>
      </c>
      <c r="C941" s="10" t="s">
        <v>2920</v>
      </c>
      <c r="D941" s="10" t="s">
        <v>220</v>
      </c>
      <c r="E941" s="10" t="s">
        <v>212</v>
      </c>
      <c r="F941" s="16">
        <v>0</v>
      </c>
      <c r="G941" s="10" t="s">
        <v>2922</v>
      </c>
    </row>
    <row r="942" spans="1:7" ht="15" customHeight="1" x14ac:dyDescent="0.3">
      <c r="A942" s="16">
        <v>935</v>
      </c>
      <c r="B942" s="10" t="s">
        <v>3082</v>
      </c>
      <c r="C942" s="10" t="s">
        <v>2924</v>
      </c>
      <c r="D942" s="10" t="s">
        <v>197</v>
      </c>
      <c r="E942" s="10" t="s">
        <v>211</v>
      </c>
      <c r="F942" s="16">
        <v>0</v>
      </c>
      <c r="G942" s="10" t="s">
        <v>2925</v>
      </c>
    </row>
    <row r="943" spans="1:7" ht="15" customHeight="1" x14ac:dyDescent="0.3">
      <c r="A943" s="16">
        <v>936</v>
      </c>
      <c r="B943" s="10" t="s">
        <v>3082</v>
      </c>
      <c r="C943" s="10" t="s">
        <v>2924</v>
      </c>
      <c r="D943" s="10" t="s">
        <v>215</v>
      </c>
      <c r="E943" s="10" t="s">
        <v>214</v>
      </c>
      <c r="F943" s="16">
        <v>0</v>
      </c>
      <c r="G943" s="10" t="s">
        <v>2952</v>
      </c>
    </row>
    <row r="944" spans="1:7" ht="15" customHeight="1" x14ac:dyDescent="0.3">
      <c r="A944" s="16">
        <v>937</v>
      </c>
      <c r="B944" s="10" t="s">
        <v>3082</v>
      </c>
      <c r="C944" s="10" t="s">
        <v>2910</v>
      </c>
      <c r="D944" s="10" t="s">
        <v>203</v>
      </c>
      <c r="E944" s="10" t="s">
        <v>217</v>
      </c>
      <c r="F944" s="16">
        <v>0</v>
      </c>
      <c r="G944" s="10" t="s">
        <v>2931</v>
      </c>
    </row>
    <row r="945" spans="1:7" ht="15" customHeight="1" x14ac:dyDescent="0.3">
      <c r="A945" s="16">
        <v>938</v>
      </c>
      <c r="B945" s="10" t="s">
        <v>3083</v>
      </c>
      <c r="C945" s="10" t="s">
        <v>2955</v>
      </c>
      <c r="D945" s="10" t="s">
        <v>221</v>
      </c>
      <c r="E945" s="10" t="s">
        <v>206</v>
      </c>
      <c r="F945" s="16">
        <v>0</v>
      </c>
      <c r="G945" s="10" t="s">
        <v>2933</v>
      </c>
    </row>
    <row r="946" spans="1:7" ht="15" customHeight="1" x14ac:dyDescent="0.3">
      <c r="A946" s="16">
        <v>939</v>
      </c>
      <c r="B946" s="10" t="s">
        <v>3083</v>
      </c>
      <c r="C946" s="10" t="s">
        <v>2908</v>
      </c>
      <c r="D946" s="10" t="s">
        <v>220</v>
      </c>
      <c r="E946" s="10" t="s">
        <v>218</v>
      </c>
      <c r="F946" s="16">
        <v>0</v>
      </c>
      <c r="G946" s="10" t="s">
        <v>2918</v>
      </c>
    </row>
    <row r="947" spans="1:7" ht="15" customHeight="1" x14ac:dyDescent="0.3">
      <c r="A947" s="16">
        <v>940</v>
      </c>
      <c r="B947" s="10" t="s">
        <v>3083</v>
      </c>
      <c r="C947" s="10" t="s">
        <v>2920</v>
      </c>
      <c r="D947" s="10" t="s">
        <v>213</v>
      </c>
      <c r="E947" s="10" t="s">
        <v>198</v>
      </c>
      <c r="F947" s="16">
        <v>0</v>
      </c>
      <c r="G947" s="10" t="s">
        <v>2921</v>
      </c>
    </row>
    <row r="948" spans="1:7" ht="15" customHeight="1" x14ac:dyDescent="0.3">
      <c r="A948" s="16">
        <v>941</v>
      </c>
      <c r="B948" s="10" t="s">
        <v>3083</v>
      </c>
      <c r="C948" s="10" t="s">
        <v>2924</v>
      </c>
      <c r="D948" s="10" t="s">
        <v>199</v>
      </c>
      <c r="E948" s="10" t="s">
        <v>201</v>
      </c>
      <c r="F948" s="16">
        <v>0</v>
      </c>
      <c r="G948" s="10" t="s">
        <v>2946</v>
      </c>
    </row>
    <row r="949" spans="1:7" ht="15" customHeight="1" x14ac:dyDescent="0.3">
      <c r="A949" s="16">
        <v>942</v>
      </c>
      <c r="B949" s="10" t="s">
        <v>3083</v>
      </c>
      <c r="C949" s="10" t="s">
        <v>2924</v>
      </c>
      <c r="D949" s="10" t="s">
        <v>211</v>
      </c>
      <c r="E949" s="10" t="s">
        <v>203</v>
      </c>
      <c r="F949" s="16">
        <v>0</v>
      </c>
      <c r="G949" s="10" t="s">
        <v>2947</v>
      </c>
    </row>
    <row r="950" spans="1:7" ht="15" customHeight="1" x14ac:dyDescent="0.3">
      <c r="A950" s="16">
        <v>943</v>
      </c>
      <c r="B950" s="10" t="s">
        <v>3083</v>
      </c>
      <c r="C950" s="10" t="s">
        <v>2924</v>
      </c>
      <c r="D950" s="10" t="s">
        <v>202</v>
      </c>
      <c r="E950" s="10" t="s">
        <v>205</v>
      </c>
      <c r="F950" s="16">
        <v>0</v>
      </c>
      <c r="G950" s="10" t="s">
        <v>2907</v>
      </c>
    </row>
    <row r="951" spans="1:7" ht="15" customHeight="1" x14ac:dyDescent="0.3">
      <c r="A951" s="16">
        <v>944</v>
      </c>
      <c r="B951" s="10" t="s">
        <v>3083</v>
      </c>
      <c r="C951" s="10" t="s">
        <v>2924</v>
      </c>
      <c r="D951" s="10" t="s">
        <v>226</v>
      </c>
      <c r="E951" s="10" t="s">
        <v>223</v>
      </c>
      <c r="F951" s="16">
        <v>0</v>
      </c>
      <c r="G951" s="10" t="s">
        <v>2911</v>
      </c>
    </row>
    <row r="952" spans="1:7" ht="15" customHeight="1" x14ac:dyDescent="0.3">
      <c r="A952" s="16">
        <v>945</v>
      </c>
      <c r="B952" s="10" t="s">
        <v>3084</v>
      </c>
      <c r="C952" s="10" t="s">
        <v>2913</v>
      </c>
      <c r="D952" s="10" t="s">
        <v>204</v>
      </c>
      <c r="E952" s="10" t="s">
        <v>221</v>
      </c>
      <c r="F952" s="16">
        <v>0</v>
      </c>
      <c r="G952" s="10" t="s">
        <v>2915</v>
      </c>
    </row>
    <row r="953" spans="1:7" ht="15" customHeight="1" x14ac:dyDescent="0.3">
      <c r="A953" s="16">
        <v>946</v>
      </c>
      <c r="B953" s="10" t="s">
        <v>3084</v>
      </c>
      <c r="C953" s="10" t="s">
        <v>2913</v>
      </c>
      <c r="D953" s="10" t="s">
        <v>206</v>
      </c>
      <c r="E953" s="10" t="s">
        <v>222</v>
      </c>
      <c r="F953" s="16">
        <v>0</v>
      </c>
      <c r="G953" s="10" t="s">
        <v>2934</v>
      </c>
    </row>
    <row r="954" spans="1:7" ht="15" customHeight="1" x14ac:dyDescent="0.3">
      <c r="A954" s="16">
        <v>947</v>
      </c>
      <c r="B954" s="10" t="s">
        <v>3084</v>
      </c>
      <c r="C954" s="10" t="s">
        <v>2916</v>
      </c>
      <c r="D954" s="10" t="s">
        <v>216</v>
      </c>
      <c r="E954" s="10" t="s">
        <v>209</v>
      </c>
      <c r="F954" s="16">
        <v>0</v>
      </c>
      <c r="G954" s="10" t="s">
        <v>2917</v>
      </c>
    </row>
    <row r="955" spans="1:7" ht="15" customHeight="1" x14ac:dyDescent="0.3">
      <c r="A955" s="16">
        <v>948</v>
      </c>
      <c r="B955" s="10" t="s">
        <v>3084</v>
      </c>
      <c r="C955" s="10" t="s">
        <v>2908</v>
      </c>
      <c r="D955" s="10" t="s">
        <v>215</v>
      </c>
      <c r="E955" s="10" t="s">
        <v>200</v>
      </c>
      <c r="F955" s="16">
        <v>0</v>
      </c>
      <c r="G955" s="10" t="s">
        <v>2936</v>
      </c>
    </row>
    <row r="956" spans="1:7" ht="15" customHeight="1" x14ac:dyDescent="0.3">
      <c r="A956" s="16">
        <v>949</v>
      </c>
      <c r="B956" s="10" t="s">
        <v>3084</v>
      </c>
      <c r="C956" s="10" t="s">
        <v>2908</v>
      </c>
      <c r="D956" s="10" t="s">
        <v>218</v>
      </c>
      <c r="E956" s="10" t="s">
        <v>212</v>
      </c>
      <c r="F956" s="16">
        <v>0</v>
      </c>
      <c r="G956" s="10" t="s">
        <v>2922</v>
      </c>
    </row>
    <row r="957" spans="1:7" ht="15" customHeight="1" x14ac:dyDescent="0.3">
      <c r="A957" s="16">
        <v>950</v>
      </c>
      <c r="B957" s="10" t="s">
        <v>3084</v>
      </c>
      <c r="C957" s="10" t="s">
        <v>2920</v>
      </c>
      <c r="D957" s="10" t="s">
        <v>217</v>
      </c>
      <c r="E957" s="10" t="s">
        <v>224</v>
      </c>
      <c r="F957" s="16">
        <v>0</v>
      </c>
      <c r="G957" s="10" t="s">
        <v>2923</v>
      </c>
    </row>
    <row r="958" spans="1:7" ht="15" customHeight="1" x14ac:dyDescent="0.3">
      <c r="A958" s="16">
        <v>951</v>
      </c>
      <c r="B958" s="10" t="s">
        <v>3084</v>
      </c>
      <c r="C958" s="10" t="s">
        <v>2948</v>
      </c>
      <c r="D958" s="10" t="s">
        <v>207</v>
      </c>
      <c r="E958" s="10" t="s">
        <v>225</v>
      </c>
      <c r="F958" s="16">
        <v>0</v>
      </c>
      <c r="G958" s="10" t="s">
        <v>2940</v>
      </c>
    </row>
    <row r="959" spans="1:7" ht="15" customHeight="1" x14ac:dyDescent="0.3">
      <c r="A959" s="16">
        <v>952</v>
      </c>
      <c r="B959" s="10" t="s">
        <v>3084</v>
      </c>
      <c r="C959" s="10" t="s">
        <v>2910</v>
      </c>
      <c r="D959" s="10" t="s">
        <v>197</v>
      </c>
      <c r="E959" s="10" t="s">
        <v>214</v>
      </c>
      <c r="F959" s="16">
        <v>0</v>
      </c>
      <c r="G959" s="10" t="s">
        <v>2952</v>
      </c>
    </row>
    <row r="960" spans="1:7" ht="15" customHeight="1" x14ac:dyDescent="0.3">
      <c r="A960" s="16">
        <v>953</v>
      </c>
      <c r="B960" s="10" t="s">
        <v>3085</v>
      </c>
      <c r="C960" s="10" t="s">
        <v>2913</v>
      </c>
      <c r="D960" s="10" t="s">
        <v>216</v>
      </c>
      <c r="E960" s="10" t="s">
        <v>210</v>
      </c>
      <c r="F960" s="16">
        <v>0</v>
      </c>
      <c r="G960" s="10" t="s">
        <v>2914</v>
      </c>
    </row>
    <row r="961" spans="1:7" ht="15" customHeight="1" x14ac:dyDescent="0.3">
      <c r="A961" s="16">
        <v>954</v>
      </c>
      <c r="B961" s="10" t="s">
        <v>3085</v>
      </c>
      <c r="C961" s="10" t="s">
        <v>2916</v>
      </c>
      <c r="D961" s="10" t="s">
        <v>202</v>
      </c>
      <c r="E961" s="10" t="s">
        <v>209</v>
      </c>
      <c r="F961" s="16">
        <v>0</v>
      </c>
      <c r="G961" s="10" t="s">
        <v>2917</v>
      </c>
    </row>
    <row r="962" spans="1:7" ht="15" customHeight="1" x14ac:dyDescent="0.3">
      <c r="A962" s="16">
        <v>955</v>
      </c>
      <c r="B962" s="10" t="s">
        <v>3085</v>
      </c>
      <c r="C962" s="10" t="s">
        <v>2908</v>
      </c>
      <c r="D962" s="10" t="s">
        <v>208</v>
      </c>
      <c r="E962" s="10" t="s">
        <v>200</v>
      </c>
      <c r="F962" s="16">
        <v>0</v>
      </c>
      <c r="G962" s="10" t="s">
        <v>2936</v>
      </c>
    </row>
    <row r="963" spans="1:7" ht="15" customHeight="1" x14ac:dyDescent="0.3">
      <c r="A963" s="16">
        <v>956</v>
      </c>
      <c r="B963" s="10" t="s">
        <v>3085</v>
      </c>
      <c r="C963" s="10" t="s">
        <v>2908</v>
      </c>
      <c r="D963" s="10" t="s">
        <v>213</v>
      </c>
      <c r="E963" s="10" t="s">
        <v>205</v>
      </c>
      <c r="F963" s="16">
        <v>0</v>
      </c>
      <c r="G963" s="10" t="s">
        <v>2907</v>
      </c>
    </row>
    <row r="964" spans="1:7" ht="15" customHeight="1" x14ac:dyDescent="0.3">
      <c r="A964" s="16">
        <v>957</v>
      </c>
      <c r="B964" s="10" t="s">
        <v>3085</v>
      </c>
      <c r="C964" s="10" t="s">
        <v>2920</v>
      </c>
      <c r="D964" s="10" t="s">
        <v>211</v>
      </c>
      <c r="E964" s="10" t="s">
        <v>199</v>
      </c>
      <c r="F964" s="16">
        <v>0</v>
      </c>
      <c r="G964" s="10" t="s">
        <v>2935</v>
      </c>
    </row>
    <row r="965" spans="1:7" ht="15" customHeight="1" x14ac:dyDescent="0.3">
      <c r="A965" s="16">
        <v>958</v>
      </c>
      <c r="B965" s="10" t="s">
        <v>3085</v>
      </c>
      <c r="C965" s="10" t="s">
        <v>2920</v>
      </c>
      <c r="D965" s="10" t="s">
        <v>219</v>
      </c>
      <c r="E965" s="10" t="s">
        <v>223</v>
      </c>
      <c r="F965" s="16">
        <v>0</v>
      </c>
      <c r="G965" s="10" t="s">
        <v>2911</v>
      </c>
    </row>
    <row r="966" spans="1:7" ht="15" customHeight="1" x14ac:dyDescent="0.3">
      <c r="A966" s="16">
        <v>959</v>
      </c>
      <c r="B966" s="10" t="s">
        <v>3085</v>
      </c>
      <c r="C966" s="10" t="s">
        <v>2924</v>
      </c>
      <c r="D966" s="10" t="s">
        <v>198</v>
      </c>
      <c r="E966" s="10" t="s">
        <v>197</v>
      </c>
      <c r="F966" s="16">
        <v>0</v>
      </c>
      <c r="G966" s="10" t="s">
        <v>2945</v>
      </c>
    </row>
    <row r="967" spans="1:7" ht="15" customHeight="1" x14ac:dyDescent="0.3">
      <c r="A967" s="16">
        <v>960</v>
      </c>
      <c r="B967" s="10" t="s">
        <v>3085</v>
      </c>
      <c r="C967" s="10" t="s">
        <v>2924</v>
      </c>
      <c r="D967" s="10" t="s">
        <v>220</v>
      </c>
      <c r="E967" s="10" t="s">
        <v>201</v>
      </c>
      <c r="F967" s="16">
        <v>0</v>
      </c>
      <c r="G967" s="10" t="s">
        <v>2946</v>
      </c>
    </row>
    <row r="968" spans="1:7" ht="15" customHeight="1" x14ac:dyDescent="0.3">
      <c r="A968" s="16">
        <v>961</v>
      </c>
      <c r="B968" s="10" t="s">
        <v>3085</v>
      </c>
      <c r="C968" s="10" t="s">
        <v>2924</v>
      </c>
      <c r="D968" s="10" t="s">
        <v>226</v>
      </c>
      <c r="E968" s="10" t="s">
        <v>203</v>
      </c>
      <c r="F968" s="16">
        <v>0</v>
      </c>
      <c r="G968" s="10" t="s">
        <v>2947</v>
      </c>
    </row>
    <row r="969" spans="1:7" ht="15" customHeight="1" x14ac:dyDescent="0.3">
      <c r="A969" s="16">
        <v>962</v>
      </c>
      <c r="B969" s="10" t="s">
        <v>3086</v>
      </c>
      <c r="C969" s="10" t="s">
        <v>2913</v>
      </c>
      <c r="D969" s="10" t="s">
        <v>206</v>
      </c>
      <c r="E969" s="10" t="s">
        <v>204</v>
      </c>
      <c r="F969" s="16">
        <v>0</v>
      </c>
      <c r="G969" s="10" t="s">
        <v>2949</v>
      </c>
    </row>
    <row r="970" spans="1:7" ht="15" customHeight="1" x14ac:dyDescent="0.3">
      <c r="A970" s="16">
        <v>963</v>
      </c>
      <c r="B970" s="10" t="s">
        <v>3086</v>
      </c>
      <c r="C970" s="10" t="s">
        <v>2913</v>
      </c>
      <c r="D970" s="10" t="s">
        <v>202</v>
      </c>
      <c r="E970" s="10" t="s">
        <v>210</v>
      </c>
      <c r="F970" s="16">
        <v>0</v>
      </c>
      <c r="G970" s="10" t="s">
        <v>2914</v>
      </c>
    </row>
    <row r="971" spans="1:7" ht="15" customHeight="1" x14ac:dyDescent="0.3">
      <c r="A971" s="16">
        <v>964</v>
      </c>
      <c r="B971" s="10" t="s">
        <v>3086</v>
      </c>
      <c r="C971" s="10" t="s">
        <v>2920</v>
      </c>
      <c r="D971" s="10" t="s">
        <v>217</v>
      </c>
      <c r="E971" s="10" t="s">
        <v>199</v>
      </c>
      <c r="F971" s="16">
        <v>0</v>
      </c>
      <c r="G971" s="10" t="s">
        <v>2935</v>
      </c>
    </row>
    <row r="972" spans="1:7" ht="15" customHeight="1" x14ac:dyDescent="0.3">
      <c r="A972" s="16">
        <v>965</v>
      </c>
      <c r="B972" s="10" t="s">
        <v>3086</v>
      </c>
      <c r="C972" s="10" t="s">
        <v>2924</v>
      </c>
      <c r="D972" s="10" t="s">
        <v>212</v>
      </c>
      <c r="E972" s="10" t="s">
        <v>213</v>
      </c>
      <c r="F972" s="16">
        <v>0</v>
      </c>
      <c r="G972" s="10" t="s">
        <v>2938</v>
      </c>
    </row>
    <row r="973" spans="1:7" ht="15" customHeight="1" x14ac:dyDescent="0.3">
      <c r="A973" s="16">
        <v>966</v>
      </c>
      <c r="B973" s="10" t="s">
        <v>3086</v>
      </c>
      <c r="C973" s="10" t="s">
        <v>2924</v>
      </c>
      <c r="D973" s="10" t="s">
        <v>224</v>
      </c>
      <c r="E973" s="10" t="s">
        <v>215</v>
      </c>
      <c r="F973" s="16">
        <v>0</v>
      </c>
      <c r="G973" s="10" t="s">
        <v>2926</v>
      </c>
    </row>
    <row r="974" spans="1:7" ht="15" customHeight="1" x14ac:dyDescent="0.3">
      <c r="A974" s="16">
        <v>967</v>
      </c>
      <c r="B974" s="10" t="s">
        <v>3086</v>
      </c>
      <c r="C974" s="10" t="s">
        <v>2910</v>
      </c>
      <c r="D974" s="10" t="s">
        <v>222</v>
      </c>
      <c r="E974" s="10" t="s">
        <v>225</v>
      </c>
      <c r="F974" s="16">
        <v>0</v>
      </c>
      <c r="G974" s="10" t="s">
        <v>2940</v>
      </c>
    </row>
    <row r="975" spans="1:7" ht="15" customHeight="1" x14ac:dyDescent="0.3">
      <c r="A975" s="16">
        <v>968</v>
      </c>
      <c r="B975" s="10" t="s">
        <v>3087</v>
      </c>
      <c r="C975" s="10" t="s">
        <v>2916</v>
      </c>
      <c r="D975" s="10" t="s">
        <v>209</v>
      </c>
      <c r="E975" s="10" t="s">
        <v>221</v>
      </c>
      <c r="F975" s="16">
        <v>0</v>
      </c>
      <c r="G975" s="10" t="s">
        <v>2915</v>
      </c>
    </row>
    <row r="976" spans="1:7" ht="15" customHeight="1" x14ac:dyDescent="0.3">
      <c r="A976" s="16">
        <v>969</v>
      </c>
      <c r="B976" s="10" t="s">
        <v>3087</v>
      </c>
      <c r="C976" s="10" t="s">
        <v>2906</v>
      </c>
      <c r="D976" s="10" t="s">
        <v>218</v>
      </c>
      <c r="E976" s="10" t="s">
        <v>197</v>
      </c>
      <c r="F976" s="16">
        <v>0</v>
      </c>
      <c r="G976" s="10" t="s">
        <v>2945</v>
      </c>
    </row>
    <row r="977" spans="1:7" ht="15" customHeight="1" x14ac:dyDescent="0.3">
      <c r="A977" s="16">
        <v>970</v>
      </c>
      <c r="B977" s="10" t="s">
        <v>3087</v>
      </c>
      <c r="C977" s="10" t="s">
        <v>2906</v>
      </c>
      <c r="D977" s="10" t="s">
        <v>198</v>
      </c>
      <c r="E977" s="10" t="s">
        <v>205</v>
      </c>
      <c r="F977" s="16">
        <v>0</v>
      </c>
      <c r="G977" s="10" t="s">
        <v>2907</v>
      </c>
    </row>
    <row r="978" spans="1:7" ht="15" customHeight="1" x14ac:dyDescent="0.3">
      <c r="A978" s="16">
        <v>971</v>
      </c>
      <c r="B978" s="10" t="s">
        <v>3087</v>
      </c>
      <c r="C978" s="10" t="s">
        <v>3020</v>
      </c>
      <c r="D978" s="10" t="s">
        <v>208</v>
      </c>
      <c r="E978" s="10" t="s">
        <v>207</v>
      </c>
      <c r="F978" s="16">
        <v>0</v>
      </c>
      <c r="G978" s="10" t="s">
        <v>2928</v>
      </c>
    </row>
    <row r="979" spans="1:7" ht="15" customHeight="1" x14ac:dyDescent="0.3">
      <c r="A979" s="16">
        <v>972</v>
      </c>
      <c r="B979" s="10" t="s">
        <v>3087</v>
      </c>
      <c r="C979" s="10" t="s">
        <v>2943</v>
      </c>
      <c r="D979" s="10" t="s">
        <v>220</v>
      </c>
      <c r="E979" s="10" t="s">
        <v>200</v>
      </c>
      <c r="F979" s="16">
        <v>0</v>
      </c>
      <c r="G979" s="10" t="s">
        <v>2936</v>
      </c>
    </row>
    <row r="980" spans="1:7" ht="15" customHeight="1" x14ac:dyDescent="0.3">
      <c r="A980" s="16">
        <v>973</v>
      </c>
      <c r="B980" s="10" t="s">
        <v>3087</v>
      </c>
      <c r="C980" s="10" t="s">
        <v>2924</v>
      </c>
      <c r="D980" s="10" t="s">
        <v>211</v>
      </c>
      <c r="E980" s="10" t="s">
        <v>201</v>
      </c>
      <c r="F980" s="16">
        <v>0</v>
      </c>
      <c r="G980" s="10" t="s">
        <v>2946</v>
      </c>
    </row>
    <row r="981" spans="1:7" ht="15" customHeight="1" x14ac:dyDescent="0.3">
      <c r="A981" s="16">
        <v>974</v>
      </c>
      <c r="B981" s="10" t="s">
        <v>3087</v>
      </c>
      <c r="C981" s="10" t="s">
        <v>2924</v>
      </c>
      <c r="D981" s="10" t="s">
        <v>215</v>
      </c>
      <c r="E981" s="10" t="s">
        <v>203</v>
      </c>
      <c r="F981" s="16">
        <v>0</v>
      </c>
      <c r="G981" s="10" t="s">
        <v>2947</v>
      </c>
    </row>
    <row r="982" spans="1:7" ht="15" customHeight="1" x14ac:dyDescent="0.3">
      <c r="A982" s="16">
        <v>975</v>
      </c>
      <c r="B982" s="10" t="s">
        <v>3087</v>
      </c>
      <c r="C982" s="10" t="s">
        <v>2927</v>
      </c>
      <c r="D982" s="10" t="s">
        <v>219</v>
      </c>
      <c r="E982" s="10" t="s">
        <v>214</v>
      </c>
      <c r="F982" s="16">
        <v>0</v>
      </c>
      <c r="G982" s="10" t="s">
        <v>2952</v>
      </c>
    </row>
    <row r="983" spans="1:7" ht="15" customHeight="1" x14ac:dyDescent="0.3">
      <c r="A983" s="16">
        <v>976</v>
      </c>
      <c r="B983" s="10" t="s">
        <v>3088</v>
      </c>
      <c r="C983" s="10" t="s">
        <v>2913</v>
      </c>
      <c r="D983" s="10" t="s">
        <v>206</v>
      </c>
      <c r="E983" s="10" t="s">
        <v>210</v>
      </c>
      <c r="F983" s="16">
        <v>0</v>
      </c>
      <c r="G983" s="10" t="s">
        <v>2914</v>
      </c>
    </row>
    <row r="984" spans="1:7" ht="15" customHeight="1" x14ac:dyDescent="0.3">
      <c r="A984" s="16">
        <v>977</v>
      </c>
      <c r="B984" s="10" t="s">
        <v>3088</v>
      </c>
      <c r="C984" s="10" t="s">
        <v>3009</v>
      </c>
      <c r="D984" s="10" t="s">
        <v>199</v>
      </c>
      <c r="E984" s="10" t="s">
        <v>216</v>
      </c>
      <c r="F984" s="16">
        <v>0</v>
      </c>
      <c r="G984" s="10" t="s">
        <v>2909</v>
      </c>
    </row>
    <row r="985" spans="1:7" ht="15" customHeight="1" x14ac:dyDescent="0.3">
      <c r="A985" s="16">
        <v>978</v>
      </c>
      <c r="B985" s="10" t="s">
        <v>3088</v>
      </c>
      <c r="C985" s="10" t="s">
        <v>3010</v>
      </c>
      <c r="D985" s="10" t="s">
        <v>223</v>
      </c>
      <c r="E985" s="10" t="s">
        <v>217</v>
      </c>
      <c r="F985" s="16">
        <v>0</v>
      </c>
      <c r="G985" s="10" t="s">
        <v>2931</v>
      </c>
    </row>
    <row r="986" spans="1:7" ht="15" customHeight="1" x14ac:dyDescent="0.3">
      <c r="A986" s="16">
        <v>979</v>
      </c>
      <c r="B986" s="10" t="s">
        <v>3088</v>
      </c>
      <c r="C986" s="10" t="s">
        <v>2951</v>
      </c>
      <c r="D986" s="10" t="s">
        <v>205</v>
      </c>
      <c r="E986" s="10" t="s">
        <v>224</v>
      </c>
      <c r="F986" s="16">
        <v>0</v>
      </c>
      <c r="G986" s="10" t="s">
        <v>2923</v>
      </c>
    </row>
    <row r="987" spans="1:7" ht="15" customHeight="1" x14ac:dyDescent="0.3">
      <c r="A987" s="16">
        <v>980</v>
      </c>
      <c r="B987" s="10" t="s">
        <v>3088</v>
      </c>
      <c r="C987" s="10" t="s">
        <v>2943</v>
      </c>
      <c r="D987" s="10" t="s">
        <v>202</v>
      </c>
      <c r="E987" s="10" t="s">
        <v>222</v>
      </c>
      <c r="F987" s="16">
        <v>0</v>
      </c>
      <c r="G987" s="10" t="s">
        <v>2934</v>
      </c>
    </row>
    <row r="988" spans="1:7" ht="15" customHeight="1" x14ac:dyDescent="0.3">
      <c r="A988" s="16">
        <v>981</v>
      </c>
      <c r="B988" s="10" t="s">
        <v>3088</v>
      </c>
      <c r="C988" s="10" t="s">
        <v>2920</v>
      </c>
      <c r="D988" s="10" t="s">
        <v>212</v>
      </c>
      <c r="E988" s="10" t="s">
        <v>204</v>
      </c>
      <c r="F988" s="16">
        <v>0</v>
      </c>
      <c r="G988" s="10" t="s">
        <v>2949</v>
      </c>
    </row>
    <row r="989" spans="1:7" ht="15" customHeight="1" x14ac:dyDescent="0.3">
      <c r="A989" s="16">
        <v>982</v>
      </c>
      <c r="B989" s="10" t="s">
        <v>3088</v>
      </c>
      <c r="C989" s="10" t="s">
        <v>2924</v>
      </c>
      <c r="D989" s="10" t="s">
        <v>226</v>
      </c>
      <c r="E989" s="10" t="s">
        <v>214</v>
      </c>
      <c r="F989" s="16">
        <v>0</v>
      </c>
      <c r="G989" s="10" t="s">
        <v>2952</v>
      </c>
    </row>
    <row r="990" spans="1:7" ht="15" customHeight="1" x14ac:dyDescent="0.3">
      <c r="A990" s="16">
        <v>983</v>
      </c>
      <c r="B990" s="10" t="s">
        <v>3089</v>
      </c>
      <c r="C990" s="10" t="s">
        <v>2908</v>
      </c>
      <c r="D990" s="10" t="s">
        <v>224</v>
      </c>
      <c r="E990" s="10" t="s">
        <v>219</v>
      </c>
      <c r="F990" s="16">
        <v>0</v>
      </c>
      <c r="G990" s="10" t="s">
        <v>2930</v>
      </c>
    </row>
    <row r="991" spans="1:7" ht="15" customHeight="1" x14ac:dyDescent="0.3">
      <c r="A991" s="16">
        <v>984</v>
      </c>
      <c r="B991" s="10" t="s">
        <v>3089</v>
      </c>
      <c r="C991" s="10" t="s">
        <v>2920</v>
      </c>
      <c r="D991" s="10" t="s">
        <v>208</v>
      </c>
      <c r="E991" s="10" t="s">
        <v>198</v>
      </c>
      <c r="F991" s="16">
        <v>0</v>
      </c>
      <c r="G991" s="10" t="s">
        <v>2921</v>
      </c>
    </row>
    <row r="992" spans="1:7" ht="15" customHeight="1" x14ac:dyDescent="0.3">
      <c r="A992" s="16">
        <v>985</v>
      </c>
      <c r="B992" s="10" t="s">
        <v>3089</v>
      </c>
      <c r="C992" s="10" t="s">
        <v>2924</v>
      </c>
      <c r="D992" s="10" t="s">
        <v>218</v>
      </c>
      <c r="E992" s="10" t="s">
        <v>201</v>
      </c>
      <c r="F992" s="16">
        <v>0</v>
      </c>
      <c r="G992" s="10" t="s">
        <v>2946</v>
      </c>
    </row>
    <row r="993" spans="1:7" ht="15" customHeight="1" x14ac:dyDescent="0.3">
      <c r="A993" s="16">
        <v>986</v>
      </c>
      <c r="B993" s="10" t="s">
        <v>3089</v>
      </c>
      <c r="C993" s="10" t="s">
        <v>2924</v>
      </c>
      <c r="D993" s="10" t="s">
        <v>220</v>
      </c>
      <c r="E993" s="10" t="s">
        <v>211</v>
      </c>
      <c r="F993" s="16">
        <v>0</v>
      </c>
      <c r="G993" s="10" t="s">
        <v>2925</v>
      </c>
    </row>
    <row r="994" spans="1:7" ht="15" customHeight="1" x14ac:dyDescent="0.3">
      <c r="A994" s="16">
        <v>987</v>
      </c>
      <c r="B994" s="10" t="s">
        <v>3089</v>
      </c>
      <c r="C994" s="10" t="s">
        <v>2910</v>
      </c>
      <c r="D994" s="10" t="s">
        <v>197</v>
      </c>
      <c r="E994" s="10" t="s">
        <v>203</v>
      </c>
      <c r="F994" s="16">
        <v>0</v>
      </c>
      <c r="G994" s="10" t="s">
        <v>2947</v>
      </c>
    </row>
    <row r="995" spans="1:7" ht="15" customHeight="1" x14ac:dyDescent="0.3">
      <c r="A995" s="16">
        <v>988</v>
      </c>
      <c r="B995" s="10" t="s">
        <v>3090</v>
      </c>
      <c r="C995" s="10" t="s">
        <v>2913</v>
      </c>
      <c r="D995" s="10" t="s">
        <v>202</v>
      </c>
      <c r="E995" s="10" t="s">
        <v>206</v>
      </c>
      <c r="F995" s="16">
        <v>0</v>
      </c>
      <c r="G995" s="10" t="s">
        <v>2933</v>
      </c>
    </row>
    <row r="996" spans="1:7" ht="15" customHeight="1" x14ac:dyDescent="0.3">
      <c r="A996" s="16">
        <v>989</v>
      </c>
      <c r="B996" s="10" t="s">
        <v>3090</v>
      </c>
      <c r="C996" s="10" t="s">
        <v>2913</v>
      </c>
      <c r="D996" s="10" t="s">
        <v>210</v>
      </c>
      <c r="E996" s="10" t="s">
        <v>221</v>
      </c>
      <c r="F996" s="16">
        <v>0</v>
      </c>
      <c r="G996" s="10" t="s">
        <v>2915</v>
      </c>
    </row>
    <row r="997" spans="1:7" ht="15" customHeight="1" x14ac:dyDescent="0.3">
      <c r="A997" s="16">
        <v>990</v>
      </c>
      <c r="B997" s="10" t="s">
        <v>3090</v>
      </c>
      <c r="C997" s="10" t="s">
        <v>2955</v>
      </c>
      <c r="D997" s="10" t="s">
        <v>204</v>
      </c>
      <c r="E997" s="10" t="s">
        <v>209</v>
      </c>
      <c r="F997" s="16">
        <v>0</v>
      </c>
      <c r="G997" s="10" t="s">
        <v>2917</v>
      </c>
    </row>
    <row r="998" spans="1:7" ht="15" customHeight="1" x14ac:dyDescent="0.3">
      <c r="A998" s="16">
        <v>991</v>
      </c>
      <c r="B998" s="10" t="s">
        <v>3090</v>
      </c>
      <c r="C998" s="10" t="s">
        <v>2908</v>
      </c>
      <c r="D998" s="10" t="s">
        <v>216</v>
      </c>
      <c r="E998" s="10" t="s">
        <v>226</v>
      </c>
      <c r="F998" s="16">
        <v>0</v>
      </c>
      <c r="G998" s="10" t="s">
        <v>2919</v>
      </c>
    </row>
    <row r="999" spans="1:7" ht="15" customHeight="1" x14ac:dyDescent="0.3">
      <c r="A999" s="16">
        <v>992</v>
      </c>
      <c r="B999" s="10" t="s">
        <v>3090</v>
      </c>
      <c r="C999" s="10" t="s">
        <v>2920</v>
      </c>
      <c r="D999" s="10" t="s">
        <v>222</v>
      </c>
      <c r="E999" s="10" t="s">
        <v>199</v>
      </c>
      <c r="F999" s="16">
        <v>0</v>
      </c>
      <c r="G999" s="10" t="s">
        <v>2935</v>
      </c>
    </row>
    <row r="1000" spans="1:7" ht="15" customHeight="1" x14ac:dyDescent="0.3">
      <c r="A1000" s="16">
        <v>993</v>
      </c>
      <c r="B1000" s="10" t="s">
        <v>3090</v>
      </c>
      <c r="C1000" s="10" t="s">
        <v>2924</v>
      </c>
      <c r="D1000" s="10" t="s">
        <v>205</v>
      </c>
      <c r="E1000" s="10" t="s">
        <v>208</v>
      </c>
      <c r="F1000" s="16">
        <v>0</v>
      </c>
      <c r="G1000" s="10" t="s">
        <v>2937</v>
      </c>
    </row>
    <row r="1001" spans="1:7" ht="15" customHeight="1" x14ac:dyDescent="0.3">
      <c r="A1001" s="16">
        <v>994</v>
      </c>
      <c r="B1001" s="10" t="s">
        <v>3090</v>
      </c>
      <c r="C1001" s="10" t="s">
        <v>2924</v>
      </c>
      <c r="D1001" s="10" t="s">
        <v>218</v>
      </c>
      <c r="E1001" s="10" t="s">
        <v>213</v>
      </c>
      <c r="F1001" s="16">
        <v>0</v>
      </c>
      <c r="G1001" s="10" t="s">
        <v>2938</v>
      </c>
    </row>
    <row r="1002" spans="1:7" ht="15" customHeight="1" x14ac:dyDescent="0.3">
      <c r="A1002" s="16">
        <v>995</v>
      </c>
      <c r="B1002" s="10" t="s">
        <v>3090</v>
      </c>
      <c r="C1002" s="10" t="s">
        <v>2924</v>
      </c>
      <c r="D1002" s="10" t="s">
        <v>214</v>
      </c>
      <c r="E1002" s="10" t="s">
        <v>215</v>
      </c>
      <c r="F1002" s="16">
        <v>0</v>
      </c>
      <c r="G1002" s="10" t="s">
        <v>2926</v>
      </c>
    </row>
    <row r="1003" spans="1:7" ht="15" customHeight="1" x14ac:dyDescent="0.3">
      <c r="A1003" s="16">
        <v>996</v>
      </c>
      <c r="B1003" s="10" t="s">
        <v>3090</v>
      </c>
      <c r="C1003" s="10" t="s">
        <v>2924</v>
      </c>
      <c r="D1003" s="10" t="s">
        <v>200</v>
      </c>
      <c r="E1003" s="10" t="s">
        <v>217</v>
      </c>
      <c r="F1003" s="16">
        <v>0</v>
      </c>
      <c r="G1003" s="10" t="s">
        <v>2931</v>
      </c>
    </row>
    <row r="1004" spans="1:7" ht="15" customHeight="1" x14ac:dyDescent="0.3">
      <c r="A1004" s="16">
        <v>997</v>
      </c>
      <c r="B1004" s="10" t="s">
        <v>3090</v>
      </c>
      <c r="C1004" s="10" t="s">
        <v>2927</v>
      </c>
      <c r="D1004" s="10" t="s">
        <v>223</v>
      </c>
      <c r="E1004" s="10" t="s">
        <v>207</v>
      </c>
      <c r="F1004" s="16">
        <v>0</v>
      </c>
      <c r="G1004" s="10" t="s">
        <v>2928</v>
      </c>
    </row>
    <row r="1005" spans="1:7" ht="15" customHeight="1" x14ac:dyDescent="0.3">
      <c r="A1005" s="16">
        <v>998</v>
      </c>
      <c r="B1005" s="10" t="s">
        <v>3091</v>
      </c>
      <c r="C1005" s="10" t="s">
        <v>2913</v>
      </c>
      <c r="D1005" s="10" t="s">
        <v>211</v>
      </c>
      <c r="E1005" s="10" t="s">
        <v>206</v>
      </c>
      <c r="F1005" s="16">
        <v>0</v>
      </c>
      <c r="G1005" s="10" t="s">
        <v>2933</v>
      </c>
    </row>
    <row r="1006" spans="1:7" ht="15" customHeight="1" x14ac:dyDescent="0.3">
      <c r="A1006" s="16">
        <v>999</v>
      </c>
      <c r="B1006" s="10" t="s">
        <v>3091</v>
      </c>
      <c r="C1006" s="10" t="s">
        <v>2913</v>
      </c>
      <c r="D1006" s="10" t="s">
        <v>220</v>
      </c>
      <c r="E1006" s="10" t="s">
        <v>210</v>
      </c>
      <c r="F1006" s="16">
        <v>0</v>
      </c>
      <c r="G1006" s="10" t="s">
        <v>2914</v>
      </c>
    </row>
    <row r="1007" spans="1:7" ht="15" customHeight="1" x14ac:dyDescent="0.3">
      <c r="A1007" s="16">
        <v>1000</v>
      </c>
      <c r="B1007" s="10" t="s">
        <v>3091</v>
      </c>
      <c r="C1007" s="10" t="s">
        <v>2913</v>
      </c>
      <c r="D1007" s="10" t="s">
        <v>212</v>
      </c>
      <c r="E1007" s="10" t="s">
        <v>221</v>
      </c>
      <c r="F1007" s="16">
        <v>0</v>
      </c>
      <c r="G1007" s="10" t="s">
        <v>2915</v>
      </c>
    </row>
    <row r="1008" spans="1:7" ht="15" customHeight="1" x14ac:dyDescent="0.3">
      <c r="A1008" s="16">
        <v>1001</v>
      </c>
      <c r="B1008" s="10" t="s">
        <v>3091</v>
      </c>
      <c r="C1008" s="10" t="s">
        <v>2908</v>
      </c>
      <c r="D1008" s="10" t="s">
        <v>201</v>
      </c>
      <c r="E1008" s="10" t="s">
        <v>219</v>
      </c>
      <c r="F1008" s="16">
        <v>0</v>
      </c>
      <c r="G1008" s="10" t="s">
        <v>2930</v>
      </c>
    </row>
    <row r="1009" spans="1:7" ht="15" customHeight="1" x14ac:dyDescent="0.3">
      <c r="A1009" s="16">
        <v>1002</v>
      </c>
      <c r="B1009" s="10" t="s">
        <v>3091</v>
      </c>
      <c r="C1009" s="10" t="s">
        <v>2920</v>
      </c>
      <c r="D1009" s="10" t="s">
        <v>222</v>
      </c>
      <c r="E1009" s="10" t="s">
        <v>216</v>
      </c>
      <c r="F1009" s="16">
        <v>0</v>
      </c>
      <c r="G1009" s="10" t="s">
        <v>2909</v>
      </c>
    </row>
    <row r="1010" spans="1:7" ht="15" customHeight="1" x14ac:dyDescent="0.3">
      <c r="A1010" s="16">
        <v>1003</v>
      </c>
      <c r="B1010" s="10" t="s">
        <v>3091</v>
      </c>
      <c r="C1010" s="10" t="s">
        <v>2920</v>
      </c>
      <c r="D1010" s="10" t="s">
        <v>203</v>
      </c>
      <c r="E1010" s="10" t="s">
        <v>217</v>
      </c>
      <c r="F1010" s="16">
        <v>0</v>
      </c>
      <c r="G1010" s="10" t="s">
        <v>2931</v>
      </c>
    </row>
    <row r="1011" spans="1:7" ht="15" customHeight="1" x14ac:dyDescent="0.3">
      <c r="A1011" s="16">
        <v>1004</v>
      </c>
      <c r="B1011" s="10" t="s">
        <v>3091</v>
      </c>
      <c r="C1011" s="10" t="s">
        <v>2927</v>
      </c>
      <c r="D1011" s="10" t="s">
        <v>198</v>
      </c>
      <c r="E1011" s="10" t="s">
        <v>207</v>
      </c>
      <c r="F1011" s="16">
        <v>0</v>
      </c>
      <c r="G1011" s="10" t="s">
        <v>2928</v>
      </c>
    </row>
    <row r="1012" spans="1:7" ht="15" customHeight="1" x14ac:dyDescent="0.3">
      <c r="A1012" s="16">
        <v>1005</v>
      </c>
      <c r="B1012" s="10" t="s">
        <v>3091</v>
      </c>
      <c r="C1012" s="10" t="s">
        <v>2948</v>
      </c>
      <c r="D1012" s="10" t="s">
        <v>197</v>
      </c>
      <c r="E1012" s="10" t="s">
        <v>225</v>
      </c>
      <c r="F1012" s="16">
        <v>0</v>
      </c>
      <c r="G1012" s="10" t="s">
        <v>2940</v>
      </c>
    </row>
    <row r="1013" spans="1:7" ht="15" customHeight="1" x14ac:dyDescent="0.3">
      <c r="A1013" s="16">
        <v>1006</v>
      </c>
      <c r="B1013" s="10" t="s">
        <v>3092</v>
      </c>
      <c r="C1013" s="10" t="s">
        <v>2916</v>
      </c>
      <c r="D1013" s="10" t="s">
        <v>211</v>
      </c>
      <c r="E1013" s="10" t="s">
        <v>209</v>
      </c>
      <c r="F1013" s="16">
        <v>0</v>
      </c>
      <c r="G1013" s="10" t="s">
        <v>2917</v>
      </c>
    </row>
    <row r="1014" spans="1:7" ht="15" customHeight="1" x14ac:dyDescent="0.3">
      <c r="A1014" s="16">
        <v>1007</v>
      </c>
      <c r="B1014" s="10" t="s">
        <v>3092</v>
      </c>
      <c r="C1014" s="10" t="s">
        <v>2908</v>
      </c>
      <c r="D1014" s="10" t="s">
        <v>224</v>
      </c>
      <c r="E1014" s="10" t="s">
        <v>208</v>
      </c>
      <c r="F1014" s="16">
        <v>0</v>
      </c>
      <c r="G1014" s="10" t="s">
        <v>2937</v>
      </c>
    </row>
    <row r="1015" spans="1:7" ht="15" customHeight="1" x14ac:dyDescent="0.3">
      <c r="A1015" s="16">
        <v>1008</v>
      </c>
      <c r="B1015" s="10" t="s">
        <v>3092</v>
      </c>
      <c r="C1015" s="10" t="s">
        <v>2908</v>
      </c>
      <c r="D1015" s="10" t="s">
        <v>219</v>
      </c>
      <c r="E1015" s="10" t="s">
        <v>226</v>
      </c>
      <c r="F1015" s="16">
        <v>0</v>
      </c>
      <c r="G1015" s="10" t="s">
        <v>2919</v>
      </c>
    </row>
    <row r="1016" spans="1:7" ht="15" customHeight="1" x14ac:dyDescent="0.3">
      <c r="A1016" s="16">
        <v>1009</v>
      </c>
      <c r="B1016" s="10" t="s">
        <v>3092</v>
      </c>
      <c r="C1016" s="10" t="s">
        <v>2920</v>
      </c>
      <c r="D1016" s="10" t="s">
        <v>218</v>
      </c>
      <c r="E1016" s="10" t="s">
        <v>199</v>
      </c>
      <c r="F1016" s="16">
        <v>0</v>
      </c>
      <c r="G1016" s="10" t="s">
        <v>2935</v>
      </c>
    </row>
    <row r="1017" spans="1:7" ht="15" customHeight="1" x14ac:dyDescent="0.3">
      <c r="A1017" s="16">
        <v>1010</v>
      </c>
      <c r="B1017" s="10" t="s">
        <v>3092</v>
      </c>
      <c r="C1017" s="10" t="s">
        <v>2924</v>
      </c>
      <c r="D1017" s="10" t="s">
        <v>205</v>
      </c>
      <c r="E1017" s="10" t="s">
        <v>213</v>
      </c>
      <c r="F1017" s="16">
        <v>0</v>
      </c>
      <c r="G1017" s="10" t="s">
        <v>2938</v>
      </c>
    </row>
    <row r="1018" spans="1:7" ht="15" customHeight="1" x14ac:dyDescent="0.3">
      <c r="A1018" s="16">
        <v>1011</v>
      </c>
      <c r="B1018" s="10" t="s">
        <v>3092</v>
      </c>
      <c r="C1018" s="10" t="s">
        <v>2924</v>
      </c>
      <c r="D1018" s="10" t="s">
        <v>200</v>
      </c>
      <c r="E1018" s="10" t="s">
        <v>215</v>
      </c>
      <c r="F1018" s="16">
        <v>0</v>
      </c>
      <c r="G1018" s="10" t="s">
        <v>2926</v>
      </c>
    </row>
    <row r="1019" spans="1:7" ht="15" customHeight="1" x14ac:dyDescent="0.3">
      <c r="A1019" s="16">
        <v>1012</v>
      </c>
      <c r="B1019" s="10" t="s">
        <v>3092</v>
      </c>
      <c r="C1019" s="10" t="s">
        <v>2924</v>
      </c>
      <c r="D1019" s="10" t="s">
        <v>198</v>
      </c>
      <c r="E1019" s="10" t="s">
        <v>223</v>
      </c>
      <c r="F1019" s="16">
        <v>0</v>
      </c>
      <c r="G1019" s="10" t="s">
        <v>2911</v>
      </c>
    </row>
    <row r="1020" spans="1:7" ht="15" customHeight="1" x14ac:dyDescent="0.3">
      <c r="A1020" s="16">
        <v>1013</v>
      </c>
      <c r="B1020" s="10" t="s">
        <v>3092</v>
      </c>
      <c r="C1020" s="10" t="s">
        <v>2948</v>
      </c>
      <c r="D1020" s="10" t="s">
        <v>202</v>
      </c>
      <c r="E1020" s="10" t="s">
        <v>204</v>
      </c>
      <c r="F1020" s="16">
        <v>0</v>
      </c>
      <c r="G1020" s="10" t="s">
        <v>2949</v>
      </c>
    </row>
    <row r="1021" spans="1:7" ht="15" customHeight="1" x14ac:dyDescent="0.3">
      <c r="A1021" s="16">
        <v>1014</v>
      </c>
      <c r="B1021" s="10" t="s">
        <v>3092</v>
      </c>
      <c r="C1021" s="10" t="s">
        <v>2948</v>
      </c>
      <c r="D1021" s="10" t="s">
        <v>214</v>
      </c>
      <c r="E1021" s="10" t="s">
        <v>225</v>
      </c>
      <c r="F1021" s="16">
        <v>0</v>
      </c>
      <c r="G1021" s="10" t="s">
        <v>2940</v>
      </c>
    </row>
    <row r="1022" spans="1:7" ht="15" customHeight="1" x14ac:dyDescent="0.3">
      <c r="A1022" s="16">
        <v>1015</v>
      </c>
      <c r="B1022" s="10" t="s">
        <v>3093</v>
      </c>
      <c r="C1022" s="10" t="s">
        <v>2913</v>
      </c>
      <c r="D1022" s="10" t="s">
        <v>221</v>
      </c>
      <c r="E1022" s="10" t="s">
        <v>206</v>
      </c>
      <c r="F1022" s="16">
        <v>0</v>
      </c>
      <c r="G1022" s="10" t="s">
        <v>2933</v>
      </c>
    </row>
    <row r="1023" spans="1:7" ht="15" customHeight="1" x14ac:dyDescent="0.3">
      <c r="A1023" s="16">
        <v>1016</v>
      </c>
      <c r="B1023" s="10" t="s">
        <v>3093</v>
      </c>
      <c r="C1023" s="10" t="s">
        <v>2913</v>
      </c>
      <c r="D1023" s="10" t="s">
        <v>197</v>
      </c>
      <c r="E1023" s="10" t="s">
        <v>210</v>
      </c>
      <c r="F1023" s="16">
        <v>0</v>
      </c>
      <c r="G1023" s="10" t="s">
        <v>2914</v>
      </c>
    </row>
    <row r="1024" spans="1:7" ht="15" customHeight="1" x14ac:dyDescent="0.3">
      <c r="A1024" s="16">
        <v>1017</v>
      </c>
      <c r="B1024" s="10" t="s">
        <v>3093</v>
      </c>
      <c r="C1024" s="10" t="s">
        <v>2916</v>
      </c>
      <c r="D1024" s="10" t="s">
        <v>212</v>
      </c>
      <c r="E1024" s="10" t="s">
        <v>220</v>
      </c>
      <c r="F1024" s="16">
        <v>0</v>
      </c>
      <c r="G1024" s="10" t="s">
        <v>2942</v>
      </c>
    </row>
    <row r="1025" spans="1:7" ht="15" customHeight="1" x14ac:dyDescent="0.3">
      <c r="A1025" s="16">
        <v>1018</v>
      </c>
      <c r="B1025" s="10" t="s">
        <v>3093</v>
      </c>
      <c r="C1025" s="10" t="s">
        <v>2920</v>
      </c>
      <c r="D1025" s="10" t="s">
        <v>222</v>
      </c>
      <c r="E1025" s="10" t="s">
        <v>224</v>
      </c>
      <c r="F1025" s="16">
        <v>0</v>
      </c>
      <c r="G1025" s="10" t="s">
        <v>2923</v>
      </c>
    </row>
    <row r="1026" spans="1:7" ht="15" customHeight="1" x14ac:dyDescent="0.3">
      <c r="A1026" s="16">
        <v>1019</v>
      </c>
      <c r="B1026" s="10" t="s">
        <v>3093</v>
      </c>
      <c r="C1026" s="10" t="s">
        <v>2924</v>
      </c>
      <c r="D1026" s="10" t="s">
        <v>207</v>
      </c>
      <c r="E1026" s="10" t="s">
        <v>215</v>
      </c>
      <c r="F1026" s="16">
        <v>0</v>
      </c>
      <c r="G1026" s="10" t="s">
        <v>2926</v>
      </c>
    </row>
    <row r="1027" spans="1:7" ht="15" customHeight="1" x14ac:dyDescent="0.3">
      <c r="A1027" s="16">
        <v>1020</v>
      </c>
      <c r="B1027" s="10" t="s">
        <v>3093</v>
      </c>
      <c r="C1027" s="10" t="s">
        <v>2924</v>
      </c>
      <c r="D1027" s="10" t="s">
        <v>203</v>
      </c>
      <c r="E1027" s="10" t="s">
        <v>223</v>
      </c>
      <c r="F1027" s="16">
        <v>0</v>
      </c>
      <c r="G1027" s="10" t="s">
        <v>2911</v>
      </c>
    </row>
    <row r="1028" spans="1:7" ht="15" customHeight="1" x14ac:dyDescent="0.3">
      <c r="A1028" s="16">
        <v>1021</v>
      </c>
      <c r="B1028" s="10" t="s">
        <v>3094</v>
      </c>
      <c r="C1028" s="10" t="s">
        <v>2916</v>
      </c>
      <c r="D1028" s="10" t="s">
        <v>197</v>
      </c>
      <c r="E1028" s="10" t="s">
        <v>209</v>
      </c>
      <c r="F1028" s="16">
        <v>0</v>
      </c>
      <c r="G1028" s="10" t="s">
        <v>2917</v>
      </c>
    </row>
    <row r="1029" spans="1:7" ht="15" customHeight="1" x14ac:dyDescent="0.3">
      <c r="A1029" s="16">
        <v>1022</v>
      </c>
      <c r="B1029" s="10" t="s">
        <v>3094</v>
      </c>
      <c r="C1029" s="10" t="s">
        <v>2976</v>
      </c>
      <c r="D1029" s="10" t="s">
        <v>226</v>
      </c>
      <c r="E1029" s="10" t="s">
        <v>216</v>
      </c>
      <c r="F1029" s="16">
        <v>0</v>
      </c>
      <c r="G1029" s="10" t="s">
        <v>2909</v>
      </c>
    </row>
    <row r="1030" spans="1:7" ht="15" customHeight="1" x14ac:dyDescent="0.3">
      <c r="A1030" s="16">
        <v>1023</v>
      </c>
      <c r="B1030" s="10" t="s">
        <v>3094</v>
      </c>
      <c r="C1030" s="10" t="s">
        <v>2908</v>
      </c>
      <c r="D1030" s="10" t="s">
        <v>204</v>
      </c>
      <c r="E1030" s="10" t="s">
        <v>218</v>
      </c>
      <c r="F1030" s="16">
        <v>0</v>
      </c>
      <c r="G1030" s="10" t="s">
        <v>2918</v>
      </c>
    </row>
    <row r="1031" spans="1:7" ht="15" customHeight="1" x14ac:dyDescent="0.3">
      <c r="A1031" s="16">
        <v>1024</v>
      </c>
      <c r="B1031" s="10" t="s">
        <v>3094</v>
      </c>
      <c r="C1031" s="10" t="s">
        <v>2920</v>
      </c>
      <c r="D1031" s="10" t="s">
        <v>201</v>
      </c>
      <c r="E1031" s="10" t="s">
        <v>202</v>
      </c>
      <c r="F1031" s="16">
        <v>0</v>
      </c>
      <c r="G1031" s="10" t="s">
        <v>2944</v>
      </c>
    </row>
    <row r="1032" spans="1:7" ht="15" customHeight="1" x14ac:dyDescent="0.3">
      <c r="A1032" s="16">
        <v>1025</v>
      </c>
      <c r="B1032" s="10" t="s">
        <v>3094</v>
      </c>
      <c r="C1032" s="10" t="s">
        <v>2924</v>
      </c>
      <c r="D1032" s="10" t="s">
        <v>200</v>
      </c>
      <c r="E1032" s="10" t="s">
        <v>205</v>
      </c>
      <c r="F1032" s="16">
        <v>0</v>
      </c>
      <c r="G1032" s="10" t="s">
        <v>2907</v>
      </c>
    </row>
    <row r="1033" spans="1:7" ht="15" customHeight="1" x14ac:dyDescent="0.3">
      <c r="A1033" s="16">
        <v>1026</v>
      </c>
      <c r="B1033" s="10" t="s">
        <v>3094</v>
      </c>
      <c r="C1033" s="10" t="s">
        <v>2924</v>
      </c>
      <c r="D1033" s="10" t="s">
        <v>217</v>
      </c>
      <c r="E1033" s="10" t="s">
        <v>211</v>
      </c>
      <c r="F1033" s="16">
        <v>0</v>
      </c>
      <c r="G1033" s="10" t="s">
        <v>2925</v>
      </c>
    </row>
    <row r="1034" spans="1:7" ht="15" customHeight="1" x14ac:dyDescent="0.3">
      <c r="A1034" s="16">
        <v>1027</v>
      </c>
      <c r="B1034" s="10" t="s">
        <v>3094</v>
      </c>
      <c r="C1034" s="10" t="s">
        <v>2924</v>
      </c>
      <c r="D1034" s="10" t="s">
        <v>208</v>
      </c>
      <c r="E1034" s="10" t="s">
        <v>213</v>
      </c>
      <c r="F1034" s="16">
        <v>0</v>
      </c>
      <c r="G1034" s="10" t="s">
        <v>2938</v>
      </c>
    </row>
    <row r="1035" spans="1:7" ht="15" customHeight="1" x14ac:dyDescent="0.3">
      <c r="A1035" s="16">
        <v>1028</v>
      </c>
      <c r="B1035" s="10" t="s">
        <v>3095</v>
      </c>
      <c r="C1035" s="10" t="s">
        <v>2913</v>
      </c>
      <c r="D1035" s="10" t="s">
        <v>203</v>
      </c>
      <c r="E1035" s="10" t="s">
        <v>210</v>
      </c>
      <c r="F1035" s="16">
        <v>0</v>
      </c>
      <c r="G1035" s="10" t="s">
        <v>2914</v>
      </c>
    </row>
    <row r="1036" spans="1:7" ht="15" customHeight="1" x14ac:dyDescent="0.3">
      <c r="A1036" s="16">
        <v>1029</v>
      </c>
      <c r="B1036" s="10" t="s">
        <v>3095</v>
      </c>
      <c r="C1036" s="10" t="s">
        <v>2906</v>
      </c>
      <c r="D1036" s="10" t="s">
        <v>222</v>
      </c>
      <c r="E1036" s="10" t="s">
        <v>198</v>
      </c>
      <c r="F1036" s="16">
        <v>0</v>
      </c>
      <c r="G1036" s="10" t="s">
        <v>2921</v>
      </c>
    </row>
    <row r="1037" spans="1:7" ht="15" customHeight="1" x14ac:dyDescent="0.3">
      <c r="A1037" s="16">
        <v>1030</v>
      </c>
      <c r="B1037" s="10" t="s">
        <v>3095</v>
      </c>
      <c r="C1037" s="10" t="s">
        <v>2906</v>
      </c>
      <c r="D1037" s="10" t="s">
        <v>215</v>
      </c>
      <c r="E1037" s="10" t="s">
        <v>199</v>
      </c>
      <c r="F1037" s="16">
        <v>0</v>
      </c>
      <c r="G1037" s="10" t="s">
        <v>2935</v>
      </c>
    </row>
    <row r="1038" spans="1:7" ht="15" customHeight="1" x14ac:dyDescent="0.3">
      <c r="A1038" s="16">
        <v>1031</v>
      </c>
      <c r="B1038" s="10" t="s">
        <v>3095</v>
      </c>
      <c r="C1038" s="10" t="s">
        <v>2951</v>
      </c>
      <c r="D1038" s="10" t="s">
        <v>221</v>
      </c>
      <c r="E1038" s="10" t="s">
        <v>220</v>
      </c>
      <c r="F1038" s="16">
        <v>0</v>
      </c>
      <c r="G1038" s="10" t="s">
        <v>2942</v>
      </c>
    </row>
    <row r="1039" spans="1:7" ht="15" customHeight="1" x14ac:dyDescent="0.3">
      <c r="A1039" s="16">
        <v>1032</v>
      </c>
      <c r="B1039" s="10" t="s">
        <v>3095</v>
      </c>
      <c r="C1039" s="10" t="s">
        <v>2951</v>
      </c>
      <c r="D1039" s="10" t="s">
        <v>224</v>
      </c>
      <c r="E1039" s="10" t="s">
        <v>225</v>
      </c>
      <c r="F1039" s="16">
        <v>0</v>
      </c>
      <c r="G1039" s="10" t="s">
        <v>2940</v>
      </c>
    </row>
    <row r="1040" spans="1:7" ht="15" customHeight="1" x14ac:dyDescent="0.3">
      <c r="A1040" s="16">
        <v>1033</v>
      </c>
      <c r="B1040" s="10" t="s">
        <v>3095</v>
      </c>
      <c r="C1040" s="10" t="s">
        <v>2943</v>
      </c>
      <c r="D1040" s="10" t="s">
        <v>204</v>
      </c>
      <c r="E1040" s="10" t="s">
        <v>212</v>
      </c>
      <c r="F1040" s="16">
        <v>0</v>
      </c>
      <c r="G1040" s="10" t="s">
        <v>2922</v>
      </c>
    </row>
    <row r="1041" spans="1:7" ht="15" customHeight="1" x14ac:dyDescent="0.3">
      <c r="A1041" s="16">
        <v>1034</v>
      </c>
      <c r="B1041" s="10" t="s">
        <v>3095</v>
      </c>
      <c r="C1041" s="10" t="s">
        <v>2920</v>
      </c>
      <c r="D1041" s="10" t="s">
        <v>223</v>
      </c>
      <c r="E1041" s="10" t="s">
        <v>219</v>
      </c>
      <c r="F1041" s="16">
        <v>0</v>
      </c>
      <c r="G1041" s="10" t="s">
        <v>2930</v>
      </c>
    </row>
    <row r="1042" spans="1:7" ht="15" customHeight="1" x14ac:dyDescent="0.3">
      <c r="A1042" s="16">
        <v>1035</v>
      </c>
      <c r="B1042" s="10" t="s">
        <v>3096</v>
      </c>
      <c r="C1042" s="10" t="s">
        <v>2913</v>
      </c>
      <c r="D1042" s="10" t="s">
        <v>197</v>
      </c>
      <c r="E1042" s="10" t="s">
        <v>206</v>
      </c>
      <c r="F1042" s="16">
        <v>0</v>
      </c>
      <c r="G1042" s="10" t="s">
        <v>2933</v>
      </c>
    </row>
    <row r="1043" spans="1:7" ht="15" customHeight="1" x14ac:dyDescent="0.3">
      <c r="A1043" s="16">
        <v>1036</v>
      </c>
      <c r="B1043" s="10" t="s">
        <v>3096</v>
      </c>
      <c r="C1043" s="10" t="s">
        <v>2916</v>
      </c>
      <c r="D1043" s="10" t="s">
        <v>203</v>
      </c>
      <c r="E1043" s="10" t="s">
        <v>209</v>
      </c>
      <c r="F1043" s="16">
        <v>0</v>
      </c>
      <c r="G1043" s="10" t="s">
        <v>2917</v>
      </c>
    </row>
    <row r="1044" spans="1:7" ht="15" customHeight="1" x14ac:dyDescent="0.3">
      <c r="A1044" s="16">
        <v>1037</v>
      </c>
      <c r="B1044" s="10" t="s">
        <v>3096</v>
      </c>
      <c r="C1044" s="10" t="s">
        <v>2908</v>
      </c>
      <c r="D1044" s="10" t="s">
        <v>207</v>
      </c>
      <c r="E1044" s="10" t="s">
        <v>202</v>
      </c>
      <c r="F1044" s="16">
        <v>0</v>
      </c>
      <c r="G1044" s="10" t="s">
        <v>2944</v>
      </c>
    </row>
    <row r="1045" spans="1:7" ht="15" customHeight="1" x14ac:dyDescent="0.3">
      <c r="A1045" s="16">
        <v>1038</v>
      </c>
      <c r="B1045" s="10" t="s">
        <v>3096</v>
      </c>
      <c r="C1045" s="10" t="s">
        <v>2908</v>
      </c>
      <c r="D1045" s="10" t="s">
        <v>208</v>
      </c>
      <c r="E1045" s="10" t="s">
        <v>218</v>
      </c>
      <c r="F1045" s="16">
        <v>0</v>
      </c>
      <c r="G1045" s="10" t="s">
        <v>2918</v>
      </c>
    </row>
    <row r="1046" spans="1:7" ht="15" customHeight="1" x14ac:dyDescent="0.3">
      <c r="A1046" s="16">
        <v>1039</v>
      </c>
      <c r="B1046" s="10" t="s">
        <v>3096</v>
      </c>
      <c r="C1046" s="10" t="s">
        <v>2924</v>
      </c>
      <c r="D1046" s="10" t="s">
        <v>222</v>
      </c>
      <c r="E1046" s="10" t="s">
        <v>201</v>
      </c>
      <c r="F1046" s="16">
        <v>0</v>
      </c>
      <c r="G1046" s="10" t="s">
        <v>2946</v>
      </c>
    </row>
    <row r="1047" spans="1:7" ht="15" customHeight="1" x14ac:dyDescent="0.3">
      <c r="A1047" s="16">
        <v>1040</v>
      </c>
      <c r="B1047" s="10" t="s">
        <v>3096</v>
      </c>
      <c r="C1047" s="10" t="s">
        <v>2924</v>
      </c>
      <c r="D1047" s="10" t="s">
        <v>200</v>
      </c>
      <c r="E1047" s="10" t="s">
        <v>211</v>
      </c>
      <c r="F1047" s="16">
        <v>0</v>
      </c>
      <c r="G1047" s="10" t="s">
        <v>2925</v>
      </c>
    </row>
    <row r="1048" spans="1:7" ht="15" customHeight="1" x14ac:dyDescent="0.3">
      <c r="A1048" s="16">
        <v>1041</v>
      </c>
      <c r="B1048" s="10" t="s">
        <v>3096</v>
      </c>
      <c r="C1048" s="10" t="s">
        <v>2924</v>
      </c>
      <c r="D1048" s="10" t="s">
        <v>226</v>
      </c>
      <c r="E1048" s="10" t="s">
        <v>213</v>
      </c>
      <c r="F1048" s="16">
        <v>0</v>
      </c>
      <c r="G1048" s="10" t="s">
        <v>2938</v>
      </c>
    </row>
    <row r="1049" spans="1:7" ht="15" customHeight="1" x14ac:dyDescent="0.3">
      <c r="A1049" s="16">
        <v>1042</v>
      </c>
      <c r="B1049" s="10" t="s">
        <v>3096</v>
      </c>
      <c r="C1049" s="10" t="s">
        <v>2910</v>
      </c>
      <c r="D1049" s="10" t="s">
        <v>205</v>
      </c>
      <c r="E1049" s="10" t="s">
        <v>214</v>
      </c>
      <c r="F1049" s="16">
        <v>0</v>
      </c>
      <c r="G1049" s="10" t="s">
        <v>2952</v>
      </c>
    </row>
    <row r="1050" spans="1:7" ht="15" customHeight="1" x14ac:dyDescent="0.3">
      <c r="A1050" s="16">
        <v>1043</v>
      </c>
      <c r="B1050" s="10" t="s">
        <v>3097</v>
      </c>
      <c r="C1050" s="10" t="s">
        <v>2913</v>
      </c>
      <c r="D1050" s="10" t="s">
        <v>224</v>
      </c>
      <c r="E1050" s="10" t="s">
        <v>221</v>
      </c>
      <c r="F1050" s="16">
        <v>0</v>
      </c>
      <c r="G1050" s="10" t="s">
        <v>2915</v>
      </c>
    </row>
    <row r="1051" spans="1:7" ht="15" customHeight="1" x14ac:dyDescent="0.3">
      <c r="A1051" s="16">
        <v>1044</v>
      </c>
      <c r="B1051" s="10" t="s">
        <v>3097</v>
      </c>
      <c r="C1051" s="10" t="s">
        <v>2955</v>
      </c>
      <c r="D1051" s="10" t="s">
        <v>217</v>
      </c>
      <c r="E1051" s="10" t="s">
        <v>220</v>
      </c>
      <c r="F1051" s="16">
        <v>0</v>
      </c>
      <c r="G1051" s="10" t="s">
        <v>2942</v>
      </c>
    </row>
    <row r="1052" spans="1:7" ht="15" customHeight="1" x14ac:dyDescent="0.3">
      <c r="A1052" s="16">
        <v>1045</v>
      </c>
      <c r="B1052" s="10" t="s">
        <v>3097</v>
      </c>
      <c r="C1052" s="10" t="s">
        <v>2920</v>
      </c>
      <c r="D1052" s="10" t="s">
        <v>199</v>
      </c>
      <c r="E1052" s="10" t="s">
        <v>198</v>
      </c>
      <c r="F1052" s="16">
        <v>0</v>
      </c>
      <c r="G1052" s="10" t="s">
        <v>2921</v>
      </c>
    </row>
    <row r="1053" spans="1:7" ht="15" customHeight="1" x14ac:dyDescent="0.3">
      <c r="A1053" s="16">
        <v>1046</v>
      </c>
      <c r="B1053" s="10" t="s">
        <v>3097</v>
      </c>
      <c r="C1053" s="10" t="s">
        <v>2920</v>
      </c>
      <c r="D1053" s="10" t="s">
        <v>215</v>
      </c>
      <c r="E1053" s="10" t="s">
        <v>216</v>
      </c>
      <c r="F1053" s="16">
        <v>0</v>
      </c>
      <c r="G1053" s="10" t="s">
        <v>2909</v>
      </c>
    </row>
    <row r="1054" spans="1:7" ht="15" customHeight="1" x14ac:dyDescent="0.3">
      <c r="A1054" s="16">
        <v>1047</v>
      </c>
      <c r="B1054" s="10" t="s">
        <v>3097</v>
      </c>
      <c r="C1054" s="10" t="s">
        <v>2924</v>
      </c>
      <c r="D1054" s="10" t="s">
        <v>210</v>
      </c>
      <c r="E1054" s="10" t="s">
        <v>212</v>
      </c>
      <c r="F1054" s="16">
        <v>0</v>
      </c>
      <c r="G1054" s="10" t="s">
        <v>2922</v>
      </c>
    </row>
    <row r="1055" spans="1:7" ht="15" customHeight="1" x14ac:dyDescent="0.3">
      <c r="A1055" s="16">
        <v>1048</v>
      </c>
      <c r="B1055" s="10" t="s">
        <v>3097</v>
      </c>
      <c r="C1055" s="10" t="s">
        <v>2948</v>
      </c>
      <c r="D1055" s="10" t="s">
        <v>219</v>
      </c>
      <c r="E1055" s="10" t="s">
        <v>225</v>
      </c>
      <c r="F1055" s="16">
        <v>0</v>
      </c>
      <c r="G1055" s="10" t="s">
        <v>2940</v>
      </c>
    </row>
    <row r="1056" spans="1:7" ht="15" customHeight="1" x14ac:dyDescent="0.3">
      <c r="A1056" s="16">
        <v>1049</v>
      </c>
      <c r="B1056" s="10" t="s">
        <v>3098</v>
      </c>
      <c r="C1056" s="10" t="s">
        <v>2913</v>
      </c>
      <c r="D1056" s="10" t="s">
        <v>219</v>
      </c>
      <c r="E1056" s="10" t="s">
        <v>206</v>
      </c>
      <c r="F1056" s="16">
        <v>0</v>
      </c>
      <c r="G1056" s="10" t="s">
        <v>2933</v>
      </c>
    </row>
    <row r="1057" spans="1:7" ht="15" customHeight="1" x14ac:dyDescent="0.3">
      <c r="A1057" s="16">
        <v>1050</v>
      </c>
      <c r="B1057" s="10" t="s">
        <v>3098</v>
      </c>
      <c r="C1057" s="10" t="s">
        <v>2913</v>
      </c>
      <c r="D1057" s="10" t="s">
        <v>217</v>
      </c>
      <c r="E1057" s="10" t="s">
        <v>220</v>
      </c>
      <c r="F1057" s="16">
        <v>0</v>
      </c>
      <c r="G1057" s="10" t="s">
        <v>2942</v>
      </c>
    </row>
    <row r="1058" spans="1:7" ht="15" customHeight="1" x14ac:dyDescent="0.3">
      <c r="A1058" s="16">
        <v>1051</v>
      </c>
      <c r="B1058" s="10" t="s">
        <v>3098</v>
      </c>
      <c r="C1058" s="10" t="s">
        <v>2913</v>
      </c>
      <c r="D1058" s="10" t="s">
        <v>197</v>
      </c>
      <c r="E1058" s="10" t="s">
        <v>222</v>
      </c>
      <c r="F1058" s="16">
        <v>0</v>
      </c>
      <c r="G1058" s="10" t="s">
        <v>2934</v>
      </c>
    </row>
    <row r="1059" spans="1:7" ht="15" customHeight="1" x14ac:dyDescent="0.3">
      <c r="A1059" s="16">
        <v>1052</v>
      </c>
      <c r="B1059" s="10" t="s">
        <v>3098</v>
      </c>
      <c r="C1059" s="10" t="s">
        <v>2916</v>
      </c>
      <c r="D1059" s="10" t="s">
        <v>213</v>
      </c>
      <c r="E1059" s="10" t="s">
        <v>209</v>
      </c>
      <c r="F1059" s="16">
        <v>0</v>
      </c>
      <c r="G1059" s="10" t="s">
        <v>2917</v>
      </c>
    </row>
    <row r="1060" spans="1:7" ht="15" customHeight="1" x14ac:dyDescent="0.3">
      <c r="A1060" s="16">
        <v>1053</v>
      </c>
      <c r="B1060" s="10" t="s">
        <v>3098</v>
      </c>
      <c r="C1060" s="10" t="s">
        <v>2908</v>
      </c>
      <c r="D1060" s="10" t="s">
        <v>205</v>
      </c>
      <c r="E1060" s="10" t="s">
        <v>200</v>
      </c>
      <c r="F1060" s="16">
        <v>0</v>
      </c>
      <c r="G1060" s="10" t="s">
        <v>2936</v>
      </c>
    </row>
    <row r="1061" spans="1:7" ht="15" customHeight="1" x14ac:dyDescent="0.3">
      <c r="A1061" s="16">
        <v>1054</v>
      </c>
      <c r="B1061" s="10" t="s">
        <v>3098</v>
      </c>
      <c r="C1061" s="10" t="s">
        <v>2908</v>
      </c>
      <c r="D1061" s="10" t="s">
        <v>211</v>
      </c>
      <c r="E1061" s="10" t="s">
        <v>208</v>
      </c>
      <c r="F1061" s="16">
        <v>0</v>
      </c>
      <c r="G1061" s="10" t="s">
        <v>2937</v>
      </c>
    </row>
    <row r="1062" spans="1:7" ht="15" customHeight="1" x14ac:dyDescent="0.3">
      <c r="A1062" s="16">
        <v>1055</v>
      </c>
      <c r="B1062" s="10" t="s">
        <v>3098</v>
      </c>
      <c r="C1062" s="10" t="s">
        <v>2908</v>
      </c>
      <c r="D1062" s="10" t="s">
        <v>204</v>
      </c>
      <c r="E1062" s="10" t="s">
        <v>226</v>
      </c>
      <c r="F1062" s="16">
        <v>0</v>
      </c>
      <c r="G1062" s="10" t="s">
        <v>2919</v>
      </c>
    </row>
    <row r="1063" spans="1:7" ht="15" customHeight="1" x14ac:dyDescent="0.3">
      <c r="A1063" s="16">
        <v>1056</v>
      </c>
      <c r="B1063" s="10" t="s">
        <v>3098</v>
      </c>
      <c r="C1063" s="10" t="s">
        <v>2920</v>
      </c>
      <c r="D1063" s="10" t="s">
        <v>223</v>
      </c>
      <c r="E1063" s="10" t="s">
        <v>199</v>
      </c>
      <c r="F1063" s="16">
        <v>0</v>
      </c>
      <c r="G1063" s="10" t="s">
        <v>2935</v>
      </c>
    </row>
    <row r="1064" spans="1:7" ht="15" customHeight="1" x14ac:dyDescent="0.3">
      <c r="A1064" s="16">
        <v>1057</v>
      </c>
      <c r="B1064" s="10" t="s">
        <v>3098</v>
      </c>
      <c r="C1064" s="10" t="s">
        <v>2920</v>
      </c>
      <c r="D1064" s="10" t="s">
        <v>207</v>
      </c>
      <c r="E1064" s="10" t="s">
        <v>216</v>
      </c>
      <c r="F1064" s="16">
        <v>0</v>
      </c>
      <c r="G1064" s="10" t="s">
        <v>2909</v>
      </c>
    </row>
    <row r="1065" spans="1:7" ht="15" customHeight="1" x14ac:dyDescent="0.3">
      <c r="A1065" s="16">
        <v>1058</v>
      </c>
      <c r="B1065" s="10" t="s">
        <v>3098</v>
      </c>
      <c r="C1065" s="10" t="s">
        <v>2924</v>
      </c>
      <c r="D1065" s="10" t="s">
        <v>218</v>
      </c>
      <c r="E1065" s="10" t="s">
        <v>201</v>
      </c>
      <c r="F1065" s="16">
        <v>0</v>
      </c>
      <c r="G1065" s="10" t="s">
        <v>2946</v>
      </c>
    </row>
    <row r="1066" spans="1:7" ht="15" customHeight="1" x14ac:dyDescent="0.3">
      <c r="A1066" s="16">
        <v>1059</v>
      </c>
      <c r="B1066" s="10" t="s">
        <v>3098</v>
      </c>
      <c r="C1066" s="10" t="s">
        <v>2924</v>
      </c>
      <c r="D1066" s="10" t="s">
        <v>203</v>
      </c>
      <c r="E1066" s="10" t="s">
        <v>214</v>
      </c>
      <c r="F1066" s="16">
        <v>0</v>
      </c>
      <c r="G1066" s="10" t="s">
        <v>2952</v>
      </c>
    </row>
    <row r="1067" spans="1:7" ht="15" customHeight="1" x14ac:dyDescent="0.3">
      <c r="A1067" s="16">
        <v>1060</v>
      </c>
      <c r="B1067" s="10" t="s">
        <v>3099</v>
      </c>
      <c r="C1067" s="10" t="s">
        <v>2913</v>
      </c>
      <c r="D1067" s="10" t="s">
        <v>224</v>
      </c>
      <c r="E1067" s="10" t="s">
        <v>206</v>
      </c>
      <c r="F1067" s="16">
        <v>0</v>
      </c>
      <c r="G1067" s="10" t="s">
        <v>2933</v>
      </c>
    </row>
    <row r="1068" spans="1:7" ht="15" customHeight="1" x14ac:dyDescent="0.3">
      <c r="A1068" s="16">
        <v>1061</v>
      </c>
      <c r="B1068" s="10" t="s">
        <v>3099</v>
      </c>
      <c r="C1068" s="10" t="s">
        <v>2908</v>
      </c>
      <c r="D1068" s="10" t="s">
        <v>210</v>
      </c>
      <c r="E1068" s="10" t="s">
        <v>202</v>
      </c>
      <c r="F1068" s="16">
        <v>0</v>
      </c>
      <c r="G1068" s="10" t="s">
        <v>2944</v>
      </c>
    </row>
    <row r="1069" spans="1:7" ht="15" customHeight="1" x14ac:dyDescent="0.3">
      <c r="A1069" s="16">
        <v>1062</v>
      </c>
      <c r="B1069" s="10" t="s">
        <v>3099</v>
      </c>
      <c r="C1069" s="10" t="s">
        <v>2908</v>
      </c>
      <c r="D1069" s="10" t="s">
        <v>207</v>
      </c>
      <c r="E1069" s="10" t="s">
        <v>205</v>
      </c>
      <c r="F1069" s="16">
        <v>0</v>
      </c>
      <c r="G1069" s="10" t="s">
        <v>2907</v>
      </c>
    </row>
    <row r="1070" spans="1:7" ht="15" customHeight="1" x14ac:dyDescent="0.3">
      <c r="A1070" s="16">
        <v>1063</v>
      </c>
      <c r="B1070" s="10" t="s">
        <v>3099</v>
      </c>
      <c r="C1070" s="10" t="s">
        <v>2908</v>
      </c>
      <c r="D1070" s="10" t="s">
        <v>223</v>
      </c>
      <c r="E1070" s="10" t="s">
        <v>208</v>
      </c>
      <c r="F1070" s="16">
        <v>0</v>
      </c>
      <c r="G1070" s="10" t="s">
        <v>2937</v>
      </c>
    </row>
    <row r="1071" spans="1:7" ht="15" customHeight="1" x14ac:dyDescent="0.3">
      <c r="A1071" s="16">
        <v>1064</v>
      </c>
      <c r="B1071" s="10" t="s">
        <v>3099</v>
      </c>
      <c r="C1071" s="10" t="s">
        <v>2920</v>
      </c>
      <c r="D1071" s="10" t="s">
        <v>204</v>
      </c>
      <c r="E1071" s="10" t="s">
        <v>198</v>
      </c>
      <c r="F1071" s="16">
        <v>0</v>
      </c>
      <c r="G1071" s="10" t="s">
        <v>2921</v>
      </c>
    </row>
    <row r="1072" spans="1:7" ht="15" customHeight="1" x14ac:dyDescent="0.3">
      <c r="A1072" s="16">
        <v>1065</v>
      </c>
      <c r="B1072" s="10" t="s">
        <v>3099</v>
      </c>
      <c r="C1072" s="10" t="s">
        <v>2920</v>
      </c>
      <c r="D1072" s="10" t="s">
        <v>225</v>
      </c>
      <c r="E1072" s="10" t="s">
        <v>212</v>
      </c>
      <c r="F1072" s="16">
        <v>0</v>
      </c>
      <c r="G1072" s="10" t="s">
        <v>2922</v>
      </c>
    </row>
    <row r="1073" spans="1:7" ht="15" customHeight="1" x14ac:dyDescent="0.3">
      <c r="A1073" s="16">
        <v>1066</v>
      </c>
      <c r="B1073" s="10" t="s">
        <v>3099</v>
      </c>
      <c r="C1073" s="10" t="s">
        <v>2924</v>
      </c>
      <c r="D1073" s="10" t="s">
        <v>201</v>
      </c>
      <c r="E1073" s="10" t="s">
        <v>211</v>
      </c>
      <c r="F1073" s="16">
        <v>0</v>
      </c>
      <c r="G1073" s="10" t="s">
        <v>2925</v>
      </c>
    </row>
    <row r="1074" spans="1:7" ht="15" customHeight="1" x14ac:dyDescent="0.3">
      <c r="A1074" s="16">
        <v>1067</v>
      </c>
      <c r="B1074" s="10" t="s">
        <v>3100</v>
      </c>
      <c r="C1074" s="10" t="s">
        <v>2913</v>
      </c>
      <c r="D1074" s="10" t="s">
        <v>213</v>
      </c>
      <c r="E1074" s="10" t="s">
        <v>220</v>
      </c>
      <c r="F1074" s="16">
        <v>0</v>
      </c>
      <c r="G1074" s="10" t="s">
        <v>2942</v>
      </c>
    </row>
    <row r="1075" spans="1:7" ht="15" customHeight="1" x14ac:dyDescent="0.3">
      <c r="A1075" s="16">
        <v>1068</v>
      </c>
      <c r="B1075" s="10" t="s">
        <v>3100</v>
      </c>
      <c r="C1075" s="10" t="s">
        <v>2913</v>
      </c>
      <c r="D1075" s="10" t="s">
        <v>219</v>
      </c>
      <c r="E1075" s="10" t="s">
        <v>221</v>
      </c>
      <c r="F1075" s="16">
        <v>0</v>
      </c>
      <c r="G1075" s="10" t="s">
        <v>2915</v>
      </c>
    </row>
    <row r="1076" spans="1:7" ht="15" customHeight="1" x14ac:dyDescent="0.3">
      <c r="A1076" s="16">
        <v>1069</v>
      </c>
      <c r="B1076" s="10" t="s">
        <v>3100</v>
      </c>
      <c r="C1076" s="10" t="s">
        <v>2908</v>
      </c>
      <c r="D1076" s="10" t="s">
        <v>216</v>
      </c>
      <c r="E1076" s="10" t="s">
        <v>200</v>
      </c>
      <c r="F1076" s="16">
        <v>0</v>
      </c>
      <c r="G1076" s="10" t="s">
        <v>2936</v>
      </c>
    </row>
    <row r="1077" spans="1:7" ht="15" customHeight="1" x14ac:dyDescent="0.3">
      <c r="A1077" s="16">
        <v>1070</v>
      </c>
      <c r="B1077" s="10" t="s">
        <v>3100</v>
      </c>
      <c r="C1077" s="10" t="s">
        <v>2924</v>
      </c>
      <c r="D1077" s="10" t="s">
        <v>215</v>
      </c>
      <c r="E1077" s="10" t="s">
        <v>203</v>
      </c>
      <c r="F1077" s="16">
        <v>0</v>
      </c>
      <c r="G1077" s="10" t="s">
        <v>2947</v>
      </c>
    </row>
    <row r="1078" spans="1:7" ht="15" customHeight="1" x14ac:dyDescent="0.3">
      <c r="A1078" s="16">
        <v>1071</v>
      </c>
      <c r="B1078" s="10" t="s">
        <v>3100</v>
      </c>
      <c r="C1078" s="10" t="s">
        <v>2924</v>
      </c>
      <c r="D1078" s="10" t="s">
        <v>218</v>
      </c>
      <c r="E1078" s="10" t="s">
        <v>214</v>
      </c>
      <c r="F1078" s="16">
        <v>0</v>
      </c>
      <c r="G1078" s="10" t="s">
        <v>2952</v>
      </c>
    </row>
    <row r="1079" spans="1:7" ht="15" customHeight="1" x14ac:dyDescent="0.3">
      <c r="A1079" s="16">
        <v>1072</v>
      </c>
      <c r="B1079" s="10" t="s">
        <v>3100</v>
      </c>
      <c r="C1079" s="10" t="s">
        <v>2924</v>
      </c>
      <c r="D1079" s="10" t="s">
        <v>209</v>
      </c>
      <c r="E1079" s="10" t="s">
        <v>217</v>
      </c>
      <c r="F1079" s="16">
        <v>0</v>
      </c>
      <c r="G1079" s="10" t="s">
        <v>2931</v>
      </c>
    </row>
    <row r="1080" spans="1:7" ht="15" customHeight="1" x14ac:dyDescent="0.3">
      <c r="A1080" s="16">
        <v>1073</v>
      </c>
      <c r="B1080" s="10" t="s">
        <v>3101</v>
      </c>
      <c r="C1080" s="10" t="s">
        <v>2913</v>
      </c>
      <c r="D1080" s="10" t="s">
        <v>213</v>
      </c>
      <c r="E1080" s="10" t="s">
        <v>221</v>
      </c>
      <c r="F1080" s="16">
        <v>0</v>
      </c>
      <c r="G1080" s="10" t="s">
        <v>2915</v>
      </c>
    </row>
    <row r="1081" spans="1:7" ht="15" customHeight="1" x14ac:dyDescent="0.3">
      <c r="A1081" s="16">
        <v>1074</v>
      </c>
      <c r="B1081" s="10" t="s">
        <v>3101</v>
      </c>
      <c r="C1081" s="10" t="s">
        <v>2913</v>
      </c>
      <c r="D1081" s="10" t="s">
        <v>224</v>
      </c>
      <c r="E1081" s="10" t="s">
        <v>222</v>
      </c>
      <c r="F1081" s="16">
        <v>0</v>
      </c>
      <c r="G1081" s="10" t="s">
        <v>2934</v>
      </c>
    </row>
    <row r="1082" spans="1:7" ht="15" customHeight="1" x14ac:dyDescent="0.3">
      <c r="A1082" s="16">
        <v>1075</v>
      </c>
      <c r="B1082" s="10" t="s">
        <v>3101</v>
      </c>
      <c r="C1082" s="10" t="s">
        <v>2906</v>
      </c>
      <c r="D1082" s="10" t="s">
        <v>223</v>
      </c>
      <c r="E1082" s="10" t="s">
        <v>205</v>
      </c>
      <c r="F1082" s="16">
        <v>0</v>
      </c>
      <c r="G1082" s="10" t="s">
        <v>2907</v>
      </c>
    </row>
    <row r="1083" spans="1:7" ht="15" customHeight="1" x14ac:dyDescent="0.3">
      <c r="A1083" s="16">
        <v>1076</v>
      </c>
      <c r="B1083" s="10" t="s">
        <v>3101</v>
      </c>
      <c r="C1083" s="10" t="s">
        <v>2908</v>
      </c>
      <c r="D1083" s="10" t="s">
        <v>225</v>
      </c>
      <c r="E1083" s="10" t="s">
        <v>197</v>
      </c>
      <c r="F1083" s="16">
        <v>0</v>
      </c>
      <c r="G1083" s="10" t="s">
        <v>2945</v>
      </c>
    </row>
    <row r="1084" spans="1:7" ht="15" customHeight="1" x14ac:dyDescent="0.3">
      <c r="A1084" s="16">
        <v>1077</v>
      </c>
      <c r="B1084" s="10" t="s">
        <v>3101</v>
      </c>
      <c r="C1084" s="10" t="s">
        <v>2908</v>
      </c>
      <c r="D1084" s="10" t="s">
        <v>206</v>
      </c>
      <c r="E1084" s="10" t="s">
        <v>226</v>
      </c>
      <c r="F1084" s="16">
        <v>0</v>
      </c>
      <c r="G1084" s="10" t="s">
        <v>2919</v>
      </c>
    </row>
    <row r="1085" spans="1:7" ht="15" customHeight="1" x14ac:dyDescent="0.3">
      <c r="A1085" s="16">
        <v>1078</v>
      </c>
      <c r="B1085" s="10" t="s">
        <v>3101</v>
      </c>
      <c r="C1085" s="10" t="s">
        <v>2924</v>
      </c>
      <c r="D1085" s="10" t="s">
        <v>209</v>
      </c>
      <c r="E1085" s="10" t="s">
        <v>201</v>
      </c>
      <c r="F1085" s="16">
        <v>0</v>
      </c>
      <c r="G1085" s="10" t="s">
        <v>2946</v>
      </c>
    </row>
    <row r="1086" spans="1:7" ht="15" customHeight="1" x14ac:dyDescent="0.3">
      <c r="A1086" s="16">
        <v>1079</v>
      </c>
      <c r="B1086" s="10" t="s">
        <v>3101</v>
      </c>
      <c r="C1086" s="10" t="s">
        <v>2924</v>
      </c>
      <c r="D1086" s="10" t="s">
        <v>199</v>
      </c>
      <c r="E1086" s="10" t="s">
        <v>212</v>
      </c>
      <c r="F1086" s="16">
        <v>0</v>
      </c>
      <c r="G1086" s="10" t="s">
        <v>2922</v>
      </c>
    </row>
    <row r="1087" spans="1:7" ht="15" customHeight="1" x14ac:dyDescent="0.3">
      <c r="A1087" s="16">
        <v>1080</v>
      </c>
      <c r="B1087" s="10" t="s">
        <v>3102</v>
      </c>
      <c r="C1087" s="10" t="s">
        <v>2913</v>
      </c>
      <c r="D1087" s="10" t="s">
        <v>219</v>
      </c>
      <c r="E1087" s="10" t="s">
        <v>204</v>
      </c>
      <c r="F1087" s="16">
        <v>0</v>
      </c>
      <c r="G1087" s="10" t="s">
        <v>2949</v>
      </c>
    </row>
    <row r="1088" spans="1:7" ht="15" customHeight="1" x14ac:dyDescent="0.3">
      <c r="A1088" s="16">
        <v>1081</v>
      </c>
      <c r="B1088" s="10" t="s">
        <v>3102</v>
      </c>
      <c r="C1088" s="10" t="s">
        <v>3036</v>
      </c>
      <c r="D1088" s="10" t="s">
        <v>216</v>
      </c>
      <c r="E1088" s="10" t="s">
        <v>218</v>
      </c>
      <c r="F1088" s="16">
        <v>0</v>
      </c>
      <c r="G1088" s="10" t="s">
        <v>2918</v>
      </c>
    </row>
    <row r="1089" spans="1:7" ht="15" customHeight="1" x14ac:dyDescent="0.3">
      <c r="A1089" s="16">
        <v>1082</v>
      </c>
      <c r="B1089" s="10" t="s">
        <v>3102</v>
      </c>
      <c r="C1089" s="10" t="s">
        <v>2906</v>
      </c>
      <c r="D1089" s="10" t="s">
        <v>211</v>
      </c>
      <c r="E1089" s="10" t="s">
        <v>198</v>
      </c>
      <c r="F1089" s="16">
        <v>0</v>
      </c>
      <c r="G1089" s="10" t="s">
        <v>2921</v>
      </c>
    </row>
    <row r="1090" spans="1:7" ht="15" customHeight="1" x14ac:dyDescent="0.3">
      <c r="A1090" s="16">
        <v>1083</v>
      </c>
      <c r="B1090" s="10" t="s">
        <v>3102</v>
      </c>
      <c r="C1090" s="10" t="s">
        <v>2906</v>
      </c>
      <c r="D1090" s="10" t="s">
        <v>210</v>
      </c>
      <c r="E1090" s="10" t="s">
        <v>207</v>
      </c>
      <c r="F1090" s="16">
        <v>0</v>
      </c>
      <c r="G1090" s="10" t="s">
        <v>2928</v>
      </c>
    </row>
    <row r="1091" spans="1:7" ht="15" customHeight="1" x14ac:dyDescent="0.3">
      <c r="A1091" s="16">
        <v>1084</v>
      </c>
      <c r="B1091" s="10" t="s">
        <v>3102</v>
      </c>
      <c r="C1091" s="10" t="s">
        <v>2943</v>
      </c>
      <c r="D1091" s="10" t="s">
        <v>225</v>
      </c>
      <c r="E1091" s="10" t="s">
        <v>200</v>
      </c>
      <c r="F1091" s="16">
        <v>0</v>
      </c>
      <c r="G1091" s="10" t="s">
        <v>2936</v>
      </c>
    </row>
    <row r="1092" spans="1:7" ht="15" customHeight="1" x14ac:dyDescent="0.3">
      <c r="A1092" s="16">
        <v>1085</v>
      </c>
      <c r="B1092" s="10" t="s">
        <v>3102</v>
      </c>
      <c r="C1092" s="10" t="s">
        <v>2943</v>
      </c>
      <c r="D1092" s="10" t="s">
        <v>203</v>
      </c>
      <c r="E1092" s="10" t="s">
        <v>226</v>
      </c>
      <c r="F1092" s="16">
        <v>0</v>
      </c>
      <c r="G1092" s="10" t="s">
        <v>2919</v>
      </c>
    </row>
    <row r="1093" spans="1:7" ht="15" customHeight="1" x14ac:dyDescent="0.3">
      <c r="A1093" s="16">
        <v>1086</v>
      </c>
      <c r="B1093" s="10" t="s">
        <v>3102</v>
      </c>
      <c r="C1093" s="10" t="s">
        <v>2908</v>
      </c>
      <c r="D1093" s="10" t="s">
        <v>199</v>
      </c>
      <c r="E1093" s="10" t="s">
        <v>215</v>
      </c>
      <c r="F1093" s="16">
        <v>0</v>
      </c>
      <c r="G1093" s="10" t="s">
        <v>2926</v>
      </c>
    </row>
    <row r="1094" spans="1:7" ht="15" customHeight="1" x14ac:dyDescent="0.3">
      <c r="A1094" s="16">
        <v>1087</v>
      </c>
      <c r="B1094" s="10" t="s">
        <v>3102</v>
      </c>
      <c r="C1094" s="10" t="s">
        <v>2920</v>
      </c>
      <c r="D1094" s="10" t="s">
        <v>217</v>
      </c>
      <c r="E1094" s="10" t="s">
        <v>214</v>
      </c>
      <c r="F1094" s="16">
        <v>0</v>
      </c>
      <c r="G1094" s="10" t="s">
        <v>2952</v>
      </c>
    </row>
    <row r="1095" spans="1:7" ht="15" customHeight="1" x14ac:dyDescent="0.3">
      <c r="A1095" s="16">
        <v>1088</v>
      </c>
      <c r="B1095" s="10" t="s">
        <v>3102</v>
      </c>
      <c r="C1095" s="10" t="s">
        <v>2948</v>
      </c>
      <c r="D1095" s="10" t="s">
        <v>224</v>
      </c>
      <c r="E1095" s="10" t="s">
        <v>220</v>
      </c>
      <c r="F1095" s="16">
        <v>0</v>
      </c>
      <c r="G1095" s="10" t="s">
        <v>2942</v>
      </c>
    </row>
    <row r="1096" spans="1:7" ht="15" customHeight="1" x14ac:dyDescent="0.3">
      <c r="A1096" s="16">
        <v>1089</v>
      </c>
      <c r="B1096" s="10" t="s">
        <v>3103</v>
      </c>
      <c r="C1096" s="10" t="s">
        <v>2913</v>
      </c>
      <c r="D1096" s="10" t="s">
        <v>204</v>
      </c>
      <c r="E1096" s="10" t="s">
        <v>222</v>
      </c>
      <c r="F1096" s="16">
        <v>0</v>
      </c>
      <c r="G1096" s="10" t="s">
        <v>2934</v>
      </c>
    </row>
    <row r="1097" spans="1:7" ht="15" customHeight="1" x14ac:dyDescent="0.3">
      <c r="A1097" s="16">
        <v>1090</v>
      </c>
      <c r="B1097" s="10" t="s">
        <v>3103</v>
      </c>
      <c r="C1097" s="10" t="s">
        <v>2908</v>
      </c>
      <c r="D1097" s="10" t="s">
        <v>214</v>
      </c>
      <c r="E1097" s="10" t="s">
        <v>197</v>
      </c>
      <c r="F1097" s="16">
        <v>0</v>
      </c>
      <c r="G1097" s="10" t="s">
        <v>2945</v>
      </c>
    </row>
    <row r="1098" spans="1:7" ht="15" customHeight="1" x14ac:dyDescent="0.3">
      <c r="A1098" s="16">
        <v>1091</v>
      </c>
      <c r="B1098" s="10" t="s">
        <v>3103</v>
      </c>
      <c r="C1098" s="10" t="s">
        <v>2908</v>
      </c>
      <c r="D1098" s="10" t="s">
        <v>212</v>
      </c>
      <c r="E1098" s="10" t="s">
        <v>202</v>
      </c>
      <c r="F1098" s="16">
        <v>0</v>
      </c>
      <c r="G1098" s="10" t="s">
        <v>2944</v>
      </c>
    </row>
    <row r="1099" spans="1:7" ht="15" customHeight="1" x14ac:dyDescent="0.3">
      <c r="A1099" s="16">
        <v>1092</v>
      </c>
      <c r="B1099" s="10" t="s">
        <v>3103</v>
      </c>
      <c r="C1099" s="10" t="s">
        <v>2908</v>
      </c>
      <c r="D1099" s="10" t="s">
        <v>209</v>
      </c>
      <c r="E1099" s="10" t="s">
        <v>205</v>
      </c>
      <c r="F1099" s="16">
        <v>0</v>
      </c>
      <c r="G1099" s="10" t="s">
        <v>2907</v>
      </c>
    </row>
    <row r="1100" spans="1:7" ht="15" customHeight="1" x14ac:dyDescent="0.3">
      <c r="A1100" s="16">
        <v>1093</v>
      </c>
      <c r="B1100" s="10" t="s">
        <v>3103</v>
      </c>
      <c r="C1100" s="10" t="s">
        <v>2920</v>
      </c>
      <c r="D1100" s="10" t="s">
        <v>206</v>
      </c>
      <c r="E1100" s="10" t="s">
        <v>198</v>
      </c>
      <c r="F1100" s="16">
        <v>0</v>
      </c>
      <c r="G1100" s="10" t="s">
        <v>2921</v>
      </c>
    </row>
    <row r="1101" spans="1:7" ht="15" customHeight="1" x14ac:dyDescent="0.3">
      <c r="A1101" s="16">
        <v>1094</v>
      </c>
      <c r="B1101" s="10" t="s">
        <v>3103</v>
      </c>
      <c r="C1101" s="10" t="s">
        <v>2924</v>
      </c>
      <c r="D1101" s="10" t="s">
        <v>208</v>
      </c>
      <c r="E1101" s="10" t="s">
        <v>201</v>
      </c>
      <c r="F1101" s="16">
        <v>0</v>
      </c>
      <c r="G1101" s="10" t="s">
        <v>2946</v>
      </c>
    </row>
    <row r="1102" spans="1:7" ht="15" customHeight="1" x14ac:dyDescent="0.3">
      <c r="A1102" s="16">
        <v>1095</v>
      </c>
      <c r="B1102" s="10" t="s">
        <v>3103</v>
      </c>
      <c r="C1102" s="10" t="s">
        <v>2924</v>
      </c>
      <c r="D1102" s="10" t="s">
        <v>203</v>
      </c>
      <c r="E1102" s="10" t="s">
        <v>213</v>
      </c>
      <c r="F1102" s="16">
        <v>0</v>
      </c>
      <c r="G1102" s="10" t="s">
        <v>2938</v>
      </c>
    </row>
    <row r="1103" spans="1:7" ht="15" customHeight="1" x14ac:dyDescent="0.3">
      <c r="A1103" s="16">
        <v>1096</v>
      </c>
      <c r="B1103" s="10" t="s">
        <v>3103</v>
      </c>
      <c r="C1103" s="10" t="s">
        <v>2910</v>
      </c>
      <c r="D1103" s="10" t="s">
        <v>220</v>
      </c>
      <c r="E1103" s="10" t="s">
        <v>223</v>
      </c>
      <c r="F1103" s="16">
        <v>0</v>
      </c>
      <c r="G1103" s="10" t="s">
        <v>2911</v>
      </c>
    </row>
    <row r="1104" spans="1:7" ht="15" customHeight="1" x14ac:dyDescent="0.3">
      <c r="A1104" s="16">
        <v>1097</v>
      </c>
      <c r="B1104" s="10" t="s">
        <v>3104</v>
      </c>
      <c r="C1104" s="10" t="s">
        <v>2955</v>
      </c>
      <c r="D1104" s="10" t="s">
        <v>207</v>
      </c>
      <c r="E1104" s="10" t="s">
        <v>221</v>
      </c>
      <c r="F1104" s="16">
        <v>0</v>
      </c>
      <c r="G1104" s="10" t="s">
        <v>2915</v>
      </c>
    </row>
    <row r="1105" spans="1:7" ht="15" customHeight="1" x14ac:dyDescent="0.3">
      <c r="A1105" s="16">
        <v>1098</v>
      </c>
      <c r="B1105" s="10" t="s">
        <v>3104</v>
      </c>
      <c r="C1105" s="10" t="s">
        <v>2908</v>
      </c>
      <c r="D1105" s="10" t="s">
        <v>212</v>
      </c>
      <c r="E1105" s="10" t="s">
        <v>200</v>
      </c>
      <c r="F1105" s="16">
        <v>0</v>
      </c>
      <c r="G1105" s="10" t="s">
        <v>2936</v>
      </c>
    </row>
    <row r="1106" spans="1:7" ht="15" customHeight="1" x14ac:dyDescent="0.3">
      <c r="A1106" s="16">
        <v>1099</v>
      </c>
      <c r="B1106" s="10" t="s">
        <v>3104</v>
      </c>
      <c r="C1106" s="10" t="s">
        <v>2924</v>
      </c>
      <c r="D1106" s="10" t="s">
        <v>199</v>
      </c>
      <c r="E1106" s="10" t="s">
        <v>208</v>
      </c>
      <c r="F1106" s="16">
        <v>0</v>
      </c>
      <c r="G1106" s="10" t="s">
        <v>2937</v>
      </c>
    </row>
    <row r="1107" spans="1:7" ht="15" customHeight="1" x14ac:dyDescent="0.3">
      <c r="A1107" s="16">
        <v>1100</v>
      </c>
      <c r="B1107" s="10" t="s">
        <v>3104</v>
      </c>
      <c r="C1107" s="10" t="s">
        <v>2924</v>
      </c>
      <c r="D1107" s="10" t="s">
        <v>210</v>
      </c>
      <c r="E1107" s="10" t="s">
        <v>211</v>
      </c>
      <c r="F1107" s="16">
        <v>0</v>
      </c>
      <c r="G1107" s="10" t="s">
        <v>2925</v>
      </c>
    </row>
    <row r="1108" spans="1:7" ht="15" customHeight="1" x14ac:dyDescent="0.3">
      <c r="A1108" s="16">
        <v>1101</v>
      </c>
      <c r="B1108" s="10" t="s">
        <v>3104</v>
      </c>
      <c r="C1108" s="10" t="s">
        <v>2924</v>
      </c>
      <c r="D1108" s="10" t="s">
        <v>216</v>
      </c>
      <c r="E1108" s="10" t="s">
        <v>218</v>
      </c>
      <c r="F1108" s="16">
        <v>0</v>
      </c>
      <c r="G1108" s="10" t="s">
        <v>2918</v>
      </c>
    </row>
    <row r="1109" spans="1:7" ht="15" customHeight="1" x14ac:dyDescent="0.3">
      <c r="A1109" s="16">
        <v>1102</v>
      </c>
      <c r="B1109" s="10" t="s">
        <v>3104</v>
      </c>
      <c r="C1109" s="10" t="s">
        <v>2948</v>
      </c>
      <c r="D1109" s="10" t="s">
        <v>217</v>
      </c>
      <c r="E1109" s="10" t="s">
        <v>225</v>
      </c>
      <c r="F1109" s="16">
        <v>0</v>
      </c>
      <c r="G1109" s="10" t="s">
        <v>2940</v>
      </c>
    </row>
    <row r="1110" spans="1:7" ht="15" customHeight="1" x14ac:dyDescent="0.3">
      <c r="A1110" s="16">
        <v>1103</v>
      </c>
      <c r="B1110" s="10" t="s">
        <v>3105</v>
      </c>
      <c r="C1110" s="10" t="s">
        <v>2913</v>
      </c>
      <c r="D1110" s="10" t="s">
        <v>207</v>
      </c>
      <c r="E1110" s="10" t="s">
        <v>221</v>
      </c>
      <c r="F1110" s="16">
        <v>0</v>
      </c>
      <c r="G1110" s="10" t="s">
        <v>2915</v>
      </c>
    </row>
    <row r="1111" spans="1:7" ht="15" customHeight="1" x14ac:dyDescent="0.3">
      <c r="A1111" s="16">
        <v>1104</v>
      </c>
      <c r="B1111" s="10" t="s">
        <v>3105</v>
      </c>
      <c r="C1111" s="10" t="s">
        <v>2908</v>
      </c>
      <c r="D1111" s="10" t="s">
        <v>209</v>
      </c>
      <c r="E1111" s="10" t="s">
        <v>197</v>
      </c>
      <c r="F1111" s="16">
        <v>0</v>
      </c>
      <c r="G1111" s="10" t="s">
        <v>2945</v>
      </c>
    </row>
    <row r="1112" spans="1:7" ht="15" customHeight="1" x14ac:dyDescent="0.3">
      <c r="A1112" s="16">
        <v>1105</v>
      </c>
      <c r="B1112" s="10" t="s">
        <v>3105</v>
      </c>
      <c r="C1112" s="10" t="s">
        <v>2908</v>
      </c>
      <c r="D1112" s="10" t="s">
        <v>224</v>
      </c>
      <c r="E1112" s="10" t="s">
        <v>205</v>
      </c>
      <c r="F1112" s="16">
        <v>0</v>
      </c>
      <c r="G1112" s="10" t="s">
        <v>2907</v>
      </c>
    </row>
    <row r="1113" spans="1:7" ht="15" customHeight="1" x14ac:dyDescent="0.3">
      <c r="A1113" s="16">
        <v>1106</v>
      </c>
      <c r="B1113" s="10" t="s">
        <v>3105</v>
      </c>
      <c r="C1113" s="10" t="s">
        <v>2908</v>
      </c>
      <c r="D1113" s="10" t="s">
        <v>206</v>
      </c>
      <c r="E1113" s="10" t="s">
        <v>219</v>
      </c>
      <c r="F1113" s="16">
        <v>0</v>
      </c>
      <c r="G1113" s="10" t="s">
        <v>2930</v>
      </c>
    </row>
    <row r="1114" spans="1:7" ht="15" customHeight="1" x14ac:dyDescent="0.3">
      <c r="A1114" s="16">
        <v>1107</v>
      </c>
      <c r="B1114" s="10" t="s">
        <v>3105</v>
      </c>
      <c r="C1114" s="10" t="s">
        <v>2908</v>
      </c>
      <c r="D1114" s="10" t="s">
        <v>201</v>
      </c>
      <c r="E1114" s="10" t="s">
        <v>226</v>
      </c>
      <c r="F1114" s="16">
        <v>0</v>
      </c>
      <c r="G1114" s="10" t="s">
        <v>2919</v>
      </c>
    </row>
    <row r="1115" spans="1:7" ht="15" customHeight="1" x14ac:dyDescent="0.3">
      <c r="A1115" s="16">
        <v>1108</v>
      </c>
      <c r="B1115" s="10" t="s">
        <v>3105</v>
      </c>
      <c r="C1115" s="10" t="s">
        <v>2920</v>
      </c>
      <c r="D1115" s="10" t="s">
        <v>202</v>
      </c>
      <c r="E1115" s="10" t="s">
        <v>198</v>
      </c>
      <c r="F1115" s="16">
        <v>0</v>
      </c>
      <c r="G1115" s="10" t="s">
        <v>2921</v>
      </c>
    </row>
    <row r="1116" spans="1:7" ht="15" customHeight="1" x14ac:dyDescent="0.3">
      <c r="A1116" s="16">
        <v>1109</v>
      </c>
      <c r="B1116" s="10" t="s">
        <v>3105</v>
      </c>
      <c r="C1116" s="10" t="s">
        <v>2924</v>
      </c>
      <c r="D1116" s="10" t="s">
        <v>215</v>
      </c>
      <c r="E1116" s="10" t="s">
        <v>213</v>
      </c>
      <c r="F1116" s="16">
        <v>0</v>
      </c>
      <c r="G1116" s="10" t="s">
        <v>2938</v>
      </c>
    </row>
    <row r="1117" spans="1:7" ht="15" customHeight="1" x14ac:dyDescent="0.3">
      <c r="A1117" s="16">
        <v>1110</v>
      </c>
      <c r="B1117" s="10" t="s">
        <v>3105</v>
      </c>
      <c r="C1117" s="10" t="s">
        <v>2924</v>
      </c>
      <c r="D1117" s="10" t="s">
        <v>222</v>
      </c>
      <c r="E1117" s="10" t="s">
        <v>214</v>
      </c>
      <c r="F1117" s="16">
        <v>0</v>
      </c>
      <c r="G1117" s="10" t="s">
        <v>2952</v>
      </c>
    </row>
    <row r="1118" spans="1:7" ht="15" customHeight="1" x14ac:dyDescent="0.3">
      <c r="A1118" s="16">
        <v>1111</v>
      </c>
      <c r="B1118" s="10" t="s">
        <v>3105</v>
      </c>
      <c r="C1118" s="10" t="s">
        <v>2924</v>
      </c>
      <c r="D1118" s="10" t="s">
        <v>220</v>
      </c>
      <c r="E1118" s="10" t="s">
        <v>223</v>
      </c>
      <c r="F1118" s="16">
        <v>0</v>
      </c>
      <c r="G1118" s="10" t="s">
        <v>2911</v>
      </c>
    </row>
    <row r="1119" spans="1:7" ht="15" customHeight="1" x14ac:dyDescent="0.3">
      <c r="A1119" s="16">
        <v>1112</v>
      </c>
      <c r="B1119" s="10" t="s">
        <v>3105</v>
      </c>
      <c r="C1119" s="10" t="s">
        <v>2910</v>
      </c>
      <c r="D1119" s="10" t="s">
        <v>204</v>
      </c>
      <c r="E1119" s="10" t="s">
        <v>203</v>
      </c>
      <c r="F1119" s="16">
        <v>0</v>
      </c>
      <c r="G1119" s="10" t="s">
        <v>2947</v>
      </c>
    </row>
    <row r="1120" spans="1:7" ht="15" customHeight="1" x14ac:dyDescent="0.3">
      <c r="A1120" s="16">
        <v>1113</v>
      </c>
      <c r="B1120" s="10" t="s">
        <v>3106</v>
      </c>
      <c r="C1120" s="10" t="s">
        <v>2908</v>
      </c>
      <c r="D1120" s="10" t="s">
        <v>199</v>
      </c>
      <c r="E1120" s="10" t="s">
        <v>202</v>
      </c>
      <c r="F1120" s="16">
        <v>0</v>
      </c>
      <c r="G1120" s="10" t="s">
        <v>2944</v>
      </c>
    </row>
    <row r="1121" spans="1:7" ht="15" customHeight="1" x14ac:dyDescent="0.3">
      <c r="A1121" s="16">
        <v>1114</v>
      </c>
      <c r="B1121" s="10" t="s">
        <v>3106</v>
      </c>
      <c r="C1121" s="10" t="s">
        <v>2908</v>
      </c>
      <c r="D1121" s="10" t="s">
        <v>218</v>
      </c>
      <c r="E1121" s="10" t="s">
        <v>208</v>
      </c>
      <c r="F1121" s="16">
        <v>0</v>
      </c>
      <c r="G1121" s="10" t="s">
        <v>2937</v>
      </c>
    </row>
    <row r="1122" spans="1:7" ht="15" customHeight="1" x14ac:dyDescent="0.3">
      <c r="A1122" s="16">
        <v>1115</v>
      </c>
      <c r="B1122" s="10" t="s">
        <v>3106</v>
      </c>
      <c r="C1122" s="10" t="s">
        <v>2920</v>
      </c>
      <c r="D1122" s="10" t="s">
        <v>200</v>
      </c>
      <c r="E1122" s="10" t="s">
        <v>216</v>
      </c>
      <c r="F1122" s="16">
        <v>0</v>
      </c>
      <c r="G1122" s="10" t="s">
        <v>2909</v>
      </c>
    </row>
    <row r="1123" spans="1:7" ht="15" customHeight="1" x14ac:dyDescent="0.3">
      <c r="A1123" s="16">
        <v>1116</v>
      </c>
      <c r="B1123" s="10" t="s">
        <v>3106</v>
      </c>
      <c r="C1123" s="10" t="s">
        <v>2910</v>
      </c>
      <c r="D1123" s="10" t="s">
        <v>210</v>
      </c>
      <c r="E1123" s="10" t="s">
        <v>217</v>
      </c>
      <c r="F1123" s="16">
        <v>0</v>
      </c>
      <c r="G1123" s="10" t="s">
        <v>2931</v>
      </c>
    </row>
    <row r="1124" spans="1:7" ht="15" customHeight="1" x14ac:dyDescent="0.3">
      <c r="A1124" s="16">
        <v>1117</v>
      </c>
      <c r="B1124" s="10" t="s">
        <v>3107</v>
      </c>
      <c r="C1124" s="10" t="s">
        <v>2913</v>
      </c>
      <c r="D1124" s="10" t="s">
        <v>204</v>
      </c>
      <c r="E1124" s="10" t="s">
        <v>220</v>
      </c>
      <c r="F1124" s="16">
        <v>0</v>
      </c>
      <c r="G1124" s="10" t="s">
        <v>2942</v>
      </c>
    </row>
    <row r="1125" spans="1:7" ht="15" customHeight="1" x14ac:dyDescent="0.3">
      <c r="A1125" s="16">
        <v>1118</v>
      </c>
      <c r="B1125" s="10" t="s">
        <v>3107</v>
      </c>
      <c r="C1125" s="10" t="s">
        <v>2913</v>
      </c>
      <c r="D1125" s="10" t="s">
        <v>225</v>
      </c>
      <c r="E1125" s="10" t="s">
        <v>221</v>
      </c>
      <c r="F1125" s="16">
        <v>0</v>
      </c>
      <c r="G1125" s="10" t="s">
        <v>2915</v>
      </c>
    </row>
    <row r="1126" spans="1:7" ht="15" customHeight="1" x14ac:dyDescent="0.3">
      <c r="A1126" s="16">
        <v>1119</v>
      </c>
      <c r="B1126" s="10" t="s">
        <v>3107</v>
      </c>
      <c r="C1126" s="10" t="s">
        <v>2916</v>
      </c>
      <c r="D1126" s="10" t="s">
        <v>223</v>
      </c>
      <c r="E1126" s="10" t="s">
        <v>209</v>
      </c>
      <c r="F1126" s="16">
        <v>0</v>
      </c>
      <c r="G1126" s="10" t="s">
        <v>2917</v>
      </c>
    </row>
    <row r="1127" spans="1:7" ht="15" customHeight="1" x14ac:dyDescent="0.3">
      <c r="A1127" s="16">
        <v>1120</v>
      </c>
      <c r="B1127" s="10" t="s">
        <v>3107</v>
      </c>
      <c r="C1127" s="10" t="s">
        <v>2908</v>
      </c>
      <c r="D1127" s="10" t="s">
        <v>219</v>
      </c>
      <c r="E1127" s="10" t="s">
        <v>226</v>
      </c>
      <c r="F1127" s="16">
        <v>0</v>
      </c>
      <c r="G1127" s="10" t="s">
        <v>2919</v>
      </c>
    </row>
    <row r="1128" spans="1:7" ht="15" customHeight="1" x14ac:dyDescent="0.3">
      <c r="A1128" s="16">
        <v>1121</v>
      </c>
      <c r="B1128" s="10" t="s">
        <v>3107</v>
      </c>
      <c r="C1128" s="10" t="s">
        <v>2920</v>
      </c>
      <c r="D1128" s="10" t="s">
        <v>216</v>
      </c>
      <c r="E1128" s="10" t="s">
        <v>198</v>
      </c>
      <c r="F1128" s="16">
        <v>0</v>
      </c>
      <c r="G1128" s="10" t="s">
        <v>2921</v>
      </c>
    </row>
    <row r="1129" spans="1:7" ht="15" customHeight="1" x14ac:dyDescent="0.3">
      <c r="A1129" s="16">
        <v>1122</v>
      </c>
      <c r="B1129" s="10" t="s">
        <v>3107</v>
      </c>
      <c r="C1129" s="10" t="s">
        <v>2920</v>
      </c>
      <c r="D1129" s="10" t="s">
        <v>212</v>
      </c>
      <c r="E1129" s="10" t="s">
        <v>199</v>
      </c>
      <c r="F1129" s="16">
        <v>0</v>
      </c>
      <c r="G1129" s="10" t="s">
        <v>2935</v>
      </c>
    </row>
    <row r="1130" spans="1:7" ht="15" customHeight="1" x14ac:dyDescent="0.3">
      <c r="A1130" s="16">
        <v>1123</v>
      </c>
      <c r="B1130" s="10" t="s">
        <v>3107</v>
      </c>
      <c r="C1130" s="10" t="s">
        <v>2920</v>
      </c>
      <c r="D1130" s="10" t="s">
        <v>206</v>
      </c>
      <c r="E1130" s="10" t="s">
        <v>214</v>
      </c>
      <c r="F1130" s="16">
        <v>0</v>
      </c>
      <c r="G1130" s="10" t="s">
        <v>2952</v>
      </c>
    </row>
    <row r="1131" spans="1:7" ht="15" customHeight="1" x14ac:dyDescent="0.3">
      <c r="A1131" s="16">
        <v>1124</v>
      </c>
      <c r="B1131" s="10" t="s">
        <v>3107</v>
      </c>
      <c r="C1131" s="10" t="s">
        <v>2924</v>
      </c>
      <c r="D1131" s="10" t="s">
        <v>205</v>
      </c>
      <c r="E1131" s="10" t="s">
        <v>201</v>
      </c>
      <c r="F1131" s="16">
        <v>0</v>
      </c>
      <c r="G1131" s="10" t="s">
        <v>2946</v>
      </c>
    </row>
    <row r="1132" spans="1:7" ht="15" customHeight="1" x14ac:dyDescent="0.3">
      <c r="A1132" s="16">
        <v>1125</v>
      </c>
      <c r="B1132" s="10" t="s">
        <v>3107</v>
      </c>
      <c r="C1132" s="10" t="s">
        <v>2924</v>
      </c>
      <c r="D1132" s="10" t="s">
        <v>222</v>
      </c>
      <c r="E1132" s="10" t="s">
        <v>203</v>
      </c>
      <c r="F1132" s="16">
        <v>0</v>
      </c>
      <c r="G1132" s="10" t="s">
        <v>2947</v>
      </c>
    </row>
    <row r="1133" spans="1:7" ht="15" customHeight="1" x14ac:dyDescent="0.3">
      <c r="A1133" s="16">
        <v>1126</v>
      </c>
      <c r="B1133" s="10" t="s">
        <v>3107</v>
      </c>
      <c r="C1133" s="10" t="s">
        <v>2924</v>
      </c>
      <c r="D1133" s="10" t="s">
        <v>200</v>
      </c>
      <c r="E1133" s="10" t="s">
        <v>213</v>
      </c>
      <c r="F1133" s="16">
        <v>0</v>
      </c>
      <c r="G1133" s="10" t="s">
        <v>2938</v>
      </c>
    </row>
    <row r="1134" spans="1:7" ht="15" customHeight="1" x14ac:dyDescent="0.3">
      <c r="A1134" s="16">
        <v>1127</v>
      </c>
      <c r="B1134" s="10" t="s">
        <v>3107</v>
      </c>
      <c r="C1134" s="10" t="s">
        <v>2927</v>
      </c>
      <c r="D1134" s="10" t="s">
        <v>211</v>
      </c>
      <c r="E1134" s="10" t="s">
        <v>207</v>
      </c>
      <c r="F1134" s="16">
        <v>0</v>
      </c>
      <c r="G1134" s="10" t="s">
        <v>2928</v>
      </c>
    </row>
    <row r="1135" spans="1:7" ht="15" customHeight="1" x14ac:dyDescent="0.3">
      <c r="A1135" s="16">
        <v>1128</v>
      </c>
      <c r="B1135" s="10" t="s">
        <v>3107</v>
      </c>
      <c r="C1135" s="10" t="s">
        <v>2927</v>
      </c>
      <c r="D1135" s="10" t="s">
        <v>197</v>
      </c>
      <c r="E1135" s="10" t="s">
        <v>224</v>
      </c>
      <c r="F1135" s="16">
        <v>0</v>
      </c>
      <c r="G1135" s="10" t="s">
        <v>2923</v>
      </c>
    </row>
    <row r="1136" spans="1:7" ht="15" customHeight="1" x14ac:dyDescent="0.3">
      <c r="A1136" s="16">
        <v>1129</v>
      </c>
      <c r="B1136" s="10" t="s">
        <v>3108</v>
      </c>
      <c r="C1136" s="10" t="s">
        <v>2951</v>
      </c>
      <c r="D1136" s="10" t="s">
        <v>215</v>
      </c>
      <c r="E1136" s="10" t="s">
        <v>217</v>
      </c>
      <c r="F1136" s="16">
        <v>0</v>
      </c>
      <c r="G1136" s="10" t="s">
        <v>2931</v>
      </c>
    </row>
    <row r="1137" spans="1:7" ht="15" customHeight="1" x14ac:dyDescent="0.3">
      <c r="A1137" s="16">
        <v>1130</v>
      </c>
      <c r="B1137" s="10" t="s">
        <v>3108</v>
      </c>
      <c r="C1137" s="10" t="s">
        <v>2908</v>
      </c>
      <c r="D1137" s="10" t="s">
        <v>226</v>
      </c>
      <c r="E1137" s="10" t="s">
        <v>218</v>
      </c>
      <c r="F1137" s="16">
        <v>0</v>
      </c>
      <c r="G1137" s="10" t="s">
        <v>2918</v>
      </c>
    </row>
    <row r="1138" spans="1:7" ht="15" customHeight="1" x14ac:dyDescent="0.3">
      <c r="A1138" s="16">
        <v>1131</v>
      </c>
      <c r="B1138" s="10" t="s">
        <v>3109</v>
      </c>
      <c r="C1138" s="10" t="s">
        <v>2913</v>
      </c>
      <c r="D1138" s="10" t="s">
        <v>223</v>
      </c>
      <c r="E1138" s="10" t="s">
        <v>210</v>
      </c>
      <c r="F1138" s="16">
        <v>0</v>
      </c>
      <c r="G1138" s="10" t="s">
        <v>2914</v>
      </c>
    </row>
    <row r="1139" spans="1:7" ht="15" customHeight="1" x14ac:dyDescent="0.3">
      <c r="A1139" s="16">
        <v>1132</v>
      </c>
      <c r="B1139" s="10" t="s">
        <v>3109</v>
      </c>
      <c r="C1139" s="10" t="s">
        <v>2976</v>
      </c>
      <c r="D1139" s="10" t="s">
        <v>197</v>
      </c>
      <c r="E1139" s="10" t="s">
        <v>219</v>
      </c>
      <c r="F1139" s="16">
        <v>0</v>
      </c>
      <c r="G1139" s="10" t="s">
        <v>2930</v>
      </c>
    </row>
    <row r="1140" spans="1:7" ht="15" customHeight="1" x14ac:dyDescent="0.3">
      <c r="A1140" s="16">
        <v>1133</v>
      </c>
      <c r="B1140" s="10" t="s">
        <v>3109</v>
      </c>
      <c r="C1140" s="10" t="s">
        <v>3032</v>
      </c>
      <c r="D1140" s="10" t="s">
        <v>198</v>
      </c>
      <c r="E1140" s="10" t="s">
        <v>213</v>
      </c>
      <c r="F1140" s="16">
        <v>0</v>
      </c>
      <c r="G1140" s="10" t="s">
        <v>2938</v>
      </c>
    </row>
    <row r="1141" spans="1:7" ht="15" customHeight="1" x14ac:dyDescent="0.3">
      <c r="A1141" s="16">
        <v>1134</v>
      </c>
      <c r="B1141" s="10" t="s">
        <v>3109</v>
      </c>
      <c r="C1141" s="10" t="s">
        <v>2906</v>
      </c>
      <c r="D1141" s="10" t="s">
        <v>200</v>
      </c>
      <c r="E1141" s="10" t="s">
        <v>202</v>
      </c>
      <c r="F1141" s="16">
        <v>0</v>
      </c>
      <c r="G1141" s="10" t="s">
        <v>2944</v>
      </c>
    </row>
    <row r="1142" spans="1:7" ht="15" customHeight="1" x14ac:dyDescent="0.3">
      <c r="A1142" s="16">
        <v>1135</v>
      </c>
      <c r="B1142" s="10" t="s">
        <v>3109</v>
      </c>
      <c r="C1142" s="10" t="s">
        <v>2906</v>
      </c>
      <c r="D1142" s="10" t="s">
        <v>214</v>
      </c>
      <c r="E1142" s="10" t="s">
        <v>203</v>
      </c>
      <c r="F1142" s="16">
        <v>0</v>
      </c>
      <c r="G1142" s="10" t="s">
        <v>2947</v>
      </c>
    </row>
    <row r="1143" spans="1:7" ht="15" customHeight="1" x14ac:dyDescent="0.3">
      <c r="A1143" s="16">
        <v>1136</v>
      </c>
      <c r="B1143" s="10" t="s">
        <v>3109</v>
      </c>
      <c r="C1143" s="10" t="s">
        <v>2906</v>
      </c>
      <c r="D1143" s="10" t="s">
        <v>212</v>
      </c>
      <c r="E1143" s="10" t="s">
        <v>205</v>
      </c>
      <c r="F1143" s="16">
        <v>0</v>
      </c>
      <c r="G1143" s="10" t="s">
        <v>2907</v>
      </c>
    </row>
    <row r="1144" spans="1:7" ht="15" customHeight="1" x14ac:dyDescent="0.3">
      <c r="A1144" s="16">
        <v>1137</v>
      </c>
      <c r="B1144" s="10" t="s">
        <v>3109</v>
      </c>
      <c r="C1144" s="10" t="s">
        <v>2961</v>
      </c>
      <c r="D1144" s="10" t="s">
        <v>208</v>
      </c>
      <c r="E1144" s="10" t="s">
        <v>224</v>
      </c>
      <c r="F1144" s="16">
        <v>0</v>
      </c>
      <c r="G1144" s="10" t="s">
        <v>2923</v>
      </c>
    </row>
    <row r="1145" spans="1:7" ht="15" customHeight="1" x14ac:dyDescent="0.3">
      <c r="A1145" s="16">
        <v>1138</v>
      </c>
      <c r="B1145" s="10" t="s">
        <v>3109</v>
      </c>
      <c r="C1145" s="10" t="s">
        <v>2977</v>
      </c>
      <c r="D1145" s="10" t="s">
        <v>201</v>
      </c>
      <c r="E1145" s="10" t="s">
        <v>207</v>
      </c>
      <c r="F1145" s="16">
        <v>0</v>
      </c>
      <c r="G1145" s="10" t="s">
        <v>2928</v>
      </c>
    </row>
    <row r="1146" spans="1:7" ht="15" customHeight="1" x14ac:dyDescent="0.3">
      <c r="A1146" s="16">
        <v>1139</v>
      </c>
      <c r="B1146" s="10" t="s">
        <v>3109</v>
      </c>
      <c r="C1146" s="10" t="s">
        <v>2978</v>
      </c>
      <c r="D1146" s="10" t="s">
        <v>220</v>
      </c>
      <c r="E1146" s="10" t="s">
        <v>209</v>
      </c>
      <c r="F1146" s="16">
        <v>0</v>
      </c>
      <c r="G1146" s="10" t="s">
        <v>2917</v>
      </c>
    </row>
    <row r="1147" spans="1:7" ht="15" customHeight="1" x14ac:dyDescent="0.3">
      <c r="A1147" s="16">
        <v>1140</v>
      </c>
      <c r="B1147" s="10" t="s">
        <v>3109</v>
      </c>
      <c r="C1147" s="10" t="s">
        <v>2951</v>
      </c>
      <c r="D1147" s="10" t="s">
        <v>211</v>
      </c>
      <c r="E1147" s="10" t="s">
        <v>204</v>
      </c>
      <c r="F1147" s="16">
        <v>0</v>
      </c>
      <c r="G1147" s="10" t="s">
        <v>2949</v>
      </c>
    </row>
    <row r="1148" spans="1:7" ht="15" customHeight="1" x14ac:dyDescent="0.3">
      <c r="A1148" s="16">
        <v>1141</v>
      </c>
      <c r="B1148" s="10" t="s">
        <v>3109</v>
      </c>
      <c r="C1148" s="10" t="s">
        <v>2951</v>
      </c>
      <c r="D1148" s="10" t="s">
        <v>221</v>
      </c>
      <c r="E1148" s="10" t="s">
        <v>225</v>
      </c>
      <c r="F1148" s="16">
        <v>0</v>
      </c>
      <c r="G1148" s="10" t="s">
        <v>2940</v>
      </c>
    </row>
    <row r="1149" spans="1:7" ht="15" customHeight="1" x14ac:dyDescent="0.3">
      <c r="A1149" s="16">
        <v>1142</v>
      </c>
      <c r="B1149" s="10" t="s">
        <v>3109</v>
      </c>
      <c r="C1149" s="10" t="s">
        <v>2943</v>
      </c>
      <c r="D1149" s="10" t="s">
        <v>206</v>
      </c>
      <c r="E1149" s="10" t="s">
        <v>222</v>
      </c>
      <c r="F1149" s="16">
        <v>0</v>
      </c>
      <c r="G1149" s="10" t="s">
        <v>2934</v>
      </c>
    </row>
    <row r="1150" spans="1:7" ht="15" customHeight="1" x14ac:dyDescent="0.3">
      <c r="A1150" s="16">
        <v>1143</v>
      </c>
      <c r="B1150" s="10" t="s">
        <v>3109</v>
      </c>
      <c r="C1150" s="10" t="s">
        <v>2920</v>
      </c>
      <c r="D1150" s="10" t="s">
        <v>199</v>
      </c>
      <c r="E1150" s="10" t="s">
        <v>216</v>
      </c>
      <c r="F1150" s="16">
        <v>0</v>
      </c>
      <c r="G1150" s="10" t="s">
        <v>2909</v>
      </c>
    </row>
    <row r="1151" spans="1:7" ht="15" customHeight="1" x14ac:dyDescent="0.3">
      <c r="A1151" s="16">
        <v>1144</v>
      </c>
      <c r="B1151" s="10" t="s">
        <v>3110</v>
      </c>
      <c r="C1151" s="10" t="s">
        <v>2908</v>
      </c>
      <c r="D1151" s="10" t="s">
        <v>198</v>
      </c>
      <c r="E1151" s="10" t="s">
        <v>202</v>
      </c>
      <c r="F1151" s="16">
        <v>0</v>
      </c>
      <c r="G1151" s="10" t="s">
        <v>2944</v>
      </c>
    </row>
    <row r="1152" spans="1:7" ht="15" customHeight="1" x14ac:dyDescent="0.3">
      <c r="A1152" s="16">
        <v>1145</v>
      </c>
      <c r="B1152" s="10" t="s">
        <v>3110</v>
      </c>
      <c r="C1152" s="10" t="s">
        <v>2908</v>
      </c>
      <c r="D1152" s="10" t="s">
        <v>212</v>
      </c>
      <c r="E1152" s="10" t="s">
        <v>218</v>
      </c>
      <c r="F1152" s="16">
        <v>0</v>
      </c>
      <c r="G1152" s="10" t="s">
        <v>2918</v>
      </c>
    </row>
    <row r="1153" spans="1:7" ht="15" customHeight="1" x14ac:dyDescent="0.3">
      <c r="A1153" s="16">
        <v>1146</v>
      </c>
      <c r="B1153" s="10" t="s">
        <v>3110</v>
      </c>
      <c r="C1153" s="10" t="s">
        <v>2924</v>
      </c>
      <c r="D1153" s="10" t="s">
        <v>226</v>
      </c>
      <c r="E1153" s="10" t="s">
        <v>215</v>
      </c>
      <c r="F1153" s="16">
        <v>0</v>
      </c>
      <c r="G1153" s="10" t="s">
        <v>2926</v>
      </c>
    </row>
    <row r="1154" spans="1:7" ht="15" customHeight="1" x14ac:dyDescent="0.3">
      <c r="A1154" s="16">
        <v>1147</v>
      </c>
      <c r="B1154" s="10" t="s">
        <v>3111</v>
      </c>
      <c r="C1154" s="10" t="s">
        <v>2913</v>
      </c>
      <c r="D1154" s="10" t="s">
        <v>203</v>
      </c>
      <c r="E1154" s="10" t="s">
        <v>210</v>
      </c>
      <c r="F1154" s="16">
        <v>0</v>
      </c>
      <c r="G1154" s="10" t="s">
        <v>2914</v>
      </c>
    </row>
    <row r="1155" spans="1:7" ht="15" customHeight="1" x14ac:dyDescent="0.3">
      <c r="A1155" s="16">
        <v>1148</v>
      </c>
      <c r="B1155" s="10" t="s">
        <v>3111</v>
      </c>
      <c r="C1155" s="10" t="s">
        <v>2916</v>
      </c>
      <c r="D1155" s="10" t="s">
        <v>214</v>
      </c>
      <c r="E1155" s="10" t="s">
        <v>209</v>
      </c>
      <c r="F1155" s="16">
        <v>0</v>
      </c>
      <c r="G1155" s="10" t="s">
        <v>2917</v>
      </c>
    </row>
    <row r="1156" spans="1:7" ht="15" customHeight="1" x14ac:dyDescent="0.3">
      <c r="A1156" s="16">
        <v>1149</v>
      </c>
      <c r="B1156" s="10" t="s">
        <v>3111</v>
      </c>
      <c r="C1156" s="10" t="s">
        <v>2955</v>
      </c>
      <c r="D1156" s="10" t="s">
        <v>220</v>
      </c>
      <c r="E1156" s="10" t="s">
        <v>206</v>
      </c>
      <c r="F1156" s="16">
        <v>0</v>
      </c>
      <c r="G1156" s="10" t="s">
        <v>2933</v>
      </c>
    </row>
    <row r="1157" spans="1:7" ht="15" customHeight="1" x14ac:dyDescent="0.3">
      <c r="A1157" s="16">
        <v>1150</v>
      </c>
      <c r="B1157" s="10" t="s">
        <v>3111</v>
      </c>
      <c r="C1157" s="10" t="s">
        <v>2908</v>
      </c>
      <c r="D1157" s="10" t="s">
        <v>208</v>
      </c>
      <c r="E1157" s="10" t="s">
        <v>200</v>
      </c>
      <c r="F1157" s="16">
        <v>0</v>
      </c>
      <c r="G1157" s="10" t="s">
        <v>2936</v>
      </c>
    </row>
    <row r="1158" spans="1:7" ht="15" customHeight="1" x14ac:dyDescent="0.3">
      <c r="A1158" s="16">
        <v>1151</v>
      </c>
      <c r="B1158" s="10" t="s">
        <v>3111</v>
      </c>
      <c r="C1158" s="10" t="s">
        <v>2920</v>
      </c>
      <c r="D1158" s="10" t="s">
        <v>219</v>
      </c>
      <c r="E1158" s="10" t="s">
        <v>224</v>
      </c>
      <c r="F1158" s="16">
        <v>0</v>
      </c>
      <c r="G1158" s="10" t="s">
        <v>2923</v>
      </c>
    </row>
    <row r="1159" spans="1:7" ht="15" customHeight="1" x14ac:dyDescent="0.3">
      <c r="A1159" s="16">
        <v>1152</v>
      </c>
      <c r="B1159" s="10" t="s">
        <v>3111</v>
      </c>
      <c r="C1159" s="10" t="s">
        <v>2924</v>
      </c>
      <c r="D1159" s="10" t="s">
        <v>216</v>
      </c>
      <c r="E1159" s="10" t="s">
        <v>197</v>
      </c>
      <c r="F1159" s="16">
        <v>0</v>
      </c>
      <c r="G1159" s="10" t="s">
        <v>2945</v>
      </c>
    </row>
    <row r="1160" spans="1:7" ht="15" customHeight="1" x14ac:dyDescent="0.3">
      <c r="A1160" s="16">
        <v>1153</v>
      </c>
      <c r="B1160" s="10" t="s">
        <v>3111</v>
      </c>
      <c r="C1160" s="10" t="s">
        <v>2924</v>
      </c>
      <c r="D1160" s="10" t="s">
        <v>205</v>
      </c>
      <c r="E1160" s="10" t="s">
        <v>211</v>
      </c>
      <c r="F1160" s="16">
        <v>0</v>
      </c>
      <c r="G1160" s="10" t="s">
        <v>2925</v>
      </c>
    </row>
    <row r="1161" spans="1:7" ht="15" customHeight="1" x14ac:dyDescent="0.3">
      <c r="A1161" s="16">
        <v>1154</v>
      </c>
      <c r="B1161" s="10" t="s">
        <v>3111</v>
      </c>
      <c r="C1161" s="10" t="s">
        <v>2924</v>
      </c>
      <c r="D1161" s="10" t="s">
        <v>201</v>
      </c>
      <c r="E1161" s="10" t="s">
        <v>213</v>
      </c>
      <c r="F1161" s="16">
        <v>0</v>
      </c>
      <c r="G1161" s="10" t="s">
        <v>2938</v>
      </c>
    </row>
    <row r="1162" spans="1:7" ht="15" customHeight="1" x14ac:dyDescent="0.3">
      <c r="A1162" s="16">
        <v>1155</v>
      </c>
      <c r="B1162" s="10" t="s">
        <v>3111</v>
      </c>
      <c r="C1162" s="10" t="s">
        <v>2924</v>
      </c>
      <c r="D1162" s="10" t="s">
        <v>222</v>
      </c>
      <c r="E1162" s="10" t="s">
        <v>223</v>
      </c>
      <c r="F1162" s="16">
        <v>0</v>
      </c>
      <c r="G1162" s="10" t="s">
        <v>2911</v>
      </c>
    </row>
    <row r="1163" spans="1:7" ht="15" customHeight="1" x14ac:dyDescent="0.3">
      <c r="A1163" s="16">
        <v>1156</v>
      </c>
      <c r="B1163" s="10" t="s">
        <v>3111</v>
      </c>
      <c r="C1163" s="10" t="s">
        <v>2948</v>
      </c>
      <c r="D1163" s="10" t="s">
        <v>215</v>
      </c>
      <c r="E1163" s="10" t="s">
        <v>204</v>
      </c>
      <c r="F1163" s="16">
        <v>0</v>
      </c>
      <c r="G1163" s="10" t="s">
        <v>2949</v>
      </c>
    </row>
    <row r="1164" spans="1:7" ht="15" customHeight="1" x14ac:dyDescent="0.3">
      <c r="A1164" s="16">
        <v>1157</v>
      </c>
      <c r="B1164" s="10" t="s">
        <v>3111</v>
      </c>
      <c r="C1164" s="10" t="s">
        <v>2948</v>
      </c>
      <c r="D1164" s="10" t="s">
        <v>217</v>
      </c>
      <c r="E1164" s="10" t="s">
        <v>225</v>
      </c>
      <c r="F1164" s="16">
        <v>0</v>
      </c>
      <c r="G1164" s="10" t="s">
        <v>2940</v>
      </c>
    </row>
    <row r="1165" spans="1:7" ht="15" customHeight="1" x14ac:dyDescent="0.3">
      <c r="A1165" s="16">
        <v>1158</v>
      </c>
      <c r="B1165" s="10" t="s">
        <v>3112</v>
      </c>
      <c r="C1165" s="10" t="s">
        <v>2913</v>
      </c>
      <c r="D1165" s="10" t="s">
        <v>214</v>
      </c>
      <c r="E1165" s="10" t="s">
        <v>210</v>
      </c>
      <c r="F1165" s="16">
        <v>0</v>
      </c>
      <c r="G1165" s="10" t="s">
        <v>2914</v>
      </c>
    </row>
    <row r="1166" spans="1:7" ht="15" customHeight="1" x14ac:dyDescent="0.3">
      <c r="A1166" s="16">
        <v>1159</v>
      </c>
      <c r="B1166" s="10" t="s">
        <v>3112</v>
      </c>
      <c r="C1166" s="10" t="s">
        <v>2913</v>
      </c>
      <c r="D1166" s="10" t="s">
        <v>203</v>
      </c>
      <c r="E1166" s="10" t="s">
        <v>221</v>
      </c>
      <c r="F1166" s="16">
        <v>0</v>
      </c>
      <c r="G1166" s="10" t="s">
        <v>2915</v>
      </c>
    </row>
    <row r="1167" spans="1:7" ht="15" customHeight="1" x14ac:dyDescent="0.3">
      <c r="A1167" s="16">
        <v>1160</v>
      </c>
      <c r="B1167" s="10" t="s">
        <v>3112</v>
      </c>
      <c r="C1167" s="10" t="s">
        <v>2908</v>
      </c>
      <c r="D1167" s="10" t="s">
        <v>208</v>
      </c>
      <c r="E1167" s="10" t="s">
        <v>205</v>
      </c>
      <c r="F1167" s="16">
        <v>0</v>
      </c>
      <c r="G1167" s="10" t="s">
        <v>2907</v>
      </c>
    </row>
    <row r="1168" spans="1:7" ht="15" customHeight="1" x14ac:dyDescent="0.3">
      <c r="A1168" s="16">
        <v>1161</v>
      </c>
      <c r="B1168" s="10" t="s">
        <v>3112</v>
      </c>
      <c r="C1168" s="10" t="s">
        <v>2908</v>
      </c>
      <c r="D1168" s="10" t="s">
        <v>199</v>
      </c>
      <c r="E1168" s="10" t="s">
        <v>218</v>
      </c>
      <c r="F1168" s="16">
        <v>0</v>
      </c>
      <c r="G1168" s="10" t="s">
        <v>2918</v>
      </c>
    </row>
    <row r="1169" spans="1:7" ht="15" customHeight="1" x14ac:dyDescent="0.3">
      <c r="A1169" s="16">
        <v>1162</v>
      </c>
      <c r="B1169" s="10" t="s">
        <v>3112</v>
      </c>
      <c r="C1169" s="10" t="s">
        <v>2920</v>
      </c>
      <c r="D1169" s="10" t="s">
        <v>202</v>
      </c>
      <c r="E1169" s="10" t="s">
        <v>223</v>
      </c>
      <c r="F1169" s="16">
        <v>0</v>
      </c>
      <c r="G1169" s="10" t="s">
        <v>2911</v>
      </c>
    </row>
    <row r="1170" spans="1:7" ht="15" customHeight="1" x14ac:dyDescent="0.3">
      <c r="A1170" s="16">
        <v>1163</v>
      </c>
      <c r="B1170" s="10" t="s">
        <v>3112</v>
      </c>
      <c r="C1170" s="10" t="s">
        <v>2920</v>
      </c>
      <c r="D1170" s="10" t="s">
        <v>198</v>
      </c>
      <c r="E1170" s="10" t="s">
        <v>224</v>
      </c>
      <c r="F1170" s="16">
        <v>0</v>
      </c>
      <c r="G1170" s="10" t="s">
        <v>2923</v>
      </c>
    </row>
    <row r="1171" spans="1:7" ht="15" customHeight="1" x14ac:dyDescent="0.3">
      <c r="A1171" s="16">
        <v>1164</v>
      </c>
      <c r="B1171" s="10" t="s">
        <v>3112</v>
      </c>
      <c r="C1171" s="10" t="s">
        <v>2924</v>
      </c>
      <c r="D1171" s="10" t="s">
        <v>200</v>
      </c>
      <c r="E1171" s="10" t="s">
        <v>201</v>
      </c>
      <c r="F1171" s="16">
        <v>0</v>
      </c>
      <c r="G1171" s="10" t="s">
        <v>2946</v>
      </c>
    </row>
    <row r="1172" spans="1:7" ht="15" customHeight="1" x14ac:dyDescent="0.3">
      <c r="A1172" s="16">
        <v>1165</v>
      </c>
      <c r="B1172" s="10" t="s">
        <v>3112</v>
      </c>
      <c r="C1172" s="10" t="s">
        <v>2924</v>
      </c>
      <c r="D1172" s="10" t="s">
        <v>226</v>
      </c>
      <c r="E1172" s="10" t="s">
        <v>211</v>
      </c>
      <c r="F1172" s="16">
        <v>0</v>
      </c>
      <c r="G1172" s="10" t="s">
        <v>2925</v>
      </c>
    </row>
    <row r="1173" spans="1:7" ht="15" customHeight="1" x14ac:dyDescent="0.3">
      <c r="A1173" s="16">
        <v>1166</v>
      </c>
      <c r="B1173" s="10" t="s">
        <v>3112</v>
      </c>
      <c r="C1173" s="10" t="s">
        <v>2927</v>
      </c>
      <c r="D1173" s="10" t="s">
        <v>222</v>
      </c>
      <c r="E1173" s="10" t="s">
        <v>207</v>
      </c>
      <c r="F1173" s="16">
        <v>0</v>
      </c>
      <c r="G1173" s="10" t="s">
        <v>2928</v>
      </c>
    </row>
    <row r="1174" spans="1:7" ht="15" customHeight="1" x14ac:dyDescent="0.3">
      <c r="A1174" s="16">
        <v>1167</v>
      </c>
      <c r="B1174" s="10" t="s">
        <v>3113</v>
      </c>
      <c r="C1174" s="10" t="s">
        <v>2908</v>
      </c>
      <c r="D1174" s="10" t="s">
        <v>219</v>
      </c>
      <c r="E1174" s="10" t="s">
        <v>212</v>
      </c>
      <c r="F1174" s="16">
        <v>0</v>
      </c>
      <c r="G1174" s="10" t="s">
        <v>2922</v>
      </c>
    </row>
    <row r="1175" spans="1:7" ht="15" customHeight="1" x14ac:dyDescent="0.3">
      <c r="A1175" s="16">
        <v>1168</v>
      </c>
      <c r="B1175" s="10" t="s">
        <v>3113</v>
      </c>
      <c r="C1175" s="10" t="s">
        <v>2924</v>
      </c>
      <c r="D1175" s="10" t="s">
        <v>216</v>
      </c>
      <c r="E1175" s="10" t="s">
        <v>213</v>
      </c>
      <c r="F1175" s="16">
        <v>0</v>
      </c>
      <c r="G1175" s="10" t="s">
        <v>2938</v>
      </c>
    </row>
    <row r="1176" spans="1:7" ht="15" customHeight="1" x14ac:dyDescent="0.3">
      <c r="A1176" s="16">
        <v>1169</v>
      </c>
      <c r="B1176" s="10" t="s">
        <v>3113</v>
      </c>
      <c r="C1176" s="10" t="s">
        <v>2948</v>
      </c>
      <c r="D1176" s="10" t="s">
        <v>209</v>
      </c>
      <c r="E1176" s="10" t="s">
        <v>204</v>
      </c>
      <c r="F1176" s="16">
        <v>0</v>
      </c>
      <c r="G1176" s="10" t="s">
        <v>2949</v>
      </c>
    </row>
    <row r="1177" spans="1:7" ht="15" customHeight="1" x14ac:dyDescent="0.3">
      <c r="A1177" s="16">
        <v>1170</v>
      </c>
      <c r="B1177" s="10" t="s">
        <v>3113</v>
      </c>
      <c r="C1177" s="10" t="s">
        <v>2948</v>
      </c>
      <c r="D1177" s="10" t="s">
        <v>215</v>
      </c>
      <c r="E1177" s="10" t="s">
        <v>225</v>
      </c>
      <c r="F1177" s="16">
        <v>0</v>
      </c>
      <c r="G1177" s="10" t="s">
        <v>2940</v>
      </c>
    </row>
    <row r="1178" spans="1:7" ht="15" customHeight="1" x14ac:dyDescent="0.3">
      <c r="A1178" s="16">
        <v>1171</v>
      </c>
      <c r="B1178" s="10" t="s">
        <v>3113</v>
      </c>
      <c r="C1178" s="10" t="s">
        <v>2910</v>
      </c>
      <c r="D1178" s="10" t="s">
        <v>206</v>
      </c>
      <c r="E1178" s="10" t="s">
        <v>217</v>
      </c>
      <c r="F1178" s="16">
        <v>0</v>
      </c>
      <c r="G1178" s="10" t="s">
        <v>2931</v>
      </c>
    </row>
    <row r="1179" spans="1:7" ht="15" customHeight="1" x14ac:dyDescent="0.3">
      <c r="A1179" s="16">
        <v>1172</v>
      </c>
      <c r="B1179" s="10" t="s">
        <v>3114</v>
      </c>
      <c r="C1179" s="10" t="s">
        <v>2913</v>
      </c>
      <c r="D1179" s="10" t="s">
        <v>214</v>
      </c>
      <c r="E1179" s="10" t="s">
        <v>210</v>
      </c>
      <c r="F1179" s="16">
        <v>0</v>
      </c>
      <c r="G1179" s="10" t="s">
        <v>2914</v>
      </c>
    </row>
    <row r="1180" spans="1:7" ht="15" customHeight="1" x14ac:dyDescent="0.3">
      <c r="A1180" s="16">
        <v>1173</v>
      </c>
      <c r="B1180" s="10" t="s">
        <v>3114</v>
      </c>
      <c r="C1180" s="10" t="s">
        <v>2913</v>
      </c>
      <c r="D1180" s="10" t="s">
        <v>211</v>
      </c>
      <c r="E1180" s="10" t="s">
        <v>220</v>
      </c>
      <c r="F1180" s="16">
        <v>0</v>
      </c>
      <c r="G1180" s="10" t="s">
        <v>2942</v>
      </c>
    </row>
    <row r="1181" spans="1:7" ht="15" customHeight="1" x14ac:dyDescent="0.3">
      <c r="A1181" s="16">
        <v>1174</v>
      </c>
      <c r="B1181" s="10" t="s">
        <v>3114</v>
      </c>
      <c r="C1181" s="10" t="s">
        <v>2913</v>
      </c>
      <c r="D1181" s="10" t="s">
        <v>203</v>
      </c>
      <c r="E1181" s="10" t="s">
        <v>222</v>
      </c>
      <c r="F1181" s="16">
        <v>0</v>
      </c>
      <c r="G1181" s="10" t="s">
        <v>2934</v>
      </c>
    </row>
    <row r="1182" spans="1:7" ht="15" customHeight="1" x14ac:dyDescent="0.3">
      <c r="A1182" s="16">
        <v>1175</v>
      </c>
      <c r="B1182" s="10" t="s">
        <v>3114</v>
      </c>
      <c r="C1182" s="10" t="s">
        <v>2908</v>
      </c>
      <c r="D1182" s="10" t="s">
        <v>199</v>
      </c>
      <c r="E1182" s="10" t="s">
        <v>197</v>
      </c>
      <c r="F1182" s="16">
        <v>0</v>
      </c>
      <c r="G1182" s="10" t="s">
        <v>2945</v>
      </c>
    </row>
    <row r="1183" spans="1:7" ht="15" customHeight="1" x14ac:dyDescent="0.3">
      <c r="A1183" s="16">
        <v>1176</v>
      </c>
      <c r="B1183" s="10" t="s">
        <v>3114</v>
      </c>
      <c r="C1183" s="10" t="s">
        <v>2908</v>
      </c>
      <c r="D1183" s="10" t="s">
        <v>198</v>
      </c>
      <c r="E1183" s="10" t="s">
        <v>200</v>
      </c>
      <c r="F1183" s="16">
        <v>0</v>
      </c>
      <c r="G1183" s="10" t="s">
        <v>2936</v>
      </c>
    </row>
    <row r="1184" spans="1:7" ht="15" customHeight="1" x14ac:dyDescent="0.3">
      <c r="A1184" s="16">
        <v>1177</v>
      </c>
      <c r="B1184" s="10" t="s">
        <v>3114</v>
      </c>
      <c r="C1184" s="10" t="s">
        <v>2908</v>
      </c>
      <c r="D1184" s="10" t="s">
        <v>202</v>
      </c>
      <c r="E1184" s="10" t="s">
        <v>208</v>
      </c>
      <c r="F1184" s="16">
        <v>0</v>
      </c>
      <c r="G1184" s="10" t="s">
        <v>2937</v>
      </c>
    </row>
    <row r="1185" spans="1:7" ht="15" customHeight="1" x14ac:dyDescent="0.3">
      <c r="A1185" s="16">
        <v>1178</v>
      </c>
      <c r="B1185" s="10" t="s">
        <v>3114</v>
      </c>
      <c r="C1185" s="10" t="s">
        <v>2908</v>
      </c>
      <c r="D1185" s="10" t="s">
        <v>205</v>
      </c>
      <c r="E1185" s="10" t="s">
        <v>216</v>
      </c>
      <c r="F1185" s="16">
        <v>0</v>
      </c>
      <c r="G1185" s="10" t="s">
        <v>2909</v>
      </c>
    </row>
    <row r="1186" spans="1:7" ht="15" customHeight="1" x14ac:dyDescent="0.3">
      <c r="A1186" s="16">
        <v>1179</v>
      </c>
      <c r="B1186" s="10" t="s">
        <v>3114</v>
      </c>
      <c r="C1186" s="10" t="s">
        <v>2908</v>
      </c>
      <c r="D1186" s="10" t="s">
        <v>224</v>
      </c>
      <c r="E1186" s="10" t="s">
        <v>218</v>
      </c>
      <c r="F1186" s="16">
        <v>0</v>
      </c>
      <c r="G1186" s="10" t="s">
        <v>2918</v>
      </c>
    </row>
    <row r="1187" spans="1:7" ht="15" customHeight="1" x14ac:dyDescent="0.3">
      <c r="A1187" s="16">
        <v>1180</v>
      </c>
      <c r="B1187" s="10" t="s">
        <v>3114</v>
      </c>
      <c r="C1187" s="10" t="s">
        <v>2924</v>
      </c>
      <c r="D1187" s="10" t="s">
        <v>213</v>
      </c>
      <c r="E1187" s="10" t="s">
        <v>201</v>
      </c>
      <c r="F1187" s="16">
        <v>0</v>
      </c>
      <c r="G1187" s="10" t="s">
        <v>2946</v>
      </c>
    </row>
    <row r="1188" spans="1:7" ht="15" customHeight="1" x14ac:dyDescent="0.3">
      <c r="A1188" s="16">
        <v>1181</v>
      </c>
      <c r="B1188" s="10" t="s">
        <v>3114</v>
      </c>
      <c r="C1188" s="10" t="s">
        <v>2924</v>
      </c>
      <c r="D1188" s="10" t="s">
        <v>226</v>
      </c>
      <c r="E1188" s="10" t="s">
        <v>212</v>
      </c>
      <c r="F1188" s="16">
        <v>0</v>
      </c>
      <c r="G1188" s="10" t="s">
        <v>2922</v>
      </c>
    </row>
    <row r="1189" spans="1:7" ht="15" customHeight="1" x14ac:dyDescent="0.3">
      <c r="A1189" s="16">
        <v>1182</v>
      </c>
      <c r="B1189" s="10" t="s">
        <v>3114</v>
      </c>
      <c r="C1189" s="10" t="s">
        <v>2924</v>
      </c>
      <c r="D1189" s="10" t="s">
        <v>206</v>
      </c>
      <c r="E1189" s="10" t="s">
        <v>217</v>
      </c>
      <c r="F1189" s="16">
        <v>0</v>
      </c>
      <c r="G1189" s="10" t="s">
        <v>2931</v>
      </c>
    </row>
    <row r="1190" spans="1:7" ht="15" customHeight="1" x14ac:dyDescent="0.3">
      <c r="A1190" s="16">
        <v>1183</v>
      </c>
      <c r="B1190" s="10" t="s">
        <v>3114</v>
      </c>
      <c r="C1190" s="10" t="s">
        <v>2927</v>
      </c>
      <c r="D1190" s="10" t="s">
        <v>221</v>
      </c>
      <c r="E1190" s="10" t="s">
        <v>207</v>
      </c>
      <c r="F1190" s="16">
        <v>0</v>
      </c>
      <c r="G1190" s="10" t="s">
        <v>2928</v>
      </c>
    </row>
    <row r="1191" spans="1:7" ht="15" customHeight="1" x14ac:dyDescent="0.3">
      <c r="A1191" s="16">
        <v>1184</v>
      </c>
      <c r="B1191" s="10" t="s">
        <v>3114</v>
      </c>
      <c r="C1191" s="10" t="s">
        <v>2910</v>
      </c>
      <c r="D1191" s="10" t="s">
        <v>204</v>
      </c>
      <c r="E1191" s="10" t="s">
        <v>223</v>
      </c>
      <c r="F1191" s="16">
        <v>0</v>
      </c>
      <c r="G1191" s="10" t="s">
        <v>2911</v>
      </c>
    </row>
    <row r="1192" spans="1:7" ht="15" customHeight="1" x14ac:dyDescent="0.3">
      <c r="A1192" s="16">
        <v>1185</v>
      </c>
      <c r="B1192" s="10" t="s">
        <v>3114</v>
      </c>
      <c r="C1192" s="10" t="s">
        <v>2910</v>
      </c>
      <c r="D1192" s="10" t="s">
        <v>209</v>
      </c>
      <c r="E1192" s="10" t="s">
        <v>225</v>
      </c>
      <c r="F1192" s="16">
        <v>0</v>
      </c>
      <c r="G1192" s="10" t="s">
        <v>2940</v>
      </c>
    </row>
    <row r="1193" spans="1:7" ht="15" customHeight="1" x14ac:dyDescent="0.3">
      <c r="A1193" s="16">
        <v>1186</v>
      </c>
      <c r="B1193" s="10" t="s">
        <v>3115</v>
      </c>
      <c r="C1193" s="10" t="s">
        <v>2943</v>
      </c>
      <c r="D1193" s="10" t="s">
        <v>224</v>
      </c>
      <c r="E1193" s="10" t="s">
        <v>198</v>
      </c>
      <c r="F1193" s="16">
        <v>0</v>
      </c>
      <c r="G1193" s="10" t="s">
        <v>2921</v>
      </c>
    </row>
    <row r="1194" spans="1:7" ht="15" customHeight="1" x14ac:dyDescent="0.3">
      <c r="A1194" s="16">
        <v>1187</v>
      </c>
      <c r="B1194" s="10" t="s">
        <v>3115</v>
      </c>
      <c r="C1194" s="10" t="s">
        <v>2943</v>
      </c>
      <c r="D1194" s="10" t="s">
        <v>213</v>
      </c>
      <c r="E1194" s="10" t="s">
        <v>199</v>
      </c>
      <c r="F1194" s="16">
        <v>0</v>
      </c>
      <c r="G1194" s="10" t="s">
        <v>2935</v>
      </c>
    </row>
    <row r="1195" spans="1:7" ht="15" customHeight="1" x14ac:dyDescent="0.3">
      <c r="A1195" s="16">
        <v>1188</v>
      </c>
      <c r="B1195" s="10" t="s">
        <v>3115</v>
      </c>
      <c r="C1195" s="10" t="s">
        <v>2943</v>
      </c>
      <c r="D1195" s="10" t="s">
        <v>197</v>
      </c>
      <c r="E1195" s="10" t="s">
        <v>202</v>
      </c>
      <c r="F1195" s="16">
        <v>0</v>
      </c>
      <c r="G1195" s="10" t="s">
        <v>2944</v>
      </c>
    </row>
    <row r="1196" spans="1:7" ht="15" customHeight="1" x14ac:dyDescent="0.3">
      <c r="A1196" s="16">
        <v>1189</v>
      </c>
      <c r="B1196" s="10" t="s">
        <v>3115</v>
      </c>
      <c r="C1196" s="10" t="s">
        <v>2943</v>
      </c>
      <c r="D1196" s="10" t="s">
        <v>218</v>
      </c>
      <c r="E1196" s="10" t="s">
        <v>212</v>
      </c>
      <c r="F1196" s="16">
        <v>0</v>
      </c>
      <c r="G1196" s="10" t="s">
        <v>2922</v>
      </c>
    </row>
    <row r="1197" spans="1:7" ht="15" customHeight="1" x14ac:dyDescent="0.3">
      <c r="A1197" s="16">
        <v>1190</v>
      </c>
      <c r="B1197" s="10" t="s">
        <v>3115</v>
      </c>
      <c r="C1197" s="10" t="s">
        <v>2943</v>
      </c>
      <c r="D1197" s="10" t="s">
        <v>201</v>
      </c>
      <c r="E1197" s="10" t="s">
        <v>215</v>
      </c>
      <c r="F1197" s="16">
        <v>0</v>
      </c>
      <c r="G1197" s="10" t="s">
        <v>2926</v>
      </c>
    </row>
    <row r="1198" spans="1:7" ht="15" customHeight="1" x14ac:dyDescent="0.3">
      <c r="A1198" s="16">
        <v>1191</v>
      </c>
      <c r="B1198" s="10" t="s">
        <v>3115</v>
      </c>
      <c r="C1198" s="10" t="s">
        <v>2943</v>
      </c>
      <c r="D1198" s="10" t="s">
        <v>208</v>
      </c>
      <c r="E1198" s="10" t="s">
        <v>216</v>
      </c>
      <c r="F1198" s="16">
        <v>0</v>
      </c>
      <c r="G1198" s="10" t="s">
        <v>2909</v>
      </c>
    </row>
    <row r="1199" spans="1:7" ht="15" customHeight="1" x14ac:dyDescent="0.3">
      <c r="A1199" s="16">
        <v>1192</v>
      </c>
      <c r="B1199" s="10" t="s">
        <v>3115</v>
      </c>
      <c r="C1199" s="10" t="s">
        <v>2943</v>
      </c>
      <c r="D1199" s="10" t="s">
        <v>200</v>
      </c>
      <c r="E1199" s="10" t="s">
        <v>219</v>
      </c>
      <c r="F1199" s="16">
        <v>0</v>
      </c>
      <c r="G1199" s="10" t="s">
        <v>2930</v>
      </c>
    </row>
    <row r="1200" spans="1:7" ht="15" customHeight="1" x14ac:dyDescent="0.3">
      <c r="A1200" s="16">
        <v>1193</v>
      </c>
      <c r="B1200" s="10" t="s">
        <v>3115</v>
      </c>
      <c r="C1200" s="10" t="s">
        <v>2943</v>
      </c>
      <c r="D1200" s="10" t="s">
        <v>205</v>
      </c>
      <c r="E1200" s="10" t="s">
        <v>226</v>
      </c>
      <c r="F1200" s="16">
        <v>0</v>
      </c>
      <c r="G1200" s="10" t="s">
        <v>2919</v>
      </c>
    </row>
    <row r="1201" spans="1:7" ht="15" customHeight="1" x14ac:dyDescent="0.3">
      <c r="A1201" s="16">
        <v>1194</v>
      </c>
      <c r="B1201" s="10" t="s">
        <v>3115</v>
      </c>
      <c r="C1201" s="10" t="s">
        <v>2927</v>
      </c>
      <c r="D1201" s="10" t="s">
        <v>211</v>
      </c>
      <c r="E1201" s="10" t="s">
        <v>203</v>
      </c>
      <c r="F1201" s="16">
        <v>0</v>
      </c>
      <c r="G1201" s="10" t="s">
        <v>2947</v>
      </c>
    </row>
    <row r="1202" spans="1:7" ht="15" customHeight="1" x14ac:dyDescent="0.3">
      <c r="A1202" s="16">
        <v>1195</v>
      </c>
      <c r="B1202" s="10" t="s">
        <v>3115</v>
      </c>
      <c r="C1202" s="10" t="s">
        <v>2927</v>
      </c>
      <c r="D1202" s="10" t="s">
        <v>217</v>
      </c>
      <c r="E1202" s="10" t="s">
        <v>204</v>
      </c>
      <c r="F1202" s="16">
        <v>0</v>
      </c>
      <c r="G1202" s="10" t="s">
        <v>2949</v>
      </c>
    </row>
    <row r="1203" spans="1:7" ht="15" customHeight="1" x14ac:dyDescent="0.3">
      <c r="A1203" s="16">
        <v>1196</v>
      </c>
      <c r="B1203" s="10" t="s">
        <v>3115</v>
      </c>
      <c r="C1203" s="10" t="s">
        <v>2927</v>
      </c>
      <c r="D1203" s="10" t="s">
        <v>225</v>
      </c>
      <c r="E1203" s="10" t="s">
        <v>206</v>
      </c>
      <c r="F1203" s="16">
        <v>0</v>
      </c>
      <c r="G1203" s="10" t="s">
        <v>2933</v>
      </c>
    </row>
    <row r="1204" spans="1:7" ht="15" customHeight="1" x14ac:dyDescent="0.3">
      <c r="A1204" s="16">
        <v>1197</v>
      </c>
      <c r="B1204" s="10" t="s">
        <v>3115</v>
      </c>
      <c r="C1204" s="10" t="s">
        <v>2927</v>
      </c>
      <c r="D1204" s="10" t="s">
        <v>222</v>
      </c>
      <c r="E1204" s="10" t="s">
        <v>209</v>
      </c>
      <c r="F1204" s="16">
        <v>0</v>
      </c>
      <c r="G1204" s="10" t="s">
        <v>2917</v>
      </c>
    </row>
    <row r="1205" spans="1:7" ht="15" customHeight="1" x14ac:dyDescent="0.3">
      <c r="A1205" s="16">
        <v>1198</v>
      </c>
      <c r="B1205" s="10" t="s">
        <v>3115</v>
      </c>
      <c r="C1205" s="10" t="s">
        <v>2927</v>
      </c>
      <c r="D1205" s="10" t="s">
        <v>220</v>
      </c>
      <c r="E1205" s="10" t="s">
        <v>210</v>
      </c>
      <c r="F1205" s="16">
        <v>0</v>
      </c>
      <c r="G1205" s="10" t="s">
        <v>2914</v>
      </c>
    </row>
    <row r="1206" spans="1:7" ht="15" customHeight="1" x14ac:dyDescent="0.3">
      <c r="A1206" s="16">
        <v>1199</v>
      </c>
      <c r="B1206" s="10" t="s">
        <v>3115</v>
      </c>
      <c r="C1206" s="10" t="s">
        <v>2927</v>
      </c>
      <c r="D1206" s="10" t="s">
        <v>207</v>
      </c>
      <c r="E1206" s="10" t="s">
        <v>214</v>
      </c>
      <c r="F1206" s="16">
        <v>0</v>
      </c>
      <c r="G1206" s="10" t="s">
        <v>2952</v>
      </c>
    </row>
    <row r="1207" spans="1:7" ht="15" customHeight="1" x14ac:dyDescent="0.3">
      <c r="A1207" s="16">
        <v>1200</v>
      </c>
      <c r="B1207" s="10" t="s">
        <v>3115</v>
      </c>
      <c r="C1207" s="10" t="s">
        <v>2927</v>
      </c>
      <c r="D1207" s="10" t="s">
        <v>221</v>
      </c>
      <c r="E1207" s="10" t="s">
        <v>223</v>
      </c>
      <c r="F1207" s="16">
        <v>0</v>
      </c>
      <c r="G1207" s="10" t="s">
        <v>2911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53</vt:i4>
      </vt:variant>
    </vt:vector>
  </HeadingPairs>
  <TitlesOfParts>
    <vt:vector size="76" baseType="lpstr">
      <vt:lpstr>Cover</vt:lpstr>
      <vt:lpstr>Assumptions</vt:lpstr>
      <vt:lpstr>Overrides</vt:lpstr>
      <vt:lpstr>Odds_Input</vt:lpstr>
      <vt:lpstr>M_DeVig</vt:lpstr>
      <vt:lpstr>M_TeamRatings</vt:lpstr>
      <vt:lpstr>M_WinDist</vt:lpstr>
      <vt:lpstr>M_Sims</vt:lpstr>
      <vt:lpstr>M_Lottery2027</vt:lpstr>
      <vt:lpstr>M_Players</vt:lpstr>
      <vt:lpstr>S_Markets</vt:lpstr>
      <vt:lpstr>Bet_Card</vt:lpstr>
      <vt:lpstr>Tier1_Card</vt:lpstr>
      <vt:lpstr>Exposure</vt:lpstr>
      <vt:lpstr>Dashboard</vt:lpstr>
      <vt:lpstr>Sensitivity</vt:lpstr>
      <vt:lpstr>Backtest</vt:lpstr>
      <vt:lpstr>Tracker</vt:lpstr>
      <vt:lpstr>Checks</vt:lpstr>
      <vt:lpstr>Data_Sources</vt:lpstr>
      <vt:lpstr>Raw_Teams</vt:lpstr>
      <vt:lpstr>Raw_Players</vt:lpstr>
      <vt:lpstr>Raw_Schedule</vt:lpstr>
      <vt:lpstr>A_65</vt:lpstr>
      <vt:lpstr>A_aging</vt:lpstr>
      <vt:lpstr>A_b0</vt:lpstr>
      <vt:lpstr>A_b1</vt:lpstr>
      <vt:lpstr>A_b2</vt:lpstr>
      <vt:lpstr>A_b3</vt:lpstr>
      <vt:lpstr>A_bankroll</vt:lpstr>
      <vt:lpstr>A_cilevel</vt:lpstr>
      <vt:lpstr>A_contshrink</vt:lpstr>
      <vt:lpstr>A_contthr</vt:lpstr>
      <vt:lpstr>A_cupcross</vt:lpstr>
      <vt:lpstr>A_cupneutral</vt:lpstr>
      <vt:lpstr>A_deterrent</vt:lpstr>
      <vt:lpstr>A_devig</vt:lpstr>
      <vt:lpstr>A_games</vt:lpstr>
      <vt:lpstr>A_HashCurrent</vt:lpstr>
      <vt:lpstr>A_hca</vt:lpstr>
      <vt:lpstr>A_kappa</vt:lpstr>
      <vt:lpstr>A_kelly</vt:lpstr>
      <vt:lpstr>A_kwins</vt:lpstr>
      <vt:lpstr>A_lambda</vt:lpstr>
      <vt:lpstr>A_leaguew</vt:lpstr>
      <vt:lpstr>A_lgortg</vt:lpstr>
      <vt:lpstr>A_longthr</vt:lpstr>
      <vt:lpstr>A_maxbet</vt:lpstr>
      <vt:lpstr>A_maxexp</vt:lpstr>
      <vt:lpstr>A_minev</vt:lpstr>
      <vt:lpstr>A_ndraws</vt:lpstr>
      <vt:lpstr>A_nsims</vt:lpstr>
      <vt:lpstr>A_paceblend</vt:lpstr>
      <vt:lpstr>A_playin_slots</vt:lpstr>
      <vt:lpstr>A_poconf</vt:lpstr>
      <vt:lpstr>A_podef</vt:lpstr>
      <vt:lpstr>A_poinj</vt:lpstr>
      <vt:lpstr>A_rookie</vt:lpstr>
      <vt:lpstr>A_Scenario</vt:lpstr>
      <vt:lpstr>A_sdscale</vt:lpstr>
      <vt:lpstr>A_shrink</vt:lpstr>
      <vt:lpstr>A_sigma_game</vt:lpstr>
      <vt:lpstr>A_sigma_team</vt:lpstr>
      <vt:lpstr>A_t1_cap</vt:lpstr>
      <vt:lpstr>A_t1_engcap</vt:lpstr>
      <vt:lpstr>A_t1_fair</vt:lpstr>
      <vt:lpstr>A_t1_shrink</vt:lpstr>
      <vt:lpstr>A_tank_on</vt:lpstr>
      <vt:lpstr>A_teamminutes</vt:lpstr>
      <vt:lpstr>A_tier2_on</vt:lpstr>
      <vt:lpstr>A_tpg</vt:lpstr>
      <vt:lpstr>A_wbox</vt:lpstr>
      <vt:lpstr>A_wdarko</vt:lpstr>
      <vt:lpstr>A_zs_delta</vt:lpstr>
      <vt:lpstr>A_zs_on</vt:lpstr>
      <vt:lpstr>Sim_Stale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Shiner</cp:lastModifiedBy>
  <dcterms:created xsi:type="dcterms:W3CDTF">2026-10-16T02:31:23Z</dcterms:created>
  <dcterms:modified xsi:type="dcterms:W3CDTF">2026-10-16T02:32:17Z</dcterms:modified>
</cp:coreProperties>
</file>